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68.xml" ContentType="application/vnd.openxmlformats-officedocument.spreadsheetml.worksheet+xml"/>
  <Override PartName="/xl/worksheets/sheet67.xml" ContentType="application/vnd.openxmlformats-officedocument.spreadsheetml.worksheet+xml"/>
  <Override PartName="/xl/worksheets/sheet60.xml" ContentType="application/vnd.openxmlformats-officedocument.spreadsheetml.worksheet+xml"/>
  <Override PartName="/xl/worksheets/sheet5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56.xml" ContentType="application/vnd.openxmlformats-officedocument.spreadsheetml.worksheet+xml"/>
  <Override PartName="/xl/worksheets/sheet69.xml" ContentType="application/vnd.openxmlformats-officedocument.spreadsheetml.worksheet+xml"/>
  <Override PartName="/xl/worksheets/sheet54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2.xml" ContentType="application/vnd.openxmlformats-officedocument.spreadsheetml.worksheet+xml"/>
  <Override PartName="/xl/worksheets/sheet5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48.xml" ContentType="application/vnd.openxmlformats-officedocument.spreadsheetml.worksheet+xml"/>
  <Override PartName="/xl/worksheets/sheet47.xml" ContentType="application/vnd.openxmlformats-officedocument.spreadsheetml.worksheet+xml"/>
  <Override PartName="/xl/worksheets/sheet46.xml" ContentType="application/vnd.openxmlformats-officedocument.spreadsheetml.worksheet+xml"/>
  <Override PartName="/xl/worksheets/sheet49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120" yWindow="120" windowWidth="15480" windowHeight="11640" tabRatio="948"/>
  </bookViews>
  <sheets>
    <sheet name="فهرس " sheetId="77" r:id="rId1"/>
    <sheet name="1-1" sheetId="14" r:id="rId2"/>
    <sheet name="1-2" sheetId="13" r:id="rId3"/>
    <sheet name="1-3" sheetId="12" r:id="rId4"/>
    <sheet name="1-4" sheetId="11" r:id="rId5"/>
    <sheet name="1-5" sheetId="10" r:id="rId6"/>
    <sheet name="1-6" sheetId="9" r:id="rId7"/>
    <sheet name="1-7" sheetId="8" r:id="rId8"/>
    <sheet name="1-8" sheetId="7" r:id="rId9"/>
    <sheet name="1-9" sheetId="6" r:id="rId10"/>
    <sheet name="1-10" sheetId="5" r:id="rId11"/>
    <sheet name="1-11" sheetId="4" r:id="rId12"/>
    <sheet name="2-1" sheetId="15" r:id="rId13"/>
    <sheet name="2-2" sheetId="16" r:id="rId14"/>
    <sheet name="2-3" sheetId="17" r:id="rId15"/>
    <sheet name="2-4" sheetId="18" r:id="rId16"/>
    <sheet name="2-5" sheetId="19" r:id="rId17"/>
    <sheet name="2-6" sheetId="20" r:id="rId18"/>
    <sheet name="2-7" sheetId="21" r:id="rId19"/>
    <sheet name="2-8" sheetId="22" r:id="rId20"/>
    <sheet name="2-9" sheetId="23" r:id="rId21"/>
    <sheet name="3-1" sheetId="24" r:id="rId22"/>
    <sheet name="3-2" sheetId="25" r:id="rId23"/>
    <sheet name="3-3" sheetId="26" r:id="rId24"/>
    <sheet name="3-4" sheetId="27" r:id="rId25"/>
    <sheet name="3-5" sheetId="28" r:id="rId26"/>
    <sheet name="3-6" sheetId="29" r:id="rId27"/>
    <sheet name="3-8" sheetId="31" r:id="rId28"/>
    <sheet name="3-7" sheetId="30" r:id="rId29"/>
    <sheet name="3-9" sheetId="32" r:id="rId30"/>
    <sheet name="4-1" sheetId="33" r:id="rId31"/>
    <sheet name="4-2" sheetId="34" r:id="rId32"/>
    <sheet name="4-3" sheetId="35" r:id="rId33"/>
    <sheet name="4-4" sheetId="36" r:id="rId34"/>
    <sheet name="4-5" sheetId="37" r:id="rId35"/>
    <sheet name="4-6" sheetId="38" r:id="rId36"/>
    <sheet name="4-7" sheetId="39" r:id="rId37"/>
    <sheet name="4-8" sheetId="40" r:id="rId38"/>
    <sheet name="4-9" sheetId="41" r:id="rId39"/>
    <sheet name="5-1" sheetId="42" r:id="rId40"/>
    <sheet name="5-2" sheetId="43" r:id="rId41"/>
    <sheet name="5-3" sheetId="44" r:id="rId42"/>
    <sheet name="5-4" sheetId="45" r:id="rId43"/>
    <sheet name="6-1" sheetId="46" r:id="rId44"/>
    <sheet name="6-2" sheetId="47" r:id="rId45"/>
    <sheet name="6-3" sheetId="48" r:id="rId46"/>
    <sheet name="6-4" sheetId="49" r:id="rId47"/>
    <sheet name="7-1" sheetId="50" r:id="rId48"/>
    <sheet name="7-2" sheetId="51" r:id="rId49"/>
    <sheet name="7-3" sheetId="52" r:id="rId50"/>
    <sheet name="7-4" sheetId="53" r:id="rId51"/>
    <sheet name="7-5" sheetId="54" r:id="rId52"/>
    <sheet name="7-6" sheetId="55" r:id="rId53"/>
    <sheet name="7-7" sheetId="56" r:id="rId54"/>
    <sheet name="7-8" sheetId="57" r:id="rId55"/>
    <sheet name="7-9" sheetId="58" r:id="rId56"/>
    <sheet name="8-1" sheetId="59" r:id="rId57"/>
    <sheet name="8-2" sheetId="60" r:id="rId58"/>
    <sheet name="8-3" sheetId="61" r:id="rId59"/>
    <sheet name="8-4" sheetId="62" r:id="rId60"/>
    <sheet name="8-5" sheetId="63" r:id="rId61"/>
    <sheet name="8-6" sheetId="64" r:id="rId62"/>
    <sheet name="8-7" sheetId="65" r:id="rId63"/>
    <sheet name="8-8" sheetId="66" r:id="rId64"/>
    <sheet name="8-9" sheetId="67" r:id="rId65"/>
    <sheet name="9-1" sheetId="68" r:id="rId66"/>
    <sheet name="9-2" sheetId="69" r:id="rId67"/>
    <sheet name="9-3" sheetId="70" r:id="rId68"/>
    <sheet name="9-4" sheetId="71" r:id="rId69"/>
    <sheet name="9-5" sheetId="72" r:id="rId70"/>
    <sheet name="9-6" sheetId="73" r:id="rId71"/>
    <sheet name="9-7" sheetId="74" r:id="rId72"/>
    <sheet name="9-8" sheetId="75" r:id="rId73"/>
    <sheet name="9-9" sheetId="76" r:id="rId74"/>
  </sheets>
  <definedNames>
    <definedName name="_xlnm.Print_Area" localSheetId="12">'2-1'!$A$1:$J$30</definedName>
    <definedName name="_xlnm.Print_Area" localSheetId="15">'2-4'!$A$1:$K$76</definedName>
    <definedName name="_xlnm.Print_Area" localSheetId="17">'2-6'!$A$1:$K$71</definedName>
    <definedName name="_xlnm.Print_Area" localSheetId="19">'2-8'!$A$1:$K$1037</definedName>
    <definedName name="_xlnm.Print_Area" localSheetId="20">'2-9'!$A$1:$K$371</definedName>
    <definedName name="_xlnm.Print_Area" localSheetId="21">'3-1'!$A$1:$J$30</definedName>
    <definedName name="_xlnm.Print_Area" localSheetId="22">'3-2'!$A$1:$J$28</definedName>
    <definedName name="_xlnm.Print_Area" localSheetId="24">'3-4'!$A$1:$K$73</definedName>
    <definedName name="_xlnm.Print_Area" localSheetId="30">'4-1'!$B$1:$K$28</definedName>
    <definedName name="_xlnm.Print_Area" localSheetId="31">'4-2'!$B$1:$K$25</definedName>
    <definedName name="_xlnm.Print_Area" localSheetId="33">'4-4'!$A$1:$K$76</definedName>
    <definedName name="_xlnm.Print_Area" localSheetId="0">'فهرس '!$A$1:$C$86</definedName>
    <definedName name="_xlnm.Print_Titles" localSheetId="2">'1-2'!$A$1:$IV$4</definedName>
    <definedName name="_xlnm.Print_Titles" localSheetId="23">'3-3'!$A$1:$IV$4</definedName>
  </definedNames>
  <calcPr calcId="145621"/>
</workbook>
</file>

<file path=xl/calcChain.xml><?xml version="1.0" encoding="utf-8"?>
<calcChain xmlns="http://schemas.openxmlformats.org/spreadsheetml/2006/main">
  <c r="L47" i="76" l="1"/>
  <c r="K47" i="76"/>
  <c r="J47" i="76"/>
  <c r="I47" i="76"/>
  <c r="H47" i="76"/>
  <c r="G47" i="76"/>
  <c r="F47" i="76"/>
  <c r="E47" i="76"/>
  <c r="D47" i="76"/>
  <c r="C47" i="76"/>
  <c r="L46" i="76"/>
  <c r="K46" i="76"/>
  <c r="J46" i="76"/>
  <c r="I46" i="76"/>
  <c r="H46" i="76"/>
  <c r="G46" i="76"/>
  <c r="F46" i="76"/>
  <c r="E46" i="76"/>
  <c r="D46" i="76"/>
  <c r="C46" i="76"/>
  <c r="L45" i="76"/>
  <c r="K45" i="76"/>
  <c r="J45" i="76"/>
  <c r="I45" i="76"/>
  <c r="H45" i="76"/>
  <c r="G45" i="76"/>
  <c r="F45" i="76"/>
  <c r="E45" i="76"/>
  <c r="D45" i="76"/>
  <c r="C45" i="76"/>
  <c r="B44" i="76"/>
  <c r="B43" i="76"/>
  <c r="B45" i="76" s="1"/>
  <c r="L42" i="76"/>
  <c r="K42" i="76"/>
  <c r="J42" i="76"/>
  <c r="I42" i="76"/>
  <c r="H42" i="76"/>
  <c r="G42" i="76"/>
  <c r="F42" i="76"/>
  <c r="E42" i="76"/>
  <c r="D42" i="76"/>
  <c r="C42" i="76"/>
  <c r="B41" i="76"/>
  <c r="B40" i="76"/>
  <c r="B42" i="76" s="1"/>
  <c r="L39" i="76"/>
  <c r="K39" i="76"/>
  <c r="J39" i="76"/>
  <c r="I39" i="76"/>
  <c r="H39" i="76"/>
  <c r="G39" i="76"/>
  <c r="F39" i="76"/>
  <c r="E39" i="76"/>
  <c r="D39" i="76"/>
  <c r="C39" i="76"/>
  <c r="B38" i="76"/>
  <c r="B37" i="76"/>
  <c r="B39" i="76" s="1"/>
  <c r="L36" i="76"/>
  <c r="K36" i="76"/>
  <c r="J36" i="76"/>
  <c r="I36" i="76"/>
  <c r="H36" i="76"/>
  <c r="G36" i="76"/>
  <c r="F36" i="76"/>
  <c r="E36" i="76"/>
  <c r="D36" i="76"/>
  <c r="C36" i="76"/>
  <c r="B35" i="76"/>
  <c r="B34" i="76"/>
  <c r="B36" i="76" s="1"/>
  <c r="L33" i="76"/>
  <c r="K33" i="76"/>
  <c r="J33" i="76"/>
  <c r="I33" i="76"/>
  <c r="H33" i="76"/>
  <c r="G33" i="76"/>
  <c r="F33" i="76"/>
  <c r="E33" i="76"/>
  <c r="D33" i="76"/>
  <c r="C33" i="76"/>
  <c r="B32" i="76"/>
  <c r="B31" i="76"/>
  <c r="B33" i="76" s="1"/>
  <c r="L30" i="76"/>
  <c r="K30" i="76"/>
  <c r="J30" i="76"/>
  <c r="I30" i="76"/>
  <c r="H30" i="76"/>
  <c r="G30" i="76"/>
  <c r="F30" i="76"/>
  <c r="E30" i="76"/>
  <c r="D30" i="76"/>
  <c r="C30" i="76"/>
  <c r="B29" i="76"/>
  <c r="B28" i="76"/>
  <c r="B30" i="76" s="1"/>
  <c r="L27" i="76"/>
  <c r="K27" i="76"/>
  <c r="J27" i="76"/>
  <c r="I27" i="76"/>
  <c r="H27" i="76"/>
  <c r="G27" i="76"/>
  <c r="F27" i="76"/>
  <c r="E27" i="76"/>
  <c r="D27" i="76"/>
  <c r="C27" i="76"/>
  <c r="B26" i="76"/>
  <c r="B25" i="76"/>
  <c r="B27" i="76" s="1"/>
  <c r="L24" i="76"/>
  <c r="K24" i="76"/>
  <c r="J24" i="76"/>
  <c r="I24" i="76"/>
  <c r="H24" i="76"/>
  <c r="G24" i="76"/>
  <c r="F24" i="76"/>
  <c r="E24" i="76"/>
  <c r="D24" i="76"/>
  <c r="C24" i="76"/>
  <c r="B23" i="76"/>
  <c r="B22" i="76"/>
  <c r="B24" i="76" s="1"/>
  <c r="L21" i="76"/>
  <c r="K21" i="76"/>
  <c r="J21" i="76"/>
  <c r="I21" i="76"/>
  <c r="H21" i="76"/>
  <c r="G21" i="76"/>
  <c r="F21" i="76"/>
  <c r="E21" i="76"/>
  <c r="D21" i="76"/>
  <c r="C21" i="76"/>
  <c r="B20" i="76"/>
  <c r="B19" i="76"/>
  <c r="B21" i="76" s="1"/>
  <c r="L18" i="76"/>
  <c r="K18" i="76"/>
  <c r="J18" i="76"/>
  <c r="I18" i="76"/>
  <c r="H18" i="76"/>
  <c r="G18" i="76"/>
  <c r="F18" i="76"/>
  <c r="E18" i="76"/>
  <c r="D18" i="76"/>
  <c r="C18" i="76"/>
  <c r="B17" i="76"/>
  <c r="B16" i="76"/>
  <c r="B18" i="76" s="1"/>
  <c r="L15" i="76"/>
  <c r="K15" i="76"/>
  <c r="J15" i="76"/>
  <c r="I15" i="76"/>
  <c r="H15" i="76"/>
  <c r="G15" i="76"/>
  <c r="F15" i="76"/>
  <c r="E15" i="76"/>
  <c r="D15" i="76"/>
  <c r="C15" i="76"/>
  <c r="B14" i="76"/>
  <c r="B13" i="76"/>
  <c r="B15" i="76" s="1"/>
  <c r="L12" i="76"/>
  <c r="K12" i="76"/>
  <c r="J12" i="76"/>
  <c r="I12" i="76"/>
  <c r="H12" i="76"/>
  <c r="G12" i="76"/>
  <c r="F12" i="76"/>
  <c r="E12" i="76"/>
  <c r="D12" i="76"/>
  <c r="C12" i="76"/>
  <c r="B11" i="76"/>
  <c r="B10" i="76"/>
  <c r="B12" i="76" s="1"/>
  <c r="L9" i="76"/>
  <c r="K9" i="76"/>
  <c r="J9" i="76"/>
  <c r="I9" i="76"/>
  <c r="H9" i="76"/>
  <c r="G9" i="76"/>
  <c r="F9" i="76"/>
  <c r="E9" i="76"/>
  <c r="D9" i="76"/>
  <c r="C9" i="76"/>
  <c r="B8" i="76"/>
  <c r="B7" i="76"/>
  <c r="B9" i="76" s="1"/>
  <c r="L6" i="76"/>
  <c r="L48" i="76" s="1"/>
  <c r="K6" i="76"/>
  <c r="K48" i="76" s="1"/>
  <c r="J6" i="76"/>
  <c r="J48" i="76" s="1"/>
  <c r="I6" i="76"/>
  <c r="I48" i="76" s="1"/>
  <c r="H6" i="76"/>
  <c r="H48" i="76" s="1"/>
  <c r="G6" i="76"/>
  <c r="G48" i="76" s="1"/>
  <c r="F6" i="76"/>
  <c r="F48" i="76" s="1"/>
  <c r="E6" i="76"/>
  <c r="E48" i="76" s="1"/>
  <c r="D6" i="76"/>
  <c r="D48" i="76" s="1"/>
  <c r="C6" i="76"/>
  <c r="C48" i="76" s="1"/>
  <c r="B5" i="76"/>
  <c r="B47" i="76" s="1"/>
  <c r="B4" i="76"/>
  <c r="B46" i="76" s="1"/>
  <c r="L56" i="75"/>
  <c r="K56" i="75"/>
  <c r="J56" i="75"/>
  <c r="I56" i="75"/>
  <c r="H56" i="75"/>
  <c r="G56" i="75"/>
  <c r="F56" i="75"/>
  <c r="E56" i="75"/>
  <c r="D56" i="75"/>
  <c r="C56" i="75"/>
  <c r="L55" i="75"/>
  <c r="K55" i="75"/>
  <c r="J55" i="75"/>
  <c r="I55" i="75"/>
  <c r="H55" i="75"/>
  <c r="G55" i="75"/>
  <c r="F55" i="75"/>
  <c r="E55" i="75"/>
  <c r="D55" i="75"/>
  <c r="C55" i="75"/>
  <c r="L54" i="75"/>
  <c r="K54" i="75"/>
  <c r="J54" i="75"/>
  <c r="I54" i="75"/>
  <c r="H54" i="75"/>
  <c r="G54" i="75"/>
  <c r="F54" i="75"/>
  <c r="E54" i="75"/>
  <c r="D54" i="75"/>
  <c r="C54" i="75"/>
  <c r="B53" i="75"/>
  <c r="B52" i="75"/>
  <c r="B54" i="75" s="1"/>
  <c r="L51" i="75"/>
  <c r="K51" i="75"/>
  <c r="J51" i="75"/>
  <c r="I51" i="75"/>
  <c r="H51" i="75"/>
  <c r="G51" i="75"/>
  <c r="F51" i="75"/>
  <c r="E51" i="75"/>
  <c r="D51" i="75"/>
  <c r="C51" i="75"/>
  <c r="B50" i="75"/>
  <c r="B49" i="75"/>
  <c r="B51" i="75" s="1"/>
  <c r="L48" i="75"/>
  <c r="K48" i="75"/>
  <c r="J48" i="75"/>
  <c r="I48" i="75"/>
  <c r="H48" i="75"/>
  <c r="G48" i="75"/>
  <c r="F48" i="75"/>
  <c r="E48" i="75"/>
  <c r="D48" i="75"/>
  <c r="C48" i="75"/>
  <c r="B47" i="75"/>
  <c r="B46" i="75"/>
  <c r="B48" i="75" s="1"/>
  <c r="L45" i="75"/>
  <c r="K45" i="75"/>
  <c r="J45" i="75"/>
  <c r="I45" i="75"/>
  <c r="H45" i="75"/>
  <c r="G45" i="75"/>
  <c r="F45" i="75"/>
  <c r="E45" i="75"/>
  <c r="D45" i="75"/>
  <c r="C45" i="75"/>
  <c r="B44" i="75"/>
  <c r="B43" i="75"/>
  <c r="B45" i="75" s="1"/>
  <c r="L42" i="75"/>
  <c r="K42" i="75"/>
  <c r="J42" i="75"/>
  <c r="I42" i="75"/>
  <c r="H42" i="75"/>
  <c r="G42" i="75"/>
  <c r="F42" i="75"/>
  <c r="E42" i="75"/>
  <c r="D42" i="75"/>
  <c r="C42" i="75"/>
  <c r="B41" i="75"/>
  <c r="B40" i="75"/>
  <c r="B42" i="75" s="1"/>
  <c r="L39" i="75"/>
  <c r="K39" i="75"/>
  <c r="J39" i="75"/>
  <c r="I39" i="75"/>
  <c r="H39" i="75"/>
  <c r="G39" i="75"/>
  <c r="F39" i="75"/>
  <c r="E39" i="75"/>
  <c r="D39" i="75"/>
  <c r="C39" i="75"/>
  <c r="B38" i="75"/>
  <c r="B37" i="75"/>
  <c r="B39" i="75" s="1"/>
  <c r="L36" i="75"/>
  <c r="K36" i="75"/>
  <c r="J36" i="75"/>
  <c r="I36" i="75"/>
  <c r="H36" i="75"/>
  <c r="G36" i="75"/>
  <c r="F36" i="75"/>
  <c r="E36" i="75"/>
  <c r="D36" i="75"/>
  <c r="C36" i="75"/>
  <c r="B35" i="75"/>
  <c r="B34" i="75"/>
  <c r="B36" i="75" s="1"/>
  <c r="L33" i="75"/>
  <c r="K33" i="75"/>
  <c r="J33" i="75"/>
  <c r="I33" i="75"/>
  <c r="H33" i="75"/>
  <c r="G33" i="75"/>
  <c r="F33" i="75"/>
  <c r="E33" i="75"/>
  <c r="D33" i="75"/>
  <c r="C33" i="75"/>
  <c r="B32" i="75"/>
  <c r="B31" i="75"/>
  <c r="B33" i="75" s="1"/>
  <c r="L30" i="75"/>
  <c r="K30" i="75"/>
  <c r="J30" i="75"/>
  <c r="I30" i="75"/>
  <c r="H30" i="75"/>
  <c r="G30" i="75"/>
  <c r="F30" i="75"/>
  <c r="E30" i="75"/>
  <c r="D30" i="75"/>
  <c r="C30" i="75"/>
  <c r="B29" i="75"/>
  <c r="B28" i="75"/>
  <c r="B30" i="75" s="1"/>
  <c r="L27" i="75"/>
  <c r="K27" i="75"/>
  <c r="J27" i="75"/>
  <c r="I27" i="75"/>
  <c r="H27" i="75"/>
  <c r="G27" i="75"/>
  <c r="F27" i="75"/>
  <c r="E27" i="75"/>
  <c r="D27" i="75"/>
  <c r="C27" i="75"/>
  <c r="B26" i="75"/>
  <c r="B25" i="75"/>
  <c r="B27" i="75" s="1"/>
  <c r="L24" i="75"/>
  <c r="K24" i="75"/>
  <c r="J24" i="75"/>
  <c r="I24" i="75"/>
  <c r="H24" i="75"/>
  <c r="G24" i="75"/>
  <c r="F24" i="75"/>
  <c r="E24" i="75"/>
  <c r="D24" i="75"/>
  <c r="C24" i="75"/>
  <c r="B23" i="75"/>
  <c r="B22" i="75"/>
  <c r="B24" i="75" s="1"/>
  <c r="L21" i="75"/>
  <c r="K21" i="75"/>
  <c r="J21" i="75"/>
  <c r="I21" i="75"/>
  <c r="H21" i="75"/>
  <c r="G21" i="75"/>
  <c r="F21" i="75"/>
  <c r="E21" i="75"/>
  <c r="D21" i="75"/>
  <c r="C21" i="75"/>
  <c r="B20" i="75"/>
  <c r="B19" i="75"/>
  <c r="B21" i="75" s="1"/>
  <c r="L18" i="75"/>
  <c r="K18" i="75"/>
  <c r="J18" i="75"/>
  <c r="I18" i="75"/>
  <c r="H18" i="75"/>
  <c r="G18" i="75"/>
  <c r="F18" i="75"/>
  <c r="E18" i="75"/>
  <c r="D18" i="75"/>
  <c r="C18" i="75"/>
  <c r="B17" i="75"/>
  <c r="B16" i="75"/>
  <c r="B18" i="75" s="1"/>
  <c r="L15" i="75"/>
  <c r="K15" i="75"/>
  <c r="J15" i="75"/>
  <c r="I15" i="75"/>
  <c r="H15" i="75"/>
  <c r="G15" i="75"/>
  <c r="F15" i="75"/>
  <c r="E15" i="75"/>
  <c r="D15" i="75"/>
  <c r="C15" i="75"/>
  <c r="B14" i="75"/>
  <c r="B13" i="75"/>
  <c r="B15" i="75" s="1"/>
  <c r="L12" i="75"/>
  <c r="K12" i="75"/>
  <c r="J12" i="75"/>
  <c r="I12" i="75"/>
  <c r="H12" i="75"/>
  <c r="G12" i="75"/>
  <c r="F12" i="75"/>
  <c r="E12" i="75"/>
  <c r="D12" i="75"/>
  <c r="C12" i="75"/>
  <c r="B11" i="75"/>
  <c r="B10" i="75"/>
  <c r="B12" i="75" s="1"/>
  <c r="L9" i="75"/>
  <c r="K9" i="75"/>
  <c r="J9" i="75"/>
  <c r="I9" i="75"/>
  <c r="H9" i="75"/>
  <c r="G9" i="75"/>
  <c r="F9" i="75"/>
  <c r="E9" i="75"/>
  <c r="D9" i="75"/>
  <c r="C9" i="75"/>
  <c r="B8" i="75"/>
  <c r="B7" i="75"/>
  <c r="B9" i="75" s="1"/>
  <c r="L6" i="75"/>
  <c r="L57" i="75" s="1"/>
  <c r="K6" i="75"/>
  <c r="K57" i="75" s="1"/>
  <c r="J6" i="75"/>
  <c r="J57" i="75" s="1"/>
  <c r="I6" i="75"/>
  <c r="I57" i="75" s="1"/>
  <c r="H6" i="75"/>
  <c r="H57" i="75" s="1"/>
  <c r="G6" i="75"/>
  <c r="G57" i="75" s="1"/>
  <c r="F6" i="75"/>
  <c r="F57" i="75" s="1"/>
  <c r="E6" i="75"/>
  <c r="E57" i="75" s="1"/>
  <c r="D6" i="75"/>
  <c r="D57" i="75" s="1"/>
  <c r="C6" i="75"/>
  <c r="C57" i="75" s="1"/>
  <c r="B5" i="75"/>
  <c r="B56" i="75" s="1"/>
  <c r="B4" i="75"/>
  <c r="B55" i="75" s="1"/>
  <c r="L56" i="74"/>
  <c r="K56" i="74"/>
  <c r="J56" i="74"/>
  <c r="I56" i="74"/>
  <c r="H56" i="74"/>
  <c r="G56" i="74"/>
  <c r="F56" i="74"/>
  <c r="E56" i="74"/>
  <c r="D56" i="74"/>
  <c r="C56" i="74"/>
  <c r="L55" i="74"/>
  <c r="K55" i="74"/>
  <c r="J55" i="74"/>
  <c r="I55" i="74"/>
  <c r="H55" i="74"/>
  <c r="G55" i="74"/>
  <c r="F55" i="74"/>
  <c r="E55" i="74"/>
  <c r="D55" i="74"/>
  <c r="C55" i="74"/>
  <c r="L54" i="74"/>
  <c r="K54" i="74"/>
  <c r="J54" i="74"/>
  <c r="I54" i="74"/>
  <c r="H54" i="74"/>
  <c r="G54" i="74"/>
  <c r="F54" i="74"/>
  <c r="E54" i="74"/>
  <c r="D54" i="74"/>
  <c r="C54" i="74"/>
  <c r="B53" i="74"/>
  <c r="B52" i="74"/>
  <c r="B54" i="74" s="1"/>
  <c r="L51" i="74"/>
  <c r="K51" i="74"/>
  <c r="J51" i="74"/>
  <c r="I51" i="74"/>
  <c r="H51" i="74"/>
  <c r="G51" i="74"/>
  <c r="F51" i="74"/>
  <c r="E51" i="74"/>
  <c r="D51" i="74"/>
  <c r="C51" i="74"/>
  <c r="B50" i="74"/>
  <c r="B49" i="74"/>
  <c r="B51" i="74" s="1"/>
  <c r="L48" i="74"/>
  <c r="K48" i="74"/>
  <c r="J48" i="74"/>
  <c r="I48" i="74"/>
  <c r="H48" i="74"/>
  <c r="G48" i="74"/>
  <c r="F48" i="74"/>
  <c r="E48" i="74"/>
  <c r="D48" i="74"/>
  <c r="C48" i="74"/>
  <c r="B47" i="74"/>
  <c r="B46" i="74"/>
  <c r="B48" i="74" s="1"/>
  <c r="L45" i="74"/>
  <c r="K45" i="74"/>
  <c r="J45" i="74"/>
  <c r="I45" i="74"/>
  <c r="H45" i="74"/>
  <c r="G45" i="74"/>
  <c r="F45" i="74"/>
  <c r="E45" i="74"/>
  <c r="D45" i="74"/>
  <c r="C45" i="74"/>
  <c r="B44" i="74"/>
  <c r="B43" i="74"/>
  <c r="B45" i="74" s="1"/>
  <c r="L42" i="74"/>
  <c r="K42" i="74"/>
  <c r="J42" i="74"/>
  <c r="I42" i="74"/>
  <c r="H42" i="74"/>
  <c r="G42" i="74"/>
  <c r="F42" i="74"/>
  <c r="E42" i="74"/>
  <c r="D42" i="74"/>
  <c r="C42" i="74"/>
  <c r="B41" i="74"/>
  <c r="B40" i="74"/>
  <c r="B42" i="74" s="1"/>
  <c r="L39" i="74"/>
  <c r="K39" i="74"/>
  <c r="J39" i="74"/>
  <c r="I39" i="74"/>
  <c r="H39" i="74"/>
  <c r="G39" i="74"/>
  <c r="F39" i="74"/>
  <c r="E39" i="74"/>
  <c r="D39" i="74"/>
  <c r="C39" i="74"/>
  <c r="B38" i="74"/>
  <c r="B37" i="74"/>
  <c r="B39" i="74" s="1"/>
  <c r="L36" i="74"/>
  <c r="K36" i="74"/>
  <c r="J36" i="74"/>
  <c r="I36" i="74"/>
  <c r="H36" i="74"/>
  <c r="G36" i="74"/>
  <c r="F36" i="74"/>
  <c r="E36" i="74"/>
  <c r="D36" i="74"/>
  <c r="C36" i="74"/>
  <c r="B35" i="74"/>
  <c r="B34" i="74"/>
  <c r="B36" i="74" s="1"/>
  <c r="L33" i="74"/>
  <c r="K33" i="74"/>
  <c r="J33" i="74"/>
  <c r="I33" i="74"/>
  <c r="H33" i="74"/>
  <c r="G33" i="74"/>
  <c r="F33" i="74"/>
  <c r="E33" i="74"/>
  <c r="D33" i="74"/>
  <c r="C33" i="74"/>
  <c r="B32" i="74"/>
  <c r="B31" i="74"/>
  <c r="B33" i="74" s="1"/>
  <c r="L30" i="74"/>
  <c r="K30" i="74"/>
  <c r="J30" i="74"/>
  <c r="I30" i="74"/>
  <c r="H30" i="74"/>
  <c r="G30" i="74"/>
  <c r="F30" i="74"/>
  <c r="E30" i="74"/>
  <c r="D30" i="74"/>
  <c r="C30" i="74"/>
  <c r="B29" i="74"/>
  <c r="B28" i="74"/>
  <c r="B30" i="74" s="1"/>
  <c r="L27" i="74"/>
  <c r="K27" i="74"/>
  <c r="J27" i="74"/>
  <c r="I27" i="74"/>
  <c r="H27" i="74"/>
  <c r="G27" i="74"/>
  <c r="F27" i="74"/>
  <c r="E27" i="74"/>
  <c r="D27" i="74"/>
  <c r="C27" i="74"/>
  <c r="B26" i="74"/>
  <c r="B25" i="74"/>
  <c r="B27" i="74" s="1"/>
  <c r="L24" i="74"/>
  <c r="K24" i="74"/>
  <c r="J24" i="74"/>
  <c r="I24" i="74"/>
  <c r="H24" i="74"/>
  <c r="G24" i="74"/>
  <c r="F24" i="74"/>
  <c r="E24" i="74"/>
  <c r="D24" i="74"/>
  <c r="C24" i="74"/>
  <c r="B23" i="74"/>
  <c r="B22" i="74"/>
  <c r="B24" i="74" s="1"/>
  <c r="L21" i="74"/>
  <c r="K21" i="74"/>
  <c r="J21" i="74"/>
  <c r="I21" i="74"/>
  <c r="H21" i="74"/>
  <c r="G21" i="74"/>
  <c r="F21" i="74"/>
  <c r="E21" i="74"/>
  <c r="D21" i="74"/>
  <c r="C21" i="74"/>
  <c r="B20" i="74"/>
  <c r="B19" i="74"/>
  <c r="B21" i="74" s="1"/>
  <c r="L18" i="74"/>
  <c r="K18" i="74"/>
  <c r="J18" i="74"/>
  <c r="I18" i="74"/>
  <c r="H18" i="74"/>
  <c r="G18" i="74"/>
  <c r="F18" i="74"/>
  <c r="E18" i="74"/>
  <c r="D18" i="74"/>
  <c r="C18" i="74"/>
  <c r="B17" i="74"/>
  <c r="B16" i="74"/>
  <c r="B18" i="74" s="1"/>
  <c r="L15" i="74"/>
  <c r="K15" i="74"/>
  <c r="J15" i="74"/>
  <c r="I15" i="74"/>
  <c r="H15" i="74"/>
  <c r="G15" i="74"/>
  <c r="F15" i="74"/>
  <c r="E15" i="74"/>
  <c r="D15" i="74"/>
  <c r="C15" i="74"/>
  <c r="B14" i="74"/>
  <c r="B13" i="74"/>
  <c r="B15" i="74" s="1"/>
  <c r="L12" i="74"/>
  <c r="K12" i="74"/>
  <c r="J12" i="74"/>
  <c r="I12" i="74"/>
  <c r="H12" i="74"/>
  <c r="G12" i="74"/>
  <c r="F12" i="74"/>
  <c r="E12" i="74"/>
  <c r="D12" i="74"/>
  <c r="C12" i="74"/>
  <c r="B11" i="74"/>
  <c r="B10" i="74"/>
  <c r="B12" i="74" s="1"/>
  <c r="L9" i="74"/>
  <c r="K9" i="74"/>
  <c r="J9" i="74"/>
  <c r="I9" i="74"/>
  <c r="H9" i="74"/>
  <c r="G9" i="74"/>
  <c r="F9" i="74"/>
  <c r="E9" i="74"/>
  <c r="D9" i="74"/>
  <c r="C9" i="74"/>
  <c r="B8" i="74"/>
  <c r="B7" i="74"/>
  <c r="B9" i="74" s="1"/>
  <c r="L6" i="74"/>
  <c r="L57" i="74" s="1"/>
  <c r="K6" i="74"/>
  <c r="K57" i="74" s="1"/>
  <c r="J6" i="74"/>
  <c r="J57" i="74" s="1"/>
  <c r="I6" i="74"/>
  <c r="I57" i="74" s="1"/>
  <c r="H6" i="74"/>
  <c r="H57" i="74" s="1"/>
  <c r="G6" i="74"/>
  <c r="G57" i="74" s="1"/>
  <c r="F6" i="74"/>
  <c r="F57" i="74" s="1"/>
  <c r="E6" i="74"/>
  <c r="E57" i="74" s="1"/>
  <c r="D6" i="74"/>
  <c r="D57" i="74" s="1"/>
  <c r="C6" i="74"/>
  <c r="C57" i="74" s="1"/>
  <c r="B5" i="74"/>
  <c r="B56" i="74" s="1"/>
  <c r="B4" i="74"/>
  <c r="B55" i="74" s="1"/>
  <c r="I48" i="73"/>
  <c r="H48" i="73"/>
  <c r="G48" i="73"/>
  <c r="F48" i="73"/>
  <c r="E48" i="73"/>
  <c r="D48" i="73"/>
  <c r="C48" i="73"/>
  <c r="I47" i="73"/>
  <c r="H47" i="73"/>
  <c r="G47" i="73"/>
  <c r="F47" i="73"/>
  <c r="E47" i="73"/>
  <c r="D47" i="73"/>
  <c r="C47" i="73"/>
  <c r="I46" i="73"/>
  <c r="H46" i="73"/>
  <c r="G46" i="73"/>
  <c r="F46" i="73"/>
  <c r="E46" i="73"/>
  <c r="D46" i="73"/>
  <c r="C46" i="73"/>
  <c r="B45" i="73"/>
  <c r="B44" i="73"/>
  <c r="I43" i="73"/>
  <c r="H43" i="73"/>
  <c r="G43" i="73"/>
  <c r="F43" i="73"/>
  <c r="E43" i="73"/>
  <c r="D43" i="73"/>
  <c r="C43" i="73"/>
  <c r="B42" i="73"/>
  <c r="B41" i="73"/>
  <c r="B43" i="73" s="1"/>
  <c r="I40" i="73"/>
  <c r="H40" i="73"/>
  <c r="G40" i="73"/>
  <c r="F40" i="73"/>
  <c r="E40" i="73"/>
  <c r="D40" i="73"/>
  <c r="C40" i="73"/>
  <c r="B39" i="73"/>
  <c r="B38" i="73"/>
  <c r="I37" i="73"/>
  <c r="H37" i="73"/>
  <c r="G37" i="73"/>
  <c r="F37" i="73"/>
  <c r="E37" i="73"/>
  <c r="D37" i="73"/>
  <c r="C37" i="73"/>
  <c r="B36" i="73"/>
  <c r="B35" i="73"/>
  <c r="B37" i="73" s="1"/>
  <c r="I34" i="73"/>
  <c r="H34" i="73"/>
  <c r="G34" i="73"/>
  <c r="F34" i="73"/>
  <c r="E34" i="73"/>
  <c r="D34" i="73"/>
  <c r="C34" i="73"/>
  <c r="B33" i="73"/>
  <c r="B32" i="73"/>
  <c r="I31" i="73"/>
  <c r="H31" i="73"/>
  <c r="G31" i="73"/>
  <c r="F31" i="73"/>
  <c r="E31" i="73"/>
  <c r="D31" i="73"/>
  <c r="C31" i="73"/>
  <c r="B30" i="73"/>
  <c r="B29" i="73"/>
  <c r="B31" i="73" s="1"/>
  <c r="I28" i="73"/>
  <c r="H28" i="73"/>
  <c r="G28" i="73"/>
  <c r="F28" i="73"/>
  <c r="E28" i="73"/>
  <c r="D28" i="73"/>
  <c r="C28" i="73"/>
  <c r="B27" i="73"/>
  <c r="B26" i="73"/>
  <c r="I25" i="73"/>
  <c r="H25" i="73"/>
  <c r="G25" i="73"/>
  <c r="F25" i="73"/>
  <c r="E25" i="73"/>
  <c r="D25" i="73"/>
  <c r="C25" i="73"/>
  <c r="B24" i="73"/>
  <c r="B23" i="73"/>
  <c r="B25" i="73" s="1"/>
  <c r="I22" i="73"/>
  <c r="H22" i="73"/>
  <c r="G22" i="73"/>
  <c r="F22" i="73"/>
  <c r="E22" i="73"/>
  <c r="D22" i="73"/>
  <c r="C22" i="73"/>
  <c r="B21" i="73"/>
  <c r="B20" i="73"/>
  <c r="I19" i="73"/>
  <c r="H19" i="73"/>
  <c r="G19" i="73"/>
  <c r="F19" i="73"/>
  <c r="E19" i="73"/>
  <c r="D19" i="73"/>
  <c r="C19" i="73"/>
  <c r="B18" i="73"/>
  <c r="B17" i="73"/>
  <c r="B19" i="73" s="1"/>
  <c r="I16" i="73"/>
  <c r="H16" i="73"/>
  <c r="G16" i="73"/>
  <c r="F16" i="73"/>
  <c r="E16" i="73"/>
  <c r="D16" i="73"/>
  <c r="C16" i="73"/>
  <c r="B15" i="73"/>
  <c r="B14" i="73"/>
  <c r="I13" i="73"/>
  <c r="H13" i="73"/>
  <c r="G13" i="73"/>
  <c r="F13" i="73"/>
  <c r="E13" i="73"/>
  <c r="D13" i="73"/>
  <c r="C13" i="73"/>
  <c r="B12" i="73"/>
  <c r="B11" i="73"/>
  <c r="B13" i="73" s="1"/>
  <c r="I10" i="73"/>
  <c r="H10" i="73"/>
  <c r="G10" i="73"/>
  <c r="F10" i="73"/>
  <c r="E10" i="73"/>
  <c r="D10" i="73"/>
  <c r="C10" i="73"/>
  <c r="B9" i="73"/>
  <c r="B8" i="73"/>
  <c r="I7" i="73"/>
  <c r="I49" i="73" s="1"/>
  <c r="H7" i="73"/>
  <c r="G7" i="73"/>
  <c r="G49" i="73" s="1"/>
  <c r="F7" i="73"/>
  <c r="E7" i="73"/>
  <c r="E49" i="73" s="1"/>
  <c r="D7" i="73"/>
  <c r="C7" i="73"/>
  <c r="C49" i="73" s="1"/>
  <c r="B6" i="73"/>
  <c r="B5" i="73"/>
  <c r="B47" i="73" s="1"/>
  <c r="I81" i="72"/>
  <c r="H81" i="72"/>
  <c r="G81" i="72"/>
  <c r="F81" i="72"/>
  <c r="E81" i="72"/>
  <c r="D81" i="72"/>
  <c r="C81" i="72"/>
  <c r="I80" i="72"/>
  <c r="H80" i="72"/>
  <c r="G80" i="72"/>
  <c r="F80" i="72"/>
  <c r="E80" i="72"/>
  <c r="D80" i="72"/>
  <c r="C80" i="72"/>
  <c r="I79" i="72"/>
  <c r="H79" i="72"/>
  <c r="G79" i="72"/>
  <c r="F79" i="72"/>
  <c r="E79" i="72"/>
  <c r="D79" i="72"/>
  <c r="C79" i="72"/>
  <c r="B78" i="72"/>
  <c r="B77" i="72"/>
  <c r="I76" i="72"/>
  <c r="H76" i="72"/>
  <c r="G76" i="72"/>
  <c r="F76" i="72"/>
  <c r="E76" i="72"/>
  <c r="D76" i="72"/>
  <c r="C76" i="72"/>
  <c r="B75" i="72"/>
  <c r="B74" i="72"/>
  <c r="B76" i="72" s="1"/>
  <c r="I73" i="72"/>
  <c r="H73" i="72"/>
  <c r="G73" i="72"/>
  <c r="F73" i="72"/>
  <c r="E73" i="72"/>
  <c r="D73" i="72"/>
  <c r="C73" i="72"/>
  <c r="B72" i="72"/>
  <c r="B71" i="72"/>
  <c r="I70" i="72"/>
  <c r="H70" i="72"/>
  <c r="G70" i="72"/>
  <c r="F70" i="72"/>
  <c r="E70" i="72"/>
  <c r="D70" i="72"/>
  <c r="C70" i="72"/>
  <c r="B69" i="72"/>
  <c r="B68" i="72"/>
  <c r="B70" i="72" s="1"/>
  <c r="I67" i="72"/>
  <c r="H67" i="72"/>
  <c r="G67" i="72"/>
  <c r="F67" i="72"/>
  <c r="E67" i="72"/>
  <c r="D67" i="72"/>
  <c r="C67" i="72"/>
  <c r="B66" i="72"/>
  <c r="B65" i="72"/>
  <c r="I64" i="72"/>
  <c r="H64" i="72"/>
  <c r="G64" i="72"/>
  <c r="F64" i="72"/>
  <c r="E64" i="72"/>
  <c r="D64" i="72"/>
  <c r="C64" i="72"/>
  <c r="B63" i="72"/>
  <c r="B62" i="72"/>
  <c r="B64" i="72" s="1"/>
  <c r="I61" i="72"/>
  <c r="H61" i="72"/>
  <c r="G61" i="72"/>
  <c r="F61" i="72"/>
  <c r="E61" i="72"/>
  <c r="D61" i="72"/>
  <c r="C61" i="72"/>
  <c r="B60" i="72"/>
  <c r="B59" i="72"/>
  <c r="I58" i="72"/>
  <c r="H58" i="72"/>
  <c r="G58" i="72"/>
  <c r="F58" i="72"/>
  <c r="E58" i="72"/>
  <c r="D58" i="72"/>
  <c r="C58" i="72"/>
  <c r="B57" i="72"/>
  <c r="B56" i="72"/>
  <c r="B58" i="72" s="1"/>
  <c r="I55" i="72"/>
  <c r="H55" i="72"/>
  <c r="G55" i="72"/>
  <c r="F55" i="72"/>
  <c r="E55" i="72"/>
  <c r="D55" i="72"/>
  <c r="C55" i="72"/>
  <c r="B54" i="72"/>
  <c r="B53" i="72"/>
  <c r="I52" i="72"/>
  <c r="H52" i="72"/>
  <c r="G52" i="72"/>
  <c r="F52" i="72"/>
  <c r="E52" i="72"/>
  <c r="D52" i="72"/>
  <c r="C52" i="72"/>
  <c r="B51" i="72"/>
  <c r="B50" i="72"/>
  <c r="B52" i="72" s="1"/>
  <c r="I49" i="72"/>
  <c r="H49" i="72"/>
  <c r="G49" i="72"/>
  <c r="F49" i="72"/>
  <c r="E49" i="72"/>
  <c r="D49" i="72"/>
  <c r="C49" i="72"/>
  <c r="B48" i="72"/>
  <c r="B47" i="72"/>
  <c r="I46" i="72"/>
  <c r="H46" i="72"/>
  <c r="G46" i="72"/>
  <c r="F46" i="72"/>
  <c r="E46" i="72"/>
  <c r="D46" i="72"/>
  <c r="C46" i="72"/>
  <c r="B45" i="72"/>
  <c r="B44" i="72"/>
  <c r="B46" i="72" s="1"/>
  <c r="I43" i="72"/>
  <c r="H43" i="72"/>
  <c r="G43" i="72"/>
  <c r="F43" i="72"/>
  <c r="E43" i="72"/>
  <c r="D43" i="72"/>
  <c r="C43" i="72"/>
  <c r="B42" i="72"/>
  <c r="B41" i="72"/>
  <c r="I40" i="72"/>
  <c r="H40" i="72"/>
  <c r="G40" i="72"/>
  <c r="F40" i="72"/>
  <c r="E40" i="72"/>
  <c r="D40" i="72"/>
  <c r="C40" i="72"/>
  <c r="B39" i="72"/>
  <c r="B38" i="72"/>
  <c r="B40" i="72" s="1"/>
  <c r="I37" i="72"/>
  <c r="H37" i="72"/>
  <c r="G37" i="72"/>
  <c r="F37" i="72"/>
  <c r="E37" i="72"/>
  <c r="D37" i="72"/>
  <c r="C37" i="72"/>
  <c r="B36" i="72"/>
  <c r="B35" i="72"/>
  <c r="I34" i="72"/>
  <c r="H34" i="72"/>
  <c r="G34" i="72"/>
  <c r="F34" i="72"/>
  <c r="E34" i="72"/>
  <c r="D34" i="72"/>
  <c r="C34" i="72"/>
  <c r="B33" i="72"/>
  <c r="B32" i="72"/>
  <c r="B34" i="72" s="1"/>
  <c r="I31" i="72"/>
  <c r="H31" i="72"/>
  <c r="G31" i="72"/>
  <c r="F31" i="72"/>
  <c r="E31" i="72"/>
  <c r="D31" i="72"/>
  <c r="C31" i="72"/>
  <c r="B30" i="72"/>
  <c r="B29" i="72"/>
  <c r="I28" i="72"/>
  <c r="H28" i="72"/>
  <c r="G28" i="72"/>
  <c r="F28" i="72"/>
  <c r="E28" i="72"/>
  <c r="D28" i="72"/>
  <c r="C28" i="72"/>
  <c r="B27" i="72"/>
  <c r="B26" i="72"/>
  <c r="B28" i="72" s="1"/>
  <c r="I25" i="72"/>
  <c r="H25" i="72"/>
  <c r="G25" i="72"/>
  <c r="F25" i="72"/>
  <c r="E25" i="72"/>
  <c r="D25" i="72"/>
  <c r="C25" i="72"/>
  <c r="B24" i="72"/>
  <c r="B23" i="72"/>
  <c r="I22" i="72"/>
  <c r="H22" i="72"/>
  <c r="G22" i="72"/>
  <c r="F22" i="72"/>
  <c r="E22" i="72"/>
  <c r="D22" i="72"/>
  <c r="C22" i="72"/>
  <c r="B21" i="72"/>
  <c r="B20" i="72"/>
  <c r="B22" i="72" s="1"/>
  <c r="I19" i="72"/>
  <c r="H19" i="72"/>
  <c r="G19" i="72"/>
  <c r="F19" i="72"/>
  <c r="E19" i="72"/>
  <c r="D19" i="72"/>
  <c r="C19" i="72"/>
  <c r="B18" i="72"/>
  <c r="B17" i="72"/>
  <c r="I16" i="72"/>
  <c r="H16" i="72"/>
  <c r="G16" i="72"/>
  <c r="F16" i="72"/>
  <c r="E16" i="72"/>
  <c r="D16" i="72"/>
  <c r="C16" i="72"/>
  <c r="B15" i="72"/>
  <c r="B14" i="72"/>
  <c r="B16" i="72" s="1"/>
  <c r="I13" i="72"/>
  <c r="H13" i="72"/>
  <c r="G13" i="72"/>
  <c r="F13" i="72"/>
  <c r="E13" i="72"/>
  <c r="D13" i="72"/>
  <c r="C13" i="72"/>
  <c r="B12" i="72"/>
  <c r="B11" i="72"/>
  <c r="I10" i="72"/>
  <c r="H10" i="72"/>
  <c r="G10" i="72"/>
  <c r="F10" i="72"/>
  <c r="E10" i="72"/>
  <c r="D10" i="72"/>
  <c r="C10" i="72"/>
  <c r="B9" i="72"/>
  <c r="B8" i="72"/>
  <c r="B10" i="72" s="1"/>
  <c r="I7" i="72"/>
  <c r="H7" i="72"/>
  <c r="H82" i="72" s="1"/>
  <c r="G7" i="72"/>
  <c r="F7" i="72"/>
  <c r="F82" i="72" s="1"/>
  <c r="E7" i="72"/>
  <c r="D7" i="72"/>
  <c r="D82" i="72" s="1"/>
  <c r="C7" i="72"/>
  <c r="B6" i="72"/>
  <c r="B81" i="72" s="1"/>
  <c r="B5" i="72"/>
  <c r="I81" i="71"/>
  <c r="H81" i="71"/>
  <c r="G81" i="71"/>
  <c r="F81" i="71"/>
  <c r="E81" i="71"/>
  <c r="D81" i="71"/>
  <c r="C81" i="71"/>
  <c r="I80" i="71"/>
  <c r="H80" i="71"/>
  <c r="G80" i="71"/>
  <c r="F80" i="71"/>
  <c r="E80" i="71"/>
  <c r="D80" i="71"/>
  <c r="C80" i="71"/>
  <c r="I79" i="71"/>
  <c r="H79" i="71"/>
  <c r="G79" i="71"/>
  <c r="F79" i="71"/>
  <c r="E79" i="71"/>
  <c r="D79" i="71"/>
  <c r="C79" i="71"/>
  <c r="B78" i="71"/>
  <c r="B77" i="71"/>
  <c r="B79" i="71" s="1"/>
  <c r="I76" i="71"/>
  <c r="H76" i="71"/>
  <c r="G76" i="71"/>
  <c r="F76" i="71"/>
  <c r="E76" i="71"/>
  <c r="D76" i="71"/>
  <c r="C76" i="71"/>
  <c r="B75" i="71"/>
  <c r="B74" i="71"/>
  <c r="I73" i="71"/>
  <c r="H73" i="71"/>
  <c r="G73" i="71"/>
  <c r="F73" i="71"/>
  <c r="E73" i="71"/>
  <c r="D73" i="71"/>
  <c r="C73" i="71"/>
  <c r="B72" i="71"/>
  <c r="B71" i="71"/>
  <c r="B73" i="71" s="1"/>
  <c r="I70" i="71"/>
  <c r="H70" i="71"/>
  <c r="G70" i="71"/>
  <c r="F70" i="71"/>
  <c r="E70" i="71"/>
  <c r="D70" i="71"/>
  <c r="C70" i="71"/>
  <c r="B69" i="71"/>
  <c r="B68" i="71"/>
  <c r="I67" i="71"/>
  <c r="H67" i="71"/>
  <c r="G67" i="71"/>
  <c r="F67" i="71"/>
  <c r="E67" i="71"/>
  <c r="D67" i="71"/>
  <c r="C67" i="71"/>
  <c r="B66" i="71"/>
  <c r="B65" i="71"/>
  <c r="B67" i="71" s="1"/>
  <c r="I64" i="71"/>
  <c r="H64" i="71"/>
  <c r="G64" i="71"/>
  <c r="F64" i="71"/>
  <c r="E64" i="71"/>
  <c r="D64" i="71"/>
  <c r="C64" i="71"/>
  <c r="B63" i="71"/>
  <c r="B62" i="71"/>
  <c r="I61" i="71"/>
  <c r="H61" i="71"/>
  <c r="G61" i="71"/>
  <c r="F61" i="71"/>
  <c r="E61" i="71"/>
  <c r="D61" i="71"/>
  <c r="C61" i="71"/>
  <c r="B60" i="71"/>
  <c r="B59" i="71"/>
  <c r="B61" i="71" s="1"/>
  <c r="I58" i="71"/>
  <c r="H58" i="71"/>
  <c r="G58" i="71"/>
  <c r="F58" i="71"/>
  <c r="E58" i="71"/>
  <c r="D58" i="71"/>
  <c r="C58" i="71"/>
  <c r="B57" i="71"/>
  <c r="B56" i="71"/>
  <c r="I55" i="71"/>
  <c r="H55" i="71"/>
  <c r="G55" i="71"/>
  <c r="F55" i="71"/>
  <c r="E55" i="71"/>
  <c r="D55" i="71"/>
  <c r="C55" i="71"/>
  <c r="B54" i="71"/>
  <c r="B53" i="71"/>
  <c r="B55" i="71" s="1"/>
  <c r="I52" i="71"/>
  <c r="H52" i="71"/>
  <c r="G52" i="71"/>
  <c r="F52" i="71"/>
  <c r="E52" i="71"/>
  <c r="D52" i="71"/>
  <c r="C52" i="71"/>
  <c r="B51" i="71"/>
  <c r="B50" i="71"/>
  <c r="I49" i="71"/>
  <c r="H49" i="71"/>
  <c r="G49" i="71"/>
  <c r="F49" i="71"/>
  <c r="E49" i="71"/>
  <c r="D49" i="71"/>
  <c r="C49" i="71"/>
  <c r="B48" i="71"/>
  <c r="B47" i="71"/>
  <c r="B49" i="71" s="1"/>
  <c r="I46" i="71"/>
  <c r="H46" i="71"/>
  <c r="G46" i="71"/>
  <c r="F46" i="71"/>
  <c r="E46" i="71"/>
  <c r="D46" i="71"/>
  <c r="C46" i="71"/>
  <c r="B45" i="71"/>
  <c r="B44" i="71"/>
  <c r="I43" i="71"/>
  <c r="H43" i="71"/>
  <c r="G43" i="71"/>
  <c r="F43" i="71"/>
  <c r="E43" i="71"/>
  <c r="D43" i="71"/>
  <c r="C43" i="71"/>
  <c r="B42" i="71"/>
  <c r="B41" i="71"/>
  <c r="B43" i="71" s="1"/>
  <c r="I40" i="71"/>
  <c r="H40" i="71"/>
  <c r="G40" i="71"/>
  <c r="F40" i="71"/>
  <c r="E40" i="71"/>
  <c r="D40" i="71"/>
  <c r="C40" i="71"/>
  <c r="B39" i="71"/>
  <c r="B38" i="71"/>
  <c r="I37" i="71"/>
  <c r="H37" i="71"/>
  <c r="G37" i="71"/>
  <c r="F37" i="71"/>
  <c r="E37" i="71"/>
  <c r="D37" i="71"/>
  <c r="C37" i="71"/>
  <c r="B36" i="71"/>
  <c r="B35" i="71"/>
  <c r="B37" i="71" s="1"/>
  <c r="I34" i="71"/>
  <c r="H34" i="71"/>
  <c r="G34" i="71"/>
  <c r="F34" i="71"/>
  <c r="E34" i="71"/>
  <c r="D34" i="71"/>
  <c r="C34" i="71"/>
  <c r="B33" i="71"/>
  <c r="B32" i="71"/>
  <c r="I31" i="71"/>
  <c r="H31" i="71"/>
  <c r="G31" i="71"/>
  <c r="F31" i="71"/>
  <c r="E31" i="71"/>
  <c r="D31" i="71"/>
  <c r="C31" i="71"/>
  <c r="B30" i="71"/>
  <c r="B29" i="71"/>
  <c r="B31" i="71" s="1"/>
  <c r="I28" i="71"/>
  <c r="H28" i="71"/>
  <c r="G28" i="71"/>
  <c r="F28" i="71"/>
  <c r="E28" i="71"/>
  <c r="D28" i="71"/>
  <c r="C28" i="71"/>
  <c r="B27" i="71"/>
  <c r="B26" i="71"/>
  <c r="I25" i="71"/>
  <c r="H25" i="71"/>
  <c r="G25" i="71"/>
  <c r="F25" i="71"/>
  <c r="E25" i="71"/>
  <c r="D25" i="71"/>
  <c r="C25" i="71"/>
  <c r="B24" i="71"/>
  <c r="B23" i="71"/>
  <c r="B25" i="71" s="1"/>
  <c r="I22" i="71"/>
  <c r="H22" i="71"/>
  <c r="G22" i="71"/>
  <c r="F22" i="71"/>
  <c r="E22" i="71"/>
  <c r="D22" i="71"/>
  <c r="C22" i="71"/>
  <c r="B21" i="71"/>
  <c r="B20" i="71"/>
  <c r="I19" i="71"/>
  <c r="H19" i="71"/>
  <c r="G19" i="71"/>
  <c r="F19" i="71"/>
  <c r="E19" i="71"/>
  <c r="D19" i="71"/>
  <c r="C19" i="71"/>
  <c r="B18" i="71"/>
  <c r="B17" i="71"/>
  <c r="B19" i="71" s="1"/>
  <c r="I16" i="71"/>
  <c r="H16" i="71"/>
  <c r="G16" i="71"/>
  <c r="F16" i="71"/>
  <c r="E16" i="71"/>
  <c r="D16" i="71"/>
  <c r="C16" i="71"/>
  <c r="B15" i="71"/>
  <c r="B14" i="71"/>
  <c r="I13" i="71"/>
  <c r="H13" i="71"/>
  <c r="G13" i="71"/>
  <c r="F13" i="71"/>
  <c r="E13" i="71"/>
  <c r="D13" i="71"/>
  <c r="C13" i="71"/>
  <c r="B12" i="71"/>
  <c r="B11" i="71"/>
  <c r="B13" i="71" s="1"/>
  <c r="I10" i="71"/>
  <c r="H10" i="71"/>
  <c r="G10" i="71"/>
  <c r="F10" i="71"/>
  <c r="E10" i="71"/>
  <c r="D10" i="71"/>
  <c r="C10" i="71"/>
  <c r="B9" i="71"/>
  <c r="B8" i="71"/>
  <c r="I7" i="71"/>
  <c r="I82" i="71" s="1"/>
  <c r="H7" i="71"/>
  <c r="G7" i="71"/>
  <c r="G82" i="71" s="1"/>
  <c r="F7" i="71"/>
  <c r="E7" i="71"/>
  <c r="E82" i="71" s="1"/>
  <c r="D7" i="71"/>
  <c r="C7" i="71"/>
  <c r="C82" i="71" s="1"/>
  <c r="B6" i="71"/>
  <c r="B5" i="71"/>
  <c r="B80" i="71" s="1"/>
  <c r="I36" i="70"/>
  <c r="H36" i="70"/>
  <c r="G36" i="70"/>
  <c r="F36" i="70"/>
  <c r="E36" i="70"/>
  <c r="D36" i="70"/>
  <c r="C36" i="70"/>
  <c r="I35" i="70"/>
  <c r="H35" i="70"/>
  <c r="G35" i="70"/>
  <c r="F35" i="70"/>
  <c r="E35" i="70"/>
  <c r="D35" i="70"/>
  <c r="C35" i="70"/>
  <c r="I34" i="70"/>
  <c r="H34" i="70"/>
  <c r="G34" i="70"/>
  <c r="F34" i="70"/>
  <c r="E34" i="70"/>
  <c r="D34" i="70"/>
  <c r="C34" i="70"/>
  <c r="B33" i="70"/>
  <c r="B32" i="70"/>
  <c r="I31" i="70"/>
  <c r="H31" i="70"/>
  <c r="G31" i="70"/>
  <c r="F31" i="70"/>
  <c r="E31" i="70"/>
  <c r="D31" i="70"/>
  <c r="C31" i="70"/>
  <c r="B30" i="70"/>
  <c r="B29" i="70"/>
  <c r="B31" i="70" s="1"/>
  <c r="I28" i="70"/>
  <c r="H28" i="70"/>
  <c r="G28" i="70"/>
  <c r="F28" i="70"/>
  <c r="E28" i="70"/>
  <c r="D28" i="70"/>
  <c r="C28" i="70"/>
  <c r="B27" i="70"/>
  <c r="B26" i="70"/>
  <c r="I25" i="70"/>
  <c r="H25" i="70"/>
  <c r="G25" i="70"/>
  <c r="F25" i="70"/>
  <c r="E25" i="70"/>
  <c r="D25" i="70"/>
  <c r="C25" i="70"/>
  <c r="B24" i="70"/>
  <c r="B23" i="70"/>
  <c r="B25" i="70" s="1"/>
  <c r="I22" i="70"/>
  <c r="H22" i="70"/>
  <c r="G22" i="70"/>
  <c r="F22" i="70"/>
  <c r="E22" i="70"/>
  <c r="D22" i="70"/>
  <c r="C22" i="70"/>
  <c r="B21" i="70"/>
  <c r="B20" i="70"/>
  <c r="I19" i="70"/>
  <c r="H19" i="70"/>
  <c r="G19" i="70"/>
  <c r="F19" i="70"/>
  <c r="E19" i="70"/>
  <c r="D19" i="70"/>
  <c r="C19" i="70"/>
  <c r="B18" i="70"/>
  <c r="B17" i="70"/>
  <c r="B19" i="70" s="1"/>
  <c r="I16" i="70"/>
  <c r="H16" i="70"/>
  <c r="G16" i="70"/>
  <c r="F16" i="70"/>
  <c r="E16" i="70"/>
  <c r="D16" i="70"/>
  <c r="C16" i="70"/>
  <c r="B15" i="70"/>
  <c r="B14" i="70"/>
  <c r="I13" i="70"/>
  <c r="H13" i="70"/>
  <c r="G13" i="70"/>
  <c r="F13" i="70"/>
  <c r="E13" i="70"/>
  <c r="D13" i="70"/>
  <c r="C13" i="70"/>
  <c r="B12" i="70"/>
  <c r="B11" i="70"/>
  <c r="B13" i="70" s="1"/>
  <c r="I10" i="70"/>
  <c r="H10" i="70"/>
  <c r="G10" i="70"/>
  <c r="F10" i="70"/>
  <c r="E10" i="70"/>
  <c r="D10" i="70"/>
  <c r="C10" i="70"/>
  <c r="B9" i="70"/>
  <c r="B8" i="70"/>
  <c r="I7" i="70"/>
  <c r="I37" i="70" s="1"/>
  <c r="H7" i="70"/>
  <c r="G7" i="70"/>
  <c r="G37" i="70" s="1"/>
  <c r="F7" i="70"/>
  <c r="E7" i="70"/>
  <c r="E37" i="70" s="1"/>
  <c r="D7" i="70"/>
  <c r="C7" i="70"/>
  <c r="C37" i="70" s="1"/>
  <c r="B6" i="70"/>
  <c r="B5" i="70"/>
  <c r="B35" i="70" s="1"/>
  <c r="I36" i="69"/>
  <c r="H36" i="69"/>
  <c r="G36" i="69"/>
  <c r="F36" i="69"/>
  <c r="E36" i="69"/>
  <c r="D36" i="69"/>
  <c r="C36" i="69"/>
  <c r="I35" i="69"/>
  <c r="H35" i="69"/>
  <c r="G35" i="69"/>
  <c r="F35" i="69"/>
  <c r="E35" i="69"/>
  <c r="D35" i="69"/>
  <c r="C35" i="69"/>
  <c r="I34" i="69"/>
  <c r="H34" i="69"/>
  <c r="G34" i="69"/>
  <c r="F34" i="69"/>
  <c r="E34" i="69"/>
  <c r="D34" i="69"/>
  <c r="C34" i="69"/>
  <c r="B33" i="69"/>
  <c r="B32" i="69"/>
  <c r="I31" i="69"/>
  <c r="H31" i="69"/>
  <c r="G31" i="69"/>
  <c r="F31" i="69"/>
  <c r="E31" i="69"/>
  <c r="D31" i="69"/>
  <c r="C31" i="69"/>
  <c r="B30" i="69"/>
  <c r="B29" i="69"/>
  <c r="B31" i="69" s="1"/>
  <c r="I28" i="69"/>
  <c r="H28" i="69"/>
  <c r="G28" i="69"/>
  <c r="F28" i="69"/>
  <c r="E28" i="69"/>
  <c r="D28" i="69"/>
  <c r="C28" i="69"/>
  <c r="B27" i="69"/>
  <c r="B26" i="69"/>
  <c r="I25" i="69"/>
  <c r="H25" i="69"/>
  <c r="G25" i="69"/>
  <c r="F25" i="69"/>
  <c r="E25" i="69"/>
  <c r="D25" i="69"/>
  <c r="C25" i="69"/>
  <c r="B24" i="69"/>
  <c r="B23" i="69"/>
  <c r="B25" i="69" s="1"/>
  <c r="I22" i="69"/>
  <c r="H22" i="69"/>
  <c r="G22" i="69"/>
  <c r="F22" i="69"/>
  <c r="E22" i="69"/>
  <c r="D22" i="69"/>
  <c r="C22" i="69"/>
  <c r="B21" i="69"/>
  <c r="B20" i="69"/>
  <c r="I19" i="69"/>
  <c r="H19" i="69"/>
  <c r="G19" i="69"/>
  <c r="F19" i="69"/>
  <c r="E19" i="69"/>
  <c r="D19" i="69"/>
  <c r="C19" i="69"/>
  <c r="B18" i="69"/>
  <c r="B17" i="69"/>
  <c r="B19" i="69" s="1"/>
  <c r="I16" i="69"/>
  <c r="H16" i="69"/>
  <c r="G16" i="69"/>
  <c r="F16" i="69"/>
  <c r="E16" i="69"/>
  <c r="D16" i="69"/>
  <c r="C16" i="69"/>
  <c r="B15" i="69"/>
  <c r="B14" i="69"/>
  <c r="I13" i="69"/>
  <c r="H13" i="69"/>
  <c r="G13" i="69"/>
  <c r="F13" i="69"/>
  <c r="E13" i="69"/>
  <c r="D13" i="69"/>
  <c r="C13" i="69"/>
  <c r="B12" i="69"/>
  <c r="B11" i="69"/>
  <c r="B13" i="69" s="1"/>
  <c r="I10" i="69"/>
  <c r="H10" i="69"/>
  <c r="G10" i="69"/>
  <c r="F10" i="69"/>
  <c r="E10" i="69"/>
  <c r="D10" i="69"/>
  <c r="C10" i="69"/>
  <c r="B9" i="69"/>
  <c r="B8" i="69"/>
  <c r="I7" i="69"/>
  <c r="I37" i="69" s="1"/>
  <c r="H7" i="69"/>
  <c r="G7" i="69"/>
  <c r="G37" i="69" s="1"/>
  <c r="F7" i="69"/>
  <c r="E7" i="69"/>
  <c r="E37" i="69" s="1"/>
  <c r="D7" i="69"/>
  <c r="C7" i="69"/>
  <c r="C37" i="69" s="1"/>
  <c r="B6" i="69"/>
  <c r="B5" i="69"/>
  <c r="B35" i="69" s="1"/>
  <c r="I36" i="68"/>
  <c r="H36" i="68"/>
  <c r="G36" i="68"/>
  <c r="F36" i="68"/>
  <c r="E36" i="68"/>
  <c r="D36" i="68"/>
  <c r="C36" i="68"/>
  <c r="I35" i="68"/>
  <c r="H35" i="68"/>
  <c r="G35" i="68"/>
  <c r="F35" i="68"/>
  <c r="E35" i="68"/>
  <c r="D35" i="68"/>
  <c r="C35" i="68"/>
  <c r="I34" i="68"/>
  <c r="H34" i="68"/>
  <c r="G34" i="68"/>
  <c r="F34" i="68"/>
  <c r="E34" i="68"/>
  <c r="D34" i="68"/>
  <c r="C34" i="68"/>
  <c r="B33" i="68"/>
  <c r="B32" i="68"/>
  <c r="I31" i="68"/>
  <c r="H31" i="68"/>
  <c r="G31" i="68"/>
  <c r="F31" i="68"/>
  <c r="E31" i="68"/>
  <c r="D31" i="68"/>
  <c r="C31" i="68"/>
  <c r="B30" i="68"/>
  <c r="B29" i="68"/>
  <c r="B31" i="68" s="1"/>
  <c r="I28" i="68"/>
  <c r="H28" i="68"/>
  <c r="G28" i="68"/>
  <c r="F28" i="68"/>
  <c r="E28" i="68"/>
  <c r="D28" i="68"/>
  <c r="C28" i="68"/>
  <c r="B27" i="68"/>
  <c r="B26" i="68"/>
  <c r="I25" i="68"/>
  <c r="H25" i="68"/>
  <c r="G25" i="68"/>
  <c r="F25" i="68"/>
  <c r="E25" i="68"/>
  <c r="D25" i="68"/>
  <c r="C25" i="68"/>
  <c r="B24" i="68"/>
  <c r="B23" i="68"/>
  <c r="B25" i="68" s="1"/>
  <c r="I22" i="68"/>
  <c r="H22" i="68"/>
  <c r="G22" i="68"/>
  <c r="F22" i="68"/>
  <c r="E22" i="68"/>
  <c r="D22" i="68"/>
  <c r="C22" i="68"/>
  <c r="B21" i="68"/>
  <c r="B20" i="68"/>
  <c r="I19" i="68"/>
  <c r="H19" i="68"/>
  <c r="G19" i="68"/>
  <c r="F19" i="68"/>
  <c r="E19" i="68"/>
  <c r="D19" i="68"/>
  <c r="C19" i="68"/>
  <c r="B18" i="68"/>
  <c r="B17" i="68"/>
  <c r="B19" i="68" s="1"/>
  <c r="I16" i="68"/>
  <c r="H16" i="68"/>
  <c r="G16" i="68"/>
  <c r="F16" i="68"/>
  <c r="E16" i="68"/>
  <c r="D16" i="68"/>
  <c r="C16" i="68"/>
  <c r="B15" i="68"/>
  <c r="B14" i="68"/>
  <c r="I13" i="68"/>
  <c r="H13" i="68"/>
  <c r="G13" i="68"/>
  <c r="F13" i="68"/>
  <c r="E13" i="68"/>
  <c r="D13" i="68"/>
  <c r="C13" i="68"/>
  <c r="B12" i="68"/>
  <c r="B11" i="68"/>
  <c r="B13" i="68" s="1"/>
  <c r="I10" i="68"/>
  <c r="H10" i="68"/>
  <c r="G10" i="68"/>
  <c r="F10" i="68"/>
  <c r="E10" i="68"/>
  <c r="D10" i="68"/>
  <c r="C10" i="68"/>
  <c r="B9" i="68"/>
  <c r="B8" i="68"/>
  <c r="I7" i="68"/>
  <c r="I37" i="68" s="1"/>
  <c r="H7" i="68"/>
  <c r="G7" i="68"/>
  <c r="G37" i="68" s="1"/>
  <c r="F7" i="68"/>
  <c r="E7" i="68"/>
  <c r="E37" i="68" s="1"/>
  <c r="D7" i="68"/>
  <c r="C7" i="68"/>
  <c r="C37" i="68" s="1"/>
  <c r="B6" i="68"/>
  <c r="B5" i="68"/>
  <c r="B35" i="68" s="1"/>
  <c r="B36" i="68" l="1"/>
  <c r="D37" i="68"/>
  <c r="F37" i="68"/>
  <c r="H37" i="68"/>
  <c r="B10" i="68"/>
  <c r="B16" i="68"/>
  <c r="B22" i="68"/>
  <c r="B28" i="68"/>
  <c r="B34" i="68"/>
  <c r="B36" i="69"/>
  <c r="D37" i="69"/>
  <c r="F37" i="69"/>
  <c r="H37" i="69"/>
  <c r="B10" i="69"/>
  <c r="B16" i="69"/>
  <c r="B22" i="69"/>
  <c r="B28" i="69"/>
  <c r="B34" i="69"/>
  <c r="B36" i="70"/>
  <c r="D37" i="70"/>
  <c r="F37" i="70"/>
  <c r="H37" i="70"/>
  <c r="B10" i="70"/>
  <c r="B16" i="70"/>
  <c r="B22" i="70"/>
  <c r="B28" i="70"/>
  <c r="B34" i="70"/>
  <c r="B81" i="71"/>
  <c r="D82" i="71"/>
  <c r="F82" i="71"/>
  <c r="H82" i="71"/>
  <c r="B10" i="71"/>
  <c r="B16" i="71"/>
  <c r="B22" i="71"/>
  <c r="B28" i="71"/>
  <c r="B34" i="71"/>
  <c r="B40" i="71"/>
  <c r="B46" i="71"/>
  <c r="B52" i="71"/>
  <c r="B58" i="71"/>
  <c r="B64" i="71"/>
  <c r="B70" i="71"/>
  <c r="B76" i="71"/>
  <c r="B80" i="72"/>
  <c r="C82" i="72"/>
  <c r="E82" i="72"/>
  <c r="G82" i="72"/>
  <c r="I82" i="72"/>
  <c r="B13" i="72"/>
  <c r="B19" i="72"/>
  <c r="B25" i="72"/>
  <c r="B31" i="72"/>
  <c r="B37" i="72"/>
  <c r="B43" i="72"/>
  <c r="B49" i="72"/>
  <c r="B55" i="72"/>
  <c r="B61" i="72"/>
  <c r="B67" i="72"/>
  <c r="B73" i="72"/>
  <c r="B79" i="72"/>
  <c r="B48" i="73"/>
  <c r="D49" i="73"/>
  <c r="F49" i="73"/>
  <c r="H49" i="73"/>
  <c r="B10" i="73"/>
  <c r="B16" i="73"/>
  <c r="B22" i="73"/>
  <c r="B28" i="73"/>
  <c r="B34" i="73"/>
  <c r="B40" i="73"/>
  <c r="B46" i="73"/>
  <c r="B7" i="68"/>
  <c r="B37" i="68" s="1"/>
  <c r="B7" i="69"/>
  <c r="B37" i="69" s="1"/>
  <c r="B7" i="70"/>
  <c r="B37" i="70" s="1"/>
  <c r="B7" i="71"/>
  <c r="B82" i="71" s="1"/>
  <c r="B7" i="72"/>
  <c r="B82" i="72" s="1"/>
  <c r="B7" i="73"/>
  <c r="B49" i="73" s="1"/>
  <c r="B6" i="74"/>
  <c r="B57" i="74" s="1"/>
  <c r="B6" i="75"/>
  <c r="B57" i="75" s="1"/>
  <c r="B6" i="76"/>
  <c r="B48" i="76" s="1"/>
  <c r="L77" i="67" l="1"/>
  <c r="K77" i="67"/>
  <c r="J77" i="67"/>
  <c r="I77" i="67"/>
  <c r="H77" i="67"/>
  <c r="G77" i="67"/>
  <c r="F77" i="67"/>
  <c r="E77" i="67"/>
  <c r="D77" i="67"/>
  <c r="C77" i="67"/>
  <c r="L76" i="67"/>
  <c r="K76" i="67"/>
  <c r="J76" i="67"/>
  <c r="I76" i="67"/>
  <c r="H76" i="67"/>
  <c r="G76" i="67"/>
  <c r="F76" i="67"/>
  <c r="E76" i="67"/>
  <c r="D76" i="67"/>
  <c r="C76" i="67"/>
  <c r="L75" i="67"/>
  <c r="K75" i="67"/>
  <c r="J75" i="67"/>
  <c r="I75" i="67"/>
  <c r="H75" i="67"/>
  <c r="G75" i="67"/>
  <c r="F75" i="67"/>
  <c r="E75" i="67"/>
  <c r="D75" i="67"/>
  <c r="C75" i="67"/>
  <c r="B74" i="67"/>
  <c r="B73" i="67"/>
  <c r="B75" i="67" s="1"/>
  <c r="L72" i="67"/>
  <c r="K72" i="67"/>
  <c r="J72" i="67"/>
  <c r="I72" i="67"/>
  <c r="H72" i="67"/>
  <c r="G72" i="67"/>
  <c r="F72" i="67"/>
  <c r="E72" i="67"/>
  <c r="D72" i="67"/>
  <c r="C72" i="67"/>
  <c r="B71" i="67"/>
  <c r="B70" i="67"/>
  <c r="B72" i="67" s="1"/>
  <c r="L69" i="67"/>
  <c r="K69" i="67"/>
  <c r="J69" i="67"/>
  <c r="I69" i="67"/>
  <c r="H69" i="67"/>
  <c r="G69" i="67"/>
  <c r="F69" i="67"/>
  <c r="E69" i="67"/>
  <c r="D69" i="67"/>
  <c r="C69" i="67"/>
  <c r="B68" i="67"/>
  <c r="B67" i="67"/>
  <c r="B69" i="67" s="1"/>
  <c r="L66" i="67"/>
  <c r="K66" i="67"/>
  <c r="J66" i="67"/>
  <c r="I66" i="67"/>
  <c r="H66" i="67"/>
  <c r="G66" i="67"/>
  <c r="F66" i="67"/>
  <c r="E66" i="67"/>
  <c r="D66" i="67"/>
  <c r="C66" i="67"/>
  <c r="B65" i="67"/>
  <c r="B64" i="67"/>
  <c r="B66" i="67" s="1"/>
  <c r="L63" i="67"/>
  <c r="K63" i="67"/>
  <c r="J63" i="67"/>
  <c r="I63" i="67"/>
  <c r="H63" i="67"/>
  <c r="G63" i="67"/>
  <c r="F63" i="67"/>
  <c r="E63" i="67"/>
  <c r="D63" i="67"/>
  <c r="C63" i="67"/>
  <c r="B62" i="67"/>
  <c r="B61" i="67"/>
  <c r="B63" i="67" s="1"/>
  <c r="L60" i="67"/>
  <c r="K60" i="67"/>
  <c r="J60" i="67"/>
  <c r="I60" i="67"/>
  <c r="H60" i="67"/>
  <c r="G60" i="67"/>
  <c r="F60" i="67"/>
  <c r="E60" i="67"/>
  <c r="D60" i="67"/>
  <c r="C60" i="67"/>
  <c r="B59" i="67"/>
  <c r="B58" i="67"/>
  <c r="B60" i="67" s="1"/>
  <c r="L57" i="67"/>
  <c r="K57" i="67"/>
  <c r="J57" i="67"/>
  <c r="I57" i="67"/>
  <c r="H57" i="67"/>
  <c r="G57" i="67"/>
  <c r="F57" i="67"/>
  <c r="E57" i="67"/>
  <c r="D57" i="67"/>
  <c r="C57" i="67"/>
  <c r="B56" i="67"/>
  <c r="B55" i="67"/>
  <c r="B57" i="67" s="1"/>
  <c r="L54" i="67"/>
  <c r="K54" i="67"/>
  <c r="J54" i="67"/>
  <c r="I54" i="67"/>
  <c r="H54" i="67"/>
  <c r="G54" i="67"/>
  <c r="F54" i="67"/>
  <c r="E54" i="67"/>
  <c r="D54" i="67"/>
  <c r="C54" i="67"/>
  <c r="B53" i="67"/>
  <c r="B52" i="67"/>
  <c r="B54" i="67" s="1"/>
  <c r="L51" i="67"/>
  <c r="K51" i="67"/>
  <c r="J51" i="67"/>
  <c r="I51" i="67"/>
  <c r="H51" i="67"/>
  <c r="G51" i="67"/>
  <c r="F51" i="67"/>
  <c r="E51" i="67"/>
  <c r="D51" i="67"/>
  <c r="C51" i="67"/>
  <c r="B50" i="67"/>
  <c r="B49" i="67"/>
  <c r="B51" i="67" s="1"/>
  <c r="L48" i="67"/>
  <c r="K48" i="67"/>
  <c r="J48" i="67"/>
  <c r="I48" i="67"/>
  <c r="H48" i="67"/>
  <c r="G48" i="67"/>
  <c r="F48" i="67"/>
  <c r="E48" i="67"/>
  <c r="D48" i="67"/>
  <c r="C48" i="67"/>
  <c r="B47" i="67"/>
  <c r="B46" i="67"/>
  <c r="B48" i="67" s="1"/>
  <c r="L45" i="67"/>
  <c r="K45" i="67"/>
  <c r="J45" i="67"/>
  <c r="I45" i="67"/>
  <c r="H45" i="67"/>
  <c r="G45" i="67"/>
  <c r="F45" i="67"/>
  <c r="E45" i="67"/>
  <c r="D45" i="67"/>
  <c r="C45" i="67"/>
  <c r="B44" i="67"/>
  <c r="B43" i="67"/>
  <c r="B45" i="67" s="1"/>
  <c r="L42" i="67"/>
  <c r="K42" i="67"/>
  <c r="J42" i="67"/>
  <c r="I42" i="67"/>
  <c r="H42" i="67"/>
  <c r="G42" i="67"/>
  <c r="F42" i="67"/>
  <c r="E42" i="67"/>
  <c r="D42" i="67"/>
  <c r="C42" i="67"/>
  <c r="B41" i="67"/>
  <c r="B40" i="67"/>
  <c r="B42" i="67" s="1"/>
  <c r="L39" i="67"/>
  <c r="K39" i="67"/>
  <c r="J39" i="67"/>
  <c r="I39" i="67"/>
  <c r="H39" i="67"/>
  <c r="G39" i="67"/>
  <c r="F39" i="67"/>
  <c r="E39" i="67"/>
  <c r="D39" i="67"/>
  <c r="C39" i="67"/>
  <c r="B38" i="67"/>
  <c r="B37" i="67"/>
  <c r="B39" i="67" s="1"/>
  <c r="L36" i="67"/>
  <c r="K36" i="67"/>
  <c r="J36" i="67"/>
  <c r="I36" i="67"/>
  <c r="H36" i="67"/>
  <c r="G36" i="67"/>
  <c r="F36" i="67"/>
  <c r="E36" i="67"/>
  <c r="D36" i="67"/>
  <c r="C36" i="67"/>
  <c r="B35" i="67"/>
  <c r="B34" i="67"/>
  <c r="B36" i="67" s="1"/>
  <c r="L33" i="67"/>
  <c r="K33" i="67"/>
  <c r="J33" i="67"/>
  <c r="I33" i="67"/>
  <c r="H33" i="67"/>
  <c r="G33" i="67"/>
  <c r="F33" i="67"/>
  <c r="E33" i="67"/>
  <c r="D33" i="67"/>
  <c r="C33" i="67"/>
  <c r="B32" i="67"/>
  <c r="B31" i="67"/>
  <c r="B33" i="67" s="1"/>
  <c r="L30" i="67"/>
  <c r="K30" i="67"/>
  <c r="J30" i="67"/>
  <c r="I30" i="67"/>
  <c r="H30" i="67"/>
  <c r="G30" i="67"/>
  <c r="F30" i="67"/>
  <c r="E30" i="67"/>
  <c r="D30" i="67"/>
  <c r="C30" i="67"/>
  <c r="B29" i="67"/>
  <c r="B28" i="67"/>
  <c r="B30" i="67" s="1"/>
  <c r="L27" i="67"/>
  <c r="K27" i="67"/>
  <c r="J27" i="67"/>
  <c r="I27" i="67"/>
  <c r="H27" i="67"/>
  <c r="G27" i="67"/>
  <c r="F27" i="67"/>
  <c r="E27" i="67"/>
  <c r="D27" i="67"/>
  <c r="C27" i="67"/>
  <c r="B26" i="67"/>
  <c r="B25" i="67"/>
  <c r="B27" i="67" s="1"/>
  <c r="L24" i="67"/>
  <c r="K24" i="67"/>
  <c r="J24" i="67"/>
  <c r="I24" i="67"/>
  <c r="H24" i="67"/>
  <c r="G24" i="67"/>
  <c r="F24" i="67"/>
  <c r="E24" i="67"/>
  <c r="D24" i="67"/>
  <c r="C24" i="67"/>
  <c r="B23" i="67"/>
  <c r="B22" i="67"/>
  <c r="B24" i="67" s="1"/>
  <c r="L21" i="67"/>
  <c r="K21" i="67"/>
  <c r="J21" i="67"/>
  <c r="I21" i="67"/>
  <c r="H21" i="67"/>
  <c r="G21" i="67"/>
  <c r="F21" i="67"/>
  <c r="E21" i="67"/>
  <c r="D21" i="67"/>
  <c r="C21" i="67"/>
  <c r="B20" i="67"/>
  <c r="B19" i="67"/>
  <c r="B21" i="67" s="1"/>
  <c r="L18" i="67"/>
  <c r="K18" i="67"/>
  <c r="J18" i="67"/>
  <c r="I18" i="67"/>
  <c r="H18" i="67"/>
  <c r="G18" i="67"/>
  <c r="F18" i="67"/>
  <c r="E18" i="67"/>
  <c r="D18" i="67"/>
  <c r="C18" i="67"/>
  <c r="B17" i="67"/>
  <c r="B16" i="67"/>
  <c r="B18" i="67" s="1"/>
  <c r="L15" i="67"/>
  <c r="K15" i="67"/>
  <c r="J15" i="67"/>
  <c r="I15" i="67"/>
  <c r="H15" i="67"/>
  <c r="G15" i="67"/>
  <c r="F15" i="67"/>
  <c r="E15" i="67"/>
  <c r="D15" i="67"/>
  <c r="C15" i="67"/>
  <c r="B14" i="67"/>
  <c r="B13" i="67"/>
  <c r="B15" i="67" s="1"/>
  <c r="L12" i="67"/>
  <c r="K12" i="67"/>
  <c r="J12" i="67"/>
  <c r="I12" i="67"/>
  <c r="H12" i="67"/>
  <c r="G12" i="67"/>
  <c r="F12" i="67"/>
  <c r="E12" i="67"/>
  <c r="D12" i="67"/>
  <c r="C12" i="67"/>
  <c r="B11" i="67"/>
  <c r="B10" i="67"/>
  <c r="B12" i="67" s="1"/>
  <c r="L9" i="67"/>
  <c r="K9" i="67"/>
  <c r="J9" i="67"/>
  <c r="I9" i="67"/>
  <c r="H9" i="67"/>
  <c r="G9" i="67"/>
  <c r="F9" i="67"/>
  <c r="E9" i="67"/>
  <c r="D9" i="67"/>
  <c r="C9" i="67"/>
  <c r="B8" i="67"/>
  <c r="B7" i="67"/>
  <c r="B9" i="67" s="1"/>
  <c r="L6" i="67"/>
  <c r="L78" i="67" s="1"/>
  <c r="K6" i="67"/>
  <c r="K78" i="67" s="1"/>
  <c r="J6" i="67"/>
  <c r="J78" i="67" s="1"/>
  <c r="I6" i="67"/>
  <c r="I78" i="67" s="1"/>
  <c r="H6" i="67"/>
  <c r="H78" i="67" s="1"/>
  <c r="G6" i="67"/>
  <c r="G78" i="67" s="1"/>
  <c r="F6" i="67"/>
  <c r="F78" i="67" s="1"/>
  <c r="E6" i="67"/>
  <c r="E78" i="67" s="1"/>
  <c r="D6" i="67"/>
  <c r="D78" i="67" s="1"/>
  <c r="C6" i="67"/>
  <c r="C78" i="67" s="1"/>
  <c r="B5" i="67"/>
  <c r="B77" i="67" s="1"/>
  <c r="B4" i="67"/>
  <c r="B76" i="67" s="1"/>
  <c r="L77" i="66"/>
  <c r="K77" i="66"/>
  <c r="J77" i="66"/>
  <c r="I77" i="66"/>
  <c r="H77" i="66"/>
  <c r="G77" i="66"/>
  <c r="F77" i="66"/>
  <c r="E77" i="66"/>
  <c r="D77" i="66"/>
  <c r="C77" i="66"/>
  <c r="L76" i="66"/>
  <c r="K76" i="66"/>
  <c r="J76" i="66"/>
  <c r="I76" i="66"/>
  <c r="H76" i="66"/>
  <c r="G76" i="66"/>
  <c r="F76" i="66"/>
  <c r="E76" i="66"/>
  <c r="D76" i="66"/>
  <c r="C76" i="66"/>
  <c r="L75" i="66"/>
  <c r="K75" i="66"/>
  <c r="J75" i="66"/>
  <c r="I75" i="66"/>
  <c r="H75" i="66"/>
  <c r="G75" i="66"/>
  <c r="F75" i="66"/>
  <c r="E75" i="66"/>
  <c r="D75" i="66"/>
  <c r="C75" i="66"/>
  <c r="B74" i="66"/>
  <c r="B73" i="66"/>
  <c r="B75" i="66" s="1"/>
  <c r="L72" i="66"/>
  <c r="K72" i="66"/>
  <c r="J72" i="66"/>
  <c r="I72" i="66"/>
  <c r="H72" i="66"/>
  <c r="G72" i="66"/>
  <c r="F72" i="66"/>
  <c r="E72" i="66"/>
  <c r="D72" i="66"/>
  <c r="C72" i="66"/>
  <c r="B71" i="66"/>
  <c r="B70" i="66"/>
  <c r="B72" i="66" s="1"/>
  <c r="L69" i="66"/>
  <c r="K69" i="66"/>
  <c r="J69" i="66"/>
  <c r="I69" i="66"/>
  <c r="H69" i="66"/>
  <c r="G69" i="66"/>
  <c r="F69" i="66"/>
  <c r="E69" i="66"/>
  <c r="D69" i="66"/>
  <c r="C69" i="66"/>
  <c r="B68" i="66"/>
  <c r="B67" i="66"/>
  <c r="B69" i="66" s="1"/>
  <c r="L66" i="66"/>
  <c r="K66" i="66"/>
  <c r="J66" i="66"/>
  <c r="I66" i="66"/>
  <c r="H66" i="66"/>
  <c r="G66" i="66"/>
  <c r="F66" i="66"/>
  <c r="E66" i="66"/>
  <c r="D66" i="66"/>
  <c r="C66" i="66"/>
  <c r="B65" i="66"/>
  <c r="B64" i="66"/>
  <c r="B66" i="66" s="1"/>
  <c r="L63" i="66"/>
  <c r="K63" i="66"/>
  <c r="J63" i="66"/>
  <c r="I63" i="66"/>
  <c r="H63" i="66"/>
  <c r="G63" i="66"/>
  <c r="F63" i="66"/>
  <c r="E63" i="66"/>
  <c r="D63" i="66"/>
  <c r="C63" i="66"/>
  <c r="B62" i="66"/>
  <c r="B61" i="66"/>
  <c r="B63" i="66" s="1"/>
  <c r="L60" i="66"/>
  <c r="K60" i="66"/>
  <c r="J60" i="66"/>
  <c r="I60" i="66"/>
  <c r="H60" i="66"/>
  <c r="G60" i="66"/>
  <c r="F60" i="66"/>
  <c r="E60" i="66"/>
  <c r="D60" i="66"/>
  <c r="C60" i="66"/>
  <c r="B59" i="66"/>
  <c r="B58" i="66"/>
  <c r="B60" i="66" s="1"/>
  <c r="L57" i="66"/>
  <c r="K57" i="66"/>
  <c r="J57" i="66"/>
  <c r="I57" i="66"/>
  <c r="H57" i="66"/>
  <c r="G57" i="66"/>
  <c r="F57" i="66"/>
  <c r="E57" i="66"/>
  <c r="D57" i="66"/>
  <c r="C57" i="66"/>
  <c r="B56" i="66"/>
  <c r="B55" i="66"/>
  <c r="B57" i="66" s="1"/>
  <c r="L54" i="66"/>
  <c r="K54" i="66"/>
  <c r="J54" i="66"/>
  <c r="I54" i="66"/>
  <c r="H54" i="66"/>
  <c r="G54" i="66"/>
  <c r="F54" i="66"/>
  <c r="E54" i="66"/>
  <c r="D54" i="66"/>
  <c r="C54" i="66"/>
  <c r="B53" i="66"/>
  <c r="B52" i="66"/>
  <c r="B54" i="66" s="1"/>
  <c r="L51" i="66"/>
  <c r="K51" i="66"/>
  <c r="J51" i="66"/>
  <c r="I51" i="66"/>
  <c r="H51" i="66"/>
  <c r="G51" i="66"/>
  <c r="F51" i="66"/>
  <c r="E51" i="66"/>
  <c r="D51" i="66"/>
  <c r="C51" i="66"/>
  <c r="B50" i="66"/>
  <c r="B49" i="66"/>
  <c r="B51" i="66" s="1"/>
  <c r="L48" i="66"/>
  <c r="K48" i="66"/>
  <c r="J48" i="66"/>
  <c r="I48" i="66"/>
  <c r="H48" i="66"/>
  <c r="G48" i="66"/>
  <c r="F48" i="66"/>
  <c r="E48" i="66"/>
  <c r="D48" i="66"/>
  <c r="C48" i="66"/>
  <c r="B47" i="66"/>
  <c r="B46" i="66"/>
  <c r="B48" i="66" s="1"/>
  <c r="L45" i="66"/>
  <c r="K45" i="66"/>
  <c r="J45" i="66"/>
  <c r="I45" i="66"/>
  <c r="H45" i="66"/>
  <c r="G45" i="66"/>
  <c r="F45" i="66"/>
  <c r="E45" i="66"/>
  <c r="D45" i="66"/>
  <c r="C45" i="66"/>
  <c r="B44" i="66"/>
  <c r="B43" i="66"/>
  <c r="B45" i="66" s="1"/>
  <c r="L42" i="66"/>
  <c r="K42" i="66"/>
  <c r="J42" i="66"/>
  <c r="I42" i="66"/>
  <c r="H42" i="66"/>
  <c r="G42" i="66"/>
  <c r="F42" i="66"/>
  <c r="E42" i="66"/>
  <c r="D42" i="66"/>
  <c r="C42" i="66"/>
  <c r="B41" i="66"/>
  <c r="B40" i="66"/>
  <c r="B42" i="66" s="1"/>
  <c r="L39" i="66"/>
  <c r="K39" i="66"/>
  <c r="J39" i="66"/>
  <c r="I39" i="66"/>
  <c r="H39" i="66"/>
  <c r="G39" i="66"/>
  <c r="F39" i="66"/>
  <c r="E39" i="66"/>
  <c r="D39" i="66"/>
  <c r="C39" i="66"/>
  <c r="B38" i="66"/>
  <c r="B37" i="66"/>
  <c r="B39" i="66" s="1"/>
  <c r="L36" i="66"/>
  <c r="K36" i="66"/>
  <c r="J36" i="66"/>
  <c r="I36" i="66"/>
  <c r="H36" i="66"/>
  <c r="G36" i="66"/>
  <c r="F36" i="66"/>
  <c r="E36" i="66"/>
  <c r="D36" i="66"/>
  <c r="C36" i="66"/>
  <c r="B35" i="66"/>
  <c r="B34" i="66"/>
  <c r="B36" i="66" s="1"/>
  <c r="L33" i="66"/>
  <c r="K33" i="66"/>
  <c r="J33" i="66"/>
  <c r="I33" i="66"/>
  <c r="H33" i="66"/>
  <c r="G33" i="66"/>
  <c r="F33" i="66"/>
  <c r="E33" i="66"/>
  <c r="D33" i="66"/>
  <c r="C33" i="66"/>
  <c r="B32" i="66"/>
  <c r="B31" i="66"/>
  <c r="B33" i="66" s="1"/>
  <c r="L30" i="66"/>
  <c r="K30" i="66"/>
  <c r="J30" i="66"/>
  <c r="I30" i="66"/>
  <c r="H30" i="66"/>
  <c r="G30" i="66"/>
  <c r="F30" i="66"/>
  <c r="E30" i="66"/>
  <c r="D30" i="66"/>
  <c r="C30" i="66"/>
  <c r="B29" i="66"/>
  <c r="B28" i="66"/>
  <c r="B30" i="66" s="1"/>
  <c r="L27" i="66"/>
  <c r="K27" i="66"/>
  <c r="J27" i="66"/>
  <c r="I27" i="66"/>
  <c r="H27" i="66"/>
  <c r="G27" i="66"/>
  <c r="F27" i="66"/>
  <c r="E27" i="66"/>
  <c r="D27" i="66"/>
  <c r="C27" i="66"/>
  <c r="B26" i="66"/>
  <c r="B25" i="66"/>
  <c r="B27" i="66" s="1"/>
  <c r="L24" i="66"/>
  <c r="K24" i="66"/>
  <c r="J24" i="66"/>
  <c r="I24" i="66"/>
  <c r="H24" i="66"/>
  <c r="G24" i="66"/>
  <c r="F24" i="66"/>
  <c r="E24" i="66"/>
  <c r="D24" i="66"/>
  <c r="C24" i="66"/>
  <c r="B23" i="66"/>
  <c r="B22" i="66"/>
  <c r="B24" i="66" s="1"/>
  <c r="L21" i="66"/>
  <c r="K21" i="66"/>
  <c r="J21" i="66"/>
  <c r="I21" i="66"/>
  <c r="H21" i="66"/>
  <c r="G21" i="66"/>
  <c r="F21" i="66"/>
  <c r="E21" i="66"/>
  <c r="D21" i="66"/>
  <c r="C21" i="66"/>
  <c r="B20" i="66"/>
  <c r="B19" i="66"/>
  <c r="B21" i="66" s="1"/>
  <c r="L18" i="66"/>
  <c r="K18" i="66"/>
  <c r="J18" i="66"/>
  <c r="I18" i="66"/>
  <c r="H18" i="66"/>
  <c r="G18" i="66"/>
  <c r="F18" i="66"/>
  <c r="E18" i="66"/>
  <c r="D18" i="66"/>
  <c r="C18" i="66"/>
  <c r="B17" i="66"/>
  <c r="B16" i="66"/>
  <c r="B18" i="66" s="1"/>
  <c r="L15" i="66"/>
  <c r="K15" i="66"/>
  <c r="J15" i="66"/>
  <c r="I15" i="66"/>
  <c r="H15" i="66"/>
  <c r="G15" i="66"/>
  <c r="F15" i="66"/>
  <c r="E15" i="66"/>
  <c r="D15" i="66"/>
  <c r="C15" i="66"/>
  <c r="B14" i="66"/>
  <c r="B13" i="66"/>
  <c r="B15" i="66" s="1"/>
  <c r="L12" i="66"/>
  <c r="K12" i="66"/>
  <c r="J12" i="66"/>
  <c r="I12" i="66"/>
  <c r="H12" i="66"/>
  <c r="G12" i="66"/>
  <c r="F12" i="66"/>
  <c r="E12" i="66"/>
  <c r="D12" i="66"/>
  <c r="C12" i="66"/>
  <c r="B11" i="66"/>
  <c r="B10" i="66"/>
  <c r="B12" i="66" s="1"/>
  <c r="L9" i="66"/>
  <c r="K9" i="66"/>
  <c r="J9" i="66"/>
  <c r="I9" i="66"/>
  <c r="H9" i="66"/>
  <c r="G9" i="66"/>
  <c r="F9" i="66"/>
  <c r="E9" i="66"/>
  <c r="D9" i="66"/>
  <c r="C9" i="66"/>
  <c r="B8" i="66"/>
  <c r="B7" i="66"/>
  <c r="B9" i="66" s="1"/>
  <c r="L6" i="66"/>
  <c r="L78" i="66" s="1"/>
  <c r="K6" i="66"/>
  <c r="K78" i="66" s="1"/>
  <c r="J6" i="66"/>
  <c r="J78" i="66" s="1"/>
  <c r="I6" i="66"/>
  <c r="I78" i="66" s="1"/>
  <c r="H6" i="66"/>
  <c r="H78" i="66" s="1"/>
  <c r="G6" i="66"/>
  <c r="G78" i="66" s="1"/>
  <c r="F6" i="66"/>
  <c r="F78" i="66" s="1"/>
  <c r="E6" i="66"/>
  <c r="E78" i="66" s="1"/>
  <c r="D6" i="66"/>
  <c r="D78" i="66" s="1"/>
  <c r="C6" i="66"/>
  <c r="C78" i="66" s="1"/>
  <c r="B5" i="66"/>
  <c r="B77" i="66" s="1"/>
  <c r="B4" i="66"/>
  <c r="B76" i="66" s="1"/>
  <c r="L77" i="65"/>
  <c r="K77" i="65"/>
  <c r="J77" i="65"/>
  <c r="I77" i="65"/>
  <c r="H77" i="65"/>
  <c r="G77" i="65"/>
  <c r="F77" i="65"/>
  <c r="E77" i="65"/>
  <c r="D77" i="65"/>
  <c r="C77" i="65"/>
  <c r="L76" i="65"/>
  <c r="K76" i="65"/>
  <c r="J76" i="65"/>
  <c r="I76" i="65"/>
  <c r="H76" i="65"/>
  <c r="G76" i="65"/>
  <c r="F76" i="65"/>
  <c r="E76" i="65"/>
  <c r="D76" i="65"/>
  <c r="C76" i="65"/>
  <c r="L75" i="65"/>
  <c r="K75" i="65"/>
  <c r="J75" i="65"/>
  <c r="I75" i="65"/>
  <c r="H75" i="65"/>
  <c r="G75" i="65"/>
  <c r="F75" i="65"/>
  <c r="E75" i="65"/>
  <c r="D75" i="65"/>
  <c r="C75" i="65"/>
  <c r="B74" i="65"/>
  <c r="B73" i="65"/>
  <c r="B75" i="65" s="1"/>
  <c r="L72" i="65"/>
  <c r="K72" i="65"/>
  <c r="J72" i="65"/>
  <c r="I72" i="65"/>
  <c r="H72" i="65"/>
  <c r="G72" i="65"/>
  <c r="F72" i="65"/>
  <c r="E72" i="65"/>
  <c r="D72" i="65"/>
  <c r="C72" i="65"/>
  <c r="B71" i="65"/>
  <c r="B70" i="65"/>
  <c r="B72" i="65" s="1"/>
  <c r="L69" i="65"/>
  <c r="K69" i="65"/>
  <c r="J69" i="65"/>
  <c r="I69" i="65"/>
  <c r="H69" i="65"/>
  <c r="G69" i="65"/>
  <c r="F69" i="65"/>
  <c r="E69" i="65"/>
  <c r="D69" i="65"/>
  <c r="C69" i="65"/>
  <c r="B68" i="65"/>
  <c r="B67" i="65"/>
  <c r="B69" i="65" s="1"/>
  <c r="L66" i="65"/>
  <c r="K66" i="65"/>
  <c r="J66" i="65"/>
  <c r="I66" i="65"/>
  <c r="H66" i="65"/>
  <c r="G66" i="65"/>
  <c r="F66" i="65"/>
  <c r="E66" i="65"/>
  <c r="D66" i="65"/>
  <c r="C66" i="65"/>
  <c r="B65" i="65"/>
  <c r="B64" i="65"/>
  <c r="B66" i="65" s="1"/>
  <c r="L63" i="65"/>
  <c r="K63" i="65"/>
  <c r="J63" i="65"/>
  <c r="I63" i="65"/>
  <c r="H63" i="65"/>
  <c r="G63" i="65"/>
  <c r="F63" i="65"/>
  <c r="E63" i="65"/>
  <c r="D63" i="65"/>
  <c r="C63" i="65"/>
  <c r="B62" i="65"/>
  <c r="B61" i="65"/>
  <c r="B63" i="65" s="1"/>
  <c r="L60" i="65"/>
  <c r="K60" i="65"/>
  <c r="J60" i="65"/>
  <c r="I60" i="65"/>
  <c r="H60" i="65"/>
  <c r="G60" i="65"/>
  <c r="F60" i="65"/>
  <c r="E60" i="65"/>
  <c r="D60" i="65"/>
  <c r="C60" i="65"/>
  <c r="B59" i="65"/>
  <c r="B58" i="65"/>
  <c r="B60" i="65" s="1"/>
  <c r="L57" i="65"/>
  <c r="K57" i="65"/>
  <c r="J57" i="65"/>
  <c r="I57" i="65"/>
  <c r="H57" i="65"/>
  <c r="G57" i="65"/>
  <c r="F57" i="65"/>
  <c r="E57" i="65"/>
  <c r="D57" i="65"/>
  <c r="C57" i="65"/>
  <c r="B56" i="65"/>
  <c r="B55" i="65"/>
  <c r="B57" i="65" s="1"/>
  <c r="L54" i="65"/>
  <c r="K54" i="65"/>
  <c r="J54" i="65"/>
  <c r="I54" i="65"/>
  <c r="H54" i="65"/>
  <c r="G54" i="65"/>
  <c r="F54" i="65"/>
  <c r="E54" i="65"/>
  <c r="D54" i="65"/>
  <c r="C54" i="65"/>
  <c r="B53" i="65"/>
  <c r="B52" i="65"/>
  <c r="B54" i="65" s="1"/>
  <c r="L51" i="65"/>
  <c r="K51" i="65"/>
  <c r="J51" i="65"/>
  <c r="I51" i="65"/>
  <c r="H51" i="65"/>
  <c r="G51" i="65"/>
  <c r="F51" i="65"/>
  <c r="E51" i="65"/>
  <c r="D51" i="65"/>
  <c r="C51" i="65"/>
  <c r="B50" i="65"/>
  <c r="B49" i="65"/>
  <c r="B51" i="65" s="1"/>
  <c r="L48" i="65"/>
  <c r="K48" i="65"/>
  <c r="J48" i="65"/>
  <c r="I48" i="65"/>
  <c r="H48" i="65"/>
  <c r="G48" i="65"/>
  <c r="F48" i="65"/>
  <c r="E48" i="65"/>
  <c r="D48" i="65"/>
  <c r="C48" i="65"/>
  <c r="B47" i="65"/>
  <c r="B46" i="65"/>
  <c r="B48" i="65" s="1"/>
  <c r="L45" i="65"/>
  <c r="K45" i="65"/>
  <c r="J45" i="65"/>
  <c r="I45" i="65"/>
  <c r="H45" i="65"/>
  <c r="G45" i="65"/>
  <c r="F45" i="65"/>
  <c r="E45" i="65"/>
  <c r="D45" i="65"/>
  <c r="C45" i="65"/>
  <c r="B44" i="65"/>
  <c r="B43" i="65"/>
  <c r="B45" i="65" s="1"/>
  <c r="L42" i="65"/>
  <c r="K42" i="65"/>
  <c r="J42" i="65"/>
  <c r="I42" i="65"/>
  <c r="H42" i="65"/>
  <c r="G42" i="65"/>
  <c r="F42" i="65"/>
  <c r="E42" i="65"/>
  <c r="D42" i="65"/>
  <c r="C42" i="65"/>
  <c r="B41" i="65"/>
  <c r="B40" i="65"/>
  <c r="B42" i="65" s="1"/>
  <c r="L39" i="65"/>
  <c r="K39" i="65"/>
  <c r="J39" i="65"/>
  <c r="I39" i="65"/>
  <c r="H39" i="65"/>
  <c r="G39" i="65"/>
  <c r="F39" i="65"/>
  <c r="E39" i="65"/>
  <c r="D39" i="65"/>
  <c r="C39" i="65"/>
  <c r="B38" i="65"/>
  <c r="B37" i="65"/>
  <c r="B39" i="65" s="1"/>
  <c r="L36" i="65"/>
  <c r="K36" i="65"/>
  <c r="J36" i="65"/>
  <c r="I36" i="65"/>
  <c r="H36" i="65"/>
  <c r="G36" i="65"/>
  <c r="F36" i="65"/>
  <c r="E36" i="65"/>
  <c r="D36" i="65"/>
  <c r="C36" i="65"/>
  <c r="B35" i="65"/>
  <c r="B34" i="65"/>
  <c r="B36" i="65" s="1"/>
  <c r="L33" i="65"/>
  <c r="K33" i="65"/>
  <c r="J33" i="65"/>
  <c r="I33" i="65"/>
  <c r="H33" i="65"/>
  <c r="G33" i="65"/>
  <c r="F33" i="65"/>
  <c r="E33" i="65"/>
  <c r="D33" i="65"/>
  <c r="C33" i="65"/>
  <c r="B32" i="65"/>
  <c r="B31" i="65"/>
  <c r="B33" i="65" s="1"/>
  <c r="L30" i="65"/>
  <c r="K30" i="65"/>
  <c r="J30" i="65"/>
  <c r="I30" i="65"/>
  <c r="H30" i="65"/>
  <c r="G30" i="65"/>
  <c r="F30" i="65"/>
  <c r="E30" i="65"/>
  <c r="D30" i="65"/>
  <c r="C30" i="65"/>
  <c r="B29" i="65"/>
  <c r="B28" i="65"/>
  <c r="B30" i="65" s="1"/>
  <c r="L27" i="65"/>
  <c r="K27" i="65"/>
  <c r="J27" i="65"/>
  <c r="I27" i="65"/>
  <c r="H27" i="65"/>
  <c r="G27" i="65"/>
  <c r="F27" i="65"/>
  <c r="E27" i="65"/>
  <c r="D27" i="65"/>
  <c r="C27" i="65"/>
  <c r="B26" i="65"/>
  <c r="B25" i="65"/>
  <c r="B27" i="65" s="1"/>
  <c r="L24" i="65"/>
  <c r="K24" i="65"/>
  <c r="J24" i="65"/>
  <c r="I24" i="65"/>
  <c r="H24" i="65"/>
  <c r="G24" i="65"/>
  <c r="F24" i="65"/>
  <c r="E24" i="65"/>
  <c r="D24" i="65"/>
  <c r="C24" i="65"/>
  <c r="B23" i="65"/>
  <c r="B22" i="65"/>
  <c r="B24" i="65" s="1"/>
  <c r="L21" i="65"/>
  <c r="K21" i="65"/>
  <c r="J21" i="65"/>
  <c r="I21" i="65"/>
  <c r="H21" i="65"/>
  <c r="G21" i="65"/>
  <c r="F21" i="65"/>
  <c r="E21" i="65"/>
  <c r="D21" i="65"/>
  <c r="C21" i="65"/>
  <c r="B20" i="65"/>
  <c r="B19" i="65"/>
  <c r="B21" i="65" s="1"/>
  <c r="L18" i="65"/>
  <c r="K18" i="65"/>
  <c r="J18" i="65"/>
  <c r="I18" i="65"/>
  <c r="H18" i="65"/>
  <c r="G18" i="65"/>
  <c r="F18" i="65"/>
  <c r="E18" i="65"/>
  <c r="D18" i="65"/>
  <c r="C18" i="65"/>
  <c r="B17" i="65"/>
  <c r="B16" i="65"/>
  <c r="B18" i="65" s="1"/>
  <c r="L15" i="65"/>
  <c r="K15" i="65"/>
  <c r="J15" i="65"/>
  <c r="I15" i="65"/>
  <c r="H15" i="65"/>
  <c r="G15" i="65"/>
  <c r="F15" i="65"/>
  <c r="E15" i="65"/>
  <c r="D15" i="65"/>
  <c r="C15" i="65"/>
  <c r="B14" i="65"/>
  <c r="B13" i="65"/>
  <c r="B15" i="65" s="1"/>
  <c r="L12" i="65"/>
  <c r="K12" i="65"/>
  <c r="J12" i="65"/>
  <c r="I12" i="65"/>
  <c r="H12" i="65"/>
  <c r="G12" i="65"/>
  <c r="F12" i="65"/>
  <c r="E12" i="65"/>
  <c r="D12" i="65"/>
  <c r="C12" i="65"/>
  <c r="B11" i="65"/>
  <c r="B10" i="65"/>
  <c r="B12" i="65" s="1"/>
  <c r="L9" i="65"/>
  <c r="K9" i="65"/>
  <c r="J9" i="65"/>
  <c r="I9" i="65"/>
  <c r="H9" i="65"/>
  <c r="G9" i="65"/>
  <c r="F9" i="65"/>
  <c r="E9" i="65"/>
  <c r="D9" i="65"/>
  <c r="C9" i="65"/>
  <c r="B8" i="65"/>
  <c r="B7" i="65"/>
  <c r="B9" i="65" s="1"/>
  <c r="L6" i="65"/>
  <c r="L78" i="65" s="1"/>
  <c r="K6" i="65"/>
  <c r="K78" i="65" s="1"/>
  <c r="J6" i="65"/>
  <c r="J78" i="65" s="1"/>
  <c r="I6" i="65"/>
  <c r="I78" i="65" s="1"/>
  <c r="H6" i="65"/>
  <c r="H78" i="65" s="1"/>
  <c r="G6" i="65"/>
  <c r="G78" i="65" s="1"/>
  <c r="F6" i="65"/>
  <c r="F78" i="65" s="1"/>
  <c r="E6" i="65"/>
  <c r="E78" i="65" s="1"/>
  <c r="D6" i="65"/>
  <c r="D78" i="65" s="1"/>
  <c r="C6" i="65"/>
  <c r="C78" i="65" s="1"/>
  <c r="B5" i="65"/>
  <c r="B77" i="65" s="1"/>
  <c r="B4" i="65"/>
  <c r="B76" i="65" s="1"/>
  <c r="I78" i="64"/>
  <c r="H78" i="64"/>
  <c r="G78" i="64"/>
  <c r="F78" i="64"/>
  <c r="E78" i="64"/>
  <c r="D78" i="64"/>
  <c r="C78" i="64"/>
  <c r="I77" i="64"/>
  <c r="H77" i="64"/>
  <c r="G77" i="64"/>
  <c r="F77" i="64"/>
  <c r="E77" i="64"/>
  <c r="D77" i="64"/>
  <c r="C77" i="64"/>
  <c r="I76" i="64"/>
  <c r="H76" i="64"/>
  <c r="G76" i="64"/>
  <c r="F76" i="64"/>
  <c r="E76" i="64"/>
  <c r="D76" i="64"/>
  <c r="C76" i="64"/>
  <c r="B75" i="64"/>
  <c r="B74" i="64"/>
  <c r="I73" i="64"/>
  <c r="H73" i="64"/>
  <c r="G73" i="64"/>
  <c r="F73" i="64"/>
  <c r="E73" i="64"/>
  <c r="D73" i="64"/>
  <c r="C73" i="64"/>
  <c r="B72" i="64"/>
  <c r="B71" i="64"/>
  <c r="B73" i="64" s="1"/>
  <c r="I70" i="64"/>
  <c r="H70" i="64"/>
  <c r="G70" i="64"/>
  <c r="F70" i="64"/>
  <c r="E70" i="64"/>
  <c r="D70" i="64"/>
  <c r="C70" i="64"/>
  <c r="B69" i="64"/>
  <c r="B68" i="64"/>
  <c r="I67" i="64"/>
  <c r="H67" i="64"/>
  <c r="G67" i="64"/>
  <c r="F67" i="64"/>
  <c r="E67" i="64"/>
  <c r="D67" i="64"/>
  <c r="C67" i="64"/>
  <c r="B66" i="64"/>
  <c r="B65" i="64"/>
  <c r="B67" i="64" s="1"/>
  <c r="I64" i="64"/>
  <c r="H64" i="64"/>
  <c r="G64" i="64"/>
  <c r="F64" i="64"/>
  <c r="E64" i="64"/>
  <c r="D64" i="64"/>
  <c r="C64" i="64"/>
  <c r="B63" i="64"/>
  <c r="B62" i="64"/>
  <c r="I61" i="64"/>
  <c r="H61" i="64"/>
  <c r="G61" i="64"/>
  <c r="F61" i="64"/>
  <c r="E61" i="64"/>
  <c r="D61" i="64"/>
  <c r="C61" i="64"/>
  <c r="B60" i="64"/>
  <c r="B59" i="64"/>
  <c r="B61" i="64" s="1"/>
  <c r="I58" i="64"/>
  <c r="H58" i="64"/>
  <c r="G58" i="64"/>
  <c r="F58" i="64"/>
  <c r="E58" i="64"/>
  <c r="D58" i="64"/>
  <c r="C58" i="64"/>
  <c r="B57" i="64"/>
  <c r="B56" i="64"/>
  <c r="I55" i="64"/>
  <c r="H55" i="64"/>
  <c r="G55" i="64"/>
  <c r="F55" i="64"/>
  <c r="E55" i="64"/>
  <c r="D55" i="64"/>
  <c r="C55" i="64"/>
  <c r="B54" i="64"/>
  <c r="B53" i="64"/>
  <c r="B55" i="64" s="1"/>
  <c r="I52" i="64"/>
  <c r="H52" i="64"/>
  <c r="G52" i="64"/>
  <c r="F52" i="64"/>
  <c r="E52" i="64"/>
  <c r="D52" i="64"/>
  <c r="C52" i="64"/>
  <c r="B51" i="64"/>
  <c r="B50" i="64"/>
  <c r="I49" i="64"/>
  <c r="H49" i="64"/>
  <c r="G49" i="64"/>
  <c r="F49" i="64"/>
  <c r="E49" i="64"/>
  <c r="D49" i="64"/>
  <c r="C49" i="64"/>
  <c r="B48" i="64"/>
  <c r="B47" i="64"/>
  <c r="B49" i="64" s="1"/>
  <c r="I46" i="64"/>
  <c r="H46" i="64"/>
  <c r="G46" i="64"/>
  <c r="F46" i="64"/>
  <c r="E46" i="64"/>
  <c r="D46" i="64"/>
  <c r="C46" i="64"/>
  <c r="B45" i="64"/>
  <c r="B44" i="64"/>
  <c r="I43" i="64"/>
  <c r="H43" i="64"/>
  <c r="G43" i="64"/>
  <c r="F43" i="64"/>
  <c r="E43" i="64"/>
  <c r="D43" i="64"/>
  <c r="C43" i="64"/>
  <c r="B42" i="64"/>
  <c r="B41" i="64"/>
  <c r="B43" i="64" s="1"/>
  <c r="I40" i="64"/>
  <c r="H40" i="64"/>
  <c r="G40" i="64"/>
  <c r="F40" i="64"/>
  <c r="E40" i="64"/>
  <c r="D40" i="64"/>
  <c r="C40" i="64"/>
  <c r="B39" i="64"/>
  <c r="B38" i="64"/>
  <c r="I37" i="64"/>
  <c r="H37" i="64"/>
  <c r="G37" i="64"/>
  <c r="F37" i="64"/>
  <c r="E37" i="64"/>
  <c r="D37" i="64"/>
  <c r="C37" i="64"/>
  <c r="B36" i="64"/>
  <c r="B35" i="64"/>
  <c r="B37" i="64" s="1"/>
  <c r="I34" i="64"/>
  <c r="H34" i="64"/>
  <c r="G34" i="64"/>
  <c r="F34" i="64"/>
  <c r="E34" i="64"/>
  <c r="D34" i="64"/>
  <c r="C34" i="64"/>
  <c r="B33" i="64"/>
  <c r="B32" i="64"/>
  <c r="I31" i="64"/>
  <c r="H31" i="64"/>
  <c r="G31" i="64"/>
  <c r="F31" i="64"/>
  <c r="E31" i="64"/>
  <c r="D31" i="64"/>
  <c r="C31" i="64"/>
  <c r="B30" i="64"/>
  <c r="B29" i="64"/>
  <c r="B31" i="64" s="1"/>
  <c r="I28" i="64"/>
  <c r="H28" i="64"/>
  <c r="G28" i="64"/>
  <c r="F28" i="64"/>
  <c r="E28" i="64"/>
  <c r="D28" i="64"/>
  <c r="C28" i="64"/>
  <c r="B27" i="64"/>
  <c r="B26" i="64"/>
  <c r="I25" i="64"/>
  <c r="H25" i="64"/>
  <c r="G25" i="64"/>
  <c r="F25" i="64"/>
  <c r="E25" i="64"/>
  <c r="D25" i="64"/>
  <c r="C25" i="64"/>
  <c r="B24" i="64"/>
  <c r="B23" i="64"/>
  <c r="B25" i="64" s="1"/>
  <c r="I22" i="64"/>
  <c r="H22" i="64"/>
  <c r="G22" i="64"/>
  <c r="F22" i="64"/>
  <c r="E22" i="64"/>
  <c r="D22" i="64"/>
  <c r="C22" i="64"/>
  <c r="B21" i="64"/>
  <c r="B20" i="64"/>
  <c r="I19" i="64"/>
  <c r="H19" i="64"/>
  <c r="G19" i="64"/>
  <c r="F19" i="64"/>
  <c r="E19" i="64"/>
  <c r="D19" i="64"/>
  <c r="C19" i="64"/>
  <c r="B18" i="64"/>
  <c r="B17" i="64"/>
  <c r="B19" i="64" s="1"/>
  <c r="I16" i="64"/>
  <c r="H16" i="64"/>
  <c r="G16" i="64"/>
  <c r="F16" i="64"/>
  <c r="E16" i="64"/>
  <c r="D16" i="64"/>
  <c r="C16" i="64"/>
  <c r="B15" i="64"/>
  <c r="B14" i="64"/>
  <c r="I13" i="64"/>
  <c r="H13" i="64"/>
  <c r="G13" i="64"/>
  <c r="F13" i="64"/>
  <c r="E13" i="64"/>
  <c r="D13" i="64"/>
  <c r="C13" i="64"/>
  <c r="B12" i="64"/>
  <c r="B11" i="64"/>
  <c r="B13" i="64" s="1"/>
  <c r="I10" i="64"/>
  <c r="H10" i="64"/>
  <c r="G10" i="64"/>
  <c r="F10" i="64"/>
  <c r="E10" i="64"/>
  <c r="D10" i="64"/>
  <c r="C10" i="64"/>
  <c r="B9" i="64"/>
  <c r="B8" i="64"/>
  <c r="I7" i="64"/>
  <c r="I79" i="64" s="1"/>
  <c r="H7" i="64"/>
  <c r="G7" i="64"/>
  <c r="G79" i="64" s="1"/>
  <c r="F7" i="64"/>
  <c r="E7" i="64"/>
  <c r="E79" i="64" s="1"/>
  <c r="D7" i="64"/>
  <c r="C7" i="64"/>
  <c r="C79" i="64" s="1"/>
  <c r="B6" i="64"/>
  <c r="B5" i="64"/>
  <c r="B77" i="64" s="1"/>
  <c r="I81" i="63"/>
  <c r="H81" i="63"/>
  <c r="G81" i="63"/>
  <c r="F81" i="63"/>
  <c r="E81" i="63"/>
  <c r="D81" i="63"/>
  <c r="C81" i="63"/>
  <c r="I80" i="63"/>
  <c r="H80" i="63"/>
  <c r="G80" i="63"/>
  <c r="F80" i="63"/>
  <c r="E80" i="63"/>
  <c r="D80" i="63"/>
  <c r="C80" i="63"/>
  <c r="I79" i="63"/>
  <c r="H79" i="63"/>
  <c r="G79" i="63"/>
  <c r="F79" i="63"/>
  <c r="E79" i="63"/>
  <c r="D79" i="63"/>
  <c r="C79" i="63"/>
  <c r="B78" i="63"/>
  <c r="B77" i="63"/>
  <c r="I76" i="63"/>
  <c r="H76" i="63"/>
  <c r="G76" i="63"/>
  <c r="F76" i="63"/>
  <c r="E76" i="63"/>
  <c r="D76" i="63"/>
  <c r="C76" i="63"/>
  <c r="B75" i="63"/>
  <c r="B74" i="63"/>
  <c r="B76" i="63" s="1"/>
  <c r="I73" i="63"/>
  <c r="H73" i="63"/>
  <c r="G73" i="63"/>
  <c r="F73" i="63"/>
  <c r="E73" i="63"/>
  <c r="D73" i="63"/>
  <c r="C73" i="63"/>
  <c r="B72" i="63"/>
  <c r="B71" i="63"/>
  <c r="I70" i="63"/>
  <c r="H70" i="63"/>
  <c r="G70" i="63"/>
  <c r="F70" i="63"/>
  <c r="E70" i="63"/>
  <c r="D70" i="63"/>
  <c r="C70" i="63"/>
  <c r="B69" i="63"/>
  <c r="B68" i="63"/>
  <c r="B70" i="63" s="1"/>
  <c r="I67" i="63"/>
  <c r="H67" i="63"/>
  <c r="G67" i="63"/>
  <c r="F67" i="63"/>
  <c r="E67" i="63"/>
  <c r="D67" i="63"/>
  <c r="C67" i="63"/>
  <c r="B66" i="63"/>
  <c r="B65" i="63"/>
  <c r="I64" i="63"/>
  <c r="H64" i="63"/>
  <c r="G64" i="63"/>
  <c r="F64" i="63"/>
  <c r="E64" i="63"/>
  <c r="D64" i="63"/>
  <c r="C64" i="63"/>
  <c r="B63" i="63"/>
  <c r="B62" i="63"/>
  <c r="B64" i="63" s="1"/>
  <c r="I61" i="63"/>
  <c r="H61" i="63"/>
  <c r="G61" i="63"/>
  <c r="F61" i="63"/>
  <c r="E61" i="63"/>
  <c r="D61" i="63"/>
  <c r="C61" i="63"/>
  <c r="B60" i="63"/>
  <c r="B59" i="63"/>
  <c r="I58" i="63"/>
  <c r="H58" i="63"/>
  <c r="G58" i="63"/>
  <c r="F58" i="63"/>
  <c r="E58" i="63"/>
  <c r="D58" i="63"/>
  <c r="C58" i="63"/>
  <c r="B57" i="63"/>
  <c r="B56" i="63"/>
  <c r="B58" i="63" s="1"/>
  <c r="I55" i="63"/>
  <c r="H55" i="63"/>
  <c r="G55" i="63"/>
  <c r="F55" i="63"/>
  <c r="E55" i="63"/>
  <c r="D55" i="63"/>
  <c r="C55" i="63"/>
  <c r="B54" i="63"/>
  <c r="B53" i="63"/>
  <c r="I52" i="63"/>
  <c r="H52" i="63"/>
  <c r="G52" i="63"/>
  <c r="F52" i="63"/>
  <c r="E52" i="63"/>
  <c r="D52" i="63"/>
  <c r="C52" i="63"/>
  <c r="B51" i="63"/>
  <c r="B50" i="63"/>
  <c r="B52" i="63" s="1"/>
  <c r="I49" i="63"/>
  <c r="H49" i="63"/>
  <c r="G49" i="63"/>
  <c r="F49" i="63"/>
  <c r="E49" i="63"/>
  <c r="D49" i="63"/>
  <c r="C49" i="63"/>
  <c r="B48" i="63"/>
  <c r="B47" i="63"/>
  <c r="I46" i="63"/>
  <c r="H46" i="63"/>
  <c r="G46" i="63"/>
  <c r="F46" i="63"/>
  <c r="E46" i="63"/>
  <c r="D46" i="63"/>
  <c r="C46" i="63"/>
  <c r="B45" i="63"/>
  <c r="B44" i="63"/>
  <c r="B46" i="63" s="1"/>
  <c r="I43" i="63"/>
  <c r="H43" i="63"/>
  <c r="G43" i="63"/>
  <c r="F43" i="63"/>
  <c r="E43" i="63"/>
  <c r="D43" i="63"/>
  <c r="C43" i="63"/>
  <c r="B42" i="63"/>
  <c r="B41" i="63"/>
  <c r="I40" i="63"/>
  <c r="H40" i="63"/>
  <c r="G40" i="63"/>
  <c r="F40" i="63"/>
  <c r="E40" i="63"/>
  <c r="D40" i="63"/>
  <c r="C40" i="63"/>
  <c r="B39" i="63"/>
  <c r="B38" i="63"/>
  <c r="B40" i="63" s="1"/>
  <c r="I37" i="63"/>
  <c r="H37" i="63"/>
  <c r="G37" i="63"/>
  <c r="F37" i="63"/>
  <c r="E37" i="63"/>
  <c r="D37" i="63"/>
  <c r="C37" i="63"/>
  <c r="B36" i="63"/>
  <c r="B35" i="63"/>
  <c r="I34" i="63"/>
  <c r="H34" i="63"/>
  <c r="G34" i="63"/>
  <c r="F34" i="63"/>
  <c r="E34" i="63"/>
  <c r="D34" i="63"/>
  <c r="C34" i="63"/>
  <c r="B33" i="63"/>
  <c r="B32" i="63"/>
  <c r="B34" i="63" s="1"/>
  <c r="I31" i="63"/>
  <c r="H31" i="63"/>
  <c r="G31" i="63"/>
  <c r="F31" i="63"/>
  <c r="E31" i="63"/>
  <c r="D31" i="63"/>
  <c r="C31" i="63"/>
  <c r="B30" i="63"/>
  <c r="B29" i="63"/>
  <c r="I28" i="63"/>
  <c r="H28" i="63"/>
  <c r="G28" i="63"/>
  <c r="F28" i="63"/>
  <c r="E28" i="63"/>
  <c r="D28" i="63"/>
  <c r="C28" i="63"/>
  <c r="B27" i="63"/>
  <c r="B26" i="63"/>
  <c r="B28" i="63" s="1"/>
  <c r="I25" i="63"/>
  <c r="H25" i="63"/>
  <c r="G25" i="63"/>
  <c r="F25" i="63"/>
  <c r="E25" i="63"/>
  <c r="D25" i="63"/>
  <c r="C25" i="63"/>
  <c r="B24" i="63"/>
  <c r="B23" i="63"/>
  <c r="I22" i="63"/>
  <c r="H22" i="63"/>
  <c r="G22" i="63"/>
  <c r="F22" i="63"/>
  <c r="E22" i="63"/>
  <c r="D22" i="63"/>
  <c r="C22" i="63"/>
  <c r="B21" i="63"/>
  <c r="B20" i="63"/>
  <c r="B22" i="63" s="1"/>
  <c r="I19" i="63"/>
  <c r="H19" i="63"/>
  <c r="G19" i="63"/>
  <c r="F19" i="63"/>
  <c r="E19" i="63"/>
  <c r="D19" i="63"/>
  <c r="C19" i="63"/>
  <c r="B18" i="63"/>
  <c r="B17" i="63"/>
  <c r="I16" i="63"/>
  <c r="H16" i="63"/>
  <c r="G16" i="63"/>
  <c r="F16" i="63"/>
  <c r="E16" i="63"/>
  <c r="D16" i="63"/>
  <c r="C16" i="63"/>
  <c r="B15" i="63"/>
  <c r="B14" i="63"/>
  <c r="B16" i="63" s="1"/>
  <c r="I13" i="63"/>
  <c r="H13" i="63"/>
  <c r="G13" i="63"/>
  <c r="F13" i="63"/>
  <c r="E13" i="63"/>
  <c r="D13" i="63"/>
  <c r="C13" i="63"/>
  <c r="B12" i="63"/>
  <c r="B11" i="63"/>
  <c r="I10" i="63"/>
  <c r="H10" i="63"/>
  <c r="G10" i="63"/>
  <c r="F10" i="63"/>
  <c r="E10" i="63"/>
  <c r="D10" i="63"/>
  <c r="C10" i="63"/>
  <c r="B9" i="63"/>
  <c r="B8" i="63"/>
  <c r="B10" i="63" s="1"/>
  <c r="I7" i="63"/>
  <c r="H7" i="63"/>
  <c r="H82" i="63" s="1"/>
  <c r="G7" i="63"/>
  <c r="F7" i="63"/>
  <c r="F82" i="63" s="1"/>
  <c r="E7" i="63"/>
  <c r="D7" i="63"/>
  <c r="D82" i="63" s="1"/>
  <c r="C7" i="63"/>
  <c r="B6" i="63"/>
  <c r="B81" i="63" s="1"/>
  <c r="B5" i="63"/>
  <c r="I81" i="62"/>
  <c r="H81" i="62"/>
  <c r="G81" i="62"/>
  <c r="F81" i="62"/>
  <c r="E81" i="62"/>
  <c r="D81" i="62"/>
  <c r="C81" i="62"/>
  <c r="I80" i="62"/>
  <c r="H80" i="62"/>
  <c r="G80" i="62"/>
  <c r="F80" i="62"/>
  <c r="E80" i="62"/>
  <c r="D80" i="62"/>
  <c r="C80" i="62"/>
  <c r="I79" i="62"/>
  <c r="H79" i="62"/>
  <c r="G79" i="62"/>
  <c r="F79" i="62"/>
  <c r="E79" i="62"/>
  <c r="D79" i="62"/>
  <c r="C79" i="62"/>
  <c r="B78" i="62"/>
  <c r="B77" i="62"/>
  <c r="B79" i="62" s="1"/>
  <c r="I76" i="62"/>
  <c r="H76" i="62"/>
  <c r="G76" i="62"/>
  <c r="F76" i="62"/>
  <c r="E76" i="62"/>
  <c r="D76" i="62"/>
  <c r="C76" i="62"/>
  <c r="B75" i="62"/>
  <c r="B74" i="62"/>
  <c r="I73" i="62"/>
  <c r="H73" i="62"/>
  <c r="G73" i="62"/>
  <c r="F73" i="62"/>
  <c r="E73" i="62"/>
  <c r="D73" i="62"/>
  <c r="C73" i="62"/>
  <c r="B72" i="62"/>
  <c r="B71" i="62"/>
  <c r="B73" i="62" s="1"/>
  <c r="I70" i="62"/>
  <c r="H70" i="62"/>
  <c r="G70" i="62"/>
  <c r="F70" i="62"/>
  <c r="E70" i="62"/>
  <c r="D70" i="62"/>
  <c r="C70" i="62"/>
  <c r="B69" i="62"/>
  <c r="B68" i="62"/>
  <c r="I67" i="62"/>
  <c r="H67" i="62"/>
  <c r="G67" i="62"/>
  <c r="F67" i="62"/>
  <c r="E67" i="62"/>
  <c r="D67" i="62"/>
  <c r="C67" i="62"/>
  <c r="B66" i="62"/>
  <c r="B65" i="62"/>
  <c r="B67" i="62" s="1"/>
  <c r="I64" i="62"/>
  <c r="H64" i="62"/>
  <c r="G64" i="62"/>
  <c r="F64" i="62"/>
  <c r="E64" i="62"/>
  <c r="D64" i="62"/>
  <c r="C64" i="62"/>
  <c r="B63" i="62"/>
  <c r="B62" i="62"/>
  <c r="I61" i="62"/>
  <c r="H61" i="62"/>
  <c r="G61" i="62"/>
  <c r="F61" i="62"/>
  <c r="E61" i="62"/>
  <c r="D61" i="62"/>
  <c r="C61" i="62"/>
  <c r="B60" i="62"/>
  <c r="B59" i="62"/>
  <c r="B61" i="62" s="1"/>
  <c r="I58" i="62"/>
  <c r="H58" i="62"/>
  <c r="G58" i="62"/>
  <c r="F58" i="62"/>
  <c r="E58" i="62"/>
  <c r="D58" i="62"/>
  <c r="C58" i="62"/>
  <c r="B57" i="62"/>
  <c r="B56" i="62"/>
  <c r="I55" i="62"/>
  <c r="H55" i="62"/>
  <c r="G55" i="62"/>
  <c r="F55" i="62"/>
  <c r="E55" i="62"/>
  <c r="D55" i="62"/>
  <c r="C55" i="62"/>
  <c r="B54" i="62"/>
  <c r="B53" i="62"/>
  <c r="B55" i="62" s="1"/>
  <c r="I52" i="62"/>
  <c r="H52" i="62"/>
  <c r="G52" i="62"/>
  <c r="F52" i="62"/>
  <c r="E52" i="62"/>
  <c r="D52" i="62"/>
  <c r="C52" i="62"/>
  <c r="B51" i="62"/>
  <c r="B50" i="62"/>
  <c r="I49" i="62"/>
  <c r="H49" i="62"/>
  <c r="G49" i="62"/>
  <c r="F49" i="62"/>
  <c r="E49" i="62"/>
  <c r="D49" i="62"/>
  <c r="C49" i="62"/>
  <c r="B48" i="62"/>
  <c r="B47" i="62"/>
  <c r="B49" i="62" s="1"/>
  <c r="I46" i="62"/>
  <c r="H46" i="62"/>
  <c r="G46" i="62"/>
  <c r="F46" i="62"/>
  <c r="E46" i="62"/>
  <c r="D46" i="62"/>
  <c r="C46" i="62"/>
  <c r="B45" i="62"/>
  <c r="B44" i="62"/>
  <c r="I43" i="62"/>
  <c r="H43" i="62"/>
  <c r="G43" i="62"/>
  <c r="F43" i="62"/>
  <c r="E43" i="62"/>
  <c r="D43" i="62"/>
  <c r="C43" i="62"/>
  <c r="B42" i="62"/>
  <c r="B41" i="62"/>
  <c r="B43" i="62" s="1"/>
  <c r="I40" i="62"/>
  <c r="H40" i="62"/>
  <c r="G40" i="62"/>
  <c r="F40" i="62"/>
  <c r="E40" i="62"/>
  <c r="D40" i="62"/>
  <c r="C40" i="62"/>
  <c r="B39" i="62"/>
  <c r="B38" i="62"/>
  <c r="I37" i="62"/>
  <c r="H37" i="62"/>
  <c r="G37" i="62"/>
  <c r="F37" i="62"/>
  <c r="E37" i="62"/>
  <c r="D37" i="62"/>
  <c r="C37" i="62"/>
  <c r="B36" i="62"/>
  <c r="B35" i="62"/>
  <c r="B37" i="62" s="1"/>
  <c r="I34" i="62"/>
  <c r="H34" i="62"/>
  <c r="G34" i="62"/>
  <c r="F34" i="62"/>
  <c r="E34" i="62"/>
  <c r="D34" i="62"/>
  <c r="C34" i="62"/>
  <c r="B33" i="62"/>
  <c r="B32" i="62"/>
  <c r="I31" i="62"/>
  <c r="H31" i="62"/>
  <c r="G31" i="62"/>
  <c r="F31" i="62"/>
  <c r="E31" i="62"/>
  <c r="D31" i="62"/>
  <c r="C31" i="62"/>
  <c r="B30" i="62"/>
  <c r="B29" i="62"/>
  <c r="B31" i="62" s="1"/>
  <c r="I28" i="62"/>
  <c r="H28" i="62"/>
  <c r="G28" i="62"/>
  <c r="F28" i="62"/>
  <c r="E28" i="62"/>
  <c r="D28" i="62"/>
  <c r="C28" i="62"/>
  <c r="B27" i="62"/>
  <c r="B26" i="62"/>
  <c r="I25" i="62"/>
  <c r="H25" i="62"/>
  <c r="G25" i="62"/>
  <c r="F25" i="62"/>
  <c r="E25" i="62"/>
  <c r="D25" i="62"/>
  <c r="C25" i="62"/>
  <c r="B24" i="62"/>
  <c r="B23" i="62"/>
  <c r="B25" i="62" s="1"/>
  <c r="I22" i="62"/>
  <c r="H22" i="62"/>
  <c r="G22" i="62"/>
  <c r="F22" i="62"/>
  <c r="E22" i="62"/>
  <c r="D22" i="62"/>
  <c r="C22" i="62"/>
  <c r="B21" i="62"/>
  <c r="B20" i="62"/>
  <c r="I19" i="62"/>
  <c r="H19" i="62"/>
  <c r="G19" i="62"/>
  <c r="F19" i="62"/>
  <c r="E19" i="62"/>
  <c r="D19" i="62"/>
  <c r="C19" i="62"/>
  <c r="B18" i="62"/>
  <c r="B17" i="62"/>
  <c r="B19" i="62" s="1"/>
  <c r="I16" i="62"/>
  <c r="H16" i="62"/>
  <c r="G16" i="62"/>
  <c r="F16" i="62"/>
  <c r="E16" i="62"/>
  <c r="D16" i="62"/>
  <c r="C16" i="62"/>
  <c r="B15" i="62"/>
  <c r="B14" i="62"/>
  <c r="I13" i="62"/>
  <c r="H13" i="62"/>
  <c r="G13" i="62"/>
  <c r="F13" i="62"/>
  <c r="E13" i="62"/>
  <c r="D13" i="62"/>
  <c r="C13" i="62"/>
  <c r="B12" i="62"/>
  <c r="B11" i="62"/>
  <c r="B13" i="62" s="1"/>
  <c r="I10" i="62"/>
  <c r="H10" i="62"/>
  <c r="G10" i="62"/>
  <c r="F10" i="62"/>
  <c r="E10" i="62"/>
  <c r="D10" i="62"/>
  <c r="C10" i="62"/>
  <c r="B9" i="62"/>
  <c r="B8" i="62"/>
  <c r="I7" i="62"/>
  <c r="I82" i="62" s="1"/>
  <c r="H7" i="62"/>
  <c r="G7" i="62"/>
  <c r="G82" i="62" s="1"/>
  <c r="F7" i="62"/>
  <c r="E7" i="62"/>
  <c r="E82" i="62" s="1"/>
  <c r="D7" i="62"/>
  <c r="C7" i="62"/>
  <c r="C82" i="62" s="1"/>
  <c r="B6" i="62"/>
  <c r="B5" i="62"/>
  <c r="B80" i="62" s="1"/>
  <c r="I36" i="61"/>
  <c r="H36" i="61"/>
  <c r="G36" i="61"/>
  <c r="F36" i="61"/>
  <c r="E36" i="61"/>
  <c r="D36" i="61"/>
  <c r="C36" i="61"/>
  <c r="I35" i="61"/>
  <c r="H35" i="61"/>
  <c r="G35" i="61"/>
  <c r="F35" i="61"/>
  <c r="E35" i="61"/>
  <c r="D35" i="61"/>
  <c r="C35" i="61"/>
  <c r="I34" i="61"/>
  <c r="H34" i="61"/>
  <c r="G34" i="61"/>
  <c r="F34" i="61"/>
  <c r="E34" i="61"/>
  <c r="D34" i="61"/>
  <c r="C34" i="61"/>
  <c r="B33" i="61"/>
  <c r="B32" i="61"/>
  <c r="I31" i="61"/>
  <c r="H31" i="61"/>
  <c r="G31" i="61"/>
  <c r="F31" i="61"/>
  <c r="E31" i="61"/>
  <c r="D31" i="61"/>
  <c r="C31" i="61"/>
  <c r="B30" i="61"/>
  <c r="B29" i="61"/>
  <c r="B31" i="61" s="1"/>
  <c r="I28" i="61"/>
  <c r="H28" i="61"/>
  <c r="G28" i="61"/>
  <c r="F28" i="61"/>
  <c r="E28" i="61"/>
  <c r="D28" i="61"/>
  <c r="C28" i="61"/>
  <c r="B27" i="61"/>
  <c r="B26" i="61"/>
  <c r="I25" i="61"/>
  <c r="H25" i="61"/>
  <c r="G25" i="61"/>
  <c r="F25" i="61"/>
  <c r="E25" i="61"/>
  <c r="D25" i="61"/>
  <c r="C25" i="61"/>
  <c r="B24" i="61"/>
  <c r="B23" i="61"/>
  <c r="B25" i="61" s="1"/>
  <c r="I22" i="61"/>
  <c r="H22" i="61"/>
  <c r="G22" i="61"/>
  <c r="F22" i="61"/>
  <c r="E22" i="61"/>
  <c r="D22" i="61"/>
  <c r="C22" i="61"/>
  <c r="B21" i="61"/>
  <c r="B20" i="61"/>
  <c r="I19" i="61"/>
  <c r="H19" i="61"/>
  <c r="G19" i="61"/>
  <c r="F19" i="61"/>
  <c r="E19" i="61"/>
  <c r="D19" i="61"/>
  <c r="C19" i="61"/>
  <c r="B18" i="61"/>
  <c r="B17" i="61"/>
  <c r="B19" i="61" s="1"/>
  <c r="I16" i="61"/>
  <c r="H16" i="61"/>
  <c r="G16" i="61"/>
  <c r="F16" i="61"/>
  <c r="E16" i="61"/>
  <c r="D16" i="61"/>
  <c r="C16" i="61"/>
  <c r="B15" i="61"/>
  <c r="B14" i="61"/>
  <c r="I13" i="61"/>
  <c r="H13" i="61"/>
  <c r="G13" i="61"/>
  <c r="F13" i="61"/>
  <c r="E13" i="61"/>
  <c r="D13" i="61"/>
  <c r="C13" i="61"/>
  <c r="B12" i="61"/>
  <c r="B11" i="61"/>
  <c r="B13" i="61" s="1"/>
  <c r="I10" i="61"/>
  <c r="H10" i="61"/>
  <c r="G10" i="61"/>
  <c r="F10" i="61"/>
  <c r="E10" i="61"/>
  <c r="D10" i="61"/>
  <c r="C10" i="61"/>
  <c r="B9" i="61"/>
  <c r="B8" i="61"/>
  <c r="I7" i="61"/>
  <c r="I37" i="61" s="1"/>
  <c r="H7" i="61"/>
  <c r="G7" i="61"/>
  <c r="G37" i="61" s="1"/>
  <c r="F7" i="61"/>
  <c r="E7" i="61"/>
  <c r="E37" i="61" s="1"/>
  <c r="D7" i="61"/>
  <c r="C7" i="61"/>
  <c r="C37" i="61" s="1"/>
  <c r="B6" i="61"/>
  <c r="B5" i="61"/>
  <c r="B35" i="61" s="1"/>
  <c r="I36" i="60"/>
  <c r="H36" i="60"/>
  <c r="G36" i="60"/>
  <c r="F36" i="60"/>
  <c r="E36" i="60"/>
  <c r="D36" i="60"/>
  <c r="C36" i="60"/>
  <c r="I35" i="60"/>
  <c r="H35" i="60"/>
  <c r="G35" i="60"/>
  <c r="F35" i="60"/>
  <c r="E35" i="60"/>
  <c r="D35" i="60"/>
  <c r="C35" i="60"/>
  <c r="I34" i="60"/>
  <c r="H34" i="60"/>
  <c r="G34" i="60"/>
  <c r="F34" i="60"/>
  <c r="E34" i="60"/>
  <c r="D34" i="60"/>
  <c r="C34" i="60"/>
  <c r="B33" i="60"/>
  <c r="B32" i="60"/>
  <c r="I31" i="60"/>
  <c r="H31" i="60"/>
  <c r="G31" i="60"/>
  <c r="F31" i="60"/>
  <c r="E31" i="60"/>
  <c r="D31" i="60"/>
  <c r="C31" i="60"/>
  <c r="B30" i="60"/>
  <c r="B29" i="60"/>
  <c r="B31" i="60" s="1"/>
  <c r="I28" i="60"/>
  <c r="H28" i="60"/>
  <c r="G28" i="60"/>
  <c r="F28" i="60"/>
  <c r="E28" i="60"/>
  <c r="D28" i="60"/>
  <c r="C28" i="60"/>
  <c r="B27" i="60"/>
  <c r="B26" i="60"/>
  <c r="I25" i="60"/>
  <c r="H25" i="60"/>
  <c r="G25" i="60"/>
  <c r="F25" i="60"/>
  <c r="E25" i="60"/>
  <c r="D25" i="60"/>
  <c r="C25" i="60"/>
  <c r="B24" i="60"/>
  <c r="B23" i="60"/>
  <c r="B25" i="60" s="1"/>
  <c r="I22" i="60"/>
  <c r="H22" i="60"/>
  <c r="G22" i="60"/>
  <c r="F22" i="60"/>
  <c r="E22" i="60"/>
  <c r="D22" i="60"/>
  <c r="C22" i="60"/>
  <c r="B21" i="60"/>
  <c r="B20" i="60"/>
  <c r="I19" i="60"/>
  <c r="H19" i="60"/>
  <c r="G19" i="60"/>
  <c r="F19" i="60"/>
  <c r="E19" i="60"/>
  <c r="D19" i="60"/>
  <c r="C19" i="60"/>
  <c r="B18" i="60"/>
  <c r="B17" i="60"/>
  <c r="B19" i="60" s="1"/>
  <c r="I16" i="60"/>
  <c r="H16" i="60"/>
  <c r="G16" i="60"/>
  <c r="F16" i="60"/>
  <c r="E16" i="60"/>
  <c r="D16" i="60"/>
  <c r="C16" i="60"/>
  <c r="B15" i="60"/>
  <c r="B14" i="60"/>
  <c r="I13" i="60"/>
  <c r="H13" i="60"/>
  <c r="G13" i="60"/>
  <c r="F13" i="60"/>
  <c r="E13" i="60"/>
  <c r="D13" i="60"/>
  <c r="C13" i="60"/>
  <c r="B12" i="60"/>
  <c r="B11" i="60"/>
  <c r="B13" i="60" s="1"/>
  <c r="I10" i="60"/>
  <c r="H10" i="60"/>
  <c r="G10" i="60"/>
  <c r="F10" i="60"/>
  <c r="E10" i="60"/>
  <c r="D10" i="60"/>
  <c r="C10" i="60"/>
  <c r="B9" i="60"/>
  <c r="B8" i="60"/>
  <c r="I7" i="60"/>
  <c r="I37" i="60" s="1"/>
  <c r="H7" i="60"/>
  <c r="G7" i="60"/>
  <c r="G37" i="60" s="1"/>
  <c r="F7" i="60"/>
  <c r="E7" i="60"/>
  <c r="E37" i="60" s="1"/>
  <c r="D7" i="60"/>
  <c r="C7" i="60"/>
  <c r="C37" i="60" s="1"/>
  <c r="B6" i="60"/>
  <c r="B5" i="60"/>
  <c r="B35" i="60" s="1"/>
  <c r="I36" i="59"/>
  <c r="H36" i="59"/>
  <c r="G36" i="59"/>
  <c r="F36" i="59"/>
  <c r="E36" i="59"/>
  <c r="D36" i="59"/>
  <c r="C36" i="59"/>
  <c r="I35" i="59"/>
  <c r="H35" i="59"/>
  <c r="G35" i="59"/>
  <c r="F35" i="59"/>
  <c r="E35" i="59"/>
  <c r="D35" i="59"/>
  <c r="C35" i="59"/>
  <c r="I34" i="59"/>
  <c r="H34" i="59"/>
  <c r="G34" i="59"/>
  <c r="F34" i="59"/>
  <c r="E34" i="59"/>
  <c r="D34" i="59"/>
  <c r="C34" i="59"/>
  <c r="B33" i="59"/>
  <c r="B32" i="59"/>
  <c r="I31" i="59"/>
  <c r="H31" i="59"/>
  <c r="G31" i="59"/>
  <c r="F31" i="59"/>
  <c r="E31" i="59"/>
  <c r="D31" i="59"/>
  <c r="C31" i="59"/>
  <c r="B30" i="59"/>
  <c r="B29" i="59"/>
  <c r="B31" i="59" s="1"/>
  <c r="I28" i="59"/>
  <c r="H28" i="59"/>
  <c r="G28" i="59"/>
  <c r="F28" i="59"/>
  <c r="E28" i="59"/>
  <c r="D28" i="59"/>
  <c r="C28" i="59"/>
  <c r="B27" i="59"/>
  <c r="B26" i="59"/>
  <c r="I25" i="59"/>
  <c r="H25" i="59"/>
  <c r="G25" i="59"/>
  <c r="F25" i="59"/>
  <c r="E25" i="59"/>
  <c r="D25" i="59"/>
  <c r="C25" i="59"/>
  <c r="B24" i="59"/>
  <c r="B23" i="59"/>
  <c r="B25" i="59" s="1"/>
  <c r="I22" i="59"/>
  <c r="H22" i="59"/>
  <c r="G22" i="59"/>
  <c r="F22" i="59"/>
  <c r="E22" i="59"/>
  <c r="D22" i="59"/>
  <c r="C22" i="59"/>
  <c r="B21" i="59"/>
  <c r="B20" i="59"/>
  <c r="I19" i="59"/>
  <c r="H19" i="59"/>
  <c r="G19" i="59"/>
  <c r="F19" i="59"/>
  <c r="E19" i="59"/>
  <c r="D19" i="59"/>
  <c r="C19" i="59"/>
  <c r="B18" i="59"/>
  <c r="B17" i="59"/>
  <c r="B19" i="59" s="1"/>
  <c r="I16" i="59"/>
  <c r="H16" i="59"/>
  <c r="G16" i="59"/>
  <c r="F16" i="59"/>
  <c r="E16" i="59"/>
  <c r="D16" i="59"/>
  <c r="C16" i="59"/>
  <c r="B15" i="59"/>
  <c r="B14" i="59"/>
  <c r="I13" i="59"/>
  <c r="H13" i="59"/>
  <c r="G13" i="59"/>
  <c r="F13" i="59"/>
  <c r="E13" i="59"/>
  <c r="D13" i="59"/>
  <c r="C13" i="59"/>
  <c r="B12" i="59"/>
  <c r="B11" i="59"/>
  <c r="B13" i="59" s="1"/>
  <c r="I10" i="59"/>
  <c r="H10" i="59"/>
  <c r="G10" i="59"/>
  <c r="F10" i="59"/>
  <c r="E10" i="59"/>
  <c r="D10" i="59"/>
  <c r="C10" i="59"/>
  <c r="B9" i="59"/>
  <c r="B8" i="59"/>
  <c r="I7" i="59"/>
  <c r="I37" i="59" s="1"/>
  <c r="H7" i="59"/>
  <c r="G7" i="59"/>
  <c r="G37" i="59" s="1"/>
  <c r="F7" i="59"/>
  <c r="E7" i="59"/>
  <c r="E37" i="59" s="1"/>
  <c r="D7" i="59"/>
  <c r="C7" i="59"/>
  <c r="C37" i="59" s="1"/>
  <c r="B6" i="59"/>
  <c r="B5" i="59"/>
  <c r="B35" i="59" s="1"/>
  <c r="B36" i="59" l="1"/>
  <c r="D37" i="59"/>
  <c r="F37" i="59"/>
  <c r="H37" i="59"/>
  <c r="B10" i="59"/>
  <c r="B16" i="59"/>
  <c r="B22" i="59"/>
  <c r="B28" i="59"/>
  <c r="B34" i="59"/>
  <c r="B36" i="60"/>
  <c r="D37" i="60"/>
  <c r="F37" i="60"/>
  <c r="H37" i="60"/>
  <c r="B10" i="60"/>
  <c r="B16" i="60"/>
  <c r="B22" i="60"/>
  <c r="B28" i="60"/>
  <c r="B34" i="60"/>
  <c r="B36" i="61"/>
  <c r="D37" i="61"/>
  <c r="F37" i="61"/>
  <c r="H37" i="61"/>
  <c r="B10" i="61"/>
  <c r="B16" i="61"/>
  <c r="B22" i="61"/>
  <c r="B28" i="61"/>
  <c r="B34" i="61"/>
  <c r="B81" i="62"/>
  <c r="D82" i="62"/>
  <c r="F82" i="62"/>
  <c r="H82" i="62"/>
  <c r="B10" i="62"/>
  <c r="B16" i="62"/>
  <c r="B22" i="62"/>
  <c r="B28" i="62"/>
  <c r="B34" i="62"/>
  <c r="B40" i="62"/>
  <c r="B46" i="62"/>
  <c r="B52" i="62"/>
  <c r="B58" i="62"/>
  <c r="B64" i="62"/>
  <c r="B70" i="62"/>
  <c r="B76" i="62"/>
  <c r="B80" i="63"/>
  <c r="C82" i="63"/>
  <c r="E82" i="63"/>
  <c r="G82" i="63"/>
  <c r="I82" i="63"/>
  <c r="B13" i="63"/>
  <c r="B19" i="63"/>
  <c r="B25" i="63"/>
  <c r="B31" i="63"/>
  <c r="B37" i="63"/>
  <c r="B43" i="63"/>
  <c r="B49" i="63"/>
  <c r="B55" i="63"/>
  <c r="B61" i="63"/>
  <c r="B67" i="63"/>
  <c r="B73" i="63"/>
  <c r="B79" i="63"/>
  <c r="B78" i="64"/>
  <c r="D79" i="64"/>
  <c r="F79" i="64"/>
  <c r="H79" i="64"/>
  <c r="B10" i="64"/>
  <c r="B16" i="64"/>
  <c r="B22" i="64"/>
  <c r="B28" i="64"/>
  <c r="B34" i="64"/>
  <c r="B40" i="64"/>
  <c r="B46" i="64"/>
  <c r="B52" i="64"/>
  <c r="B58" i="64"/>
  <c r="B64" i="64"/>
  <c r="B70" i="64"/>
  <c r="B76" i="64"/>
  <c r="B7" i="59"/>
  <c r="B37" i="59" s="1"/>
  <c r="B7" i="60"/>
  <c r="B37" i="60" s="1"/>
  <c r="B7" i="61"/>
  <c r="B37" i="61" s="1"/>
  <c r="B7" i="62"/>
  <c r="B82" i="62" s="1"/>
  <c r="B7" i="63"/>
  <c r="B82" i="63" s="1"/>
  <c r="B7" i="64"/>
  <c r="B79" i="64" s="1"/>
  <c r="B6" i="65"/>
  <c r="B78" i="65" s="1"/>
  <c r="B6" i="67"/>
  <c r="B78" i="67" s="1"/>
  <c r="B6" i="66"/>
  <c r="B78" i="66" s="1"/>
  <c r="K74" i="58" l="1"/>
  <c r="J74" i="58"/>
  <c r="I74" i="58"/>
  <c r="H74" i="58"/>
  <c r="G74" i="58"/>
  <c r="F74" i="58"/>
  <c r="E74" i="58"/>
  <c r="D74" i="58"/>
  <c r="C74" i="58"/>
  <c r="B74" i="58"/>
  <c r="K73" i="58"/>
  <c r="J73" i="58"/>
  <c r="I73" i="58"/>
  <c r="H73" i="58"/>
  <c r="G73" i="58"/>
  <c r="F73" i="58"/>
  <c r="E73" i="58"/>
  <c r="D73" i="58"/>
  <c r="C73" i="58"/>
  <c r="B73" i="58"/>
  <c r="K72" i="58"/>
  <c r="J72" i="58"/>
  <c r="I72" i="58"/>
  <c r="H72" i="58"/>
  <c r="G72" i="58"/>
  <c r="F72" i="58"/>
  <c r="E72" i="58"/>
  <c r="D72" i="58"/>
  <c r="C72" i="58"/>
  <c r="B72" i="58"/>
  <c r="A71" i="58"/>
  <c r="A70" i="58"/>
  <c r="A72" i="58" s="1"/>
  <c r="K69" i="58"/>
  <c r="J69" i="58"/>
  <c r="I69" i="58"/>
  <c r="H69" i="58"/>
  <c r="G69" i="58"/>
  <c r="F69" i="58"/>
  <c r="E69" i="58"/>
  <c r="D69" i="58"/>
  <c r="C69" i="58"/>
  <c r="B69" i="58"/>
  <c r="A68" i="58"/>
  <c r="A67" i="58"/>
  <c r="A69" i="58" s="1"/>
  <c r="K66" i="58"/>
  <c r="J66" i="58"/>
  <c r="I66" i="58"/>
  <c r="H66" i="58"/>
  <c r="G66" i="58"/>
  <c r="F66" i="58"/>
  <c r="E66" i="58"/>
  <c r="D66" i="58"/>
  <c r="C66" i="58"/>
  <c r="B66" i="58"/>
  <c r="A65" i="58"/>
  <c r="A64" i="58"/>
  <c r="A66" i="58" s="1"/>
  <c r="K63" i="58"/>
  <c r="J63" i="58"/>
  <c r="I63" i="58"/>
  <c r="H63" i="58"/>
  <c r="G63" i="58"/>
  <c r="F63" i="58"/>
  <c r="E63" i="58"/>
  <c r="D63" i="58"/>
  <c r="C63" i="58"/>
  <c r="B63" i="58"/>
  <c r="A62" i="58"/>
  <c r="A61" i="58"/>
  <c r="A63" i="58" s="1"/>
  <c r="K60" i="58"/>
  <c r="J60" i="58"/>
  <c r="I60" i="58"/>
  <c r="H60" i="58"/>
  <c r="G60" i="58"/>
  <c r="F60" i="58"/>
  <c r="E60" i="58"/>
  <c r="D60" i="58"/>
  <c r="C60" i="58"/>
  <c r="B60" i="58"/>
  <c r="A59" i="58"/>
  <c r="A58" i="58"/>
  <c r="A60" i="58" s="1"/>
  <c r="K57" i="58"/>
  <c r="J57" i="58"/>
  <c r="I57" i="58"/>
  <c r="H57" i="58"/>
  <c r="G57" i="58"/>
  <c r="F57" i="58"/>
  <c r="E57" i="58"/>
  <c r="D57" i="58"/>
  <c r="C57" i="58"/>
  <c r="B57" i="58"/>
  <c r="A56" i="58"/>
  <c r="A55" i="58"/>
  <c r="A57" i="58" s="1"/>
  <c r="K54" i="58"/>
  <c r="J54" i="58"/>
  <c r="I54" i="58"/>
  <c r="H54" i="58"/>
  <c r="G54" i="58"/>
  <c r="F54" i="58"/>
  <c r="E54" i="58"/>
  <c r="D54" i="58"/>
  <c r="C54" i="58"/>
  <c r="B54" i="58"/>
  <c r="A53" i="58"/>
  <c r="A52" i="58"/>
  <c r="A54" i="58" s="1"/>
  <c r="K51" i="58"/>
  <c r="J51" i="58"/>
  <c r="I51" i="58"/>
  <c r="H51" i="58"/>
  <c r="G51" i="58"/>
  <c r="F51" i="58"/>
  <c r="E51" i="58"/>
  <c r="D51" i="58"/>
  <c r="C51" i="58"/>
  <c r="B51" i="58"/>
  <c r="A50" i="58"/>
  <c r="A49" i="58"/>
  <c r="A51" i="58" s="1"/>
  <c r="K48" i="58"/>
  <c r="J48" i="58"/>
  <c r="I48" i="58"/>
  <c r="H48" i="58"/>
  <c r="G48" i="58"/>
  <c r="F48" i="58"/>
  <c r="E48" i="58"/>
  <c r="D48" i="58"/>
  <c r="C48" i="58"/>
  <c r="B48" i="58"/>
  <c r="A47" i="58"/>
  <c r="A46" i="58"/>
  <c r="A48" i="58" s="1"/>
  <c r="K45" i="58"/>
  <c r="J45" i="58"/>
  <c r="I45" i="58"/>
  <c r="H45" i="58"/>
  <c r="G45" i="58"/>
  <c r="F45" i="58"/>
  <c r="E45" i="58"/>
  <c r="D45" i="58"/>
  <c r="C45" i="58"/>
  <c r="B45" i="58"/>
  <c r="A44" i="58"/>
  <c r="A43" i="58"/>
  <c r="A45" i="58" s="1"/>
  <c r="K42" i="58"/>
  <c r="J42" i="58"/>
  <c r="I42" i="58"/>
  <c r="H42" i="58"/>
  <c r="G42" i="58"/>
  <c r="F42" i="58"/>
  <c r="E42" i="58"/>
  <c r="D42" i="58"/>
  <c r="C42" i="58"/>
  <c r="B42" i="58"/>
  <c r="A41" i="58"/>
  <c r="A40" i="58"/>
  <c r="A42" i="58" s="1"/>
  <c r="K39" i="58"/>
  <c r="J39" i="58"/>
  <c r="I39" i="58"/>
  <c r="H39" i="58"/>
  <c r="G39" i="58"/>
  <c r="F39" i="58"/>
  <c r="E39" i="58"/>
  <c r="D39" i="58"/>
  <c r="C39" i="58"/>
  <c r="B39" i="58"/>
  <c r="A38" i="58"/>
  <c r="A37" i="58"/>
  <c r="A39" i="58" s="1"/>
  <c r="K36" i="58"/>
  <c r="J36" i="58"/>
  <c r="I36" i="58"/>
  <c r="H36" i="58"/>
  <c r="G36" i="58"/>
  <c r="F36" i="58"/>
  <c r="E36" i="58"/>
  <c r="D36" i="58"/>
  <c r="C36" i="58"/>
  <c r="B36" i="58"/>
  <c r="A35" i="58"/>
  <c r="A34" i="58"/>
  <c r="A36" i="58" s="1"/>
  <c r="K33" i="58"/>
  <c r="J33" i="58"/>
  <c r="I33" i="58"/>
  <c r="H33" i="58"/>
  <c r="G33" i="58"/>
  <c r="F33" i="58"/>
  <c r="E33" i="58"/>
  <c r="D33" i="58"/>
  <c r="C33" i="58"/>
  <c r="B33" i="58"/>
  <c r="A32" i="58"/>
  <c r="A31" i="58"/>
  <c r="A33" i="58" s="1"/>
  <c r="K30" i="58"/>
  <c r="J30" i="58"/>
  <c r="I30" i="58"/>
  <c r="H30" i="58"/>
  <c r="G30" i="58"/>
  <c r="F30" i="58"/>
  <c r="E30" i="58"/>
  <c r="D30" i="58"/>
  <c r="C30" i="58"/>
  <c r="B30" i="58"/>
  <c r="A29" i="58"/>
  <c r="A28" i="58"/>
  <c r="A30" i="58" s="1"/>
  <c r="K27" i="58"/>
  <c r="J27" i="58"/>
  <c r="I27" i="58"/>
  <c r="H27" i="58"/>
  <c r="G27" i="58"/>
  <c r="F27" i="58"/>
  <c r="E27" i="58"/>
  <c r="D27" i="58"/>
  <c r="C27" i="58"/>
  <c r="B27" i="58"/>
  <c r="A26" i="58"/>
  <c r="A25" i="58"/>
  <c r="A27" i="58" s="1"/>
  <c r="K24" i="58"/>
  <c r="J24" i="58"/>
  <c r="I24" i="58"/>
  <c r="H24" i="58"/>
  <c r="G24" i="58"/>
  <c r="F24" i="58"/>
  <c r="E24" i="58"/>
  <c r="D24" i="58"/>
  <c r="C24" i="58"/>
  <c r="B24" i="58"/>
  <c r="A23" i="58"/>
  <c r="A22" i="58"/>
  <c r="A24" i="58" s="1"/>
  <c r="K21" i="58"/>
  <c r="J21" i="58"/>
  <c r="I21" i="58"/>
  <c r="H21" i="58"/>
  <c r="G21" i="58"/>
  <c r="F21" i="58"/>
  <c r="E21" i="58"/>
  <c r="D21" i="58"/>
  <c r="C21" i="58"/>
  <c r="B21" i="58"/>
  <c r="A20" i="58"/>
  <c r="A19" i="58"/>
  <c r="A21" i="58" s="1"/>
  <c r="K18" i="58"/>
  <c r="J18" i="58"/>
  <c r="I18" i="58"/>
  <c r="H18" i="58"/>
  <c r="G18" i="58"/>
  <c r="F18" i="58"/>
  <c r="E18" i="58"/>
  <c r="D18" i="58"/>
  <c r="C18" i="58"/>
  <c r="B18" i="58"/>
  <c r="A17" i="58"/>
  <c r="A16" i="58"/>
  <c r="A18" i="58" s="1"/>
  <c r="K15" i="58"/>
  <c r="J15" i="58"/>
  <c r="I15" i="58"/>
  <c r="H15" i="58"/>
  <c r="G15" i="58"/>
  <c r="F15" i="58"/>
  <c r="E15" i="58"/>
  <c r="D15" i="58"/>
  <c r="C15" i="58"/>
  <c r="B15" i="58"/>
  <c r="A14" i="58"/>
  <c r="A13" i="58"/>
  <c r="A15" i="58" s="1"/>
  <c r="K12" i="58"/>
  <c r="J12" i="58"/>
  <c r="I12" i="58"/>
  <c r="H12" i="58"/>
  <c r="G12" i="58"/>
  <c r="F12" i="58"/>
  <c r="E12" i="58"/>
  <c r="D12" i="58"/>
  <c r="C12" i="58"/>
  <c r="B12" i="58"/>
  <c r="A11" i="58"/>
  <c r="A10" i="58"/>
  <c r="A12" i="58" s="1"/>
  <c r="K9" i="58"/>
  <c r="J9" i="58"/>
  <c r="I9" i="58"/>
  <c r="H9" i="58"/>
  <c r="G9" i="58"/>
  <c r="F9" i="58"/>
  <c r="E9" i="58"/>
  <c r="D9" i="58"/>
  <c r="C9" i="58"/>
  <c r="B9" i="58"/>
  <c r="A8" i="58"/>
  <c r="A7" i="58"/>
  <c r="A9" i="58" s="1"/>
  <c r="K6" i="58"/>
  <c r="K75" i="58" s="1"/>
  <c r="J6" i="58"/>
  <c r="J75" i="58" s="1"/>
  <c r="I6" i="58"/>
  <c r="I75" i="58" s="1"/>
  <c r="H6" i="58"/>
  <c r="H75" i="58" s="1"/>
  <c r="G6" i="58"/>
  <c r="G75" i="58" s="1"/>
  <c r="F6" i="58"/>
  <c r="F75" i="58" s="1"/>
  <c r="E6" i="58"/>
  <c r="E75" i="58" s="1"/>
  <c r="D6" i="58"/>
  <c r="D75" i="58" s="1"/>
  <c r="C6" i="58"/>
  <c r="C75" i="58" s="1"/>
  <c r="B6" i="58"/>
  <c r="B75" i="58" s="1"/>
  <c r="A5" i="58"/>
  <c r="A74" i="58" s="1"/>
  <c r="A4" i="58"/>
  <c r="A6" i="58" s="1"/>
  <c r="A75" i="58" s="1"/>
  <c r="K74" i="57"/>
  <c r="J74" i="57"/>
  <c r="I74" i="57"/>
  <c r="H74" i="57"/>
  <c r="G74" i="57"/>
  <c r="F74" i="57"/>
  <c r="E74" i="57"/>
  <c r="D74" i="57"/>
  <c r="C74" i="57"/>
  <c r="B74" i="57"/>
  <c r="K73" i="57"/>
  <c r="J73" i="57"/>
  <c r="I73" i="57"/>
  <c r="H73" i="57"/>
  <c r="G73" i="57"/>
  <c r="F73" i="57"/>
  <c r="E73" i="57"/>
  <c r="D73" i="57"/>
  <c r="C73" i="57"/>
  <c r="B73" i="57"/>
  <c r="K72" i="57"/>
  <c r="J72" i="57"/>
  <c r="I72" i="57"/>
  <c r="H72" i="57"/>
  <c r="G72" i="57"/>
  <c r="F72" i="57"/>
  <c r="E72" i="57"/>
  <c r="D72" i="57"/>
  <c r="C72" i="57"/>
  <c r="B72" i="57"/>
  <c r="A71" i="57"/>
  <c r="A70" i="57"/>
  <c r="A72" i="57" s="1"/>
  <c r="K69" i="57"/>
  <c r="J69" i="57"/>
  <c r="I69" i="57"/>
  <c r="H69" i="57"/>
  <c r="G69" i="57"/>
  <c r="F69" i="57"/>
  <c r="E69" i="57"/>
  <c r="D69" i="57"/>
  <c r="C69" i="57"/>
  <c r="B69" i="57"/>
  <c r="A68" i="57"/>
  <c r="A67" i="57"/>
  <c r="A69" i="57" s="1"/>
  <c r="K66" i="57"/>
  <c r="J66" i="57"/>
  <c r="I66" i="57"/>
  <c r="H66" i="57"/>
  <c r="G66" i="57"/>
  <c r="F66" i="57"/>
  <c r="E66" i="57"/>
  <c r="D66" i="57"/>
  <c r="C66" i="57"/>
  <c r="B66" i="57"/>
  <c r="A65" i="57"/>
  <c r="A64" i="57"/>
  <c r="A66" i="57" s="1"/>
  <c r="K63" i="57"/>
  <c r="J63" i="57"/>
  <c r="I63" i="57"/>
  <c r="H63" i="57"/>
  <c r="G63" i="57"/>
  <c r="F63" i="57"/>
  <c r="E63" i="57"/>
  <c r="D63" i="57"/>
  <c r="C63" i="57"/>
  <c r="B63" i="57"/>
  <c r="A62" i="57"/>
  <c r="A61" i="57"/>
  <c r="A63" i="57" s="1"/>
  <c r="K60" i="57"/>
  <c r="J60" i="57"/>
  <c r="I60" i="57"/>
  <c r="H60" i="57"/>
  <c r="G60" i="57"/>
  <c r="F60" i="57"/>
  <c r="E60" i="57"/>
  <c r="D60" i="57"/>
  <c r="C60" i="57"/>
  <c r="B60" i="57"/>
  <c r="A59" i="57"/>
  <c r="A58" i="57"/>
  <c r="A60" i="57" s="1"/>
  <c r="K57" i="57"/>
  <c r="J57" i="57"/>
  <c r="I57" i="57"/>
  <c r="H57" i="57"/>
  <c r="G57" i="57"/>
  <c r="F57" i="57"/>
  <c r="E57" i="57"/>
  <c r="D57" i="57"/>
  <c r="C57" i="57"/>
  <c r="B57" i="57"/>
  <c r="A56" i="57"/>
  <c r="A55" i="57"/>
  <c r="A57" i="57" s="1"/>
  <c r="K54" i="57"/>
  <c r="J54" i="57"/>
  <c r="I54" i="57"/>
  <c r="H54" i="57"/>
  <c r="G54" i="57"/>
  <c r="F54" i="57"/>
  <c r="E54" i="57"/>
  <c r="D54" i="57"/>
  <c r="C54" i="57"/>
  <c r="B54" i="57"/>
  <c r="A53" i="57"/>
  <c r="A52" i="57"/>
  <c r="A54" i="57" s="1"/>
  <c r="K51" i="57"/>
  <c r="J51" i="57"/>
  <c r="I51" i="57"/>
  <c r="H51" i="57"/>
  <c r="G51" i="57"/>
  <c r="F51" i="57"/>
  <c r="E51" i="57"/>
  <c r="D51" i="57"/>
  <c r="C51" i="57"/>
  <c r="B51" i="57"/>
  <c r="A50" i="57"/>
  <c r="A49" i="57"/>
  <c r="A51" i="57" s="1"/>
  <c r="K48" i="57"/>
  <c r="J48" i="57"/>
  <c r="I48" i="57"/>
  <c r="H48" i="57"/>
  <c r="G48" i="57"/>
  <c r="F48" i="57"/>
  <c r="E48" i="57"/>
  <c r="D48" i="57"/>
  <c r="C48" i="57"/>
  <c r="B48" i="57"/>
  <c r="A47" i="57"/>
  <c r="A46" i="57"/>
  <c r="A48" i="57" s="1"/>
  <c r="K45" i="57"/>
  <c r="J45" i="57"/>
  <c r="I45" i="57"/>
  <c r="H45" i="57"/>
  <c r="G45" i="57"/>
  <c r="F45" i="57"/>
  <c r="E45" i="57"/>
  <c r="D45" i="57"/>
  <c r="C45" i="57"/>
  <c r="B45" i="57"/>
  <c r="A44" i="57"/>
  <c r="A43" i="57"/>
  <c r="A45" i="57" s="1"/>
  <c r="K42" i="57"/>
  <c r="J42" i="57"/>
  <c r="I42" i="57"/>
  <c r="H42" i="57"/>
  <c r="G42" i="57"/>
  <c r="F42" i="57"/>
  <c r="E42" i="57"/>
  <c r="D42" i="57"/>
  <c r="C42" i="57"/>
  <c r="B42" i="57"/>
  <c r="A41" i="57"/>
  <c r="A40" i="57"/>
  <c r="A42" i="57" s="1"/>
  <c r="K39" i="57"/>
  <c r="J39" i="57"/>
  <c r="I39" i="57"/>
  <c r="H39" i="57"/>
  <c r="G39" i="57"/>
  <c r="F39" i="57"/>
  <c r="E39" i="57"/>
  <c r="D39" i="57"/>
  <c r="C39" i="57"/>
  <c r="B39" i="57"/>
  <c r="A38" i="57"/>
  <c r="A37" i="57"/>
  <c r="A39" i="57" s="1"/>
  <c r="K36" i="57"/>
  <c r="J36" i="57"/>
  <c r="I36" i="57"/>
  <c r="H36" i="57"/>
  <c r="G36" i="57"/>
  <c r="F36" i="57"/>
  <c r="E36" i="57"/>
  <c r="D36" i="57"/>
  <c r="C36" i="57"/>
  <c r="B36" i="57"/>
  <c r="A35" i="57"/>
  <c r="A34" i="57"/>
  <c r="A36" i="57" s="1"/>
  <c r="K33" i="57"/>
  <c r="J33" i="57"/>
  <c r="I33" i="57"/>
  <c r="H33" i="57"/>
  <c r="G33" i="57"/>
  <c r="F33" i="57"/>
  <c r="E33" i="57"/>
  <c r="D33" i="57"/>
  <c r="C33" i="57"/>
  <c r="B33" i="57"/>
  <c r="A32" i="57"/>
  <c r="A31" i="57"/>
  <c r="A33" i="57" s="1"/>
  <c r="K30" i="57"/>
  <c r="J30" i="57"/>
  <c r="I30" i="57"/>
  <c r="H30" i="57"/>
  <c r="G30" i="57"/>
  <c r="F30" i="57"/>
  <c r="E30" i="57"/>
  <c r="D30" i="57"/>
  <c r="C30" i="57"/>
  <c r="B30" i="57"/>
  <c r="A29" i="57"/>
  <c r="A28" i="57"/>
  <c r="A30" i="57" s="1"/>
  <c r="K27" i="57"/>
  <c r="J27" i="57"/>
  <c r="I27" i="57"/>
  <c r="H27" i="57"/>
  <c r="G27" i="57"/>
  <c r="F27" i="57"/>
  <c r="E27" i="57"/>
  <c r="D27" i="57"/>
  <c r="C27" i="57"/>
  <c r="B27" i="57"/>
  <c r="A26" i="57"/>
  <c r="A25" i="57"/>
  <c r="A27" i="57" s="1"/>
  <c r="K24" i="57"/>
  <c r="J24" i="57"/>
  <c r="I24" i="57"/>
  <c r="H24" i="57"/>
  <c r="G24" i="57"/>
  <c r="F24" i="57"/>
  <c r="E24" i="57"/>
  <c r="D24" i="57"/>
  <c r="C24" i="57"/>
  <c r="B24" i="57"/>
  <c r="A23" i="57"/>
  <c r="A22" i="57"/>
  <c r="A24" i="57" s="1"/>
  <c r="K21" i="57"/>
  <c r="J21" i="57"/>
  <c r="I21" i="57"/>
  <c r="H21" i="57"/>
  <c r="G21" i="57"/>
  <c r="F21" i="57"/>
  <c r="E21" i="57"/>
  <c r="D21" i="57"/>
  <c r="C21" i="57"/>
  <c r="B21" i="57"/>
  <c r="A20" i="57"/>
  <c r="A19" i="57"/>
  <c r="A21" i="57" s="1"/>
  <c r="K18" i="57"/>
  <c r="J18" i="57"/>
  <c r="I18" i="57"/>
  <c r="H18" i="57"/>
  <c r="G18" i="57"/>
  <c r="F18" i="57"/>
  <c r="E18" i="57"/>
  <c r="D18" i="57"/>
  <c r="C18" i="57"/>
  <c r="B18" i="57"/>
  <c r="A17" i="57"/>
  <c r="A16" i="57"/>
  <c r="A18" i="57" s="1"/>
  <c r="K15" i="57"/>
  <c r="J15" i="57"/>
  <c r="I15" i="57"/>
  <c r="H15" i="57"/>
  <c r="G15" i="57"/>
  <c r="F15" i="57"/>
  <c r="E15" i="57"/>
  <c r="D15" i="57"/>
  <c r="C15" i="57"/>
  <c r="B15" i="57"/>
  <c r="A14" i="57"/>
  <c r="A13" i="57"/>
  <c r="A15" i="57" s="1"/>
  <c r="K12" i="57"/>
  <c r="J12" i="57"/>
  <c r="I12" i="57"/>
  <c r="H12" i="57"/>
  <c r="G12" i="57"/>
  <c r="F12" i="57"/>
  <c r="E12" i="57"/>
  <c r="D12" i="57"/>
  <c r="C12" i="57"/>
  <c r="B12" i="57"/>
  <c r="A11" i="57"/>
  <c r="A10" i="57"/>
  <c r="A12" i="57" s="1"/>
  <c r="K9" i="57"/>
  <c r="J9" i="57"/>
  <c r="I9" i="57"/>
  <c r="H9" i="57"/>
  <c r="G9" i="57"/>
  <c r="F9" i="57"/>
  <c r="E9" i="57"/>
  <c r="D9" i="57"/>
  <c r="C9" i="57"/>
  <c r="B9" i="57"/>
  <c r="A8" i="57"/>
  <c r="A7" i="57"/>
  <c r="A9" i="57" s="1"/>
  <c r="K6" i="57"/>
  <c r="K75" i="57" s="1"/>
  <c r="J6" i="57"/>
  <c r="J75" i="57" s="1"/>
  <c r="I6" i="57"/>
  <c r="I75" i="57" s="1"/>
  <c r="H6" i="57"/>
  <c r="H75" i="57" s="1"/>
  <c r="G6" i="57"/>
  <c r="G75" i="57" s="1"/>
  <c r="F6" i="57"/>
  <c r="F75" i="57" s="1"/>
  <c r="E6" i="57"/>
  <c r="E75" i="57" s="1"/>
  <c r="D6" i="57"/>
  <c r="D75" i="57" s="1"/>
  <c r="C6" i="57"/>
  <c r="C75" i="57" s="1"/>
  <c r="B6" i="57"/>
  <c r="B75" i="57" s="1"/>
  <c r="A5" i="57"/>
  <c r="A74" i="57" s="1"/>
  <c r="A4" i="57"/>
  <c r="A6" i="57" s="1"/>
  <c r="A75" i="57" s="1"/>
  <c r="K77" i="56"/>
  <c r="J77" i="56"/>
  <c r="I77" i="56"/>
  <c r="H77" i="56"/>
  <c r="G77" i="56"/>
  <c r="F77" i="56"/>
  <c r="E77" i="56"/>
  <c r="D77" i="56"/>
  <c r="C77" i="56"/>
  <c r="B77" i="56"/>
  <c r="K76" i="56"/>
  <c r="J76" i="56"/>
  <c r="I76" i="56"/>
  <c r="H76" i="56"/>
  <c r="G76" i="56"/>
  <c r="F76" i="56"/>
  <c r="E76" i="56"/>
  <c r="D76" i="56"/>
  <c r="C76" i="56"/>
  <c r="B76" i="56"/>
  <c r="K75" i="56"/>
  <c r="J75" i="56"/>
  <c r="I75" i="56"/>
  <c r="H75" i="56"/>
  <c r="G75" i="56"/>
  <c r="F75" i="56"/>
  <c r="E75" i="56"/>
  <c r="D75" i="56"/>
  <c r="C75" i="56"/>
  <c r="B75" i="56"/>
  <c r="A74" i="56"/>
  <c r="A73" i="56"/>
  <c r="A75" i="56" s="1"/>
  <c r="K72" i="56"/>
  <c r="J72" i="56"/>
  <c r="I72" i="56"/>
  <c r="H72" i="56"/>
  <c r="G72" i="56"/>
  <c r="F72" i="56"/>
  <c r="E72" i="56"/>
  <c r="D72" i="56"/>
  <c r="C72" i="56"/>
  <c r="B72" i="56"/>
  <c r="A71" i="56"/>
  <c r="A70" i="56"/>
  <c r="A72" i="56" s="1"/>
  <c r="K69" i="56"/>
  <c r="J69" i="56"/>
  <c r="I69" i="56"/>
  <c r="H69" i="56"/>
  <c r="G69" i="56"/>
  <c r="F69" i="56"/>
  <c r="E69" i="56"/>
  <c r="D69" i="56"/>
  <c r="C69" i="56"/>
  <c r="B69" i="56"/>
  <c r="A68" i="56"/>
  <c r="A67" i="56"/>
  <c r="A69" i="56" s="1"/>
  <c r="K66" i="56"/>
  <c r="J66" i="56"/>
  <c r="I66" i="56"/>
  <c r="H66" i="56"/>
  <c r="G66" i="56"/>
  <c r="F66" i="56"/>
  <c r="E66" i="56"/>
  <c r="D66" i="56"/>
  <c r="C66" i="56"/>
  <c r="B66" i="56"/>
  <c r="A65" i="56"/>
  <c r="A64" i="56"/>
  <c r="A66" i="56" s="1"/>
  <c r="K63" i="56"/>
  <c r="J63" i="56"/>
  <c r="I63" i="56"/>
  <c r="H63" i="56"/>
  <c r="G63" i="56"/>
  <c r="F63" i="56"/>
  <c r="E63" i="56"/>
  <c r="D63" i="56"/>
  <c r="C63" i="56"/>
  <c r="B63" i="56"/>
  <c r="A62" i="56"/>
  <c r="A61" i="56"/>
  <c r="A63" i="56" s="1"/>
  <c r="K60" i="56"/>
  <c r="J60" i="56"/>
  <c r="I60" i="56"/>
  <c r="H60" i="56"/>
  <c r="G60" i="56"/>
  <c r="F60" i="56"/>
  <c r="E60" i="56"/>
  <c r="D60" i="56"/>
  <c r="C60" i="56"/>
  <c r="B60" i="56"/>
  <c r="A59" i="56"/>
  <c r="A58" i="56"/>
  <c r="A60" i="56" s="1"/>
  <c r="K57" i="56"/>
  <c r="J57" i="56"/>
  <c r="I57" i="56"/>
  <c r="H57" i="56"/>
  <c r="G57" i="56"/>
  <c r="F57" i="56"/>
  <c r="E57" i="56"/>
  <c r="D57" i="56"/>
  <c r="C57" i="56"/>
  <c r="B57" i="56"/>
  <c r="A56" i="56"/>
  <c r="A55" i="56"/>
  <c r="A57" i="56" s="1"/>
  <c r="K54" i="56"/>
  <c r="J54" i="56"/>
  <c r="I54" i="56"/>
  <c r="H54" i="56"/>
  <c r="G54" i="56"/>
  <c r="F54" i="56"/>
  <c r="E54" i="56"/>
  <c r="D54" i="56"/>
  <c r="C54" i="56"/>
  <c r="B54" i="56"/>
  <c r="A53" i="56"/>
  <c r="A52" i="56"/>
  <c r="A54" i="56" s="1"/>
  <c r="K51" i="56"/>
  <c r="J51" i="56"/>
  <c r="I51" i="56"/>
  <c r="H51" i="56"/>
  <c r="G51" i="56"/>
  <c r="F51" i="56"/>
  <c r="E51" i="56"/>
  <c r="D51" i="56"/>
  <c r="C51" i="56"/>
  <c r="B51" i="56"/>
  <c r="A50" i="56"/>
  <c r="A49" i="56"/>
  <c r="A51" i="56" s="1"/>
  <c r="K48" i="56"/>
  <c r="J48" i="56"/>
  <c r="I48" i="56"/>
  <c r="H48" i="56"/>
  <c r="G48" i="56"/>
  <c r="F48" i="56"/>
  <c r="E48" i="56"/>
  <c r="D48" i="56"/>
  <c r="C48" i="56"/>
  <c r="B48" i="56"/>
  <c r="A47" i="56"/>
  <c r="A46" i="56"/>
  <c r="A48" i="56" s="1"/>
  <c r="K45" i="56"/>
  <c r="J45" i="56"/>
  <c r="I45" i="56"/>
  <c r="H45" i="56"/>
  <c r="G45" i="56"/>
  <c r="F45" i="56"/>
  <c r="E45" i="56"/>
  <c r="D45" i="56"/>
  <c r="C45" i="56"/>
  <c r="B45" i="56"/>
  <c r="A44" i="56"/>
  <c r="A43" i="56"/>
  <c r="A45" i="56" s="1"/>
  <c r="K42" i="56"/>
  <c r="J42" i="56"/>
  <c r="I42" i="56"/>
  <c r="H42" i="56"/>
  <c r="G42" i="56"/>
  <c r="F42" i="56"/>
  <c r="E42" i="56"/>
  <c r="D42" i="56"/>
  <c r="C42" i="56"/>
  <c r="B42" i="56"/>
  <c r="A41" i="56"/>
  <c r="A40" i="56"/>
  <c r="A42" i="56" s="1"/>
  <c r="K39" i="56"/>
  <c r="J39" i="56"/>
  <c r="I39" i="56"/>
  <c r="H39" i="56"/>
  <c r="G39" i="56"/>
  <c r="F39" i="56"/>
  <c r="E39" i="56"/>
  <c r="D39" i="56"/>
  <c r="C39" i="56"/>
  <c r="B39" i="56"/>
  <c r="A38" i="56"/>
  <c r="A37" i="56"/>
  <c r="A39" i="56" s="1"/>
  <c r="K36" i="56"/>
  <c r="J36" i="56"/>
  <c r="I36" i="56"/>
  <c r="H36" i="56"/>
  <c r="G36" i="56"/>
  <c r="F36" i="56"/>
  <c r="E36" i="56"/>
  <c r="D36" i="56"/>
  <c r="C36" i="56"/>
  <c r="B36" i="56"/>
  <c r="A35" i="56"/>
  <c r="A34" i="56"/>
  <c r="A36" i="56" s="1"/>
  <c r="K33" i="56"/>
  <c r="J33" i="56"/>
  <c r="I33" i="56"/>
  <c r="H33" i="56"/>
  <c r="G33" i="56"/>
  <c r="F33" i="56"/>
  <c r="E33" i="56"/>
  <c r="D33" i="56"/>
  <c r="C33" i="56"/>
  <c r="B33" i="56"/>
  <c r="A32" i="56"/>
  <c r="A31" i="56"/>
  <c r="A33" i="56" s="1"/>
  <c r="K30" i="56"/>
  <c r="J30" i="56"/>
  <c r="I30" i="56"/>
  <c r="H30" i="56"/>
  <c r="G30" i="56"/>
  <c r="F30" i="56"/>
  <c r="E30" i="56"/>
  <c r="D30" i="56"/>
  <c r="C30" i="56"/>
  <c r="B30" i="56"/>
  <c r="A29" i="56"/>
  <c r="A28" i="56"/>
  <c r="A30" i="56" s="1"/>
  <c r="K27" i="56"/>
  <c r="J27" i="56"/>
  <c r="I27" i="56"/>
  <c r="H27" i="56"/>
  <c r="G27" i="56"/>
  <c r="F27" i="56"/>
  <c r="E27" i="56"/>
  <c r="D27" i="56"/>
  <c r="C27" i="56"/>
  <c r="B27" i="56"/>
  <c r="A26" i="56"/>
  <c r="A25" i="56"/>
  <c r="A27" i="56" s="1"/>
  <c r="K24" i="56"/>
  <c r="J24" i="56"/>
  <c r="I24" i="56"/>
  <c r="H24" i="56"/>
  <c r="G24" i="56"/>
  <c r="F24" i="56"/>
  <c r="E24" i="56"/>
  <c r="D24" i="56"/>
  <c r="C24" i="56"/>
  <c r="B24" i="56"/>
  <c r="A23" i="56"/>
  <c r="A22" i="56"/>
  <c r="A24" i="56" s="1"/>
  <c r="K21" i="56"/>
  <c r="J21" i="56"/>
  <c r="I21" i="56"/>
  <c r="H21" i="56"/>
  <c r="G21" i="56"/>
  <c r="F21" i="56"/>
  <c r="E21" i="56"/>
  <c r="D21" i="56"/>
  <c r="C21" i="56"/>
  <c r="B21" i="56"/>
  <c r="A20" i="56"/>
  <c r="A19" i="56"/>
  <c r="A21" i="56" s="1"/>
  <c r="K18" i="56"/>
  <c r="J18" i="56"/>
  <c r="I18" i="56"/>
  <c r="H18" i="56"/>
  <c r="G18" i="56"/>
  <c r="F18" i="56"/>
  <c r="E18" i="56"/>
  <c r="D18" i="56"/>
  <c r="C18" i="56"/>
  <c r="B18" i="56"/>
  <c r="A17" i="56"/>
  <c r="A16" i="56"/>
  <c r="A18" i="56" s="1"/>
  <c r="K15" i="56"/>
  <c r="J15" i="56"/>
  <c r="I15" i="56"/>
  <c r="H15" i="56"/>
  <c r="G15" i="56"/>
  <c r="F15" i="56"/>
  <c r="E15" i="56"/>
  <c r="D15" i="56"/>
  <c r="C15" i="56"/>
  <c r="B15" i="56"/>
  <c r="A14" i="56"/>
  <c r="A13" i="56"/>
  <c r="A15" i="56" s="1"/>
  <c r="K12" i="56"/>
  <c r="J12" i="56"/>
  <c r="I12" i="56"/>
  <c r="H12" i="56"/>
  <c r="G12" i="56"/>
  <c r="F12" i="56"/>
  <c r="E12" i="56"/>
  <c r="D12" i="56"/>
  <c r="C12" i="56"/>
  <c r="B12" i="56"/>
  <c r="A11" i="56"/>
  <c r="A10" i="56"/>
  <c r="A12" i="56" s="1"/>
  <c r="K9" i="56"/>
  <c r="J9" i="56"/>
  <c r="I9" i="56"/>
  <c r="H9" i="56"/>
  <c r="G9" i="56"/>
  <c r="F9" i="56"/>
  <c r="E9" i="56"/>
  <c r="D9" i="56"/>
  <c r="C9" i="56"/>
  <c r="B9" i="56"/>
  <c r="A8" i="56"/>
  <c r="A7" i="56"/>
  <c r="A9" i="56" s="1"/>
  <c r="K6" i="56"/>
  <c r="K78" i="56" s="1"/>
  <c r="J6" i="56"/>
  <c r="J78" i="56" s="1"/>
  <c r="I6" i="56"/>
  <c r="I78" i="56" s="1"/>
  <c r="H6" i="56"/>
  <c r="H78" i="56" s="1"/>
  <c r="G6" i="56"/>
  <c r="G78" i="56" s="1"/>
  <c r="F6" i="56"/>
  <c r="F78" i="56" s="1"/>
  <c r="E6" i="56"/>
  <c r="E78" i="56" s="1"/>
  <c r="D6" i="56"/>
  <c r="D78" i="56" s="1"/>
  <c r="C6" i="56"/>
  <c r="C78" i="56" s="1"/>
  <c r="B6" i="56"/>
  <c r="B78" i="56" s="1"/>
  <c r="A5" i="56"/>
  <c r="A77" i="56" s="1"/>
  <c r="A4" i="56"/>
  <c r="A76" i="56" s="1"/>
  <c r="H75" i="55"/>
  <c r="G75" i="55"/>
  <c r="F75" i="55"/>
  <c r="E75" i="55"/>
  <c r="D75" i="55"/>
  <c r="C75" i="55"/>
  <c r="B75" i="55"/>
  <c r="H74" i="55"/>
  <c r="G74" i="55"/>
  <c r="F74" i="55"/>
  <c r="E74" i="55"/>
  <c r="D74" i="55"/>
  <c r="C74" i="55"/>
  <c r="B74" i="55"/>
  <c r="H73" i="55"/>
  <c r="G73" i="55"/>
  <c r="F73" i="55"/>
  <c r="E73" i="55"/>
  <c r="D73" i="55"/>
  <c r="C73" i="55"/>
  <c r="B73" i="55"/>
  <c r="A72" i="55"/>
  <c r="A71" i="55"/>
  <c r="H70" i="55"/>
  <c r="G70" i="55"/>
  <c r="F70" i="55"/>
  <c r="E70" i="55"/>
  <c r="D70" i="55"/>
  <c r="C70" i="55"/>
  <c r="B70" i="55"/>
  <c r="A69" i="55"/>
  <c r="A68" i="55"/>
  <c r="A70" i="55" s="1"/>
  <c r="H67" i="55"/>
  <c r="G67" i="55"/>
  <c r="F67" i="55"/>
  <c r="E67" i="55"/>
  <c r="D67" i="55"/>
  <c r="C67" i="55"/>
  <c r="B67" i="55"/>
  <c r="A66" i="55"/>
  <c r="A65" i="55"/>
  <c r="H64" i="55"/>
  <c r="G64" i="55"/>
  <c r="F64" i="55"/>
  <c r="E64" i="55"/>
  <c r="D64" i="55"/>
  <c r="C64" i="55"/>
  <c r="B64" i="55"/>
  <c r="A63" i="55"/>
  <c r="A62" i="55"/>
  <c r="A64" i="55" s="1"/>
  <c r="H61" i="55"/>
  <c r="G61" i="55"/>
  <c r="F61" i="55"/>
  <c r="E61" i="55"/>
  <c r="D61" i="55"/>
  <c r="C61" i="55"/>
  <c r="B61" i="55"/>
  <c r="A60" i="55"/>
  <c r="A59" i="55"/>
  <c r="H58" i="55"/>
  <c r="G58" i="55"/>
  <c r="F58" i="55"/>
  <c r="E58" i="55"/>
  <c r="D58" i="55"/>
  <c r="C58" i="55"/>
  <c r="B58" i="55"/>
  <c r="A57" i="55"/>
  <c r="A56" i="55"/>
  <c r="A58" i="55" s="1"/>
  <c r="H55" i="55"/>
  <c r="G55" i="55"/>
  <c r="F55" i="55"/>
  <c r="E55" i="55"/>
  <c r="D55" i="55"/>
  <c r="C55" i="55"/>
  <c r="B55" i="55"/>
  <c r="A54" i="55"/>
  <c r="A53" i="55"/>
  <c r="H52" i="55"/>
  <c r="G52" i="55"/>
  <c r="F52" i="55"/>
  <c r="E52" i="55"/>
  <c r="D52" i="55"/>
  <c r="C52" i="55"/>
  <c r="B52" i="55"/>
  <c r="A51" i="55"/>
  <c r="A50" i="55"/>
  <c r="A52" i="55" s="1"/>
  <c r="H49" i="55"/>
  <c r="G49" i="55"/>
  <c r="F49" i="55"/>
  <c r="E49" i="55"/>
  <c r="D49" i="55"/>
  <c r="C49" i="55"/>
  <c r="B49" i="55"/>
  <c r="A48" i="55"/>
  <c r="A47" i="55"/>
  <c r="H46" i="55"/>
  <c r="G46" i="55"/>
  <c r="F46" i="55"/>
  <c r="E46" i="55"/>
  <c r="D46" i="55"/>
  <c r="C46" i="55"/>
  <c r="B46" i="55"/>
  <c r="A45" i="55"/>
  <c r="A44" i="55"/>
  <c r="A46" i="55" s="1"/>
  <c r="H43" i="55"/>
  <c r="G43" i="55"/>
  <c r="F43" i="55"/>
  <c r="E43" i="55"/>
  <c r="D43" i="55"/>
  <c r="C43" i="55"/>
  <c r="B43" i="55"/>
  <c r="A42" i="55"/>
  <c r="A41" i="55"/>
  <c r="H40" i="55"/>
  <c r="G40" i="55"/>
  <c r="F40" i="55"/>
  <c r="E40" i="55"/>
  <c r="D40" i="55"/>
  <c r="C40" i="55"/>
  <c r="B40" i="55"/>
  <c r="A39" i="55"/>
  <c r="A38" i="55"/>
  <c r="A40" i="55" s="1"/>
  <c r="H37" i="55"/>
  <c r="G37" i="55"/>
  <c r="F37" i="55"/>
  <c r="E37" i="55"/>
  <c r="D37" i="55"/>
  <c r="C37" i="55"/>
  <c r="B37" i="55"/>
  <c r="A36" i="55"/>
  <c r="A35" i="55"/>
  <c r="H34" i="55"/>
  <c r="G34" i="55"/>
  <c r="F34" i="55"/>
  <c r="E34" i="55"/>
  <c r="D34" i="55"/>
  <c r="C34" i="55"/>
  <c r="B34" i="55"/>
  <c r="A33" i="55"/>
  <c r="A32" i="55"/>
  <c r="A34" i="55" s="1"/>
  <c r="H31" i="55"/>
  <c r="G31" i="55"/>
  <c r="F31" i="55"/>
  <c r="E31" i="55"/>
  <c r="D31" i="55"/>
  <c r="C31" i="55"/>
  <c r="B31" i="55"/>
  <c r="A30" i="55"/>
  <c r="A29" i="55"/>
  <c r="H28" i="55"/>
  <c r="G28" i="55"/>
  <c r="F28" i="55"/>
  <c r="E28" i="55"/>
  <c r="D28" i="55"/>
  <c r="C28" i="55"/>
  <c r="B28" i="55"/>
  <c r="A27" i="55"/>
  <c r="A26" i="55"/>
  <c r="A28" i="55" s="1"/>
  <c r="H25" i="55"/>
  <c r="G25" i="55"/>
  <c r="F25" i="55"/>
  <c r="E25" i="55"/>
  <c r="D25" i="55"/>
  <c r="C25" i="55"/>
  <c r="B25" i="55"/>
  <c r="A24" i="55"/>
  <c r="A23" i="55"/>
  <c r="H22" i="55"/>
  <c r="G22" i="55"/>
  <c r="F22" i="55"/>
  <c r="E22" i="55"/>
  <c r="D22" i="55"/>
  <c r="C22" i="55"/>
  <c r="B22" i="55"/>
  <c r="A21" i="55"/>
  <c r="A20" i="55"/>
  <c r="A22" i="55" s="1"/>
  <c r="H19" i="55"/>
  <c r="G19" i="55"/>
  <c r="F19" i="55"/>
  <c r="E19" i="55"/>
  <c r="D19" i="55"/>
  <c r="C19" i="55"/>
  <c r="B19" i="55"/>
  <c r="A18" i="55"/>
  <c r="A17" i="55"/>
  <c r="H16" i="55"/>
  <c r="G16" i="55"/>
  <c r="F16" i="55"/>
  <c r="E16" i="55"/>
  <c r="D16" i="55"/>
  <c r="C16" i="55"/>
  <c r="B16" i="55"/>
  <c r="A15" i="55"/>
  <c r="A14" i="55"/>
  <c r="A16" i="55" s="1"/>
  <c r="H13" i="55"/>
  <c r="G13" i="55"/>
  <c r="F13" i="55"/>
  <c r="E13" i="55"/>
  <c r="D13" i="55"/>
  <c r="C13" i="55"/>
  <c r="B13" i="55"/>
  <c r="A12" i="55"/>
  <c r="A11" i="55"/>
  <c r="H10" i="55"/>
  <c r="G10" i="55"/>
  <c r="F10" i="55"/>
  <c r="E10" i="55"/>
  <c r="D10" i="55"/>
  <c r="C10" i="55"/>
  <c r="B10" i="55"/>
  <c r="A9" i="55"/>
  <c r="A8" i="55"/>
  <c r="A10" i="55" s="1"/>
  <c r="H7" i="55"/>
  <c r="G7" i="55"/>
  <c r="G76" i="55" s="1"/>
  <c r="F7" i="55"/>
  <c r="E7" i="55"/>
  <c r="E76" i="55" s="1"/>
  <c r="D7" i="55"/>
  <c r="C7" i="55"/>
  <c r="C76" i="55" s="1"/>
  <c r="B7" i="55"/>
  <c r="A6" i="55"/>
  <c r="A75" i="55" s="1"/>
  <c r="A5" i="55"/>
  <c r="H81" i="54"/>
  <c r="G81" i="54"/>
  <c r="F81" i="54"/>
  <c r="E81" i="54"/>
  <c r="D81" i="54"/>
  <c r="C81" i="54"/>
  <c r="B81" i="54"/>
  <c r="H80" i="54"/>
  <c r="G80" i="54"/>
  <c r="F80" i="54"/>
  <c r="E80" i="54"/>
  <c r="D80" i="54"/>
  <c r="C80" i="54"/>
  <c r="B80" i="54"/>
  <c r="H79" i="54"/>
  <c r="G79" i="54"/>
  <c r="F79" i="54"/>
  <c r="E79" i="54"/>
  <c r="D79" i="54"/>
  <c r="C79" i="54"/>
  <c r="B79" i="54"/>
  <c r="A78" i="54"/>
  <c r="A77" i="54"/>
  <c r="A79" i="54" s="1"/>
  <c r="H76" i="54"/>
  <c r="G76" i="54"/>
  <c r="F76" i="54"/>
  <c r="E76" i="54"/>
  <c r="D76" i="54"/>
  <c r="C76" i="54"/>
  <c r="B76" i="54"/>
  <c r="A75" i="54"/>
  <c r="A74" i="54"/>
  <c r="H73" i="54"/>
  <c r="G73" i="54"/>
  <c r="F73" i="54"/>
  <c r="E73" i="54"/>
  <c r="D73" i="54"/>
  <c r="C73" i="54"/>
  <c r="B73" i="54"/>
  <c r="A72" i="54"/>
  <c r="A71" i="54"/>
  <c r="A73" i="54" s="1"/>
  <c r="H70" i="54"/>
  <c r="G70" i="54"/>
  <c r="F70" i="54"/>
  <c r="E70" i="54"/>
  <c r="D70" i="54"/>
  <c r="C70" i="54"/>
  <c r="B70" i="54"/>
  <c r="A69" i="54"/>
  <c r="A68" i="54"/>
  <c r="H67" i="54"/>
  <c r="G67" i="54"/>
  <c r="F67" i="54"/>
  <c r="E67" i="54"/>
  <c r="D67" i="54"/>
  <c r="C67" i="54"/>
  <c r="B67" i="54"/>
  <c r="A66" i="54"/>
  <c r="A65" i="54"/>
  <c r="A67" i="54" s="1"/>
  <c r="H64" i="54"/>
  <c r="G64" i="54"/>
  <c r="F64" i="54"/>
  <c r="E64" i="54"/>
  <c r="D64" i="54"/>
  <c r="C64" i="54"/>
  <c r="B64" i="54"/>
  <c r="A63" i="54"/>
  <c r="A62" i="54"/>
  <c r="H61" i="54"/>
  <c r="G61" i="54"/>
  <c r="F61" i="54"/>
  <c r="E61" i="54"/>
  <c r="D61" i="54"/>
  <c r="C61" i="54"/>
  <c r="B61" i="54"/>
  <c r="A60" i="54"/>
  <c r="A59" i="54"/>
  <c r="A61" i="54" s="1"/>
  <c r="H58" i="54"/>
  <c r="G58" i="54"/>
  <c r="F58" i="54"/>
  <c r="E58" i="54"/>
  <c r="D58" i="54"/>
  <c r="C58" i="54"/>
  <c r="B58" i="54"/>
  <c r="A57" i="54"/>
  <c r="A56" i="54"/>
  <c r="H55" i="54"/>
  <c r="G55" i="54"/>
  <c r="F55" i="54"/>
  <c r="E55" i="54"/>
  <c r="D55" i="54"/>
  <c r="C55" i="54"/>
  <c r="B55" i="54"/>
  <c r="A54" i="54"/>
  <c r="A53" i="54"/>
  <c r="A55" i="54" s="1"/>
  <c r="H52" i="54"/>
  <c r="G52" i="54"/>
  <c r="F52" i="54"/>
  <c r="E52" i="54"/>
  <c r="D52" i="54"/>
  <c r="C52" i="54"/>
  <c r="B52" i="54"/>
  <c r="A51" i="54"/>
  <c r="A50" i="54"/>
  <c r="H49" i="54"/>
  <c r="G49" i="54"/>
  <c r="F49" i="54"/>
  <c r="E49" i="54"/>
  <c r="D49" i="54"/>
  <c r="C49" i="54"/>
  <c r="B49" i="54"/>
  <c r="A48" i="54"/>
  <c r="A47" i="54"/>
  <c r="A49" i="54" s="1"/>
  <c r="H46" i="54"/>
  <c r="G46" i="54"/>
  <c r="F46" i="54"/>
  <c r="E46" i="54"/>
  <c r="D46" i="54"/>
  <c r="C46" i="54"/>
  <c r="B46" i="54"/>
  <c r="A45" i="54"/>
  <c r="A44" i="54"/>
  <c r="H43" i="54"/>
  <c r="G43" i="54"/>
  <c r="F43" i="54"/>
  <c r="E43" i="54"/>
  <c r="D43" i="54"/>
  <c r="C43" i="54"/>
  <c r="B43" i="54"/>
  <c r="A42" i="54"/>
  <c r="A41" i="54"/>
  <c r="A43" i="54" s="1"/>
  <c r="H40" i="54"/>
  <c r="G40" i="54"/>
  <c r="F40" i="54"/>
  <c r="E40" i="54"/>
  <c r="D40" i="54"/>
  <c r="C40" i="54"/>
  <c r="B40" i="54"/>
  <c r="A39" i="54"/>
  <c r="A38" i="54"/>
  <c r="H37" i="54"/>
  <c r="G37" i="54"/>
  <c r="F37" i="54"/>
  <c r="E37" i="54"/>
  <c r="D37" i="54"/>
  <c r="C37" i="54"/>
  <c r="B37" i="54"/>
  <c r="A36" i="54"/>
  <c r="A35" i="54"/>
  <c r="A37" i="54" s="1"/>
  <c r="H34" i="54"/>
  <c r="G34" i="54"/>
  <c r="F34" i="54"/>
  <c r="E34" i="54"/>
  <c r="D34" i="54"/>
  <c r="C34" i="54"/>
  <c r="B34" i="54"/>
  <c r="A33" i="54"/>
  <c r="A32" i="54"/>
  <c r="H31" i="54"/>
  <c r="G31" i="54"/>
  <c r="F31" i="54"/>
  <c r="E31" i="54"/>
  <c r="D31" i="54"/>
  <c r="C31" i="54"/>
  <c r="B31" i="54"/>
  <c r="A30" i="54"/>
  <c r="A29" i="54"/>
  <c r="A31" i="54" s="1"/>
  <c r="H28" i="54"/>
  <c r="G28" i="54"/>
  <c r="F28" i="54"/>
  <c r="E28" i="54"/>
  <c r="D28" i="54"/>
  <c r="C28" i="54"/>
  <c r="B28" i="54"/>
  <c r="A27" i="54"/>
  <c r="A26" i="54"/>
  <c r="H25" i="54"/>
  <c r="G25" i="54"/>
  <c r="F25" i="54"/>
  <c r="E25" i="54"/>
  <c r="D25" i="54"/>
  <c r="C25" i="54"/>
  <c r="B25" i="54"/>
  <c r="A24" i="54"/>
  <c r="A23" i="54"/>
  <c r="A25" i="54" s="1"/>
  <c r="H22" i="54"/>
  <c r="G22" i="54"/>
  <c r="F22" i="54"/>
  <c r="E22" i="54"/>
  <c r="D22" i="54"/>
  <c r="C22" i="54"/>
  <c r="B22" i="54"/>
  <c r="A21" i="54"/>
  <c r="A20" i="54"/>
  <c r="H19" i="54"/>
  <c r="G19" i="54"/>
  <c r="F19" i="54"/>
  <c r="E19" i="54"/>
  <c r="D19" i="54"/>
  <c r="C19" i="54"/>
  <c r="B19" i="54"/>
  <c r="A18" i="54"/>
  <c r="A17" i="54"/>
  <c r="A19" i="54" s="1"/>
  <c r="H16" i="54"/>
  <c r="G16" i="54"/>
  <c r="F16" i="54"/>
  <c r="E16" i="54"/>
  <c r="D16" i="54"/>
  <c r="C16" i="54"/>
  <c r="B16" i="54"/>
  <c r="A15" i="54"/>
  <c r="A14" i="54"/>
  <c r="H13" i="54"/>
  <c r="G13" i="54"/>
  <c r="F13" i="54"/>
  <c r="E13" i="54"/>
  <c r="D13" i="54"/>
  <c r="C13" i="54"/>
  <c r="B13" i="54"/>
  <c r="A12" i="54"/>
  <c r="A11" i="54"/>
  <c r="A13" i="54" s="1"/>
  <c r="H10" i="54"/>
  <c r="G10" i="54"/>
  <c r="F10" i="54"/>
  <c r="E10" i="54"/>
  <c r="D10" i="54"/>
  <c r="C10" i="54"/>
  <c r="B10" i="54"/>
  <c r="A9" i="54"/>
  <c r="A8" i="54"/>
  <c r="H7" i="54"/>
  <c r="H82" i="54" s="1"/>
  <c r="G7" i="54"/>
  <c r="F7" i="54"/>
  <c r="F82" i="54" s="1"/>
  <c r="E7" i="54"/>
  <c r="D7" i="54"/>
  <c r="D82" i="54" s="1"/>
  <c r="C7" i="54"/>
  <c r="B7" i="54"/>
  <c r="B82" i="54" s="1"/>
  <c r="A6" i="54"/>
  <c r="A5" i="54"/>
  <c r="A80" i="54" s="1"/>
  <c r="H81" i="53"/>
  <c r="G81" i="53"/>
  <c r="F81" i="53"/>
  <c r="E81" i="53"/>
  <c r="D81" i="53"/>
  <c r="C81" i="53"/>
  <c r="B81" i="53"/>
  <c r="H80" i="53"/>
  <c r="G80" i="53"/>
  <c r="F80" i="53"/>
  <c r="E80" i="53"/>
  <c r="D80" i="53"/>
  <c r="C80" i="53"/>
  <c r="B80" i="53"/>
  <c r="H79" i="53"/>
  <c r="G79" i="53"/>
  <c r="F79" i="53"/>
  <c r="E79" i="53"/>
  <c r="D79" i="53"/>
  <c r="C79" i="53"/>
  <c r="B79" i="53"/>
  <c r="A78" i="53"/>
  <c r="A77" i="53"/>
  <c r="H76" i="53"/>
  <c r="G76" i="53"/>
  <c r="F76" i="53"/>
  <c r="E76" i="53"/>
  <c r="D76" i="53"/>
  <c r="C76" i="53"/>
  <c r="B76" i="53"/>
  <c r="A75" i="53"/>
  <c r="A74" i="53"/>
  <c r="A76" i="53" s="1"/>
  <c r="H73" i="53"/>
  <c r="G73" i="53"/>
  <c r="F73" i="53"/>
  <c r="E73" i="53"/>
  <c r="D73" i="53"/>
  <c r="C73" i="53"/>
  <c r="B73" i="53"/>
  <c r="A72" i="53"/>
  <c r="A71" i="53"/>
  <c r="H70" i="53"/>
  <c r="G70" i="53"/>
  <c r="F70" i="53"/>
  <c r="E70" i="53"/>
  <c r="D70" i="53"/>
  <c r="C70" i="53"/>
  <c r="B70" i="53"/>
  <c r="A69" i="53"/>
  <c r="A68" i="53"/>
  <c r="A70" i="53" s="1"/>
  <c r="H67" i="53"/>
  <c r="G67" i="53"/>
  <c r="F67" i="53"/>
  <c r="E67" i="53"/>
  <c r="D67" i="53"/>
  <c r="C67" i="53"/>
  <c r="B67" i="53"/>
  <c r="A66" i="53"/>
  <c r="A65" i="53"/>
  <c r="H64" i="53"/>
  <c r="G64" i="53"/>
  <c r="F64" i="53"/>
  <c r="E64" i="53"/>
  <c r="D64" i="53"/>
  <c r="C64" i="53"/>
  <c r="B64" i="53"/>
  <c r="A63" i="53"/>
  <c r="A62" i="53"/>
  <c r="A64" i="53" s="1"/>
  <c r="H61" i="53"/>
  <c r="G61" i="53"/>
  <c r="F61" i="53"/>
  <c r="E61" i="53"/>
  <c r="D61" i="53"/>
  <c r="C61" i="53"/>
  <c r="B61" i="53"/>
  <c r="A60" i="53"/>
  <c r="A59" i="53"/>
  <c r="H58" i="53"/>
  <c r="G58" i="53"/>
  <c r="F58" i="53"/>
  <c r="E58" i="53"/>
  <c r="D58" i="53"/>
  <c r="C58" i="53"/>
  <c r="B58" i="53"/>
  <c r="A57" i="53"/>
  <c r="A56" i="53"/>
  <c r="A58" i="53" s="1"/>
  <c r="H55" i="53"/>
  <c r="G55" i="53"/>
  <c r="F55" i="53"/>
  <c r="E55" i="53"/>
  <c r="D55" i="53"/>
  <c r="C55" i="53"/>
  <c r="B55" i="53"/>
  <c r="A54" i="53"/>
  <c r="A53" i="53"/>
  <c r="H52" i="53"/>
  <c r="G52" i="53"/>
  <c r="F52" i="53"/>
  <c r="E52" i="53"/>
  <c r="D52" i="53"/>
  <c r="C52" i="53"/>
  <c r="B52" i="53"/>
  <c r="A51" i="53"/>
  <c r="A50" i="53"/>
  <c r="A52" i="53" s="1"/>
  <c r="H49" i="53"/>
  <c r="G49" i="53"/>
  <c r="F49" i="53"/>
  <c r="E49" i="53"/>
  <c r="D49" i="53"/>
  <c r="C49" i="53"/>
  <c r="B49" i="53"/>
  <c r="A48" i="53"/>
  <c r="A47" i="53"/>
  <c r="H46" i="53"/>
  <c r="G46" i="53"/>
  <c r="F46" i="53"/>
  <c r="E46" i="53"/>
  <c r="D46" i="53"/>
  <c r="C46" i="53"/>
  <c r="B46" i="53"/>
  <c r="A45" i="53"/>
  <c r="A44" i="53"/>
  <c r="A46" i="53" s="1"/>
  <c r="H43" i="53"/>
  <c r="G43" i="53"/>
  <c r="F43" i="53"/>
  <c r="E43" i="53"/>
  <c r="D43" i="53"/>
  <c r="C43" i="53"/>
  <c r="B43" i="53"/>
  <c r="A42" i="53"/>
  <c r="A41" i="53"/>
  <c r="H40" i="53"/>
  <c r="G40" i="53"/>
  <c r="F40" i="53"/>
  <c r="E40" i="53"/>
  <c r="D40" i="53"/>
  <c r="C40" i="53"/>
  <c r="B40" i="53"/>
  <c r="A39" i="53"/>
  <c r="A38" i="53"/>
  <c r="A40" i="53" s="1"/>
  <c r="H37" i="53"/>
  <c r="G37" i="53"/>
  <c r="F37" i="53"/>
  <c r="E37" i="53"/>
  <c r="D37" i="53"/>
  <c r="C37" i="53"/>
  <c r="B37" i="53"/>
  <c r="A36" i="53"/>
  <c r="A35" i="53"/>
  <c r="H34" i="53"/>
  <c r="G34" i="53"/>
  <c r="F34" i="53"/>
  <c r="E34" i="53"/>
  <c r="D34" i="53"/>
  <c r="C34" i="53"/>
  <c r="B34" i="53"/>
  <c r="A33" i="53"/>
  <c r="A32" i="53"/>
  <c r="A34" i="53" s="1"/>
  <c r="H31" i="53"/>
  <c r="G31" i="53"/>
  <c r="F31" i="53"/>
  <c r="E31" i="53"/>
  <c r="D31" i="53"/>
  <c r="C31" i="53"/>
  <c r="B31" i="53"/>
  <c r="A30" i="53"/>
  <c r="A29" i="53"/>
  <c r="H28" i="53"/>
  <c r="G28" i="53"/>
  <c r="F28" i="53"/>
  <c r="E28" i="53"/>
  <c r="D28" i="53"/>
  <c r="C28" i="53"/>
  <c r="B28" i="53"/>
  <c r="A27" i="53"/>
  <c r="A26" i="53"/>
  <c r="A28" i="53" s="1"/>
  <c r="H25" i="53"/>
  <c r="G25" i="53"/>
  <c r="F25" i="53"/>
  <c r="E25" i="53"/>
  <c r="D25" i="53"/>
  <c r="C25" i="53"/>
  <c r="B25" i="53"/>
  <c r="A24" i="53"/>
  <c r="A23" i="53"/>
  <c r="H22" i="53"/>
  <c r="G22" i="53"/>
  <c r="F22" i="53"/>
  <c r="E22" i="53"/>
  <c r="D22" i="53"/>
  <c r="C22" i="53"/>
  <c r="B22" i="53"/>
  <c r="A21" i="53"/>
  <c r="A20" i="53"/>
  <c r="A22" i="53" s="1"/>
  <c r="H19" i="53"/>
  <c r="G19" i="53"/>
  <c r="F19" i="53"/>
  <c r="E19" i="53"/>
  <c r="D19" i="53"/>
  <c r="C19" i="53"/>
  <c r="B19" i="53"/>
  <c r="A18" i="53"/>
  <c r="A17" i="53"/>
  <c r="H16" i="53"/>
  <c r="G16" i="53"/>
  <c r="F16" i="53"/>
  <c r="E16" i="53"/>
  <c r="D16" i="53"/>
  <c r="C16" i="53"/>
  <c r="B16" i="53"/>
  <c r="A15" i="53"/>
  <c r="A14" i="53"/>
  <c r="A16" i="53" s="1"/>
  <c r="H13" i="53"/>
  <c r="G13" i="53"/>
  <c r="F13" i="53"/>
  <c r="E13" i="53"/>
  <c r="D13" i="53"/>
  <c r="C13" i="53"/>
  <c r="B13" i="53"/>
  <c r="A12" i="53"/>
  <c r="A11" i="53"/>
  <c r="H10" i="53"/>
  <c r="G10" i="53"/>
  <c r="F10" i="53"/>
  <c r="E10" i="53"/>
  <c r="D10" i="53"/>
  <c r="C10" i="53"/>
  <c r="B10" i="53"/>
  <c r="A9" i="53"/>
  <c r="A8" i="53"/>
  <c r="A10" i="53" s="1"/>
  <c r="H7" i="53"/>
  <c r="G7" i="53"/>
  <c r="G82" i="53" s="1"/>
  <c r="F7" i="53"/>
  <c r="E7" i="53"/>
  <c r="E82" i="53" s="1"/>
  <c r="D7" i="53"/>
  <c r="C7" i="53"/>
  <c r="C82" i="53" s="1"/>
  <c r="B7" i="53"/>
  <c r="A6" i="53"/>
  <c r="A81" i="53" s="1"/>
  <c r="A5" i="53"/>
  <c r="H36" i="52"/>
  <c r="G36" i="52"/>
  <c r="F36" i="52"/>
  <c r="E36" i="52"/>
  <c r="D36" i="52"/>
  <c r="C36" i="52"/>
  <c r="B36" i="52"/>
  <c r="H35" i="52"/>
  <c r="G35" i="52"/>
  <c r="F35" i="52"/>
  <c r="E35" i="52"/>
  <c r="D35" i="52"/>
  <c r="C35" i="52"/>
  <c r="B35" i="52"/>
  <c r="H34" i="52"/>
  <c r="G34" i="52"/>
  <c r="F34" i="52"/>
  <c r="E34" i="52"/>
  <c r="D34" i="52"/>
  <c r="C34" i="52"/>
  <c r="B34" i="52"/>
  <c r="A33" i="52"/>
  <c r="A32" i="52"/>
  <c r="A34" i="52" s="1"/>
  <c r="H31" i="52"/>
  <c r="G31" i="52"/>
  <c r="F31" i="52"/>
  <c r="E31" i="52"/>
  <c r="D31" i="52"/>
  <c r="C31" i="52"/>
  <c r="B31" i="52"/>
  <c r="A30" i="52"/>
  <c r="A29" i="52"/>
  <c r="H28" i="52"/>
  <c r="G28" i="52"/>
  <c r="F28" i="52"/>
  <c r="E28" i="52"/>
  <c r="D28" i="52"/>
  <c r="C28" i="52"/>
  <c r="B28" i="52"/>
  <c r="A27" i="52"/>
  <c r="A26" i="52"/>
  <c r="A28" i="52" s="1"/>
  <c r="H25" i="52"/>
  <c r="G25" i="52"/>
  <c r="F25" i="52"/>
  <c r="E25" i="52"/>
  <c r="D25" i="52"/>
  <c r="C25" i="52"/>
  <c r="B25" i="52"/>
  <c r="A24" i="52"/>
  <c r="A23" i="52"/>
  <c r="H22" i="52"/>
  <c r="G22" i="52"/>
  <c r="F22" i="52"/>
  <c r="E22" i="52"/>
  <c r="D22" i="52"/>
  <c r="C22" i="52"/>
  <c r="B22" i="52"/>
  <c r="A21" i="52"/>
  <c r="A20" i="52"/>
  <c r="A22" i="52" s="1"/>
  <c r="H19" i="52"/>
  <c r="G19" i="52"/>
  <c r="F19" i="52"/>
  <c r="E19" i="52"/>
  <c r="D19" i="52"/>
  <c r="C19" i="52"/>
  <c r="B19" i="52"/>
  <c r="A18" i="52"/>
  <c r="A17" i="52"/>
  <c r="H16" i="52"/>
  <c r="G16" i="52"/>
  <c r="F16" i="52"/>
  <c r="E16" i="52"/>
  <c r="D16" i="52"/>
  <c r="C16" i="52"/>
  <c r="B16" i="52"/>
  <c r="A15" i="52"/>
  <c r="A14" i="52"/>
  <c r="A16" i="52" s="1"/>
  <c r="H13" i="52"/>
  <c r="G13" i="52"/>
  <c r="F13" i="52"/>
  <c r="E13" i="52"/>
  <c r="D13" i="52"/>
  <c r="C13" i="52"/>
  <c r="B13" i="52"/>
  <c r="A12" i="52"/>
  <c r="A11" i="52"/>
  <c r="H10" i="52"/>
  <c r="G10" i="52"/>
  <c r="F10" i="52"/>
  <c r="E10" i="52"/>
  <c r="D10" i="52"/>
  <c r="C10" i="52"/>
  <c r="B10" i="52"/>
  <c r="A9" i="52"/>
  <c r="A8" i="52"/>
  <c r="A10" i="52" s="1"/>
  <c r="H7" i="52"/>
  <c r="G7" i="52"/>
  <c r="G37" i="52" s="1"/>
  <c r="F7" i="52"/>
  <c r="E7" i="52"/>
  <c r="E37" i="52" s="1"/>
  <c r="D7" i="52"/>
  <c r="C7" i="52"/>
  <c r="C37" i="52" s="1"/>
  <c r="B7" i="52"/>
  <c r="A6" i="52"/>
  <c r="A36" i="52" s="1"/>
  <c r="A5" i="52"/>
  <c r="H36" i="51"/>
  <c r="G36" i="51"/>
  <c r="F36" i="51"/>
  <c r="E36" i="51"/>
  <c r="D36" i="51"/>
  <c r="C36" i="51"/>
  <c r="B36" i="51"/>
  <c r="H35" i="51"/>
  <c r="G35" i="51"/>
  <c r="F35" i="51"/>
  <c r="E35" i="51"/>
  <c r="D35" i="51"/>
  <c r="C35" i="51"/>
  <c r="B35" i="51"/>
  <c r="H34" i="51"/>
  <c r="G34" i="51"/>
  <c r="F34" i="51"/>
  <c r="E34" i="51"/>
  <c r="D34" i="51"/>
  <c r="C34" i="51"/>
  <c r="B34" i="51"/>
  <c r="A33" i="51"/>
  <c r="A32" i="51"/>
  <c r="A34" i="51" s="1"/>
  <c r="H31" i="51"/>
  <c r="G31" i="51"/>
  <c r="F31" i="51"/>
  <c r="E31" i="51"/>
  <c r="D31" i="51"/>
  <c r="C31" i="51"/>
  <c r="B31" i="51"/>
  <c r="A30" i="51"/>
  <c r="A29" i="51"/>
  <c r="H28" i="51"/>
  <c r="G28" i="51"/>
  <c r="F28" i="51"/>
  <c r="E28" i="51"/>
  <c r="D28" i="51"/>
  <c r="C28" i="51"/>
  <c r="B28" i="51"/>
  <c r="A27" i="51"/>
  <c r="A26" i="51"/>
  <c r="A28" i="51" s="1"/>
  <c r="H25" i="51"/>
  <c r="G25" i="51"/>
  <c r="F25" i="51"/>
  <c r="E25" i="51"/>
  <c r="D25" i="51"/>
  <c r="C25" i="51"/>
  <c r="B25" i="51"/>
  <c r="A24" i="51"/>
  <c r="A23" i="51"/>
  <c r="H22" i="51"/>
  <c r="G22" i="51"/>
  <c r="F22" i="51"/>
  <c r="E22" i="51"/>
  <c r="D22" i="51"/>
  <c r="C22" i="51"/>
  <c r="B22" i="51"/>
  <c r="A21" i="51"/>
  <c r="A20" i="51"/>
  <c r="A22" i="51" s="1"/>
  <c r="H19" i="51"/>
  <c r="G19" i="51"/>
  <c r="F19" i="51"/>
  <c r="E19" i="51"/>
  <c r="D19" i="51"/>
  <c r="C19" i="51"/>
  <c r="B19" i="51"/>
  <c r="A18" i="51"/>
  <c r="A17" i="51"/>
  <c r="H16" i="51"/>
  <c r="G16" i="51"/>
  <c r="F16" i="51"/>
  <c r="E16" i="51"/>
  <c r="D16" i="51"/>
  <c r="C16" i="51"/>
  <c r="B16" i="51"/>
  <c r="A15" i="51"/>
  <c r="A14" i="51"/>
  <c r="A16" i="51" s="1"/>
  <c r="H13" i="51"/>
  <c r="G13" i="51"/>
  <c r="F13" i="51"/>
  <c r="E13" i="51"/>
  <c r="D13" i="51"/>
  <c r="C13" i="51"/>
  <c r="B13" i="51"/>
  <c r="A12" i="51"/>
  <c r="A11" i="51"/>
  <c r="H10" i="51"/>
  <c r="G10" i="51"/>
  <c r="F10" i="51"/>
  <c r="E10" i="51"/>
  <c r="D10" i="51"/>
  <c r="C10" i="51"/>
  <c r="B10" i="51"/>
  <c r="A9" i="51"/>
  <c r="A8" i="51"/>
  <c r="A10" i="51" s="1"/>
  <c r="H7" i="51"/>
  <c r="G7" i="51"/>
  <c r="G37" i="51" s="1"/>
  <c r="F7" i="51"/>
  <c r="E7" i="51"/>
  <c r="E37" i="51" s="1"/>
  <c r="D7" i="51"/>
  <c r="C7" i="51"/>
  <c r="C37" i="51" s="1"/>
  <c r="B7" i="51"/>
  <c r="A6" i="51"/>
  <c r="A36" i="51" s="1"/>
  <c r="A5" i="51"/>
  <c r="H36" i="50"/>
  <c r="G36" i="50"/>
  <c r="F36" i="50"/>
  <c r="E36" i="50"/>
  <c r="D36" i="50"/>
  <c r="C36" i="50"/>
  <c r="B36" i="50"/>
  <c r="H35" i="50"/>
  <c r="G35" i="50"/>
  <c r="F35" i="50"/>
  <c r="E35" i="50"/>
  <c r="D35" i="50"/>
  <c r="C35" i="50"/>
  <c r="B35" i="50"/>
  <c r="H34" i="50"/>
  <c r="G34" i="50"/>
  <c r="F34" i="50"/>
  <c r="E34" i="50"/>
  <c r="D34" i="50"/>
  <c r="C34" i="50"/>
  <c r="B34" i="50"/>
  <c r="A33" i="50"/>
  <c r="A32" i="50"/>
  <c r="A34" i="50" s="1"/>
  <c r="H31" i="50"/>
  <c r="G31" i="50"/>
  <c r="F31" i="50"/>
  <c r="E31" i="50"/>
  <c r="D31" i="50"/>
  <c r="C31" i="50"/>
  <c r="B31" i="50"/>
  <c r="A30" i="50"/>
  <c r="A29" i="50"/>
  <c r="H28" i="50"/>
  <c r="G28" i="50"/>
  <c r="F28" i="50"/>
  <c r="E28" i="50"/>
  <c r="D28" i="50"/>
  <c r="C28" i="50"/>
  <c r="B28" i="50"/>
  <c r="A27" i="50"/>
  <c r="A26" i="50"/>
  <c r="A28" i="50" s="1"/>
  <c r="H25" i="50"/>
  <c r="G25" i="50"/>
  <c r="F25" i="50"/>
  <c r="E25" i="50"/>
  <c r="D25" i="50"/>
  <c r="C25" i="50"/>
  <c r="B25" i="50"/>
  <c r="A24" i="50"/>
  <c r="A23" i="50"/>
  <c r="H22" i="50"/>
  <c r="G22" i="50"/>
  <c r="F22" i="50"/>
  <c r="E22" i="50"/>
  <c r="D22" i="50"/>
  <c r="C22" i="50"/>
  <c r="B22" i="50"/>
  <c r="A21" i="50"/>
  <c r="A20" i="50"/>
  <c r="A22" i="50" s="1"/>
  <c r="H19" i="50"/>
  <c r="G19" i="50"/>
  <c r="F19" i="50"/>
  <c r="E19" i="50"/>
  <c r="D19" i="50"/>
  <c r="C19" i="50"/>
  <c r="B19" i="50"/>
  <c r="A18" i="50"/>
  <c r="A17" i="50"/>
  <c r="H16" i="50"/>
  <c r="G16" i="50"/>
  <c r="F16" i="50"/>
  <c r="E16" i="50"/>
  <c r="D16" i="50"/>
  <c r="C16" i="50"/>
  <c r="B16" i="50"/>
  <c r="A15" i="50"/>
  <c r="A14" i="50"/>
  <c r="A16" i="50" s="1"/>
  <c r="H13" i="50"/>
  <c r="G13" i="50"/>
  <c r="F13" i="50"/>
  <c r="E13" i="50"/>
  <c r="D13" i="50"/>
  <c r="C13" i="50"/>
  <c r="B13" i="50"/>
  <c r="A12" i="50"/>
  <c r="A11" i="50"/>
  <c r="H10" i="50"/>
  <c r="G10" i="50"/>
  <c r="F10" i="50"/>
  <c r="E10" i="50"/>
  <c r="D10" i="50"/>
  <c r="C10" i="50"/>
  <c r="B10" i="50"/>
  <c r="A9" i="50"/>
  <c r="A8" i="50"/>
  <c r="A10" i="50" s="1"/>
  <c r="H7" i="50"/>
  <c r="G7" i="50"/>
  <c r="G37" i="50" s="1"/>
  <c r="F7" i="50"/>
  <c r="E7" i="50"/>
  <c r="E37" i="50" s="1"/>
  <c r="D7" i="50"/>
  <c r="C7" i="50"/>
  <c r="C37" i="50" s="1"/>
  <c r="B7" i="50"/>
  <c r="A6" i="50"/>
  <c r="A36" i="50" s="1"/>
  <c r="A5" i="50"/>
  <c r="A35" i="50" l="1"/>
  <c r="B37" i="50"/>
  <c r="D37" i="50"/>
  <c r="F37" i="50"/>
  <c r="H37" i="50"/>
  <c r="A13" i="50"/>
  <c r="A19" i="50"/>
  <c r="A25" i="50"/>
  <c r="A31" i="50"/>
  <c r="A35" i="51"/>
  <c r="B37" i="51"/>
  <c r="D37" i="51"/>
  <c r="F37" i="51"/>
  <c r="H37" i="51"/>
  <c r="A13" i="51"/>
  <c r="A19" i="51"/>
  <c r="A25" i="51"/>
  <c r="A31" i="51"/>
  <c r="A35" i="52"/>
  <c r="B37" i="52"/>
  <c r="D37" i="52"/>
  <c r="F37" i="52"/>
  <c r="H37" i="52"/>
  <c r="A13" i="52"/>
  <c r="A19" i="52"/>
  <c r="A25" i="52"/>
  <c r="A31" i="52"/>
  <c r="A80" i="53"/>
  <c r="B82" i="53"/>
  <c r="D82" i="53"/>
  <c r="F82" i="53"/>
  <c r="H82" i="53"/>
  <c r="A13" i="53"/>
  <c r="A19" i="53"/>
  <c r="A25" i="53"/>
  <c r="A31" i="53"/>
  <c r="A37" i="53"/>
  <c r="A43" i="53"/>
  <c r="A49" i="53"/>
  <c r="A55" i="53"/>
  <c r="A61" i="53"/>
  <c r="A67" i="53"/>
  <c r="A73" i="53"/>
  <c r="A79" i="53"/>
  <c r="A81" i="54"/>
  <c r="C82" i="54"/>
  <c r="E82" i="54"/>
  <c r="G82" i="54"/>
  <c r="A10" i="54"/>
  <c r="A16" i="54"/>
  <c r="A22" i="54"/>
  <c r="A28" i="54"/>
  <c r="A34" i="54"/>
  <c r="A40" i="54"/>
  <c r="A46" i="54"/>
  <c r="A52" i="54"/>
  <c r="A58" i="54"/>
  <c r="A64" i="54"/>
  <c r="A70" i="54"/>
  <c r="A76" i="54"/>
  <c r="A74" i="55"/>
  <c r="B76" i="55"/>
  <c r="D76" i="55"/>
  <c r="F76" i="55"/>
  <c r="H76" i="55"/>
  <c r="A13" i="55"/>
  <c r="A19" i="55"/>
  <c r="A25" i="55"/>
  <c r="A31" i="55"/>
  <c r="A37" i="55"/>
  <c r="A43" i="55"/>
  <c r="A49" i="55"/>
  <c r="A55" i="55"/>
  <c r="A61" i="55"/>
  <c r="A67" i="55"/>
  <c r="A73" i="55"/>
  <c r="A7" i="50"/>
  <c r="A37" i="50" s="1"/>
  <c r="A7" i="51"/>
  <c r="A37" i="51" s="1"/>
  <c r="A7" i="52"/>
  <c r="A37" i="52" s="1"/>
  <c r="A7" i="53"/>
  <c r="A82" i="53" s="1"/>
  <c r="A7" i="54"/>
  <c r="A82" i="54" s="1"/>
  <c r="A7" i="55"/>
  <c r="A76" i="55" s="1"/>
  <c r="A6" i="56"/>
  <c r="A78" i="56" s="1"/>
  <c r="A73" i="57"/>
  <c r="A73" i="58"/>
  <c r="R441" i="49" l="1"/>
  <c r="Q441" i="49"/>
  <c r="O441" i="49"/>
  <c r="N441" i="49"/>
  <c r="L441" i="49"/>
  <c r="K441" i="49"/>
  <c r="I441" i="49"/>
  <c r="H441" i="49"/>
  <c r="F441" i="49"/>
  <c r="E441" i="49"/>
  <c r="R440" i="49"/>
  <c r="Q440" i="49"/>
  <c r="O440" i="49"/>
  <c r="N440" i="49"/>
  <c r="L440" i="49"/>
  <c r="K440" i="49"/>
  <c r="I440" i="49"/>
  <c r="H440" i="49"/>
  <c r="F440" i="49"/>
  <c r="E440" i="49"/>
  <c r="R439" i="49"/>
  <c r="R442" i="49" s="1"/>
  <c r="Q439" i="49"/>
  <c r="Q442" i="49" s="1"/>
  <c r="O439" i="49"/>
  <c r="O442" i="49" s="1"/>
  <c r="N439" i="49"/>
  <c r="N442" i="49" s="1"/>
  <c r="L439" i="49"/>
  <c r="L442" i="49" s="1"/>
  <c r="K439" i="49"/>
  <c r="K442" i="49" s="1"/>
  <c r="I439" i="49"/>
  <c r="I442" i="49" s="1"/>
  <c r="H439" i="49"/>
  <c r="H442" i="49" s="1"/>
  <c r="F439" i="49"/>
  <c r="F442" i="49" s="1"/>
  <c r="E439" i="49"/>
  <c r="E442" i="49" s="1"/>
  <c r="P438" i="49"/>
  <c r="P441" i="49" s="1"/>
  <c r="M438" i="49"/>
  <c r="M441" i="49" s="1"/>
  <c r="J438" i="49"/>
  <c r="J441" i="49" s="1"/>
  <c r="G438" i="49"/>
  <c r="G441" i="49" s="1"/>
  <c r="D438" i="49"/>
  <c r="D441" i="49" s="1"/>
  <c r="C438" i="49"/>
  <c r="C441" i="49" s="1"/>
  <c r="B438" i="49"/>
  <c r="B441" i="49" s="1"/>
  <c r="A438" i="49"/>
  <c r="A441" i="49" s="1"/>
  <c r="P437" i="49"/>
  <c r="P440" i="49" s="1"/>
  <c r="M437" i="49"/>
  <c r="M440" i="49" s="1"/>
  <c r="J437" i="49"/>
  <c r="J440" i="49" s="1"/>
  <c r="G437" i="49"/>
  <c r="G440" i="49" s="1"/>
  <c r="D437" i="49"/>
  <c r="D440" i="49" s="1"/>
  <c r="C437" i="49"/>
  <c r="C440" i="49" s="1"/>
  <c r="B437" i="49"/>
  <c r="B440" i="49" s="1"/>
  <c r="A437" i="49"/>
  <c r="A440" i="49" s="1"/>
  <c r="R74" i="49"/>
  <c r="Q74" i="49"/>
  <c r="O74" i="49"/>
  <c r="N74" i="49"/>
  <c r="L74" i="49"/>
  <c r="K74" i="49"/>
  <c r="I74" i="49"/>
  <c r="H74" i="49"/>
  <c r="F74" i="49"/>
  <c r="E74" i="49"/>
  <c r="R73" i="49"/>
  <c r="Q73" i="49"/>
  <c r="O73" i="49"/>
  <c r="N73" i="49"/>
  <c r="L73" i="49"/>
  <c r="K73" i="49"/>
  <c r="I73" i="49"/>
  <c r="H73" i="49"/>
  <c r="F73" i="49"/>
  <c r="E73" i="49"/>
  <c r="R72" i="49"/>
  <c r="R75" i="49" s="1"/>
  <c r="Q72" i="49"/>
  <c r="Q75" i="49" s="1"/>
  <c r="O72" i="49"/>
  <c r="O75" i="49" s="1"/>
  <c r="N72" i="49"/>
  <c r="N75" i="49" s="1"/>
  <c r="L72" i="49"/>
  <c r="L75" i="49" s="1"/>
  <c r="K72" i="49"/>
  <c r="K75" i="49" s="1"/>
  <c r="I72" i="49"/>
  <c r="I75" i="49" s="1"/>
  <c r="H72" i="49"/>
  <c r="H75" i="49" s="1"/>
  <c r="F72" i="49"/>
  <c r="F75" i="49" s="1"/>
  <c r="E72" i="49"/>
  <c r="E75" i="49" s="1"/>
  <c r="P71" i="49"/>
  <c r="P74" i="49" s="1"/>
  <c r="M71" i="49"/>
  <c r="M74" i="49" s="1"/>
  <c r="J71" i="49"/>
  <c r="J74" i="49" s="1"/>
  <c r="G71" i="49"/>
  <c r="G74" i="49" s="1"/>
  <c r="D71" i="49"/>
  <c r="D74" i="49" s="1"/>
  <c r="C71" i="49"/>
  <c r="C74" i="49" s="1"/>
  <c r="B71" i="49"/>
  <c r="B74" i="49" s="1"/>
  <c r="A71" i="49"/>
  <c r="A74" i="49" s="1"/>
  <c r="P70" i="49"/>
  <c r="P73" i="49" s="1"/>
  <c r="M70" i="49"/>
  <c r="M73" i="49" s="1"/>
  <c r="J70" i="49"/>
  <c r="J73" i="49" s="1"/>
  <c r="G70" i="49"/>
  <c r="G73" i="49" s="1"/>
  <c r="D70" i="49"/>
  <c r="D73" i="49" s="1"/>
  <c r="C70" i="49"/>
  <c r="C73" i="49" s="1"/>
  <c r="B70" i="49"/>
  <c r="B73" i="49" s="1"/>
  <c r="A70" i="49"/>
  <c r="A73" i="49" s="1"/>
  <c r="R82" i="48"/>
  <c r="Q82" i="48"/>
  <c r="O82" i="48"/>
  <c r="N82" i="48"/>
  <c r="M82" i="48"/>
  <c r="L82" i="48"/>
  <c r="K82" i="48"/>
  <c r="I82" i="48"/>
  <c r="H82" i="48"/>
  <c r="F82" i="48"/>
  <c r="E82" i="48"/>
  <c r="R81" i="48"/>
  <c r="Q81" i="48"/>
  <c r="O81" i="48"/>
  <c r="N81" i="48"/>
  <c r="M81" i="48"/>
  <c r="L81" i="48"/>
  <c r="K81" i="48"/>
  <c r="I81" i="48"/>
  <c r="H81" i="48"/>
  <c r="F81" i="48"/>
  <c r="E81" i="48"/>
  <c r="R80" i="48"/>
  <c r="Q80" i="48"/>
  <c r="P80" i="48" s="1"/>
  <c r="O80" i="48"/>
  <c r="N80" i="48"/>
  <c r="M80" i="48"/>
  <c r="L80" i="48"/>
  <c r="K80" i="48"/>
  <c r="J80" i="48"/>
  <c r="I80" i="48"/>
  <c r="H80" i="48"/>
  <c r="G80" i="48" s="1"/>
  <c r="F80" i="48"/>
  <c r="E80" i="48"/>
  <c r="D80" i="48" s="1"/>
  <c r="P79" i="48"/>
  <c r="J79" i="48"/>
  <c r="G79" i="48"/>
  <c r="D79" i="48"/>
  <c r="C79" i="48"/>
  <c r="B79" i="48"/>
  <c r="A79" i="48" s="1"/>
  <c r="P78" i="48"/>
  <c r="J78" i="48"/>
  <c r="G78" i="48"/>
  <c r="D78" i="48"/>
  <c r="C78" i="48"/>
  <c r="C80" i="48" s="1"/>
  <c r="B78" i="48"/>
  <c r="R77" i="48"/>
  <c r="Q77" i="48"/>
  <c r="P77" i="48"/>
  <c r="O77" i="48"/>
  <c r="N77" i="48"/>
  <c r="M77" i="48"/>
  <c r="L77" i="48"/>
  <c r="K77" i="48"/>
  <c r="J77" i="48"/>
  <c r="I77" i="48"/>
  <c r="H77" i="48"/>
  <c r="G77" i="48" s="1"/>
  <c r="F77" i="48"/>
  <c r="E77" i="48"/>
  <c r="D77" i="48" s="1"/>
  <c r="P76" i="48"/>
  <c r="J76" i="48"/>
  <c r="G76" i="48"/>
  <c r="D76" i="48"/>
  <c r="C76" i="48"/>
  <c r="B76" i="48"/>
  <c r="A76" i="48"/>
  <c r="P75" i="48"/>
  <c r="J75" i="48"/>
  <c r="G75" i="48"/>
  <c r="D75" i="48"/>
  <c r="C75" i="48"/>
  <c r="B75" i="48"/>
  <c r="A75" i="48" s="1"/>
  <c r="A77" i="48" s="1"/>
  <c r="R74" i="48"/>
  <c r="Q74" i="48"/>
  <c r="P74" i="48" s="1"/>
  <c r="O74" i="48"/>
  <c r="N74" i="48"/>
  <c r="M74" i="48"/>
  <c r="L74" i="48"/>
  <c r="K74" i="48"/>
  <c r="J74" i="48" s="1"/>
  <c r="I74" i="48"/>
  <c r="H74" i="48"/>
  <c r="F74" i="48"/>
  <c r="E74" i="48"/>
  <c r="D74" i="48"/>
  <c r="P73" i="48"/>
  <c r="J73" i="48"/>
  <c r="G73" i="48"/>
  <c r="D73" i="48"/>
  <c r="C73" i="48"/>
  <c r="B73" i="48"/>
  <c r="A73" i="48" s="1"/>
  <c r="P72" i="48"/>
  <c r="J72" i="48"/>
  <c r="G72" i="48"/>
  <c r="D72" i="48"/>
  <c r="C72" i="48"/>
  <c r="C74" i="48" s="1"/>
  <c r="B72" i="48"/>
  <c r="R71" i="48"/>
  <c r="Q71" i="48"/>
  <c r="P71" i="48"/>
  <c r="O71" i="48"/>
  <c r="N71" i="48"/>
  <c r="M71" i="48"/>
  <c r="L71" i="48"/>
  <c r="K71" i="48"/>
  <c r="J71" i="48"/>
  <c r="I71" i="48"/>
  <c r="H71" i="48"/>
  <c r="G71" i="48" s="1"/>
  <c r="F71" i="48"/>
  <c r="E71" i="48"/>
  <c r="D71" i="48" s="1"/>
  <c r="P70" i="48"/>
  <c r="J70" i="48"/>
  <c r="G70" i="48"/>
  <c r="D70" i="48"/>
  <c r="C70" i="48"/>
  <c r="B70" i="48"/>
  <c r="A70" i="48"/>
  <c r="P69" i="48"/>
  <c r="J69" i="48"/>
  <c r="G69" i="48"/>
  <c r="D69" i="48"/>
  <c r="C69" i="48"/>
  <c r="B69" i="48"/>
  <c r="A69" i="48" s="1"/>
  <c r="A71" i="48" s="1"/>
  <c r="R68" i="48"/>
  <c r="Q68" i="48"/>
  <c r="P68" i="48" s="1"/>
  <c r="O68" i="48"/>
  <c r="N68" i="48"/>
  <c r="M68" i="48"/>
  <c r="L68" i="48"/>
  <c r="K68" i="48"/>
  <c r="J68" i="48" s="1"/>
  <c r="I68" i="48"/>
  <c r="H68" i="48"/>
  <c r="F68" i="48"/>
  <c r="E68" i="48"/>
  <c r="D68" i="48"/>
  <c r="P67" i="48"/>
  <c r="J67" i="48"/>
  <c r="G67" i="48"/>
  <c r="D67" i="48"/>
  <c r="C67" i="48"/>
  <c r="B67" i="48"/>
  <c r="A67" i="48" s="1"/>
  <c r="P66" i="48"/>
  <c r="J66" i="48"/>
  <c r="G66" i="48"/>
  <c r="D66" i="48"/>
  <c r="C66" i="48"/>
  <c r="C68" i="48" s="1"/>
  <c r="B66" i="48"/>
  <c r="R65" i="48"/>
  <c r="Q65" i="48"/>
  <c r="P65" i="48"/>
  <c r="O65" i="48"/>
  <c r="N65" i="48"/>
  <c r="M65" i="48"/>
  <c r="L65" i="48"/>
  <c r="K65" i="48"/>
  <c r="J65" i="48"/>
  <c r="I65" i="48"/>
  <c r="H65" i="48"/>
  <c r="G65" i="48" s="1"/>
  <c r="F65" i="48"/>
  <c r="E65" i="48"/>
  <c r="D65" i="48" s="1"/>
  <c r="P64" i="48"/>
  <c r="J64" i="48"/>
  <c r="G64" i="48"/>
  <c r="D64" i="48"/>
  <c r="C64" i="48"/>
  <c r="B64" i="48"/>
  <c r="A64" i="48"/>
  <c r="P63" i="48"/>
  <c r="J63" i="48"/>
  <c r="G63" i="48"/>
  <c r="D63" i="48"/>
  <c r="C63" i="48"/>
  <c r="B63" i="48"/>
  <c r="A63" i="48" s="1"/>
  <c r="A65" i="48" s="1"/>
  <c r="R62" i="48"/>
  <c r="Q62" i="48"/>
  <c r="P62" i="48" s="1"/>
  <c r="O62" i="48"/>
  <c r="N62" i="48"/>
  <c r="M62" i="48"/>
  <c r="L62" i="48"/>
  <c r="K62" i="48"/>
  <c r="I62" i="48"/>
  <c r="H62" i="48"/>
  <c r="G62" i="48"/>
  <c r="F62" i="48"/>
  <c r="E62" i="48"/>
  <c r="D62" i="48" s="1"/>
  <c r="P61" i="48"/>
  <c r="J61" i="48"/>
  <c r="G61" i="48"/>
  <c r="D61" i="48"/>
  <c r="C61" i="48"/>
  <c r="B61" i="48"/>
  <c r="A61" i="48" s="1"/>
  <c r="P60" i="48"/>
  <c r="J60" i="48"/>
  <c r="G60" i="48"/>
  <c r="D60" i="48"/>
  <c r="C60" i="48"/>
  <c r="C62" i="48" s="1"/>
  <c r="B60" i="48"/>
  <c r="B62" i="48" s="1"/>
  <c r="R59" i="48"/>
  <c r="Q59" i="48"/>
  <c r="O59" i="48"/>
  <c r="N59" i="48"/>
  <c r="M59" i="48"/>
  <c r="L59" i="48"/>
  <c r="K59" i="48"/>
  <c r="J59" i="48" s="1"/>
  <c r="I59" i="48"/>
  <c r="H59" i="48"/>
  <c r="G59" i="48"/>
  <c r="F59" i="48"/>
  <c r="E59" i="48"/>
  <c r="D59" i="48" s="1"/>
  <c r="P58" i="48"/>
  <c r="J58" i="48"/>
  <c r="G58" i="48"/>
  <c r="D58" i="48"/>
  <c r="C58" i="48"/>
  <c r="B58" i="48"/>
  <c r="P57" i="48"/>
  <c r="J57" i="48"/>
  <c r="G57" i="48"/>
  <c r="D57" i="48"/>
  <c r="C57" i="48"/>
  <c r="C59" i="48" s="1"/>
  <c r="B57" i="48"/>
  <c r="B59" i="48" s="1"/>
  <c r="A57" i="48"/>
  <c r="R56" i="48"/>
  <c r="Q56" i="48"/>
  <c r="P56" i="48" s="1"/>
  <c r="O56" i="48"/>
  <c r="N56" i="48"/>
  <c r="M56" i="48"/>
  <c r="L56" i="48"/>
  <c r="K56" i="48"/>
  <c r="I56" i="48"/>
  <c r="H56" i="48"/>
  <c r="G56" i="48"/>
  <c r="F56" i="48"/>
  <c r="E56" i="48"/>
  <c r="D56" i="48" s="1"/>
  <c r="P55" i="48"/>
  <c r="J55" i="48"/>
  <c r="G55" i="48"/>
  <c r="D55" i="48"/>
  <c r="C55" i="48"/>
  <c r="B55" i="48"/>
  <c r="A55" i="48" s="1"/>
  <c r="P54" i="48"/>
  <c r="J54" i="48"/>
  <c r="G54" i="48"/>
  <c r="D54" i="48"/>
  <c r="C54" i="48"/>
  <c r="C56" i="48" s="1"/>
  <c r="B54" i="48"/>
  <c r="B56" i="48" s="1"/>
  <c r="R53" i="48"/>
  <c r="Q53" i="48"/>
  <c r="O53" i="48"/>
  <c r="N53" i="48"/>
  <c r="M53" i="48"/>
  <c r="L53" i="48"/>
  <c r="K53" i="48"/>
  <c r="J53" i="48" s="1"/>
  <c r="I53" i="48"/>
  <c r="H53" i="48"/>
  <c r="G53" i="48" s="1"/>
  <c r="F53" i="48"/>
  <c r="E53" i="48"/>
  <c r="P52" i="48"/>
  <c r="J52" i="48"/>
  <c r="G52" i="48"/>
  <c r="D52" i="48"/>
  <c r="C52" i="48"/>
  <c r="B52" i="48"/>
  <c r="P51" i="48"/>
  <c r="J51" i="48"/>
  <c r="G51" i="48"/>
  <c r="D51" i="48"/>
  <c r="C51" i="48"/>
  <c r="C53" i="48" s="1"/>
  <c r="B51" i="48"/>
  <c r="B53" i="48" s="1"/>
  <c r="A51" i="48"/>
  <c r="R50" i="48"/>
  <c r="Q50" i="48"/>
  <c r="P50" i="48" s="1"/>
  <c r="O50" i="48"/>
  <c r="N50" i="48"/>
  <c r="M50" i="48"/>
  <c r="L50" i="48"/>
  <c r="K50" i="48"/>
  <c r="I50" i="48"/>
  <c r="H50" i="48"/>
  <c r="G50" i="48"/>
  <c r="F50" i="48"/>
  <c r="E50" i="48"/>
  <c r="D50" i="48" s="1"/>
  <c r="P49" i="48"/>
  <c r="J49" i="48"/>
  <c r="G49" i="48"/>
  <c r="D49" i="48"/>
  <c r="C49" i="48"/>
  <c r="B49" i="48"/>
  <c r="A49" i="48" s="1"/>
  <c r="P48" i="48"/>
  <c r="J48" i="48"/>
  <c r="G48" i="48"/>
  <c r="D48" i="48"/>
  <c r="C48" i="48"/>
  <c r="C50" i="48" s="1"/>
  <c r="B48" i="48"/>
  <c r="B50" i="48" s="1"/>
  <c r="R47" i="48"/>
  <c r="Q47" i="48"/>
  <c r="O47" i="48"/>
  <c r="N47" i="48"/>
  <c r="M47" i="48"/>
  <c r="L47" i="48"/>
  <c r="K47" i="48"/>
  <c r="J47" i="48" s="1"/>
  <c r="I47" i="48"/>
  <c r="H47" i="48"/>
  <c r="G47" i="48" s="1"/>
  <c r="F47" i="48"/>
  <c r="E47" i="48"/>
  <c r="P46" i="48"/>
  <c r="J46" i="48"/>
  <c r="G46" i="48"/>
  <c r="D46" i="48"/>
  <c r="C46" i="48"/>
  <c r="B46" i="48"/>
  <c r="P45" i="48"/>
  <c r="J45" i="48"/>
  <c r="G45" i="48"/>
  <c r="D45" i="48"/>
  <c r="C45" i="48"/>
  <c r="C47" i="48" s="1"/>
  <c r="B45" i="48"/>
  <c r="B47" i="48" s="1"/>
  <c r="A45" i="48"/>
  <c r="R44" i="48"/>
  <c r="Q44" i="48"/>
  <c r="P44" i="48" s="1"/>
  <c r="O44" i="48"/>
  <c r="N44" i="48"/>
  <c r="M44" i="48"/>
  <c r="L44" i="48"/>
  <c r="K44" i="48"/>
  <c r="I44" i="48"/>
  <c r="H44" i="48"/>
  <c r="G44" i="48"/>
  <c r="F44" i="48"/>
  <c r="E44" i="48"/>
  <c r="D44" i="48" s="1"/>
  <c r="P43" i="48"/>
  <c r="J43" i="48"/>
  <c r="G43" i="48"/>
  <c r="D43" i="48"/>
  <c r="C43" i="48"/>
  <c r="B43" i="48"/>
  <c r="A43" i="48" s="1"/>
  <c r="P42" i="48"/>
  <c r="J42" i="48"/>
  <c r="G42" i="48"/>
  <c r="D42" i="48"/>
  <c r="C42" i="48"/>
  <c r="C44" i="48" s="1"/>
  <c r="B42" i="48"/>
  <c r="B44" i="48" s="1"/>
  <c r="R41" i="48"/>
  <c r="Q41" i="48"/>
  <c r="O41" i="48"/>
  <c r="N41" i="48"/>
  <c r="M41" i="48"/>
  <c r="L41" i="48"/>
  <c r="K41" i="48"/>
  <c r="J41" i="48" s="1"/>
  <c r="I41" i="48"/>
  <c r="H41" i="48"/>
  <c r="G41" i="48" s="1"/>
  <c r="F41" i="48"/>
  <c r="E41" i="48"/>
  <c r="P40" i="48"/>
  <c r="J40" i="48"/>
  <c r="G40" i="48"/>
  <c r="D40" i="48"/>
  <c r="C40" i="48"/>
  <c r="B40" i="48"/>
  <c r="P39" i="48"/>
  <c r="J39" i="48"/>
  <c r="G39" i="48"/>
  <c r="D39" i="48"/>
  <c r="C39" i="48"/>
  <c r="C41" i="48" s="1"/>
  <c r="B39" i="48"/>
  <c r="B41" i="48" s="1"/>
  <c r="A39" i="48"/>
  <c r="R38" i="48"/>
  <c r="Q38" i="48"/>
  <c r="P38" i="48" s="1"/>
  <c r="O38" i="48"/>
  <c r="N38" i="48"/>
  <c r="M38" i="48"/>
  <c r="L38" i="48"/>
  <c r="K38" i="48"/>
  <c r="J38" i="48" s="1"/>
  <c r="I38" i="48"/>
  <c r="H38" i="48"/>
  <c r="F38" i="48"/>
  <c r="E38" i="48"/>
  <c r="D38" i="48"/>
  <c r="P37" i="48"/>
  <c r="J37" i="48"/>
  <c r="G37" i="48"/>
  <c r="D37" i="48"/>
  <c r="C37" i="48"/>
  <c r="B37" i="48"/>
  <c r="A37" i="48" s="1"/>
  <c r="P36" i="48"/>
  <c r="J36" i="48"/>
  <c r="G36" i="48"/>
  <c r="D36" i="48"/>
  <c r="C36" i="48"/>
  <c r="C38" i="48" s="1"/>
  <c r="B36" i="48"/>
  <c r="A36" i="48"/>
  <c r="R35" i="48"/>
  <c r="Q35" i="48"/>
  <c r="P35" i="48" s="1"/>
  <c r="O35" i="48"/>
  <c r="N35" i="48"/>
  <c r="M35" i="48"/>
  <c r="L35" i="48"/>
  <c r="K35" i="48"/>
  <c r="J35" i="48" s="1"/>
  <c r="I35" i="48"/>
  <c r="H35" i="48"/>
  <c r="G35" i="48" s="1"/>
  <c r="F35" i="48"/>
  <c r="E35" i="48"/>
  <c r="P34" i="48"/>
  <c r="J34" i="48"/>
  <c r="G34" i="48"/>
  <c r="D34" i="48"/>
  <c r="C34" i="48"/>
  <c r="B34" i="48"/>
  <c r="P33" i="48"/>
  <c r="J33" i="48"/>
  <c r="G33" i="48"/>
  <c r="D33" i="48"/>
  <c r="C33" i="48"/>
  <c r="C35" i="48" s="1"/>
  <c r="B33" i="48"/>
  <c r="B35" i="48" s="1"/>
  <c r="A33" i="48"/>
  <c r="R32" i="48"/>
  <c r="Q32" i="48"/>
  <c r="P32" i="48" s="1"/>
  <c r="O32" i="48"/>
  <c r="N32" i="48"/>
  <c r="M32" i="48"/>
  <c r="L32" i="48"/>
  <c r="K32" i="48"/>
  <c r="I32" i="48"/>
  <c r="H32" i="48"/>
  <c r="G32" i="48"/>
  <c r="F32" i="48"/>
  <c r="E32" i="48"/>
  <c r="D32" i="48" s="1"/>
  <c r="P31" i="48"/>
  <c r="J31" i="48"/>
  <c r="G31" i="48"/>
  <c r="D31" i="48"/>
  <c r="C31" i="48"/>
  <c r="B31" i="48"/>
  <c r="A31" i="48" s="1"/>
  <c r="P30" i="48"/>
  <c r="J30" i="48"/>
  <c r="G30" i="48"/>
  <c r="D30" i="48"/>
  <c r="C30" i="48"/>
  <c r="C32" i="48" s="1"/>
  <c r="B30" i="48"/>
  <c r="B32" i="48" s="1"/>
  <c r="R29" i="48"/>
  <c r="Q29" i="48"/>
  <c r="P29" i="48"/>
  <c r="O29" i="48"/>
  <c r="N29" i="48"/>
  <c r="M29" i="48"/>
  <c r="L29" i="48"/>
  <c r="K29" i="48"/>
  <c r="J29" i="48"/>
  <c r="I29" i="48"/>
  <c r="H29" i="48"/>
  <c r="G29" i="48" s="1"/>
  <c r="F29" i="48"/>
  <c r="E29" i="48"/>
  <c r="D29" i="48"/>
  <c r="P28" i="48"/>
  <c r="J28" i="48"/>
  <c r="G28" i="48"/>
  <c r="D28" i="48"/>
  <c r="C28" i="48"/>
  <c r="B28" i="48"/>
  <c r="A28" i="48" s="1"/>
  <c r="P27" i="48"/>
  <c r="J27" i="48"/>
  <c r="G27" i="48"/>
  <c r="D27" i="48"/>
  <c r="C27" i="48"/>
  <c r="C29" i="48" s="1"/>
  <c r="B27" i="48"/>
  <c r="B29" i="48" s="1"/>
  <c r="R26" i="48"/>
  <c r="Q26" i="48"/>
  <c r="O26" i="48"/>
  <c r="N26" i="48"/>
  <c r="M26" i="48"/>
  <c r="L26" i="48"/>
  <c r="K26" i="48"/>
  <c r="J26" i="48" s="1"/>
  <c r="I26" i="48"/>
  <c r="H26" i="48"/>
  <c r="G26" i="48" s="1"/>
  <c r="F26" i="48"/>
  <c r="E26" i="48"/>
  <c r="P25" i="48"/>
  <c r="J25" i="48"/>
  <c r="G25" i="48"/>
  <c r="D25" i="48"/>
  <c r="C25" i="48"/>
  <c r="B25" i="48"/>
  <c r="P24" i="48"/>
  <c r="J24" i="48"/>
  <c r="G24" i="48"/>
  <c r="D24" i="48"/>
  <c r="C24" i="48"/>
  <c r="C26" i="48" s="1"/>
  <c r="B24" i="48"/>
  <c r="B26" i="48" s="1"/>
  <c r="A24" i="48"/>
  <c r="R23" i="48"/>
  <c r="Q23" i="48"/>
  <c r="P23" i="48" s="1"/>
  <c r="O23" i="48"/>
  <c r="N23" i="48"/>
  <c r="M23" i="48"/>
  <c r="L23" i="48"/>
  <c r="K23" i="48"/>
  <c r="I23" i="48"/>
  <c r="H23" i="48"/>
  <c r="G23" i="48"/>
  <c r="F23" i="48"/>
  <c r="E23" i="48"/>
  <c r="D23" i="48" s="1"/>
  <c r="P22" i="48"/>
  <c r="J22" i="48"/>
  <c r="G22" i="48"/>
  <c r="D22" i="48"/>
  <c r="C22" i="48"/>
  <c r="B22" i="48"/>
  <c r="A22" i="48" s="1"/>
  <c r="P21" i="48"/>
  <c r="J21" i="48"/>
  <c r="G21" i="48"/>
  <c r="D21" i="48"/>
  <c r="C21" i="48"/>
  <c r="C23" i="48" s="1"/>
  <c r="B21" i="48"/>
  <c r="B23" i="48" s="1"/>
  <c r="R20" i="48"/>
  <c r="Q20" i="48"/>
  <c r="O20" i="48"/>
  <c r="N20" i="48"/>
  <c r="M20" i="48"/>
  <c r="L20" i="48"/>
  <c r="K20" i="48"/>
  <c r="J20" i="48" s="1"/>
  <c r="I20" i="48"/>
  <c r="H20" i="48"/>
  <c r="G20" i="48" s="1"/>
  <c r="F20" i="48"/>
  <c r="E20" i="48"/>
  <c r="P19" i="48"/>
  <c r="J19" i="48"/>
  <c r="G19" i="48"/>
  <c r="D19" i="48"/>
  <c r="C19" i="48"/>
  <c r="B19" i="48"/>
  <c r="A19" i="48"/>
  <c r="P18" i="48"/>
  <c r="J18" i="48"/>
  <c r="G18" i="48"/>
  <c r="D18" i="48"/>
  <c r="C18" i="48"/>
  <c r="B18" i="48"/>
  <c r="A18" i="48" s="1"/>
  <c r="A20" i="48" s="1"/>
  <c r="R17" i="48"/>
  <c r="Q17" i="48"/>
  <c r="P17" i="48" s="1"/>
  <c r="O17" i="48"/>
  <c r="N17" i="48"/>
  <c r="M17" i="48"/>
  <c r="L17" i="48"/>
  <c r="K17" i="48"/>
  <c r="J17" i="48" s="1"/>
  <c r="I17" i="48"/>
  <c r="H17" i="48"/>
  <c r="G17" i="48"/>
  <c r="F17" i="48"/>
  <c r="E17" i="48"/>
  <c r="D17" i="48" s="1"/>
  <c r="P16" i="48"/>
  <c r="J16" i="48"/>
  <c r="G16" i="48"/>
  <c r="D16" i="48"/>
  <c r="C16" i="48"/>
  <c r="B16" i="48"/>
  <c r="A16" i="48"/>
  <c r="P15" i="48"/>
  <c r="J15" i="48"/>
  <c r="G15" i="48"/>
  <c r="D15" i="48"/>
  <c r="C15" i="48"/>
  <c r="B15" i="48"/>
  <c r="A15" i="48" s="1"/>
  <c r="A17" i="48" s="1"/>
  <c r="R14" i="48"/>
  <c r="Q14" i="48"/>
  <c r="P14" i="48" s="1"/>
  <c r="O14" i="48"/>
  <c r="N14" i="48"/>
  <c r="M14" i="48"/>
  <c r="L14" i="48"/>
  <c r="K14" i="48"/>
  <c r="J14" i="48" s="1"/>
  <c r="I14" i="48"/>
  <c r="H14" i="48"/>
  <c r="F14" i="48"/>
  <c r="E14" i="48"/>
  <c r="D14" i="48"/>
  <c r="P13" i="48"/>
  <c r="J13" i="48"/>
  <c r="G13" i="48"/>
  <c r="D13" i="48"/>
  <c r="C13" i="48"/>
  <c r="B13" i="48"/>
  <c r="A13" i="48" s="1"/>
  <c r="P12" i="48"/>
  <c r="J12" i="48"/>
  <c r="G12" i="48"/>
  <c r="D12" i="48"/>
  <c r="C12" i="48"/>
  <c r="C14" i="48" s="1"/>
  <c r="B12" i="48"/>
  <c r="R11" i="48"/>
  <c r="Q11" i="48"/>
  <c r="P11" i="48"/>
  <c r="O11" i="48"/>
  <c r="N11" i="48"/>
  <c r="M11" i="48"/>
  <c r="L11" i="48"/>
  <c r="K11" i="48"/>
  <c r="J11" i="48"/>
  <c r="I11" i="48"/>
  <c r="H11" i="48"/>
  <c r="G11" i="48" s="1"/>
  <c r="F11" i="48"/>
  <c r="E11" i="48"/>
  <c r="D11" i="48" s="1"/>
  <c r="P10" i="48"/>
  <c r="J10" i="48"/>
  <c r="G10" i="48"/>
  <c r="D10" i="48"/>
  <c r="C10" i="48"/>
  <c r="B10" i="48"/>
  <c r="A10" i="48"/>
  <c r="P9" i="48"/>
  <c r="J9" i="48"/>
  <c r="G9" i="48"/>
  <c r="D9" i="48"/>
  <c r="C9" i="48"/>
  <c r="B9" i="48"/>
  <c r="B11" i="48" s="1"/>
  <c r="R8" i="48"/>
  <c r="R83" i="48" s="1"/>
  <c r="Q8" i="48"/>
  <c r="Q83" i="48" s="1"/>
  <c r="O8" i="48"/>
  <c r="O83" i="48" s="1"/>
  <c r="N8" i="48"/>
  <c r="N83" i="48" s="1"/>
  <c r="M8" i="48"/>
  <c r="M83" i="48" s="1"/>
  <c r="L8" i="48"/>
  <c r="L83" i="48" s="1"/>
  <c r="K8" i="48"/>
  <c r="K83" i="48" s="1"/>
  <c r="I8" i="48"/>
  <c r="I83" i="48" s="1"/>
  <c r="H8" i="48"/>
  <c r="H83" i="48" s="1"/>
  <c r="F8" i="48"/>
  <c r="F83" i="48" s="1"/>
  <c r="E8" i="48"/>
  <c r="E83" i="48" s="1"/>
  <c r="P7" i="48"/>
  <c r="P82" i="48" s="1"/>
  <c r="J7" i="48"/>
  <c r="J82" i="48" s="1"/>
  <c r="G7" i="48"/>
  <c r="G82" i="48" s="1"/>
  <c r="D7" i="48"/>
  <c r="D82" i="48" s="1"/>
  <c r="C7" i="48"/>
  <c r="C82" i="48" s="1"/>
  <c r="B7" i="48"/>
  <c r="B82" i="48" s="1"/>
  <c r="P6" i="48"/>
  <c r="P81" i="48" s="1"/>
  <c r="J6" i="48"/>
  <c r="J81" i="48" s="1"/>
  <c r="G6" i="48"/>
  <c r="G81" i="48" s="1"/>
  <c r="D6" i="48"/>
  <c r="D81" i="48" s="1"/>
  <c r="C6" i="48"/>
  <c r="C81" i="48" s="1"/>
  <c r="B6" i="48"/>
  <c r="B81" i="48" s="1"/>
  <c r="A6" i="48"/>
  <c r="I173" i="47"/>
  <c r="H173" i="47"/>
  <c r="F173" i="47"/>
  <c r="E173" i="47"/>
  <c r="D173" i="47"/>
  <c r="C173" i="47"/>
  <c r="B173" i="47"/>
  <c r="G172" i="47"/>
  <c r="G173" i="47" s="1"/>
  <c r="A172" i="47"/>
  <c r="A173" i="47" s="1"/>
  <c r="I34" i="47"/>
  <c r="H34" i="47"/>
  <c r="F34" i="47"/>
  <c r="E34" i="47"/>
  <c r="D34" i="47"/>
  <c r="G33" i="47"/>
  <c r="G34" i="47" s="1"/>
  <c r="C33" i="47"/>
  <c r="C34" i="47" s="1"/>
  <c r="B33" i="47"/>
  <c r="B34" i="47" s="1"/>
  <c r="A33" i="47"/>
  <c r="A34" i="47" s="1"/>
  <c r="I30" i="46"/>
  <c r="H30" i="46"/>
  <c r="G30" i="46"/>
  <c r="F30" i="46"/>
  <c r="E30" i="46"/>
  <c r="D30" i="46"/>
  <c r="C29" i="46"/>
  <c r="B29" i="46"/>
  <c r="A29" i="46" s="1"/>
  <c r="C28" i="46"/>
  <c r="B28" i="46"/>
  <c r="C27" i="46"/>
  <c r="B27" i="46"/>
  <c r="A27" i="46"/>
  <c r="C26" i="46"/>
  <c r="B26" i="46"/>
  <c r="A26" i="46" s="1"/>
  <c r="C25" i="46"/>
  <c r="B25" i="46"/>
  <c r="A25" i="46" s="1"/>
  <c r="C24" i="46"/>
  <c r="B24" i="46"/>
  <c r="C23" i="46"/>
  <c r="B23" i="46"/>
  <c r="A23" i="46"/>
  <c r="C22" i="46"/>
  <c r="B22" i="46"/>
  <c r="A22" i="46" s="1"/>
  <c r="C21" i="46"/>
  <c r="B21" i="46"/>
  <c r="A21" i="46"/>
  <c r="C20" i="46"/>
  <c r="B20" i="46"/>
  <c r="A20" i="46" s="1"/>
  <c r="C19" i="46"/>
  <c r="B19" i="46"/>
  <c r="A19" i="46" s="1"/>
  <c r="C18" i="46"/>
  <c r="B18" i="46"/>
  <c r="C17" i="46"/>
  <c r="B17" i="46"/>
  <c r="C16" i="46"/>
  <c r="B16" i="46"/>
  <c r="A16" i="46"/>
  <c r="C15" i="46"/>
  <c r="B15" i="46"/>
  <c r="A15" i="46" s="1"/>
  <c r="C14" i="46"/>
  <c r="B14" i="46"/>
  <c r="A14" i="46"/>
  <c r="C13" i="46"/>
  <c r="B13" i="46"/>
  <c r="A13" i="46" s="1"/>
  <c r="C12" i="46"/>
  <c r="B12" i="46"/>
  <c r="A12" i="46" s="1"/>
  <c r="C11" i="46"/>
  <c r="B11" i="46"/>
  <c r="C10" i="46"/>
  <c r="B10" i="46"/>
  <c r="A10" i="46"/>
  <c r="C9" i="46"/>
  <c r="B9" i="46"/>
  <c r="A9" i="46" s="1"/>
  <c r="C8" i="46"/>
  <c r="B8" i="46"/>
  <c r="A8" i="46" s="1"/>
  <c r="C7" i="46"/>
  <c r="B7" i="46"/>
  <c r="C6" i="46"/>
  <c r="B6" i="46"/>
  <c r="A6" i="46"/>
  <c r="C5" i="46"/>
  <c r="B5" i="46"/>
  <c r="B30" i="46" s="1"/>
  <c r="C30" i="46" l="1"/>
  <c r="A7" i="46"/>
  <c r="A11" i="46"/>
  <c r="A17" i="46"/>
  <c r="A18" i="46"/>
  <c r="A38" i="48"/>
  <c r="A24" i="46"/>
  <c r="A28" i="46"/>
  <c r="G8" i="48"/>
  <c r="A9" i="48"/>
  <c r="A11" i="48" s="1"/>
  <c r="C11" i="48"/>
  <c r="A12" i="48"/>
  <c r="A14" i="48" s="1"/>
  <c r="G14" i="48"/>
  <c r="C17" i="48"/>
  <c r="C20" i="48"/>
  <c r="D20" i="48"/>
  <c r="P20" i="48"/>
  <c r="A21" i="48"/>
  <c r="A23" i="48" s="1"/>
  <c r="J23" i="48"/>
  <c r="A25" i="48"/>
  <c r="D26" i="48"/>
  <c r="P26" i="48"/>
  <c r="A27" i="48"/>
  <c r="A29" i="48" s="1"/>
  <c r="A30" i="48"/>
  <c r="A32" i="48" s="1"/>
  <c r="J32" i="48"/>
  <c r="A34" i="48"/>
  <c r="D35" i="48"/>
  <c r="B38" i="48"/>
  <c r="G38" i="48"/>
  <c r="A40" i="48"/>
  <c r="D41" i="48"/>
  <c r="P41" i="48"/>
  <c r="A42" i="48"/>
  <c r="A44" i="48" s="1"/>
  <c r="J44" i="48"/>
  <c r="A46" i="48"/>
  <c r="D47" i="48"/>
  <c r="P47" i="48"/>
  <c r="A48" i="48"/>
  <c r="A50" i="48" s="1"/>
  <c r="J50" i="48"/>
  <c r="A52" i="48"/>
  <c r="D53" i="48"/>
  <c r="P53" i="48"/>
  <c r="A54" i="48"/>
  <c r="A56" i="48" s="1"/>
  <c r="J56" i="48"/>
  <c r="A58" i="48"/>
  <c r="P59" i="48"/>
  <c r="A60" i="48"/>
  <c r="A62" i="48" s="1"/>
  <c r="J62" i="48"/>
  <c r="C65" i="48"/>
  <c r="A66" i="48"/>
  <c r="A68" i="48" s="1"/>
  <c r="G68" i="48"/>
  <c r="C71" i="48"/>
  <c r="A72" i="48"/>
  <c r="A74" i="48" s="1"/>
  <c r="G74" i="48"/>
  <c r="C77" i="48"/>
  <c r="A78" i="48"/>
  <c r="A80" i="48" s="1"/>
  <c r="A26" i="48"/>
  <c r="A35" i="48"/>
  <c r="A41" i="48"/>
  <c r="A47" i="48"/>
  <c r="A53" i="48"/>
  <c r="A59" i="48"/>
  <c r="A7" i="48"/>
  <c r="A82" i="48" s="1"/>
  <c r="B8" i="48"/>
  <c r="D8" i="48"/>
  <c r="D83" i="48" s="1"/>
  <c r="J8" i="48"/>
  <c r="J83" i="48" s="1"/>
  <c r="P8" i="48"/>
  <c r="P83" i="48" s="1"/>
  <c r="B14" i="48"/>
  <c r="B17" i="48"/>
  <c r="B20" i="48"/>
  <c r="B65" i="48"/>
  <c r="B68" i="48"/>
  <c r="B71" i="48"/>
  <c r="B74" i="48"/>
  <c r="B77" i="48"/>
  <c r="B80" i="48"/>
  <c r="B72" i="49"/>
  <c r="B75" i="49" s="1"/>
  <c r="D72" i="49"/>
  <c r="D75" i="49" s="1"/>
  <c r="J72" i="49"/>
  <c r="J75" i="49" s="1"/>
  <c r="P72" i="49"/>
  <c r="P75" i="49" s="1"/>
  <c r="B439" i="49"/>
  <c r="B442" i="49" s="1"/>
  <c r="D439" i="49"/>
  <c r="D442" i="49" s="1"/>
  <c r="J439" i="49"/>
  <c r="J442" i="49" s="1"/>
  <c r="P439" i="49"/>
  <c r="P442" i="49" s="1"/>
  <c r="A5" i="46"/>
  <c r="A30" i="46" s="1"/>
  <c r="A8" i="48"/>
  <c r="A83" i="48" s="1"/>
  <c r="C8" i="48"/>
  <c r="C83" i="48" s="1"/>
  <c r="A72" i="49"/>
  <c r="A75" i="49" s="1"/>
  <c r="C72" i="49"/>
  <c r="C75" i="49" s="1"/>
  <c r="G72" i="49"/>
  <c r="G75" i="49" s="1"/>
  <c r="M72" i="49"/>
  <c r="M75" i="49" s="1"/>
  <c r="A439" i="49"/>
  <c r="A442" i="49" s="1"/>
  <c r="C439" i="49"/>
  <c r="C442" i="49" s="1"/>
  <c r="G439" i="49"/>
  <c r="G442" i="49" s="1"/>
  <c r="M439" i="49"/>
  <c r="M442" i="49" s="1"/>
  <c r="G83" i="48" l="1"/>
  <c r="A81" i="48"/>
  <c r="B83" i="48"/>
  <c r="O84" i="44"/>
  <c r="N84" i="44"/>
  <c r="M84" i="44"/>
  <c r="L84" i="44"/>
  <c r="K84" i="44"/>
  <c r="J84" i="44"/>
  <c r="I84" i="44"/>
  <c r="H84" i="44"/>
  <c r="G84" i="44"/>
  <c r="F84" i="44"/>
  <c r="E84" i="44"/>
  <c r="D84" i="44"/>
  <c r="O83" i="44"/>
  <c r="N83" i="44"/>
  <c r="M83" i="44"/>
  <c r="L83" i="44"/>
  <c r="K83" i="44"/>
  <c r="J83" i="44"/>
  <c r="I83" i="44"/>
  <c r="H83" i="44"/>
  <c r="G83" i="44"/>
  <c r="F83" i="44"/>
  <c r="E83" i="44"/>
  <c r="D83" i="44"/>
  <c r="O82" i="44"/>
  <c r="N82" i="44"/>
  <c r="M82" i="44"/>
  <c r="L82" i="44"/>
  <c r="K82" i="44"/>
  <c r="J82" i="44"/>
  <c r="I82" i="44"/>
  <c r="H82" i="44"/>
  <c r="G82" i="44"/>
  <c r="F82" i="44"/>
  <c r="E82" i="44"/>
  <c r="D82" i="44"/>
  <c r="C81" i="44"/>
  <c r="B81" i="44"/>
  <c r="A81" i="44" s="1"/>
  <c r="C80" i="44"/>
  <c r="C82" i="44" s="1"/>
  <c r="B80" i="44"/>
  <c r="O79" i="44"/>
  <c r="N79" i="44"/>
  <c r="M79" i="44"/>
  <c r="L79" i="44"/>
  <c r="K79" i="44"/>
  <c r="J79" i="44"/>
  <c r="I79" i="44"/>
  <c r="H79" i="44"/>
  <c r="G79" i="44"/>
  <c r="F79" i="44"/>
  <c r="E79" i="44"/>
  <c r="D79" i="44"/>
  <c r="C78" i="44"/>
  <c r="B78" i="44"/>
  <c r="C77" i="44"/>
  <c r="C79" i="44" s="1"/>
  <c r="B77" i="44"/>
  <c r="B79" i="44" s="1"/>
  <c r="A77" i="44"/>
  <c r="O76" i="44"/>
  <c r="N76" i="44"/>
  <c r="M76" i="44"/>
  <c r="L76" i="44"/>
  <c r="K76" i="44"/>
  <c r="J76" i="44"/>
  <c r="I76" i="44"/>
  <c r="H76" i="44"/>
  <c r="G76" i="44"/>
  <c r="F76" i="44"/>
  <c r="E76" i="44"/>
  <c r="D76" i="44"/>
  <c r="C75" i="44"/>
  <c r="B75" i="44"/>
  <c r="A75" i="44" s="1"/>
  <c r="C74" i="44"/>
  <c r="C76" i="44" s="1"/>
  <c r="B74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C72" i="44"/>
  <c r="B72" i="44"/>
  <c r="C71" i="44"/>
  <c r="C73" i="44" s="1"/>
  <c r="B71" i="44"/>
  <c r="B73" i="44" s="1"/>
  <c r="A71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C69" i="44"/>
  <c r="B69" i="44"/>
  <c r="A69" i="44" s="1"/>
  <c r="C68" i="44"/>
  <c r="C70" i="44" s="1"/>
  <c r="B68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C66" i="44"/>
  <c r="B66" i="44"/>
  <c r="C65" i="44"/>
  <c r="C67" i="44" s="1"/>
  <c r="B65" i="44"/>
  <c r="B67" i="44" s="1"/>
  <c r="A65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3" i="44"/>
  <c r="B63" i="44"/>
  <c r="A63" i="44" s="1"/>
  <c r="C62" i="44"/>
  <c r="C64" i="44" s="1"/>
  <c r="B62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C60" i="44"/>
  <c r="B60" i="44"/>
  <c r="C59" i="44"/>
  <c r="C61" i="44" s="1"/>
  <c r="B59" i="44"/>
  <c r="B61" i="44" s="1"/>
  <c r="A59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C57" i="44"/>
  <c r="B57" i="44"/>
  <c r="A57" i="44" s="1"/>
  <c r="C56" i="44"/>
  <c r="C58" i="44" s="1"/>
  <c r="B56" i="44"/>
  <c r="B58" i="44" s="1"/>
  <c r="O55" i="44"/>
  <c r="N55" i="44"/>
  <c r="M55" i="44"/>
  <c r="L55" i="44"/>
  <c r="K55" i="44"/>
  <c r="J55" i="44"/>
  <c r="I55" i="44"/>
  <c r="H55" i="44"/>
  <c r="G55" i="44"/>
  <c r="F55" i="44"/>
  <c r="E55" i="44"/>
  <c r="D55" i="44"/>
  <c r="C54" i="44"/>
  <c r="B54" i="44"/>
  <c r="A54" i="44"/>
  <c r="C53" i="44"/>
  <c r="B53" i="44"/>
  <c r="B55" i="44" s="1"/>
  <c r="O52" i="44"/>
  <c r="N52" i="44"/>
  <c r="M52" i="44"/>
  <c r="L52" i="44"/>
  <c r="K52" i="44"/>
  <c r="J52" i="44"/>
  <c r="I52" i="44"/>
  <c r="H52" i="44"/>
  <c r="G52" i="44"/>
  <c r="F52" i="44"/>
  <c r="E52" i="44"/>
  <c r="D52" i="44"/>
  <c r="C51" i="44"/>
  <c r="B51" i="44"/>
  <c r="A51" i="44" s="1"/>
  <c r="C50" i="44"/>
  <c r="C52" i="44" s="1"/>
  <c r="B50" i="44"/>
  <c r="B52" i="44" s="1"/>
  <c r="O49" i="44"/>
  <c r="N49" i="44"/>
  <c r="M49" i="44"/>
  <c r="L49" i="44"/>
  <c r="K49" i="44"/>
  <c r="J49" i="44"/>
  <c r="I49" i="44"/>
  <c r="H49" i="44"/>
  <c r="G49" i="44"/>
  <c r="F49" i="44"/>
  <c r="E49" i="44"/>
  <c r="D49" i="44"/>
  <c r="C48" i="44"/>
  <c r="B48" i="44"/>
  <c r="A48" i="44"/>
  <c r="C47" i="44"/>
  <c r="B47" i="44"/>
  <c r="B49" i="44" s="1"/>
  <c r="O46" i="44"/>
  <c r="N46" i="44"/>
  <c r="M46" i="44"/>
  <c r="L46" i="44"/>
  <c r="K46" i="44"/>
  <c r="J46" i="44"/>
  <c r="I46" i="44"/>
  <c r="H46" i="44"/>
  <c r="G46" i="44"/>
  <c r="F46" i="44"/>
  <c r="E46" i="44"/>
  <c r="D46" i="44"/>
  <c r="C45" i="44"/>
  <c r="B45" i="44"/>
  <c r="A45" i="44" s="1"/>
  <c r="C44" i="44"/>
  <c r="C46" i="44" s="1"/>
  <c r="B44" i="44"/>
  <c r="B46" i="44" s="1"/>
  <c r="O43" i="44"/>
  <c r="N43" i="44"/>
  <c r="M43" i="44"/>
  <c r="L43" i="44"/>
  <c r="K43" i="44"/>
  <c r="J43" i="44"/>
  <c r="I43" i="44"/>
  <c r="H43" i="44"/>
  <c r="G43" i="44"/>
  <c r="F43" i="44"/>
  <c r="E43" i="44"/>
  <c r="D43" i="44"/>
  <c r="C42" i="44"/>
  <c r="B42" i="44"/>
  <c r="A42" i="44"/>
  <c r="C41" i="44"/>
  <c r="B41" i="44"/>
  <c r="B43" i="44" s="1"/>
  <c r="O40" i="44"/>
  <c r="N40" i="44"/>
  <c r="M40" i="44"/>
  <c r="L40" i="44"/>
  <c r="K40" i="44"/>
  <c r="J40" i="44"/>
  <c r="I40" i="44"/>
  <c r="H40" i="44"/>
  <c r="G40" i="44"/>
  <c r="F40" i="44"/>
  <c r="E40" i="44"/>
  <c r="D40" i="44"/>
  <c r="C39" i="44"/>
  <c r="B39" i="44"/>
  <c r="A39" i="44" s="1"/>
  <c r="C38" i="44"/>
  <c r="C40" i="44" s="1"/>
  <c r="B38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6" i="44"/>
  <c r="B36" i="44"/>
  <c r="C35" i="44"/>
  <c r="C37" i="44" s="1"/>
  <c r="B35" i="44"/>
  <c r="B37" i="44" s="1"/>
  <c r="A35" i="44"/>
  <c r="O34" i="44"/>
  <c r="N34" i="44"/>
  <c r="M34" i="44"/>
  <c r="L34" i="44"/>
  <c r="K34" i="44"/>
  <c r="J34" i="44"/>
  <c r="I34" i="44"/>
  <c r="H34" i="44"/>
  <c r="G34" i="44"/>
  <c r="F34" i="44"/>
  <c r="E34" i="44"/>
  <c r="D34" i="44"/>
  <c r="C33" i="44"/>
  <c r="B33" i="44"/>
  <c r="A33" i="44" s="1"/>
  <c r="C32" i="44"/>
  <c r="C34" i="44" s="1"/>
  <c r="B32" i="44"/>
  <c r="O31" i="44"/>
  <c r="N31" i="44"/>
  <c r="M31" i="44"/>
  <c r="L31" i="44"/>
  <c r="K31" i="44"/>
  <c r="J31" i="44"/>
  <c r="I31" i="44"/>
  <c r="H31" i="44"/>
  <c r="G31" i="44"/>
  <c r="F31" i="44"/>
  <c r="E31" i="44"/>
  <c r="D31" i="44"/>
  <c r="C30" i="44"/>
  <c r="B30" i="44"/>
  <c r="C29" i="44"/>
  <c r="C31" i="44" s="1"/>
  <c r="B29" i="44"/>
  <c r="B31" i="44" s="1"/>
  <c r="A29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7" i="44"/>
  <c r="B27" i="44"/>
  <c r="A27" i="44" s="1"/>
  <c r="C26" i="44"/>
  <c r="C28" i="44" s="1"/>
  <c r="B26" i="44"/>
  <c r="O25" i="44"/>
  <c r="N25" i="44"/>
  <c r="M25" i="44"/>
  <c r="L25" i="44"/>
  <c r="K25" i="44"/>
  <c r="J25" i="44"/>
  <c r="I25" i="44"/>
  <c r="H25" i="44"/>
  <c r="G25" i="44"/>
  <c r="F25" i="44"/>
  <c r="E25" i="44"/>
  <c r="D25" i="44"/>
  <c r="C24" i="44"/>
  <c r="B24" i="44"/>
  <c r="C23" i="44"/>
  <c r="C25" i="44" s="1"/>
  <c r="B23" i="44"/>
  <c r="B25" i="44" s="1"/>
  <c r="A23" i="44"/>
  <c r="O22" i="44"/>
  <c r="N22" i="44"/>
  <c r="M22" i="44"/>
  <c r="L22" i="44"/>
  <c r="K22" i="44"/>
  <c r="J22" i="44"/>
  <c r="I22" i="44"/>
  <c r="H22" i="44"/>
  <c r="G22" i="44"/>
  <c r="F22" i="44"/>
  <c r="E22" i="44"/>
  <c r="D22" i="44"/>
  <c r="C21" i="44"/>
  <c r="B21" i="44"/>
  <c r="A21" i="44" s="1"/>
  <c r="C20" i="44"/>
  <c r="C22" i="44" s="1"/>
  <c r="B20" i="44"/>
  <c r="O19" i="44"/>
  <c r="N19" i="44"/>
  <c r="M19" i="44"/>
  <c r="L19" i="44"/>
  <c r="K19" i="44"/>
  <c r="J19" i="44"/>
  <c r="I19" i="44"/>
  <c r="H19" i="44"/>
  <c r="G19" i="44"/>
  <c r="F19" i="44"/>
  <c r="E19" i="44"/>
  <c r="D19" i="44"/>
  <c r="C18" i="44"/>
  <c r="B18" i="44"/>
  <c r="C17" i="44"/>
  <c r="C19" i="44" s="1"/>
  <c r="B17" i="44"/>
  <c r="B19" i="44" s="1"/>
  <c r="A17" i="44"/>
  <c r="O16" i="44"/>
  <c r="N16" i="44"/>
  <c r="M16" i="44"/>
  <c r="L16" i="44"/>
  <c r="K16" i="44"/>
  <c r="J16" i="44"/>
  <c r="I16" i="44"/>
  <c r="H16" i="44"/>
  <c r="G16" i="44"/>
  <c r="F16" i="44"/>
  <c r="E16" i="44"/>
  <c r="D16" i="44"/>
  <c r="C15" i="44"/>
  <c r="B15" i="44"/>
  <c r="A15" i="44" s="1"/>
  <c r="C14" i="44"/>
  <c r="C16" i="44" s="1"/>
  <c r="B14" i="44"/>
  <c r="O13" i="44"/>
  <c r="N13" i="44"/>
  <c r="M13" i="44"/>
  <c r="L13" i="44"/>
  <c r="K13" i="44"/>
  <c r="J13" i="44"/>
  <c r="I13" i="44"/>
  <c r="H13" i="44"/>
  <c r="G13" i="44"/>
  <c r="F13" i="44"/>
  <c r="E13" i="44"/>
  <c r="D13" i="44"/>
  <c r="C12" i="44"/>
  <c r="B12" i="44"/>
  <c r="C11" i="44"/>
  <c r="C13" i="44" s="1"/>
  <c r="B11" i="44"/>
  <c r="B13" i="44" s="1"/>
  <c r="A11" i="44"/>
  <c r="O10" i="44"/>
  <c r="N10" i="44"/>
  <c r="M10" i="44"/>
  <c r="L10" i="44"/>
  <c r="K10" i="44"/>
  <c r="J10" i="44"/>
  <c r="I10" i="44"/>
  <c r="H10" i="44"/>
  <c r="G10" i="44"/>
  <c r="F10" i="44"/>
  <c r="E10" i="44"/>
  <c r="D10" i="44"/>
  <c r="C9" i="44"/>
  <c r="B9" i="44"/>
  <c r="A9" i="44" s="1"/>
  <c r="C8" i="44"/>
  <c r="C10" i="44" s="1"/>
  <c r="B8" i="44"/>
  <c r="O7" i="44"/>
  <c r="O85" i="44" s="1"/>
  <c r="N7" i="44"/>
  <c r="N85" i="44" s="1"/>
  <c r="M7" i="44"/>
  <c r="M85" i="44" s="1"/>
  <c r="L7" i="44"/>
  <c r="L85" i="44" s="1"/>
  <c r="K7" i="44"/>
  <c r="K85" i="44" s="1"/>
  <c r="J7" i="44"/>
  <c r="J85" i="44" s="1"/>
  <c r="I7" i="44"/>
  <c r="I85" i="44" s="1"/>
  <c r="H7" i="44"/>
  <c r="H85" i="44" s="1"/>
  <c r="G7" i="44"/>
  <c r="G85" i="44" s="1"/>
  <c r="F7" i="44"/>
  <c r="F85" i="44" s="1"/>
  <c r="E7" i="44"/>
  <c r="E85" i="44" s="1"/>
  <c r="D7" i="44"/>
  <c r="D85" i="44" s="1"/>
  <c r="C6" i="44"/>
  <c r="C84" i="44" s="1"/>
  <c r="B6" i="44"/>
  <c r="C5" i="44"/>
  <c r="C7" i="44" s="1"/>
  <c r="B5" i="44"/>
  <c r="B83" i="44" s="1"/>
  <c r="A5" i="44"/>
  <c r="O259" i="43"/>
  <c r="N259" i="43"/>
  <c r="M259" i="43"/>
  <c r="L259" i="43"/>
  <c r="K259" i="43"/>
  <c r="J259" i="43"/>
  <c r="I259" i="43"/>
  <c r="H259" i="43"/>
  <c r="G259" i="43"/>
  <c r="F259" i="43"/>
  <c r="E259" i="43"/>
  <c r="D259" i="43"/>
  <c r="O258" i="43"/>
  <c r="N258" i="43"/>
  <c r="M258" i="43"/>
  <c r="L258" i="43"/>
  <c r="K258" i="43"/>
  <c r="J258" i="43"/>
  <c r="I258" i="43"/>
  <c r="H258" i="43"/>
  <c r="G258" i="43"/>
  <c r="F258" i="43"/>
  <c r="E258" i="43"/>
  <c r="D258" i="43"/>
  <c r="O257" i="43"/>
  <c r="N257" i="43"/>
  <c r="M257" i="43"/>
  <c r="L257" i="43"/>
  <c r="K257" i="43"/>
  <c r="J257" i="43"/>
  <c r="I257" i="43"/>
  <c r="H257" i="43"/>
  <c r="G257" i="43"/>
  <c r="F257" i="43"/>
  <c r="E257" i="43"/>
  <c r="D257" i="43"/>
  <c r="C256" i="43"/>
  <c r="B256" i="43"/>
  <c r="A256" i="43"/>
  <c r="C255" i="43"/>
  <c r="B255" i="43"/>
  <c r="A255" i="43" s="1"/>
  <c r="C254" i="43"/>
  <c r="B254" i="43"/>
  <c r="A254" i="43" s="1"/>
  <c r="C253" i="43"/>
  <c r="B253" i="43"/>
  <c r="C252" i="43"/>
  <c r="B252" i="43"/>
  <c r="A252" i="43"/>
  <c r="C251" i="43"/>
  <c r="B251" i="43"/>
  <c r="A251" i="43" s="1"/>
  <c r="C250" i="43"/>
  <c r="B250" i="43"/>
  <c r="A250" i="43" s="1"/>
  <c r="C249" i="43"/>
  <c r="B249" i="43"/>
  <c r="C248" i="43"/>
  <c r="B248" i="43"/>
  <c r="A248" i="43"/>
  <c r="C247" i="43"/>
  <c r="B247" i="43"/>
  <c r="A247" i="43" s="1"/>
  <c r="C246" i="43"/>
  <c r="B246" i="43"/>
  <c r="A246" i="43" s="1"/>
  <c r="C245" i="43"/>
  <c r="B245" i="43"/>
  <c r="C244" i="43"/>
  <c r="B244" i="43"/>
  <c r="A244" i="43"/>
  <c r="C243" i="43"/>
  <c r="B243" i="43"/>
  <c r="A243" i="43" s="1"/>
  <c r="C242" i="43"/>
  <c r="B242" i="43"/>
  <c r="A242" i="43" s="1"/>
  <c r="C241" i="43"/>
  <c r="B241" i="43"/>
  <c r="C240" i="43"/>
  <c r="B240" i="43"/>
  <c r="A240" i="43"/>
  <c r="C239" i="43"/>
  <c r="B239" i="43"/>
  <c r="A239" i="43" s="1"/>
  <c r="C238" i="43"/>
  <c r="B238" i="43"/>
  <c r="A238" i="43" s="1"/>
  <c r="C237" i="43"/>
  <c r="B237" i="43"/>
  <c r="C236" i="43"/>
  <c r="B236" i="43"/>
  <c r="A236" i="43"/>
  <c r="C235" i="43"/>
  <c r="B235" i="43"/>
  <c r="A235" i="43" s="1"/>
  <c r="C234" i="43"/>
  <c r="B234" i="43"/>
  <c r="A234" i="43" s="1"/>
  <c r="C233" i="43"/>
  <c r="B233" i="43"/>
  <c r="C232" i="43"/>
  <c r="B232" i="43"/>
  <c r="A232" i="43"/>
  <c r="C231" i="43"/>
  <c r="B231" i="43"/>
  <c r="A231" i="43" s="1"/>
  <c r="C230" i="43"/>
  <c r="B230" i="43"/>
  <c r="A230" i="43" s="1"/>
  <c r="C229" i="43"/>
  <c r="B229" i="43"/>
  <c r="C228" i="43"/>
  <c r="B228" i="43"/>
  <c r="A228" i="43"/>
  <c r="C227" i="43"/>
  <c r="B227" i="43"/>
  <c r="A227" i="43" s="1"/>
  <c r="C226" i="43"/>
  <c r="B226" i="43"/>
  <c r="A226" i="43" s="1"/>
  <c r="C225" i="43"/>
  <c r="B225" i="43"/>
  <c r="C224" i="43"/>
  <c r="B224" i="43"/>
  <c r="A224" i="43"/>
  <c r="C223" i="43"/>
  <c r="B223" i="43"/>
  <c r="A223" i="43" s="1"/>
  <c r="C222" i="43"/>
  <c r="B222" i="43"/>
  <c r="A222" i="43" s="1"/>
  <c r="C221" i="43"/>
  <c r="B221" i="43"/>
  <c r="C220" i="43"/>
  <c r="B220" i="43"/>
  <c r="A220" i="43"/>
  <c r="C219" i="43"/>
  <c r="B219" i="43"/>
  <c r="A219" i="43" s="1"/>
  <c r="C218" i="43"/>
  <c r="B218" i="43"/>
  <c r="A218" i="43" s="1"/>
  <c r="C217" i="43"/>
  <c r="B217" i="43"/>
  <c r="C216" i="43"/>
  <c r="B216" i="43"/>
  <c r="A216" i="43"/>
  <c r="C215" i="43"/>
  <c r="B215" i="43"/>
  <c r="A215" i="43" s="1"/>
  <c r="C214" i="43"/>
  <c r="B214" i="43"/>
  <c r="A214" i="43" s="1"/>
  <c r="C213" i="43"/>
  <c r="B213" i="43"/>
  <c r="C212" i="43"/>
  <c r="B212" i="43"/>
  <c r="A212" i="43"/>
  <c r="C211" i="43"/>
  <c r="B211" i="43"/>
  <c r="A211" i="43" s="1"/>
  <c r="C210" i="43"/>
  <c r="B210" i="43"/>
  <c r="A210" i="43" s="1"/>
  <c r="C209" i="43"/>
  <c r="B209" i="43"/>
  <c r="C208" i="43"/>
  <c r="B208" i="43"/>
  <c r="A208" i="43"/>
  <c r="C207" i="43"/>
  <c r="B207" i="43"/>
  <c r="A207" i="43" s="1"/>
  <c r="C206" i="43"/>
  <c r="B206" i="43"/>
  <c r="A206" i="43" s="1"/>
  <c r="C205" i="43"/>
  <c r="B205" i="43"/>
  <c r="C204" i="43"/>
  <c r="B204" i="43"/>
  <c r="A204" i="43"/>
  <c r="C203" i="43"/>
  <c r="B203" i="43"/>
  <c r="A203" i="43" s="1"/>
  <c r="C202" i="43"/>
  <c r="B202" i="43"/>
  <c r="A202" i="43" s="1"/>
  <c r="C201" i="43"/>
  <c r="B201" i="43"/>
  <c r="C200" i="43"/>
  <c r="B200" i="43"/>
  <c r="A200" i="43"/>
  <c r="C199" i="43"/>
  <c r="B199" i="43"/>
  <c r="A199" i="43" s="1"/>
  <c r="C198" i="43"/>
  <c r="B198" i="43"/>
  <c r="A198" i="43" s="1"/>
  <c r="C197" i="43"/>
  <c r="B197" i="43"/>
  <c r="C196" i="43"/>
  <c r="B196" i="43"/>
  <c r="A196" i="43"/>
  <c r="C195" i="43"/>
  <c r="B195" i="43"/>
  <c r="A195" i="43" s="1"/>
  <c r="C194" i="43"/>
  <c r="B194" i="43"/>
  <c r="A194" i="43" s="1"/>
  <c r="C193" i="43"/>
  <c r="B193" i="43"/>
  <c r="C192" i="43"/>
  <c r="B192" i="43"/>
  <c r="A192" i="43"/>
  <c r="C191" i="43"/>
  <c r="B191" i="43"/>
  <c r="A191" i="43" s="1"/>
  <c r="C190" i="43"/>
  <c r="B190" i="43"/>
  <c r="A190" i="43" s="1"/>
  <c r="C189" i="43"/>
  <c r="B189" i="43"/>
  <c r="C188" i="43"/>
  <c r="B188" i="43"/>
  <c r="A188" i="43"/>
  <c r="C187" i="43"/>
  <c r="B187" i="43"/>
  <c r="A187" i="43" s="1"/>
  <c r="C186" i="43"/>
  <c r="B186" i="43"/>
  <c r="A186" i="43" s="1"/>
  <c r="C185" i="43"/>
  <c r="B185" i="43"/>
  <c r="C184" i="43"/>
  <c r="B184" i="43"/>
  <c r="A184" i="43"/>
  <c r="C183" i="43"/>
  <c r="B183" i="43"/>
  <c r="A183" i="43" s="1"/>
  <c r="C182" i="43"/>
  <c r="B182" i="43"/>
  <c r="A182" i="43" s="1"/>
  <c r="C181" i="43"/>
  <c r="B181" i="43"/>
  <c r="C180" i="43"/>
  <c r="B180" i="43"/>
  <c r="A180" i="43"/>
  <c r="C179" i="43"/>
  <c r="B179" i="43"/>
  <c r="A179" i="43" s="1"/>
  <c r="C178" i="43"/>
  <c r="B178" i="43"/>
  <c r="A178" i="43" s="1"/>
  <c r="C177" i="43"/>
  <c r="B177" i="43"/>
  <c r="C176" i="43"/>
  <c r="B176" i="43"/>
  <c r="A176" i="43"/>
  <c r="C175" i="43"/>
  <c r="B175" i="43"/>
  <c r="A175" i="43" s="1"/>
  <c r="C174" i="43"/>
  <c r="B174" i="43"/>
  <c r="A174" i="43" s="1"/>
  <c r="C173" i="43"/>
  <c r="B173" i="43"/>
  <c r="C172" i="43"/>
  <c r="C259" i="43" s="1"/>
  <c r="B172" i="43"/>
  <c r="A172" i="43"/>
  <c r="C171" i="43"/>
  <c r="B171" i="43"/>
  <c r="B258" i="43" s="1"/>
  <c r="C170" i="43"/>
  <c r="B170" i="43"/>
  <c r="A170" i="43" s="1"/>
  <c r="O88" i="43"/>
  <c r="N88" i="43"/>
  <c r="M88" i="43"/>
  <c r="L88" i="43"/>
  <c r="K88" i="43"/>
  <c r="J88" i="43"/>
  <c r="I88" i="43"/>
  <c r="H88" i="43"/>
  <c r="G88" i="43"/>
  <c r="F88" i="43"/>
  <c r="E88" i="43"/>
  <c r="D88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5" i="43"/>
  <c r="B85" i="43"/>
  <c r="A85" i="43"/>
  <c r="C84" i="43"/>
  <c r="B84" i="43"/>
  <c r="A84" i="43" s="1"/>
  <c r="C83" i="43"/>
  <c r="B83" i="43"/>
  <c r="A83" i="43" s="1"/>
  <c r="C82" i="43"/>
  <c r="B82" i="43"/>
  <c r="C81" i="43"/>
  <c r="B81" i="43"/>
  <c r="A81" i="43"/>
  <c r="C80" i="43"/>
  <c r="B80" i="43"/>
  <c r="A80" i="43" s="1"/>
  <c r="C79" i="43"/>
  <c r="B79" i="43"/>
  <c r="A79" i="43" s="1"/>
  <c r="C78" i="43"/>
  <c r="B78" i="43"/>
  <c r="C77" i="43"/>
  <c r="B77" i="43"/>
  <c r="A77" i="43"/>
  <c r="C76" i="43"/>
  <c r="B76" i="43"/>
  <c r="A76" i="43" s="1"/>
  <c r="C75" i="43"/>
  <c r="B75" i="43"/>
  <c r="A75" i="43" s="1"/>
  <c r="C74" i="43"/>
  <c r="B74" i="43"/>
  <c r="C73" i="43"/>
  <c r="B73" i="43"/>
  <c r="A73" i="43"/>
  <c r="C72" i="43"/>
  <c r="B72" i="43"/>
  <c r="A72" i="43" s="1"/>
  <c r="C71" i="43"/>
  <c r="B71" i="43"/>
  <c r="A71" i="43" s="1"/>
  <c r="C70" i="43"/>
  <c r="B70" i="43"/>
  <c r="C69" i="43"/>
  <c r="B69" i="43"/>
  <c r="A69" i="43"/>
  <c r="C68" i="43"/>
  <c r="B68" i="43"/>
  <c r="A68" i="43" s="1"/>
  <c r="C67" i="43"/>
  <c r="B67" i="43"/>
  <c r="A67" i="43" s="1"/>
  <c r="C66" i="43"/>
  <c r="B66" i="43"/>
  <c r="C65" i="43"/>
  <c r="B65" i="43"/>
  <c r="A65" i="43"/>
  <c r="C64" i="43"/>
  <c r="B64" i="43"/>
  <c r="A64" i="43" s="1"/>
  <c r="C63" i="43"/>
  <c r="B63" i="43"/>
  <c r="A63" i="43" s="1"/>
  <c r="C62" i="43"/>
  <c r="B62" i="43"/>
  <c r="C61" i="43"/>
  <c r="B61" i="43"/>
  <c r="A61" i="43"/>
  <c r="C60" i="43"/>
  <c r="B60" i="43"/>
  <c r="A60" i="43" s="1"/>
  <c r="C59" i="43"/>
  <c r="B59" i="43"/>
  <c r="A59" i="43" s="1"/>
  <c r="C58" i="43"/>
  <c r="B58" i="43"/>
  <c r="C57" i="43"/>
  <c r="B57" i="43"/>
  <c r="A57" i="43"/>
  <c r="C56" i="43"/>
  <c r="B56" i="43"/>
  <c r="A56" i="43" s="1"/>
  <c r="C55" i="43"/>
  <c r="B55" i="43"/>
  <c r="A55" i="43" s="1"/>
  <c r="C54" i="43"/>
  <c r="B54" i="43"/>
  <c r="C53" i="43"/>
  <c r="B53" i="43"/>
  <c r="A53" i="43"/>
  <c r="C52" i="43"/>
  <c r="B52" i="43"/>
  <c r="A52" i="43" s="1"/>
  <c r="C51" i="43"/>
  <c r="B51" i="43"/>
  <c r="A51" i="43" s="1"/>
  <c r="C50" i="43"/>
  <c r="B50" i="43"/>
  <c r="C49" i="43"/>
  <c r="B49" i="43"/>
  <c r="A49" i="43"/>
  <c r="C48" i="43"/>
  <c r="B48" i="43"/>
  <c r="A48" i="43" s="1"/>
  <c r="C47" i="43"/>
  <c r="B47" i="43"/>
  <c r="A47" i="43" s="1"/>
  <c r="C46" i="43"/>
  <c r="B46" i="43"/>
  <c r="C45" i="43"/>
  <c r="B45" i="43"/>
  <c r="A45" i="43"/>
  <c r="C44" i="43"/>
  <c r="B44" i="43"/>
  <c r="A44" i="43" s="1"/>
  <c r="C43" i="43"/>
  <c r="B43" i="43"/>
  <c r="A43" i="43" s="1"/>
  <c r="C42" i="43"/>
  <c r="B42" i="43"/>
  <c r="C41" i="43"/>
  <c r="B41" i="43"/>
  <c r="A41" i="43"/>
  <c r="C40" i="43"/>
  <c r="B40" i="43"/>
  <c r="A40" i="43" s="1"/>
  <c r="C39" i="43"/>
  <c r="B39" i="43"/>
  <c r="A39" i="43" s="1"/>
  <c r="C38" i="43"/>
  <c r="B38" i="43"/>
  <c r="C37" i="43"/>
  <c r="B37" i="43"/>
  <c r="A37" i="43"/>
  <c r="C36" i="43"/>
  <c r="B36" i="43"/>
  <c r="A36" i="43" s="1"/>
  <c r="C35" i="43"/>
  <c r="B35" i="43"/>
  <c r="A35" i="43" s="1"/>
  <c r="C34" i="43"/>
  <c r="B34" i="43"/>
  <c r="C33" i="43"/>
  <c r="B33" i="43"/>
  <c r="A33" i="43"/>
  <c r="C32" i="43"/>
  <c r="B32" i="43"/>
  <c r="A32" i="43" s="1"/>
  <c r="C31" i="43"/>
  <c r="B31" i="43"/>
  <c r="A31" i="43" s="1"/>
  <c r="C30" i="43"/>
  <c r="B30" i="43"/>
  <c r="C29" i="43"/>
  <c r="B29" i="43"/>
  <c r="A29" i="43"/>
  <c r="C28" i="43"/>
  <c r="B28" i="43"/>
  <c r="A28" i="43" s="1"/>
  <c r="C27" i="43"/>
  <c r="B27" i="43"/>
  <c r="A27" i="43" s="1"/>
  <c r="C26" i="43"/>
  <c r="B26" i="43"/>
  <c r="C25" i="43"/>
  <c r="B25" i="43"/>
  <c r="A25" i="43"/>
  <c r="C24" i="43"/>
  <c r="B24" i="43"/>
  <c r="A24" i="43" s="1"/>
  <c r="C23" i="43"/>
  <c r="B23" i="43"/>
  <c r="A23" i="43" s="1"/>
  <c r="C22" i="43"/>
  <c r="B22" i="43"/>
  <c r="C21" i="43"/>
  <c r="B21" i="43"/>
  <c r="A21" i="43"/>
  <c r="C20" i="43"/>
  <c r="B20" i="43"/>
  <c r="A20" i="43" s="1"/>
  <c r="C19" i="43"/>
  <c r="B19" i="43"/>
  <c r="A19" i="43" s="1"/>
  <c r="C18" i="43"/>
  <c r="B18" i="43"/>
  <c r="C17" i="43"/>
  <c r="B17" i="43"/>
  <c r="A17" i="43"/>
  <c r="C16" i="43"/>
  <c r="B16" i="43"/>
  <c r="A16" i="43" s="1"/>
  <c r="C15" i="43"/>
  <c r="B15" i="43"/>
  <c r="A15" i="43" s="1"/>
  <c r="C14" i="43"/>
  <c r="B14" i="43"/>
  <c r="C13" i="43"/>
  <c r="B13" i="43"/>
  <c r="A13" i="43"/>
  <c r="C12" i="43"/>
  <c r="B12" i="43"/>
  <c r="A12" i="43" s="1"/>
  <c r="C11" i="43"/>
  <c r="B11" i="43"/>
  <c r="A11" i="43" s="1"/>
  <c r="C10" i="43"/>
  <c r="B10" i="43"/>
  <c r="C9" i="43"/>
  <c r="B9" i="43"/>
  <c r="A9" i="43"/>
  <c r="C8" i="43"/>
  <c r="B8" i="43"/>
  <c r="A8" i="43" s="1"/>
  <c r="C7" i="43"/>
  <c r="B7" i="43"/>
  <c r="A7" i="43" s="1"/>
  <c r="C6" i="43"/>
  <c r="B6" i="43"/>
  <c r="B87" i="43" s="1"/>
  <c r="C5" i="43"/>
  <c r="C86" i="43" s="1"/>
  <c r="B5" i="43"/>
  <c r="A5" i="43"/>
  <c r="O84" i="42"/>
  <c r="N84" i="42"/>
  <c r="M84" i="42"/>
  <c r="L84" i="42"/>
  <c r="K84" i="42"/>
  <c r="J84" i="42"/>
  <c r="I84" i="42"/>
  <c r="H84" i="42"/>
  <c r="G84" i="42"/>
  <c r="F84" i="42"/>
  <c r="E84" i="42"/>
  <c r="D84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A82" i="42"/>
  <c r="C81" i="42"/>
  <c r="B81" i="42"/>
  <c r="A81" i="42" s="1"/>
  <c r="C80" i="42"/>
  <c r="B80" i="42"/>
  <c r="A80" i="42" s="1"/>
  <c r="O79" i="42"/>
  <c r="N79" i="42"/>
  <c r="M79" i="42"/>
  <c r="L79" i="42"/>
  <c r="K79" i="42"/>
  <c r="J79" i="42"/>
  <c r="I79" i="42"/>
  <c r="H79" i="42"/>
  <c r="G79" i="42"/>
  <c r="F79" i="42"/>
  <c r="E79" i="42"/>
  <c r="D79" i="42"/>
  <c r="C79" i="42"/>
  <c r="B79" i="42"/>
  <c r="A79" i="42" s="1"/>
  <c r="C78" i="42"/>
  <c r="B78" i="42"/>
  <c r="A78" i="42" s="1"/>
  <c r="C77" i="42"/>
  <c r="B77" i="42"/>
  <c r="A77" i="42" s="1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A76" i="42" s="1"/>
  <c r="C75" i="42"/>
  <c r="B75" i="42"/>
  <c r="C74" i="42"/>
  <c r="B74" i="42"/>
  <c r="A74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A73" i="42" s="1"/>
  <c r="C72" i="42"/>
  <c r="B72" i="42"/>
  <c r="A72" i="42" s="1"/>
  <c r="C71" i="42"/>
  <c r="B71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A70" i="42"/>
  <c r="C69" i="42"/>
  <c r="B69" i="42"/>
  <c r="A69" i="42" s="1"/>
  <c r="C68" i="42"/>
  <c r="B68" i="42"/>
  <c r="A68" i="42" s="1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A67" i="42" s="1"/>
  <c r="C66" i="42"/>
  <c r="B66" i="42"/>
  <c r="A66" i="42" s="1"/>
  <c r="C65" i="42"/>
  <c r="B65" i="42"/>
  <c r="A65" i="42" s="1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A64" i="42"/>
  <c r="C63" i="42"/>
  <c r="B63" i="42"/>
  <c r="A63" i="42" s="1"/>
  <c r="C62" i="42"/>
  <c r="B62" i="42"/>
  <c r="A62" i="42" s="1"/>
  <c r="O61" i="42"/>
  <c r="N61" i="42"/>
  <c r="M61" i="42"/>
  <c r="L61" i="42"/>
  <c r="K61" i="42"/>
  <c r="J61" i="42"/>
  <c r="I61" i="42"/>
  <c r="H61" i="42"/>
  <c r="G61" i="42"/>
  <c r="F61" i="42"/>
  <c r="E61" i="42"/>
  <c r="D61" i="42"/>
  <c r="C61" i="42"/>
  <c r="B61" i="42"/>
  <c r="C60" i="42"/>
  <c r="B60" i="42"/>
  <c r="A60" i="42"/>
  <c r="C59" i="42"/>
  <c r="B59" i="42"/>
  <c r="A59" i="42" s="1"/>
  <c r="O58" i="42"/>
  <c r="N58" i="42"/>
  <c r="M58" i="42"/>
  <c r="L58" i="42"/>
  <c r="K58" i="42"/>
  <c r="J58" i="42"/>
  <c r="I58" i="42"/>
  <c r="H58" i="42"/>
  <c r="G58" i="42"/>
  <c r="F58" i="42"/>
  <c r="E58" i="42"/>
  <c r="D58" i="42"/>
  <c r="C58" i="42"/>
  <c r="B58" i="42"/>
  <c r="A58" i="42" s="1"/>
  <c r="C57" i="42"/>
  <c r="B57" i="42"/>
  <c r="C56" i="42"/>
  <c r="B56" i="42"/>
  <c r="A56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C55" i="42"/>
  <c r="B55" i="42"/>
  <c r="A55" i="42" s="1"/>
  <c r="C54" i="42"/>
  <c r="B54" i="42"/>
  <c r="A54" i="42" s="1"/>
  <c r="C53" i="42"/>
  <c r="B53" i="42"/>
  <c r="O52" i="42"/>
  <c r="N52" i="42"/>
  <c r="M52" i="42"/>
  <c r="L52" i="42"/>
  <c r="K52" i="42"/>
  <c r="J52" i="42"/>
  <c r="I52" i="42"/>
  <c r="H52" i="42"/>
  <c r="G52" i="42"/>
  <c r="F52" i="42"/>
  <c r="E52" i="42"/>
  <c r="D52" i="42"/>
  <c r="C52" i="42"/>
  <c r="B52" i="42"/>
  <c r="A52" i="42"/>
  <c r="C51" i="42"/>
  <c r="B51" i="42"/>
  <c r="A51" i="42" s="1"/>
  <c r="C50" i="42"/>
  <c r="B50" i="42"/>
  <c r="A50" i="42" s="1"/>
  <c r="O49" i="42"/>
  <c r="N49" i="42"/>
  <c r="M49" i="42"/>
  <c r="L49" i="42"/>
  <c r="K49" i="42"/>
  <c r="J49" i="42"/>
  <c r="I49" i="42"/>
  <c r="H49" i="42"/>
  <c r="G49" i="42"/>
  <c r="F49" i="42"/>
  <c r="E49" i="42"/>
  <c r="D49" i="42"/>
  <c r="C49" i="42"/>
  <c r="B49" i="42"/>
  <c r="C48" i="42"/>
  <c r="B48" i="42"/>
  <c r="A48" i="42"/>
  <c r="C47" i="42"/>
  <c r="B47" i="42"/>
  <c r="A47" i="42" s="1"/>
  <c r="O46" i="42"/>
  <c r="N46" i="42"/>
  <c r="M46" i="42"/>
  <c r="L46" i="42"/>
  <c r="K46" i="42"/>
  <c r="J46" i="42"/>
  <c r="I46" i="42"/>
  <c r="H46" i="42"/>
  <c r="G46" i="42"/>
  <c r="F46" i="42"/>
  <c r="E46" i="42"/>
  <c r="D46" i="42"/>
  <c r="C46" i="42"/>
  <c r="B46" i="42"/>
  <c r="A46" i="42" s="1"/>
  <c r="C45" i="42"/>
  <c r="B45" i="42"/>
  <c r="C44" i="42"/>
  <c r="B44" i="42"/>
  <c r="A44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C43" i="42"/>
  <c r="B43" i="42"/>
  <c r="A43" i="42" s="1"/>
  <c r="C42" i="42"/>
  <c r="B42" i="42"/>
  <c r="A42" i="42" s="1"/>
  <c r="C41" i="42"/>
  <c r="B41" i="42"/>
  <c r="O40" i="42"/>
  <c r="N40" i="42"/>
  <c r="M40" i="42"/>
  <c r="L40" i="42"/>
  <c r="K40" i="42"/>
  <c r="J40" i="42"/>
  <c r="I40" i="42"/>
  <c r="H40" i="42"/>
  <c r="G40" i="42"/>
  <c r="F40" i="42"/>
  <c r="E40" i="42"/>
  <c r="D40" i="42"/>
  <c r="C40" i="42"/>
  <c r="B40" i="42"/>
  <c r="A40" i="42"/>
  <c r="C39" i="42"/>
  <c r="B39" i="42"/>
  <c r="A39" i="42" s="1"/>
  <c r="C38" i="42"/>
  <c r="B38" i="42"/>
  <c r="A38" i="42" s="1"/>
  <c r="O37" i="42"/>
  <c r="N37" i="42"/>
  <c r="M37" i="42"/>
  <c r="L37" i="42"/>
  <c r="K37" i="42"/>
  <c r="J37" i="42"/>
  <c r="I37" i="42"/>
  <c r="H37" i="42"/>
  <c r="G37" i="42"/>
  <c r="F37" i="42"/>
  <c r="E37" i="42"/>
  <c r="D37" i="42"/>
  <c r="C37" i="42"/>
  <c r="B37" i="42"/>
  <c r="C36" i="42"/>
  <c r="B36" i="42"/>
  <c r="A36" i="42"/>
  <c r="C35" i="42"/>
  <c r="B35" i="42"/>
  <c r="A35" i="42" s="1"/>
  <c r="O34" i="42"/>
  <c r="N34" i="42"/>
  <c r="M34" i="42"/>
  <c r="L34" i="42"/>
  <c r="K34" i="42"/>
  <c r="J34" i="42"/>
  <c r="I34" i="42"/>
  <c r="H34" i="42"/>
  <c r="G34" i="42"/>
  <c r="F34" i="42"/>
  <c r="E34" i="42"/>
  <c r="D34" i="42"/>
  <c r="C34" i="42"/>
  <c r="B34" i="42"/>
  <c r="A34" i="42" s="1"/>
  <c r="C33" i="42"/>
  <c r="B33" i="42"/>
  <c r="C32" i="42"/>
  <c r="B32" i="42"/>
  <c r="A32" i="42"/>
  <c r="O31" i="42"/>
  <c r="N31" i="42"/>
  <c r="M31" i="42"/>
  <c r="L31" i="42"/>
  <c r="K31" i="42"/>
  <c r="J31" i="42"/>
  <c r="I31" i="42"/>
  <c r="H31" i="42"/>
  <c r="G31" i="42"/>
  <c r="F31" i="42"/>
  <c r="E31" i="42"/>
  <c r="D31" i="42"/>
  <c r="C31" i="42"/>
  <c r="B31" i="42"/>
  <c r="A31" i="42" s="1"/>
  <c r="C30" i="42"/>
  <c r="B30" i="42"/>
  <c r="A30" i="42" s="1"/>
  <c r="C29" i="42"/>
  <c r="B29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A28" i="42"/>
  <c r="C27" i="42"/>
  <c r="B27" i="42"/>
  <c r="A27" i="42" s="1"/>
  <c r="C26" i="42"/>
  <c r="B26" i="42"/>
  <c r="A26" i="42" s="1"/>
  <c r="O25" i="42"/>
  <c r="N25" i="42"/>
  <c r="M25" i="42"/>
  <c r="L25" i="42"/>
  <c r="K25" i="42"/>
  <c r="J25" i="42"/>
  <c r="I25" i="42"/>
  <c r="H25" i="42"/>
  <c r="G25" i="42"/>
  <c r="F25" i="42"/>
  <c r="E25" i="42"/>
  <c r="D25" i="42"/>
  <c r="C25" i="42"/>
  <c r="B25" i="42"/>
  <c r="C24" i="42"/>
  <c r="B24" i="42"/>
  <c r="A24" i="42"/>
  <c r="C23" i="42"/>
  <c r="B23" i="42"/>
  <c r="A23" i="42" s="1"/>
  <c r="O22" i="42"/>
  <c r="N22" i="42"/>
  <c r="M22" i="42"/>
  <c r="L22" i="42"/>
  <c r="K22" i="42"/>
  <c r="J22" i="42"/>
  <c r="I22" i="42"/>
  <c r="H22" i="42"/>
  <c r="G22" i="42"/>
  <c r="F22" i="42"/>
  <c r="E22" i="42"/>
  <c r="D22" i="42"/>
  <c r="C22" i="42"/>
  <c r="B22" i="42"/>
  <c r="A22" i="42" s="1"/>
  <c r="C21" i="42"/>
  <c r="B21" i="42"/>
  <c r="C20" i="42"/>
  <c r="B20" i="42"/>
  <c r="A20" i="42"/>
  <c r="O19" i="42"/>
  <c r="N19" i="42"/>
  <c r="M19" i="42"/>
  <c r="L19" i="42"/>
  <c r="K19" i="42"/>
  <c r="J19" i="42"/>
  <c r="I19" i="42"/>
  <c r="H19" i="42"/>
  <c r="G19" i="42"/>
  <c r="F19" i="42"/>
  <c r="E19" i="42"/>
  <c r="D19" i="42"/>
  <c r="C19" i="42"/>
  <c r="B19" i="42"/>
  <c r="A19" i="42" s="1"/>
  <c r="C18" i="42"/>
  <c r="B18" i="42"/>
  <c r="A18" i="42" s="1"/>
  <c r="C17" i="42"/>
  <c r="B17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C16" i="42"/>
  <c r="B16" i="42"/>
  <c r="A16" i="42"/>
  <c r="C15" i="42"/>
  <c r="B15" i="42"/>
  <c r="A15" i="42" s="1"/>
  <c r="C14" i="42"/>
  <c r="B14" i="42"/>
  <c r="A14" i="42" s="1"/>
  <c r="O13" i="42"/>
  <c r="N13" i="42"/>
  <c r="M13" i="42"/>
  <c r="L13" i="42"/>
  <c r="K13" i="42"/>
  <c r="J13" i="42"/>
  <c r="I13" i="42"/>
  <c r="H13" i="42"/>
  <c r="G13" i="42"/>
  <c r="F13" i="42"/>
  <c r="E13" i="42"/>
  <c r="D13" i="42"/>
  <c r="C13" i="42"/>
  <c r="B13" i="42"/>
  <c r="C12" i="42"/>
  <c r="B12" i="42"/>
  <c r="A12" i="42"/>
  <c r="C11" i="42"/>
  <c r="B11" i="42"/>
  <c r="A11" i="42" s="1"/>
  <c r="O10" i="42"/>
  <c r="N10" i="42"/>
  <c r="M10" i="42"/>
  <c r="L10" i="42"/>
  <c r="K10" i="42"/>
  <c r="J10" i="42"/>
  <c r="I10" i="42"/>
  <c r="H10" i="42"/>
  <c r="G10" i="42"/>
  <c r="F10" i="42"/>
  <c r="E10" i="42"/>
  <c r="D10" i="42"/>
  <c r="C10" i="42"/>
  <c r="B10" i="42"/>
  <c r="A10" i="42" s="1"/>
  <c r="C9" i="42"/>
  <c r="B9" i="42"/>
  <c r="C8" i="42"/>
  <c r="B8" i="42"/>
  <c r="A8" i="42"/>
  <c r="O7" i="42"/>
  <c r="O85" i="42" s="1"/>
  <c r="N7" i="42"/>
  <c r="N85" i="42" s="1"/>
  <c r="M7" i="42"/>
  <c r="M85" i="42" s="1"/>
  <c r="L7" i="42"/>
  <c r="L85" i="42" s="1"/>
  <c r="K7" i="42"/>
  <c r="K85" i="42" s="1"/>
  <c r="J7" i="42"/>
  <c r="J85" i="42" s="1"/>
  <c r="I7" i="42"/>
  <c r="I85" i="42" s="1"/>
  <c r="H7" i="42"/>
  <c r="H85" i="42" s="1"/>
  <c r="G7" i="42"/>
  <c r="G85" i="42" s="1"/>
  <c r="F7" i="42"/>
  <c r="F85" i="42" s="1"/>
  <c r="E7" i="42"/>
  <c r="E85" i="42" s="1"/>
  <c r="D7" i="42"/>
  <c r="D85" i="42" s="1"/>
  <c r="C7" i="42"/>
  <c r="C85" i="42" s="1"/>
  <c r="B7" i="42"/>
  <c r="A7" i="42" s="1"/>
  <c r="C6" i="42"/>
  <c r="C84" i="42" s="1"/>
  <c r="B6" i="42"/>
  <c r="B84" i="42" s="1"/>
  <c r="A6" i="42"/>
  <c r="C5" i="42"/>
  <c r="C83" i="42" s="1"/>
  <c r="B5" i="42"/>
  <c r="A5" i="42" s="1"/>
  <c r="A71" i="42" l="1"/>
  <c r="A75" i="42"/>
  <c r="C87" i="43"/>
  <c r="A6" i="44"/>
  <c r="A8" i="44"/>
  <c r="A10" i="44" s="1"/>
  <c r="A12" i="44"/>
  <c r="A14" i="44"/>
  <c r="A16" i="44" s="1"/>
  <c r="A18" i="44"/>
  <c r="A20" i="44"/>
  <c r="A22" i="44" s="1"/>
  <c r="A24" i="44"/>
  <c r="A26" i="44"/>
  <c r="A28" i="44" s="1"/>
  <c r="A30" i="44"/>
  <c r="A32" i="44"/>
  <c r="A34" i="44" s="1"/>
  <c r="A36" i="44"/>
  <c r="A38" i="44"/>
  <c r="A40" i="44" s="1"/>
  <c r="C43" i="44"/>
  <c r="A44" i="44"/>
  <c r="A46" i="44" s="1"/>
  <c r="C49" i="44"/>
  <c r="A50" i="44"/>
  <c r="A52" i="44" s="1"/>
  <c r="C55" i="44"/>
  <c r="A56" i="44"/>
  <c r="A58" i="44" s="1"/>
  <c r="A60" i="44"/>
  <c r="A62" i="44"/>
  <c r="A64" i="44" s="1"/>
  <c r="A66" i="44"/>
  <c r="A68" i="44"/>
  <c r="A70" i="44" s="1"/>
  <c r="A72" i="44"/>
  <c r="A74" i="44"/>
  <c r="A76" i="44" s="1"/>
  <c r="A78" i="44"/>
  <c r="A80" i="44"/>
  <c r="A82" i="44" s="1"/>
  <c r="A9" i="42"/>
  <c r="A84" i="42" s="1"/>
  <c r="A13" i="42"/>
  <c r="A85" i="42" s="1"/>
  <c r="A17" i="42"/>
  <c r="A83" i="42" s="1"/>
  <c r="A21" i="42"/>
  <c r="A25" i="42"/>
  <c r="A29" i="42"/>
  <c r="A33" i="42"/>
  <c r="A37" i="42"/>
  <c r="A41" i="42"/>
  <c r="A45" i="42"/>
  <c r="A49" i="42"/>
  <c r="A53" i="42"/>
  <c r="A57" i="42"/>
  <c r="A61" i="42"/>
  <c r="C88" i="43"/>
  <c r="A10" i="43"/>
  <c r="A88" i="43" s="1"/>
  <c r="A14" i="43"/>
  <c r="A86" i="43" s="1"/>
  <c r="A18" i="43"/>
  <c r="A22" i="43"/>
  <c r="A26" i="43"/>
  <c r="A30" i="43"/>
  <c r="A34" i="43"/>
  <c r="A38" i="43"/>
  <c r="A42" i="43"/>
  <c r="A46" i="43"/>
  <c r="A50" i="43"/>
  <c r="A54" i="43"/>
  <c r="A58" i="43"/>
  <c r="A62" i="43"/>
  <c r="A66" i="43"/>
  <c r="A70" i="43"/>
  <c r="A74" i="43"/>
  <c r="A78" i="43"/>
  <c r="A82" i="43"/>
  <c r="C257" i="43"/>
  <c r="A173" i="43"/>
  <c r="A257" i="43" s="1"/>
  <c r="C258" i="43"/>
  <c r="A177" i="43"/>
  <c r="A181" i="43"/>
  <c r="A259" i="43" s="1"/>
  <c r="A185" i="43"/>
  <c r="A189" i="43"/>
  <c r="A193" i="43"/>
  <c r="A197" i="43"/>
  <c r="A201" i="43"/>
  <c r="A205" i="43"/>
  <c r="A209" i="43"/>
  <c r="A213" i="43"/>
  <c r="A217" i="43"/>
  <c r="A221" i="43"/>
  <c r="A225" i="43"/>
  <c r="A229" i="43"/>
  <c r="A233" i="43"/>
  <c r="A237" i="43"/>
  <c r="A241" i="43"/>
  <c r="A245" i="43"/>
  <c r="A249" i="43"/>
  <c r="A253" i="43"/>
  <c r="A7" i="44"/>
  <c r="C85" i="44"/>
  <c r="A13" i="44"/>
  <c r="A25" i="44"/>
  <c r="A31" i="44"/>
  <c r="A37" i="44"/>
  <c r="A61" i="44"/>
  <c r="A67" i="44"/>
  <c r="A73" i="44"/>
  <c r="A79" i="44"/>
  <c r="A19" i="44"/>
  <c r="B40" i="44"/>
  <c r="A41" i="44"/>
  <c r="A43" i="44" s="1"/>
  <c r="A47" i="44"/>
  <c r="A49" i="44" s="1"/>
  <c r="A53" i="44"/>
  <c r="A55" i="44" s="1"/>
  <c r="B64" i="44"/>
  <c r="B70" i="44"/>
  <c r="B76" i="44"/>
  <c r="B82" i="44"/>
  <c r="A83" i="44"/>
  <c r="C83" i="44"/>
  <c r="B84" i="44"/>
  <c r="B83" i="42"/>
  <c r="B85" i="42"/>
  <c r="B86" i="43"/>
  <c r="B88" i="43"/>
  <c r="B257" i="43"/>
  <c r="B259" i="43"/>
  <c r="B10" i="44"/>
  <c r="B16" i="44"/>
  <c r="B22" i="44"/>
  <c r="B28" i="44"/>
  <c r="B34" i="44"/>
  <c r="A6" i="43"/>
  <c r="A87" i="43" s="1"/>
  <c r="A171" i="43"/>
  <c r="A258" i="43" s="1"/>
  <c r="B7" i="44"/>
  <c r="B85" i="44" s="1"/>
  <c r="A85" i="44" l="1"/>
  <c r="A84" i="44"/>
  <c r="H292" i="41"/>
  <c r="F292" i="41"/>
  <c r="E292" i="41"/>
  <c r="I291" i="41"/>
  <c r="H291" i="41"/>
  <c r="F291" i="41"/>
  <c r="E291" i="41"/>
  <c r="I290" i="41"/>
  <c r="H290" i="41"/>
  <c r="H293" i="41" s="1"/>
  <c r="F290" i="41"/>
  <c r="F293" i="41" s="1"/>
  <c r="E290" i="41"/>
  <c r="E293" i="41" s="1"/>
  <c r="I289" i="41"/>
  <c r="I292" i="41" s="1"/>
  <c r="G289" i="41"/>
  <c r="G292" i="41" s="1"/>
  <c r="D289" i="41"/>
  <c r="D292" i="41" s="1"/>
  <c r="C289" i="41"/>
  <c r="C292" i="41" s="1"/>
  <c r="B289" i="41"/>
  <c r="B292" i="41" s="1"/>
  <c r="A289" i="41"/>
  <c r="A292" i="41" s="1"/>
  <c r="G288" i="41"/>
  <c r="G291" i="41" s="1"/>
  <c r="D288" i="41"/>
  <c r="D291" i="41" s="1"/>
  <c r="C288" i="41"/>
  <c r="C291" i="41" s="1"/>
  <c r="B288" i="41"/>
  <c r="B291" i="41" s="1"/>
  <c r="G287" i="41"/>
  <c r="G290" i="41" s="1"/>
  <c r="D287" i="41"/>
  <c r="D290" i="41" s="1"/>
  <c r="D293" i="41" s="1"/>
  <c r="C287" i="41"/>
  <c r="C290" i="41" s="1"/>
  <c r="B287" i="41"/>
  <c r="B290" i="41" s="1"/>
  <c r="B293" i="41" s="1"/>
  <c r="I280" i="41"/>
  <c r="H280" i="41"/>
  <c r="F280" i="41"/>
  <c r="E280" i="41"/>
  <c r="I279" i="41"/>
  <c r="H279" i="41"/>
  <c r="F279" i="41"/>
  <c r="E279" i="41"/>
  <c r="I278" i="41"/>
  <c r="I281" i="41" s="1"/>
  <c r="H278" i="41"/>
  <c r="H281" i="41" s="1"/>
  <c r="F278" i="41"/>
  <c r="F281" i="41" s="1"/>
  <c r="E278" i="41"/>
  <c r="E281" i="41" s="1"/>
  <c r="G277" i="41"/>
  <c r="G280" i="41" s="1"/>
  <c r="D277" i="41"/>
  <c r="D280" i="41" s="1"/>
  <c r="C277" i="41"/>
  <c r="C280" i="41" s="1"/>
  <c r="B277" i="41"/>
  <c r="B280" i="41" s="1"/>
  <c r="G276" i="41"/>
  <c r="G279" i="41" s="1"/>
  <c r="D276" i="41"/>
  <c r="D279" i="41" s="1"/>
  <c r="C276" i="41"/>
  <c r="C279" i="41" s="1"/>
  <c r="B276" i="41"/>
  <c r="B279" i="41" s="1"/>
  <c r="A276" i="41"/>
  <c r="A279" i="41" s="1"/>
  <c r="G275" i="41"/>
  <c r="G278" i="41" s="1"/>
  <c r="D275" i="41"/>
  <c r="D278" i="41" s="1"/>
  <c r="D281" i="41" s="1"/>
  <c r="C275" i="41"/>
  <c r="C278" i="41" s="1"/>
  <c r="B275" i="41"/>
  <c r="B278" i="41" s="1"/>
  <c r="B281" i="41" s="1"/>
  <c r="F268" i="41"/>
  <c r="E268" i="41"/>
  <c r="H267" i="41"/>
  <c r="F267" i="41"/>
  <c r="E267" i="41"/>
  <c r="I266" i="41"/>
  <c r="H266" i="41"/>
  <c r="F266" i="41"/>
  <c r="F269" i="41" s="1"/>
  <c r="E266" i="41"/>
  <c r="E269" i="41" s="1"/>
  <c r="G265" i="41"/>
  <c r="D265" i="41"/>
  <c r="C265" i="41"/>
  <c r="B265" i="41"/>
  <c r="A265" i="41"/>
  <c r="G264" i="41"/>
  <c r="D264" i="41"/>
  <c r="A264" i="41" s="1"/>
  <c r="C264" i="41"/>
  <c r="B264" i="41"/>
  <c r="G263" i="41"/>
  <c r="D263" i="41"/>
  <c r="C263" i="41"/>
  <c r="B263" i="41"/>
  <c r="A263" i="41"/>
  <c r="G262" i="41"/>
  <c r="D262" i="41"/>
  <c r="A262" i="41" s="1"/>
  <c r="C262" i="41"/>
  <c r="B262" i="41"/>
  <c r="G261" i="41"/>
  <c r="D261" i="41"/>
  <c r="A261" i="41" s="1"/>
  <c r="C261" i="41"/>
  <c r="B261" i="41"/>
  <c r="G260" i="41"/>
  <c r="D260" i="41"/>
  <c r="C260" i="41"/>
  <c r="B260" i="41"/>
  <c r="I259" i="41"/>
  <c r="I268" i="41" s="1"/>
  <c r="H259" i="41"/>
  <c r="H268" i="41" s="1"/>
  <c r="G259" i="41"/>
  <c r="G268" i="41" s="1"/>
  <c r="D259" i="41"/>
  <c r="D268" i="41" s="1"/>
  <c r="C259" i="41"/>
  <c r="C268" i="41" s="1"/>
  <c r="B259" i="41"/>
  <c r="B268" i="41" s="1"/>
  <c r="A259" i="41"/>
  <c r="A268" i="41" s="1"/>
  <c r="I258" i="41"/>
  <c r="I267" i="41" s="1"/>
  <c r="G258" i="41"/>
  <c r="G267" i="41" s="1"/>
  <c r="D258" i="41"/>
  <c r="D267" i="41" s="1"/>
  <c r="C258" i="41"/>
  <c r="C267" i="41" s="1"/>
  <c r="B258" i="41"/>
  <c r="B267" i="41" s="1"/>
  <c r="A258" i="41"/>
  <c r="G257" i="41"/>
  <c r="G266" i="41" s="1"/>
  <c r="G269" i="41" s="1"/>
  <c r="D257" i="41"/>
  <c r="D266" i="41" s="1"/>
  <c r="C257" i="41"/>
  <c r="C266" i="41" s="1"/>
  <c r="C269" i="41" s="1"/>
  <c r="B257" i="41"/>
  <c r="B266" i="41" s="1"/>
  <c r="I250" i="41"/>
  <c r="H250" i="41"/>
  <c r="F250" i="41"/>
  <c r="E250" i="41"/>
  <c r="I249" i="41"/>
  <c r="H249" i="41"/>
  <c r="F249" i="41"/>
  <c r="E249" i="41"/>
  <c r="I248" i="41"/>
  <c r="I251" i="41" s="1"/>
  <c r="H248" i="41"/>
  <c r="H251" i="41" s="1"/>
  <c r="F248" i="41"/>
  <c r="F251" i="41" s="1"/>
  <c r="E248" i="41"/>
  <c r="E251" i="41" s="1"/>
  <c r="G247" i="41"/>
  <c r="D247" i="41"/>
  <c r="C247" i="41"/>
  <c r="B247" i="41"/>
  <c r="A247" i="41"/>
  <c r="G246" i="41"/>
  <c r="D246" i="41"/>
  <c r="C246" i="41"/>
  <c r="B246" i="41"/>
  <c r="A246" i="41"/>
  <c r="G245" i="41"/>
  <c r="D245" i="41"/>
  <c r="A245" i="41" s="1"/>
  <c r="C245" i="41"/>
  <c r="B245" i="41"/>
  <c r="G244" i="41"/>
  <c r="D244" i="41"/>
  <c r="A244" i="41" s="1"/>
  <c r="C244" i="41"/>
  <c r="B244" i="41"/>
  <c r="G243" i="41"/>
  <c r="D243" i="41"/>
  <c r="C243" i="41"/>
  <c r="B243" i="41"/>
  <c r="G242" i="41"/>
  <c r="D242" i="41"/>
  <c r="C242" i="41"/>
  <c r="B242" i="41"/>
  <c r="A242" i="41"/>
  <c r="G241" i="41"/>
  <c r="D241" i="41"/>
  <c r="A241" i="41" s="1"/>
  <c r="C241" i="41"/>
  <c r="B241" i="41"/>
  <c r="G240" i="41"/>
  <c r="D240" i="41"/>
  <c r="A240" i="41" s="1"/>
  <c r="C240" i="41"/>
  <c r="B240" i="41"/>
  <c r="G239" i="41"/>
  <c r="D239" i="41"/>
  <c r="C239" i="41"/>
  <c r="B239" i="41"/>
  <c r="G238" i="41"/>
  <c r="D238" i="41"/>
  <c r="C238" i="41"/>
  <c r="B238" i="41"/>
  <c r="A238" i="41"/>
  <c r="G237" i="41"/>
  <c r="D237" i="41"/>
  <c r="A237" i="41" s="1"/>
  <c r="C237" i="41"/>
  <c r="B237" i="41"/>
  <c r="G236" i="41"/>
  <c r="D236" i="41"/>
  <c r="A236" i="41" s="1"/>
  <c r="C236" i="41"/>
  <c r="B236" i="41"/>
  <c r="G235" i="41"/>
  <c r="D235" i="41"/>
  <c r="C235" i="41"/>
  <c r="B235" i="41"/>
  <c r="G234" i="41"/>
  <c r="D234" i="41"/>
  <c r="C234" i="41"/>
  <c r="B234" i="41"/>
  <c r="A234" i="41"/>
  <c r="G233" i="41"/>
  <c r="D233" i="41"/>
  <c r="A233" i="41" s="1"/>
  <c r="C233" i="41"/>
  <c r="B233" i="41"/>
  <c r="G232" i="41"/>
  <c r="G250" i="41" s="1"/>
  <c r="D232" i="41"/>
  <c r="D250" i="41" s="1"/>
  <c r="C232" i="41"/>
  <c r="C250" i="41" s="1"/>
  <c r="B232" i="41"/>
  <c r="B250" i="41" s="1"/>
  <c r="A232" i="41"/>
  <c r="G231" i="41"/>
  <c r="G249" i="41" s="1"/>
  <c r="D231" i="41"/>
  <c r="C231" i="41"/>
  <c r="C249" i="41" s="1"/>
  <c r="B231" i="41"/>
  <c r="B249" i="41" s="1"/>
  <c r="G230" i="41"/>
  <c r="G248" i="41" s="1"/>
  <c r="G251" i="41" s="1"/>
  <c r="D230" i="41"/>
  <c r="D248" i="41" s="1"/>
  <c r="C230" i="41"/>
  <c r="C248" i="41" s="1"/>
  <c r="C251" i="41" s="1"/>
  <c r="B230" i="41"/>
  <c r="B248" i="41" s="1"/>
  <c r="B251" i="41" s="1"/>
  <c r="A230" i="41"/>
  <c r="I223" i="41"/>
  <c r="H223" i="41"/>
  <c r="F223" i="41"/>
  <c r="E223" i="41"/>
  <c r="I222" i="41"/>
  <c r="H222" i="41"/>
  <c r="F222" i="41"/>
  <c r="E222" i="41"/>
  <c r="I221" i="41"/>
  <c r="I224" i="41" s="1"/>
  <c r="H221" i="41"/>
  <c r="H224" i="41" s="1"/>
  <c r="F221" i="41"/>
  <c r="F224" i="41" s="1"/>
  <c r="E221" i="41"/>
  <c r="E224" i="41" s="1"/>
  <c r="G220" i="41"/>
  <c r="D220" i="41"/>
  <c r="C220" i="41"/>
  <c r="B220" i="41"/>
  <c r="A220" i="41" s="1"/>
  <c r="G219" i="41"/>
  <c r="D219" i="41"/>
  <c r="C219" i="41"/>
  <c r="B219" i="41"/>
  <c r="A219" i="41" s="1"/>
  <c r="G218" i="41"/>
  <c r="D218" i="41"/>
  <c r="C218" i="41"/>
  <c r="B218" i="41"/>
  <c r="A218" i="41" s="1"/>
  <c r="G217" i="41"/>
  <c r="D217" i="41"/>
  <c r="C217" i="41"/>
  <c r="B217" i="41"/>
  <c r="A217" i="41" s="1"/>
  <c r="G216" i="41"/>
  <c r="D216" i="41"/>
  <c r="C216" i="41"/>
  <c r="B216" i="41"/>
  <c r="A216" i="41" s="1"/>
  <c r="G215" i="41"/>
  <c r="D215" i="41"/>
  <c r="C215" i="41"/>
  <c r="B215" i="41"/>
  <c r="A215" i="41" s="1"/>
  <c r="G214" i="41"/>
  <c r="D214" i="41"/>
  <c r="C214" i="41"/>
  <c r="B214" i="41"/>
  <c r="A214" i="41" s="1"/>
  <c r="G213" i="41"/>
  <c r="D213" i="41"/>
  <c r="C213" i="41"/>
  <c r="B213" i="41"/>
  <c r="A213" i="41" s="1"/>
  <c r="G212" i="41"/>
  <c r="D212" i="41"/>
  <c r="C212" i="41"/>
  <c r="B212" i="41"/>
  <c r="A212" i="41" s="1"/>
  <c r="G211" i="41"/>
  <c r="D211" i="41"/>
  <c r="C211" i="41"/>
  <c r="B211" i="41"/>
  <c r="A211" i="41" s="1"/>
  <c r="G210" i="41"/>
  <c r="D210" i="41"/>
  <c r="C210" i="41"/>
  <c r="B210" i="41"/>
  <c r="A210" i="41" s="1"/>
  <c r="G209" i="41"/>
  <c r="D209" i="41"/>
  <c r="C209" i="41"/>
  <c r="B209" i="41"/>
  <c r="A209" i="41" s="1"/>
  <c r="G208" i="41"/>
  <c r="G223" i="41" s="1"/>
  <c r="D208" i="41"/>
  <c r="D223" i="41" s="1"/>
  <c r="C208" i="41"/>
  <c r="C223" i="41" s="1"/>
  <c r="B208" i="41"/>
  <c r="B223" i="41" s="1"/>
  <c r="A208" i="41"/>
  <c r="G207" i="41"/>
  <c r="G222" i="41" s="1"/>
  <c r="D207" i="41"/>
  <c r="D222" i="41" s="1"/>
  <c r="C207" i="41"/>
  <c r="C222" i="41" s="1"/>
  <c r="B207" i="41"/>
  <c r="B222" i="41" s="1"/>
  <c r="G206" i="41"/>
  <c r="G221" i="41" s="1"/>
  <c r="G224" i="41" s="1"/>
  <c r="D206" i="41"/>
  <c r="D221" i="41" s="1"/>
  <c r="D224" i="41" s="1"/>
  <c r="C206" i="41"/>
  <c r="C221" i="41" s="1"/>
  <c r="C224" i="41" s="1"/>
  <c r="B206" i="41"/>
  <c r="B221" i="41" s="1"/>
  <c r="B224" i="41" s="1"/>
  <c r="A206" i="41"/>
  <c r="I199" i="41"/>
  <c r="F199" i="41"/>
  <c r="E199" i="41"/>
  <c r="I198" i="41"/>
  <c r="F198" i="41"/>
  <c r="E198" i="41"/>
  <c r="I197" i="41"/>
  <c r="I200" i="41" s="1"/>
  <c r="H197" i="41"/>
  <c r="F197" i="41"/>
  <c r="F200" i="41" s="1"/>
  <c r="E197" i="41"/>
  <c r="E200" i="41" s="1"/>
  <c r="G196" i="41"/>
  <c r="D196" i="41"/>
  <c r="C196" i="41"/>
  <c r="B196" i="41"/>
  <c r="A196" i="41"/>
  <c r="G195" i="41"/>
  <c r="D195" i="41"/>
  <c r="A195" i="41" s="1"/>
  <c r="C195" i="41"/>
  <c r="B195" i="41"/>
  <c r="G194" i="41"/>
  <c r="D194" i="41"/>
  <c r="A194" i="41" s="1"/>
  <c r="C194" i="41"/>
  <c r="B194" i="41"/>
  <c r="G193" i="41"/>
  <c r="D193" i="41"/>
  <c r="C193" i="41"/>
  <c r="B193" i="41"/>
  <c r="G192" i="41"/>
  <c r="D192" i="41"/>
  <c r="C192" i="41"/>
  <c r="B192" i="41"/>
  <c r="A192" i="41"/>
  <c r="G191" i="41"/>
  <c r="D191" i="41"/>
  <c r="A191" i="41" s="1"/>
  <c r="C191" i="41"/>
  <c r="B191" i="41"/>
  <c r="G190" i="41"/>
  <c r="D190" i="41"/>
  <c r="A190" i="41" s="1"/>
  <c r="C190" i="41"/>
  <c r="B190" i="41"/>
  <c r="G189" i="41"/>
  <c r="D189" i="41"/>
  <c r="C189" i="41"/>
  <c r="B189" i="41"/>
  <c r="G188" i="41"/>
  <c r="D188" i="41"/>
  <c r="C188" i="41"/>
  <c r="B188" i="41"/>
  <c r="A188" i="41"/>
  <c r="H187" i="41"/>
  <c r="H199" i="41" s="1"/>
  <c r="G187" i="41"/>
  <c r="D187" i="41"/>
  <c r="C187" i="41"/>
  <c r="B187" i="41"/>
  <c r="A187" i="41"/>
  <c r="G186" i="41"/>
  <c r="D186" i="41"/>
  <c r="A186" i="41" s="1"/>
  <c r="C186" i="41"/>
  <c r="B186" i="41"/>
  <c r="G185" i="41"/>
  <c r="D185" i="41"/>
  <c r="C185" i="41"/>
  <c r="B185" i="41"/>
  <c r="A185" i="41"/>
  <c r="G184" i="41"/>
  <c r="D184" i="41"/>
  <c r="A184" i="41" s="1"/>
  <c r="C184" i="41"/>
  <c r="B184" i="41"/>
  <c r="G183" i="41"/>
  <c r="D183" i="41"/>
  <c r="A183" i="41" s="1"/>
  <c r="C183" i="41"/>
  <c r="B183" i="41"/>
  <c r="G182" i="41"/>
  <c r="D182" i="41"/>
  <c r="C182" i="41"/>
  <c r="B182" i="41"/>
  <c r="G181" i="41"/>
  <c r="D181" i="41"/>
  <c r="C181" i="41"/>
  <c r="B181" i="41"/>
  <c r="A181" i="41"/>
  <c r="G180" i="41"/>
  <c r="D180" i="41"/>
  <c r="A180" i="41" s="1"/>
  <c r="C180" i="41"/>
  <c r="B180" i="41"/>
  <c r="G179" i="41"/>
  <c r="D179" i="41"/>
  <c r="A179" i="41" s="1"/>
  <c r="C179" i="41"/>
  <c r="B179" i="41"/>
  <c r="G178" i="41"/>
  <c r="D178" i="41"/>
  <c r="C178" i="41"/>
  <c r="B178" i="41"/>
  <c r="G177" i="41"/>
  <c r="D177" i="41"/>
  <c r="C177" i="41"/>
  <c r="B177" i="41"/>
  <c r="A177" i="41"/>
  <c r="G176" i="41"/>
  <c r="D176" i="41"/>
  <c r="A176" i="41" s="1"/>
  <c r="C176" i="41"/>
  <c r="B176" i="41"/>
  <c r="G175" i="41"/>
  <c r="D175" i="41"/>
  <c r="A175" i="41" s="1"/>
  <c r="C175" i="41"/>
  <c r="B175" i="41"/>
  <c r="G174" i="41"/>
  <c r="D174" i="41"/>
  <c r="C174" i="41"/>
  <c r="B174" i="41"/>
  <c r="G173" i="41"/>
  <c r="D173" i="41"/>
  <c r="C173" i="41"/>
  <c r="B173" i="41"/>
  <c r="A173" i="41"/>
  <c r="G172" i="41"/>
  <c r="D172" i="41"/>
  <c r="A172" i="41" s="1"/>
  <c r="C172" i="41"/>
  <c r="B172" i="41"/>
  <c r="G171" i="41"/>
  <c r="D171" i="41"/>
  <c r="A171" i="41" s="1"/>
  <c r="C171" i="41"/>
  <c r="B171" i="41"/>
  <c r="G170" i="41"/>
  <c r="D170" i="41"/>
  <c r="C170" i="41"/>
  <c r="B170" i="41"/>
  <c r="G169" i="41"/>
  <c r="D169" i="41"/>
  <c r="C169" i="41"/>
  <c r="B169" i="41"/>
  <c r="A169" i="41"/>
  <c r="G168" i="41"/>
  <c r="D168" i="41"/>
  <c r="A168" i="41" s="1"/>
  <c r="C168" i="41"/>
  <c r="B168" i="41"/>
  <c r="G167" i="41"/>
  <c r="D167" i="41"/>
  <c r="A167" i="41" s="1"/>
  <c r="C167" i="41"/>
  <c r="B167" i="41"/>
  <c r="G166" i="41"/>
  <c r="D166" i="41"/>
  <c r="C166" i="41"/>
  <c r="B166" i="41"/>
  <c r="G165" i="41"/>
  <c r="D165" i="41"/>
  <c r="C165" i="41"/>
  <c r="B165" i="41"/>
  <c r="A165" i="41"/>
  <c r="G164" i="41"/>
  <c r="D164" i="41"/>
  <c r="A164" i="41" s="1"/>
  <c r="C164" i="41"/>
  <c r="B164" i="41"/>
  <c r="G163" i="41"/>
  <c r="G199" i="41" s="1"/>
  <c r="D163" i="41"/>
  <c r="D199" i="41" s="1"/>
  <c r="C163" i="41"/>
  <c r="C199" i="41" s="1"/>
  <c r="B163" i="41"/>
  <c r="B199" i="41" s="1"/>
  <c r="A163" i="41"/>
  <c r="H162" i="41"/>
  <c r="H198" i="41" s="1"/>
  <c r="D162" i="41"/>
  <c r="D198" i="41" s="1"/>
  <c r="C162" i="41"/>
  <c r="C198" i="41" s="1"/>
  <c r="B162" i="41"/>
  <c r="B198" i="41" s="1"/>
  <c r="G161" i="41"/>
  <c r="G197" i="41" s="1"/>
  <c r="D161" i="41"/>
  <c r="C161" i="41"/>
  <c r="C197" i="41" s="1"/>
  <c r="C200" i="41" s="1"/>
  <c r="B161" i="41"/>
  <c r="B197" i="41" s="1"/>
  <c r="I154" i="41"/>
  <c r="H154" i="41"/>
  <c r="F154" i="41"/>
  <c r="E154" i="41"/>
  <c r="I153" i="41"/>
  <c r="H153" i="41"/>
  <c r="F153" i="41"/>
  <c r="E153" i="41"/>
  <c r="I152" i="41"/>
  <c r="I155" i="41" s="1"/>
  <c r="H152" i="41"/>
  <c r="H155" i="41" s="1"/>
  <c r="F152" i="41"/>
  <c r="F155" i="41" s="1"/>
  <c r="E152" i="41"/>
  <c r="E155" i="41" s="1"/>
  <c r="G151" i="41"/>
  <c r="D151" i="41"/>
  <c r="C151" i="41"/>
  <c r="B151" i="41"/>
  <c r="A151" i="41"/>
  <c r="G150" i="41"/>
  <c r="D150" i="41"/>
  <c r="A150" i="41" s="1"/>
  <c r="C150" i="41"/>
  <c r="B150" i="41"/>
  <c r="G149" i="41"/>
  <c r="D149" i="41"/>
  <c r="C149" i="41"/>
  <c r="B149" i="41"/>
  <c r="A149" i="41"/>
  <c r="G148" i="41"/>
  <c r="D148" i="41"/>
  <c r="A148" i="41" s="1"/>
  <c r="C148" i="41"/>
  <c r="B148" i="41"/>
  <c r="G147" i="41"/>
  <c r="D147" i="41"/>
  <c r="C147" i="41"/>
  <c r="B147" i="41"/>
  <c r="A147" i="41"/>
  <c r="G146" i="41"/>
  <c r="D146" i="41"/>
  <c r="A146" i="41" s="1"/>
  <c r="C146" i="41"/>
  <c r="B146" i="41"/>
  <c r="G145" i="41"/>
  <c r="D145" i="41"/>
  <c r="C145" i="41"/>
  <c r="B145" i="41"/>
  <c r="A145" i="41"/>
  <c r="G144" i="41"/>
  <c r="D144" i="41"/>
  <c r="A144" i="41" s="1"/>
  <c r="C144" i="41"/>
  <c r="B144" i="41"/>
  <c r="G143" i="41"/>
  <c r="D143" i="41"/>
  <c r="A143" i="41" s="1"/>
  <c r="C143" i="41"/>
  <c r="B143" i="41"/>
  <c r="G142" i="41"/>
  <c r="D142" i="41"/>
  <c r="C142" i="41"/>
  <c r="B142" i="41"/>
  <c r="G141" i="41"/>
  <c r="D141" i="41"/>
  <c r="C141" i="41"/>
  <c r="B141" i="41"/>
  <c r="A141" i="41"/>
  <c r="G140" i="41"/>
  <c r="D140" i="41"/>
  <c r="A140" i="41" s="1"/>
  <c r="C140" i="41"/>
  <c r="B140" i="41"/>
  <c r="G139" i="41"/>
  <c r="D139" i="41"/>
  <c r="A139" i="41" s="1"/>
  <c r="C139" i="41"/>
  <c r="B139" i="41"/>
  <c r="G138" i="41"/>
  <c r="D138" i="41"/>
  <c r="C138" i="41"/>
  <c r="B138" i="41"/>
  <c r="G137" i="41"/>
  <c r="D137" i="41"/>
  <c r="C137" i="41"/>
  <c r="B137" i="41"/>
  <c r="A137" i="41"/>
  <c r="G136" i="41"/>
  <c r="D136" i="41"/>
  <c r="A136" i="41" s="1"/>
  <c r="C136" i="41"/>
  <c r="B136" i="41"/>
  <c r="G135" i="41"/>
  <c r="D135" i="41"/>
  <c r="A135" i="41" s="1"/>
  <c r="C135" i="41"/>
  <c r="B135" i="41"/>
  <c r="G134" i="41"/>
  <c r="D134" i="41"/>
  <c r="C134" i="41"/>
  <c r="B134" i="41"/>
  <c r="G133" i="41"/>
  <c r="D133" i="41"/>
  <c r="C133" i="41"/>
  <c r="B133" i="41"/>
  <c r="A133" i="41"/>
  <c r="G132" i="41"/>
  <c r="D132" i="41"/>
  <c r="A132" i="41" s="1"/>
  <c r="C132" i="41"/>
  <c r="B132" i="41"/>
  <c r="G131" i="41"/>
  <c r="D131" i="41"/>
  <c r="A131" i="41" s="1"/>
  <c r="C131" i="41"/>
  <c r="B131" i="41"/>
  <c r="G130" i="41"/>
  <c r="D130" i="41"/>
  <c r="C130" i="41"/>
  <c r="B130" i="41"/>
  <c r="G129" i="41"/>
  <c r="D129" i="41"/>
  <c r="C129" i="41"/>
  <c r="B129" i="41"/>
  <c r="A129" i="41"/>
  <c r="G128" i="41"/>
  <c r="D128" i="41"/>
  <c r="A128" i="41" s="1"/>
  <c r="C128" i="41"/>
  <c r="B128" i="41"/>
  <c r="G127" i="41"/>
  <c r="D127" i="41"/>
  <c r="A127" i="41" s="1"/>
  <c r="C127" i="41"/>
  <c r="B127" i="41"/>
  <c r="G126" i="41"/>
  <c r="D126" i="41"/>
  <c r="C126" i="41"/>
  <c r="B126" i="41"/>
  <c r="G125" i="41"/>
  <c r="D125" i="41"/>
  <c r="C125" i="41"/>
  <c r="B125" i="41"/>
  <c r="A125" i="41"/>
  <c r="G124" i="41"/>
  <c r="D124" i="41"/>
  <c r="A124" i="41" s="1"/>
  <c r="C124" i="41"/>
  <c r="B124" i="41"/>
  <c r="G123" i="41"/>
  <c r="D123" i="41"/>
  <c r="A123" i="41" s="1"/>
  <c r="C123" i="41"/>
  <c r="B123" i="41"/>
  <c r="G122" i="41"/>
  <c r="D122" i="41"/>
  <c r="C122" i="41"/>
  <c r="B122" i="41"/>
  <c r="G121" i="41"/>
  <c r="D121" i="41"/>
  <c r="C121" i="41"/>
  <c r="B121" i="41"/>
  <c r="A121" i="41"/>
  <c r="G120" i="41"/>
  <c r="D120" i="41"/>
  <c r="A120" i="41" s="1"/>
  <c r="C120" i="41"/>
  <c r="B120" i="41"/>
  <c r="G119" i="41"/>
  <c r="D119" i="41"/>
  <c r="A119" i="41" s="1"/>
  <c r="C119" i="41"/>
  <c r="B119" i="41"/>
  <c r="G118" i="41"/>
  <c r="D118" i="41"/>
  <c r="C118" i="41"/>
  <c r="B118" i="41"/>
  <c r="A118" i="41"/>
  <c r="G117" i="41"/>
  <c r="D117" i="41"/>
  <c r="A117" i="41" s="1"/>
  <c r="C117" i="41"/>
  <c r="B117" i="41"/>
  <c r="G116" i="41"/>
  <c r="D116" i="41"/>
  <c r="A116" i="41" s="1"/>
  <c r="C116" i="41"/>
  <c r="B116" i="41"/>
  <c r="G115" i="41"/>
  <c r="D115" i="41"/>
  <c r="C115" i="41"/>
  <c r="B115" i="41"/>
  <c r="G114" i="41"/>
  <c r="D114" i="41"/>
  <c r="C114" i="41"/>
  <c r="B114" i="41"/>
  <c r="A114" i="41"/>
  <c r="G113" i="41"/>
  <c r="D113" i="41"/>
  <c r="A113" i="41" s="1"/>
  <c r="C113" i="41"/>
  <c r="B113" i="41"/>
  <c r="G112" i="41"/>
  <c r="D112" i="41"/>
  <c r="A112" i="41" s="1"/>
  <c r="C112" i="41"/>
  <c r="B112" i="41"/>
  <c r="G111" i="41"/>
  <c r="D111" i="41"/>
  <c r="C111" i="41"/>
  <c r="B111" i="41"/>
  <c r="G110" i="41"/>
  <c r="D110" i="41"/>
  <c r="C110" i="41"/>
  <c r="B110" i="41"/>
  <c r="A110" i="41"/>
  <c r="G109" i="41"/>
  <c r="D109" i="41"/>
  <c r="A109" i="41" s="1"/>
  <c r="C109" i="41"/>
  <c r="B109" i="41"/>
  <c r="G108" i="41"/>
  <c r="D108" i="41"/>
  <c r="A108" i="41" s="1"/>
  <c r="C108" i="41"/>
  <c r="B108" i="41"/>
  <c r="G107" i="41"/>
  <c r="D107" i="41"/>
  <c r="C107" i="41"/>
  <c r="B107" i="41"/>
  <c r="G106" i="41"/>
  <c r="G154" i="41" s="1"/>
  <c r="D106" i="41"/>
  <c r="C106" i="41"/>
  <c r="C154" i="41" s="1"/>
  <c r="B106" i="41"/>
  <c r="A106" i="41"/>
  <c r="G105" i="41"/>
  <c r="G153" i="41" s="1"/>
  <c r="D105" i="41"/>
  <c r="D153" i="41" s="1"/>
  <c r="C105" i="41"/>
  <c r="C153" i="41" s="1"/>
  <c r="B105" i="41"/>
  <c r="B153" i="41" s="1"/>
  <c r="G104" i="41"/>
  <c r="G152" i="41" s="1"/>
  <c r="G155" i="41" s="1"/>
  <c r="D104" i="41"/>
  <c r="D152" i="41" s="1"/>
  <c r="C104" i="41"/>
  <c r="C152" i="41" s="1"/>
  <c r="C155" i="41" s="1"/>
  <c r="B104" i="41"/>
  <c r="B152" i="41" s="1"/>
  <c r="H97" i="41"/>
  <c r="F97" i="41"/>
  <c r="E97" i="41"/>
  <c r="I96" i="41"/>
  <c r="H96" i="41"/>
  <c r="F96" i="41"/>
  <c r="E96" i="41"/>
  <c r="I95" i="41"/>
  <c r="H95" i="41"/>
  <c r="H98" i="41" s="1"/>
  <c r="F95" i="41"/>
  <c r="F98" i="41" s="1"/>
  <c r="E95" i="41"/>
  <c r="E98" i="41" s="1"/>
  <c r="I94" i="41"/>
  <c r="I97" i="41" s="1"/>
  <c r="D94" i="41"/>
  <c r="B94" i="41"/>
  <c r="G93" i="41"/>
  <c r="D93" i="41"/>
  <c r="C93" i="41"/>
  <c r="B93" i="41"/>
  <c r="A93" i="41"/>
  <c r="G92" i="41"/>
  <c r="D92" i="41"/>
  <c r="A92" i="41" s="1"/>
  <c r="C92" i="41"/>
  <c r="B92" i="41"/>
  <c r="G91" i="41"/>
  <c r="D91" i="41"/>
  <c r="A91" i="41" s="1"/>
  <c r="C91" i="41"/>
  <c r="B91" i="41"/>
  <c r="G90" i="41"/>
  <c r="D90" i="41"/>
  <c r="C90" i="41"/>
  <c r="B90" i="41"/>
  <c r="G89" i="41"/>
  <c r="D89" i="41"/>
  <c r="C89" i="41"/>
  <c r="B89" i="41"/>
  <c r="A89" i="41"/>
  <c r="G88" i="41"/>
  <c r="D88" i="41"/>
  <c r="A88" i="41" s="1"/>
  <c r="C88" i="41"/>
  <c r="B88" i="41"/>
  <c r="G87" i="41"/>
  <c r="D87" i="41"/>
  <c r="A87" i="41" s="1"/>
  <c r="C87" i="41"/>
  <c r="B87" i="41"/>
  <c r="G86" i="41"/>
  <c r="D86" i="41"/>
  <c r="C86" i="41"/>
  <c r="B86" i="41"/>
  <c r="G85" i="41"/>
  <c r="D85" i="41"/>
  <c r="C85" i="41"/>
  <c r="B85" i="41"/>
  <c r="A85" i="41"/>
  <c r="G84" i="41"/>
  <c r="D84" i="41"/>
  <c r="A84" i="41" s="1"/>
  <c r="C84" i="41"/>
  <c r="B84" i="41"/>
  <c r="G83" i="41"/>
  <c r="D83" i="41"/>
  <c r="A83" i="41" s="1"/>
  <c r="C83" i="41"/>
  <c r="B83" i="41"/>
  <c r="G82" i="41"/>
  <c r="D82" i="41"/>
  <c r="C82" i="41"/>
  <c r="B82" i="41"/>
  <c r="G81" i="41"/>
  <c r="D81" i="41"/>
  <c r="C81" i="41"/>
  <c r="B81" i="41"/>
  <c r="A81" i="41"/>
  <c r="G80" i="41"/>
  <c r="D80" i="41"/>
  <c r="A80" i="41" s="1"/>
  <c r="C80" i="41"/>
  <c r="B80" i="41"/>
  <c r="G79" i="41"/>
  <c r="D79" i="41"/>
  <c r="A79" i="41" s="1"/>
  <c r="C79" i="41"/>
  <c r="B79" i="41"/>
  <c r="G78" i="41"/>
  <c r="D78" i="41"/>
  <c r="C78" i="41"/>
  <c r="B78" i="41"/>
  <c r="G77" i="41"/>
  <c r="D77" i="41"/>
  <c r="C77" i="41"/>
  <c r="B77" i="41"/>
  <c r="A77" i="41"/>
  <c r="G76" i="41"/>
  <c r="D76" i="41"/>
  <c r="A76" i="41" s="1"/>
  <c r="C76" i="41"/>
  <c r="B76" i="41"/>
  <c r="G75" i="41"/>
  <c r="D75" i="41"/>
  <c r="A75" i="41" s="1"/>
  <c r="C75" i="41"/>
  <c r="B75" i="41"/>
  <c r="G74" i="41"/>
  <c r="D74" i="41"/>
  <c r="C74" i="41"/>
  <c r="B74" i="41"/>
  <c r="G73" i="41"/>
  <c r="D73" i="41"/>
  <c r="C73" i="41"/>
  <c r="B73" i="41"/>
  <c r="A73" i="41"/>
  <c r="G72" i="41"/>
  <c r="D72" i="41"/>
  <c r="A72" i="41" s="1"/>
  <c r="C72" i="41"/>
  <c r="B72" i="41"/>
  <c r="G71" i="41"/>
  <c r="D71" i="41"/>
  <c r="A71" i="41" s="1"/>
  <c r="C71" i="41"/>
  <c r="B71" i="41"/>
  <c r="G70" i="41"/>
  <c r="D70" i="41"/>
  <c r="C70" i="41"/>
  <c r="B70" i="41"/>
  <c r="G69" i="41"/>
  <c r="G96" i="41" s="1"/>
  <c r="D69" i="41"/>
  <c r="C69" i="41"/>
  <c r="C96" i="41" s="1"/>
  <c r="B69" i="41"/>
  <c r="A69" i="41"/>
  <c r="G68" i="41"/>
  <c r="G95" i="41" s="1"/>
  <c r="D68" i="41"/>
  <c r="A68" i="41" s="1"/>
  <c r="C68" i="41"/>
  <c r="C95" i="41" s="1"/>
  <c r="B68" i="41"/>
  <c r="B95" i="41" s="1"/>
  <c r="I61" i="41"/>
  <c r="H61" i="41"/>
  <c r="F61" i="41"/>
  <c r="E61" i="41"/>
  <c r="I60" i="41"/>
  <c r="H60" i="41"/>
  <c r="F60" i="41"/>
  <c r="E60" i="41"/>
  <c r="I59" i="41"/>
  <c r="I62" i="41" s="1"/>
  <c r="H59" i="41"/>
  <c r="H62" i="41" s="1"/>
  <c r="F59" i="41"/>
  <c r="F62" i="41" s="1"/>
  <c r="E59" i="41"/>
  <c r="E62" i="41" s="1"/>
  <c r="G58" i="41"/>
  <c r="D58" i="41"/>
  <c r="A58" i="41" s="1"/>
  <c r="C58" i="41"/>
  <c r="B58" i="41"/>
  <c r="G57" i="41"/>
  <c r="D57" i="41"/>
  <c r="C57" i="41"/>
  <c r="B57" i="41"/>
  <c r="G56" i="41"/>
  <c r="D56" i="41"/>
  <c r="C56" i="41"/>
  <c r="B56" i="41"/>
  <c r="A56" i="41"/>
  <c r="G55" i="41"/>
  <c r="D55" i="41"/>
  <c r="A55" i="41" s="1"/>
  <c r="C55" i="41"/>
  <c r="B55" i="41"/>
  <c r="G54" i="41"/>
  <c r="D54" i="41"/>
  <c r="C54" i="41"/>
  <c r="B54" i="41"/>
  <c r="A54" i="41"/>
  <c r="G53" i="41"/>
  <c r="D53" i="41"/>
  <c r="A53" i="41" s="1"/>
  <c r="C53" i="41"/>
  <c r="B53" i="41"/>
  <c r="G52" i="41"/>
  <c r="D52" i="41"/>
  <c r="C52" i="41"/>
  <c r="B52" i="41"/>
  <c r="A52" i="41"/>
  <c r="G51" i="41"/>
  <c r="D51" i="41"/>
  <c r="A51" i="41" s="1"/>
  <c r="C51" i="41"/>
  <c r="B51" i="41"/>
  <c r="G50" i="41"/>
  <c r="D50" i="41"/>
  <c r="C50" i="41"/>
  <c r="B50" i="41"/>
  <c r="A50" i="41"/>
  <c r="G49" i="41"/>
  <c r="D49" i="41"/>
  <c r="A49" i="41" s="1"/>
  <c r="C49" i="41"/>
  <c r="B49" i="41"/>
  <c r="G48" i="41"/>
  <c r="D48" i="41"/>
  <c r="C48" i="41"/>
  <c r="B48" i="41"/>
  <c r="G47" i="41"/>
  <c r="D47" i="41"/>
  <c r="C47" i="41"/>
  <c r="B47" i="41"/>
  <c r="A47" i="41"/>
  <c r="G46" i="41"/>
  <c r="G61" i="41" s="1"/>
  <c r="D46" i="41"/>
  <c r="D61" i="41" s="1"/>
  <c r="C46" i="41"/>
  <c r="C61" i="41" s="1"/>
  <c r="B46" i="41"/>
  <c r="B61" i="41" s="1"/>
  <c r="G45" i="41"/>
  <c r="D45" i="41"/>
  <c r="D60" i="41" s="1"/>
  <c r="C45" i="41"/>
  <c r="C60" i="41" s="1"/>
  <c r="B45" i="41"/>
  <c r="B60" i="41" s="1"/>
  <c r="G44" i="41"/>
  <c r="G59" i="41" s="1"/>
  <c r="D44" i="41"/>
  <c r="D59" i="41" s="1"/>
  <c r="C44" i="41"/>
  <c r="C59" i="41" s="1"/>
  <c r="C62" i="41" s="1"/>
  <c r="B44" i="41"/>
  <c r="B59" i="41" s="1"/>
  <c r="H37" i="41"/>
  <c r="F37" i="41"/>
  <c r="E37" i="41"/>
  <c r="F36" i="41"/>
  <c r="E36" i="41"/>
  <c r="H35" i="41"/>
  <c r="F35" i="41"/>
  <c r="F38" i="41" s="1"/>
  <c r="E35" i="41"/>
  <c r="E38" i="41" s="1"/>
  <c r="B35" i="41"/>
  <c r="G34" i="41"/>
  <c r="D34" i="41"/>
  <c r="A34" i="41" s="1"/>
  <c r="C34" i="41"/>
  <c r="B34" i="41"/>
  <c r="G33" i="41"/>
  <c r="D33" i="41"/>
  <c r="C33" i="41"/>
  <c r="B33" i="41"/>
  <c r="G32" i="41"/>
  <c r="D32" i="41"/>
  <c r="C32" i="41"/>
  <c r="B32" i="41"/>
  <c r="A32" i="41"/>
  <c r="G31" i="41"/>
  <c r="D31" i="41"/>
  <c r="A31" i="41" s="1"/>
  <c r="C31" i="41"/>
  <c r="B31" i="41"/>
  <c r="G30" i="41"/>
  <c r="D30" i="41"/>
  <c r="A30" i="41" s="1"/>
  <c r="C30" i="41"/>
  <c r="B30" i="41"/>
  <c r="G29" i="41"/>
  <c r="D29" i="41"/>
  <c r="C29" i="41"/>
  <c r="B29" i="41"/>
  <c r="G28" i="41"/>
  <c r="D28" i="41"/>
  <c r="C28" i="41"/>
  <c r="B28" i="41"/>
  <c r="A28" i="41"/>
  <c r="G27" i="41"/>
  <c r="D27" i="41"/>
  <c r="A27" i="41" s="1"/>
  <c r="C27" i="41"/>
  <c r="B27" i="41"/>
  <c r="G26" i="41"/>
  <c r="D26" i="41"/>
  <c r="A26" i="41" s="1"/>
  <c r="C26" i="41"/>
  <c r="B26" i="41"/>
  <c r="G25" i="41"/>
  <c r="D25" i="41"/>
  <c r="C25" i="41"/>
  <c r="B25" i="41"/>
  <c r="G24" i="41"/>
  <c r="D24" i="41"/>
  <c r="C24" i="41"/>
  <c r="B24" i="41"/>
  <c r="A24" i="41"/>
  <c r="G23" i="41"/>
  <c r="D23" i="41"/>
  <c r="A23" i="41" s="1"/>
  <c r="C23" i="41"/>
  <c r="B23" i="41"/>
  <c r="G22" i="41"/>
  <c r="D22" i="41"/>
  <c r="A22" i="41" s="1"/>
  <c r="C22" i="41"/>
  <c r="B22" i="41"/>
  <c r="I21" i="41"/>
  <c r="G21" i="41" s="1"/>
  <c r="A21" i="41" s="1"/>
  <c r="D21" i="41"/>
  <c r="B21" i="41"/>
  <c r="I20" i="41"/>
  <c r="G20" i="41" s="1"/>
  <c r="A20" i="41" s="1"/>
  <c r="D20" i="41"/>
  <c r="B20" i="41"/>
  <c r="G19" i="41"/>
  <c r="D19" i="41"/>
  <c r="C19" i="41"/>
  <c r="B19" i="41"/>
  <c r="I18" i="41"/>
  <c r="H18" i="41"/>
  <c r="G18" i="41"/>
  <c r="D18" i="41"/>
  <c r="C18" i="41"/>
  <c r="B18" i="41"/>
  <c r="A18" i="41"/>
  <c r="G17" i="41"/>
  <c r="D17" i="41"/>
  <c r="A17" i="41" s="1"/>
  <c r="C17" i="41"/>
  <c r="B17" i="41"/>
  <c r="G16" i="41"/>
  <c r="D16" i="41"/>
  <c r="A16" i="41" s="1"/>
  <c r="C16" i="41"/>
  <c r="B16" i="41"/>
  <c r="I15" i="41"/>
  <c r="D15" i="41"/>
  <c r="B15" i="41"/>
  <c r="G14" i="41"/>
  <c r="D14" i="41"/>
  <c r="A14" i="41" s="1"/>
  <c r="C14" i="41"/>
  <c r="B14" i="41"/>
  <c r="G13" i="41"/>
  <c r="D13" i="41"/>
  <c r="A13" i="41" s="1"/>
  <c r="C13" i="41"/>
  <c r="B13" i="41"/>
  <c r="G12" i="41"/>
  <c r="D12" i="41"/>
  <c r="C12" i="41"/>
  <c r="B12" i="41"/>
  <c r="G11" i="41"/>
  <c r="D11" i="41"/>
  <c r="C11" i="41"/>
  <c r="B11" i="41"/>
  <c r="A11" i="41"/>
  <c r="I10" i="41"/>
  <c r="G10" i="41"/>
  <c r="D10" i="41"/>
  <c r="C10" i="41"/>
  <c r="B10" i="41"/>
  <c r="A10" i="41"/>
  <c r="H9" i="41"/>
  <c r="H36" i="41" s="1"/>
  <c r="G9" i="41"/>
  <c r="D9" i="41"/>
  <c r="C9" i="41"/>
  <c r="B9" i="41"/>
  <c r="A9" i="41"/>
  <c r="G8" i="41"/>
  <c r="D8" i="41"/>
  <c r="A8" i="41" s="1"/>
  <c r="C8" i="41"/>
  <c r="B8" i="41"/>
  <c r="I7" i="41"/>
  <c r="I37" i="41" s="1"/>
  <c r="D7" i="41"/>
  <c r="D37" i="41" s="1"/>
  <c r="B7" i="41"/>
  <c r="B37" i="41" s="1"/>
  <c r="I6" i="41"/>
  <c r="I36" i="41" s="1"/>
  <c r="D6" i="41"/>
  <c r="D36" i="41" s="1"/>
  <c r="B6" i="41"/>
  <c r="B36" i="41" s="1"/>
  <c r="I5" i="41"/>
  <c r="I35" i="41" s="1"/>
  <c r="D5" i="41"/>
  <c r="D35" i="41" s="1"/>
  <c r="B5" i="41"/>
  <c r="I832" i="40"/>
  <c r="H832" i="40"/>
  <c r="F832" i="40"/>
  <c r="E832" i="40"/>
  <c r="I831" i="40"/>
  <c r="H831" i="40"/>
  <c r="F831" i="40"/>
  <c r="E831" i="40"/>
  <c r="I830" i="40"/>
  <c r="H830" i="40"/>
  <c r="F830" i="40"/>
  <c r="E830" i="40"/>
  <c r="G829" i="40"/>
  <c r="D829" i="40"/>
  <c r="C829" i="40"/>
  <c r="B829" i="40"/>
  <c r="A829" i="40"/>
  <c r="G828" i="40"/>
  <c r="G830" i="40" s="1"/>
  <c r="D828" i="40"/>
  <c r="D830" i="40" s="1"/>
  <c r="C828" i="40"/>
  <c r="C830" i="40" s="1"/>
  <c r="B828" i="40"/>
  <c r="B830" i="40" s="1"/>
  <c r="I827" i="40"/>
  <c r="H827" i="40"/>
  <c r="F827" i="40"/>
  <c r="E827" i="40"/>
  <c r="G826" i="40"/>
  <c r="D826" i="40"/>
  <c r="C826" i="40"/>
  <c r="B826" i="40"/>
  <c r="A826" i="40" s="1"/>
  <c r="G825" i="40"/>
  <c r="G827" i="40" s="1"/>
  <c r="D825" i="40"/>
  <c r="D827" i="40" s="1"/>
  <c r="C825" i="40"/>
  <c r="C827" i="40" s="1"/>
  <c r="B825" i="40"/>
  <c r="B827" i="40" s="1"/>
  <c r="A825" i="40"/>
  <c r="A827" i="40" s="1"/>
  <c r="I824" i="40"/>
  <c r="H824" i="40"/>
  <c r="F824" i="40"/>
  <c r="E824" i="40"/>
  <c r="G823" i="40"/>
  <c r="D823" i="40"/>
  <c r="C823" i="40"/>
  <c r="B823" i="40"/>
  <c r="A823" i="40"/>
  <c r="G822" i="40"/>
  <c r="G824" i="40" s="1"/>
  <c r="D822" i="40"/>
  <c r="D824" i="40" s="1"/>
  <c r="C822" i="40"/>
  <c r="C824" i="40" s="1"/>
  <c r="B822" i="40"/>
  <c r="B824" i="40" s="1"/>
  <c r="I821" i="40"/>
  <c r="H821" i="40"/>
  <c r="F821" i="40"/>
  <c r="E821" i="40"/>
  <c r="G820" i="40"/>
  <c r="D820" i="40"/>
  <c r="C820" i="40"/>
  <c r="B820" i="40"/>
  <c r="A820" i="40" s="1"/>
  <c r="G819" i="40"/>
  <c r="G821" i="40" s="1"/>
  <c r="D819" i="40"/>
  <c r="D821" i="40" s="1"/>
  <c r="C819" i="40"/>
  <c r="C821" i="40" s="1"/>
  <c r="B819" i="40"/>
  <c r="B821" i="40" s="1"/>
  <c r="I818" i="40"/>
  <c r="H818" i="40"/>
  <c r="F818" i="40"/>
  <c r="E818" i="40"/>
  <c r="G817" i="40"/>
  <c r="D817" i="40"/>
  <c r="C817" i="40"/>
  <c r="B817" i="40"/>
  <c r="A817" i="40"/>
  <c r="G816" i="40"/>
  <c r="G818" i="40" s="1"/>
  <c r="D816" i="40"/>
  <c r="D818" i="40" s="1"/>
  <c r="C816" i="40"/>
  <c r="C818" i="40" s="1"/>
  <c r="B816" i="40"/>
  <c r="B818" i="40" s="1"/>
  <c r="I815" i="40"/>
  <c r="H815" i="40"/>
  <c r="F815" i="40"/>
  <c r="E815" i="40"/>
  <c r="G814" i="40"/>
  <c r="D814" i="40"/>
  <c r="C814" i="40"/>
  <c r="B814" i="40"/>
  <c r="A814" i="40" s="1"/>
  <c r="G813" i="40"/>
  <c r="G815" i="40" s="1"/>
  <c r="D813" i="40"/>
  <c r="D815" i="40" s="1"/>
  <c r="C813" i="40"/>
  <c r="C815" i="40" s="1"/>
  <c r="B813" i="40"/>
  <c r="B815" i="40" s="1"/>
  <c r="I812" i="40"/>
  <c r="H812" i="40"/>
  <c r="F812" i="40"/>
  <c r="E812" i="40"/>
  <c r="G811" i="40"/>
  <c r="D811" i="40"/>
  <c r="C811" i="40"/>
  <c r="B811" i="40"/>
  <c r="A811" i="40"/>
  <c r="G810" i="40"/>
  <c r="D810" i="40"/>
  <c r="D812" i="40" s="1"/>
  <c r="C810" i="40"/>
  <c r="C812" i="40" s="1"/>
  <c r="B810" i="40"/>
  <c r="B812" i="40" s="1"/>
  <c r="I809" i="40"/>
  <c r="H809" i="40"/>
  <c r="F809" i="40"/>
  <c r="E809" i="40"/>
  <c r="G808" i="40"/>
  <c r="D808" i="40"/>
  <c r="C808" i="40"/>
  <c r="B808" i="40"/>
  <c r="A808" i="40" s="1"/>
  <c r="G807" i="40"/>
  <c r="G809" i="40" s="1"/>
  <c r="D807" i="40"/>
  <c r="D809" i="40" s="1"/>
  <c r="C807" i="40"/>
  <c r="C809" i="40" s="1"/>
  <c r="B807" i="40"/>
  <c r="B809" i="40" s="1"/>
  <c r="I806" i="40"/>
  <c r="I833" i="40" s="1"/>
  <c r="H806" i="40"/>
  <c r="H833" i="40" s="1"/>
  <c r="F806" i="40"/>
  <c r="F833" i="40" s="1"/>
  <c r="E806" i="40"/>
  <c r="E833" i="40" s="1"/>
  <c r="G805" i="40"/>
  <c r="G832" i="40" s="1"/>
  <c r="D805" i="40"/>
  <c r="D832" i="40" s="1"/>
  <c r="C805" i="40"/>
  <c r="C832" i="40" s="1"/>
  <c r="B805" i="40"/>
  <c r="B832" i="40" s="1"/>
  <c r="A805" i="40"/>
  <c r="A832" i="40" s="1"/>
  <c r="G804" i="40"/>
  <c r="G831" i="40" s="1"/>
  <c r="D804" i="40"/>
  <c r="D806" i="40" s="1"/>
  <c r="D833" i="40" s="1"/>
  <c r="C804" i="40"/>
  <c r="C831" i="40" s="1"/>
  <c r="B804" i="40"/>
  <c r="B806" i="40" s="1"/>
  <c r="B833" i="40" s="1"/>
  <c r="I799" i="40"/>
  <c r="H799" i="40"/>
  <c r="F799" i="40"/>
  <c r="E799" i="40"/>
  <c r="I798" i="40"/>
  <c r="H798" i="40"/>
  <c r="F798" i="40"/>
  <c r="E798" i="40"/>
  <c r="I797" i="40"/>
  <c r="H797" i="40"/>
  <c r="F797" i="40"/>
  <c r="E797" i="40"/>
  <c r="G796" i="40"/>
  <c r="G799" i="40" s="1"/>
  <c r="D796" i="40"/>
  <c r="D799" i="40" s="1"/>
  <c r="C796" i="40"/>
  <c r="C799" i="40" s="1"/>
  <c r="B796" i="40"/>
  <c r="B799" i="40" s="1"/>
  <c r="G795" i="40"/>
  <c r="G798" i="40" s="1"/>
  <c r="D795" i="40"/>
  <c r="D798" i="40" s="1"/>
  <c r="C795" i="40"/>
  <c r="C798" i="40" s="1"/>
  <c r="B795" i="40"/>
  <c r="B798" i="40" s="1"/>
  <c r="G794" i="40"/>
  <c r="G797" i="40" s="1"/>
  <c r="D794" i="40"/>
  <c r="D797" i="40" s="1"/>
  <c r="C794" i="40"/>
  <c r="C797" i="40" s="1"/>
  <c r="B794" i="40"/>
  <c r="B797" i="40" s="1"/>
  <c r="I789" i="40"/>
  <c r="H789" i="40"/>
  <c r="F789" i="40"/>
  <c r="E789" i="40"/>
  <c r="I788" i="40"/>
  <c r="H788" i="40"/>
  <c r="F788" i="40"/>
  <c r="E788" i="40"/>
  <c r="I787" i="40"/>
  <c r="H787" i="40"/>
  <c r="F787" i="40"/>
  <c r="E787" i="40"/>
  <c r="G786" i="40"/>
  <c r="G789" i="40" s="1"/>
  <c r="D786" i="40"/>
  <c r="D789" i="40" s="1"/>
  <c r="C786" i="40"/>
  <c r="C789" i="40" s="1"/>
  <c r="B786" i="40"/>
  <c r="B789" i="40" s="1"/>
  <c r="G785" i="40"/>
  <c r="G788" i="40" s="1"/>
  <c r="D785" i="40"/>
  <c r="D788" i="40" s="1"/>
  <c r="C785" i="40"/>
  <c r="C788" i="40" s="1"/>
  <c r="B785" i="40"/>
  <c r="B788" i="40" s="1"/>
  <c r="A785" i="40"/>
  <c r="A788" i="40" s="1"/>
  <c r="G784" i="40"/>
  <c r="G787" i="40" s="1"/>
  <c r="D784" i="40"/>
  <c r="D787" i="40" s="1"/>
  <c r="C784" i="40"/>
  <c r="C787" i="40" s="1"/>
  <c r="B784" i="40"/>
  <c r="B787" i="40" s="1"/>
  <c r="I778" i="40"/>
  <c r="H778" i="40"/>
  <c r="F778" i="40"/>
  <c r="E778" i="40"/>
  <c r="F777" i="40"/>
  <c r="E777" i="40"/>
  <c r="I776" i="40"/>
  <c r="H776" i="40"/>
  <c r="F776" i="40"/>
  <c r="E776" i="40"/>
  <c r="G775" i="40"/>
  <c r="D775" i="40"/>
  <c r="C775" i="40"/>
  <c r="B775" i="40"/>
  <c r="G774" i="40"/>
  <c r="G776" i="40" s="1"/>
  <c r="D774" i="40"/>
  <c r="D776" i="40" s="1"/>
  <c r="C774" i="40"/>
  <c r="C776" i="40" s="1"/>
  <c r="B774" i="40"/>
  <c r="B776" i="40" s="1"/>
  <c r="A774" i="40"/>
  <c r="I773" i="40"/>
  <c r="F773" i="40"/>
  <c r="E773" i="40"/>
  <c r="G772" i="40"/>
  <c r="D772" i="40"/>
  <c r="C772" i="40"/>
  <c r="B772" i="40"/>
  <c r="A772" i="40"/>
  <c r="H771" i="40"/>
  <c r="H777" i="40" s="1"/>
  <c r="G771" i="40"/>
  <c r="G773" i="40" s="1"/>
  <c r="D771" i="40"/>
  <c r="D773" i="40" s="1"/>
  <c r="C771" i="40"/>
  <c r="C773" i="40" s="1"/>
  <c r="B771" i="40"/>
  <c r="B773" i="40" s="1"/>
  <c r="A771" i="40"/>
  <c r="A773" i="40" s="1"/>
  <c r="H770" i="40"/>
  <c r="F770" i="40"/>
  <c r="F779" i="40" s="1"/>
  <c r="E770" i="40"/>
  <c r="E779" i="40" s="1"/>
  <c r="G769" i="40"/>
  <c r="G778" i="40" s="1"/>
  <c r="D769" i="40"/>
  <c r="D778" i="40" s="1"/>
  <c r="C769" i="40"/>
  <c r="C778" i="40" s="1"/>
  <c r="B769" i="40"/>
  <c r="B778" i="40" s="1"/>
  <c r="A769" i="40"/>
  <c r="I768" i="40"/>
  <c r="I777" i="40" s="1"/>
  <c r="G768" i="40"/>
  <c r="G777" i="40" s="1"/>
  <c r="D768" i="40"/>
  <c r="D777" i="40" s="1"/>
  <c r="C768" i="40"/>
  <c r="C777" i="40" s="1"/>
  <c r="B768" i="40"/>
  <c r="B777" i="40" s="1"/>
  <c r="A768" i="40"/>
  <c r="A777" i="40" s="1"/>
  <c r="I762" i="40"/>
  <c r="H762" i="40"/>
  <c r="F762" i="40"/>
  <c r="E762" i="40"/>
  <c r="I761" i="40"/>
  <c r="H761" i="40"/>
  <c r="F761" i="40"/>
  <c r="E761" i="40"/>
  <c r="I760" i="40"/>
  <c r="H760" i="40"/>
  <c r="F760" i="40"/>
  <c r="E760" i="40"/>
  <c r="G759" i="40"/>
  <c r="D759" i="40"/>
  <c r="C759" i="40"/>
  <c r="B759" i="40"/>
  <c r="A759" i="40" s="1"/>
  <c r="G758" i="40"/>
  <c r="G760" i="40" s="1"/>
  <c r="D758" i="40"/>
  <c r="D760" i="40" s="1"/>
  <c r="C758" i="40"/>
  <c r="C760" i="40" s="1"/>
  <c r="B758" i="40"/>
  <c r="B760" i="40" s="1"/>
  <c r="A758" i="40"/>
  <c r="A760" i="40" s="1"/>
  <c r="I757" i="40"/>
  <c r="H757" i="40"/>
  <c r="F757" i="40"/>
  <c r="E757" i="40"/>
  <c r="G756" i="40"/>
  <c r="D756" i="40"/>
  <c r="C756" i="40"/>
  <c r="B756" i="40"/>
  <c r="A756" i="40" s="1"/>
  <c r="G755" i="40"/>
  <c r="G757" i="40" s="1"/>
  <c r="D755" i="40"/>
  <c r="D757" i="40" s="1"/>
  <c r="C755" i="40"/>
  <c r="C757" i="40" s="1"/>
  <c r="B755" i="40"/>
  <c r="A755" i="40" s="1"/>
  <c r="I754" i="40"/>
  <c r="H754" i="40"/>
  <c r="F754" i="40"/>
  <c r="E754" i="40"/>
  <c r="G753" i="40"/>
  <c r="D753" i="40"/>
  <c r="C753" i="40"/>
  <c r="B753" i="40"/>
  <c r="A753" i="40" s="1"/>
  <c r="G752" i="40"/>
  <c r="G754" i="40" s="1"/>
  <c r="D752" i="40"/>
  <c r="D754" i="40" s="1"/>
  <c r="C752" i="40"/>
  <c r="C754" i="40" s="1"/>
  <c r="B752" i="40"/>
  <c r="B754" i="40" s="1"/>
  <c r="I751" i="40"/>
  <c r="H751" i="40"/>
  <c r="F751" i="40"/>
  <c r="E751" i="40"/>
  <c r="G750" i="40"/>
  <c r="D750" i="40"/>
  <c r="C750" i="40"/>
  <c r="B750" i="40"/>
  <c r="A750" i="40"/>
  <c r="G749" i="40"/>
  <c r="G751" i="40" s="1"/>
  <c r="D749" i="40"/>
  <c r="D751" i="40" s="1"/>
  <c r="C749" i="40"/>
  <c r="C751" i="40" s="1"/>
  <c r="B749" i="40"/>
  <c r="A749" i="40" s="1"/>
  <c r="A751" i="40" s="1"/>
  <c r="I748" i="40"/>
  <c r="H748" i="40"/>
  <c r="F748" i="40"/>
  <c r="E748" i="40"/>
  <c r="G747" i="40"/>
  <c r="D747" i="40"/>
  <c r="C747" i="40"/>
  <c r="B747" i="40"/>
  <c r="A747" i="40" s="1"/>
  <c r="G746" i="40"/>
  <c r="G748" i="40" s="1"/>
  <c r="D746" i="40"/>
  <c r="D748" i="40" s="1"/>
  <c r="C746" i="40"/>
  <c r="C748" i="40" s="1"/>
  <c r="B746" i="40"/>
  <c r="B748" i="40" s="1"/>
  <c r="I745" i="40"/>
  <c r="H745" i="40"/>
  <c r="F745" i="40"/>
  <c r="E745" i="40"/>
  <c r="G744" i="40"/>
  <c r="D744" i="40"/>
  <c r="C744" i="40"/>
  <c r="B744" i="40"/>
  <c r="A744" i="40"/>
  <c r="G743" i="40"/>
  <c r="D743" i="40"/>
  <c r="D745" i="40" s="1"/>
  <c r="C743" i="40"/>
  <c r="B743" i="40"/>
  <c r="A743" i="40" s="1"/>
  <c r="A745" i="40" s="1"/>
  <c r="I742" i="40"/>
  <c r="H742" i="40"/>
  <c r="F742" i="40"/>
  <c r="E742" i="40"/>
  <c r="G741" i="40"/>
  <c r="D741" i="40"/>
  <c r="C741" i="40"/>
  <c r="B741" i="40"/>
  <c r="A741" i="40" s="1"/>
  <c r="G740" i="40"/>
  <c r="G742" i="40" s="1"/>
  <c r="D740" i="40"/>
  <c r="D742" i="40" s="1"/>
  <c r="C740" i="40"/>
  <c r="C742" i="40" s="1"/>
  <c r="B740" i="40"/>
  <c r="B742" i="40" s="1"/>
  <c r="I739" i="40"/>
  <c r="H739" i="40"/>
  <c r="F739" i="40"/>
  <c r="E739" i="40"/>
  <c r="G738" i="40"/>
  <c r="D738" i="40"/>
  <c r="C738" i="40"/>
  <c r="B738" i="40"/>
  <c r="A738" i="40"/>
  <c r="G737" i="40"/>
  <c r="D737" i="40"/>
  <c r="D739" i="40" s="1"/>
  <c r="C737" i="40"/>
  <c r="B737" i="40"/>
  <c r="A737" i="40" s="1"/>
  <c r="A739" i="40" s="1"/>
  <c r="I736" i="40"/>
  <c r="H736" i="40"/>
  <c r="F736" i="40"/>
  <c r="E736" i="40"/>
  <c r="G735" i="40"/>
  <c r="D735" i="40"/>
  <c r="C735" i="40"/>
  <c r="B735" i="40"/>
  <c r="A735" i="40" s="1"/>
  <c r="G734" i="40"/>
  <c r="G736" i="40" s="1"/>
  <c r="D734" i="40"/>
  <c r="D736" i="40" s="1"/>
  <c r="C734" i="40"/>
  <c r="C736" i="40" s="1"/>
  <c r="B734" i="40"/>
  <c r="B736" i="40" s="1"/>
  <c r="I733" i="40"/>
  <c r="H733" i="40"/>
  <c r="F733" i="40"/>
  <c r="E733" i="40"/>
  <c r="G732" i="40"/>
  <c r="D732" i="40"/>
  <c r="C732" i="40"/>
  <c r="B732" i="40"/>
  <c r="A732" i="40"/>
  <c r="G731" i="40"/>
  <c r="D731" i="40"/>
  <c r="D733" i="40" s="1"/>
  <c r="C731" i="40"/>
  <c r="B731" i="40"/>
  <c r="A731" i="40" s="1"/>
  <c r="A733" i="40" s="1"/>
  <c r="I730" i="40"/>
  <c r="H730" i="40"/>
  <c r="F730" i="40"/>
  <c r="E730" i="40"/>
  <c r="G729" i="40"/>
  <c r="D729" i="40"/>
  <c r="C729" i="40"/>
  <c r="B729" i="40"/>
  <c r="A729" i="40" s="1"/>
  <c r="G728" i="40"/>
  <c r="G730" i="40" s="1"/>
  <c r="D728" i="40"/>
  <c r="D730" i="40" s="1"/>
  <c r="C728" i="40"/>
  <c r="C730" i="40" s="1"/>
  <c r="B728" i="40"/>
  <c r="B730" i="40" s="1"/>
  <c r="I727" i="40"/>
  <c r="H727" i="40"/>
  <c r="F727" i="40"/>
  <c r="E727" i="40"/>
  <c r="G726" i="40"/>
  <c r="D726" i="40"/>
  <c r="C726" i="40"/>
  <c r="B726" i="40"/>
  <c r="A726" i="40"/>
  <c r="G725" i="40"/>
  <c r="D725" i="40"/>
  <c r="D727" i="40" s="1"/>
  <c r="C725" i="40"/>
  <c r="B725" i="40"/>
  <c r="A725" i="40" s="1"/>
  <c r="A727" i="40" s="1"/>
  <c r="I724" i="40"/>
  <c r="H724" i="40"/>
  <c r="F724" i="40"/>
  <c r="E724" i="40"/>
  <c r="G723" i="40"/>
  <c r="D723" i="40"/>
  <c r="C723" i="40"/>
  <c r="B723" i="40"/>
  <c r="A723" i="40" s="1"/>
  <c r="G722" i="40"/>
  <c r="G724" i="40" s="1"/>
  <c r="D722" i="40"/>
  <c r="D724" i="40" s="1"/>
  <c r="C722" i="40"/>
  <c r="C724" i="40" s="1"/>
  <c r="B722" i="40"/>
  <c r="B724" i="40" s="1"/>
  <c r="I721" i="40"/>
  <c r="H721" i="40"/>
  <c r="F721" i="40"/>
  <c r="E721" i="40"/>
  <c r="G720" i="40"/>
  <c r="D720" i="40"/>
  <c r="C720" i="40"/>
  <c r="B720" i="40"/>
  <c r="A720" i="40"/>
  <c r="G719" i="40"/>
  <c r="D719" i="40"/>
  <c r="D721" i="40" s="1"/>
  <c r="C719" i="40"/>
  <c r="B719" i="40"/>
  <c r="A719" i="40" s="1"/>
  <c r="A721" i="40" s="1"/>
  <c r="I718" i="40"/>
  <c r="H718" i="40"/>
  <c r="F718" i="40"/>
  <c r="E718" i="40"/>
  <c r="G717" i="40"/>
  <c r="D717" i="40"/>
  <c r="C717" i="40"/>
  <c r="B717" i="40"/>
  <c r="A717" i="40" s="1"/>
  <c r="G716" i="40"/>
  <c r="G718" i="40" s="1"/>
  <c r="D716" i="40"/>
  <c r="D718" i="40" s="1"/>
  <c r="C716" i="40"/>
  <c r="C718" i="40" s="1"/>
  <c r="B716" i="40"/>
  <c r="B718" i="40" s="1"/>
  <c r="I715" i="40"/>
  <c r="H715" i="40"/>
  <c r="F715" i="40"/>
  <c r="E715" i="40"/>
  <c r="G714" i="40"/>
  <c r="D714" i="40"/>
  <c r="C714" i="40"/>
  <c r="B714" i="40"/>
  <c r="A714" i="40"/>
  <c r="G713" i="40"/>
  <c r="D713" i="40"/>
  <c r="D715" i="40" s="1"/>
  <c r="C713" i="40"/>
  <c r="B713" i="40"/>
  <c r="A713" i="40" s="1"/>
  <c r="A715" i="40" s="1"/>
  <c r="I712" i="40"/>
  <c r="H712" i="40"/>
  <c r="F712" i="40"/>
  <c r="E712" i="40"/>
  <c r="G711" i="40"/>
  <c r="D711" i="40"/>
  <c r="C711" i="40"/>
  <c r="B711" i="40"/>
  <c r="A711" i="40" s="1"/>
  <c r="G710" i="40"/>
  <c r="G712" i="40" s="1"/>
  <c r="D710" i="40"/>
  <c r="D712" i="40" s="1"/>
  <c r="C710" i="40"/>
  <c r="C712" i="40" s="1"/>
  <c r="B710" i="40"/>
  <c r="B712" i="40" s="1"/>
  <c r="I709" i="40"/>
  <c r="H709" i="40"/>
  <c r="F709" i="40"/>
  <c r="E709" i="40"/>
  <c r="G708" i="40"/>
  <c r="D708" i="40"/>
  <c r="C708" i="40"/>
  <c r="B708" i="40"/>
  <c r="G707" i="40"/>
  <c r="G709" i="40" s="1"/>
  <c r="D707" i="40"/>
  <c r="D709" i="40" s="1"/>
  <c r="C707" i="40"/>
  <c r="C709" i="40" s="1"/>
  <c r="B707" i="40"/>
  <c r="B709" i="40" s="1"/>
  <c r="A707" i="40"/>
  <c r="I706" i="40"/>
  <c r="H706" i="40"/>
  <c r="F706" i="40"/>
  <c r="E706" i="40"/>
  <c r="G705" i="40"/>
  <c r="D705" i="40"/>
  <c r="C705" i="40"/>
  <c r="B705" i="40"/>
  <c r="A705" i="40" s="1"/>
  <c r="G704" i="40"/>
  <c r="G706" i="40" s="1"/>
  <c r="D704" i="40"/>
  <c r="C704" i="40"/>
  <c r="C706" i="40" s="1"/>
  <c r="B704" i="40"/>
  <c r="I703" i="40"/>
  <c r="H703" i="40"/>
  <c r="F703" i="40"/>
  <c r="E703" i="40"/>
  <c r="G702" i="40"/>
  <c r="D702" i="40"/>
  <c r="C702" i="40"/>
  <c r="B702" i="40"/>
  <c r="G701" i="40"/>
  <c r="G703" i="40" s="1"/>
  <c r="D701" i="40"/>
  <c r="D703" i="40" s="1"/>
  <c r="C701" i="40"/>
  <c r="C703" i="40" s="1"/>
  <c r="B701" i="40"/>
  <c r="B703" i="40" s="1"/>
  <c r="A701" i="40"/>
  <c r="I700" i="40"/>
  <c r="H700" i="40"/>
  <c r="F700" i="40"/>
  <c r="E700" i="40"/>
  <c r="G699" i="40"/>
  <c r="D699" i="40"/>
  <c r="C699" i="40"/>
  <c r="B699" i="40"/>
  <c r="A699" i="40" s="1"/>
  <c r="G698" i="40"/>
  <c r="G700" i="40" s="1"/>
  <c r="D698" i="40"/>
  <c r="C698" i="40"/>
  <c r="C700" i="40" s="1"/>
  <c r="B698" i="40"/>
  <c r="I697" i="40"/>
  <c r="I763" i="40" s="1"/>
  <c r="H697" i="40"/>
  <c r="F697" i="40"/>
  <c r="F763" i="40" s="1"/>
  <c r="E697" i="40"/>
  <c r="G696" i="40"/>
  <c r="G762" i="40" s="1"/>
  <c r="D696" i="40"/>
  <c r="C696" i="40"/>
  <c r="C762" i="40" s="1"/>
  <c r="B696" i="40"/>
  <c r="G695" i="40"/>
  <c r="G761" i="40" s="1"/>
  <c r="D695" i="40"/>
  <c r="D761" i="40" s="1"/>
  <c r="C695" i="40"/>
  <c r="C761" i="40" s="1"/>
  <c r="B695" i="40"/>
  <c r="B761" i="40" s="1"/>
  <c r="A695" i="40"/>
  <c r="I676" i="40"/>
  <c r="H676" i="40"/>
  <c r="F676" i="40"/>
  <c r="E676" i="40"/>
  <c r="F675" i="40"/>
  <c r="E675" i="40"/>
  <c r="I674" i="40"/>
  <c r="F674" i="40"/>
  <c r="E674" i="40"/>
  <c r="C674" i="40"/>
  <c r="G673" i="40"/>
  <c r="D673" i="40"/>
  <c r="C673" i="40"/>
  <c r="B673" i="40"/>
  <c r="A673" i="40" s="1"/>
  <c r="H672" i="40"/>
  <c r="H674" i="40" s="1"/>
  <c r="B674" i="40" s="1"/>
  <c r="D672" i="40"/>
  <c r="D674" i="40" s="1"/>
  <c r="C672" i="40"/>
  <c r="B672" i="40"/>
  <c r="A672" i="40" s="1"/>
  <c r="A674" i="40" s="1"/>
  <c r="I671" i="40"/>
  <c r="H671" i="40"/>
  <c r="F671" i="40"/>
  <c r="E671" i="40"/>
  <c r="B671" i="40" s="1"/>
  <c r="C671" i="40"/>
  <c r="G670" i="40"/>
  <c r="D670" i="40"/>
  <c r="C670" i="40"/>
  <c r="B670" i="40"/>
  <c r="G669" i="40"/>
  <c r="G671" i="40" s="1"/>
  <c r="D669" i="40"/>
  <c r="D671" i="40" s="1"/>
  <c r="C669" i="40"/>
  <c r="B669" i="40"/>
  <c r="A669" i="40"/>
  <c r="I668" i="40"/>
  <c r="F668" i="40"/>
  <c r="C668" i="40" s="1"/>
  <c r="E668" i="40"/>
  <c r="G667" i="40"/>
  <c r="D667" i="40"/>
  <c r="C667" i="40"/>
  <c r="B667" i="40"/>
  <c r="A667" i="40"/>
  <c r="H666" i="40"/>
  <c r="H668" i="40" s="1"/>
  <c r="B668" i="40" s="1"/>
  <c r="G666" i="40"/>
  <c r="G668" i="40" s="1"/>
  <c r="D666" i="40"/>
  <c r="D668" i="40" s="1"/>
  <c r="C666" i="40"/>
  <c r="B666" i="40"/>
  <c r="A666" i="40"/>
  <c r="A668" i="40" s="1"/>
  <c r="I665" i="40"/>
  <c r="F665" i="40"/>
  <c r="E665" i="40"/>
  <c r="C665" i="40"/>
  <c r="G664" i="40"/>
  <c r="D664" i="40"/>
  <c r="C664" i="40"/>
  <c r="B664" i="40"/>
  <c r="A664" i="40" s="1"/>
  <c r="H663" i="40"/>
  <c r="H675" i="40" s="1"/>
  <c r="D663" i="40"/>
  <c r="D665" i="40" s="1"/>
  <c r="C663" i="40"/>
  <c r="B663" i="40"/>
  <c r="A663" i="40" s="1"/>
  <c r="A665" i="40" s="1"/>
  <c r="H662" i="40"/>
  <c r="B662" i="40" s="1"/>
  <c r="F662" i="40"/>
  <c r="E662" i="40"/>
  <c r="G661" i="40"/>
  <c r="D661" i="40"/>
  <c r="C661" i="40"/>
  <c r="B661" i="40"/>
  <c r="A661" i="40"/>
  <c r="I660" i="40"/>
  <c r="I662" i="40" s="1"/>
  <c r="C662" i="40" s="1"/>
  <c r="G660" i="40"/>
  <c r="G662" i="40" s="1"/>
  <c r="D660" i="40"/>
  <c r="D662" i="40" s="1"/>
  <c r="C660" i="40"/>
  <c r="B660" i="40"/>
  <c r="A660" i="40"/>
  <c r="A662" i="40" s="1"/>
  <c r="H659" i="40"/>
  <c r="F659" i="40"/>
  <c r="F677" i="40" s="1"/>
  <c r="E659" i="40"/>
  <c r="B659" i="40"/>
  <c r="G658" i="40"/>
  <c r="D658" i="40"/>
  <c r="D676" i="40" s="1"/>
  <c r="C658" i="40"/>
  <c r="B658" i="40"/>
  <c r="B676" i="40" s="1"/>
  <c r="I657" i="40"/>
  <c r="I675" i="40" s="1"/>
  <c r="D657" i="40"/>
  <c r="D675" i="40" s="1"/>
  <c r="B657" i="40"/>
  <c r="B675" i="40" s="1"/>
  <c r="I651" i="40"/>
  <c r="H651" i="40"/>
  <c r="F651" i="40"/>
  <c r="E651" i="40"/>
  <c r="F650" i="40"/>
  <c r="E650" i="40"/>
  <c r="I649" i="40"/>
  <c r="F649" i="40"/>
  <c r="E649" i="40"/>
  <c r="G648" i="40"/>
  <c r="D648" i="40"/>
  <c r="C648" i="40"/>
  <c r="B648" i="40"/>
  <c r="A648" i="40" s="1"/>
  <c r="H647" i="40"/>
  <c r="H649" i="40" s="1"/>
  <c r="D647" i="40"/>
  <c r="D649" i="40" s="1"/>
  <c r="C647" i="40"/>
  <c r="C649" i="40" s="1"/>
  <c r="B647" i="40"/>
  <c r="B649" i="40" s="1"/>
  <c r="H646" i="40"/>
  <c r="F646" i="40"/>
  <c r="E646" i="40"/>
  <c r="G645" i="40"/>
  <c r="D645" i="40"/>
  <c r="C645" i="40"/>
  <c r="B645" i="40"/>
  <c r="I644" i="40"/>
  <c r="I646" i="40" s="1"/>
  <c r="D644" i="40"/>
  <c r="D646" i="40" s="1"/>
  <c r="B644" i="40"/>
  <c r="B646" i="40" s="1"/>
  <c r="I643" i="40"/>
  <c r="H643" i="40"/>
  <c r="F643" i="40"/>
  <c r="E643" i="40"/>
  <c r="G642" i="40"/>
  <c r="D642" i="40"/>
  <c r="C642" i="40"/>
  <c r="B642" i="40"/>
  <c r="A642" i="40" s="1"/>
  <c r="G641" i="40"/>
  <c r="G643" i="40" s="1"/>
  <c r="D641" i="40"/>
  <c r="D643" i="40" s="1"/>
  <c r="C641" i="40"/>
  <c r="C643" i="40" s="1"/>
  <c r="B641" i="40"/>
  <c r="B643" i="40" s="1"/>
  <c r="I640" i="40"/>
  <c r="I652" i="40" s="1"/>
  <c r="F640" i="40"/>
  <c r="E640" i="40"/>
  <c r="E652" i="40" s="1"/>
  <c r="G639" i="40"/>
  <c r="D639" i="40"/>
  <c r="D651" i="40" s="1"/>
  <c r="C639" i="40"/>
  <c r="B639" i="40"/>
  <c r="B651" i="40" s="1"/>
  <c r="H638" i="40"/>
  <c r="H650" i="40" s="1"/>
  <c r="D638" i="40"/>
  <c r="D650" i="40" s="1"/>
  <c r="C638" i="40"/>
  <c r="B638" i="40"/>
  <c r="B650" i="40" s="1"/>
  <c r="I632" i="40"/>
  <c r="H632" i="40"/>
  <c r="F632" i="40"/>
  <c r="E632" i="40"/>
  <c r="F631" i="40"/>
  <c r="E631" i="40"/>
  <c r="I630" i="40"/>
  <c r="F630" i="40"/>
  <c r="E630" i="40"/>
  <c r="G629" i="40"/>
  <c r="D629" i="40"/>
  <c r="C629" i="40"/>
  <c r="B629" i="40"/>
  <c r="A629" i="40" s="1"/>
  <c r="H628" i="40"/>
  <c r="H630" i="40" s="1"/>
  <c r="G628" i="40"/>
  <c r="G630" i="40" s="1"/>
  <c r="D628" i="40"/>
  <c r="C628" i="40"/>
  <c r="C630" i="40" s="1"/>
  <c r="B628" i="40"/>
  <c r="H627" i="40"/>
  <c r="F627" i="40"/>
  <c r="E627" i="40"/>
  <c r="G626" i="40"/>
  <c r="D626" i="40"/>
  <c r="C626" i="40"/>
  <c r="B626" i="40"/>
  <c r="A626" i="40" s="1"/>
  <c r="I625" i="40"/>
  <c r="I627" i="40" s="1"/>
  <c r="D625" i="40"/>
  <c r="D627" i="40" s="1"/>
  <c r="B625" i="40"/>
  <c r="I624" i="40"/>
  <c r="F624" i="40"/>
  <c r="E624" i="40"/>
  <c r="G623" i="40"/>
  <c r="D623" i="40"/>
  <c r="C623" i="40"/>
  <c r="B623" i="40"/>
  <c r="A623" i="40" s="1"/>
  <c r="H622" i="40"/>
  <c r="H624" i="40" s="1"/>
  <c r="D622" i="40"/>
  <c r="D624" i="40" s="1"/>
  <c r="C622" i="40"/>
  <c r="C624" i="40" s="1"/>
  <c r="B622" i="40"/>
  <c r="B624" i="40" s="1"/>
  <c r="I621" i="40"/>
  <c r="F621" i="40"/>
  <c r="E621" i="40"/>
  <c r="G620" i="40"/>
  <c r="D620" i="40"/>
  <c r="C620" i="40"/>
  <c r="B620" i="40"/>
  <c r="H619" i="40"/>
  <c r="H631" i="40" s="1"/>
  <c r="D619" i="40"/>
  <c r="D621" i="40" s="1"/>
  <c r="C619" i="40"/>
  <c r="C621" i="40" s="1"/>
  <c r="H618" i="40"/>
  <c r="F618" i="40"/>
  <c r="E618" i="40"/>
  <c r="E633" i="40" s="1"/>
  <c r="G617" i="40"/>
  <c r="D617" i="40"/>
  <c r="D632" i="40" s="1"/>
  <c r="C617" i="40"/>
  <c r="B617" i="40"/>
  <c r="B632" i="40" s="1"/>
  <c r="I616" i="40"/>
  <c r="I618" i="40" s="1"/>
  <c r="D616" i="40"/>
  <c r="D631" i="40" s="1"/>
  <c r="B616" i="40"/>
  <c r="I610" i="40"/>
  <c r="H610" i="40"/>
  <c r="F610" i="40"/>
  <c r="E610" i="40"/>
  <c r="F609" i="40"/>
  <c r="E609" i="40"/>
  <c r="H608" i="40"/>
  <c r="F608" i="40"/>
  <c r="E608" i="40"/>
  <c r="G607" i="40"/>
  <c r="D607" i="40"/>
  <c r="C607" i="40"/>
  <c r="B607" i="40"/>
  <c r="A607" i="40" s="1"/>
  <c r="I606" i="40"/>
  <c r="I609" i="40" s="1"/>
  <c r="D606" i="40"/>
  <c r="D608" i="40" s="1"/>
  <c r="B606" i="40"/>
  <c r="B608" i="40" s="1"/>
  <c r="I605" i="40"/>
  <c r="F605" i="40"/>
  <c r="E605" i="40"/>
  <c r="G604" i="40"/>
  <c r="D604" i="40"/>
  <c r="C604" i="40"/>
  <c r="B604" i="40"/>
  <c r="A604" i="40" s="1"/>
  <c r="H603" i="40"/>
  <c r="H605" i="40" s="1"/>
  <c r="D603" i="40"/>
  <c r="D605" i="40" s="1"/>
  <c r="C603" i="40"/>
  <c r="C605" i="40" s="1"/>
  <c r="B603" i="40"/>
  <c r="B605" i="40" s="1"/>
  <c r="I602" i="40"/>
  <c r="F602" i="40"/>
  <c r="E602" i="40"/>
  <c r="G601" i="40"/>
  <c r="D601" i="40"/>
  <c r="C601" i="40"/>
  <c r="B601" i="40"/>
  <c r="A601" i="40" s="1"/>
  <c r="H600" i="40"/>
  <c r="H602" i="40" s="1"/>
  <c r="D600" i="40"/>
  <c r="D602" i="40" s="1"/>
  <c r="C600" i="40"/>
  <c r="C602" i="40" s="1"/>
  <c r="B600" i="40"/>
  <c r="B602" i="40" s="1"/>
  <c r="I599" i="40"/>
  <c r="H599" i="40"/>
  <c r="F599" i="40"/>
  <c r="E599" i="40"/>
  <c r="G598" i="40"/>
  <c r="D598" i="40"/>
  <c r="C598" i="40"/>
  <c r="B598" i="40"/>
  <c r="A598" i="40"/>
  <c r="G597" i="40"/>
  <c r="D597" i="40"/>
  <c r="D599" i="40" s="1"/>
  <c r="C597" i="40"/>
  <c r="B597" i="40"/>
  <c r="B599" i="40" s="1"/>
  <c r="I596" i="40"/>
  <c r="H596" i="40"/>
  <c r="H611" i="40" s="1"/>
  <c r="F596" i="40"/>
  <c r="E596" i="40"/>
  <c r="E611" i="40" s="1"/>
  <c r="G595" i="40"/>
  <c r="D595" i="40"/>
  <c r="D610" i="40" s="1"/>
  <c r="C595" i="40"/>
  <c r="B595" i="40"/>
  <c r="B610" i="40" s="1"/>
  <c r="G594" i="40"/>
  <c r="D594" i="40"/>
  <c r="D609" i="40" s="1"/>
  <c r="C594" i="40"/>
  <c r="B594" i="40"/>
  <c r="B609" i="40" s="1"/>
  <c r="I588" i="40"/>
  <c r="H588" i="40"/>
  <c r="F588" i="40"/>
  <c r="E588" i="40"/>
  <c r="F587" i="40"/>
  <c r="E587" i="40"/>
  <c r="I586" i="40"/>
  <c r="F586" i="40"/>
  <c r="E586" i="40"/>
  <c r="G585" i="40"/>
  <c r="D585" i="40"/>
  <c r="C585" i="40"/>
  <c r="B585" i="40"/>
  <c r="A585" i="40" s="1"/>
  <c r="H584" i="40"/>
  <c r="H586" i="40" s="1"/>
  <c r="D584" i="40"/>
  <c r="D586" i="40" s="1"/>
  <c r="C584" i="40"/>
  <c r="C586" i="40" s="1"/>
  <c r="B584" i="40"/>
  <c r="B586" i="40" s="1"/>
  <c r="I583" i="40"/>
  <c r="H583" i="40"/>
  <c r="F583" i="40"/>
  <c r="E583" i="40"/>
  <c r="G582" i="40"/>
  <c r="D582" i="40"/>
  <c r="C582" i="40"/>
  <c r="B582" i="40"/>
  <c r="A582" i="40" s="1"/>
  <c r="G581" i="40"/>
  <c r="G583" i="40" s="1"/>
  <c r="D581" i="40"/>
  <c r="D583" i="40" s="1"/>
  <c r="C581" i="40"/>
  <c r="C583" i="40" s="1"/>
  <c r="B581" i="40"/>
  <c r="B583" i="40" s="1"/>
  <c r="I580" i="40"/>
  <c r="F580" i="40"/>
  <c r="E580" i="40"/>
  <c r="G579" i="40"/>
  <c r="D579" i="40"/>
  <c r="C579" i="40"/>
  <c r="B579" i="40"/>
  <c r="A579" i="40" s="1"/>
  <c r="H578" i="40"/>
  <c r="H580" i="40" s="1"/>
  <c r="D578" i="40"/>
  <c r="D580" i="40" s="1"/>
  <c r="C578" i="40"/>
  <c r="C580" i="40" s="1"/>
  <c r="B578" i="40"/>
  <c r="B580" i="40" s="1"/>
  <c r="I577" i="40"/>
  <c r="F577" i="40"/>
  <c r="E577" i="40"/>
  <c r="G576" i="40"/>
  <c r="D576" i="40"/>
  <c r="C576" i="40"/>
  <c r="B576" i="40"/>
  <c r="A576" i="40" s="1"/>
  <c r="H575" i="40"/>
  <c r="H587" i="40" s="1"/>
  <c r="D575" i="40"/>
  <c r="D577" i="40" s="1"/>
  <c r="C575" i="40"/>
  <c r="C577" i="40" s="1"/>
  <c r="B575" i="40"/>
  <c r="B577" i="40" s="1"/>
  <c r="I574" i="40"/>
  <c r="H574" i="40"/>
  <c r="F574" i="40"/>
  <c r="E574" i="40"/>
  <c r="G573" i="40"/>
  <c r="D573" i="40"/>
  <c r="C573" i="40"/>
  <c r="B573" i="40"/>
  <c r="A573" i="40"/>
  <c r="G572" i="40"/>
  <c r="D572" i="40"/>
  <c r="D574" i="40" s="1"/>
  <c r="C572" i="40"/>
  <c r="B572" i="40"/>
  <c r="B574" i="40" s="1"/>
  <c r="H571" i="40"/>
  <c r="F571" i="40"/>
  <c r="E571" i="40"/>
  <c r="G570" i="40"/>
  <c r="D570" i="40"/>
  <c r="C570" i="40"/>
  <c r="B570" i="40"/>
  <c r="I569" i="40"/>
  <c r="I571" i="40" s="1"/>
  <c r="D569" i="40"/>
  <c r="D571" i="40" s="1"/>
  <c r="C569" i="40"/>
  <c r="C571" i="40" s="1"/>
  <c r="B569" i="40"/>
  <c r="B571" i="40" s="1"/>
  <c r="I568" i="40"/>
  <c r="I589" i="40" s="1"/>
  <c r="H568" i="40"/>
  <c r="F568" i="40"/>
  <c r="F589" i="40" s="1"/>
  <c r="E568" i="40"/>
  <c r="G567" i="40"/>
  <c r="G588" i="40" s="1"/>
  <c r="D567" i="40"/>
  <c r="C567" i="40"/>
  <c r="C588" i="40" s="1"/>
  <c r="B567" i="40"/>
  <c r="G566" i="40"/>
  <c r="G568" i="40" s="1"/>
  <c r="D566" i="40"/>
  <c r="C566" i="40"/>
  <c r="C568" i="40" s="1"/>
  <c r="B566" i="40"/>
  <c r="A566" i="40"/>
  <c r="I561" i="40"/>
  <c r="H561" i="40"/>
  <c r="F561" i="40"/>
  <c r="E561" i="40"/>
  <c r="I560" i="40"/>
  <c r="H560" i="40"/>
  <c r="F560" i="40"/>
  <c r="E560" i="40"/>
  <c r="I559" i="40"/>
  <c r="H559" i="40"/>
  <c r="F559" i="40"/>
  <c r="E559" i="40"/>
  <c r="G558" i="40"/>
  <c r="G561" i="40" s="1"/>
  <c r="D558" i="40"/>
  <c r="D561" i="40" s="1"/>
  <c r="C558" i="40"/>
  <c r="C561" i="40" s="1"/>
  <c r="B558" i="40"/>
  <c r="B561" i="40" s="1"/>
  <c r="G557" i="40"/>
  <c r="G560" i="40" s="1"/>
  <c r="D557" i="40"/>
  <c r="D560" i="40" s="1"/>
  <c r="C557" i="40"/>
  <c r="C560" i="40" s="1"/>
  <c r="B557" i="40"/>
  <c r="B560" i="40" s="1"/>
  <c r="G556" i="40"/>
  <c r="G559" i="40" s="1"/>
  <c r="D556" i="40"/>
  <c r="D559" i="40" s="1"/>
  <c r="C556" i="40"/>
  <c r="C559" i="40" s="1"/>
  <c r="B556" i="40"/>
  <c r="B559" i="40" s="1"/>
  <c r="I550" i="40"/>
  <c r="H550" i="40"/>
  <c r="F550" i="40"/>
  <c r="E550" i="40"/>
  <c r="I549" i="40"/>
  <c r="F549" i="40"/>
  <c r="E549" i="40"/>
  <c r="I548" i="40"/>
  <c r="H548" i="40"/>
  <c r="F548" i="40"/>
  <c r="E548" i="40"/>
  <c r="G547" i="40"/>
  <c r="D547" i="40"/>
  <c r="C547" i="40"/>
  <c r="B547" i="40"/>
  <c r="A547" i="40" s="1"/>
  <c r="G546" i="40"/>
  <c r="G548" i="40" s="1"/>
  <c r="D546" i="40"/>
  <c r="D548" i="40" s="1"/>
  <c r="C546" i="40"/>
  <c r="C548" i="40" s="1"/>
  <c r="B546" i="40"/>
  <c r="B548" i="40" s="1"/>
  <c r="I545" i="40"/>
  <c r="F545" i="40"/>
  <c r="E545" i="40"/>
  <c r="D545" i="40"/>
  <c r="G544" i="40"/>
  <c r="D544" i="40"/>
  <c r="C544" i="40"/>
  <c r="B544" i="40"/>
  <c r="A544" i="40"/>
  <c r="H543" i="40"/>
  <c r="H545" i="40" s="1"/>
  <c r="G543" i="40"/>
  <c r="G545" i="40" s="1"/>
  <c r="D543" i="40"/>
  <c r="C543" i="40"/>
  <c r="C545" i="40" s="1"/>
  <c r="B543" i="40"/>
  <c r="B545" i="40" s="1"/>
  <c r="A543" i="40"/>
  <c r="A545" i="40" s="1"/>
  <c r="I542" i="40"/>
  <c r="H542" i="40"/>
  <c r="F542" i="40"/>
  <c r="E542" i="40"/>
  <c r="G541" i="40"/>
  <c r="D541" i="40"/>
  <c r="C541" i="40"/>
  <c r="B541" i="40"/>
  <c r="A541" i="40" s="1"/>
  <c r="G540" i="40"/>
  <c r="G542" i="40" s="1"/>
  <c r="D540" i="40"/>
  <c r="C540" i="40"/>
  <c r="C542" i="40" s="1"/>
  <c r="B540" i="40"/>
  <c r="I539" i="40"/>
  <c r="H539" i="40"/>
  <c r="F539" i="40"/>
  <c r="E539" i="40"/>
  <c r="G538" i="40"/>
  <c r="D538" i="40"/>
  <c r="C538" i="40"/>
  <c r="B538" i="40"/>
  <c r="G537" i="40"/>
  <c r="G539" i="40" s="1"/>
  <c r="D537" i="40"/>
  <c r="D539" i="40" s="1"/>
  <c r="C537" i="40"/>
  <c r="C539" i="40" s="1"/>
  <c r="B537" i="40"/>
  <c r="B539" i="40" s="1"/>
  <c r="A537" i="40"/>
  <c r="I536" i="40"/>
  <c r="H536" i="40"/>
  <c r="F536" i="40"/>
  <c r="E536" i="40"/>
  <c r="G535" i="40"/>
  <c r="D535" i="40"/>
  <c r="C535" i="40"/>
  <c r="B535" i="40"/>
  <c r="A535" i="40" s="1"/>
  <c r="G534" i="40"/>
  <c r="G536" i="40" s="1"/>
  <c r="D534" i="40"/>
  <c r="C534" i="40"/>
  <c r="C536" i="40" s="1"/>
  <c r="B534" i="40"/>
  <c r="I533" i="40"/>
  <c r="H533" i="40"/>
  <c r="F533" i="40"/>
  <c r="E533" i="40"/>
  <c r="G532" i="40"/>
  <c r="D532" i="40"/>
  <c r="C532" i="40"/>
  <c r="B532" i="40"/>
  <c r="G531" i="40"/>
  <c r="G533" i="40" s="1"/>
  <c r="D531" i="40"/>
  <c r="D533" i="40" s="1"/>
  <c r="C531" i="40"/>
  <c r="C533" i="40" s="1"/>
  <c r="B531" i="40"/>
  <c r="B533" i="40" s="1"/>
  <c r="A531" i="40"/>
  <c r="I530" i="40"/>
  <c r="F530" i="40"/>
  <c r="E530" i="40"/>
  <c r="G529" i="40"/>
  <c r="D529" i="40"/>
  <c r="C529" i="40"/>
  <c r="B529" i="40"/>
  <c r="B550" i="40" s="1"/>
  <c r="H528" i="40"/>
  <c r="H549" i="40" s="1"/>
  <c r="D528" i="40"/>
  <c r="D549" i="40" s="1"/>
  <c r="C528" i="40"/>
  <c r="B528" i="40"/>
  <c r="B549" i="40" s="1"/>
  <c r="I522" i="40"/>
  <c r="H522" i="40"/>
  <c r="F522" i="40"/>
  <c r="E522" i="40"/>
  <c r="F521" i="40"/>
  <c r="E521" i="40"/>
  <c r="I520" i="40"/>
  <c r="H520" i="40"/>
  <c r="F520" i="40"/>
  <c r="E520" i="40"/>
  <c r="G519" i="40"/>
  <c r="D519" i="40"/>
  <c r="C519" i="40"/>
  <c r="B519" i="40"/>
  <c r="G518" i="40"/>
  <c r="G520" i="40" s="1"/>
  <c r="D518" i="40"/>
  <c r="D520" i="40" s="1"/>
  <c r="C518" i="40"/>
  <c r="C520" i="40" s="1"/>
  <c r="B518" i="40"/>
  <c r="B520" i="40" s="1"/>
  <c r="A518" i="40"/>
  <c r="I517" i="40"/>
  <c r="H517" i="40"/>
  <c r="F517" i="40"/>
  <c r="E517" i="40"/>
  <c r="G516" i="40"/>
  <c r="D516" i="40"/>
  <c r="C516" i="40"/>
  <c r="B516" i="40"/>
  <c r="A516" i="40" s="1"/>
  <c r="G515" i="40"/>
  <c r="G517" i="40" s="1"/>
  <c r="D515" i="40"/>
  <c r="C515" i="40"/>
  <c r="C517" i="40" s="1"/>
  <c r="B515" i="40"/>
  <c r="I514" i="40"/>
  <c r="H514" i="40"/>
  <c r="F514" i="40"/>
  <c r="E514" i="40"/>
  <c r="G513" i="40"/>
  <c r="D513" i="40"/>
  <c r="C513" i="40"/>
  <c r="B513" i="40"/>
  <c r="G512" i="40"/>
  <c r="G514" i="40" s="1"/>
  <c r="D512" i="40"/>
  <c r="D514" i="40" s="1"/>
  <c r="C512" i="40"/>
  <c r="C514" i="40" s="1"/>
  <c r="B512" i="40"/>
  <c r="B514" i="40" s="1"/>
  <c r="A512" i="40"/>
  <c r="H511" i="40"/>
  <c r="F511" i="40"/>
  <c r="E511" i="40"/>
  <c r="G510" i="40"/>
  <c r="D510" i="40"/>
  <c r="C510" i="40"/>
  <c r="B510" i="40"/>
  <c r="A510" i="40"/>
  <c r="I509" i="40"/>
  <c r="I511" i="40" s="1"/>
  <c r="G509" i="40"/>
  <c r="G511" i="40" s="1"/>
  <c r="D509" i="40"/>
  <c r="D511" i="40" s="1"/>
  <c r="C509" i="40"/>
  <c r="C511" i="40" s="1"/>
  <c r="B509" i="40"/>
  <c r="B511" i="40" s="1"/>
  <c r="A509" i="40"/>
  <c r="A511" i="40" s="1"/>
  <c r="I508" i="40"/>
  <c r="H508" i="40"/>
  <c r="F508" i="40"/>
  <c r="E508" i="40"/>
  <c r="G507" i="40"/>
  <c r="D507" i="40"/>
  <c r="C507" i="40"/>
  <c r="B507" i="40"/>
  <c r="A507" i="40" s="1"/>
  <c r="G506" i="40"/>
  <c r="G508" i="40" s="1"/>
  <c r="D506" i="40"/>
  <c r="C506" i="40"/>
  <c r="C508" i="40" s="1"/>
  <c r="B506" i="40"/>
  <c r="I505" i="40"/>
  <c r="H505" i="40"/>
  <c r="F505" i="40"/>
  <c r="E505" i="40"/>
  <c r="G504" i="40"/>
  <c r="D504" i="40"/>
  <c r="C504" i="40"/>
  <c r="B504" i="40"/>
  <c r="G503" i="40"/>
  <c r="G505" i="40" s="1"/>
  <c r="D503" i="40"/>
  <c r="D505" i="40" s="1"/>
  <c r="C503" i="40"/>
  <c r="C505" i="40" s="1"/>
  <c r="B503" i="40"/>
  <c r="B505" i="40" s="1"/>
  <c r="A503" i="40"/>
  <c r="I502" i="40"/>
  <c r="H502" i="40"/>
  <c r="F502" i="40"/>
  <c r="E502" i="40"/>
  <c r="G501" i="40"/>
  <c r="D501" i="40"/>
  <c r="C501" i="40"/>
  <c r="B501" i="40"/>
  <c r="A501" i="40" s="1"/>
  <c r="G500" i="40"/>
  <c r="G502" i="40" s="1"/>
  <c r="D500" i="40"/>
  <c r="C500" i="40"/>
  <c r="C502" i="40" s="1"/>
  <c r="B500" i="40"/>
  <c r="H499" i="40"/>
  <c r="F499" i="40"/>
  <c r="E499" i="40"/>
  <c r="G498" i="40"/>
  <c r="D498" i="40"/>
  <c r="C498" i="40"/>
  <c r="B498" i="40"/>
  <c r="A498" i="40" s="1"/>
  <c r="I497" i="40"/>
  <c r="I499" i="40" s="1"/>
  <c r="D497" i="40"/>
  <c r="D499" i="40" s="1"/>
  <c r="B497" i="40"/>
  <c r="I496" i="40"/>
  <c r="H496" i="40"/>
  <c r="F496" i="40"/>
  <c r="E496" i="40"/>
  <c r="G495" i="40"/>
  <c r="D495" i="40"/>
  <c r="C495" i="40"/>
  <c r="B495" i="40"/>
  <c r="G494" i="40"/>
  <c r="G496" i="40" s="1"/>
  <c r="D494" i="40"/>
  <c r="D496" i="40" s="1"/>
  <c r="C494" i="40"/>
  <c r="C496" i="40" s="1"/>
  <c r="B494" i="40"/>
  <c r="B496" i="40" s="1"/>
  <c r="A494" i="40"/>
  <c r="I493" i="40"/>
  <c r="H493" i="40"/>
  <c r="F493" i="40"/>
  <c r="E493" i="40"/>
  <c r="G492" i="40"/>
  <c r="D492" i="40"/>
  <c r="C492" i="40"/>
  <c r="B492" i="40"/>
  <c r="A492" i="40" s="1"/>
  <c r="G491" i="40"/>
  <c r="G493" i="40" s="1"/>
  <c r="D491" i="40"/>
  <c r="C491" i="40"/>
  <c r="C493" i="40" s="1"/>
  <c r="B491" i="40"/>
  <c r="I490" i="40"/>
  <c r="F490" i="40"/>
  <c r="E490" i="40"/>
  <c r="G489" i="40"/>
  <c r="D489" i="40"/>
  <c r="C489" i="40"/>
  <c r="B489" i="40"/>
  <c r="A489" i="40" s="1"/>
  <c r="H488" i="40"/>
  <c r="H490" i="40" s="1"/>
  <c r="D488" i="40"/>
  <c r="D490" i="40" s="1"/>
  <c r="C488" i="40"/>
  <c r="C490" i="40" s="1"/>
  <c r="B488" i="40"/>
  <c r="B490" i="40" s="1"/>
  <c r="I487" i="40"/>
  <c r="H487" i="40"/>
  <c r="F487" i="40"/>
  <c r="E487" i="40"/>
  <c r="G486" i="40"/>
  <c r="D486" i="40"/>
  <c r="C486" i="40"/>
  <c r="B486" i="40"/>
  <c r="A486" i="40" s="1"/>
  <c r="G485" i="40"/>
  <c r="G487" i="40" s="1"/>
  <c r="D485" i="40"/>
  <c r="D487" i="40" s="1"/>
  <c r="C485" i="40"/>
  <c r="C487" i="40" s="1"/>
  <c r="B485" i="40"/>
  <c r="B487" i="40" s="1"/>
  <c r="F484" i="40"/>
  <c r="E484" i="40"/>
  <c r="G483" i="40"/>
  <c r="D483" i="40"/>
  <c r="C483" i="40"/>
  <c r="B483" i="40"/>
  <c r="A483" i="40"/>
  <c r="I482" i="40"/>
  <c r="I484" i="40" s="1"/>
  <c r="H482" i="40"/>
  <c r="H521" i="40" s="1"/>
  <c r="D482" i="40"/>
  <c r="D484" i="40" s="1"/>
  <c r="C482" i="40"/>
  <c r="C484" i="40" s="1"/>
  <c r="I481" i="40"/>
  <c r="H481" i="40"/>
  <c r="F481" i="40"/>
  <c r="E481" i="40"/>
  <c r="G480" i="40"/>
  <c r="D480" i="40"/>
  <c r="C480" i="40"/>
  <c r="B480" i="40"/>
  <c r="G479" i="40"/>
  <c r="G481" i="40" s="1"/>
  <c r="D479" i="40"/>
  <c r="D481" i="40" s="1"/>
  <c r="C479" i="40"/>
  <c r="C481" i="40" s="1"/>
  <c r="B479" i="40"/>
  <c r="B481" i="40" s="1"/>
  <c r="A479" i="40"/>
  <c r="I478" i="40"/>
  <c r="H478" i="40"/>
  <c r="F478" i="40"/>
  <c r="E478" i="40"/>
  <c r="G477" i="40"/>
  <c r="D477" i="40"/>
  <c r="C477" i="40"/>
  <c r="B477" i="40"/>
  <c r="A477" i="40" s="1"/>
  <c r="G476" i="40"/>
  <c r="G478" i="40" s="1"/>
  <c r="D476" i="40"/>
  <c r="C476" i="40"/>
  <c r="C478" i="40" s="1"/>
  <c r="B476" i="40"/>
  <c r="H475" i="40"/>
  <c r="F475" i="40"/>
  <c r="E475" i="40"/>
  <c r="G474" i="40"/>
  <c r="D474" i="40"/>
  <c r="C474" i="40"/>
  <c r="B474" i="40"/>
  <c r="A474" i="40" s="1"/>
  <c r="I473" i="40"/>
  <c r="I475" i="40" s="1"/>
  <c r="D473" i="40"/>
  <c r="D475" i="40" s="1"/>
  <c r="B473" i="40"/>
  <c r="H472" i="40"/>
  <c r="F472" i="40"/>
  <c r="E472" i="40"/>
  <c r="E523" i="40" s="1"/>
  <c r="G471" i="40"/>
  <c r="D471" i="40"/>
  <c r="D522" i="40" s="1"/>
  <c r="C471" i="40"/>
  <c r="B471" i="40"/>
  <c r="B522" i="40" s="1"/>
  <c r="I470" i="40"/>
  <c r="I472" i="40" s="1"/>
  <c r="D470" i="40"/>
  <c r="D521" i="40" s="1"/>
  <c r="B470" i="40"/>
  <c r="I464" i="40"/>
  <c r="H464" i="40"/>
  <c r="F464" i="40"/>
  <c r="E464" i="40"/>
  <c r="H463" i="40"/>
  <c r="F463" i="40"/>
  <c r="E463" i="40"/>
  <c r="I462" i="40"/>
  <c r="H462" i="40"/>
  <c r="F462" i="40"/>
  <c r="E462" i="40"/>
  <c r="G461" i="40"/>
  <c r="D461" i="40"/>
  <c r="C461" i="40"/>
  <c r="B461" i="40"/>
  <c r="A461" i="40" s="1"/>
  <c r="G460" i="40"/>
  <c r="G462" i="40" s="1"/>
  <c r="D460" i="40"/>
  <c r="D462" i="40" s="1"/>
  <c r="C460" i="40"/>
  <c r="C462" i="40" s="1"/>
  <c r="B460" i="40"/>
  <c r="I459" i="40"/>
  <c r="H459" i="40"/>
  <c r="F459" i="40"/>
  <c r="E459" i="40"/>
  <c r="G458" i="40"/>
  <c r="D458" i="40"/>
  <c r="C458" i="40"/>
  <c r="B458" i="40"/>
  <c r="A458" i="40"/>
  <c r="G457" i="40"/>
  <c r="D457" i="40"/>
  <c r="D459" i="40" s="1"/>
  <c r="C457" i="40"/>
  <c r="B457" i="40"/>
  <c r="A457" i="40" s="1"/>
  <c r="A459" i="40" s="1"/>
  <c r="H456" i="40"/>
  <c r="F456" i="40"/>
  <c r="E456" i="40"/>
  <c r="G455" i="40"/>
  <c r="D455" i="40"/>
  <c r="C455" i="40"/>
  <c r="B455" i="40"/>
  <c r="I454" i="40"/>
  <c r="G454" i="40" s="1"/>
  <c r="G456" i="40" s="1"/>
  <c r="D454" i="40"/>
  <c r="D456" i="40" s="1"/>
  <c r="B454" i="40"/>
  <c r="B456" i="40" s="1"/>
  <c r="I453" i="40"/>
  <c r="H453" i="40"/>
  <c r="F453" i="40"/>
  <c r="E453" i="40"/>
  <c r="G452" i="40"/>
  <c r="D452" i="40"/>
  <c r="C452" i="40"/>
  <c r="B452" i="40"/>
  <c r="A452" i="40" s="1"/>
  <c r="G451" i="40"/>
  <c r="G453" i="40" s="1"/>
  <c r="D451" i="40"/>
  <c r="D453" i="40" s="1"/>
  <c r="C451" i="40"/>
  <c r="C453" i="40" s="1"/>
  <c r="B451" i="40"/>
  <c r="I450" i="40"/>
  <c r="H450" i="40"/>
  <c r="F450" i="40"/>
  <c r="E450" i="40"/>
  <c r="G449" i="40"/>
  <c r="D449" i="40"/>
  <c r="C449" i="40"/>
  <c r="B449" i="40"/>
  <c r="A449" i="40"/>
  <c r="G448" i="40"/>
  <c r="D448" i="40"/>
  <c r="D450" i="40" s="1"/>
  <c r="C448" i="40"/>
  <c r="B448" i="40"/>
  <c r="A448" i="40" s="1"/>
  <c r="A450" i="40" s="1"/>
  <c r="I447" i="40"/>
  <c r="H447" i="40"/>
  <c r="F447" i="40"/>
  <c r="E447" i="40"/>
  <c r="G446" i="40"/>
  <c r="D446" i="40"/>
  <c r="C446" i="40"/>
  <c r="B446" i="40"/>
  <c r="A446" i="40" s="1"/>
  <c r="G445" i="40"/>
  <c r="G447" i="40" s="1"/>
  <c r="D445" i="40"/>
  <c r="D447" i="40" s="1"/>
  <c r="C445" i="40"/>
  <c r="C447" i="40" s="1"/>
  <c r="B445" i="40"/>
  <c r="I444" i="40"/>
  <c r="H444" i="40"/>
  <c r="F444" i="40"/>
  <c r="E444" i="40"/>
  <c r="G443" i="40"/>
  <c r="D443" i="40"/>
  <c r="C443" i="40"/>
  <c r="B443" i="40"/>
  <c r="A443" i="40"/>
  <c r="G442" i="40"/>
  <c r="D442" i="40"/>
  <c r="D444" i="40" s="1"/>
  <c r="C442" i="40"/>
  <c r="B442" i="40"/>
  <c r="A442" i="40" s="1"/>
  <c r="A444" i="40" s="1"/>
  <c r="I441" i="40"/>
  <c r="H441" i="40"/>
  <c r="F441" i="40"/>
  <c r="E441" i="40"/>
  <c r="G440" i="40"/>
  <c r="D440" i="40"/>
  <c r="C440" i="40"/>
  <c r="B440" i="40"/>
  <c r="A440" i="40" s="1"/>
  <c r="G439" i="40"/>
  <c r="G441" i="40" s="1"/>
  <c r="D439" i="40"/>
  <c r="D441" i="40" s="1"/>
  <c r="C439" i="40"/>
  <c r="C441" i="40" s="1"/>
  <c r="B439" i="40"/>
  <c r="I438" i="40"/>
  <c r="H438" i="40"/>
  <c r="F438" i="40"/>
  <c r="E438" i="40"/>
  <c r="G437" i="40"/>
  <c r="D437" i="40"/>
  <c r="C437" i="40"/>
  <c r="B437" i="40"/>
  <c r="A437" i="40"/>
  <c r="G436" i="40"/>
  <c r="D436" i="40"/>
  <c r="D438" i="40" s="1"/>
  <c r="C436" i="40"/>
  <c r="B436" i="40"/>
  <c r="A436" i="40" s="1"/>
  <c r="A438" i="40" s="1"/>
  <c r="H435" i="40"/>
  <c r="F435" i="40"/>
  <c r="E435" i="40"/>
  <c r="G434" i="40"/>
  <c r="D434" i="40"/>
  <c r="C434" i="40"/>
  <c r="B434" i="40"/>
  <c r="I433" i="40"/>
  <c r="G433" i="40" s="1"/>
  <c r="G435" i="40" s="1"/>
  <c r="D433" i="40"/>
  <c r="D435" i="40" s="1"/>
  <c r="B433" i="40"/>
  <c r="B435" i="40" s="1"/>
  <c r="I432" i="40"/>
  <c r="H432" i="40"/>
  <c r="F432" i="40"/>
  <c r="E432" i="40"/>
  <c r="G431" i="40"/>
  <c r="D431" i="40"/>
  <c r="C431" i="40"/>
  <c r="B431" i="40"/>
  <c r="A431" i="40" s="1"/>
  <c r="G430" i="40"/>
  <c r="G432" i="40" s="1"/>
  <c r="D430" i="40"/>
  <c r="D432" i="40" s="1"/>
  <c r="C430" i="40"/>
  <c r="C432" i="40" s="1"/>
  <c r="B430" i="40"/>
  <c r="I429" i="40"/>
  <c r="H429" i="40"/>
  <c r="F429" i="40"/>
  <c r="E429" i="40"/>
  <c r="G428" i="40"/>
  <c r="D428" i="40"/>
  <c r="C428" i="40"/>
  <c r="B428" i="40"/>
  <c r="A428" i="40"/>
  <c r="G427" i="40"/>
  <c r="D427" i="40"/>
  <c r="D429" i="40" s="1"/>
  <c r="C427" i="40"/>
  <c r="B427" i="40"/>
  <c r="A427" i="40" s="1"/>
  <c r="A429" i="40" s="1"/>
  <c r="I426" i="40"/>
  <c r="H426" i="40"/>
  <c r="F426" i="40"/>
  <c r="E426" i="40"/>
  <c r="G425" i="40"/>
  <c r="D425" i="40"/>
  <c r="C425" i="40"/>
  <c r="B425" i="40"/>
  <c r="A425" i="40" s="1"/>
  <c r="G424" i="40"/>
  <c r="G426" i="40" s="1"/>
  <c r="D424" i="40"/>
  <c r="D426" i="40" s="1"/>
  <c r="C424" i="40"/>
  <c r="C426" i="40" s="1"/>
  <c r="B424" i="40"/>
  <c r="B426" i="40" s="1"/>
  <c r="I423" i="40"/>
  <c r="H423" i="40"/>
  <c r="F423" i="40"/>
  <c r="E423" i="40"/>
  <c r="G422" i="40"/>
  <c r="D422" i="40"/>
  <c r="C422" i="40"/>
  <c r="B422" i="40"/>
  <c r="A422" i="40"/>
  <c r="G421" i="40"/>
  <c r="D421" i="40"/>
  <c r="D423" i="40" s="1"/>
  <c r="C421" i="40"/>
  <c r="B421" i="40"/>
  <c r="A421" i="40" s="1"/>
  <c r="A423" i="40" s="1"/>
  <c r="H420" i="40"/>
  <c r="F420" i="40"/>
  <c r="E420" i="40"/>
  <c r="G419" i="40"/>
  <c r="D419" i="40"/>
  <c r="C419" i="40"/>
  <c r="B419" i="40"/>
  <c r="I418" i="40"/>
  <c r="G418" i="40" s="1"/>
  <c r="G420" i="40" s="1"/>
  <c r="D418" i="40"/>
  <c r="D420" i="40" s="1"/>
  <c r="B418" i="40"/>
  <c r="B420" i="40" s="1"/>
  <c r="H417" i="40"/>
  <c r="F417" i="40"/>
  <c r="E417" i="40"/>
  <c r="G416" i="40"/>
  <c r="D416" i="40"/>
  <c r="C416" i="40"/>
  <c r="B416" i="40"/>
  <c r="I415" i="40"/>
  <c r="I417" i="40" s="1"/>
  <c r="D415" i="40"/>
  <c r="D417" i="40" s="1"/>
  <c r="B415" i="40"/>
  <c r="B417" i="40" s="1"/>
  <c r="H414" i="40"/>
  <c r="H465" i="40" s="1"/>
  <c r="F414" i="40"/>
  <c r="F465" i="40" s="1"/>
  <c r="E414" i="40"/>
  <c r="E465" i="40" s="1"/>
  <c r="G413" i="40"/>
  <c r="G464" i="40" s="1"/>
  <c r="D413" i="40"/>
  <c r="D464" i="40" s="1"/>
  <c r="C413" i="40"/>
  <c r="C464" i="40" s="1"/>
  <c r="B413" i="40"/>
  <c r="B464" i="40" s="1"/>
  <c r="I412" i="40"/>
  <c r="I463" i="40" s="1"/>
  <c r="D412" i="40"/>
  <c r="D414" i="40" s="1"/>
  <c r="D465" i="40" s="1"/>
  <c r="B412" i="40"/>
  <c r="B414" i="40" s="1"/>
  <c r="I406" i="40"/>
  <c r="H406" i="40"/>
  <c r="F406" i="40"/>
  <c r="E406" i="40"/>
  <c r="F405" i="40"/>
  <c r="E405" i="40"/>
  <c r="I404" i="40"/>
  <c r="H404" i="40"/>
  <c r="F404" i="40"/>
  <c r="E404" i="40"/>
  <c r="G403" i="40"/>
  <c r="D403" i="40"/>
  <c r="C403" i="40"/>
  <c r="B403" i="40"/>
  <c r="G402" i="40"/>
  <c r="G404" i="40" s="1"/>
  <c r="D402" i="40"/>
  <c r="D404" i="40" s="1"/>
  <c r="C402" i="40"/>
  <c r="C404" i="40" s="1"/>
  <c r="B402" i="40"/>
  <c r="B404" i="40" s="1"/>
  <c r="A402" i="40"/>
  <c r="I401" i="40"/>
  <c r="H401" i="40"/>
  <c r="F401" i="40"/>
  <c r="E401" i="40"/>
  <c r="G400" i="40"/>
  <c r="D400" i="40"/>
  <c r="C400" i="40"/>
  <c r="B400" i="40"/>
  <c r="A400" i="40" s="1"/>
  <c r="G399" i="40"/>
  <c r="G401" i="40" s="1"/>
  <c r="D399" i="40"/>
  <c r="C399" i="40"/>
  <c r="C401" i="40" s="1"/>
  <c r="B399" i="40"/>
  <c r="I398" i="40"/>
  <c r="H398" i="40"/>
  <c r="F398" i="40"/>
  <c r="E398" i="40"/>
  <c r="G397" i="40"/>
  <c r="D397" i="40"/>
  <c r="C397" i="40"/>
  <c r="B397" i="40"/>
  <c r="G396" i="40"/>
  <c r="G398" i="40" s="1"/>
  <c r="D396" i="40"/>
  <c r="D398" i="40" s="1"/>
  <c r="C396" i="40"/>
  <c r="C398" i="40" s="1"/>
  <c r="B396" i="40"/>
  <c r="B398" i="40" s="1"/>
  <c r="A396" i="40"/>
  <c r="I395" i="40"/>
  <c r="H395" i="40"/>
  <c r="F395" i="40"/>
  <c r="E395" i="40"/>
  <c r="G394" i="40"/>
  <c r="D394" i="40"/>
  <c r="C394" i="40"/>
  <c r="B394" i="40"/>
  <c r="A394" i="40" s="1"/>
  <c r="G393" i="40"/>
  <c r="G395" i="40" s="1"/>
  <c r="D393" i="40"/>
  <c r="C393" i="40"/>
  <c r="C395" i="40" s="1"/>
  <c r="B393" i="40"/>
  <c r="I392" i="40"/>
  <c r="H392" i="40"/>
  <c r="F392" i="40"/>
  <c r="E392" i="40"/>
  <c r="G391" i="40"/>
  <c r="D391" i="40"/>
  <c r="C391" i="40"/>
  <c r="B391" i="40"/>
  <c r="G390" i="40"/>
  <c r="G392" i="40" s="1"/>
  <c r="D390" i="40"/>
  <c r="D392" i="40" s="1"/>
  <c r="C390" i="40"/>
  <c r="C392" i="40" s="1"/>
  <c r="B390" i="40"/>
  <c r="B392" i="40" s="1"/>
  <c r="A390" i="40"/>
  <c r="I389" i="40"/>
  <c r="H389" i="40"/>
  <c r="F389" i="40"/>
  <c r="E389" i="40"/>
  <c r="G388" i="40"/>
  <c r="D388" i="40"/>
  <c r="C388" i="40"/>
  <c r="B388" i="40"/>
  <c r="A388" i="40" s="1"/>
  <c r="G387" i="40"/>
  <c r="G389" i="40" s="1"/>
  <c r="D387" i="40"/>
  <c r="C387" i="40"/>
  <c r="C389" i="40" s="1"/>
  <c r="B387" i="40"/>
  <c r="I386" i="40"/>
  <c r="H386" i="40"/>
  <c r="F386" i="40"/>
  <c r="E386" i="40"/>
  <c r="G385" i="40"/>
  <c r="D385" i="40"/>
  <c r="C385" i="40"/>
  <c r="B385" i="40"/>
  <c r="G384" i="40"/>
  <c r="G386" i="40" s="1"/>
  <c r="D384" i="40"/>
  <c r="D386" i="40" s="1"/>
  <c r="C384" i="40"/>
  <c r="C386" i="40" s="1"/>
  <c r="B384" i="40"/>
  <c r="B386" i="40" s="1"/>
  <c r="A384" i="40"/>
  <c r="I383" i="40"/>
  <c r="H383" i="40"/>
  <c r="F383" i="40"/>
  <c r="E383" i="40"/>
  <c r="G382" i="40"/>
  <c r="D382" i="40"/>
  <c r="C382" i="40"/>
  <c r="B382" i="40"/>
  <c r="A382" i="40" s="1"/>
  <c r="G381" i="40"/>
  <c r="G383" i="40" s="1"/>
  <c r="D381" i="40"/>
  <c r="D383" i="40" s="1"/>
  <c r="C381" i="40"/>
  <c r="C383" i="40" s="1"/>
  <c r="B381" i="40"/>
  <c r="B383" i="40" s="1"/>
  <c r="I380" i="40"/>
  <c r="F380" i="40"/>
  <c r="E380" i="40"/>
  <c r="G379" i="40"/>
  <c r="D379" i="40"/>
  <c r="C379" i="40"/>
  <c r="B379" i="40"/>
  <c r="A379" i="40" s="1"/>
  <c r="H378" i="40"/>
  <c r="H380" i="40" s="1"/>
  <c r="D378" i="40"/>
  <c r="D380" i="40" s="1"/>
  <c r="C378" i="40"/>
  <c r="C380" i="40" s="1"/>
  <c r="B378" i="40"/>
  <c r="B380" i="40" s="1"/>
  <c r="I377" i="40"/>
  <c r="F377" i="40"/>
  <c r="E377" i="40"/>
  <c r="G376" i="40"/>
  <c r="D376" i="40"/>
  <c r="C376" i="40"/>
  <c r="B376" i="40"/>
  <c r="A376" i="40" s="1"/>
  <c r="H375" i="40"/>
  <c r="H405" i="40" s="1"/>
  <c r="D375" i="40"/>
  <c r="D377" i="40" s="1"/>
  <c r="C375" i="40"/>
  <c r="C377" i="40" s="1"/>
  <c r="B375" i="40"/>
  <c r="B377" i="40" s="1"/>
  <c r="I374" i="40"/>
  <c r="H374" i="40"/>
  <c r="F374" i="40"/>
  <c r="E374" i="40"/>
  <c r="G373" i="40"/>
  <c r="D373" i="40"/>
  <c r="C373" i="40"/>
  <c r="B373" i="40"/>
  <c r="A373" i="40"/>
  <c r="G372" i="40"/>
  <c r="D372" i="40"/>
  <c r="D374" i="40" s="1"/>
  <c r="C372" i="40"/>
  <c r="B372" i="40"/>
  <c r="A372" i="40" s="1"/>
  <c r="A374" i="40" s="1"/>
  <c r="I371" i="40"/>
  <c r="H371" i="40"/>
  <c r="F371" i="40"/>
  <c r="E371" i="40"/>
  <c r="G370" i="40"/>
  <c r="D370" i="40"/>
  <c r="C370" i="40"/>
  <c r="B370" i="40"/>
  <c r="A370" i="40" s="1"/>
  <c r="G369" i="40"/>
  <c r="G371" i="40" s="1"/>
  <c r="D369" i="40"/>
  <c r="D371" i="40" s="1"/>
  <c r="C369" i="40"/>
  <c r="C371" i="40" s="1"/>
  <c r="B369" i="40"/>
  <c r="B371" i="40" s="1"/>
  <c r="I368" i="40"/>
  <c r="H368" i="40"/>
  <c r="F368" i="40"/>
  <c r="E368" i="40"/>
  <c r="G367" i="40"/>
  <c r="D367" i="40"/>
  <c r="C367" i="40"/>
  <c r="B367" i="40"/>
  <c r="A367" i="40"/>
  <c r="G366" i="40"/>
  <c r="D366" i="40"/>
  <c r="D368" i="40" s="1"/>
  <c r="C366" i="40"/>
  <c r="B366" i="40"/>
  <c r="A366" i="40" s="1"/>
  <c r="A368" i="40" s="1"/>
  <c r="I365" i="40"/>
  <c r="H365" i="40"/>
  <c r="F365" i="40"/>
  <c r="E365" i="40"/>
  <c r="G364" i="40"/>
  <c r="D364" i="40"/>
  <c r="C364" i="40"/>
  <c r="B364" i="40"/>
  <c r="A364" i="40" s="1"/>
  <c r="G363" i="40"/>
  <c r="G365" i="40" s="1"/>
  <c r="D363" i="40"/>
  <c r="D365" i="40" s="1"/>
  <c r="C363" i="40"/>
  <c r="C365" i="40" s="1"/>
  <c r="B363" i="40"/>
  <c r="B365" i="40" s="1"/>
  <c r="I362" i="40"/>
  <c r="H362" i="40"/>
  <c r="F362" i="40"/>
  <c r="E362" i="40"/>
  <c r="G361" i="40"/>
  <c r="D361" i="40"/>
  <c r="C361" i="40"/>
  <c r="B361" i="40"/>
  <c r="A361" i="40"/>
  <c r="G360" i="40"/>
  <c r="D360" i="40"/>
  <c r="D362" i="40" s="1"/>
  <c r="C360" i="40"/>
  <c r="B360" i="40"/>
  <c r="A360" i="40" s="1"/>
  <c r="A362" i="40" s="1"/>
  <c r="I359" i="40"/>
  <c r="H359" i="40"/>
  <c r="F359" i="40"/>
  <c r="E359" i="40"/>
  <c r="G358" i="40"/>
  <c r="D358" i="40"/>
  <c r="C358" i="40"/>
  <c r="B358" i="40"/>
  <c r="A358" i="40" s="1"/>
  <c r="G357" i="40"/>
  <c r="G359" i="40" s="1"/>
  <c r="D357" i="40"/>
  <c r="D359" i="40" s="1"/>
  <c r="C357" i="40"/>
  <c r="C359" i="40" s="1"/>
  <c r="B357" i="40"/>
  <c r="B359" i="40" s="1"/>
  <c r="I356" i="40"/>
  <c r="H356" i="40"/>
  <c r="F356" i="40"/>
  <c r="E356" i="40"/>
  <c r="G355" i="40"/>
  <c r="D355" i="40"/>
  <c r="C355" i="40"/>
  <c r="B355" i="40"/>
  <c r="A355" i="40"/>
  <c r="G354" i="40"/>
  <c r="D354" i="40"/>
  <c r="D356" i="40" s="1"/>
  <c r="C354" i="40"/>
  <c r="B354" i="40"/>
  <c r="A354" i="40" s="1"/>
  <c r="A356" i="40" s="1"/>
  <c r="I353" i="40"/>
  <c r="H353" i="40"/>
  <c r="F353" i="40"/>
  <c r="E353" i="40"/>
  <c r="G352" i="40"/>
  <c r="D352" i="40"/>
  <c r="C352" i="40"/>
  <c r="B352" i="40"/>
  <c r="A352" i="40" s="1"/>
  <c r="G351" i="40"/>
  <c r="G353" i="40" s="1"/>
  <c r="D351" i="40"/>
  <c r="D353" i="40" s="1"/>
  <c r="C351" i="40"/>
  <c r="C353" i="40" s="1"/>
  <c r="B351" i="40"/>
  <c r="B353" i="40" s="1"/>
  <c r="H350" i="40"/>
  <c r="F350" i="40"/>
  <c r="E350" i="40"/>
  <c r="G349" i="40"/>
  <c r="D349" i="40"/>
  <c r="C349" i="40"/>
  <c r="B349" i="40"/>
  <c r="A349" i="40" s="1"/>
  <c r="I348" i="40"/>
  <c r="I350" i="40" s="1"/>
  <c r="D348" i="40"/>
  <c r="D350" i="40" s="1"/>
  <c r="B348" i="40"/>
  <c r="B350" i="40" s="1"/>
  <c r="H347" i="40"/>
  <c r="F347" i="40"/>
  <c r="E347" i="40"/>
  <c r="G346" i="40"/>
  <c r="D346" i="40"/>
  <c r="C346" i="40"/>
  <c r="B346" i="40"/>
  <c r="A346" i="40" s="1"/>
  <c r="I345" i="40"/>
  <c r="I347" i="40" s="1"/>
  <c r="D345" i="40"/>
  <c r="D347" i="40" s="1"/>
  <c r="B345" i="40"/>
  <c r="B347" i="40" s="1"/>
  <c r="H344" i="40"/>
  <c r="F344" i="40"/>
  <c r="E344" i="40"/>
  <c r="G343" i="40"/>
  <c r="D343" i="40"/>
  <c r="C343" i="40"/>
  <c r="B343" i="40"/>
  <c r="A343" i="40" s="1"/>
  <c r="I342" i="40"/>
  <c r="I344" i="40" s="1"/>
  <c r="D342" i="40"/>
  <c r="D344" i="40" s="1"/>
  <c r="B342" i="40"/>
  <c r="B344" i="40" s="1"/>
  <c r="I341" i="40"/>
  <c r="I407" i="40" s="1"/>
  <c r="H341" i="40"/>
  <c r="F341" i="40"/>
  <c r="F407" i="40" s="1"/>
  <c r="E341" i="40"/>
  <c r="G340" i="40"/>
  <c r="G406" i="40" s="1"/>
  <c r="D340" i="40"/>
  <c r="C340" i="40"/>
  <c r="C406" i="40" s="1"/>
  <c r="B340" i="40"/>
  <c r="A340" i="40"/>
  <c r="G339" i="40"/>
  <c r="D339" i="40"/>
  <c r="D405" i="40" s="1"/>
  <c r="C339" i="40"/>
  <c r="B339" i="40"/>
  <c r="B405" i="40" s="1"/>
  <c r="I333" i="40"/>
  <c r="H333" i="40"/>
  <c r="F333" i="40"/>
  <c r="E333" i="40"/>
  <c r="I332" i="40"/>
  <c r="F332" i="40"/>
  <c r="E332" i="40"/>
  <c r="I331" i="40"/>
  <c r="H331" i="40"/>
  <c r="F331" i="40"/>
  <c r="E331" i="40"/>
  <c r="G330" i="40"/>
  <c r="D330" i="40"/>
  <c r="C330" i="40"/>
  <c r="B330" i="40"/>
  <c r="A330" i="40"/>
  <c r="G329" i="40"/>
  <c r="D329" i="40"/>
  <c r="D331" i="40" s="1"/>
  <c r="C329" i="40"/>
  <c r="B329" i="40"/>
  <c r="A329" i="40" s="1"/>
  <c r="A331" i="40" s="1"/>
  <c r="I328" i="40"/>
  <c r="H328" i="40"/>
  <c r="F328" i="40"/>
  <c r="E328" i="40"/>
  <c r="G327" i="40"/>
  <c r="D327" i="40"/>
  <c r="C327" i="40"/>
  <c r="B327" i="40"/>
  <c r="A327" i="40" s="1"/>
  <c r="G326" i="40"/>
  <c r="G328" i="40" s="1"/>
  <c r="D326" i="40"/>
  <c r="D328" i="40" s="1"/>
  <c r="C326" i="40"/>
  <c r="C328" i="40" s="1"/>
  <c r="B326" i="40"/>
  <c r="B328" i="40" s="1"/>
  <c r="I325" i="40"/>
  <c r="H325" i="40"/>
  <c r="F325" i="40"/>
  <c r="E325" i="40"/>
  <c r="G324" i="40"/>
  <c r="D324" i="40"/>
  <c r="C324" i="40"/>
  <c r="B324" i="40"/>
  <c r="A324" i="40"/>
  <c r="G323" i="40"/>
  <c r="D323" i="40"/>
  <c r="D325" i="40" s="1"/>
  <c r="C323" i="40"/>
  <c r="B323" i="40"/>
  <c r="A323" i="40" s="1"/>
  <c r="A325" i="40" s="1"/>
  <c r="I322" i="40"/>
  <c r="H322" i="40"/>
  <c r="F322" i="40"/>
  <c r="E322" i="40"/>
  <c r="G321" i="40"/>
  <c r="D321" i="40"/>
  <c r="C321" i="40"/>
  <c r="B321" i="40"/>
  <c r="A321" i="40" s="1"/>
  <c r="G320" i="40"/>
  <c r="G322" i="40" s="1"/>
  <c r="D320" i="40"/>
  <c r="D322" i="40" s="1"/>
  <c r="C320" i="40"/>
  <c r="C322" i="40" s="1"/>
  <c r="B320" i="40"/>
  <c r="B322" i="40" s="1"/>
  <c r="I319" i="40"/>
  <c r="F319" i="40"/>
  <c r="E319" i="40"/>
  <c r="G318" i="40"/>
  <c r="D318" i="40"/>
  <c r="C318" i="40"/>
  <c r="B318" i="40"/>
  <c r="A318" i="40" s="1"/>
  <c r="H317" i="40"/>
  <c r="H319" i="40" s="1"/>
  <c r="D317" i="40"/>
  <c r="D319" i="40" s="1"/>
  <c r="C317" i="40"/>
  <c r="C319" i="40" s="1"/>
  <c r="B317" i="40"/>
  <c r="B319" i="40" s="1"/>
  <c r="I316" i="40"/>
  <c r="H316" i="40"/>
  <c r="F316" i="40"/>
  <c r="E316" i="40"/>
  <c r="G315" i="40"/>
  <c r="D315" i="40"/>
  <c r="C315" i="40"/>
  <c r="B315" i="40"/>
  <c r="A315" i="40"/>
  <c r="G314" i="40"/>
  <c r="D314" i="40"/>
  <c r="D316" i="40" s="1"/>
  <c r="C314" i="40"/>
  <c r="B314" i="40"/>
  <c r="A314" i="40" s="1"/>
  <c r="A316" i="40" s="1"/>
  <c r="I313" i="40"/>
  <c r="H313" i="40"/>
  <c r="F313" i="40"/>
  <c r="E313" i="40"/>
  <c r="G312" i="40"/>
  <c r="D312" i="40"/>
  <c r="C312" i="40"/>
  <c r="B312" i="40"/>
  <c r="A312" i="40" s="1"/>
  <c r="G311" i="40"/>
  <c r="G313" i="40" s="1"/>
  <c r="D311" i="40"/>
  <c r="D313" i="40" s="1"/>
  <c r="C311" i="40"/>
  <c r="C313" i="40" s="1"/>
  <c r="B311" i="40"/>
  <c r="B313" i="40" s="1"/>
  <c r="I310" i="40"/>
  <c r="H310" i="40"/>
  <c r="F310" i="40"/>
  <c r="E310" i="40"/>
  <c r="G309" i="40"/>
  <c r="D309" i="40"/>
  <c r="C309" i="40"/>
  <c r="B309" i="40"/>
  <c r="A309" i="40"/>
  <c r="G308" i="40"/>
  <c r="D308" i="40"/>
  <c r="D310" i="40" s="1"/>
  <c r="C308" i="40"/>
  <c r="B308" i="40"/>
  <c r="A308" i="40" s="1"/>
  <c r="A310" i="40" s="1"/>
  <c r="I307" i="40"/>
  <c r="F307" i="40"/>
  <c r="E307" i="40"/>
  <c r="G306" i="40"/>
  <c r="D306" i="40"/>
  <c r="C306" i="40"/>
  <c r="B306" i="40"/>
  <c r="H305" i="40"/>
  <c r="H332" i="40" s="1"/>
  <c r="D305" i="40"/>
  <c r="D307" i="40" s="1"/>
  <c r="C305" i="40"/>
  <c r="C307" i="40" s="1"/>
  <c r="I304" i="40"/>
  <c r="H304" i="40"/>
  <c r="F304" i="40"/>
  <c r="E304" i="40"/>
  <c r="G303" i="40"/>
  <c r="D303" i="40"/>
  <c r="C303" i="40"/>
  <c r="B303" i="40"/>
  <c r="G302" i="40"/>
  <c r="G304" i="40" s="1"/>
  <c r="D302" i="40"/>
  <c r="D304" i="40" s="1"/>
  <c r="C302" i="40"/>
  <c r="C304" i="40" s="1"/>
  <c r="B302" i="40"/>
  <c r="B304" i="40" s="1"/>
  <c r="A302" i="40"/>
  <c r="I301" i="40"/>
  <c r="H301" i="40"/>
  <c r="F301" i="40"/>
  <c r="E301" i="40"/>
  <c r="G300" i="40"/>
  <c r="D300" i="40"/>
  <c r="C300" i="40"/>
  <c r="B300" i="40"/>
  <c r="A300" i="40" s="1"/>
  <c r="G299" i="40"/>
  <c r="G301" i="40" s="1"/>
  <c r="D299" i="40"/>
  <c r="C299" i="40"/>
  <c r="C301" i="40" s="1"/>
  <c r="B299" i="40"/>
  <c r="I298" i="40"/>
  <c r="H298" i="40"/>
  <c r="F298" i="40"/>
  <c r="E298" i="40"/>
  <c r="G297" i="40"/>
  <c r="D297" i="40"/>
  <c r="C297" i="40"/>
  <c r="B297" i="40"/>
  <c r="G296" i="40"/>
  <c r="G298" i="40" s="1"/>
  <c r="D296" i="40"/>
  <c r="D298" i="40" s="1"/>
  <c r="C296" i="40"/>
  <c r="C298" i="40" s="1"/>
  <c r="B296" i="40"/>
  <c r="B298" i="40" s="1"/>
  <c r="A296" i="40"/>
  <c r="I295" i="40"/>
  <c r="H295" i="40"/>
  <c r="F295" i="40"/>
  <c r="E295" i="40"/>
  <c r="G294" i="40"/>
  <c r="D294" i="40"/>
  <c r="C294" i="40"/>
  <c r="B294" i="40"/>
  <c r="A294" i="40" s="1"/>
  <c r="G293" i="40"/>
  <c r="G295" i="40" s="1"/>
  <c r="D293" i="40"/>
  <c r="C293" i="40"/>
  <c r="C295" i="40" s="1"/>
  <c r="B293" i="40"/>
  <c r="I292" i="40"/>
  <c r="H292" i="40"/>
  <c r="F292" i="40"/>
  <c r="E292" i="40"/>
  <c r="G291" i="40"/>
  <c r="D291" i="40"/>
  <c r="C291" i="40"/>
  <c r="B291" i="40"/>
  <c r="G290" i="40"/>
  <c r="G292" i="40" s="1"/>
  <c r="D290" i="40"/>
  <c r="D292" i="40" s="1"/>
  <c r="C290" i="40"/>
  <c r="C292" i="40" s="1"/>
  <c r="B290" i="40"/>
  <c r="B292" i="40" s="1"/>
  <c r="A290" i="40"/>
  <c r="I289" i="40"/>
  <c r="H289" i="40"/>
  <c r="F289" i="40"/>
  <c r="E289" i="40"/>
  <c r="G288" i="40"/>
  <c r="D288" i="40"/>
  <c r="C288" i="40"/>
  <c r="B288" i="40"/>
  <c r="A288" i="40" s="1"/>
  <c r="G287" i="40"/>
  <c r="G289" i="40" s="1"/>
  <c r="D287" i="40"/>
  <c r="C287" i="40"/>
  <c r="C289" i="40" s="1"/>
  <c r="B287" i="40"/>
  <c r="I286" i="40"/>
  <c r="H286" i="40"/>
  <c r="F286" i="40"/>
  <c r="E286" i="40"/>
  <c r="G285" i="40"/>
  <c r="D285" i="40"/>
  <c r="C285" i="40"/>
  <c r="B285" i="40"/>
  <c r="G284" i="40"/>
  <c r="G286" i="40" s="1"/>
  <c r="D284" i="40"/>
  <c r="D286" i="40" s="1"/>
  <c r="C284" i="40"/>
  <c r="C286" i="40" s="1"/>
  <c r="B284" i="40"/>
  <c r="B286" i="40" s="1"/>
  <c r="A284" i="40"/>
  <c r="I283" i="40"/>
  <c r="H283" i="40"/>
  <c r="F283" i="40"/>
  <c r="E283" i="40"/>
  <c r="G282" i="40"/>
  <c r="D282" i="40"/>
  <c r="C282" i="40"/>
  <c r="B282" i="40"/>
  <c r="A282" i="40" s="1"/>
  <c r="G281" i="40"/>
  <c r="G283" i="40" s="1"/>
  <c r="D281" i="40"/>
  <c r="C281" i="40"/>
  <c r="C283" i="40" s="1"/>
  <c r="B281" i="40"/>
  <c r="I280" i="40"/>
  <c r="H280" i="40"/>
  <c r="F280" i="40"/>
  <c r="E280" i="40"/>
  <c r="G279" i="40"/>
  <c r="D279" i="40"/>
  <c r="C279" i="40"/>
  <c r="B279" i="40"/>
  <c r="G278" i="40"/>
  <c r="G280" i="40" s="1"/>
  <c r="D278" i="40"/>
  <c r="D280" i="40" s="1"/>
  <c r="C278" i="40"/>
  <c r="C280" i="40" s="1"/>
  <c r="B278" i="40"/>
  <c r="B280" i="40" s="1"/>
  <c r="A278" i="40"/>
  <c r="I277" i="40"/>
  <c r="H277" i="40"/>
  <c r="F277" i="40"/>
  <c r="E277" i="40"/>
  <c r="G276" i="40"/>
  <c r="D276" i="40"/>
  <c r="C276" i="40"/>
  <c r="B276" i="40"/>
  <c r="A276" i="40" s="1"/>
  <c r="G275" i="40"/>
  <c r="G277" i="40" s="1"/>
  <c r="D275" i="40"/>
  <c r="C275" i="40"/>
  <c r="C277" i="40" s="1"/>
  <c r="B275" i="40"/>
  <c r="I274" i="40"/>
  <c r="I334" i="40" s="1"/>
  <c r="H274" i="40"/>
  <c r="F274" i="40"/>
  <c r="F334" i="40" s="1"/>
  <c r="E274" i="40"/>
  <c r="G273" i="40"/>
  <c r="G333" i="40" s="1"/>
  <c r="D273" i="40"/>
  <c r="C273" i="40"/>
  <c r="C333" i="40" s="1"/>
  <c r="B273" i="40"/>
  <c r="G272" i="40"/>
  <c r="D272" i="40"/>
  <c r="D332" i="40" s="1"/>
  <c r="C272" i="40"/>
  <c r="C332" i="40" s="1"/>
  <c r="B272" i="40"/>
  <c r="A272" i="40"/>
  <c r="I266" i="40"/>
  <c r="H266" i="40"/>
  <c r="F266" i="40"/>
  <c r="E266" i="40"/>
  <c r="I265" i="40"/>
  <c r="H265" i="40"/>
  <c r="F265" i="40"/>
  <c r="E265" i="40"/>
  <c r="I264" i="40"/>
  <c r="H264" i="40"/>
  <c r="F264" i="40"/>
  <c r="E264" i="40"/>
  <c r="G263" i="40"/>
  <c r="D263" i="40"/>
  <c r="C263" i="40"/>
  <c r="B263" i="40"/>
  <c r="A263" i="40" s="1"/>
  <c r="G262" i="40"/>
  <c r="G264" i="40" s="1"/>
  <c r="D262" i="40"/>
  <c r="D264" i="40" s="1"/>
  <c r="C262" i="40"/>
  <c r="C264" i="40" s="1"/>
  <c r="B262" i="40"/>
  <c r="B264" i="40" s="1"/>
  <c r="I261" i="40"/>
  <c r="H261" i="40"/>
  <c r="F261" i="40"/>
  <c r="E261" i="40"/>
  <c r="G260" i="40"/>
  <c r="D260" i="40"/>
  <c r="C260" i="40"/>
  <c r="B260" i="40"/>
  <c r="A260" i="40"/>
  <c r="G259" i="40"/>
  <c r="D259" i="40"/>
  <c r="D261" i="40" s="1"/>
  <c r="C259" i="40"/>
  <c r="B259" i="40"/>
  <c r="A259" i="40" s="1"/>
  <c r="A261" i="40" s="1"/>
  <c r="I258" i="40"/>
  <c r="H258" i="40"/>
  <c r="F258" i="40"/>
  <c r="E258" i="40"/>
  <c r="G257" i="40"/>
  <c r="D257" i="40"/>
  <c r="C257" i="40"/>
  <c r="B257" i="40"/>
  <c r="A257" i="40" s="1"/>
  <c r="G256" i="40"/>
  <c r="G258" i="40" s="1"/>
  <c r="D256" i="40"/>
  <c r="D258" i="40" s="1"/>
  <c r="C256" i="40"/>
  <c r="C258" i="40" s="1"/>
  <c r="B256" i="40"/>
  <c r="B258" i="40" s="1"/>
  <c r="I255" i="40"/>
  <c r="H255" i="40"/>
  <c r="F255" i="40"/>
  <c r="E255" i="40"/>
  <c r="G254" i="40"/>
  <c r="D254" i="40"/>
  <c r="C254" i="40"/>
  <c r="B254" i="40"/>
  <c r="A254" i="40"/>
  <c r="G253" i="40"/>
  <c r="D253" i="40"/>
  <c r="D255" i="40" s="1"/>
  <c r="C253" i="40"/>
  <c r="B253" i="40"/>
  <c r="A253" i="40" s="1"/>
  <c r="A255" i="40" s="1"/>
  <c r="I252" i="40"/>
  <c r="H252" i="40"/>
  <c r="F252" i="40"/>
  <c r="E252" i="40"/>
  <c r="G251" i="40"/>
  <c r="D251" i="40"/>
  <c r="C251" i="40"/>
  <c r="B251" i="40"/>
  <c r="A251" i="40" s="1"/>
  <c r="G250" i="40"/>
  <c r="G252" i="40" s="1"/>
  <c r="D250" i="40"/>
  <c r="D252" i="40" s="1"/>
  <c r="C250" i="40"/>
  <c r="C252" i="40" s="1"/>
  <c r="B250" i="40"/>
  <c r="B252" i="40" s="1"/>
  <c r="I249" i="40"/>
  <c r="I267" i="40" s="1"/>
  <c r="H249" i="40"/>
  <c r="F249" i="40"/>
  <c r="F267" i="40" s="1"/>
  <c r="E249" i="40"/>
  <c r="G248" i="40"/>
  <c r="G266" i="40" s="1"/>
  <c r="D248" i="40"/>
  <c r="C248" i="40"/>
  <c r="C266" i="40" s="1"/>
  <c r="B248" i="40"/>
  <c r="A248" i="40"/>
  <c r="A266" i="40" s="1"/>
  <c r="G247" i="40"/>
  <c r="G265" i="40" s="1"/>
  <c r="D247" i="40"/>
  <c r="D265" i="40" s="1"/>
  <c r="C247" i="40"/>
  <c r="C265" i="40" s="1"/>
  <c r="B247" i="40"/>
  <c r="A247" i="40" s="1"/>
  <c r="H241" i="40"/>
  <c r="F241" i="40"/>
  <c r="E241" i="40"/>
  <c r="F240" i="40"/>
  <c r="E240" i="40"/>
  <c r="I239" i="40"/>
  <c r="H239" i="40"/>
  <c r="F239" i="40"/>
  <c r="E239" i="40"/>
  <c r="G238" i="40"/>
  <c r="D238" i="40"/>
  <c r="C238" i="40"/>
  <c r="B238" i="40"/>
  <c r="A238" i="40"/>
  <c r="G237" i="40"/>
  <c r="D237" i="40"/>
  <c r="D239" i="40" s="1"/>
  <c r="C237" i="40"/>
  <c r="B237" i="40"/>
  <c r="A237" i="40" s="1"/>
  <c r="A239" i="40" s="1"/>
  <c r="I236" i="40"/>
  <c r="F236" i="40"/>
  <c r="E236" i="40"/>
  <c r="G235" i="40"/>
  <c r="D235" i="40"/>
  <c r="C235" i="40"/>
  <c r="B235" i="40"/>
  <c r="H234" i="40"/>
  <c r="H236" i="40" s="1"/>
  <c r="D234" i="40"/>
  <c r="D236" i="40" s="1"/>
  <c r="C234" i="40"/>
  <c r="C236" i="40" s="1"/>
  <c r="I233" i="40"/>
  <c r="H233" i="40"/>
  <c r="F233" i="40"/>
  <c r="E233" i="40"/>
  <c r="G232" i="40"/>
  <c r="D232" i="40"/>
  <c r="C232" i="40"/>
  <c r="B232" i="40"/>
  <c r="G231" i="40"/>
  <c r="G233" i="40" s="1"/>
  <c r="D231" i="40"/>
  <c r="D233" i="40" s="1"/>
  <c r="C231" i="40"/>
  <c r="C233" i="40" s="1"/>
  <c r="B231" i="40"/>
  <c r="B233" i="40" s="1"/>
  <c r="A231" i="40"/>
  <c r="I230" i="40"/>
  <c r="H230" i="40"/>
  <c r="F230" i="40"/>
  <c r="E230" i="40"/>
  <c r="G229" i="40"/>
  <c r="D229" i="40"/>
  <c r="C229" i="40"/>
  <c r="B229" i="40"/>
  <c r="A229" i="40" s="1"/>
  <c r="G228" i="40"/>
  <c r="G230" i="40" s="1"/>
  <c r="D228" i="40"/>
  <c r="C228" i="40"/>
  <c r="C230" i="40" s="1"/>
  <c r="B228" i="40"/>
  <c r="I227" i="40"/>
  <c r="H227" i="40"/>
  <c r="F227" i="40"/>
  <c r="E227" i="40"/>
  <c r="G226" i="40"/>
  <c r="D226" i="40"/>
  <c r="C226" i="40"/>
  <c r="B226" i="40"/>
  <c r="G225" i="40"/>
  <c r="G227" i="40" s="1"/>
  <c r="D225" i="40"/>
  <c r="D227" i="40" s="1"/>
  <c r="C225" i="40"/>
  <c r="C227" i="40" s="1"/>
  <c r="B225" i="40"/>
  <c r="B227" i="40" s="1"/>
  <c r="A225" i="40"/>
  <c r="I224" i="40"/>
  <c r="H224" i="40"/>
  <c r="F224" i="40"/>
  <c r="E224" i="40"/>
  <c r="G223" i="40"/>
  <c r="D223" i="40"/>
  <c r="C223" i="40"/>
  <c r="B223" i="40"/>
  <c r="A223" i="40" s="1"/>
  <c r="G222" i="40"/>
  <c r="G224" i="40" s="1"/>
  <c r="D222" i="40"/>
  <c r="C222" i="40"/>
  <c r="C224" i="40" s="1"/>
  <c r="B222" i="40"/>
  <c r="H221" i="40"/>
  <c r="F221" i="40"/>
  <c r="E221" i="40"/>
  <c r="I220" i="40"/>
  <c r="I241" i="40" s="1"/>
  <c r="G220" i="40"/>
  <c r="D220" i="40"/>
  <c r="C220" i="40"/>
  <c r="B220" i="40"/>
  <c r="A220" i="40"/>
  <c r="G219" i="40"/>
  <c r="D219" i="40"/>
  <c r="D221" i="40" s="1"/>
  <c r="C219" i="40"/>
  <c r="B219" i="40"/>
  <c r="B221" i="40" s="1"/>
  <c r="I218" i="40"/>
  <c r="H218" i="40"/>
  <c r="F218" i="40"/>
  <c r="E218" i="40"/>
  <c r="G217" i="40"/>
  <c r="D217" i="40"/>
  <c r="C217" i="40"/>
  <c r="B217" i="40"/>
  <c r="A217" i="40" s="1"/>
  <c r="G216" i="40"/>
  <c r="G218" i="40" s="1"/>
  <c r="D216" i="40"/>
  <c r="D218" i="40" s="1"/>
  <c r="C216" i="40"/>
  <c r="C218" i="40" s="1"/>
  <c r="B216" i="40"/>
  <c r="B218" i="40" s="1"/>
  <c r="I215" i="40"/>
  <c r="H215" i="40"/>
  <c r="F215" i="40"/>
  <c r="E215" i="40"/>
  <c r="G214" i="40"/>
  <c r="D214" i="40"/>
  <c r="C214" i="40"/>
  <c r="B214" i="40"/>
  <c r="A214" i="40"/>
  <c r="G213" i="40"/>
  <c r="D213" i="40"/>
  <c r="D215" i="40" s="1"/>
  <c r="C213" i="40"/>
  <c r="B213" i="40"/>
  <c r="A213" i="40" s="1"/>
  <c r="A215" i="40" s="1"/>
  <c r="I212" i="40"/>
  <c r="H212" i="40"/>
  <c r="F212" i="40"/>
  <c r="E212" i="40"/>
  <c r="G211" i="40"/>
  <c r="D211" i="40"/>
  <c r="C211" i="40"/>
  <c r="B211" i="40"/>
  <c r="A211" i="40" s="1"/>
  <c r="G210" i="40"/>
  <c r="G212" i="40" s="1"/>
  <c r="D210" i="40"/>
  <c r="D212" i="40" s="1"/>
  <c r="C210" i="40"/>
  <c r="C212" i="40" s="1"/>
  <c r="B210" i="40"/>
  <c r="B212" i="40" s="1"/>
  <c r="I209" i="40"/>
  <c r="H209" i="40"/>
  <c r="F209" i="40"/>
  <c r="E209" i="40"/>
  <c r="G208" i="40"/>
  <c r="D208" i="40"/>
  <c r="C208" i="40"/>
  <c r="B208" i="40"/>
  <c r="A208" i="40"/>
  <c r="G207" i="40"/>
  <c r="D207" i="40"/>
  <c r="D209" i="40" s="1"/>
  <c r="C207" i="40"/>
  <c r="B207" i="40"/>
  <c r="A207" i="40" s="1"/>
  <c r="A209" i="40" s="1"/>
  <c r="I206" i="40"/>
  <c r="H206" i="40"/>
  <c r="F206" i="40"/>
  <c r="E206" i="40"/>
  <c r="G205" i="40"/>
  <c r="D205" i="40"/>
  <c r="C205" i="40"/>
  <c r="B205" i="40"/>
  <c r="A205" i="40" s="1"/>
  <c r="G204" i="40"/>
  <c r="G206" i="40" s="1"/>
  <c r="D204" i="40"/>
  <c r="D206" i="40" s="1"/>
  <c r="C204" i="40"/>
  <c r="C206" i="40" s="1"/>
  <c r="B204" i="40"/>
  <c r="B206" i="40" s="1"/>
  <c r="I203" i="40"/>
  <c r="H203" i="40"/>
  <c r="F203" i="40"/>
  <c r="E203" i="40"/>
  <c r="G202" i="40"/>
  <c r="D202" i="40"/>
  <c r="C202" i="40"/>
  <c r="B202" i="40"/>
  <c r="A202" i="40"/>
  <c r="G201" i="40"/>
  <c r="D201" i="40"/>
  <c r="D203" i="40" s="1"/>
  <c r="C201" i="40"/>
  <c r="B201" i="40"/>
  <c r="A201" i="40" s="1"/>
  <c r="A203" i="40" s="1"/>
  <c r="I200" i="40"/>
  <c r="H200" i="40"/>
  <c r="F200" i="40"/>
  <c r="E200" i="40"/>
  <c r="G199" i="40"/>
  <c r="D199" i="40"/>
  <c r="C199" i="40"/>
  <c r="B199" i="40"/>
  <c r="A199" i="40" s="1"/>
  <c r="G198" i="40"/>
  <c r="G200" i="40" s="1"/>
  <c r="D198" i="40"/>
  <c r="D200" i="40" s="1"/>
  <c r="C198" i="40"/>
  <c r="C200" i="40" s="1"/>
  <c r="B198" i="40"/>
  <c r="B200" i="40" s="1"/>
  <c r="H197" i="40"/>
  <c r="F197" i="40"/>
  <c r="E197" i="40"/>
  <c r="G196" i="40"/>
  <c r="D196" i="40"/>
  <c r="C196" i="40"/>
  <c r="B196" i="40"/>
  <c r="A196" i="40" s="1"/>
  <c r="I195" i="40"/>
  <c r="I197" i="40" s="1"/>
  <c r="D195" i="40"/>
  <c r="D197" i="40" s="1"/>
  <c r="B195" i="40"/>
  <c r="B197" i="40" s="1"/>
  <c r="I194" i="40"/>
  <c r="H194" i="40"/>
  <c r="F194" i="40"/>
  <c r="E194" i="40"/>
  <c r="G193" i="40"/>
  <c r="D193" i="40"/>
  <c r="C193" i="40"/>
  <c r="B193" i="40"/>
  <c r="A193" i="40"/>
  <c r="G192" i="40"/>
  <c r="D192" i="40"/>
  <c r="D194" i="40" s="1"/>
  <c r="C192" i="40"/>
  <c r="B192" i="40"/>
  <c r="A192" i="40" s="1"/>
  <c r="A194" i="40" s="1"/>
  <c r="I191" i="40"/>
  <c r="H191" i="40"/>
  <c r="F191" i="40"/>
  <c r="E191" i="40"/>
  <c r="G190" i="40"/>
  <c r="D190" i="40"/>
  <c r="C190" i="40"/>
  <c r="B190" i="40"/>
  <c r="A190" i="40" s="1"/>
  <c r="G189" i="40"/>
  <c r="G191" i="40" s="1"/>
  <c r="D189" i="40"/>
  <c r="D191" i="40" s="1"/>
  <c r="C189" i="40"/>
  <c r="C191" i="40" s="1"/>
  <c r="B189" i="40"/>
  <c r="B191" i="40" s="1"/>
  <c r="I188" i="40"/>
  <c r="H188" i="40"/>
  <c r="F188" i="40"/>
  <c r="E188" i="40"/>
  <c r="G187" i="40"/>
  <c r="D187" i="40"/>
  <c r="C187" i="40"/>
  <c r="B187" i="40"/>
  <c r="A187" i="40"/>
  <c r="G186" i="40"/>
  <c r="D186" i="40"/>
  <c r="D188" i="40" s="1"/>
  <c r="C186" i="40"/>
  <c r="B186" i="40"/>
  <c r="A186" i="40" s="1"/>
  <c r="A188" i="40" s="1"/>
  <c r="H185" i="40"/>
  <c r="F185" i="40"/>
  <c r="E185" i="40"/>
  <c r="G184" i="40"/>
  <c r="D184" i="40"/>
  <c r="C184" i="40"/>
  <c r="B184" i="40"/>
  <c r="I183" i="40"/>
  <c r="G183" i="40" s="1"/>
  <c r="G185" i="40" s="1"/>
  <c r="D183" i="40"/>
  <c r="D185" i="40" s="1"/>
  <c r="B183" i="40"/>
  <c r="B185" i="40" s="1"/>
  <c r="F182" i="40"/>
  <c r="E182" i="40"/>
  <c r="E242" i="40" s="1"/>
  <c r="G181" i="40"/>
  <c r="D181" i="40"/>
  <c r="D241" i="40" s="1"/>
  <c r="C181" i="40"/>
  <c r="B181" i="40"/>
  <c r="A181" i="40" s="1"/>
  <c r="I180" i="40"/>
  <c r="H180" i="40"/>
  <c r="H240" i="40" s="1"/>
  <c r="D180" i="40"/>
  <c r="D240" i="40" s="1"/>
  <c r="C180" i="40"/>
  <c r="B180" i="40"/>
  <c r="A180" i="40" s="1"/>
  <c r="I174" i="40"/>
  <c r="H174" i="40"/>
  <c r="F174" i="40"/>
  <c r="E174" i="40"/>
  <c r="H173" i="40"/>
  <c r="F173" i="40"/>
  <c r="E173" i="40"/>
  <c r="I172" i="40"/>
  <c r="H172" i="40"/>
  <c r="F172" i="40"/>
  <c r="E172" i="40"/>
  <c r="B172" i="40" s="1"/>
  <c r="C172" i="40"/>
  <c r="G171" i="40"/>
  <c r="D171" i="40"/>
  <c r="C171" i="40"/>
  <c r="B171" i="40"/>
  <c r="G170" i="40"/>
  <c r="G172" i="40" s="1"/>
  <c r="D170" i="40"/>
  <c r="D172" i="40" s="1"/>
  <c r="C170" i="40"/>
  <c r="B170" i="40"/>
  <c r="A170" i="40"/>
  <c r="I169" i="40"/>
  <c r="H169" i="40"/>
  <c r="F169" i="40"/>
  <c r="C169" i="40" s="1"/>
  <c r="E169" i="40"/>
  <c r="G168" i="40"/>
  <c r="D168" i="40"/>
  <c r="C168" i="40"/>
  <c r="B168" i="40"/>
  <c r="A168" i="40"/>
  <c r="G167" i="40"/>
  <c r="D167" i="40"/>
  <c r="D169" i="40" s="1"/>
  <c r="C167" i="40"/>
  <c r="B167" i="40"/>
  <c r="A167" i="40" s="1"/>
  <c r="A169" i="40" s="1"/>
  <c r="I166" i="40"/>
  <c r="H166" i="40"/>
  <c r="F166" i="40"/>
  <c r="E166" i="40"/>
  <c r="B166" i="40" s="1"/>
  <c r="C166" i="40"/>
  <c r="G165" i="40"/>
  <c r="D165" i="40"/>
  <c r="C165" i="40"/>
  <c r="B165" i="40"/>
  <c r="G164" i="40"/>
  <c r="G166" i="40" s="1"/>
  <c r="D164" i="40"/>
  <c r="D166" i="40" s="1"/>
  <c r="C164" i="40"/>
  <c r="B164" i="40"/>
  <c r="A164" i="40"/>
  <c r="I163" i="40"/>
  <c r="H163" i="40"/>
  <c r="F163" i="40"/>
  <c r="C163" i="40" s="1"/>
  <c r="E163" i="40"/>
  <c r="G162" i="40"/>
  <c r="D162" i="40"/>
  <c r="C162" i="40"/>
  <c r="B162" i="40"/>
  <c r="A162" i="40"/>
  <c r="G161" i="40"/>
  <c r="D161" i="40"/>
  <c r="D163" i="40" s="1"/>
  <c r="C161" i="40"/>
  <c r="B161" i="40"/>
  <c r="A161" i="40" s="1"/>
  <c r="A163" i="40" s="1"/>
  <c r="I160" i="40"/>
  <c r="H160" i="40"/>
  <c r="F160" i="40"/>
  <c r="E160" i="40"/>
  <c r="B160" i="40" s="1"/>
  <c r="C160" i="40"/>
  <c r="G159" i="40"/>
  <c r="D159" i="40"/>
  <c r="C159" i="40"/>
  <c r="B159" i="40"/>
  <c r="G158" i="40"/>
  <c r="G160" i="40" s="1"/>
  <c r="D158" i="40"/>
  <c r="D160" i="40" s="1"/>
  <c r="C158" i="40"/>
  <c r="B158" i="40"/>
  <c r="A158" i="40"/>
  <c r="I157" i="40"/>
  <c r="H157" i="40"/>
  <c r="F157" i="40"/>
  <c r="C157" i="40" s="1"/>
  <c r="E157" i="40"/>
  <c r="G156" i="40"/>
  <c r="D156" i="40"/>
  <c r="C156" i="40"/>
  <c r="B156" i="40"/>
  <c r="A156" i="40"/>
  <c r="G155" i="40"/>
  <c r="D155" i="40"/>
  <c r="D157" i="40" s="1"/>
  <c r="C155" i="40"/>
  <c r="B155" i="40"/>
  <c r="A155" i="40" s="1"/>
  <c r="A157" i="40" s="1"/>
  <c r="I154" i="40"/>
  <c r="H154" i="40"/>
  <c r="F154" i="40"/>
  <c r="E154" i="40"/>
  <c r="B154" i="40" s="1"/>
  <c r="C154" i="40"/>
  <c r="G153" i="40"/>
  <c r="D153" i="40"/>
  <c r="C153" i="40"/>
  <c r="B153" i="40"/>
  <c r="G152" i="40"/>
  <c r="G154" i="40" s="1"/>
  <c r="D152" i="40"/>
  <c r="D154" i="40" s="1"/>
  <c r="C152" i="40"/>
  <c r="B152" i="40"/>
  <c r="A152" i="40"/>
  <c r="I151" i="40"/>
  <c r="H151" i="40"/>
  <c r="F151" i="40"/>
  <c r="C151" i="40" s="1"/>
  <c r="E151" i="40"/>
  <c r="G150" i="40"/>
  <c r="D150" i="40"/>
  <c r="C150" i="40"/>
  <c r="B150" i="40"/>
  <c r="A150" i="40"/>
  <c r="G149" i="40"/>
  <c r="D149" i="40"/>
  <c r="D151" i="40" s="1"/>
  <c r="C149" i="40"/>
  <c r="B149" i="40"/>
  <c r="A149" i="40" s="1"/>
  <c r="A151" i="40" s="1"/>
  <c r="I148" i="40"/>
  <c r="H148" i="40"/>
  <c r="F148" i="40"/>
  <c r="E148" i="40"/>
  <c r="B148" i="40" s="1"/>
  <c r="C148" i="40"/>
  <c r="G147" i="40"/>
  <c r="D147" i="40"/>
  <c r="C147" i="40"/>
  <c r="B147" i="40"/>
  <c r="G146" i="40"/>
  <c r="G148" i="40" s="1"/>
  <c r="D146" i="40"/>
  <c r="D148" i="40" s="1"/>
  <c r="C146" i="40"/>
  <c r="B146" i="40"/>
  <c r="A146" i="40"/>
  <c r="H145" i="40"/>
  <c r="F145" i="40"/>
  <c r="E145" i="40"/>
  <c r="B145" i="40"/>
  <c r="G144" i="40"/>
  <c r="D144" i="40"/>
  <c r="C144" i="40"/>
  <c r="B144" i="40"/>
  <c r="A144" i="40" s="1"/>
  <c r="I143" i="40"/>
  <c r="D143" i="40"/>
  <c r="D145" i="40" s="1"/>
  <c r="B143" i="40"/>
  <c r="I142" i="40"/>
  <c r="H142" i="40"/>
  <c r="F142" i="40"/>
  <c r="C142" i="40" s="1"/>
  <c r="E142" i="40"/>
  <c r="B142" i="40"/>
  <c r="G141" i="40"/>
  <c r="D141" i="40"/>
  <c r="C141" i="40"/>
  <c r="B141" i="40"/>
  <c r="A141" i="40" s="1"/>
  <c r="G140" i="40"/>
  <c r="G142" i="40" s="1"/>
  <c r="D140" i="40"/>
  <c r="C140" i="40"/>
  <c r="B140" i="40"/>
  <c r="I139" i="40"/>
  <c r="H139" i="40"/>
  <c r="F139" i="40"/>
  <c r="E139" i="40"/>
  <c r="B139" i="40" s="1"/>
  <c r="C139" i="40"/>
  <c r="G138" i="40"/>
  <c r="D138" i="40"/>
  <c r="C138" i="40"/>
  <c r="B138" i="40"/>
  <c r="A138" i="40" s="1"/>
  <c r="G137" i="40"/>
  <c r="G139" i="40" s="1"/>
  <c r="D137" i="40"/>
  <c r="D139" i="40" s="1"/>
  <c r="C137" i="40"/>
  <c r="B137" i="40"/>
  <c r="A137" i="40" s="1"/>
  <c r="I136" i="40"/>
  <c r="H136" i="40"/>
  <c r="F136" i="40"/>
  <c r="C136" i="40" s="1"/>
  <c r="E136" i="40"/>
  <c r="B136" i="40"/>
  <c r="G135" i="40"/>
  <c r="D135" i="40"/>
  <c r="C135" i="40"/>
  <c r="B135" i="40"/>
  <c r="A135" i="40" s="1"/>
  <c r="G134" i="40"/>
  <c r="G136" i="40" s="1"/>
  <c r="D134" i="40"/>
  <c r="C134" i="40"/>
  <c r="B134" i="40"/>
  <c r="H133" i="40"/>
  <c r="F133" i="40"/>
  <c r="E133" i="40"/>
  <c r="B133" i="40" s="1"/>
  <c r="G132" i="40"/>
  <c r="D132" i="40"/>
  <c r="C132" i="40"/>
  <c r="B132" i="40"/>
  <c r="A132" i="40" s="1"/>
  <c r="I131" i="40"/>
  <c r="I173" i="40" s="1"/>
  <c r="D131" i="40"/>
  <c r="D133" i="40" s="1"/>
  <c r="B131" i="40"/>
  <c r="I130" i="40"/>
  <c r="H130" i="40"/>
  <c r="F130" i="40"/>
  <c r="E130" i="40"/>
  <c r="B130" i="40" s="1"/>
  <c r="C130" i="40"/>
  <c r="G129" i="40"/>
  <c r="D129" i="40"/>
  <c r="C129" i="40"/>
  <c r="B129" i="40"/>
  <c r="A129" i="40" s="1"/>
  <c r="G128" i="40"/>
  <c r="G130" i="40" s="1"/>
  <c r="D128" i="40"/>
  <c r="D130" i="40" s="1"/>
  <c r="C128" i="40"/>
  <c r="B128" i="40"/>
  <c r="A128" i="40" s="1"/>
  <c r="I127" i="40"/>
  <c r="H127" i="40"/>
  <c r="F127" i="40"/>
  <c r="C127" i="40" s="1"/>
  <c r="E127" i="40"/>
  <c r="B127" i="40"/>
  <c r="G126" i="40"/>
  <c r="D126" i="40"/>
  <c r="C126" i="40"/>
  <c r="B126" i="40"/>
  <c r="A126" i="40" s="1"/>
  <c r="G125" i="40"/>
  <c r="G127" i="40" s="1"/>
  <c r="D125" i="40"/>
  <c r="C125" i="40"/>
  <c r="B125" i="40"/>
  <c r="I124" i="40"/>
  <c r="H124" i="40"/>
  <c r="F124" i="40"/>
  <c r="F175" i="40" s="1"/>
  <c r="E124" i="40"/>
  <c r="C124" i="40"/>
  <c r="G123" i="40"/>
  <c r="G174" i="40" s="1"/>
  <c r="D123" i="40"/>
  <c r="D174" i="40" s="1"/>
  <c r="C123" i="40"/>
  <c r="C174" i="40" s="1"/>
  <c r="B123" i="40"/>
  <c r="B174" i="40" s="1"/>
  <c r="G122" i="40"/>
  <c r="D122" i="40"/>
  <c r="C122" i="40"/>
  <c r="B122" i="40"/>
  <c r="B173" i="40" s="1"/>
  <c r="I116" i="40"/>
  <c r="H116" i="40"/>
  <c r="F116" i="40"/>
  <c r="E116" i="40"/>
  <c r="I115" i="40"/>
  <c r="H115" i="40"/>
  <c r="F115" i="40"/>
  <c r="E115" i="40"/>
  <c r="I114" i="40"/>
  <c r="H114" i="40"/>
  <c r="F114" i="40"/>
  <c r="E114" i="40"/>
  <c r="G113" i="40"/>
  <c r="D113" i="40"/>
  <c r="C113" i="40"/>
  <c r="B113" i="40"/>
  <c r="G112" i="40"/>
  <c r="G114" i="40" s="1"/>
  <c r="D112" i="40"/>
  <c r="D114" i="40" s="1"/>
  <c r="C112" i="40"/>
  <c r="C114" i="40" s="1"/>
  <c r="B112" i="40"/>
  <c r="B114" i="40" s="1"/>
  <c r="A112" i="40"/>
  <c r="I111" i="40"/>
  <c r="H111" i="40"/>
  <c r="F111" i="40"/>
  <c r="E111" i="40"/>
  <c r="G110" i="40"/>
  <c r="D110" i="40"/>
  <c r="C110" i="40"/>
  <c r="B110" i="40"/>
  <c r="A110" i="40" s="1"/>
  <c r="G109" i="40"/>
  <c r="G111" i="40" s="1"/>
  <c r="D109" i="40"/>
  <c r="C109" i="40"/>
  <c r="C111" i="40" s="1"/>
  <c r="B109" i="40"/>
  <c r="I108" i="40"/>
  <c r="H108" i="40"/>
  <c r="F108" i="40"/>
  <c r="E108" i="40"/>
  <c r="G107" i="40"/>
  <c r="D107" i="40"/>
  <c r="C107" i="40"/>
  <c r="B107" i="40"/>
  <c r="G106" i="40"/>
  <c r="G108" i="40" s="1"/>
  <c r="D106" i="40"/>
  <c r="D108" i="40" s="1"/>
  <c r="C106" i="40"/>
  <c r="C108" i="40" s="1"/>
  <c r="B106" i="40"/>
  <c r="B108" i="40" s="1"/>
  <c r="A106" i="40"/>
  <c r="I105" i="40"/>
  <c r="H105" i="40"/>
  <c r="F105" i="40"/>
  <c r="E105" i="40"/>
  <c r="G104" i="40"/>
  <c r="D104" i="40"/>
  <c r="C104" i="40"/>
  <c r="B104" i="40"/>
  <c r="A104" i="40" s="1"/>
  <c r="G103" i="40"/>
  <c r="G105" i="40" s="1"/>
  <c r="D103" i="40"/>
  <c r="C103" i="40"/>
  <c r="C105" i="40" s="1"/>
  <c r="B103" i="40"/>
  <c r="I102" i="40"/>
  <c r="H102" i="40"/>
  <c r="F102" i="40"/>
  <c r="E102" i="40"/>
  <c r="G101" i="40"/>
  <c r="D101" i="40"/>
  <c r="C101" i="40"/>
  <c r="B101" i="40"/>
  <c r="G100" i="40"/>
  <c r="G102" i="40" s="1"/>
  <c r="D100" i="40"/>
  <c r="D102" i="40" s="1"/>
  <c r="C100" i="40"/>
  <c r="C102" i="40" s="1"/>
  <c r="B100" i="40"/>
  <c r="B102" i="40" s="1"/>
  <c r="A100" i="40"/>
  <c r="I99" i="40"/>
  <c r="H99" i="40"/>
  <c r="F99" i="40"/>
  <c r="E99" i="40"/>
  <c r="G98" i="40"/>
  <c r="D98" i="40"/>
  <c r="C98" i="40"/>
  <c r="B98" i="40"/>
  <c r="A98" i="40" s="1"/>
  <c r="G97" i="40"/>
  <c r="G99" i="40" s="1"/>
  <c r="D97" i="40"/>
  <c r="C97" i="40"/>
  <c r="C99" i="40" s="1"/>
  <c r="B97" i="40"/>
  <c r="I96" i="40"/>
  <c r="H96" i="40"/>
  <c r="F96" i="40"/>
  <c r="E96" i="40"/>
  <c r="G95" i="40"/>
  <c r="D95" i="40"/>
  <c r="C95" i="40"/>
  <c r="B95" i="40"/>
  <c r="G94" i="40"/>
  <c r="G96" i="40" s="1"/>
  <c r="D94" i="40"/>
  <c r="D96" i="40" s="1"/>
  <c r="C94" i="40"/>
  <c r="C96" i="40" s="1"/>
  <c r="B94" i="40"/>
  <c r="B96" i="40" s="1"/>
  <c r="A94" i="40"/>
  <c r="I93" i="40"/>
  <c r="H93" i="40"/>
  <c r="F93" i="40"/>
  <c r="E93" i="40"/>
  <c r="G92" i="40"/>
  <c r="D92" i="40"/>
  <c r="C92" i="40"/>
  <c r="B92" i="40"/>
  <c r="A92" i="40" s="1"/>
  <c r="G91" i="40"/>
  <c r="G93" i="40" s="1"/>
  <c r="D91" i="40"/>
  <c r="C91" i="40"/>
  <c r="C93" i="40" s="1"/>
  <c r="B91" i="40"/>
  <c r="I90" i="40"/>
  <c r="I117" i="40" s="1"/>
  <c r="H90" i="40"/>
  <c r="F90" i="40"/>
  <c r="F117" i="40" s="1"/>
  <c r="E90" i="40"/>
  <c r="G89" i="40"/>
  <c r="G116" i="40" s="1"/>
  <c r="D89" i="40"/>
  <c r="C89" i="40"/>
  <c r="C116" i="40" s="1"/>
  <c r="B89" i="40"/>
  <c r="G88" i="40"/>
  <c r="G90" i="40" s="1"/>
  <c r="G117" i="40" s="1"/>
  <c r="D88" i="40"/>
  <c r="D115" i="40" s="1"/>
  <c r="C88" i="40"/>
  <c r="C90" i="40" s="1"/>
  <c r="C117" i="40" s="1"/>
  <c r="B88" i="40"/>
  <c r="B115" i="40" s="1"/>
  <c r="A88" i="40"/>
  <c r="I60" i="40"/>
  <c r="H60" i="40"/>
  <c r="F60" i="40"/>
  <c r="E60" i="40"/>
  <c r="I59" i="40"/>
  <c r="H59" i="40"/>
  <c r="F59" i="40"/>
  <c r="E59" i="40"/>
  <c r="I58" i="40"/>
  <c r="H58" i="40"/>
  <c r="F58" i="40"/>
  <c r="E58" i="40"/>
  <c r="G57" i="40"/>
  <c r="D57" i="40"/>
  <c r="A57" i="40" s="1"/>
  <c r="C57" i="40"/>
  <c r="B57" i="40"/>
  <c r="G56" i="40"/>
  <c r="G58" i="40" s="1"/>
  <c r="D56" i="40"/>
  <c r="D58" i="40" s="1"/>
  <c r="C56" i="40"/>
  <c r="C58" i="40" s="1"/>
  <c r="B56" i="40"/>
  <c r="B58" i="40" s="1"/>
  <c r="I55" i="40"/>
  <c r="H55" i="40"/>
  <c r="F55" i="40"/>
  <c r="E55" i="40"/>
  <c r="G54" i="40"/>
  <c r="D54" i="40"/>
  <c r="C54" i="40"/>
  <c r="B54" i="40"/>
  <c r="A54" i="40"/>
  <c r="G53" i="40"/>
  <c r="D53" i="40"/>
  <c r="D55" i="40" s="1"/>
  <c r="C53" i="40"/>
  <c r="B53" i="40"/>
  <c r="B55" i="40" s="1"/>
  <c r="I52" i="40"/>
  <c r="H52" i="40"/>
  <c r="F52" i="40"/>
  <c r="E52" i="40"/>
  <c r="G51" i="40"/>
  <c r="D51" i="40"/>
  <c r="A51" i="40" s="1"/>
  <c r="C51" i="40"/>
  <c r="B51" i="40"/>
  <c r="G50" i="40"/>
  <c r="G52" i="40" s="1"/>
  <c r="D50" i="40"/>
  <c r="D52" i="40" s="1"/>
  <c r="C50" i="40"/>
  <c r="C52" i="40" s="1"/>
  <c r="B50" i="40"/>
  <c r="B52" i="40" s="1"/>
  <c r="I49" i="40"/>
  <c r="H49" i="40"/>
  <c r="F49" i="40"/>
  <c r="E49" i="40"/>
  <c r="G48" i="40"/>
  <c r="D48" i="40"/>
  <c r="C48" i="40"/>
  <c r="B48" i="40"/>
  <c r="A48" i="40"/>
  <c r="G47" i="40"/>
  <c r="D47" i="40"/>
  <c r="D49" i="40" s="1"/>
  <c r="C47" i="40"/>
  <c r="B47" i="40"/>
  <c r="B49" i="40" s="1"/>
  <c r="I46" i="40"/>
  <c r="H46" i="40"/>
  <c r="F46" i="40"/>
  <c r="E46" i="40"/>
  <c r="G45" i="40"/>
  <c r="D45" i="40"/>
  <c r="A45" i="40" s="1"/>
  <c r="C45" i="40"/>
  <c r="B45" i="40"/>
  <c r="G44" i="40"/>
  <c r="G46" i="40" s="1"/>
  <c r="D44" i="40"/>
  <c r="D46" i="40" s="1"/>
  <c r="C44" i="40"/>
  <c r="C46" i="40" s="1"/>
  <c r="B44" i="40"/>
  <c r="B46" i="40" s="1"/>
  <c r="I43" i="40"/>
  <c r="H43" i="40"/>
  <c r="F43" i="40"/>
  <c r="E43" i="40"/>
  <c r="G42" i="40"/>
  <c r="D42" i="40"/>
  <c r="C42" i="40"/>
  <c r="B42" i="40"/>
  <c r="A42" i="40"/>
  <c r="G41" i="40"/>
  <c r="D41" i="40"/>
  <c r="D43" i="40" s="1"/>
  <c r="C41" i="40"/>
  <c r="B41" i="40"/>
  <c r="B43" i="40" s="1"/>
  <c r="I40" i="40"/>
  <c r="H40" i="40"/>
  <c r="F40" i="40"/>
  <c r="E40" i="40"/>
  <c r="G39" i="40"/>
  <c r="D39" i="40"/>
  <c r="A39" i="40" s="1"/>
  <c r="C39" i="40"/>
  <c r="B39" i="40"/>
  <c r="G38" i="40"/>
  <c r="G40" i="40" s="1"/>
  <c r="D38" i="40"/>
  <c r="D40" i="40" s="1"/>
  <c r="C38" i="40"/>
  <c r="C40" i="40" s="1"/>
  <c r="B38" i="40"/>
  <c r="B40" i="40" s="1"/>
  <c r="I37" i="40"/>
  <c r="H37" i="40"/>
  <c r="F37" i="40"/>
  <c r="E37" i="40"/>
  <c r="G36" i="40"/>
  <c r="D36" i="40"/>
  <c r="C36" i="40"/>
  <c r="B36" i="40"/>
  <c r="A36" i="40"/>
  <c r="G35" i="40"/>
  <c r="D35" i="40"/>
  <c r="D37" i="40" s="1"/>
  <c r="C35" i="40"/>
  <c r="B35" i="40"/>
  <c r="B37" i="40" s="1"/>
  <c r="I34" i="40"/>
  <c r="H34" i="40"/>
  <c r="F34" i="40"/>
  <c r="E34" i="40"/>
  <c r="G33" i="40"/>
  <c r="D33" i="40"/>
  <c r="A33" i="40" s="1"/>
  <c r="C33" i="40"/>
  <c r="B33" i="40"/>
  <c r="G32" i="40"/>
  <c r="G34" i="40" s="1"/>
  <c r="D32" i="40"/>
  <c r="D34" i="40" s="1"/>
  <c r="C32" i="40"/>
  <c r="C34" i="40" s="1"/>
  <c r="B32" i="40"/>
  <c r="B34" i="40" s="1"/>
  <c r="I31" i="40"/>
  <c r="H31" i="40"/>
  <c r="F31" i="40"/>
  <c r="E31" i="40"/>
  <c r="G30" i="40"/>
  <c r="D30" i="40"/>
  <c r="C30" i="40"/>
  <c r="B30" i="40"/>
  <c r="A30" i="40"/>
  <c r="G29" i="40"/>
  <c r="D29" i="40"/>
  <c r="D31" i="40" s="1"/>
  <c r="C29" i="40"/>
  <c r="B29" i="40"/>
  <c r="B31" i="40" s="1"/>
  <c r="I28" i="40"/>
  <c r="H28" i="40"/>
  <c r="F28" i="40"/>
  <c r="E28" i="40"/>
  <c r="G27" i="40"/>
  <c r="D27" i="40"/>
  <c r="A27" i="40" s="1"/>
  <c r="C27" i="40"/>
  <c r="B27" i="40"/>
  <c r="G26" i="40"/>
  <c r="G28" i="40" s="1"/>
  <c r="D26" i="40"/>
  <c r="D28" i="40" s="1"/>
  <c r="C26" i="40"/>
  <c r="C28" i="40" s="1"/>
  <c r="B26" i="40"/>
  <c r="B28" i="40" s="1"/>
  <c r="I25" i="40"/>
  <c r="H25" i="40"/>
  <c r="F25" i="40"/>
  <c r="E25" i="40"/>
  <c r="G24" i="40"/>
  <c r="D24" i="40"/>
  <c r="C24" i="40"/>
  <c r="B24" i="40"/>
  <c r="A24" i="40"/>
  <c r="G23" i="40"/>
  <c r="D23" i="40"/>
  <c r="D25" i="40" s="1"/>
  <c r="C23" i="40"/>
  <c r="B23" i="40"/>
  <c r="B25" i="40" s="1"/>
  <c r="I22" i="40"/>
  <c r="H22" i="40"/>
  <c r="F22" i="40"/>
  <c r="E22" i="40"/>
  <c r="G21" i="40"/>
  <c r="D21" i="40"/>
  <c r="A21" i="40" s="1"/>
  <c r="C21" i="40"/>
  <c r="B21" i="40"/>
  <c r="G20" i="40"/>
  <c r="G22" i="40" s="1"/>
  <c r="D20" i="40"/>
  <c r="D22" i="40" s="1"/>
  <c r="C20" i="40"/>
  <c r="C22" i="40" s="1"/>
  <c r="B20" i="40"/>
  <c r="B22" i="40" s="1"/>
  <c r="I19" i="40"/>
  <c r="H19" i="40"/>
  <c r="F19" i="40"/>
  <c r="E19" i="40"/>
  <c r="G18" i="40"/>
  <c r="D18" i="40"/>
  <c r="C18" i="40"/>
  <c r="B18" i="40"/>
  <c r="A18" i="40"/>
  <c r="G17" i="40"/>
  <c r="D17" i="40"/>
  <c r="D19" i="40" s="1"/>
  <c r="C17" i="40"/>
  <c r="B17" i="40"/>
  <c r="B19" i="40" s="1"/>
  <c r="I16" i="40"/>
  <c r="H16" i="40"/>
  <c r="F16" i="40"/>
  <c r="E16" i="40"/>
  <c r="G15" i="40"/>
  <c r="D15" i="40"/>
  <c r="A15" i="40" s="1"/>
  <c r="C15" i="40"/>
  <c r="B15" i="40"/>
  <c r="G14" i="40"/>
  <c r="G16" i="40" s="1"/>
  <c r="D14" i="40"/>
  <c r="D16" i="40" s="1"/>
  <c r="C14" i="40"/>
  <c r="C16" i="40" s="1"/>
  <c r="B14" i="40"/>
  <c r="B16" i="40" s="1"/>
  <c r="I13" i="40"/>
  <c r="H13" i="40"/>
  <c r="F13" i="40"/>
  <c r="E13" i="40"/>
  <c r="G12" i="40"/>
  <c r="D12" i="40"/>
  <c r="C12" i="40"/>
  <c r="B12" i="40"/>
  <c r="A12" i="40"/>
  <c r="G11" i="40"/>
  <c r="D11" i="40"/>
  <c r="D13" i="40" s="1"/>
  <c r="C11" i="40"/>
  <c r="B11" i="40"/>
  <c r="B13" i="40" s="1"/>
  <c r="I10" i="40"/>
  <c r="H10" i="40"/>
  <c r="F10" i="40"/>
  <c r="E10" i="40"/>
  <c r="G9" i="40"/>
  <c r="D9" i="40"/>
  <c r="A9" i="40" s="1"/>
  <c r="C9" i="40"/>
  <c r="B9" i="40"/>
  <c r="G8" i="40"/>
  <c r="G10" i="40" s="1"/>
  <c r="D8" i="40"/>
  <c r="D10" i="40" s="1"/>
  <c r="C8" i="40"/>
  <c r="C10" i="40" s="1"/>
  <c r="B8" i="40"/>
  <c r="B10" i="40" s="1"/>
  <c r="I7" i="40"/>
  <c r="I61" i="40" s="1"/>
  <c r="H7" i="40"/>
  <c r="F7" i="40"/>
  <c r="F61" i="40" s="1"/>
  <c r="E7" i="40"/>
  <c r="G6" i="40"/>
  <c r="G60" i="40" s="1"/>
  <c r="D6" i="40"/>
  <c r="C6" i="40"/>
  <c r="C60" i="40" s="1"/>
  <c r="B6" i="40"/>
  <c r="A6" i="40"/>
  <c r="A60" i="40" s="1"/>
  <c r="G5" i="40"/>
  <c r="G59" i="40" s="1"/>
  <c r="D5" i="40"/>
  <c r="D59" i="40" s="1"/>
  <c r="C5" i="40"/>
  <c r="C59" i="40" s="1"/>
  <c r="B5" i="40"/>
  <c r="B59" i="40" s="1"/>
  <c r="I242" i="39"/>
  <c r="H242" i="39"/>
  <c r="F242" i="39"/>
  <c r="E242" i="39"/>
  <c r="C242" i="39"/>
  <c r="G241" i="39"/>
  <c r="G242" i="39" s="1"/>
  <c r="D241" i="39"/>
  <c r="D242" i="39" s="1"/>
  <c r="C241" i="39"/>
  <c r="B241" i="39"/>
  <c r="B242" i="39" s="1"/>
  <c r="I235" i="39"/>
  <c r="H235" i="39"/>
  <c r="F235" i="39"/>
  <c r="E235" i="39"/>
  <c r="C235" i="39"/>
  <c r="G234" i="39"/>
  <c r="G235" i="39" s="1"/>
  <c r="D234" i="39"/>
  <c r="D235" i="39" s="1"/>
  <c r="C234" i="39"/>
  <c r="B234" i="39"/>
  <c r="I228" i="39"/>
  <c r="H228" i="39"/>
  <c r="F228" i="39"/>
  <c r="E228" i="39"/>
  <c r="G227" i="39"/>
  <c r="D227" i="39"/>
  <c r="C227" i="39"/>
  <c r="B227" i="39"/>
  <c r="A227" i="39" s="1"/>
  <c r="G226" i="39"/>
  <c r="G228" i="39" s="1"/>
  <c r="D226" i="39"/>
  <c r="D228" i="39" s="1"/>
  <c r="C226" i="39"/>
  <c r="C228" i="39" s="1"/>
  <c r="B226" i="39"/>
  <c r="B228" i="39" s="1"/>
  <c r="I220" i="39"/>
  <c r="H220" i="39"/>
  <c r="F220" i="39"/>
  <c r="E220" i="39"/>
  <c r="D220" i="39"/>
  <c r="G219" i="39"/>
  <c r="G220" i="39" s="1"/>
  <c r="D219" i="39"/>
  <c r="C219" i="39"/>
  <c r="C220" i="39" s="1"/>
  <c r="B219" i="39"/>
  <c r="B220" i="39" s="1"/>
  <c r="A219" i="39"/>
  <c r="A220" i="39" s="1"/>
  <c r="I213" i="39"/>
  <c r="H213" i="39"/>
  <c r="F213" i="39"/>
  <c r="E213" i="39"/>
  <c r="G212" i="39"/>
  <c r="D212" i="39"/>
  <c r="C212" i="39"/>
  <c r="B212" i="39"/>
  <c r="A212" i="39" s="1"/>
  <c r="G211" i="39"/>
  <c r="D211" i="39"/>
  <c r="C211" i="39"/>
  <c r="B211" i="39"/>
  <c r="G210" i="39"/>
  <c r="D210" i="39"/>
  <c r="C210" i="39"/>
  <c r="B210" i="39"/>
  <c r="A210" i="39"/>
  <c r="G209" i="39"/>
  <c r="D209" i="39"/>
  <c r="C209" i="39"/>
  <c r="B209" i="39"/>
  <c r="A209" i="39" s="1"/>
  <c r="G208" i="39"/>
  <c r="D208" i="39"/>
  <c r="C208" i="39"/>
  <c r="B208" i="39"/>
  <c r="A208" i="39" s="1"/>
  <c r="G207" i="39"/>
  <c r="D207" i="39"/>
  <c r="C207" i="39"/>
  <c r="B207" i="39"/>
  <c r="G206" i="39"/>
  <c r="D206" i="39"/>
  <c r="C206" i="39"/>
  <c r="B206" i="39"/>
  <c r="A206" i="39"/>
  <c r="G205" i="39"/>
  <c r="D205" i="39"/>
  <c r="C205" i="39"/>
  <c r="B205" i="39"/>
  <c r="A205" i="39" s="1"/>
  <c r="G204" i="39"/>
  <c r="D204" i="39"/>
  <c r="C204" i="39"/>
  <c r="B204" i="39"/>
  <c r="A204" i="39" s="1"/>
  <c r="G203" i="39"/>
  <c r="D203" i="39"/>
  <c r="C203" i="39"/>
  <c r="B203" i="39"/>
  <c r="G202" i="39"/>
  <c r="D202" i="39"/>
  <c r="C202" i="39"/>
  <c r="B202" i="39"/>
  <c r="A202" i="39"/>
  <c r="G201" i="39"/>
  <c r="D201" i="39"/>
  <c r="C201" i="39"/>
  <c r="B201" i="39"/>
  <c r="A201" i="39" s="1"/>
  <c r="G200" i="39"/>
  <c r="D200" i="39"/>
  <c r="C200" i="39"/>
  <c r="B200" i="39"/>
  <c r="A200" i="39" s="1"/>
  <c r="G199" i="39"/>
  <c r="D199" i="39"/>
  <c r="C199" i="39"/>
  <c r="B199" i="39"/>
  <c r="G198" i="39"/>
  <c r="D198" i="39"/>
  <c r="C198" i="39"/>
  <c r="B198" i="39"/>
  <c r="A198" i="39"/>
  <c r="G197" i="39"/>
  <c r="D197" i="39"/>
  <c r="C197" i="39"/>
  <c r="B197" i="39"/>
  <c r="A197" i="39" s="1"/>
  <c r="G196" i="39"/>
  <c r="D196" i="39"/>
  <c r="C196" i="39"/>
  <c r="B196" i="39"/>
  <c r="A196" i="39" s="1"/>
  <c r="G195" i="39"/>
  <c r="D195" i="39"/>
  <c r="C195" i="39"/>
  <c r="B195" i="39"/>
  <c r="G194" i="39"/>
  <c r="D194" i="39"/>
  <c r="C194" i="39"/>
  <c r="B194" i="39"/>
  <c r="A194" i="39"/>
  <c r="G193" i="39"/>
  <c r="D193" i="39"/>
  <c r="C193" i="39"/>
  <c r="B193" i="39"/>
  <c r="A193" i="39" s="1"/>
  <c r="G192" i="39"/>
  <c r="D192" i="39"/>
  <c r="C192" i="39"/>
  <c r="B192" i="39"/>
  <c r="A192" i="39" s="1"/>
  <c r="G191" i="39"/>
  <c r="D191" i="39"/>
  <c r="C191" i="39"/>
  <c r="B191" i="39"/>
  <c r="G190" i="39"/>
  <c r="D190" i="39"/>
  <c r="C190" i="39"/>
  <c r="B190" i="39"/>
  <c r="A190" i="39"/>
  <c r="G189" i="39"/>
  <c r="D189" i="39"/>
  <c r="C189" i="39"/>
  <c r="B189" i="39"/>
  <c r="A189" i="39" s="1"/>
  <c r="G188" i="39"/>
  <c r="D188" i="39"/>
  <c r="C188" i="39"/>
  <c r="B188" i="39"/>
  <c r="A188" i="39" s="1"/>
  <c r="G187" i="39"/>
  <c r="D187" i="39"/>
  <c r="C187" i="39"/>
  <c r="B187" i="39"/>
  <c r="G186" i="39"/>
  <c r="D186" i="39"/>
  <c r="C186" i="39"/>
  <c r="B186" i="39"/>
  <c r="A186" i="39"/>
  <c r="G185" i="39"/>
  <c r="D185" i="39"/>
  <c r="C185" i="39"/>
  <c r="B185" i="39"/>
  <c r="A185" i="39" s="1"/>
  <c r="G184" i="39"/>
  <c r="D184" i="39"/>
  <c r="C184" i="39"/>
  <c r="B184" i="39"/>
  <c r="A184" i="39" s="1"/>
  <c r="G183" i="39"/>
  <c r="D183" i="39"/>
  <c r="C183" i="39"/>
  <c r="B183" i="39"/>
  <c r="H177" i="39"/>
  <c r="F177" i="39"/>
  <c r="E177" i="39"/>
  <c r="G176" i="39"/>
  <c r="D176" i="39"/>
  <c r="A176" i="39" s="1"/>
  <c r="C176" i="39"/>
  <c r="B176" i="39"/>
  <c r="I175" i="39"/>
  <c r="D175" i="39"/>
  <c r="B175" i="39"/>
  <c r="G174" i="39"/>
  <c r="D174" i="39"/>
  <c r="C174" i="39"/>
  <c r="B174" i="39"/>
  <c r="A174" i="39"/>
  <c r="F161" i="39"/>
  <c r="E161" i="39"/>
  <c r="I160" i="39"/>
  <c r="D160" i="39"/>
  <c r="B160" i="39"/>
  <c r="H159" i="39"/>
  <c r="G159" i="39" s="1"/>
  <c r="D159" i="39"/>
  <c r="C159" i="39"/>
  <c r="F153" i="39"/>
  <c r="E153" i="39"/>
  <c r="H152" i="39"/>
  <c r="H153" i="39" s="1"/>
  <c r="G152" i="39"/>
  <c r="D152" i="39"/>
  <c r="C152" i="39"/>
  <c r="B152" i="39"/>
  <c r="A152" i="39"/>
  <c r="I151" i="39"/>
  <c r="I153" i="39" s="1"/>
  <c r="G151" i="39"/>
  <c r="G153" i="39" s="1"/>
  <c r="D151" i="39"/>
  <c r="D153" i="39" s="1"/>
  <c r="C151" i="39"/>
  <c r="C153" i="39" s="1"/>
  <c r="B151" i="39"/>
  <c r="B153" i="39" s="1"/>
  <c r="A151" i="39"/>
  <c r="A153" i="39" s="1"/>
  <c r="H145" i="39"/>
  <c r="F145" i="39"/>
  <c r="E145" i="39"/>
  <c r="D145" i="39"/>
  <c r="G144" i="39"/>
  <c r="D144" i="39"/>
  <c r="C144" i="39"/>
  <c r="B144" i="39"/>
  <c r="A144" i="39"/>
  <c r="I143" i="39"/>
  <c r="G143" i="39"/>
  <c r="D143" i="39"/>
  <c r="C143" i="39"/>
  <c r="B143" i="39"/>
  <c r="A143" i="39"/>
  <c r="I142" i="39"/>
  <c r="I145" i="39" s="1"/>
  <c r="G142" i="39"/>
  <c r="G145" i="39" s="1"/>
  <c r="D142" i="39"/>
  <c r="C142" i="39"/>
  <c r="C145" i="39" s="1"/>
  <c r="B142" i="39"/>
  <c r="B145" i="39" s="1"/>
  <c r="A142" i="39"/>
  <c r="A145" i="39" s="1"/>
  <c r="F136" i="39"/>
  <c r="E136" i="39"/>
  <c r="H135" i="39"/>
  <c r="G135" i="39" s="1"/>
  <c r="D135" i="39"/>
  <c r="D136" i="39" s="1"/>
  <c r="C135" i="39"/>
  <c r="G134" i="39"/>
  <c r="D134" i="39"/>
  <c r="C134" i="39"/>
  <c r="B134" i="39"/>
  <c r="A134" i="39"/>
  <c r="H133" i="39"/>
  <c r="G133" i="39"/>
  <c r="D133" i="39"/>
  <c r="C133" i="39"/>
  <c r="B133" i="39"/>
  <c r="A133" i="39"/>
  <c r="H132" i="39"/>
  <c r="G132" i="39"/>
  <c r="D132" i="39"/>
  <c r="C132" i="39"/>
  <c r="B132" i="39"/>
  <c r="A132" i="39"/>
  <c r="H131" i="39"/>
  <c r="G131" i="39"/>
  <c r="D131" i="39"/>
  <c r="C131" i="39"/>
  <c r="B131" i="39"/>
  <c r="A131" i="39"/>
  <c r="I130" i="39"/>
  <c r="I136" i="39" s="1"/>
  <c r="G130" i="39"/>
  <c r="G136" i="39" s="1"/>
  <c r="D130" i="39"/>
  <c r="C130" i="39"/>
  <c r="C136" i="39" s="1"/>
  <c r="B130" i="39"/>
  <c r="A130" i="39"/>
  <c r="I124" i="39"/>
  <c r="H124" i="39"/>
  <c r="F124" i="39"/>
  <c r="E124" i="39"/>
  <c r="H123" i="39"/>
  <c r="G123" i="39" s="1"/>
  <c r="D123" i="39"/>
  <c r="C123" i="39"/>
  <c r="B123" i="39"/>
  <c r="A123" i="39" s="1"/>
  <c r="G122" i="39"/>
  <c r="G124" i="39" s="1"/>
  <c r="D122" i="39"/>
  <c r="C122" i="39"/>
  <c r="C124" i="39" s="1"/>
  <c r="B122" i="39"/>
  <c r="A122" i="39" s="1"/>
  <c r="H116" i="39"/>
  <c r="F116" i="39"/>
  <c r="E116" i="39"/>
  <c r="H115" i="39"/>
  <c r="G115" i="39" s="1"/>
  <c r="D115" i="39"/>
  <c r="C115" i="39"/>
  <c r="B115" i="39"/>
  <c r="H114" i="39"/>
  <c r="G114" i="39" s="1"/>
  <c r="D114" i="39"/>
  <c r="C114" i="39"/>
  <c r="B114" i="39"/>
  <c r="H113" i="39"/>
  <c r="G113" i="39" s="1"/>
  <c r="D113" i="39"/>
  <c r="C113" i="39"/>
  <c r="B113" i="39"/>
  <c r="I112" i="39"/>
  <c r="D112" i="39"/>
  <c r="B112" i="39"/>
  <c r="I111" i="39"/>
  <c r="D111" i="39"/>
  <c r="B111" i="39"/>
  <c r="B116" i="39" s="1"/>
  <c r="I110" i="39"/>
  <c r="D110" i="39"/>
  <c r="D116" i="39" s="1"/>
  <c r="B110" i="39"/>
  <c r="I104" i="39"/>
  <c r="F104" i="39"/>
  <c r="E104" i="39"/>
  <c r="H103" i="39"/>
  <c r="H104" i="39" s="1"/>
  <c r="D103" i="39"/>
  <c r="C103" i="39"/>
  <c r="B103" i="39"/>
  <c r="A103" i="39" s="1"/>
  <c r="G102" i="39"/>
  <c r="D102" i="39"/>
  <c r="C102" i="39"/>
  <c r="C104" i="39" s="1"/>
  <c r="B102" i="39"/>
  <c r="I96" i="39"/>
  <c r="H96" i="39"/>
  <c r="F96" i="39"/>
  <c r="E96" i="39"/>
  <c r="G95" i="39"/>
  <c r="D95" i="39"/>
  <c r="A95" i="39" s="1"/>
  <c r="C95" i="39"/>
  <c r="B95" i="39"/>
  <c r="G94" i="39"/>
  <c r="D94" i="39"/>
  <c r="A94" i="39" s="1"/>
  <c r="C94" i="39"/>
  <c r="B94" i="39"/>
  <c r="G93" i="39"/>
  <c r="G96" i="39" s="1"/>
  <c r="D93" i="39"/>
  <c r="C93" i="39"/>
  <c r="B93" i="39"/>
  <c r="I87" i="39"/>
  <c r="F87" i="39"/>
  <c r="E87" i="39"/>
  <c r="H86" i="39"/>
  <c r="H87" i="39" s="1"/>
  <c r="D86" i="39"/>
  <c r="D87" i="39" s="1"/>
  <c r="C86" i="39"/>
  <c r="C87" i="39" s="1"/>
  <c r="B86" i="39"/>
  <c r="B87" i="39" s="1"/>
  <c r="I80" i="39"/>
  <c r="H80" i="39"/>
  <c r="F80" i="39"/>
  <c r="E80" i="39"/>
  <c r="G79" i="39"/>
  <c r="D79" i="39"/>
  <c r="C79" i="39"/>
  <c r="B79" i="39"/>
  <c r="A79" i="39"/>
  <c r="G78" i="39"/>
  <c r="D78" i="39"/>
  <c r="A78" i="39" s="1"/>
  <c r="C78" i="39"/>
  <c r="B78" i="39"/>
  <c r="G77" i="39"/>
  <c r="D77" i="39"/>
  <c r="A77" i="39" s="1"/>
  <c r="C77" i="39"/>
  <c r="B77" i="39"/>
  <c r="G76" i="39"/>
  <c r="D76" i="39"/>
  <c r="C76" i="39"/>
  <c r="B76" i="39"/>
  <c r="G75" i="39"/>
  <c r="D75" i="39"/>
  <c r="C75" i="39"/>
  <c r="B75" i="39"/>
  <c r="A75" i="39"/>
  <c r="G74" i="39"/>
  <c r="D74" i="39"/>
  <c r="A74" i="39" s="1"/>
  <c r="C74" i="39"/>
  <c r="B74" i="39"/>
  <c r="B80" i="39" s="1"/>
  <c r="I68" i="39"/>
  <c r="F68" i="39"/>
  <c r="E68" i="39"/>
  <c r="G67" i="39"/>
  <c r="D67" i="39"/>
  <c r="C67" i="39"/>
  <c r="B67" i="39"/>
  <c r="G66" i="39"/>
  <c r="D66" i="39"/>
  <c r="C66" i="39"/>
  <c r="B66" i="39"/>
  <c r="A66" i="39"/>
  <c r="G65" i="39"/>
  <c r="D65" i="39"/>
  <c r="C65" i="39"/>
  <c r="B65" i="39"/>
  <c r="A65" i="39" s="1"/>
  <c r="G64" i="39"/>
  <c r="D64" i="39"/>
  <c r="C64" i="39"/>
  <c r="B64" i="39"/>
  <c r="G63" i="39"/>
  <c r="D63" i="39"/>
  <c r="C63" i="39"/>
  <c r="B63" i="39"/>
  <c r="A63" i="39"/>
  <c r="H62" i="39"/>
  <c r="G62" i="39"/>
  <c r="D62" i="39"/>
  <c r="C62" i="39"/>
  <c r="B62" i="39"/>
  <c r="A62" i="39"/>
  <c r="H61" i="39"/>
  <c r="G61" i="39"/>
  <c r="D61" i="39"/>
  <c r="C61" i="39"/>
  <c r="B61" i="39"/>
  <c r="A61" i="39"/>
  <c r="G60" i="39"/>
  <c r="D60" i="39"/>
  <c r="C60" i="39"/>
  <c r="B60" i="39"/>
  <c r="A60" i="39" s="1"/>
  <c r="H59" i="39"/>
  <c r="B59" i="39" s="1"/>
  <c r="D59" i="39"/>
  <c r="C59" i="39"/>
  <c r="G58" i="39"/>
  <c r="D58" i="39"/>
  <c r="C58" i="39"/>
  <c r="C68" i="39" s="1"/>
  <c r="B58" i="39"/>
  <c r="A58" i="39"/>
  <c r="I44" i="39"/>
  <c r="H44" i="39"/>
  <c r="F44" i="39"/>
  <c r="E44" i="39"/>
  <c r="H43" i="39"/>
  <c r="G43" i="39" s="1"/>
  <c r="D43" i="39"/>
  <c r="C43" i="39"/>
  <c r="B43" i="39"/>
  <c r="H42" i="39"/>
  <c r="G42" i="39" s="1"/>
  <c r="D42" i="39"/>
  <c r="C42" i="39"/>
  <c r="B42" i="39"/>
  <c r="G41" i="39"/>
  <c r="G44" i="39" s="1"/>
  <c r="D41" i="39"/>
  <c r="A41" i="39" s="1"/>
  <c r="C41" i="39"/>
  <c r="C44" i="39" s="1"/>
  <c r="B41" i="39"/>
  <c r="H35" i="39"/>
  <c r="F35" i="39"/>
  <c r="E35" i="39"/>
  <c r="I34" i="39"/>
  <c r="D34" i="39"/>
  <c r="B34" i="39"/>
  <c r="I33" i="39"/>
  <c r="D33" i="39"/>
  <c r="B33" i="39"/>
  <c r="I32" i="39"/>
  <c r="D32" i="39"/>
  <c r="B32" i="39"/>
  <c r="I31" i="39"/>
  <c r="D31" i="39"/>
  <c r="B31" i="39"/>
  <c r="I30" i="39"/>
  <c r="D30" i="39"/>
  <c r="B30" i="39"/>
  <c r="I29" i="39"/>
  <c r="D29" i="39"/>
  <c r="B29" i="39"/>
  <c r="G28" i="39"/>
  <c r="D28" i="39"/>
  <c r="A28" i="39" s="1"/>
  <c r="C28" i="39"/>
  <c r="B28" i="39"/>
  <c r="I27" i="39"/>
  <c r="I35" i="39" s="1"/>
  <c r="D27" i="39"/>
  <c r="B27" i="39"/>
  <c r="H21" i="39"/>
  <c r="F21" i="39"/>
  <c r="E21" i="39"/>
  <c r="I20" i="39"/>
  <c r="D20" i="39"/>
  <c r="B20" i="39"/>
  <c r="I19" i="39"/>
  <c r="D19" i="39"/>
  <c r="B19" i="39"/>
  <c r="G18" i="39"/>
  <c r="D18" i="39"/>
  <c r="A18" i="39" s="1"/>
  <c r="C18" i="39"/>
  <c r="B18" i="39"/>
  <c r="I17" i="39"/>
  <c r="G17" i="39" s="1"/>
  <c r="A17" i="39" s="1"/>
  <c r="D17" i="39"/>
  <c r="B17" i="39"/>
  <c r="F62" i="38"/>
  <c r="J61" i="38"/>
  <c r="I61" i="38"/>
  <c r="H61" i="38" s="1"/>
  <c r="E61" i="38"/>
  <c r="D61" i="38"/>
  <c r="C61" i="38"/>
  <c r="B61" i="38" s="1"/>
  <c r="H60" i="38"/>
  <c r="E60" i="38"/>
  <c r="D60" i="38"/>
  <c r="C60" i="38"/>
  <c r="B60" i="38"/>
  <c r="I59" i="38"/>
  <c r="H59" i="38" s="1"/>
  <c r="E59" i="38"/>
  <c r="D59" i="38"/>
  <c r="H58" i="38"/>
  <c r="E58" i="38"/>
  <c r="D58" i="38"/>
  <c r="C58" i="38"/>
  <c r="B58" i="38"/>
  <c r="H57" i="38"/>
  <c r="E57" i="38"/>
  <c r="D57" i="38"/>
  <c r="C57" i="38"/>
  <c r="B57" i="38" s="1"/>
  <c r="I56" i="38"/>
  <c r="H56" i="38" s="1"/>
  <c r="E56" i="38"/>
  <c r="D56" i="38"/>
  <c r="H55" i="38"/>
  <c r="E55" i="38"/>
  <c r="D55" i="38"/>
  <c r="C55" i="38"/>
  <c r="B55" i="38" s="1"/>
  <c r="H54" i="38"/>
  <c r="E54" i="38"/>
  <c r="D54" i="38"/>
  <c r="C54" i="38"/>
  <c r="B54" i="38"/>
  <c r="H53" i="38"/>
  <c r="E53" i="38"/>
  <c r="D53" i="38"/>
  <c r="C53" i="38"/>
  <c r="B53" i="38" s="1"/>
  <c r="H52" i="38"/>
  <c r="E52" i="38"/>
  <c r="D52" i="38"/>
  <c r="C52" i="38"/>
  <c r="H51" i="38"/>
  <c r="E51" i="38"/>
  <c r="D51" i="38"/>
  <c r="C51" i="38"/>
  <c r="H50" i="38"/>
  <c r="E50" i="38"/>
  <c r="D50" i="38"/>
  <c r="C50" i="38"/>
  <c r="H49" i="38"/>
  <c r="E49" i="38"/>
  <c r="D49" i="38"/>
  <c r="C49" i="38"/>
  <c r="B49" i="38"/>
  <c r="H48" i="38"/>
  <c r="E48" i="38"/>
  <c r="D48" i="38"/>
  <c r="C48" i="38"/>
  <c r="B48" i="38" s="1"/>
  <c r="H47" i="38"/>
  <c r="E47" i="38"/>
  <c r="D47" i="38"/>
  <c r="C47" i="38"/>
  <c r="B47" i="38"/>
  <c r="H46" i="38"/>
  <c r="E46" i="38"/>
  <c r="D46" i="38"/>
  <c r="C46" i="38"/>
  <c r="B46" i="38" s="1"/>
  <c r="H45" i="38"/>
  <c r="E45" i="38"/>
  <c r="D45" i="38"/>
  <c r="C45" i="38"/>
  <c r="B45" i="38" s="1"/>
  <c r="H44" i="38"/>
  <c r="E44" i="38"/>
  <c r="D44" i="38"/>
  <c r="C44" i="38"/>
  <c r="B44" i="38" s="1"/>
  <c r="H43" i="38"/>
  <c r="E43" i="38"/>
  <c r="D43" i="38"/>
  <c r="C43" i="38"/>
  <c r="B43" i="38" s="1"/>
  <c r="H42" i="38"/>
  <c r="F42" i="38"/>
  <c r="E42" i="38"/>
  <c r="D42" i="38"/>
  <c r="C42" i="38"/>
  <c r="B42" i="38" s="1"/>
  <c r="H41" i="38"/>
  <c r="E41" i="38"/>
  <c r="D41" i="38"/>
  <c r="C41" i="38"/>
  <c r="H40" i="38"/>
  <c r="E40" i="38"/>
  <c r="D40" i="38"/>
  <c r="C40" i="38"/>
  <c r="B40" i="38" s="1"/>
  <c r="H39" i="38"/>
  <c r="G39" i="38"/>
  <c r="E39" i="38"/>
  <c r="D39" i="38"/>
  <c r="C39" i="38"/>
  <c r="B39" i="38" s="1"/>
  <c r="H38" i="38"/>
  <c r="E38" i="38"/>
  <c r="D38" i="38"/>
  <c r="C38" i="38"/>
  <c r="H37" i="38"/>
  <c r="E37" i="38"/>
  <c r="D37" i="38"/>
  <c r="C37" i="38"/>
  <c r="B37" i="38" s="1"/>
  <c r="H36" i="38"/>
  <c r="E36" i="38"/>
  <c r="D36" i="38"/>
  <c r="C36" i="38"/>
  <c r="B36" i="38"/>
  <c r="H35" i="38"/>
  <c r="E35" i="38"/>
  <c r="D35" i="38"/>
  <c r="C35" i="38"/>
  <c r="B35" i="38" s="1"/>
  <c r="J34" i="38"/>
  <c r="H34" i="38" s="1"/>
  <c r="E34" i="38"/>
  <c r="C34" i="38"/>
  <c r="H33" i="38"/>
  <c r="E33" i="38"/>
  <c r="D33" i="38"/>
  <c r="C33" i="38"/>
  <c r="B33" i="38"/>
  <c r="H32" i="38"/>
  <c r="E32" i="38"/>
  <c r="D32" i="38"/>
  <c r="C32" i="38"/>
  <c r="B32" i="38" s="1"/>
  <c r="J31" i="38"/>
  <c r="D31" i="38" s="1"/>
  <c r="I31" i="38"/>
  <c r="E31" i="38"/>
  <c r="I30" i="38"/>
  <c r="H30" i="38" s="1"/>
  <c r="F30" i="38"/>
  <c r="E30" i="38" s="1"/>
  <c r="D30" i="38"/>
  <c r="H29" i="38"/>
  <c r="E29" i="38"/>
  <c r="D29" i="38"/>
  <c r="C29" i="38"/>
  <c r="H28" i="38"/>
  <c r="E28" i="38"/>
  <c r="D28" i="38"/>
  <c r="C28" i="38"/>
  <c r="B28" i="38"/>
  <c r="J27" i="38"/>
  <c r="E27" i="38"/>
  <c r="C27" i="38"/>
  <c r="H26" i="38"/>
  <c r="E26" i="38"/>
  <c r="D26" i="38"/>
  <c r="C26" i="38"/>
  <c r="J25" i="38"/>
  <c r="H25" i="38" s="1"/>
  <c r="F25" i="38"/>
  <c r="D25" i="38"/>
  <c r="I24" i="38"/>
  <c r="H24" i="38" s="1"/>
  <c r="E24" i="38"/>
  <c r="D24" i="38"/>
  <c r="C24" i="38"/>
  <c r="B24" i="38" s="1"/>
  <c r="J23" i="38"/>
  <c r="H23" i="38"/>
  <c r="E23" i="38"/>
  <c r="D23" i="38"/>
  <c r="C23" i="38"/>
  <c r="B23" i="38"/>
  <c r="J22" i="38"/>
  <c r="H22" i="38"/>
  <c r="E22" i="38"/>
  <c r="D22" i="38"/>
  <c r="C22" i="38"/>
  <c r="B22" i="38"/>
  <c r="J21" i="38"/>
  <c r="E21" i="38"/>
  <c r="C21" i="38"/>
  <c r="I20" i="38"/>
  <c r="H20" i="38" s="1"/>
  <c r="E20" i="38"/>
  <c r="D20" i="38"/>
  <c r="C20" i="38"/>
  <c r="B20" i="38" s="1"/>
  <c r="H19" i="38"/>
  <c r="E19" i="38"/>
  <c r="D19" i="38"/>
  <c r="C19" i="38"/>
  <c r="H18" i="38"/>
  <c r="E18" i="38"/>
  <c r="D18" i="38"/>
  <c r="C18" i="38"/>
  <c r="H17" i="38"/>
  <c r="E17" i="38"/>
  <c r="D17" i="38"/>
  <c r="C17" i="38"/>
  <c r="J16" i="38"/>
  <c r="H16" i="38" s="1"/>
  <c r="G16" i="38"/>
  <c r="E16" i="38" s="1"/>
  <c r="D16" i="38"/>
  <c r="C16" i="38"/>
  <c r="B16" i="38"/>
  <c r="H15" i="38"/>
  <c r="G15" i="38"/>
  <c r="F15" i="38"/>
  <c r="F63" i="38" s="1"/>
  <c r="D15" i="38"/>
  <c r="I14" i="38"/>
  <c r="H14" i="38" s="1"/>
  <c r="E14" i="38"/>
  <c r="D14" i="38"/>
  <c r="J13" i="38"/>
  <c r="E13" i="38"/>
  <c r="C13" i="38"/>
  <c r="H12" i="38"/>
  <c r="E12" i="38"/>
  <c r="D12" i="38"/>
  <c r="C12" i="38"/>
  <c r="B12" i="38" s="1"/>
  <c r="H11" i="38"/>
  <c r="E11" i="38"/>
  <c r="D11" i="38"/>
  <c r="C11" i="38"/>
  <c r="B11" i="38" s="1"/>
  <c r="J10" i="38"/>
  <c r="E10" i="38"/>
  <c r="C10" i="38"/>
  <c r="I9" i="38"/>
  <c r="I63" i="38" s="1"/>
  <c r="G9" i="38"/>
  <c r="G63" i="38" s="1"/>
  <c r="D9" i="38"/>
  <c r="J8" i="38"/>
  <c r="J62" i="38" s="1"/>
  <c r="I8" i="38"/>
  <c r="G8" i="38"/>
  <c r="E8" i="38" s="1"/>
  <c r="H7" i="38"/>
  <c r="E7" i="38"/>
  <c r="D7" i="38"/>
  <c r="C7" i="38"/>
  <c r="B7" i="38" s="1"/>
  <c r="H6" i="38"/>
  <c r="E6" i="38"/>
  <c r="D6" i="38"/>
  <c r="C6" i="38"/>
  <c r="H5" i="38"/>
  <c r="E5" i="38"/>
  <c r="E62" i="38" s="1"/>
  <c r="D5" i="38"/>
  <c r="C5" i="38"/>
  <c r="B5" i="38" s="1"/>
  <c r="J37" i="37"/>
  <c r="I37" i="37"/>
  <c r="G37" i="37"/>
  <c r="F37" i="37"/>
  <c r="J36" i="37"/>
  <c r="I36" i="37"/>
  <c r="G36" i="37"/>
  <c r="F36" i="37"/>
  <c r="J35" i="37"/>
  <c r="I35" i="37"/>
  <c r="I38" i="37" s="1"/>
  <c r="G35" i="37"/>
  <c r="F35" i="37"/>
  <c r="H34" i="37"/>
  <c r="E34" i="37"/>
  <c r="D34" i="37"/>
  <c r="C34" i="37"/>
  <c r="B34" i="37" s="1"/>
  <c r="H33" i="37"/>
  <c r="E33" i="37"/>
  <c r="D33" i="37"/>
  <c r="C33" i="37"/>
  <c r="B33" i="37"/>
  <c r="H32" i="37"/>
  <c r="E32" i="37"/>
  <c r="D32" i="37"/>
  <c r="C32" i="37"/>
  <c r="B32" i="37" s="1"/>
  <c r="H31" i="37"/>
  <c r="E31" i="37"/>
  <c r="D31" i="37"/>
  <c r="C31" i="37"/>
  <c r="H30" i="37"/>
  <c r="E30" i="37"/>
  <c r="D30" i="37"/>
  <c r="C30" i="37"/>
  <c r="H29" i="37"/>
  <c r="E29" i="37"/>
  <c r="D29" i="37"/>
  <c r="C29" i="37"/>
  <c r="H28" i="37"/>
  <c r="E28" i="37"/>
  <c r="D28" i="37"/>
  <c r="C28" i="37"/>
  <c r="B28" i="37"/>
  <c r="H27" i="37"/>
  <c r="E27" i="37"/>
  <c r="D27" i="37"/>
  <c r="C27" i="37"/>
  <c r="B27" i="37" s="1"/>
  <c r="H26" i="37"/>
  <c r="E26" i="37"/>
  <c r="D26" i="37"/>
  <c r="C26" i="37"/>
  <c r="B26" i="37"/>
  <c r="H25" i="37"/>
  <c r="E25" i="37"/>
  <c r="D25" i="37"/>
  <c r="C25" i="37"/>
  <c r="B25" i="37" s="1"/>
  <c r="H24" i="37"/>
  <c r="E24" i="37"/>
  <c r="D24" i="37"/>
  <c r="C24" i="37"/>
  <c r="B24" i="37" s="1"/>
  <c r="H23" i="37"/>
  <c r="E23" i="37"/>
  <c r="D23" i="37"/>
  <c r="C23" i="37"/>
  <c r="B23" i="37" s="1"/>
  <c r="H22" i="37"/>
  <c r="E22" i="37"/>
  <c r="D22" i="37"/>
  <c r="C22" i="37"/>
  <c r="B22" i="37" s="1"/>
  <c r="H21" i="37"/>
  <c r="E21" i="37"/>
  <c r="D21" i="37"/>
  <c r="C21" i="37"/>
  <c r="B21" i="37"/>
  <c r="H20" i="37"/>
  <c r="E20" i="37"/>
  <c r="D20" i="37"/>
  <c r="C20" i="37"/>
  <c r="B20" i="37" s="1"/>
  <c r="H19" i="37"/>
  <c r="E19" i="37"/>
  <c r="D19" i="37"/>
  <c r="C19" i="37"/>
  <c r="H18" i="37"/>
  <c r="E18" i="37"/>
  <c r="D18" i="37"/>
  <c r="C18" i="37"/>
  <c r="H17" i="37"/>
  <c r="E17" i="37"/>
  <c r="D17" i="37"/>
  <c r="C17" i="37"/>
  <c r="H16" i="37"/>
  <c r="E16" i="37"/>
  <c r="D16" i="37"/>
  <c r="C16" i="37"/>
  <c r="B16" i="37"/>
  <c r="H15" i="37"/>
  <c r="E15" i="37"/>
  <c r="D15" i="37"/>
  <c r="C15" i="37"/>
  <c r="B15" i="37" s="1"/>
  <c r="H14" i="37"/>
  <c r="E14" i="37"/>
  <c r="D14" i="37"/>
  <c r="C14" i="37"/>
  <c r="B14" i="37"/>
  <c r="H13" i="37"/>
  <c r="E13" i="37"/>
  <c r="D13" i="37"/>
  <c r="C13" i="37"/>
  <c r="B13" i="37" s="1"/>
  <c r="H12" i="37"/>
  <c r="E12" i="37"/>
  <c r="D12" i="37"/>
  <c r="C12" i="37"/>
  <c r="B12" i="37" s="1"/>
  <c r="H11" i="37"/>
  <c r="E11" i="37"/>
  <c r="D11" i="37"/>
  <c r="C11" i="37"/>
  <c r="B11" i="37" s="1"/>
  <c r="H10" i="37"/>
  <c r="E10" i="37"/>
  <c r="D10" i="37"/>
  <c r="C10" i="37"/>
  <c r="B10" i="37" s="1"/>
  <c r="H9" i="37"/>
  <c r="E9" i="37"/>
  <c r="D9" i="37"/>
  <c r="C9" i="37"/>
  <c r="B9" i="37"/>
  <c r="H8" i="37"/>
  <c r="E8" i="37"/>
  <c r="D8" i="37"/>
  <c r="C8" i="37"/>
  <c r="B8" i="37" s="1"/>
  <c r="H7" i="37"/>
  <c r="H37" i="37" s="1"/>
  <c r="E7" i="37"/>
  <c r="D7" i="37"/>
  <c r="D37" i="37" s="1"/>
  <c r="C7" i="37"/>
  <c r="H6" i="37"/>
  <c r="E6" i="37"/>
  <c r="D6" i="37"/>
  <c r="C6" i="37"/>
  <c r="H5" i="37"/>
  <c r="H35" i="37" s="1"/>
  <c r="E5" i="37"/>
  <c r="D5" i="37"/>
  <c r="D35" i="37" s="1"/>
  <c r="C5" i="37"/>
  <c r="I73" i="36"/>
  <c r="H73" i="36"/>
  <c r="F73" i="36"/>
  <c r="E73" i="36"/>
  <c r="G72" i="36"/>
  <c r="D72" i="36"/>
  <c r="C72" i="36"/>
  <c r="B72" i="36"/>
  <c r="A72" i="36"/>
  <c r="G71" i="36"/>
  <c r="D71" i="36"/>
  <c r="D73" i="36" s="1"/>
  <c r="C71" i="36"/>
  <c r="B71" i="36"/>
  <c r="A71" i="36" s="1"/>
  <c r="A73" i="36" s="1"/>
  <c r="I70" i="36"/>
  <c r="H70" i="36"/>
  <c r="F70" i="36"/>
  <c r="E70" i="36"/>
  <c r="G69" i="36"/>
  <c r="D69" i="36"/>
  <c r="C69" i="36"/>
  <c r="B69" i="36"/>
  <c r="A69" i="36" s="1"/>
  <c r="G68" i="36"/>
  <c r="G70" i="36" s="1"/>
  <c r="D68" i="36"/>
  <c r="D70" i="36" s="1"/>
  <c r="C68" i="36"/>
  <c r="C70" i="36" s="1"/>
  <c r="B68" i="36"/>
  <c r="B70" i="36" s="1"/>
  <c r="I67" i="36"/>
  <c r="H67" i="36"/>
  <c r="F67" i="36"/>
  <c r="E67" i="36"/>
  <c r="G66" i="36"/>
  <c r="D66" i="36"/>
  <c r="C66" i="36"/>
  <c r="B66" i="36"/>
  <c r="A66" i="36" s="1"/>
  <c r="G65" i="36"/>
  <c r="G67" i="36" s="1"/>
  <c r="D65" i="36"/>
  <c r="C65" i="36"/>
  <c r="C67" i="36" s="1"/>
  <c r="B65" i="36"/>
  <c r="F64" i="36"/>
  <c r="E64" i="36"/>
  <c r="G63" i="36"/>
  <c r="D63" i="36"/>
  <c r="C63" i="36"/>
  <c r="B63" i="36"/>
  <c r="I62" i="36"/>
  <c r="I64" i="36" s="1"/>
  <c r="H62" i="36"/>
  <c r="H64" i="36" s="1"/>
  <c r="G62" i="36"/>
  <c r="G64" i="36" s="1"/>
  <c r="D62" i="36"/>
  <c r="D64" i="36" s="1"/>
  <c r="C62" i="36"/>
  <c r="C64" i="36" s="1"/>
  <c r="B62" i="36"/>
  <c r="B64" i="36" s="1"/>
  <c r="A62" i="36"/>
  <c r="I61" i="36"/>
  <c r="H61" i="36"/>
  <c r="F61" i="36"/>
  <c r="E61" i="36"/>
  <c r="G60" i="36"/>
  <c r="D60" i="36"/>
  <c r="C60" i="36"/>
  <c r="B60" i="36"/>
  <c r="A60" i="36"/>
  <c r="G59" i="36"/>
  <c r="D59" i="36"/>
  <c r="D61" i="36" s="1"/>
  <c r="C59" i="36"/>
  <c r="B59" i="36"/>
  <c r="A59" i="36" s="1"/>
  <c r="A61" i="36" s="1"/>
  <c r="I58" i="36"/>
  <c r="H58" i="36"/>
  <c r="F58" i="36"/>
  <c r="E58" i="36"/>
  <c r="G57" i="36"/>
  <c r="D57" i="36"/>
  <c r="C57" i="36"/>
  <c r="B57" i="36"/>
  <c r="G56" i="36"/>
  <c r="G58" i="36" s="1"/>
  <c r="D56" i="36"/>
  <c r="D58" i="36" s="1"/>
  <c r="C56" i="36"/>
  <c r="C58" i="36" s="1"/>
  <c r="B56" i="36"/>
  <c r="B58" i="36" s="1"/>
  <c r="A56" i="36"/>
  <c r="I55" i="36"/>
  <c r="H55" i="36"/>
  <c r="F55" i="36"/>
  <c r="E55" i="36"/>
  <c r="G54" i="36"/>
  <c r="D54" i="36"/>
  <c r="C54" i="36"/>
  <c r="B54" i="36"/>
  <c r="A54" i="36" s="1"/>
  <c r="G53" i="36"/>
  <c r="D53" i="36"/>
  <c r="C53" i="36"/>
  <c r="B53" i="36"/>
  <c r="I52" i="36"/>
  <c r="H52" i="36"/>
  <c r="F52" i="36"/>
  <c r="E52" i="36"/>
  <c r="G51" i="36"/>
  <c r="D51" i="36"/>
  <c r="C51" i="36"/>
  <c r="B51" i="36"/>
  <c r="G50" i="36"/>
  <c r="G52" i="36" s="1"/>
  <c r="D50" i="36"/>
  <c r="D52" i="36" s="1"/>
  <c r="C50" i="36"/>
  <c r="C52" i="36" s="1"/>
  <c r="B50" i="36"/>
  <c r="B52" i="36" s="1"/>
  <c r="A50" i="36"/>
  <c r="I49" i="36"/>
  <c r="H49" i="36"/>
  <c r="F49" i="36"/>
  <c r="E49" i="36"/>
  <c r="G48" i="36"/>
  <c r="D48" i="36"/>
  <c r="C48" i="36"/>
  <c r="B48" i="36"/>
  <c r="A48" i="36"/>
  <c r="G47" i="36"/>
  <c r="D47" i="36"/>
  <c r="D49" i="36" s="1"/>
  <c r="C47" i="36"/>
  <c r="B47" i="36"/>
  <c r="A47" i="36" s="1"/>
  <c r="A49" i="36" s="1"/>
  <c r="I46" i="36"/>
  <c r="H46" i="36"/>
  <c r="F46" i="36"/>
  <c r="E46" i="36"/>
  <c r="G45" i="36"/>
  <c r="D45" i="36"/>
  <c r="C45" i="36"/>
  <c r="B45" i="36"/>
  <c r="G44" i="36"/>
  <c r="G46" i="36" s="1"/>
  <c r="D44" i="36"/>
  <c r="D46" i="36" s="1"/>
  <c r="C44" i="36"/>
  <c r="C46" i="36" s="1"/>
  <c r="B44" i="36"/>
  <c r="B46" i="36" s="1"/>
  <c r="A44" i="36"/>
  <c r="F43" i="36"/>
  <c r="E43" i="36"/>
  <c r="G42" i="36"/>
  <c r="D42" i="36"/>
  <c r="C42" i="36"/>
  <c r="B42" i="36"/>
  <c r="A42" i="36"/>
  <c r="I41" i="36"/>
  <c r="I43" i="36" s="1"/>
  <c r="H41" i="36"/>
  <c r="G41" i="36" s="1"/>
  <c r="G43" i="36" s="1"/>
  <c r="D41" i="36"/>
  <c r="D43" i="36" s="1"/>
  <c r="C41" i="36"/>
  <c r="C43" i="36" s="1"/>
  <c r="I40" i="36"/>
  <c r="E40" i="36"/>
  <c r="G39" i="36"/>
  <c r="D39" i="36"/>
  <c r="C39" i="36"/>
  <c r="B39" i="36"/>
  <c r="H38" i="36"/>
  <c r="F38" i="36"/>
  <c r="C38" i="36"/>
  <c r="C40" i="36" s="1"/>
  <c r="I37" i="36"/>
  <c r="H37" i="36"/>
  <c r="F37" i="36"/>
  <c r="E37" i="36"/>
  <c r="G36" i="36"/>
  <c r="D36" i="36"/>
  <c r="C36" i="36"/>
  <c r="B36" i="36"/>
  <c r="A36" i="36" s="1"/>
  <c r="G35" i="36"/>
  <c r="D35" i="36"/>
  <c r="C35" i="36"/>
  <c r="B35" i="36"/>
  <c r="I34" i="36"/>
  <c r="H34" i="36"/>
  <c r="F34" i="36"/>
  <c r="E34" i="36"/>
  <c r="G33" i="36"/>
  <c r="D33" i="36"/>
  <c r="C33" i="36"/>
  <c r="B33" i="36"/>
  <c r="G32" i="36"/>
  <c r="G34" i="36" s="1"/>
  <c r="D32" i="36"/>
  <c r="D34" i="36" s="1"/>
  <c r="C32" i="36"/>
  <c r="C34" i="36" s="1"/>
  <c r="B32" i="36"/>
  <c r="B34" i="36" s="1"/>
  <c r="A32" i="36"/>
  <c r="F31" i="36"/>
  <c r="E31" i="36"/>
  <c r="D31" i="36"/>
  <c r="I30" i="36"/>
  <c r="H30" i="36"/>
  <c r="H31" i="36" s="1"/>
  <c r="G30" i="36"/>
  <c r="D30" i="36"/>
  <c r="C30" i="36"/>
  <c r="B30" i="36"/>
  <c r="A30" i="36"/>
  <c r="I29" i="36"/>
  <c r="G29" i="36"/>
  <c r="G31" i="36" s="1"/>
  <c r="D29" i="36"/>
  <c r="C29" i="36"/>
  <c r="C31" i="36" s="1"/>
  <c r="B29" i="36"/>
  <c r="B31" i="36" s="1"/>
  <c r="A29" i="36"/>
  <c r="A31" i="36" s="1"/>
  <c r="I28" i="36"/>
  <c r="H28" i="36"/>
  <c r="F28" i="36"/>
  <c r="G27" i="36"/>
  <c r="D27" i="36"/>
  <c r="C27" i="36"/>
  <c r="B27" i="36"/>
  <c r="A27" i="36"/>
  <c r="G26" i="36"/>
  <c r="E26" i="36"/>
  <c r="C26" i="36"/>
  <c r="F25" i="36"/>
  <c r="E25" i="36"/>
  <c r="H24" i="36"/>
  <c r="G24" i="36" s="1"/>
  <c r="D24" i="36"/>
  <c r="C24" i="36"/>
  <c r="I23" i="36"/>
  <c r="I25" i="36" s="1"/>
  <c r="H23" i="36"/>
  <c r="H25" i="36" s="1"/>
  <c r="D23" i="36"/>
  <c r="D25" i="36" s="1"/>
  <c r="C23" i="36"/>
  <c r="I21" i="36"/>
  <c r="H21" i="36"/>
  <c r="G21" i="36" s="1"/>
  <c r="F21" i="36"/>
  <c r="F22" i="36" s="1"/>
  <c r="E21" i="36"/>
  <c r="E75" i="36" s="1"/>
  <c r="B21" i="36"/>
  <c r="I20" i="36"/>
  <c r="I22" i="36" s="1"/>
  <c r="H20" i="36"/>
  <c r="H22" i="36" s="1"/>
  <c r="D20" i="36"/>
  <c r="C20" i="36"/>
  <c r="B20" i="36"/>
  <c r="B22" i="36" s="1"/>
  <c r="F19" i="36"/>
  <c r="E19" i="36"/>
  <c r="G18" i="36"/>
  <c r="D18" i="36"/>
  <c r="C18" i="36"/>
  <c r="B18" i="36"/>
  <c r="A18" i="36"/>
  <c r="I17" i="36"/>
  <c r="I19" i="36" s="1"/>
  <c r="H17" i="36"/>
  <c r="G17" i="36" s="1"/>
  <c r="G19" i="36" s="1"/>
  <c r="D17" i="36"/>
  <c r="D19" i="36" s="1"/>
  <c r="C17" i="36"/>
  <c r="C19" i="36" s="1"/>
  <c r="F16" i="36"/>
  <c r="E16" i="36"/>
  <c r="I15" i="36"/>
  <c r="C15" i="36" s="1"/>
  <c r="H15" i="36"/>
  <c r="D15" i="36"/>
  <c r="B15" i="36"/>
  <c r="I14" i="36"/>
  <c r="H14" i="36"/>
  <c r="H16" i="36" s="1"/>
  <c r="D14" i="36"/>
  <c r="D16" i="36" s="1"/>
  <c r="C14" i="36"/>
  <c r="B14" i="36"/>
  <c r="B16" i="36" s="1"/>
  <c r="I13" i="36"/>
  <c r="F13" i="36"/>
  <c r="G12" i="36"/>
  <c r="D12" i="36"/>
  <c r="C12" i="36"/>
  <c r="B12" i="36"/>
  <c r="A12" i="36" s="1"/>
  <c r="H11" i="36"/>
  <c r="H13" i="36" s="1"/>
  <c r="E11" i="36"/>
  <c r="E74" i="36" s="1"/>
  <c r="C11" i="36"/>
  <c r="C13" i="36" s="1"/>
  <c r="F10" i="36"/>
  <c r="E10" i="36"/>
  <c r="I9" i="36"/>
  <c r="I75" i="36" s="1"/>
  <c r="H9" i="36"/>
  <c r="H75" i="36" s="1"/>
  <c r="D9" i="36"/>
  <c r="B9" i="36"/>
  <c r="I8" i="36"/>
  <c r="H8" i="36"/>
  <c r="H10" i="36" s="1"/>
  <c r="D8" i="36"/>
  <c r="D10" i="36" s="1"/>
  <c r="C8" i="36"/>
  <c r="B8" i="36"/>
  <c r="B10" i="36" s="1"/>
  <c r="F7" i="36"/>
  <c r="E7" i="36"/>
  <c r="G6" i="36"/>
  <c r="D6" i="36"/>
  <c r="C6" i="36"/>
  <c r="B6" i="36"/>
  <c r="A6" i="36"/>
  <c r="I5" i="36"/>
  <c r="I74" i="36" s="1"/>
  <c r="H5" i="36"/>
  <c r="H74" i="36" s="1"/>
  <c r="D5" i="36"/>
  <c r="C5" i="36"/>
  <c r="C7" i="36" s="1"/>
  <c r="I75" i="35"/>
  <c r="H75" i="35"/>
  <c r="F75" i="35"/>
  <c r="E75" i="35"/>
  <c r="I74" i="35"/>
  <c r="H74" i="35"/>
  <c r="F74" i="35"/>
  <c r="E74" i="35"/>
  <c r="I73" i="35"/>
  <c r="H73" i="35"/>
  <c r="F73" i="35"/>
  <c r="E73" i="35"/>
  <c r="G72" i="35"/>
  <c r="D72" i="35"/>
  <c r="C72" i="35"/>
  <c r="B72" i="35"/>
  <c r="A72" i="35"/>
  <c r="G71" i="35"/>
  <c r="D71" i="35"/>
  <c r="D73" i="35" s="1"/>
  <c r="C71" i="35"/>
  <c r="B71" i="35"/>
  <c r="A71" i="35" s="1"/>
  <c r="A73" i="35" s="1"/>
  <c r="I70" i="35"/>
  <c r="H70" i="35"/>
  <c r="F70" i="35"/>
  <c r="E70" i="35"/>
  <c r="G69" i="35"/>
  <c r="D69" i="35"/>
  <c r="C69" i="35"/>
  <c r="B69" i="35"/>
  <c r="A69" i="35" s="1"/>
  <c r="G68" i="35"/>
  <c r="G70" i="35" s="1"/>
  <c r="D68" i="35"/>
  <c r="D70" i="35" s="1"/>
  <c r="C68" i="35"/>
  <c r="C70" i="35" s="1"/>
  <c r="B68" i="35"/>
  <c r="B70" i="35" s="1"/>
  <c r="I67" i="35"/>
  <c r="H67" i="35"/>
  <c r="F67" i="35"/>
  <c r="E67" i="35"/>
  <c r="G66" i="35"/>
  <c r="D66" i="35"/>
  <c r="C66" i="35"/>
  <c r="B66" i="35"/>
  <c r="A66" i="35"/>
  <c r="G65" i="35"/>
  <c r="D65" i="35"/>
  <c r="D67" i="35" s="1"/>
  <c r="C65" i="35"/>
  <c r="B65" i="35"/>
  <c r="A65" i="35" s="1"/>
  <c r="A67" i="35" s="1"/>
  <c r="I64" i="35"/>
  <c r="H64" i="35"/>
  <c r="F64" i="35"/>
  <c r="E64" i="35"/>
  <c r="G63" i="35"/>
  <c r="D63" i="35"/>
  <c r="C63" i="35"/>
  <c r="B63" i="35"/>
  <c r="A63" i="35" s="1"/>
  <c r="G62" i="35"/>
  <c r="G64" i="35" s="1"/>
  <c r="D62" i="35"/>
  <c r="D64" i="35" s="1"/>
  <c r="C62" i="35"/>
  <c r="C64" i="35" s="1"/>
  <c r="B62" i="35"/>
  <c r="B64" i="35" s="1"/>
  <c r="I61" i="35"/>
  <c r="H61" i="35"/>
  <c r="F61" i="35"/>
  <c r="E61" i="35"/>
  <c r="G60" i="35"/>
  <c r="D60" i="35"/>
  <c r="C60" i="35"/>
  <c r="B60" i="35"/>
  <c r="A60" i="35"/>
  <c r="G59" i="35"/>
  <c r="D59" i="35"/>
  <c r="D61" i="35" s="1"/>
  <c r="C59" i="35"/>
  <c r="B59" i="35"/>
  <c r="A59" i="35" s="1"/>
  <c r="A61" i="35" s="1"/>
  <c r="I58" i="35"/>
  <c r="H58" i="35"/>
  <c r="F58" i="35"/>
  <c r="E58" i="35"/>
  <c r="G57" i="35"/>
  <c r="D57" i="35"/>
  <c r="C57" i="35"/>
  <c r="B57" i="35"/>
  <c r="A57" i="35" s="1"/>
  <c r="G56" i="35"/>
  <c r="G58" i="35" s="1"/>
  <c r="D56" i="35"/>
  <c r="D58" i="35" s="1"/>
  <c r="C56" i="35"/>
  <c r="C58" i="35" s="1"/>
  <c r="B56" i="35"/>
  <c r="B58" i="35" s="1"/>
  <c r="I55" i="35"/>
  <c r="H55" i="35"/>
  <c r="F55" i="35"/>
  <c r="E55" i="35"/>
  <c r="G54" i="35"/>
  <c r="D54" i="35"/>
  <c r="C54" i="35"/>
  <c r="B54" i="35"/>
  <c r="A54" i="35"/>
  <c r="G53" i="35"/>
  <c r="D53" i="35"/>
  <c r="D55" i="35" s="1"/>
  <c r="C53" i="35"/>
  <c r="B53" i="35"/>
  <c r="A53" i="35" s="1"/>
  <c r="A55" i="35" s="1"/>
  <c r="I52" i="35"/>
  <c r="H52" i="35"/>
  <c r="F52" i="35"/>
  <c r="E52" i="35"/>
  <c r="G51" i="35"/>
  <c r="D51" i="35"/>
  <c r="C51" i="35"/>
  <c r="B51" i="35"/>
  <c r="A51" i="35" s="1"/>
  <c r="G50" i="35"/>
  <c r="G52" i="35" s="1"/>
  <c r="D50" i="35"/>
  <c r="D52" i="35" s="1"/>
  <c r="C50" i="35"/>
  <c r="C52" i="35" s="1"/>
  <c r="B50" i="35"/>
  <c r="B52" i="35" s="1"/>
  <c r="I49" i="35"/>
  <c r="H49" i="35"/>
  <c r="F49" i="35"/>
  <c r="E49" i="35"/>
  <c r="G48" i="35"/>
  <c r="D48" i="35"/>
  <c r="C48" i="35"/>
  <c r="B48" i="35"/>
  <c r="A48" i="35"/>
  <c r="G47" i="35"/>
  <c r="D47" i="35"/>
  <c r="D49" i="35" s="1"/>
  <c r="C47" i="35"/>
  <c r="B47" i="35"/>
  <c r="A47" i="35" s="1"/>
  <c r="A49" i="35" s="1"/>
  <c r="I46" i="35"/>
  <c r="H46" i="35"/>
  <c r="F46" i="35"/>
  <c r="E46" i="35"/>
  <c r="G45" i="35"/>
  <c r="D45" i="35"/>
  <c r="C45" i="35"/>
  <c r="B45" i="35"/>
  <c r="A45" i="35" s="1"/>
  <c r="G44" i="35"/>
  <c r="G46" i="35" s="1"/>
  <c r="D44" i="35"/>
  <c r="D46" i="35" s="1"/>
  <c r="C44" i="35"/>
  <c r="C46" i="35" s="1"/>
  <c r="B44" i="35"/>
  <c r="B46" i="35" s="1"/>
  <c r="I43" i="35"/>
  <c r="H43" i="35"/>
  <c r="F43" i="35"/>
  <c r="E43" i="35"/>
  <c r="G42" i="35"/>
  <c r="D42" i="35"/>
  <c r="C42" i="35"/>
  <c r="B42" i="35"/>
  <c r="A42" i="35"/>
  <c r="G41" i="35"/>
  <c r="D41" i="35"/>
  <c r="D43" i="35" s="1"/>
  <c r="C41" i="35"/>
  <c r="B41" i="35"/>
  <c r="A41" i="35" s="1"/>
  <c r="A43" i="35" s="1"/>
  <c r="I40" i="35"/>
  <c r="H40" i="35"/>
  <c r="F40" i="35"/>
  <c r="E40" i="35"/>
  <c r="G39" i="35"/>
  <c r="D39" i="35"/>
  <c r="C39" i="35"/>
  <c r="B39" i="35"/>
  <c r="A39" i="35" s="1"/>
  <c r="G38" i="35"/>
  <c r="G40" i="35" s="1"/>
  <c r="D38" i="35"/>
  <c r="D40" i="35" s="1"/>
  <c r="C38" i="35"/>
  <c r="C40" i="35" s="1"/>
  <c r="B38" i="35"/>
  <c r="B40" i="35" s="1"/>
  <c r="I37" i="35"/>
  <c r="H37" i="35"/>
  <c r="F37" i="35"/>
  <c r="E37" i="35"/>
  <c r="G36" i="35"/>
  <c r="D36" i="35"/>
  <c r="C36" i="35"/>
  <c r="B36" i="35"/>
  <c r="A36" i="35"/>
  <c r="G35" i="35"/>
  <c r="D35" i="35"/>
  <c r="D37" i="35" s="1"/>
  <c r="C35" i="35"/>
  <c r="B35" i="35"/>
  <c r="A35" i="35" s="1"/>
  <c r="A37" i="35" s="1"/>
  <c r="I34" i="35"/>
  <c r="H34" i="35"/>
  <c r="F34" i="35"/>
  <c r="E34" i="35"/>
  <c r="G33" i="35"/>
  <c r="D33" i="35"/>
  <c r="C33" i="35"/>
  <c r="B33" i="35"/>
  <c r="A33" i="35" s="1"/>
  <c r="G32" i="35"/>
  <c r="G34" i="35" s="1"/>
  <c r="D32" i="35"/>
  <c r="D34" i="35" s="1"/>
  <c r="C32" i="35"/>
  <c r="C34" i="35" s="1"/>
  <c r="B32" i="35"/>
  <c r="B34" i="35" s="1"/>
  <c r="I31" i="35"/>
  <c r="H31" i="35"/>
  <c r="F31" i="35"/>
  <c r="E31" i="35"/>
  <c r="G30" i="35"/>
  <c r="D30" i="35"/>
  <c r="C30" i="35"/>
  <c r="B30" i="35"/>
  <c r="A30" i="35"/>
  <c r="G29" i="35"/>
  <c r="D29" i="35"/>
  <c r="D31" i="35" s="1"/>
  <c r="C29" i="35"/>
  <c r="B29" i="35"/>
  <c r="A29" i="35" s="1"/>
  <c r="A31" i="35" s="1"/>
  <c r="I28" i="35"/>
  <c r="H28" i="35"/>
  <c r="F28" i="35"/>
  <c r="E28" i="35"/>
  <c r="G27" i="35"/>
  <c r="D27" i="35"/>
  <c r="C27" i="35"/>
  <c r="B27" i="35"/>
  <c r="A27" i="35" s="1"/>
  <c r="G26" i="35"/>
  <c r="G28" i="35" s="1"/>
  <c r="D26" i="35"/>
  <c r="D28" i="35" s="1"/>
  <c r="C26" i="35"/>
  <c r="C28" i="35" s="1"/>
  <c r="B26" i="35"/>
  <c r="B28" i="35" s="1"/>
  <c r="I25" i="35"/>
  <c r="H25" i="35"/>
  <c r="F25" i="35"/>
  <c r="E25" i="35"/>
  <c r="G24" i="35"/>
  <c r="D24" i="35"/>
  <c r="C24" i="35"/>
  <c r="B24" i="35"/>
  <c r="A24" i="35"/>
  <c r="G23" i="35"/>
  <c r="D23" i="35"/>
  <c r="D25" i="35" s="1"/>
  <c r="C23" i="35"/>
  <c r="B23" i="35"/>
  <c r="A23" i="35" s="1"/>
  <c r="A25" i="35" s="1"/>
  <c r="I22" i="35"/>
  <c r="H22" i="35"/>
  <c r="F22" i="35"/>
  <c r="E22" i="35"/>
  <c r="G21" i="35"/>
  <c r="D21" i="35"/>
  <c r="C21" i="35"/>
  <c r="B21" i="35"/>
  <c r="A21" i="35" s="1"/>
  <c r="G20" i="35"/>
  <c r="G22" i="35" s="1"/>
  <c r="D20" i="35"/>
  <c r="D22" i="35" s="1"/>
  <c r="C20" i="35"/>
  <c r="C22" i="35" s="1"/>
  <c r="B20" i="35"/>
  <c r="B22" i="35" s="1"/>
  <c r="I19" i="35"/>
  <c r="H19" i="35"/>
  <c r="F19" i="35"/>
  <c r="E19" i="35"/>
  <c r="G18" i="35"/>
  <c r="D18" i="35"/>
  <c r="C18" i="35"/>
  <c r="B18" i="35"/>
  <c r="A18" i="35"/>
  <c r="G17" i="35"/>
  <c r="D17" i="35"/>
  <c r="D19" i="35" s="1"/>
  <c r="C17" i="35"/>
  <c r="B17" i="35"/>
  <c r="A17" i="35" s="1"/>
  <c r="A19" i="35" s="1"/>
  <c r="I16" i="35"/>
  <c r="H16" i="35"/>
  <c r="F16" i="35"/>
  <c r="E16" i="35"/>
  <c r="G15" i="35"/>
  <c r="D15" i="35"/>
  <c r="C15" i="35"/>
  <c r="B15" i="35"/>
  <c r="A15" i="35" s="1"/>
  <c r="G14" i="35"/>
  <c r="G16" i="35" s="1"/>
  <c r="D14" i="35"/>
  <c r="D16" i="35" s="1"/>
  <c r="C14" i="35"/>
  <c r="C16" i="35" s="1"/>
  <c r="B14" i="35"/>
  <c r="B16" i="35" s="1"/>
  <c r="I13" i="35"/>
  <c r="H13" i="35"/>
  <c r="F13" i="35"/>
  <c r="E13" i="35"/>
  <c r="G12" i="35"/>
  <c r="D12" i="35"/>
  <c r="C12" i="35"/>
  <c r="B12" i="35"/>
  <c r="A12" i="35"/>
  <c r="G11" i="35"/>
  <c r="D11" i="35"/>
  <c r="D13" i="35" s="1"/>
  <c r="C11" i="35"/>
  <c r="B11" i="35"/>
  <c r="A11" i="35" s="1"/>
  <c r="A13" i="35" s="1"/>
  <c r="I10" i="35"/>
  <c r="H10" i="35"/>
  <c r="F10" i="35"/>
  <c r="E10" i="35"/>
  <c r="G9" i="35"/>
  <c r="D9" i="35"/>
  <c r="C9" i="35"/>
  <c r="B9" i="35"/>
  <c r="A9" i="35" s="1"/>
  <c r="G8" i="35"/>
  <c r="G10" i="35" s="1"/>
  <c r="D8" i="35"/>
  <c r="D10" i="35" s="1"/>
  <c r="C8" i="35"/>
  <c r="C10" i="35" s="1"/>
  <c r="B8" i="35"/>
  <c r="B10" i="35" s="1"/>
  <c r="I7" i="35"/>
  <c r="I76" i="35" s="1"/>
  <c r="H7" i="35"/>
  <c r="F7" i="35"/>
  <c r="F76" i="35" s="1"/>
  <c r="E7" i="35"/>
  <c r="G6" i="35"/>
  <c r="G75" i="35" s="1"/>
  <c r="D6" i="35"/>
  <c r="C6" i="35"/>
  <c r="C75" i="35" s="1"/>
  <c r="B6" i="35"/>
  <c r="A6" i="35"/>
  <c r="A75" i="35" s="1"/>
  <c r="G5" i="35"/>
  <c r="D5" i="35"/>
  <c r="D74" i="35" s="1"/>
  <c r="C5" i="35"/>
  <c r="B5" i="35"/>
  <c r="B74" i="35" s="1"/>
  <c r="H24" i="34"/>
  <c r="E24" i="34"/>
  <c r="B24" i="34" s="1"/>
  <c r="D24" i="34"/>
  <c r="C24" i="34"/>
  <c r="H23" i="34"/>
  <c r="E23" i="34"/>
  <c r="B23" i="34" s="1"/>
  <c r="D23" i="34"/>
  <c r="C23" i="34"/>
  <c r="J22" i="34"/>
  <c r="H22" i="34" s="1"/>
  <c r="G22" i="34"/>
  <c r="E22" i="34" s="1"/>
  <c r="D22" i="34"/>
  <c r="C22" i="34"/>
  <c r="H21" i="34"/>
  <c r="E21" i="34"/>
  <c r="D21" i="34"/>
  <c r="C21" i="34"/>
  <c r="B21" i="34"/>
  <c r="H20" i="34"/>
  <c r="E20" i="34"/>
  <c r="B20" i="34" s="1"/>
  <c r="D20" i="34"/>
  <c r="C20" i="34"/>
  <c r="H19" i="34"/>
  <c r="E19" i="34"/>
  <c r="D19" i="34"/>
  <c r="C19" i="34"/>
  <c r="B19" i="34"/>
  <c r="H18" i="34"/>
  <c r="E18" i="34"/>
  <c r="B18" i="34" s="1"/>
  <c r="D18" i="34"/>
  <c r="C18" i="34"/>
  <c r="J17" i="34"/>
  <c r="I17" i="34"/>
  <c r="H17" i="34" s="1"/>
  <c r="G17" i="34"/>
  <c r="F17" i="34"/>
  <c r="D17" i="34"/>
  <c r="H16" i="34"/>
  <c r="E16" i="34"/>
  <c r="D16" i="34"/>
  <c r="C16" i="34"/>
  <c r="H15" i="34"/>
  <c r="E15" i="34"/>
  <c r="D15" i="34"/>
  <c r="C15" i="34"/>
  <c r="B15" i="34"/>
  <c r="H14" i="34"/>
  <c r="E14" i="34"/>
  <c r="B14" i="34" s="1"/>
  <c r="D14" i="34"/>
  <c r="C14" i="34"/>
  <c r="H13" i="34"/>
  <c r="E13" i="34"/>
  <c r="D13" i="34"/>
  <c r="C13" i="34"/>
  <c r="B13" i="34"/>
  <c r="H12" i="34"/>
  <c r="E12" i="34"/>
  <c r="B12" i="34" s="1"/>
  <c r="D12" i="34"/>
  <c r="C12" i="34"/>
  <c r="H11" i="34"/>
  <c r="E11" i="34"/>
  <c r="D11" i="34"/>
  <c r="C11" i="34"/>
  <c r="B11" i="34"/>
  <c r="J10" i="34"/>
  <c r="I10" i="34"/>
  <c r="I25" i="34" s="1"/>
  <c r="G10" i="34"/>
  <c r="G25" i="34" s="1"/>
  <c r="D10" i="34"/>
  <c r="H9" i="34"/>
  <c r="E9" i="34"/>
  <c r="B9" i="34" s="1"/>
  <c r="D9" i="34"/>
  <c r="C9" i="34"/>
  <c r="H8" i="34"/>
  <c r="E8" i="34"/>
  <c r="D8" i="34"/>
  <c r="C8" i="34"/>
  <c r="B8" i="34"/>
  <c r="H7" i="34"/>
  <c r="E7" i="34"/>
  <c r="B7" i="34" s="1"/>
  <c r="D7" i="34"/>
  <c r="C7" i="34"/>
  <c r="H6" i="34"/>
  <c r="E6" i="34"/>
  <c r="D6" i="34"/>
  <c r="C6" i="34"/>
  <c r="B6" i="34"/>
  <c r="H5" i="34"/>
  <c r="E5" i="34"/>
  <c r="D5" i="34"/>
  <c r="C5" i="34"/>
  <c r="J28" i="33"/>
  <c r="I28" i="33"/>
  <c r="G28" i="33"/>
  <c r="F28" i="33"/>
  <c r="H27" i="33"/>
  <c r="E27" i="33"/>
  <c r="D27" i="33"/>
  <c r="C27" i="33"/>
  <c r="H26" i="33"/>
  <c r="E26" i="33"/>
  <c r="D26" i="33"/>
  <c r="C26" i="33"/>
  <c r="B26" i="33"/>
  <c r="H25" i="33"/>
  <c r="E25" i="33"/>
  <c r="D25" i="33"/>
  <c r="C25" i="33"/>
  <c r="B25" i="33" s="1"/>
  <c r="H24" i="33"/>
  <c r="E24" i="33"/>
  <c r="D24" i="33"/>
  <c r="C24" i="33"/>
  <c r="B24" i="33" s="1"/>
  <c r="H23" i="33"/>
  <c r="E23" i="33"/>
  <c r="D23" i="33"/>
  <c r="C23" i="33"/>
  <c r="H22" i="33"/>
  <c r="E22" i="33"/>
  <c r="D22" i="33"/>
  <c r="C22" i="33"/>
  <c r="B22" i="33"/>
  <c r="H21" i="33"/>
  <c r="E21" i="33"/>
  <c r="D21" i="33"/>
  <c r="C21" i="33"/>
  <c r="B21" i="33" s="1"/>
  <c r="H20" i="33"/>
  <c r="E20" i="33"/>
  <c r="D20" i="33"/>
  <c r="C20" i="33"/>
  <c r="B20" i="33" s="1"/>
  <c r="H19" i="33"/>
  <c r="E19" i="33"/>
  <c r="D19" i="33"/>
  <c r="C19" i="33"/>
  <c r="H18" i="33"/>
  <c r="E18" i="33"/>
  <c r="D18" i="33"/>
  <c r="C18" i="33"/>
  <c r="B18" i="33"/>
  <c r="H17" i="33"/>
  <c r="E17" i="33"/>
  <c r="D17" i="33"/>
  <c r="C17" i="33"/>
  <c r="B17" i="33" s="1"/>
  <c r="H16" i="33"/>
  <c r="E16" i="33"/>
  <c r="D16" i="33"/>
  <c r="C16" i="33"/>
  <c r="B16" i="33" s="1"/>
  <c r="H15" i="33"/>
  <c r="E15" i="33"/>
  <c r="D15" i="33"/>
  <c r="C15" i="33"/>
  <c r="H14" i="33"/>
  <c r="E14" i="33"/>
  <c r="D14" i="33"/>
  <c r="C14" i="33"/>
  <c r="B14" i="33"/>
  <c r="H13" i="33"/>
  <c r="E13" i="33"/>
  <c r="D13" i="33"/>
  <c r="C13" i="33"/>
  <c r="B13" i="33" s="1"/>
  <c r="H12" i="33"/>
  <c r="E12" i="33"/>
  <c r="D12" i="33"/>
  <c r="C12" i="33"/>
  <c r="B12" i="33" s="1"/>
  <c r="H11" i="33"/>
  <c r="E11" i="33"/>
  <c r="D11" i="33"/>
  <c r="C11" i="33"/>
  <c r="H10" i="33"/>
  <c r="E10" i="33"/>
  <c r="D10" i="33"/>
  <c r="C10" i="33"/>
  <c r="B10" i="33"/>
  <c r="H9" i="33"/>
  <c r="E9" i="33"/>
  <c r="D9" i="33"/>
  <c r="C9" i="33"/>
  <c r="B9" i="33" s="1"/>
  <c r="H8" i="33"/>
  <c r="E8" i="33"/>
  <c r="D8" i="33"/>
  <c r="C8" i="33"/>
  <c r="H7" i="33"/>
  <c r="E7" i="33"/>
  <c r="D7" i="33"/>
  <c r="C7" i="33"/>
  <c r="B7" i="33"/>
  <c r="H6" i="33"/>
  <c r="E6" i="33"/>
  <c r="D6" i="33"/>
  <c r="C6" i="33"/>
  <c r="B6" i="33" s="1"/>
  <c r="H5" i="33"/>
  <c r="H28" i="33" s="1"/>
  <c r="E5" i="33"/>
  <c r="D5" i="33"/>
  <c r="D28" i="33" s="1"/>
  <c r="C5" i="33"/>
  <c r="B5" i="33"/>
  <c r="B22" i="34" l="1"/>
  <c r="A15" i="36"/>
  <c r="E22" i="36"/>
  <c r="B67" i="36"/>
  <c r="D36" i="37"/>
  <c r="D38" i="37" s="1"/>
  <c r="H36" i="37"/>
  <c r="H38" i="37" s="1"/>
  <c r="F38" i="37"/>
  <c r="B21" i="39"/>
  <c r="B35" i="39"/>
  <c r="B44" i="39"/>
  <c r="D44" i="39"/>
  <c r="D124" i="39"/>
  <c r="B157" i="40"/>
  <c r="B169" i="40"/>
  <c r="C28" i="33"/>
  <c r="E28" i="33"/>
  <c r="B8" i="33"/>
  <c r="B28" i="33" s="1"/>
  <c r="B11" i="33"/>
  <c r="B15" i="33"/>
  <c r="B19" i="33"/>
  <c r="B23" i="33"/>
  <c r="B27" i="33"/>
  <c r="B5" i="34"/>
  <c r="D25" i="34"/>
  <c r="C10" i="34"/>
  <c r="C25" i="34" s="1"/>
  <c r="E10" i="34"/>
  <c r="E25" i="34" s="1"/>
  <c r="H10" i="34"/>
  <c r="J25" i="34"/>
  <c r="B16" i="34"/>
  <c r="C17" i="34"/>
  <c r="E17" i="34"/>
  <c r="B17" i="34" s="1"/>
  <c r="C7" i="35"/>
  <c r="G7" i="35"/>
  <c r="B75" i="35"/>
  <c r="D75" i="35"/>
  <c r="E76" i="35"/>
  <c r="H76" i="35"/>
  <c r="A8" i="35"/>
  <c r="C13" i="35"/>
  <c r="G13" i="35"/>
  <c r="A14" i="35"/>
  <c r="C19" i="35"/>
  <c r="G19" i="35"/>
  <c r="A20" i="35"/>
  <c r="C25" i="35"/>
  <c r="G25" i="35"/>
  <c r="A26" i="35"/>
  <c r="C31" i="35"/>
  <c r="G31" i="35"/>
  <c r="A32" i="35"/>
  <c r="C37" i="35"/>
  <c r="G37" i="35"/>
  <c r="A38" i="35"/>
  <c r="A40" i="35" s="1"/>
  <c r="C43" i="35"/>
  <c r="G43" i="35"/>
  <c r="A44" i="35"/>
  <c r="A46" i="35" s="1"/>
  <c r="C49" i="35"/>
  <c r="G49" i="35"/>
  <c r="A50" i="35"/>
  <c r="A52" i="35" s="1"/>
  <c r="C55" i="35"/>
  <c r="G55" i="35"/>
  <c r="A56" i="35"/>
  <c r="A58" i="35" s="1"/>
  <c r="C61" i="35"/>
  <c r="G61" i="35"/>
  <c r="A62" i="35"/>
  <c r="A64" i="35" s="1"/>
  <c r="C67" i="35"/>
  <c r="G67" i="35"/>
  <c r="A68" i="35"/>
  <c r="A70" i="35" s="1"/>
  <c r="C73" i="35"/>
  <c r="G73" i="35"/>
  <c r="B5" i="36"/>
  <c r="A8" i="36"/>
  <c r="C10" i="36"/>
  <c r="G8" i="36"/>
  <c r="I10" i="36"/>
  <c r="C9" i="36"/>
  <c r="A9" i="36" s="1"/>
  <c r="A10" i="36" s="1"/>
  <c r="B11" i="36"/>
  <c r="A11" i="36" s="1"/>
  <c r="A13" i="36" s="1"/>
  <c r="D11" i="36"/>
  <c r="D13" i="36" s="1"/>
  <c r="G11" i="36"/>
  <c r="G13" i="36" s="1"/>
  <c r="A14" i="36"/>
  <c r="C16" i="36"/>
  <c r="G14" i="36"/>
  <c r="I16" i="36"/>
  <c r="G15" i="36"/>
  <c r="B17" i="36"/>
  <c r="A17" i="36" s="1"/>
  <c r="A19" i="36" s="1"/>
  <c r="A20" i="36"/>
  <c r="G20" i="36"/>
  <c r="D21" i="36"/>
  <c r="D22" i="36" s="1"/>
  <c r="B23" i="36"/>
  <c r="A33" i="36"/>
  <c r="A34" i="36" s="1"/>
  <c r="A35" i="36"/>
  <c r="A37" i="36" s="1"/>
  <c r="D37" i="36"/>
  <c r="A39" i="36"/>
  <c r="B41" i="36"/>
  <c r="A41" i="36" s="1"/>
  <c r="A43" i="36" s="1"/>
  <c r="H43" i="36"/>
  <c r="A45" i="36"/>
  <c r="A46" i="36" s="1"/>
  <c r="C49" i="36"/>
  <c r="G49" i="36"/>
  <c r="B49" i="36"/>
  <c r="A51" i="36"/>
  <c r="A52" i="36" s="1"/>
  <c r="A53" i="36"/>
  <c r="A55" i="36" s="1"/>
  <c r="D55" i="36"/>
  <c r="A57" i="36"/>
  <c r="A58" i="36" s="1"/>
  <c r="C61" i="36"/>
  <c r="G61" i="36"/>
  <c r="B61" i="36"/>
  <c r="A63" i="36"/>
  <c r="A64" i="36" s="1"/>
  <c r="A65" i="36"/>
  <c r="A67" i="36" s="1"/>
  <c r="D67" i="36"/>
  <c r="A68" i="36"/>
  <c r="A70" i="36" s="1"/>
  <c r="B5" i="37"/>
  <c r="E35" i="37"/>
  <c r="E36" i="37"/>
  <c r="B7" i="37"/>
  <c r="E37" i="37"/>
  <c r="B17" i="37"/>
  <c r="B18" i="37"/>
  <c r="B19" i="37"/>
  <c r="B29" i="37"/>
  <c r="B30" i="37"/>
  <c r="B31" i="37"/>
  <c r="J38" i="37"/>
  <c r="C9" i="38"/>
  <c r="B9" i="38" s="1"/>
  <c r="E9" i="38"/>
  <c r="H9" i="38"/>
  <c r="B17" i="38"/>
  <c r="B18" i="38"/>
  <c r="B19" i="38"/>
  <c r="B29" i="38"/>
  <c r="C30" i="38"/>
  <c r="B30" i="38" s="1"/>
  <c r="H31" i="38"/>
  <c r="D34" i="38"/>
  <c r="B34" i="38" s="1"/>
  <c r="B50" i="38"/>
  <c r="B51" i="38"/>
  <c r="B52" i="38"/>
  <c r="C17" i="39"/>
  <c r="D21" i="39"/>
  <c r="C27" i="39"/>
  <c r="G27" i="39"/>
  <c r="A27" i="39" s="1"/>
  <c r="D35" i="39"/>
  <c r="D68" i="39"/>
  <c r="A59" i="39"/>
  <c r="A68" i="39" s="1"/>
  <c r="A64" i="39"/>
  <c r="A67" i="39"/>
  <c r="A76" i="39"/>
  <c r="A80" i="39" s="1"/>
  <c r="A86" i="39"/>
  <c r="A87" i="39" s="1"/>
  <c r="G86" i="39"/>
  <c r="G87" i="39" s="1"/>
  <c r="C96" i="39"/>
  <c r="D104" i="39"/>
  <c r="G103" i="39"/>
  <c r="G104" i="39" s="1"/>
  <c r="D161" i="39"/>
  <c r="B177" i="39"/>
  <c r="D177" i="39"/>
  <c r="A183" i="39"/>
  <c r="D213" i="39"/>
  <c r="A187" i="39"/>
  <c r="A191" i="39"/>
  <c r="A195" i="39"/>
  <c r="A199" i="39"/>
  <c r="A203" i="39"/>
  <c r="A207" i="39"/>
  <c r="A211" i="39"/>
  <c r="A226" i="39"/>
  <c r="A228" i="39" s="1"/>
  <c r="B60" i="40"/>
  <c r="D60" i="40"/>
  <c r="E61" i="40"/>
  <c r="H61" i="40"/>
  <c r="A8" i="40"/>
  <c r="A10" i="40" s="1"/>
  <c r="C13" i="40"/>
  <c r="G13" i="40"/>
  <c r="A14" i="40"/>
  <c r="A16" i="40" s="1"/>
  <c r="C19" i="40"/>
  <c r="G19" i="40"/>
  <c r="A20" i="40"/>
  <c r="A22" i="40" s="1"/>
  <c r="C25" i="40"/>
  <c r="G25" i="40"/>
  <c r="A26" i="40"/>
  <c r="A28" i="40" s="1"/>
  <c r="C31" i="40"/>
  <c r="G31" i="40"/>
  <c r="A32" i="40"/>
  <c r="A34" i="40" s="1"/>
  <c r="C37" i="40"/>
  <c r="G37" i="40"/>
  <c r="A38" i="40"/>
  <c r="A40" i="40" s="1"/>
  <c r="C43" i="40"/>
  <c r="G43" i="40"/>
  <c r="A44" i="40"/>
  <c r="A46" i="40" s="1"/>
  <c r="C49" i="40"/>
  <c r="G49" i="40"/>
  <c r="A50" i="40"/>
  <c r="A52" i="40" s="1"/>
  <c r="C55" i="40"/>
  <c r="G55" i="40"/>
  <c r="A56" i="40"/>
  <c r="B116" i="40"/>
  <c r="D116" i="40"/>
  <c r="E117" i="40"/>
  <c r="H117" i="40"/>
  <c r="B93" i="40"/>
  <c r="D93" i="40"/>
  <c r="A95" i="40"/>
  <c r="A96" i="40" s="1"/>
  <c r="B99" i="40"/>
  <c r="D99" i="40"/>
  <c r="A101" i="40"/>
  <c r="A102" i="40" s="1"/>
  <c r="B105" i="40"/>
  <c r="D105" i="40"/>
  <c r="A107" i="40"/>
  <c r="A108" i="40" s="1"/>
  <c r="B111" i="40"/>
  <c r="D111" i="40"/>
  <c r="A113" i="40"/>
  <c r="A114" i="40" s="1"/>
  <c r="A122" i="40"/>
  <c r="H175" i="40"/>
  <c r="A125" i="40"/>
  <c r="A127" i="40" s="1"/>
  <c r="D127" i="40"/>
  <c r="A134" i="40"/>
  <c r="A136" i="40" s="1"/>
  <c r="D136" i="40"/>
  <c r="A140" i="40"/>
  <c r="A142" i="40" s="1"/>
  <c r="D142" i="40"/>
  <c r="I145" i="40"/>
  <c r="C145" i="40" s="1"/>
  <c r="G143" i="40"/>
  <c r="G145" i="40" s="1"/>
  <c r="C143" i="40"/>
  <c r="A143" i="40" s="1"/>
  <c r="A145" i="40" s="1"/>
  <c r="B151" i="40"/>
  <c r="A154" i="40"/>
  <c r="B163" i="40"/>
  <c r="A166" i="40"/>
  <c r="A147" i="40"/>
  <c r="A148" i="40" s="1"/>
  <c r="G151" i="40"/>
  <c r="A153" i="40"/>
  <c r="G157" i="40"/>
  <c r="A159" i="40"/>
  <c r="A160" i="40" s="1"/>
  <c r="G163" i="40"/>
  <c r="A165" i="40"/>
  <c r="G169" i="40"/>
  <c r="A171" i="40"/>
  <c r="A172" i="40" s="1"/>
  <c r="G180" i="40"/>
  <c r="I240" i="40"/>
  <c r="C241" i="40"/>
  <c r="G241" i="40"/>
  <c r="F242" i="40"/>
  <c r="A184" i="40"/>
  <c r="C188" i="40"/>
  <c r="G188" i="40"/>
  <c r="A189" i="40"/>
  <c r="C194" i="40"/>
  <c r="G194" i="40"/>
  <c r="C195" i="40"/>
  <c r="C197" i="40" s="1"/>
  <c r="G195" i="40"/>
  <c r="G197" i="40" s="1"/>
  <c r="A198" i="40"/>
  <c r="C203" i="40"/>
  <c r="G203" i="40"/>
  <c r="A204" i="40"/>
  <c r="C209" i="40"/>
  <c r="G209" i="40"/>
  <c r="A210" i="40"/>
  <c r="C215" i="40"/>
  <c r="G215" i="40"/>
  <c r="A216" i="40"/>
  <c r="C221" i="40"/>
  <c r="G221" i="40"/>
  <c r="A222" i="40"/>
  <c r="A224" i="40" s="1"/>
  <c r="D224" i="40"/>
  <c r="A226" i="40"/>
  <c r="A228" i="40"/>
  <c r="A230" i="40" s="1"/>
  <c r="D230" i="40"/>
  <c r="A232" i="40"/>
  <c r="B234" i="40"/>
  <c r="B236" i="40" s="1"/>
  <c r="A235" i="40"/>
  <c r="C239" i="40"/>
  <c r="G239" i="40"/>
  <c r="B266" i="40"/>
  <c r="D266" i="40"/>
  <c r="E267" i="40"/>
  <c r="H267" i="40"/>
  <c r="A250" i="40"/>
  <c r="C255" i="40"/>
  <c r="G255" i="40"/>
  <c r="A256" i="40"/>
  <c r="C261" i="40"/>
  <c r="G261" i="40"/>
  <c r="A262" i="40"/>
  <c r="A273" i="40"/>
  <c r="D333" i="40"/>
  <c r="E334" i="40"/>
  <c r="A275" i="40"/>
  <c r="A277" i="40" s="1"/>
  <c r="D277" i="40"/>
  <c r="A279" i="40"/>
  <c r="A281" i="40"/>
  <c r="A283" i="40" s="1"/>
  <c r="D283" i="40"/>
  <c r="A285" i="40"/>
  <c r="A287" i="40"/>
  <c r="A289" i="40" s="1"/>
  <c r="D289" i="40"/>
  <c r="A291" i="40"/>
  <c r="A293" i="40"/>
  <c r="A295" i="40" s="1"/>
  <c r="D295" i="40"/>
  <c r="A297" i="40"/>
  <c r="A299" i="40"/>
  <c r="A301" i="40" s="1"/>
  <c r="D301" i="40"/>
  <c r="A303" i="40"/>
  <c r="B305" i="40"/>
  <c r="B307" i="40" s="1"/>
  <c r="A306" i="40"/>
  <c r="C310" i="40"/>
  <c r="G310" i="40"/>
  <c r="A311" i="40"/>
  <c r="C316" i="40"/>
  <c r="G316" i="40"/>
  <c r="A317" i="40"/>
  <c r="A319" i="40" s="1"/>
  <c r="G317" i="40"/>
  <c r="G319" i="40" s="1"/>
  <c r="A320" i="40"/>
  <c r="C325" i="40"/>
  <c r="G325" i="40"/>
  <c r="A326" i="40"/>
  <c r="C331" i="40"/>
  <c r="G331" i="40"/>
  <c r="C341" i="40"/>
  <c r="G341" i="40"/>
  <c r="B406" i="40"/>
  <c r="D406" i="40"/>
  <c r="E407" i="40"/>
  <c r="A342" i="40"/>
  <c r="A344" i="40" s="1"/>
  <c r="C342" i="40"/>
  <c r="C344" i="40" s="1"/>
  <c r="G342" i="40"/>
  <c r="G344" i="40" s="1"/>
  <c r="C345" i="40"/>
  <c r="C347" i="40" s="1"/>
  <c r="G345" i="40"/>
  <c r="G347" i="40" s="1"/>
  <c r="A348" i="40"/>
  <c r="A350" i="40" s="1"/>
  <c r="C348" i="40"/>
  <c r="C350" i="40" s="1"/>
  <c r="G348" i="40"/>
  <c r="G350" i="40" s="1"/>
  <c r="A351" i="40"/>
  <c r="C356" i="40"/>
  <c r="G356" i="40"/>
  <c r="A357" i="40"/>
  <c r="C362" i="40"/>
  <c r="G362" i="40"/>
  <c r="A363" i="40"/>
  <c r="C368" i="40"/>
  <c r="G368" i="40"/>
  <c r="A369" i="40"/>
  <c r="C374" i="40"/>
  <c r="G374" i="40"/>
  <c r="A375" i="40"/>
  <c r="A377" i="40" s="1"/>
  <c r="G375" i="40"/>
  <c r="G377" i="40" s="1"/>
  <c r="A378" i="40"/>
  <c r="A380" i="40" s="1"/>
  <c r="G378" i="40"/>
  <c r="G380" i="40" s="1"/>
  <c r="A381" i="40"/>
  <c r="A385" i="40"/>
  <c r="B389" i="40"/>
  <c r="D389" i="40"/>
  <c r="A391" i="40"/>
  <c r="B395" i="40"/>
  <c r="D395" i="40"/>
  <c r="A397" i="40"/>
  <c r="B401" i="40"/>
  <c r="D401" i="40"/>
  <c r="A403" i="40"/>
  <c r="A412" i="40"/>
  <c r="C412" i="40"/>
  <c r="G412" i="40"/>
  <c r="A413" i="40"/>
  <c r="A415" i="40"/>
  <c r="A417" i="40" s="1"/>
  <c r="C415" i="40"/>
  <c r="C417" i="40" s="1"/>
  <c r="G415" i="40"/>
  <c r="G417" i="40" s="1"/>
  <c r="A416" i="40"/>
  <c r="A419" i="40"/>
  <c r="C423" i="40"/>
  <c r="G423" i="40"/>
  <c r="A424" i="40"/>
  <c r="B432" i="40"/>
  <c r="A430" i="40"/>
  <c r="B447" i="40"/>
  <c r="A445" i="40"/>
  <c r="B462" i="40"/>
  <c r="A460" i="40"/>
  <c r="B240" i="40"/>
  <c r="A241" i="40"/>
  <c r="A227" i="40"/>
  <c r="A233" i="40"/>
  <c r="A280" i="40"/>
  <c r="A286" i="40"/>
  <c r="A292" i="40"/>
  <c r="A298" i="40"/>
  <c r="A304" i="40"/>
  <c r="A406" i="40"/>
  <c r="A386" i="40"/>
  <c r="A392" i="40"/>
  <c r="A398" i="40"/>
  <c r="A404" i="40"/>
  <c r="B441" i="40"/>
  <c r="A439" i="40"/>
  <c r="B453" i="40"/>
  <c r="A451" i="40"/>
  <c r="B530" i="40"/>
  <c r="H530" i="40"/>
  <c r="H551" i="40" s="1"/>
  <c r="A757" i="40"/>
  <c r="C429" i="40"/>
  <c r="G429" i="40"/>
  <c r="A434" i="40"/>
  <c r="C438" i="40"/>
  <c r="G438" i="40"/>
  <c r="C444" i="40"/>
  <c r="G444" i="40"/>
  <c r="C450" i="40"/>
  <c r="G450" i="40"/>
  <c r="A455" i="40"/>
  <c r="C459" i="40"/>
  <c r="G459" i="40"/>
  <c r="I523" i="40"/>
  <c r="C522" i="40"/>
  <c r="G522" i="40"/>
  <c r="F523" i="40"/>
  <c r="B475" i="40"/>
  <c r="B478" i="40"/>
  <c r="D478" i="40"/>
  <c r="A480" i="40"/>
  <c r="A481" i="40" s="1"/>
  <c r="B482" i="40"/>
  <c r="B484" i="40" s="1"/>
  <c r="A485" i="40"/>
  <c r="B493" i="40"/>
  <c r="D493" i="40"/>
  <c r="A495" i="40"/>
  <c r="A496" i="40" s="1"/>
  <c r="B499" i="40"/>
  <c r="B502" i="40"/>
  <c r="D502" i="40"/>
  <c r="A504" i="40"/>
  <c r="A505" i="40" s="1"/>
  <c r="B508" i="40"/>
  <c r="D508" i="40"/>
  <c r="A513" i="40"/>
  <c r="A514" i="40" s="1"/>
  <c r="B517" i="40"/>
  <c r="D517" i="40"/>
  <c r="A519" i="40"/>
  <c r="A520" i="40" s="1"/>
  <c r="A528" i="40"/>
  <c r="C549" i="40"/>
  <c r="G528" i="40"/>
  <c r="G549" i="40" s="1"/>
  <c r="A529" i="40"/>
  <c r="C550" i="40"/>
  <c r="G550" i="40"/>
  <c r="D530" i="40"/>
  <c r="F551" i="40"/>
  <c r="A532" i="40"/>
  <c r="A533" i="40" s="1"/>
  <c r="B536" i="40"/>
  <c r="D536" i="40"/>
  <c r="A538" i="40"/>
  <c r="A539" i="40" s="1"/>
  <c r="B542" i="40"/>
  <c r="D542" i="40"/>
  <c r="A546" i="40"/>
  <c r="A548" i="40" s="1"/>
  <c r="A557" i="40"/>
  <c r="A560" i="40" s="1"/>
  <c r="B587" i="40"/>
  <c r="D587" i="40"/>
  <c r="B588" i="40"/>
  <c r="D588" i="40"/>
  <c r="E589" i="40"/>
  <c r="A570" i="40"/>
  <c r="C574" i="40"/>
  <c r="C589" i="40" s="1"/>
  <c r="G574" i="40"/>
  <c r="A575" i="40"/>
  <c r="A577" i="40" s="1"/>
  <c r="G575" i="40"/>
  <c r="G577" i="40" s="1"/>
  <c r="A578" i="40"/>
  <c r="A580" i="40" s="1"/>
  <c r="G578" i="40"/>
  <c r="G580" i="40" s="1"/>
  <c r="A581" i="40"/>
  <c r="A594" i="40"/>
  <c r="C610" i="40"/>
  <c r="G610" i="40"/>
  <c r="F611" i="40"/>
  <c r="C599" i="40"/>
  <c r="G599" i="40"/>
  <c r="A600" i="40"/>
  <c r="A602" i="40" s="1"/>
  <c r="G600" i="40"/>
  <c r="G602" i="40" s="1"/>
  <c r="A603" i="40"/>
  <c r="A605" i="40" s="1"/>
  <c r="G603" i="40"/>
  <c r="G605" i="40" s="1"/>
  <c r="A606" i="40"/>
  <c r="A608" i="40" s="1"/>
  <c r="C606" i="40"/>
  <c r="C608" i="40" s="1"/>
  <c r="G606" i="40"/>
  <c r="G608" i="40" s="1"/>
  <c r="I633" i="40"/>
  <c r="C632" i="40"/>
  <c r="G632" i="40"/>
  <c r="F633" i="40"/>
  <c r="B619" i="40"/>
  <c r="B621" i="40" s="1"/>
  <c r="A620" i="40"/>
  <c r="B627" i="40"/>
  <c r="B630" i="40"/>
  <c r="D630" i="40"/>
  <c r="A638" i="40"/>
  <c r="G638" i="40"/>
  <c r="A639" i="40"/>
  <c r="C651" i="40"/>
  <c r="G651" i="40"/>
  <c r="F652" i="40"/>
  <c r="A641" i="40"/>
  <c r="A645" i="40"/>
  <c r="C657" i="40"/>
  <c r="C675" i="40" s="1"/>
  <c r="G657" i="40"/>
  <c r="A658" i="40"/>
  <c r="A676" i="40" s="1"/>
  <c r="C676" i="40"/>
  <c r="G676" i="40"/>
  <c r="E677" i="40"/>
  <c r="G663" i="40"/>
  <c r="G665" i="40" s="1"/>
  <c r="A670" i="40"/>
  <c r="A671" i="40" s="1"/>
  <c r="B762" i="40"/>
  <c r="D762" i="40"/>
  <c r="E763" i="40"/>
  <c r="H763" i="40"/>
  <c r="B700" i="40"/>
  <c r="D700" i="40"/>
  <c r="A702" i="40"/>
  <c r="A703" i="40" s="1"/>
  <c r="B706" i="40"/>
  <c r="D706" i="40"/>
  <c r="A708" i="40"/>
  <c r="A709" i="40" s="1"/>
  <c r="A710" i="40"/>
  <c r="C715" i="40"/>
  <c r="G715" i="40"/>
  <c r="A716" i="40"/>
  <c r="C721" i="40"/>
  <c r="G721" i="40"/>
  <c r="A722" i="40"/>
  <c r="C727" i="40"/>
  <c r="G727" i="40"/>
  <c r="A728" i="40"/>
  <c r="C733" i="40"/>
  <c r="G733" i="40"/>
  <c r="A734" i="40"/>
  <c r="C739" i="40"/>
  <c r="G739" i="40"/>
  <c r="A740" i="40"/>
  <c r="A742" i="40" s="1"/>
  <c r="C745" i="40"/>
  <c r="G745" i="40"/>
  <c r="A746" i="40"/>
  <c r="A748" i="40" s="1"/>
  <c r="A752" i="40"/>
  <c r="A754" i="40" s="1"/>
  <c r="A775" i="40"/>
  <c r="A778" i="40" s="1"/>
  <c r="A784" i="40"/>
  <c r="A787" i="40" s="1"/>
  <c r="A795" i="40"/>
  <c r="A798" i="40" s="1"/>
  <c r="A807" i="40"/>
  <c r="A809" i="40" s="1"/>
  <c r="G812" i="40"/>
  <c r="A813" i="40"/>
  <c r="A815" i="40" s="1"/>
  <c r="A819" i="40"/>
  <c r="A821" i="40" s="1"/>
  <c r="A12" i="41"/>
  <c r="G15" i="41"/>
  <c r="A15" i="41" s="1"/>
  <c r="C15" i="41"/>
  <c r="A19" i="41"/>
  <c r="C20" i="41"/>
  <c r="C21" i="41"/>
  <c r="A25" i="41"/>
  <c r="A29" i="41"/>
  <c r="A33" i="41"/>
  <c r="A45" i="41"/>
  <c r="G60" i="41"/>
  <c r="A48" i="41"/>
  <c r="A57" i="41"/>
  <c r="B96" i="41"/>
  <c r="D96" i="41"/>
  <c r="B97" i="41"/>
  <c r="A70" i="41"/>
  <c r="A74" i="41"/>
  <c r="A78" i="41"/>
  <c r="A82" i="41"/>
  <c r="A86" i="41"/>
  <c r="A90" i="41"/>
  <c r="A104" i="41"/>
  <c r="B154" i="41"/>
  <c r="D154" i="41"/>
  <c r="A107" i="41"/>
  <c r="A111" i="41"/>
  <c r="A115" i="41"/>
  <c r="A122" i="41"/>
  <c r="A126" i="41"/>
  <c r="A130" i="41"/>
  <c r="A134" i="41"/>
  <c r="A138" i="41"/>
  <c r="A142" i="41"/>
  <c r="A161" i="41"/>
  <c r="G162" i="41"/>
  <c r="A166" i="41"/>
  <c r="A170" i="41"/>
  <c r="A174" i="41"/>
  <c r="A178" i="41"/>
  <c r="A182" i="41"/>
  <c r="A223" i="41"/>
  <c r="A267" i="41"/>
  <c r="A287" i="41"/>
  <c r="A290" i="41" s="1"/>
  <c r="G62" i="41"/>
  <c r="B98" i="41"/>
  <c r="A95" i="41"/>
  <c r="A96" i="41"/>
  <c r="B155" i="41"/>
  <c r="D155" i="41"/>
  <c r="A154" i="41"/>
  <c r="A189" i="41"/>
  <c r="A193" i="41"/>
  <c r="A221" i="41"/>
  <c r="A231" i="41"/>
  <c r="A250" i="41"/>
  <c r="A235" i="41"/>
  <c r="A239" i="41"/>
  <c r="A248" i="41" s="1"/>
  <c r="A243" i="41"/>
  <c r="A260" i="41"/>
  <c r="A10" i="35"/>
  <c r="A16" i="35"/>
  <c r="A22" i="35"/>
  <c r="A28" i="35"/>
  <c r="A34" i="35"/>
  <c r="A16" i="36"/>
  <c r="G22" i="36"/>
  <c r="E38" i="37"/>
  <c r="E28" i="36"/>
  <c r="D26" i="36"/>
  <c r="D28" i="36" s="1"/>
  <c r="B26" i="36"/>
  <c r="H40" i="36"/>
  <c r="G38" i="36"/>
  <c r="G40" i="36" s="1"/>
  <c r="B38" i="36"/>
  <c r="C36" i="37"/>
  <c r="B6" i="37"/>
  <c r="B36" i="37" s="1"/>
  <c r="H13" i="38"/>
  <c r="D13" i="38"/>
  <c r="H21" i="38"/>
  <c r="D21" i="38"/>
  <c r="F64" i="38"/>
  <c r="F65" i="38" s="1"/>
  <c r="E25" i="38"/>
  <c r="E64" i="38" s="1"/>
  <c r="C25" i="38"/>
  <c r="B25" i="38" s="1"/>
  <c r="B26" i="38"/>
  <c r="B41" i="38"/>
  <c r="G20" i="39"/>
  <c r="A20" i="39" s="1"/>
  <c r="C20" i="39"/>
  <c r="G30" i="39"/>
  <c r="A30" i="39" s="1"/>
  <c r="C30" i="39"/>
  <c r="G32" i="39"/>
  <c r="A32" i="39" s="1"/>
  <c r="C32" i="39"/>
  <c r="G34" i="39"/>
  <c r="A34" i="39" s="1"/>
  <c r="C34" i="39"/>
  <c r="D96" i="39"/>
  <c r="A93" i="39"/>
  <c r="A96" i="39" s="1"/>
  <c r="B104" i="39"/>
  <c r="A102" i="39"/>
  <c r="A104" i="39" s="1"/>
  <c r="I116" i="39"/>
  <c r="G110" i="39"/>
  <c r="C110" i="39"/>
  <c r="G112" i="39"/>
  <c r="A112" i="39" s="1"/>
  <c r="C112" i="39"/>
  <c r="G175" i="39"/>
  <c r="A175" i="39" s="1"/>
  <c r="A177" i="39" s="1"/>
  <c r="C175" i="39"/>
  <c r="C177" i="39" s="1"/>
  <c r="B235" i="39"/>
  <c r="A234" i="39"/>
  <c r="A235" i="39" s="1"/>
  <c r="F25" i="34"/>
  <c r="B7" i="35"/>
  <c r="D7" i="35"/>
  <c r="D76" i="35" s="1"/>
  <c r="B13" i="35"/>
  <c r="B19" i="35"/>
  <c r="B25" i="35"/>
  <c r="B31" i="35"/>
  <c r="B37" i="35"/>
  <c r="B43" i="35"/>
  <c r="B49" i="35"/>
  <c r="B55" i="35"/>
  <c r="B61" i="35"/>
  <c r="B67" i="35"/>
  <c r="B73" i="35"/>
  <c r="C74" i="35"/>
  <c r="G74" i="35"/>
  <c r="B74" i="36"/>
  <c r="B7" i="36"/>
  <c r="D7" i="36"/>
  <c r="H7" i="36"/>
  <c r="B13" i="36"/>
  <c r="B19" i="36"/>
  <c r="H19" i="36"/>
  <c r="B43" i="36"/>
  <c r="C74" i="36"/>
  <c r="F75" i="36"/>
  <c r="C35" i="37"/>
  <c r="B13" i="38"/>
  <c r="B21" i="38"/>
  <c r="G62" i="38"/>
  <c r="J63" i="38"/>
  <c r="I64" i="38"/>
  <c r="A42" i="39"/>
  <c r="A44" i="39" s="1"/>
  <c r="A43" i="39"/>
  <c r="B68" i="39"/>
  <c r="C80" i="39"/>
  <c r="G80" i="39"/>
  <c r="B96" i="39"/>
  <c r="A113" i="39"/>
  <c r="A114" i="39"/>
  <c r="A115" i="39"/>
  <c r="A124" i="39"/>
  <c r="B135" i="39"/>
  <c r="H136" i="39"/>
  <c r="H161" i="39"/>
  <c r="A58" i="40"/>
  <c r="F74" i="36"/>
  <c r="F40" i="36"/>
  <c r="F76" i="36" s="1"/>
  <c r="D38" i="36"/>
  <c r="D40" i="36" s="1"/>
  <c r="B6" i="38"/>
  <c r="H8" i="38"/>
  <c r="C8" i="38"/>
  <c r="J64" i="38"/>
  <c r="H10" i="38"/>
  <c r="D10" i="38"/>
  <c r="E15" i="38"/>
  <c r="C15" i="38"/>
  <c r="B15" i="38" s="1"/>
  <c r="H27" i="38"/>
  <c r="D27" i="38"/>
  <c r="B38" i="38"/>
  <c r="G19" i="39"/>
  <c r="A19" i="39" s="1"/>
  <c r="A21" i="39" s="1"/>
  <c r="C19" i="39"/>
  <c r="C21" i="39" s="1"/>
  <c r="G29" i="39"/>
  <c r="A29" i="39" s="1"/>
  <c r="C29" i="39"/>
  <c r="G31" i="39"/>
  <c r="A31" i="39" s="1"/>
  <c r="C31" i="39"/>
  <c r="G33" i="39"/>
  <c r="A33" i="39" s="1"/>
  <c r="C33" i="39"/>
  <c r="H68" i="39"/>
  <c r="G59" i="39"/>
  <c r="G68" i="39" s="1"/>
  <c r="G111" i="39"/>
  <c r="A111" i="39" s="1"/>
  <c r="C111" i="39"/>
  <c r="I161" i="39"/>
  <c r="G160" i="39"/>
  <c r="G161" i="39" s="1"/>
  <c r="C160" i="39"/>
  <c r="C161" i="39" s="1"/>
  <c r="A5" i="35"/>
  <c r="A5" i="36"/>
  <c r="G5" i="36"/>
  <c r="I7" i="36"/>
  <c r="G9" i="36"/>
  <c r="G75" i="36" s="1"/>
  <c r="E13" i="36"/>
  <c r="E76" i="36" s="1"/>
  <c r="C21" i="36"/>
  <c r="C22" i="36" s="1"/>
  <c r="A23" i="36"/>
  <c r="A25" i="36" s="1"/>
  <c r="C25" i="36"/>
  <c r="G23" i="36"/>
  <c r="G25" i="36" s="1"/>
  <c r="B24" i="36"/>
  <c r="A24" i="36" s="1"/>
  <c r="C28" i="36"/>
  <c r="G28" i="36"/>
  <c r="I31" i="36"/>
  <c r="C37" i="36"/>
  <c r="G37" i="36"/>
  <c r="B37" i="36"/>
  <c r="C55" i="36"/>
  <c r="G55" i="36"/>
  <c r="B55" i="36"/>
  <c r="C73" i="36"/>
  <c r="G73" i="36"/>
  <c r="B73" i="36"/>
  <c r="B35" i="37"/>
  <c r="B38" i="37" s="1"/>
  <c r="B37" i="37"/>
  <c r="G38" i="37"/>
  <c r="C37" i="37"/>
  <c r="H62" i="38"/>
  <c r="E63" i="38"/>
  <c r="E65" i="38" s="1"/>
  <c r="D64" i="38"/>
  <c r="H64" i="38"/>
  <c r="D8" i="38"/>
  <c r="B10" i="38"/>
  <c r="C14" i="38"/>
  <c r="B27" i="38"/>
  <c r="C31" i="38"/>
  <c r="B31" i="38" s="1"/>
  <c r="C56" i="38"/>
  <c r="C59" i="38"/>
  <c r="I62" i="38"/>
  <c r="I65" i="38" s="1"/>
  <c r="G64" i="38"/>
  <c r="I21" i="39"/>
  <c r="D80" i="39"/>
  <c r="B124" i="39"/>
  <c r="B159" i="39"/>
  <c r="A160" i="39"/>
  <c r="I177" i="39"/>
  <c r="C213" i="39"/>
  <c r="G213" i="39"/>
  <c r="B213" i="39"/>
  <c r="D124" i="40"/>
  <c r="D175" i="40" s="1"/>
  <c r="D173" i="40"/>
  <c r="A241" i="39"/>
  <c r="A242" i="39" s="1"/>
  <c r="A5" i="40"/>
  <c r="C7" i="40"/>
  <c r="C61" i="40" s="1"/>
  <c r="G7" i="40"/>
  <c r="G61" i="40" s="1"/>
  <c r="A11" i="40"/>
  <c r="A13" i="40" s="1"/>
  <c r="A17" i="40"/>
  <c r="A19" i="40" s="1"/>
  <c r="A23" i="40"/>
  <c r="A25" i="40" s="1"/>
  <c r="A29" i="40"/>
  <c r="A31" i="40" s="1"/>
  <c r="A35" i="40"/>
  <c r="A37" i="40" s="1"/>
  <c r="A41" i="40"/>
  <c r="A43" i="40" s="1"/>
  <c r="A47" i="40"/>
  <c r="A49" i="40" s="1"/>
  <c r="A53" i="40"/>
  <c r="A55" i="40" s="1"/>
  <c r="A89" i="40"/>
  <c r="A116" i="40" s="1"/>
  <c r="B90" i="40"/>
  <c r="B117" i="40" s="1"/>
  <c r="D90" i="40"/>
  <c r="D117" i="40" s="1"/>
  <c r="A91" i="40"/>
  <c r="A93" i="40" s="1"/>
  <c r="A97" i="40"/>
  <c r="A99" i="40" s="1"/>
  <c r="A103" i="40"/>
  <c r="A105" i="40" s="1"/>
  <c r="A109" i="40"/>
  <c r="A111" i="40" s="1"/>
  <c r="C115" i="40"/>
  <c r="G115" i="40"/>
  <c r="A123" i="40"/>
  <c r="A174" i="40" s="1"/>
  <c r="A130" i="40"/>
  <c r="A139" i="40"/>
  <c r="A191" i="40"/>
  <c r="A200" i="40"/>
  <c r="A206" i="40"/>
  <c r="A212" i="40"/>
  <c r="A218" i="40"/>
  <c r="A252" i="40"/>
  <c r="A258" i="40"/>
  <c r="A264" i="40"/>
  <c r="A313" i="40"/>
  <c r="A322" i="40"/>
  <c r="A328" i="40"/>
  <c r="A353" i="40"/>
  <c r="A359" i="40"/>
  <c r="A365" i="40"/>
  <c r="A371" i="40"/>
  <c r="A383" i="40"/>
  <c r="G463" i="40"/>
  <c r="A464" i="40"/>
  <c r="A426" i="40"/>
  <c r="A432" i="40"/>
  <c r="A441" i="40"/>
  <c r="A447" i="40"/>
  <c r="A453" i="40"/>
  <c r="A462" i="40"/>
  <c r="A487" i="40"/>
  <c r="E175" i="40"/>
  <c r="B124" i="40"/>
  <c r="B175" i="40" s="1"/>
  <c r="A265" i="40"/>
  <c r="A249" i="40"/>
  <c r="A267" i="40" s="1"/>
  <c r="B7" i="40"/>
  <c r="B61" i="40" s="1"/>
  <c r="D7" i="40"/>
  <c r="D61" i="40" s="1"/>
  <c r="A124" i="40"/>
  <c r="G124" i="40"/>
  <c r="I133" i="40"/>
  <c r="C133" i="40" s="1"/>
  <c r="C175" i="40" s="1"/>
  <c r="A182" i="40"/>
  <c r="C182" i="40"/>
  <c r="G182" i="40"/>
  <c r="I182" i="40"/>
  <c r="I185" i="40"/>
  <c r="B188" i="40"/>
  <c r="B194" i="40"/>
  <c r="B203" i="40"/>
  <c r="B209" i="40"/>
  <c r="B215" i="40"/>
  <c r="I221" i="40"/>
  <c r="B224" i="40"/>
  <c r="B230" i="40"/>
  <c r="B239" i="40"/>
  <c r="B241" i="40"/>
  <c r="B249" i="40"/>
  <c r="D249" i="40"/>
  <c r="D267" i="40" s="1"/>
  <c r="B255" i="40"/>
  <c r="B261" i="40"/>
  <c r="B265" i="40"/>
  <c r="A274" i="40"/>
  <c r="C274" i="40"/>
  <c r="C334" i="40" s="1"/>
  <c r="G274" i="40"/>
  <c r="B277" i="40"/>
  <c r="B283" i="40"/>
  <c r="B289" i="40"/>
  <c r="B295" i="40"/>
  <c r="B301" i="40"/>
  <c r="B310" i="40"/>
  <c r="B316" i="40"/>
  <c r="B325" i="40"/>
  <c r="B331" i="40"/>
  <c r="B333" i="40"/>
  <c r="B341" i="40"/>
  <c r="D341" i="40"/>
  <c r="D407" i="40" s="1"/>
  <c r="B356" i="40"/>
  <c r="B362" i="40"/>
  <c r="B368" i="40"/>
  <c r="B374" i="40"/>
  <c r="H377" i="40"/>
  <c r="H407" i="40" s="1"/>
  <c r="A387" i="40"/>
  <c r="A389" i="40" s="1"/>
  <c r="A393" i="40"/>
  <c r="A395" i="40" s="1"/>
  <c r="A399" i="40"/>
  <c r="A401" i="40" s="1"/>
  <c r="C405" i="40"/>
  <c r="G405" i="40"/>
  <c r="I405" i="40"/>
  <c r="A414" i="40"/>
  <c r="C414" i="40"/>
  <c r="G414" i="40"/>
  <c r="G465" i="40" s="1"/>
  <c r="I414" i="40"/>
  <c r="I420" i="40"/>
  <c r="B423" i="40"/>
  <c r="B429" i="40"/>
  <c r="I435" i="40"/>
  <c r="B438" i="40"/>
  <c r="B444" i="40"/>
  <c r="B450" i="40"/>
  <c r="I456" i="40"/>
  <c r="B459" i="40"/>
  <c r="B463" i="40"/>
  <c r="D463" i="40"/>
  <c r="C470" i="40"/>
  <c r="G470" i="40"/>
  <c r="A471" i="40"/>
  <c r="A522" i="40" s="1"/>
  <c r="B472" i="40"/>
  <c r="B523" i="40" s="1"/>
  <c r="D472" i="40"/>
  <c r="D523" i="40" s="1"/>
  <c r="C473" i="40"/>
  <c r="C475" i="40" s="1"/>
  <c r="G473" i="40"/>
  <c r="G475" i="40" s="1"/>
  <c r="A476" i="40"/>
  <c r="A478" i="40" s="1"/>
  <c r="A482" i="40"/>
  <c r="A484" i="40" s="1"/>
  <c r="G482" i="40"/>
  <c r="G484" i="40" s="1"/>
  <c r="A488" i="40"/>
  <c r="A490" i="40" s="1"/>
  <c r="G488" i="40"/>
  <c r="G490" i="40" s="1"/>
  <c r="A491" i="40"/>
  <c r="A493" i="40" s="1"/>
  <c r="C497" i="40"/>
  <c r="C499" i="40" s="1"/>
  <c r="G497" i="40"/>
  <c r="G499" i="40" s="1"/>
  <c r="A500" i="40"/>
  <c r="A502" i="40" s="1"/>
  <c r="A506" i="40"/>
  <c r="A508" i="40" s="1"/>
  <c r="A515" i="40"/>
  <c r="A517" i="40" s="1"/>
  <c r="I521" i="40"/>
  <c r="D550" i="40"/>
  <c r="A530" i="40"/>
  <c r="C530" i="40"/>
  <c r="C551" i="40" s="1"/>
  <c r="E551" i="40"/>
  <c r="G530" i="40"/>
  <c r="G551" i="40" s="1"/>
  <c r="I551" i="40"/>
  <c r="A534" i="40"/>
  <c r="A536" i="40" s="1"/>
  <c r="A540" i="40"/>
  <c r="A542" i="40" s="1"/>
  <c r="A583" i="40"/>
  <c r="A651" i="40"/>
  <c r="A643" i="40"/>
  <c r="A712" i="40"/>
  <c r="A718" i="40"/>
  <c r="A724" i="40"/>
  <c r="A730" i="40"/>
  <c r="A736" i="40"/>
  <c r="C131" i="40"/>
  <c r="A131" i="40" s="1"/>
  <c r="A133" i="40" s="1"/>
  <c r="G131" i="40"/>
  <c r="G133" i="40" s="1"/>
  <c r="B182" i="40"/>
  <c r="B242" i="40" s="1"/>
  <c r="D182" i="40"/>
  <c r="D242" i="40" s="1"/>
  <c r="H182" i="40"/>
  <c r="H242" i="40" s="1"/>
  <c r="C183" i="40"/>
  <c r="C185" i="40" s="1"/>
  <c r="A219" i="40"/>
  <c r="A221" i="40" s="1"/>
  <c r="A234" i="40"/>
  <c r="A236" i="40" s="1"/>
  <c r="G234" i="40"/>
  <c r="G236" i="40" s="1"/>
  <c r="C249" i="40"/>
  <c r="C267" i="40" s="1"/>
  <c r="G249" i="40"/>
  <c r="G267" i="40" s="1"/>
  <c r="B274" i="40"/>
  <c r="B334" i="40" s="1"/>
  <c r="D274" i="40"/>
  <c r="D334" i="40" s="1"/>
  <c r="A305" i="40"/>
  <c r="A307" i="40" s="1"/>
  <c r="G305" i="40"/>
  <c r="G307" i="40" s="1"/>
  <c r="H307" i="40"/>
  <c r="H334" i="40" s="1"/>
  <c r="A339" i="40"/>
  <c r="C418" i="40"/>
  <c r="C420" i="40" s="1"/>
  <c r="C433" i="40"/>
  <c r="C435" i="40" s="1"/>
  <c r="C454" i="40"/>
  <c r="C456" i="40" s="1"/>
  <c r="H484" i="40"/>
  <c r="H523" i="40" s="1"/>
  <c r="B551" i="40"/>
  <c r="D551" i="40"/>
  <c r="I38" i="41"/>
  <c r="C35" i="41"/>
  <c r="A567" i="40"/>
  <c r="A588" i="40" s="1"/>
  <c r="B568" i="40"/>
  <c r="B589" i="40" s="1"/>
  <c r="D568" i="40"/>
  <c r="D589" i="40" s="1"/>
  <c r="A569" i="40"/>
  <c r="A571" i="40" s="1"/>
  <c r="G569" i="40"/>
  <c r="G571" i="40" s="1"/>
  <c r="G589" i="40" s="1"/>
  <c r="A572" i="40"/>
  <c r="A574" i="40" s="1"/>
  <c r="A584" i="40"/>
  <c r="A586" i="40" s="1"/>
  <c r="G584" i="40"/>
  <c r="G586" i="40" s="1"/>
  <c r="C587" i="40"/>
  <c r="I587" i="40"/>
  <c r="A595" i="40"/>
  <c r="A610" i="40" s="1"/>
  <c r="B596" i="40"/>
  <c r="B611" i="40" s="1"/>
  <c r="D596" i="40"/>
  <c r="D611" i="40" s="1"/>
  <c r="A597" i="40"/>
  <c r="A599" i="40" s="1"/>
  <c r="I608" i="40"/>
  <c r="I611" i="40" s="1"/>
  <c r="H609" i="40"/>
  <c r="C616" i="40"/>
  <c r="G616" i="40"/>
  <c r="A617" i="40"/>
  <c r="A632" i="40" s="1"/>
  <c r="B618" i="40"/>
  <c r="B633" i="40" s="1"/>
  <c r="D618" i="40"/>
  <c r="D633" i="40" s="1"/>
  <c r="A619" i="40"/>
  <c r="A621" i="40" s="1"/>
  <c r="G619" i="40"/>
  <c r="G621" i="40" s="1"/>
  <c r="H621" i="40"/>
  <c r="H633" i="40" s="1"/>
  <c r="A622" i="40"/>
  <c r="A624" i="40" s="1"/>
  <c r="G622" i="40"/>
  <c r="G624" i="40" s="1"/>
  <c r="A625" i="40"/>
  <c r="A627" i="40" s="1"/>
  <c r="C625" i="40"/>
  <c r="C627" i="40" s="1"/>
  <c r="G625" i="40"/>
  <c r="G627" i="40" s="1"/>
  <c r="A628" i="40"/>
  <c r="A630" i="40" s="1"/>
  <c r="I631" i="40"/>
  <c r="A640" i="40"/>
  <c r="C640" i="40"/>
  <c r="C652" i="40" s="1"/>
  <c r="G640" i="40"/>
  <c r="A644" i="40"/>
  <c r="A646" i="40" s="1"/>
  <c r="C644" i="40"/>
  <c r="C646" i="40" s="1"/>
  <c r="G644" i="40"/>
  <c r="G646" i="40" s="1"/>
  <c r="A647" i="40"/>
  <c r="A649" i="40" s="1"/>
  <c r="G647" i="40"/>
  <c r="G649" i="40" s="1"/>
  <c r="I650" i="40"/>
  <c r="G659" i="40"/>
  <c r="I659" i="40"/>
  <c r="G672" i="40"/>
  <c r="G674" i="40" s="1"/>
  <c r="A696" i="40"/>
  <c r="A762" i="40" s="1"/>
  <c r="B697" i="40"/>
  <c r="D697" i="40"/>
  <c r="D763" i="40" s="1"/>
  <c r="A698" i="40"/>
  <c r="A700" i="40" s="1"/>
  <c r="A704" i="40"/>
  <c r="A706" i="40" s="1"/>
  <c r="B715" i="40"/>
  <c r="B721" i="40"/>
  <c r="B727" i="40"/>
  <c r="B733" i="40"/>
  <c r="B739" i="40"/>
  <c r="B745" i="40"/>
  <c r="B751" i="40"/>
  <c r="B757" i="40"/>
  <c r="B38" i="41"/>
  <c r="H200" i="41"/>
  <c r="I269" i="41"/>
  <c r="A556" i="40"/>
  <c r="A559" i="40" s="1"/>
  <c r="A558" i="40"/>
  <c r="A561" i="40" s="1"/>
  <c r="H577" i="40"/>
  <c r="H589" i="40" s="1"/>
  <c r="C596" i="40"/>
  <c r="C611" i="40" s="1"/>
  <c r="G596" i="40"/>
  <c r="G611" i="40" s="1"/>
  <c r="B640" i="40"/>
  <c r="B652" i="40" s="1"/>
  <c r="D640" i="40"/>
  <c r="D652" i="40" s="1"/>
  <c r="H640" i="40"/>
  <c r="H652" i="40" s="1"/>
  <c r="D659" i="40"/>
  <c r="D677" i="40" s="1"/>
  <c r="H665" i="40"/>
  <c r="B665" i="40" s="1"/>
  <c r="B677" i="40" s="1"/>
  <c r="C697" i="40"/>
  <c r="C763" i="40" s="1"/>
  <c r="G697" i="40"/>
  <c r="G763" i="40" s="1"/>
  <c r="A776" i="40"/>
  <c r="D38" i="41"/>
  <c r="H38" i="41"/>
  <c r="B62" i="41"/>
  <c r="D62" i="41"/>
  <c r="I98" i="41"/>
  <c r="B200" i="41"/>
  <c r="A199" i="41"/>
  <c r="B269" i="41"/>
  <c r="D269" i="41"/>
  <c r="H269" i="41"/>
  <c r="C281" i="41"/>
  <c r="G281" i="41"/>
  <c r="C293" i="41"/>
  <c r="G293" i="41"/>
  <c r="I293" i="41"/>
  <c r="B770" i="40"/>
  <c r="B779" i="40" s="1"/>
  <c r="D770" i="40"/>
  <c r="D779" i="40" s="1"/>
  <c r="H773" i="40"/>
  <c r="H779" i="40" s="1"/>
  <c r="A786" i="40"/>
  <c r="A789" i="40" s="1"/>
  <c r="A794" i="40"/>
  <c r="A797" i="40" s="1"/>
  <c r="A796" i="40"/>
  <c r="A799" i="40" s="1"/>
  <c r="A804" i="40"/>
  <c r="C806" i="40"/>
  <c r="C833" i="40" s="1"/>
  <c r="G806" i="40"/>
  <c r="G833" i="40" s="1"/>
  <c r="A810" i="40"/>
  <c r="A812" i="40" s="1"/>
  <c r="A816" i="40"/>
  <c r="A818" i="40" s="1"/>
  <c r="A822" i="40"/>
  <c r="A824" i="40" s="1"/>
  <c r="A828" i="40"/>
  <c r="A830" i="40" s="1"/>
  <c r="B831" i="40"/>
  <c r="D831" i="40"/>
  <c r="C5" i="41"/>
  <c r="G5" i="41"/>
  <c r="C6" i="41"/>
  <c r="C36" i="41" s="1"/>
  <c r="G6" i="41"/>
  <c r="C7" i="41"/>
  <c r="C37" i="41" s="1"/>
  <c r="G7" i="41"/>
  <c r="A44" i="41"/>
  <c r="A59" i="41" s="1"/>
  <c r="A46" i="41"/>
  <c r="A61" i="41" s="1"/>
  <c r="D95" i="41"/>
  <c r="D97" i="41"/>
  <c r="A105" i="41"/>
  <c r="A153" i="41" s="1"/>
  <c r="D197" i="41"/>
  <c r="D200" i="41" s="1"/>
  <c r="A207" i="41"/>
  <c r="A222" i="41" s="1"/>
  <c r="A224" i="41" s="1"/>
  <c r="D249" i="41"/>
  <c r="D251" i="41" s="1"/>
  <c r="A257" i="41"/>
  <c r="A266" i="41" s="1"/>
  <c r="A269" i="41" s="1"/>
  <c r="A275" i="41"/>
  <c r="A278" i="41" s="1"/>
  <c r="A277" i="41"/>
  <c r="A280" i="41" s="1"/>
  <c r="A288" i="41"/>
  <c r="A291" i="41" s="1"/>
  <c r="A293" i="41" s="1"/>
  <c r="A770" i="40"/>
  <c r="A779" i="40" s="1"/>
  <c r="C770" i="40"/>
  <c r="C779" i="40" s="1"/>
  <c r="G770" i="40"/>
  <c r="G779" i="40" s="1"/>
  <c r="I770" i="40"/>
  <c r="I779" i="40" s="1"/>
  <c r="C94" i="41"/>
  <c r="C97" i="41" s="1"/>
  <c r="C98" i="41" s="1"/>
  <c r="G94" i="41"/>
  <c r="A94" i="41" s="1"/>
  <c r="A97" i="41" s="1"/>
  <c r="A98" i="41" s="1"/>
  <c r="A281" i="41" l="1"/>
  <c r="A596" i="40"/>
  <c r="A611" i="40" s="1"/>
  <c r="A183" i="40"/>
  <c r="A185" i="40" s="1"/>
  <c r="A497" i="40"/>
  <c r="A499" i="40" s="1"/>
  <c r="I175" i="40"/>
  <c r="B64" i="38"/>
  <c r="C76" i="36"/>
  <c r="C35" i="39"/>
  <c r="A249" i="41"/>
  <c r="A251" i="41" s="1"/>
  <c r="A197" i="41"/>
  <c r="A152" i="41"/>
  <c r="A155" i="41" s="1"/>
  <c r="A657" i="40"/>
  <c r="B631" i="40"/>
  <c r="C609" i="40"/>
  <c r="B521" i="40"/>
  <c r="A345" i="40"/>
  <c r="A347" i="40" s="1"/>
  <c r="C407" i="40"/>
  <c r="B332" i="40"/>
  <c r="A195" i="40"/>
  <c r="A197" i="40" s="1"/>
  <c r="A213" i="39"/>
  <c r="G16" i="36"/>
  <c r="G76" i="35"/>
  <c r="B10" i="34"/>
  <c r="A568" i="40"/>
  <c r="B465" i="40"/>
  <c r="A35" i="39"/>
  <c r="J65" i="38"/>
  <c r="H63" i="38"/>
  <c r="G198" i="41"/>
  <c r="G200" i="41" s="1"/>
  <c r="A162" i="41"/>
  <c r="A198" i="41" s="1"/>
  <c r="A200" i="41" s="1"/>
  <c r="A60" i="41"/>
  <c r="G609" i="40"/>
  <c r="A550" i="40"/>
  <c r="G407" i="40"/>
  <c r="A333" i="40"/>
  <c r="D75" i="36"/>
  <c r="C76" i="35"/>
  <c r="H25" i="34"/>
  <c r="B25" i="34"/>
  <c r="G37" i="41"/>
  <c r="A7" i="41"/>
  <c r="A37" i="41" s="1"/>
  <c r="G36" i="41"/>
  <c r="A6" i="41"/>
  <c r="A36" i="41" s="1"/>
  <c r="G35" i="41"/>
  <c r="A5" i="41"/>
  <c r="A831" i="40"/>
  <c r="A806" i="40"/>
  <c r="A833" i="40" s="1"/>
  <c r="I677" i="40"/>
  <c r="C659" i="40"/>
  <c r="C677" i="40" s="1"/>
  <c r="C618" i="40"/>
  <c r="C633" i="40" s="1"/>
  <c r="C631" i="40"/>
  <c r="A341" i="40"/>
  <c r="A407" i="40" s="1"/>
  <c r="A405" i="40"/>
  <c r="C472" i="40"/>
  <c r="C523" i="40" s="1"/>
  <c r="C521" i="40"/>
  <c r="B59" i="38"/>
  <c r="B14" i="38"/>
  <c r="A7" i="36"/>
  <c r="B8" i="38"/>
  <c r="A135" i="39"/>
  <c r="A136" i="39" s="1"/>
  <c r="B136" i="39"/>
  <c r="B40" i="36"/>
  <c r="A38" i="36"/>
  <c r="A40" i="36" s="1"/>
  <c r="C38" i="41"/>
  <c r="A761" i="40"/>
  <c r="A589" i="40"/>
  <c r="G675" i="40"/>
  <c r="C650" i="40"/>
  <c r="A551" i="40"/>
  <c r="G334" i="40"/>
  <c r="A334" i="40"/>
  <c r="G242" i="40"/>
  <c r="A242" i="40"/>
  <c r="G332" i="40"/>
  <c r="A175" i="40"/>
  <c r="C173" i="40"/>
  <c r="A549" i="40"/>
  <c r="C463" i="40"/>
  <c r="G240" i="40"/>
  <c r="A240" i="40"/>
  <c r="H65" i="38"/>
  <c r="I76" i="36"/>
  <c r="B63" i="38"/>
  <c r="G35" i="39"/>
  <c r="G65" i="38"/>
  <c r="C75" i="36"/>
  <c r="D74" i="36"/>
  <c r="B76" i="35"/>
  <c r="C116" i="39"/>
  <c r="G177" i="39"/>
  <c r="D63" i="38"/>
  <c r="G10" i="36"/>
  <c r="G618" i="40"/>
  <c r="G633" i="40" s="1"/>
  <c r="G631" i="40"/>
  <c r="G472" i="40"/>
  <c r="G523" i="40" s="1"/>
  <c r="G521" i="40"/>
  <c r="A59" i="40"/>
  <c r="A7" i="40"/>
  <c r="A61" i="40" s="1"/>
  <c r="A159" i="39"/>
  <c r="A161" i="39" s="1"/>
  <c r="B161" i="39"/>
  <c r="B56" i="38"/>
  <c r="G7" i="36"/>
  <c r="G74" i="36"/>
  <c r="A7" i="35"/>
  <c r="A76" i="35" s="1"/>
  <c r="A74" i="35"/>
  <c r="G116" i="39"/>
  <c r="A110" i="39"/>
  <c r="A116" i="39" s="1"/>
  <c r="B28" i="36"/>
  <c r="A26" i="36"/>
  <c r="A28" i="36" s="1"/>
  <c r="D98" i="41"/>
  <c r="A62" i="41"/>
  <c r="A697" i="40"/>
  <c r="A763" i="40" s="1"/>
  <c r="G97" i="41"/>
  <c r="G98" i="41" s="1"/>
  <c r="B763" i="40"/>
  <c r="G677" i="40"/>
  <c r="G652" i="40"/>
  <c r="A652" i="40"/>
  <c r="A616" i="40"/>
  <c r="G587" i="40"/>
  <c r="A587" i="40"/>
  <c r="A454" i="40"/>
  <c r="A456" i="40" s="1"/>
  <c r="A433" i="40"/>
  <c r="A435" i="40" s="1"/>
  <c r="A418" i="40"/>
  <c r="H677" i="40"/>
  <c r="G650" i="40"/>
  <c r="A650" i="40"/>
  <c r="A609" i="40"/>
  <c r="A473" i="40"/>
  <c r="A475" i="40" s="1"/>
  <c r="A470" i="40"/>
  <c r="I465" i="40"/>
  <c r="C465" i="40"/>
  <c r="B407" i="40"/>
  <c r="B267" i="40"/>
  <c r="I242" i="40"/>
  <c r="C242" i="40"/>
  <c r="A332" i="40"/>
  <c r="G175" i="40"/>
  <c r="G173" i="40"/>
  <c r="A173" i="40"/>
  <c r="C240" i="40"/>
  <c r="A115" i="40"/>
  <c r="A90" i="40"/>
  <c r="A117" i="40" s="1"/>
  <c r="C64" i="38"/>
  <c r="C62" i="38"/>
  <c r="D62" i="38"/>
  <c r="D65" i="38" s="1"/>
  <c r="C63" i="38"/>
  <c r="G21" i="39"/>
  <c r="C38" i="37"/>
  <c r="H76" i="36"/>
  <c r="D76" i="36"/>
  <c r="A21" i="36"/>
  <c r="B25" i="36"/>
  <c r="B76" i="36" s="1"/>
  <c r="B75" i="36"/>
  <c r="A675" i="40" l="1"/>
  <c r="A659" i="40"/>
  <c r="A677" i="40" s="1"/>
  <c r="A75" i="36"/>
  <c r="A22" i="36"/>
  <c r="A472" i="40"/>
  <c r="A523" i="40" s="1"/>
  <c r="A521" i="40"/>
  <c r="A420" i="40"/>
  <c r="A465" i="40" s="1"/>
  <c r="A463" i="40"/>
  <c r="B62" i="38"/>
  <c r="B65" i="38" s="1"/>
  <c r="A76" i="36"/>
  <c r="A618" i="40"/>
  <c r="A633" i="40" s="1"/>
  <c r="A631" i="40"/>
  <c r="G38" i="41"/>
  <c r="A35" i="41"/>
  <c r="A38" i="41" s="1"/>
  <c r="C65" i="38"/>
  <c r="G76" i="36"/>
  <c r="A74" i="36"/>
  <c r="I319" i="32" l="1"/>
  <c r="H319" i="32"/>
  <c r="F319" i="32"/>
  <c r="E319" i="32"/>
  <c r="H318" i="32"/>
  <c r="F318" i="32"/>
  <c r="E318" i="32"/>
  <c r="H317" i="32"/>
  <c r="H320" i="32" s="1"/>
  <c r="F317" i="32"/>
  <c r="F320" i="32" s="1"/>
  <c r="E317" i="32"/>
  <c r="E320" i="32" s="1"/>
  <c r="G316" i="32"/>
  <c r="D316" i="32"/>
  <c r="C316" i="32"/>
  <c r="B316" i="32"/>
  <c r="A316" i="32"/>
  <c r="I315" i="32"/>
  <c r="G315" i="32" s="1"/>
  <c r="A315" i="32" s="1"/>
  <c r="D315" i="32"/>
  <c r="B315" i="32"/>
  <c r="G314" i="32"/>
  <c r="D314" i="32"/>
  <c r="C314" i="32"/>
  <c r="B314" i="32"/>
  <c r="G313" i="32"/>
  <c r="D313" i="32"/>
  <c r="C313" i="32"/>
  <c r="B313" i="32"/>
  <c r="A313" i="32"/>
  <c r="G312" i="32"/>
  <c r="D312" i="32"/>
  <c r="A312" i="32" s="1"/>
  <c r="C312" i="32"/>
  <c r="B312" i="32"/>
  <c r="G311" i="32"/>
  <c r="D311" i="32"/>
  <c r="A311" i="32" s="1"/>
  <c r="C311" i="32"/>
  <c r="B311" i="32"/>
  <c r="G310" i="32"/>
  <c r="D310" i="32"/>
  <c r="C310" i="32"/>
  <c r="B310" i="32"/>
  <c r="G309" i="32"/>
  <c r="D309" i="32"/>
  <c r="C309" i="32"/>
  <c r="B309" i="32"/>
  <c r="A309" i="32"/>
  <c r="G308" i="32"/>
  <c r="D308" i="32"/>
  <c r="A308" i="32" s="1"/>
  <c r="C308" i="32"/>
  <c r="B308" i="32"/>
  <c r="G307" i="32"/>
  <c r="D307" i="32"/>
  <c r="A307" i="32" s="1"/>
  <c r="C307" i="32"/>
  <c r="B307" i="32"/>
  <c r="I306" i="32"/>
  <c r="G306" i="32" s="1"/>
  <c r="A306" i="32" s="1"/>
  <c r="D306" i="32"/>
  <c r="B306" i="32"/>
  <c r="I305" i="32"/>
  <c r="G305" i="32" s="1"/>
  <c r="A305" i="32" s="1"/>
  <c r="D305" i="32"/>
  <c r="B305" i="32"/>
  <c r="G304" i="32"/>
  <c r="G319" i="32" s="1"/>
  <c r="D304" i="32"/>
  <c r="C304" i="32"/>
  <c r="C319" i="32" s="1"/>
  <c r="B304" i="32"/>
  <c r="B319" i="32" s="1"/>
  <c r="I303" i="32"/>
  <c r="G303" i="32" s="1"/>
  <c r="D303" i="32"/>
  <c r="D318" i="32" s="1"/>
  <c r="B303" i="32"/>
  <c r="B318" i="32" s="1"/>
  <c r="I302" i="32"/>
  <c r="I317" i="32" s="1"/>
  <c r="D302" i="32"/>
  <c r="D317" i="32" s="1"/>
  <c r="B302" i="32"/>
  <c r="B317" i="32" s="1"/>
  <c r="I280" i="32"/>
  <c r="H280" i="32"/>
  <c r="F280" i="32"/>
  <c r="E280" i="32"/>
  <c r="I279" i="32"/>
  <c r="F279" i="32"/>
  <c r="E279" i="32"/>
  <c r="I278" i="32"/>
  <c r="I281" i="32" s="1"/>
  <c r="F278" i="32"/>
  <c r="F281" i="32" s="1"/>
  <c r="E278" i="32"/>
  <c r="E281" i="32" s="1"/>
  <c r="G277" i="32"/>
  <c r="D277" i="32"/>
  <c r="A277" i="32" s="1"/>
  <c r="C277" i="32"/>
  <c r="B277" i="32"/>
  <c r="H276" i="32"/>
  <c r="G276" i="32" s="1"/>
  <c r="A276" i="32" s="1"/>
  <c r="D276" i="32"/>
  <c r="C276" i="32"/>
  <c r="B276" i="32"/>
  <c r="G275" i="32"/>
  <c r="D275" i="32"/>
  <c r="C275" i="32"/>
  <c r="B275" i="32"/>
  <c r="A275" i="32"/>
  <c r="G274" i="32"/>
  <c r="D274" i="32"/>
  <c r="C274" i="32"/>
  <c r="B274" i="32"/>
  <c r="A274" i="32"/>
  <c r="H273" i="32"/>
  <c r="G273" i="32"/>
  <c r="D273" i="32"/>
  <c r="C273" i="32"/>
  <c r="B273" i="32"/>
  <c r="A273" i="32"/>
  <c r="H272" i="32"/>
  <c r="G272" i="32"/>
  <c r="D272" i="32"/>
  <c r="C272" i="32"/>
  <c r="B272" i="32"/>
  <c r="A272" i="32"/>
  <c r="G271" i="32"/>
  <c r="D271" i="32"/>
  <c r="A271" i="32" s="1"/>
  <c r="C271" i="32"/>
  <c r="B271" i="32"/>
  <c r="H270" i="32"/>
  <c r="G270" i="32" s="1"/>
  <c r="A270" i="32" s="1"/>
  <c r="D270" i="32"/>
  <c r="C270" i="32"/>
  <c r="B270" i="32"/>
  <c r="H269" i="32"/>
  <c r="G269" i="32" s="1"/>
  <c r="A269" i="32" s="1"/>
  <c r="D269" i="32"/>
  <c r="C269" i="32"/>
  <c r="B269" i="32"/>
  <c r="G268" i="32"/>
  <c r="D268" i="32"/>
  <c r="C268" i="32"/>
  <c r="B268" i="32"/>
  <c r="H267" i="32"/>
  <c r="G267" i="32" s="1"/>
  <c r="A267" i="32" s="1"/>
  <c r="D267" i="32"/>
  <c r="C267" i="32"/>
  <c r="G266" i="32"/>
  <c r="D266" i="32"/>
  <c r="C266" i="32"/>
  <c r="B266" i="32"/>
  <c r="A266" i="32"/>
  <c r="G265" i="32"/>
  <c r="D265" i="32"/>
  <c r="A265" i="32" s="1"/>
  <c r="C265" i="32"/>
  <c r="B265" i="32"/>
  <c r="G264" i="32"/>
  <c r="D264" i="32"/>
  <c r="A264" i="32" s="1"/>
  <c r="C264" i="32"/>
  <c r="B264" i="32"/>
  <c r="G263" i="32"/>
  <c r="D263" i="32"/>
  <c r="C263" i="32"/>
  <c r="B263" i="32"/>
  <c r="G262" i="32"/>
  <c r="D262" i="32"/>
  <c r="C262" i="32"/>
  <c r="B262" i="32"/>
  <c r="A262" i="32"/>
  <c r="G261" i="32"/>
  <c r="D261" i="32"/>
  <c r="A261" i="32" s="1"/>
  <c r="C261" i="32"/>
  <c r="B261" i="32"/>
  <c r="H260" i="32"/>
  <c r="H278" i="32" s="1"/>
  <c r="D260" i="32"/>
  <c r="C260" i="32"/>
  <c r="B260" i="32"/>
  <c r="G259" i="32"/>
  <c r="D259" i="32"/>
  <c r="A259" i="32" s="1"/>
  <c r="C259" i="32"/>
  <c r="B259" i="32"/>
  <c r="H258" i="32"/>
  <c r="G258" i="32" s="1"/>
  <c r="D258" i="32"/>
  <c r="C258" i="32"/>
  <c r="B258" i="32"/>
  <c r="G257" i="32"/>
  <c r="D257" i="32"/>
  <c r="A257" i="32" s="1"/>
  <c r="C257" i="32"/>
  <c r="B257" i="32"/>
  <c r="G256" i="32"/>
  <c r="D256" i="32"/>
  <c r="C256" i="32"/>
  <c r="B256" i="32"/>
  <c r="H255" i="32"/>
  <c r="H279" i="32" s="1"/>
  <c r="D255" i="32"/>
  <c r="C255" i="32"/>
  <c r="G254" i="32"/>
  <c r="D254" i="32"/>
  <c r="C254" i="32"/>
  <c r="B254" i="32"/>
  <c r="A254" i="32"/>
  <c r="G253" i="32"/>
  <c r="D253" i="32"/>
  <c r="A253" i="32" s="1"/>
  <c r="C253" i="32"/>
  <c r="B253" i="32"/>
  <c r="G252" i="32"/>
  <c r="D252" i="32"/>
  <c r="A252" i="32" s="1"/>
  <c r="C252" i="32"/>
  <c r="B252" i="32"/>
  <c r="G251" i="32"/>
  <c r="D251" i="32"/>
  <c r="C251" i="32"/>
  <c r="B251" i="32"/>
  <c r="G250" i="32"/>
  <c r="G280" i="32" s="1"/>
  <c r="D250" i="32"/>
  <c r="C250" i="32"/>
  <c r="C280" i="32" s="1"/>
  <c r="B250" i="32"/>
  <c r="A250" i="32"/>
  <c r="G249" i="32"/>
  <c r="D249" i="32"/>
  <c r="D279" i="32" s="1"/>
  <c r="C249" i="32"/>
  <c r="C279" i="32" s="1"/>
  <c r="B249" i="32"/>
  <c r="G248" i="32"/>
  <c r="D248" i="32"/>
  <c r="D278" i="32" s="1"/>
  <c r="C248" i="32"/>
  <c r="C278" i="32" s="1"/>
  <c r="B248" i="32"/>
  <c r="B278" i="32" s="1"/>
  <c r="I214" i="32"/>
  <c r="H214" i="32"/>
  <c r="F214" i="32"/>
  <c r="E214" i="32"/>
  <c r="I213" i="32"/>
  <c r="H213" i="32"/>
  <c r="F213" i="32"/>
  <c r="E213" i="32"/>
  <c r="I212" i="32"/>
  <c r="I215" i="32" s="1"/>
  <c r="H212" i="32"/>
  <c r="H215" i="32" s="1"/>
  <c r="F212" i="32"/>
  <c r="F215" i="32" s="1"/>
  <c r="E212" i="32"/>
  <c r="E215" i="32" s="1"/>
  <c r="G211" i="32"/>
  <c r="D211" i="32"/>
  <c r="C211" i="32"/>
  <c r="B211" i="32"/>
  <c r="A211" i="32"/>
  <c r="G210" i="32"/>
  <c r="D210" i="32"/>
  <c r="A210" i="32" s="1"/>
  <c r="C210" i="32"/>
  <c r="B210" i="32"/>
  <c r="G209" i="32"/>
  <c r="D209" i="32"/>
  <c r="A209" i="32" s="1"/>
  <c r="C209" i="32"/>
  <c r="B209" i="32"/>
  <c r="G208" i="32"/>
  <c r="D208" i="32"/>
  <c r="C208" i="32"/>
  <c r="B208" i="32"/>
  <c r="G207" i="32"/>
  <c r="D207" i="32"/>
  <c r="C207" i="32"/>
  <c r="B207" i="32"/>
  <c r="A207" i="32"/>
  <c r="G206" i="32"/>
  <c r="D206" i="32"/>
  <c r="A206" i="32" s="1"/>
  <c r="C206" i="32"/>
  <c r="B206" i="32"/>
  <c r="G205" i="32"/>
  <c r="D205" i="32"/>
  <c r="A205" i="32" s="1"/>
  <c r="C205" i="32"/>
  <c r="B205" i="32"/>
  <c r="G204" i="32"/>
  <c r="D204" i="32"/>
  <c r="C204" i="32"/>
  <c r="B204" i="32"/>
  <c r="G203" i="32"/>
  <c r="D203" i="32"/>
  <c r="C203" i="32"/>
  <c r="B203" i="32"/>
  <c r="A203" i="32"/>
  <c r="G202" i="32"/>
  <c r="D202" i="32"/>
  <c r="A202" i="32" s="1"/>
  <c r="C202" i="32"/>
  <c r="B202" i="32"/>
  <c r="G201" i="32"/>
  <c r="D201" i="32"/>
  <c r="A201" i="32" s="1"/>
  <c r="C201" i="32"/>
  <c r="B201" i="32"/>
  <c r="G200" i="32"/>
  <c r="D200" i="32"/>
  <c r="C200" i="32"/>
  <c r="B200" i="32"/>
  <c r="G199" i="32"/>
  <c r="D199" i="32"/>
  <c r="C199" i="32"/>
  <c r="B199" i="32"/>
  <c r="A199" i="32"/>
  <c r="G198" i="32"/>
  <c r="D198" i="32"/>
  <c r="A198" i="32" s="1"/>
  <c r="C198" i="32"/>
  <c r="B198" i="32"/>
  <c r="G197" i="32"/>
  <c r="D197" i="32"/>
  <c r="A197" i="32" s="1"/>
  <c r="C197" i="32"/>
  <c r="B197" i="32"/>
  <c r="G196" i="32"/>
  <c r="D196" i="32"/>
  <c r="C196" i="32"/>
  <c r="B196" i="32"/>
  <c r="G195" i="32"/>
  <c r="D195" i="32"/>
  <c r="C195" i="32"/>
  <c r="B195" i="32"/>
  <c r="A195" i="32"/>
  <c r="G194" i="32"/>
  <c r="D194" i="32"/>
  <c r="A194" i="32" s="1"/>
  <c r="C194" i="32"/>
  <c r="B194" i="32"/>
  <c r="G193" i="32"/>
  <c r="D193" i="32"/>
  <c r="A193" i="32" s="1"/>
  <c r="C193" i="32"/>
  <c r="B193" i="32"/>
  <c r="G192" i="32"/>
  <c r="D192" i="32"/>
  <c r="C192" i="32"/>
  <c r="B192" i="32"/>
  <c r="G191" i="32"/>
  <c r="D191" i="32"/>
  <c r="C191" i="32"/>
  <c r="B191" i="32"/>
  <c r="A191" i="32"/>
  <c r="G190" i="32"/>
  <c r="D190" i="32"/>
  <c r="A190" i="32" s="1"/>
  <c r="C190" i="32"/>
  <c r="B190" i="32"/>
  <c r="G189" i="32"/>
  <c r="D189" i="32"/>
  <c r="A189" i="32" s="1"/>
  <c r="C189" i="32"/>
  <c r="B189" i="32"/>
  <c r="G188" i="32"/>
  <c r="D188" i="32"/>
  <c r="C188" i="32"/>
  <c r="B188" i="32"/>
  <c r="G187" i="32"/>
  <c r="D187" i="32"/>
  <c r="C187" i="32"/>
  <c r="B187" i="32"/>
  <c r="A187" i="32"/>
  <c r="G186" i="32"/>
  <c r="D186" i="32"/>
  <c r="A186" i="32" s="1"/>
  <c r="C186" i="32"/>
  <c r="B186" i="32"/>
  <c r="G185" i="32"/>
  <c r="D185" i="32"/>
  <c r="A185" i="32" s="1"/>
  <c r="C185" i="32"/>
  <c r="B185" i="32"/>
  <c r="G184" i="32"/>
  <c r="D184" i="32"/>
  <c r="C184" i="32"/>
  <c r="B184" i="32"/>
  <c r="G183" i="32"/>
  <c r="D183" i="32"/>
  <c r="C183" i="32"/>
  <c r="B183" i="32"/>
  <c r="A183" i="32"/>
  <c r="G182" i="32"/>
  <c r="D182" i="32"/>
  <c r="A182" i="32" s="1"/>
  <c r="C182" i="32"/>
  <c r="B182" i="32"/>
  <c r="G181" i="32"/>
  <c r="D181" i="32"/>
  <c r="A181" i="32" s="1"/>
  <c r="C181" i="32"/>
  <c r="B181" i="32"/>
  <c r="G180" i="32"/>
  <c r="D180" i="32"/>
  <c r="C180" i="32"/>
  <c r="B180" i="32"/>
  <c r="G179" i="32"/>
  <c r="D179" i="32"/>
  <c r="C179" i="32"/>
  <c r="B179" i="32"/>
  <c r="A179" i="32"/>
  <c r="G178" i="32"/>
  <c r="D178" i="32"/>
  <c r="A178" i="32" s="1"/>
  <c r="C178" i="32"/>
  <c r="B178" i="32"/>
  <c r="G177" i="32"/>
  <c r="D177" i="32"/>
  <c r="A177" i="32" s="1"/>
  <c r="C177" i="32"/>
  <c r="B177" i="32"/>
  <c r="G176" i="32"/>
  <c r="D176" i="32"/>
  <c r="C176" i="32"/>
  <c r="B176" i="32"/>
  <c r="G175" i="32"/>
  <c r="D175" i="32"/>
  <c r="C175" i="32"/>
  <c r="B175" i="32"/>
  <c r="A175" i="32"/>
  <c r="G174" i="32"/>
  <c r="D174" i="32"/>
  <c r="A174" i="32" s="1"/>
  <c r="C174" i="32"/>
  <c r="B174" i="32"/>
  <c r="G173" i="32"/>
  <c r="D173" i="32"/>
  <c r="A173" i="32" s="1"/>
  <c r="C173" i="32"/>
  <c r="B173" i="32"/>
  <c r="G172" i="32"/>
  <c r="D172" i="32"/>
  <c r="C172" i="32"/>
  <c r="B172" i="32"/>
  <c r="G171" i="32"/>
  <c r="D171" i="32"/>
  <c r="C171" i="32"/>
  <c r="B171" i="32"/>
  <c r="A171" i="32"/>
  <c r="G170" i="32"/>
  <c r="D170" i="32"/>
  <c r="A170" i="32" s="1"/>
  <c r="C170" i="32"/>
  <c r="B170" i="32"/>
  <c r="G169" i="32"/>
  <c r="D169" i="32"/>
  <c r="D214" i="32" s="1"/>
  <c r="C169" i="32"/>
  <c r="B169" i="32"/>
  <c r="B214" i="32" s="1"/>
  <c r="G168" i="32"/>
  <c r="G213" i="32" s="1"/>
  <c r="D168" i="32"/>
  <c r="C168" i="32"/>
  <c r="C213" i="32" s="1"/>
  <c r="B168" i="32"/>
  <c r="G167" i="32"/>
  <c r="G212" i="32" s="1"/>
  <c r="D167" i="32"/>
  <c r="C167" i="32"/>
  <c r="C212" i="32" s="1"/>
  <c r="B167" i="32"/>
  <c r="A167" i="32"/>
  <c r="I160" i="32"/>
  <c r="H160" i="32"/>
  <c r="F160" i="32"/>
  <c r="E160" i="32"/>
  <c r="I159" i="32"/>
  <c r="F159" i="32"/>
  <c r="E159" i="32"/>
  <c r="I158" i="32"/>
  <c r="I161" i="32" s="1"/>
  <c r="F158" i="32"/>
  <c r="E158" i="32"/>
  <c r="E161" i="32" s="1"/>
  <c r="G157" i="32"/>
  <c r="D157" i="32"/>
  <c r="A157" i="32" s="1"/>
  <c r="C157" i="32"/>
  <c r="B157" i="32"/>
  <c r="G156" i="32"/>
  <c r="D156" i="32"/>
  <c r="C156" i="32"/>
  <c r="B156" i="32"/>
  <c r="G155" i="32"/>
  <c r="D155" i="32"/>
  <c r="C155" i="32"/>
  <c r="B155" i="32"/>
  <c r="A155" i="32"/>
  <c r="G154" i="32"/>
  <c r="D154" i="32"/>
  <c r="A154" i="32" s="1"/>
  <c r="C154" i="32"/>
  <c r="B154" i="32"/>
  <c r="G153" i="32"/>
  <c r="D153" i="32"/>
  <c r="A153" i="32" s="1"/>
  <c r="C153" i="32"/>
  <c r="B153" i="32"/>
  <c r="G152" i="32"/>
  <c r="D152" i="32"/>
  <c r="C152" i="32"/>
  <c r="B152" i="32"/>
  <c r="G151" i="32"/>
  <c r="D151" i="32"/>
  <c r="C151" i="32"/>
  <c r="B151" i="32"/>
  <c r="A151" i="32"/>
  <c r="G150" i="32"/>
  <c r="D150" i="32"/>
  <c r="A150" i="32" s="1"/>
  <c r="C150" i="32"/>
  <c r="B150" i="32"/>
  <c r="G149" i="32"/>
  <c r="D149" i="32"/>
  <c r="A149" i="32" s="1"/>
  <c r="C149" i="32"/>
  <c r="B149" i="32"/>
  <c r="G148" i="32"/>
  <c r="D148" i="32"/>
  <c r="C148" i="32"/>
  <c r="B148" i="32"/>
  <c r="G147" i="32"/>
  <c r="D147" i="32"/>
  <c r="C147" i="32"/>
  <c r="B147" i="32"/>
  <c r="A147" i="32"/>
  <c r="G146" i="32"/>
  <c r="D146" i="32"/>
  <c r="A146" i="32" s="1"/>
  <c r="C146" i="32"/>
  <c r="B146" i="32"/>
  <c r="G145" i="32"/>
  <c r="D145" i="32"/>
  <c r="A145" i="32" s="1"/>
  <c r="C145" i="32"/>
  <c r="B145" i="32"/>
  <c r="G144" i="32"/>
  <c r="D144" i="32"/>
  <c r="C144" i="32"/>
  <c r="B144" i="32"/>
  <c r="G143" i="32"/>
  <c r="D143" i="32"/>
  <c r="C143" i="32"/>
  <c r="B143" i="32"/>
  <c r="A143" i="32"/>
  <c r="G142" i="32"/>
  <c r="D142" i="32"/>
  <c r="A142" i="32" s="1"/>
  <c r="C142" i="32"/>
  <c r="B142" i="32"/>
  <c r="G141" i="32"/>
  <c r="D141" i="32"/>
  <c r="A141" i="32" s="1"/>
  <c r="C141" i="32"/>
  <c r="B141" i="32"/>
  <c r="G140" i="32"/>
  <c r="D140" i="32"/>
  <c r="C140" i="32"/>
  <c r="B140" i="32"/>
  <c r="G139" i="32"/>
  <c r="D139" i="32"/>
  <c r="C139" i="32"/>
  <c r="B139" i="32"/>
  <c r="A139" i="32"/>
  <c r="G138" i="32"/>
  <c r="D138" i="32"/>
  <c r="A138" i="32" s="1"/>
  <c r="C138" i="32"/>
  <c r="B138" i="32"/>
  <c r="G137" i="32"/>
  <c r="D137" i="32"/>
  <c r="A137" i="32" s="1"/>
  <c r="C137" i="32"/>
  <c r="B137" i="32"/>
  <c r="G136" i="32"/>
  <c r="D136" i="32"/>
  <c r="C136" i="32"/>
  <c r="B136" i="32"/>
  <c r="G135" i="32"/>
  <c r="D135" i="32"/>
  <c r="C135" i="32"/>
  <c r="B135" i="32"/>
  <c r="A135" i="32"/>
  <c r="G134" i="32"/>
  <c r="D134" i="32"/>
  <c r="A134" i="32" s="1"/>
  <c r="C134" i="32"/>
  <c r="B134" i="32"/>
  <c r="G133" i="32"/>
  <c r="D133" i="32"/>
  <c r="A133" i="32" s="1"/>
  <c r="C133" i="32"/>
  <c r="B133" i="32"/>
  <c r="G132" i="32"/>
  <c r="D132" i="32"/>
  <c r="C132" i="32"/>
  <c r="B132" i="32"/>
  <c r="G131" i="32"/>
  <c r="D131" i="32"/>
  <c r="C131" i="32"/>
  <c r="B131" i="32"/>
  <c r="A131" i="32"/>
  <c r="G130" i="32"/>
  <c r="D130" i="32"/>
  <c r="A130" i="32" s="1"/>
  <c r="C130" i="32"/>
  <c r="B130" i="32"/>
  <c r="H129" i="32"/>
  <c r="G129" i="32" s="1"/>
  <c r="D129" i="32"/>
  <c r="C129" i="32"/>
  <c r="B129" i="32"/>
  <c r="G128" i="32"/>
  <c r="D128" i="32"/>
  <c r="A128" i="32" s="1"/>
  <c r="C128" i="32"/>
  <c r="B128" i="32"/>
  <c r="G127" i="32"/>
  <c r="D127" i="32"/>
  <c r="C127" i="32"/>
  <c r="B127" i="32"/>
  <c r="G126" i="32"/>
  <c r="D126" i="32"/>
  <c r="C126" i="32"/>
  <c r="B126" i="32"/>
  <c r="A126" i="32"/>
  <c r="G125" i="32"/>
  <c r="D125" i="32"/>
  <c r="A125" i="32" s="1"/>
  <c r="C125" i="32"/>
  <c r="B125" i="32"/>
  <c r="G124" i="32"/>
  <c r="D124" i="32"/>
  <c r="A124" i="32" s="1"/>
  <c r="C124" i="32"/>
  <c r="B124" i="32"/>
  <c r="G123" i="32"/>
  <c r="D123" i="32"/>
  <c r="C123" i="32"/>
  <c r="B123" i="32"/>
  <c r="G122" i="32"/>
  <c r="D122" i="32"/>
  <c r="C122" i="32"/>
  <c r="B122" i="32"/>
  <c r="A122" i="32"/>
  <c r="G121" i="32"/>
  <c r="D121" i="32"/>
  <c r="A121" i="32" s="1"/>
  <c r="C121" i="32"/>
  <c r="B121" i="32"/>
  <c r="H120" i="32"/>
  <c r="G120" i="32" s="1"/>
  <c r="D120" i="32"/>
  <c r="C120" i="32"/>
  <c r="B120" i="32"/>
  <c r="H119" i="32"/>
  <c r="G119" i="32" s="1"/>
  <c r="D119" i="32"/>
  <c r="C119" i="32"/>
  <c r="B119" i="32"/>
  <c r="G118" i="32"/>
  <c r="D118" i="32"/>
  <c r="A118" i="32" s="1"/>
  <c r="C118" i="32"/>
  <c r="B118" i="32"/>
  <c r="H117" i="32"/>
  <c r="H159" i="32" s="1"/>
  <c r="D117" i="32"/>
  <c r="C117" i="32"/>
  <c r="B117" i="32"/>
  <c r="G116" i="32"/>
  <c r="D116" i="32"/>
  <c r="C116" i="32"/>
  <c r="B116" i="32"/>
  <c r="G115" i="32"/>
  <c r="D115" i="32"/>
  <c r="C115" i="32"/>
  <c r="B115" i="32"/>
  <c r="A115" i="32"/>
  <c r="G114" i="32"/>
  <c r="D114" i="32"/>
  <c r="A114" i="32" s="1"/>
  <c r="C114" i="32"/>
  <c r="B114" i="32"/>
  <c r="G113" i="32"/>
  <c r="D113" i="32"/>
  <c r="A113" i="32" s="1"/>
  <c r="C113" i="32"/>
  <c r="B113" i="32"/>
  <c r="G112" i="32"/>
  <c r="G160" i="32" s="1"/>
  <c r="D112" i="32"/>
  <c r="C112" i="32"/>
  <c r="C160" i="32" s="1"/>
  <c r="B112" i="32"/>
  <c r="G111" i="32"/>
  <c r="D111" i="32"/>
  <c r="C111" i="32"/>
  <c r="C159" i="32" s="1"/>
  <c r="B111" i="32"/>
  <c r="A111" i="32"/>
  <c r="G110" i="32"/>
  <c r="D110" i="32"/>
  <c r="A110" i="32" s="1"/>
  <c r="C110" i="32"/>
  <c r="B110" i="32"/>
  <c r="B158" i="32" s="1"/>
  <c r="I103" i="32"/>
  <c r="H103" i="32"/>
  <c r="F103" i="32"/>
  <c r="E103" i="32"/>
  <c r="I102" i="32"/>
  <c r="F102" i="32"/>
  <c r="E102" i="32"/>
  <c r="I101" i="32"/>
  <c r="I104" i="32" s="1"/>
  <c r="H101" i="32"/>
  <c r="F101" i="32"/>
  <c r="F104" i="32" s="1"/>
  <c r="E101" i="32"/>
  <c r="G100" i="32"/>
  <c r="D100" i="32"/>
  <c r="C100" i="32"/>
  <c r="B100" i="32"/>
  <c r="A100" i="32"/>
  <c r="H99" i="32"/>
  <c r="G99" i="32"/>
  <c r="D99" i="32"/>
  <c r="C99" i="32"/>
  <c r="B99" i="32"/>
  <c r="A99" i="32"/>
  <c r="G98" i="32"/>
  <c r="D98" i="32"/>
  <c r="A98" i="32" s="1"/>
  <c r="C98" i="32"/>
  <c r="B98" i="32"/>
  <c r="G97" i="32"/>
  <c r="D97" i="32"/>
  <c r="A97" i="32" s="1"/>
  <c r="C97" i="32"/>
  <c r="B97" i="32"/>
  <c r="G96" i="32"/>
  <c r="D96" i="32"/>
  <c r="C96" i="32"/>
  <c r="B96" i="32"/>
  <c r="G95" i="32"/>
  <c r="D95" i="32"/>
  <c r="C95" i="32"/>
  <c r="B95" i="32"/>
  <c r="A95" i="32"/>
  <c r="G94" i="32"/>
  <c r="D94" i="32"/>
  <c r="A94" i="32" s="1"/>
  <c r="C94" i="32"/>
  <c r="B94" i="32"/>
  <c r="G93" i="32"/>
  <c r="D93" i="32"/>
  <c r="A93" i="32" s="1"/>
  <c r="C93" i="32"/>
  <c r="B93" i="32"/>
  <c r="G92" i="32"/>
  <c r="D92" i="32"/>
  <c r="C92" i="32"/>
  <c r="B92" i="32"/>
  <c r="G91" i="32"/>
  <c r="D91" i="32"/>
  <c r="C91" i="32"/>
  <c r="B91" i="32"/>
  <c r="A91" i="32"/>
  <c r="H90" i="32"/>
  <c r="G90" i="32"/>
  <c r="D90" i="32"/>
  <c r="C90" i="32"/>
  <c r="B90" i="32"/>
  <c r="A90" i="32"/>
  <c r="G89" i="32"/>
  <c r="D89" i="32"/>
  <c r="A89" i="32" s="1"/>
  <c r="C89" i="32"/>
  <c r="B89" i="32"/>
  <c r="G88" i="32"/>
  <c r="D88" i="32"/>
  <c r="A88" i="32" s="1"/>
  <c r="C88" i="32"/>
  <c r="B88" i="32"/>
  <c r="H87" i="32"/>
  <c r="G87" i="32" s="1"/>
  <c r="A87" i="32" s="1"/>
  <c r="D87" i="32"/>
  <c r="C87" i="32"/>
  <c r="B87" i="32"/>
  <c r="G86" i="32"/>
  <c r="D86" i="32"/>
  <c r="C86" i="32"/>
  <c r="B86" i="32"/>
  <c r="G85" i="32"/>
  <c r="D85" i="32"/>
  <c r="C85" i="32"/>
  <c r="B85" i="32"/>
  <c r="A85" i="32"/>
  <c r="H84" i="32"/>
  <c r="G84" i="32"/>
  <c r="D84" i="32"/>
  <c r="C84" i="32"/>
  <c r="B84" i="32"/>
  <c r="A84" i="32"/>
  <c r="G83" i="32"/>
  <c r="D83" i="32"/>
  <c r="A83" i="32" s="1"/>
  <c r="C83" i="32"/>
  <c r="B83" i="32"/>
  <c r="G82" i="32"/>
  <c r="D82" i="32"/>
  <c r="A82" i="32" s="1"/>
  <c r="C82" i="32"/>
  <c r="B82" i="32"/>
  <c r="G81" i="32"/>
  <c r="D81" i="32"/>
  <c r="C81" i="32"/>
  <c r="B81" i="32"/>
  <c r="G80" i="32"/>
  <c r="D80" i="32"/>
  <c r="C80" i="32"/>
  <c r="B80" i="32"/>
  <c r="A80" i="32"/>
  <c r="G79" i="32"/>
  <c r="D79" i="32"/>
  <c r="A79" i="32" s="1"/>
  <c r="C79" i="32"/>
  <c r="B79" i="32"/>
  <c r="G78" i="32"/>
  <c r="D78" i="32"/>
  <c r="A78" i="32" s="1"/>
  <c r="C78" i="32"/>
  <c r="B78" i="32"/>
  <c r="G77" i="32"/>
  <c r="D77" i="32"/>
  <c r="C77" i="32"/>
  <c r="B77" i="32"/>
  <c r="G76" i="32"/>
  <c r="G103" i="32" s="1"/>
  <c r="D76" i="32"/>
  <c r="C76" i="32"/>
  <c r="C103" i="32" s="1"/>
  <c r="B76" i="32"/>
  <c r="A76" i="32"/>
  <c r="G75" i="32"/>
  <c r="D75" i="32"/>
  <c r="D102" i="32" s="1"/>
  <c r="C75" i="32"/>
  <c r="B75" i="32"/>
  <c r="B102" i="32" s="1"/>
  <c r="G74" i="32"/>
  <c r="D74" i="32"/>
  <c r="D101" i="32" s="1"/>
  <c r="C74" i="32"/>
  <c r="B74" i="32"/>
  <c r="B101" i="32" s="1"/>
  <c r="I67" i="32"/>
  <c r="H67" i="32"/>
  <c r="F67" i="32"/>
  <c r="E67" i="32"/>
  <c r="H66" i="32"/>
  <c r="F66" i="32"/>
  <c r="E66" i="32"/>
  <c r="H65" i="32"/>
  <c r="F65" i="32"/>
  <c r="F68" i="32" s="1"/>
  <c r="E65" i="32"/>
  <c r="G64" i="32"/>
  <c r="D64" i="32"/>
  <c r="C64" i="32"/>
  <c r="B64" i="32"/>
  <c r="A64" i="32"/>
  <c r="G63" i="32"/>
  <c r="D63" i="32"/>
  <c r="A63" i="32" s="1"/>
  <c r="C63" i="32"/>
  <c r="B63" i="32"/>
  <c r="G62" i="32"/>
  <c r="D62" i="32"/>
  <c r="A62" i="32" s="1"/>
  <c r="C62" i="32"/>
  <c r="B62" i="32"/>
  <c r="G61" i="32"/>
  <c r="D61" i="32"/>
  <c r="C61" i="32"/>
  <c r="B61" i="32"/>
  <c r="I60" i="32"/>
  <c r="G60" i="32" s="1"/>
  <c r="A60" i="32" s="1"/>
  <c r="D60" i="32"/>
  <c r="B60" i="32"/>
  <c r="G59" i="32"/>
  <c r="D59" i="32"/>
  <c r="A59" i="32" s="1"/>
  <c r="C59" i="32"/>
  <c r="B59" i="32"/>
  <c r="G58" i="32"/>
  <c r="D58" i="32"/>
  <c r="C58" i="32"/>
  <c r="B58" i="32"/>
  <c r="I57" i="32"/>
  <c r="G57" i="32" s="1"/>
  <c r="A57" i="32" s="1"/>
  <c r="D57" i="32"/>
  <c r="B57" i="32"/>
  <c r="G56" i="32"/>
  <c r="D56" i="32"/>
  <c r="A56" i="32" s="1"/>
  <c r="C56" i="32"/>
  <c r="B56" i="32"/>
  <c r="G55" i="32"/>
  <c r="D55" i="32"/>
  <c r="C55" i="32"/>
  <c r="B55" i="32"/>
  <c r="I54" i="32"/>
  <c r="I66" i="32" s="1"/>
  <c r="D54" i="32"/>
  <c r="B54" i="32"/>
  <c r="G53" i="32"/>
  <c r="D53" i="32"/>
  <c r="A53" i="32" s="1"/>
  <c r="C53" i="32"/>
  <c r="B53" i="32"/>
  <c r="G52" i="32"/>
  <c r="G67" i="32" s="1"/>
  <c r="D52" i="32"/>
  <c r="D67" i="32" s="1"/>
  <c r="C52" i="32"/>
  <c r="C67" i="32" s="1"/>
  <c r="B52" i="32"/>
  <c r="B67" i="32" s="1"/>
  <c r="G51" i="32"/>
  <c r="D51" i="32"/>
  <c r="C51" i="32"/>
  <c r="B51" i="32"/>
  <c r="A51" i="32"/>
  <c r="I50" i="32"/>
  <c r="I65" i="32" s="1"/>
  <c r="G50" i="32"/>
  <c r="G65" i="32" s="1"/>
  <c r="D50" i="32"/>
  <c r="C50" i="32"/>
  <c r="C65" i="32" s="1"/>
  <c r="B50" i="32"/>
  <c r="A50" i="32"/>
  <c r="I43" i="32"/>
  <c r="H43" i="32"/>
  <c r="F43" i="32"/>
  <c r="E43" i="32"/>
  <c r="D43" i="32"/>
  <c r="I42" i="32"/>
  <c r="H42" i="32"/>
  <c r="G42" i="32"/>
  <c r="F42" i="32"/>
  <c r="E42" i="32"/>
  <c r="D42" i="32"/>
  <c r="C42" i="32"/>
  <c r="B42" i="32"/>
  <c r="A42" i="32"/>
  <c r="I41" i="32"/>
  <c r="H41" i="32"/>
  <c r="H44" i="32" s="1"/>
  <c r="G41" i="32"/>
  <c r="F41" i="32"/>
  <c r="F44" i="32" s="1"/>
  <c r="E41" i="32"/>
  <c r="D41" i="32"/>
  <c r="D44" i="32" s="1"/>
  <c r="C41" i="32"/>
  <c r="B41" i="32"/>
  <c r="A41" i="32"/>
  <c r="G10" i="32"/>
  <c r="G43" i="32" s="1"/>
  <c r="C10" i="32"/>
  <c r="C43" i="32" s="1"/>
  <c r="B10" i="32"/>
  <c r="B43" i="32" s="1"/>
  <c r="I1069" i="31"/>
  <c r="H1069" i="31"/>
  <c r="F1069" i="31"/>
  <c r="E1069" i="31"/>
  <c r="I1068" i="31"/>
  <c r="H1068" i="31"/>
  <c r="I1067" i="31"/>
  <c r="H1067" i="31"/>
  <c r="F1067" i="31"/>
  <c r="E1067" i="31"/>
  <c r="G1066" i="31"/>
  <c r="D1066" i="31"/>
  <c r="C1066" i="31"/>
  <c r="B1066" i="31"/>
  <c r="G1065" i="31"/>
  <c r="G1067" i="31" s="1"/>
  <c r="D1065" i="31"/>
  <c r="D1067" i="31" s="1"/>
  <c r="C1065" i="31"/>
  <c r="C1067" i="31" s="1"/>
  <c r="B1065" i="31"/>
  <c r="B1067" i="31" s="1"/>
  <c r="A1065" i="31"/>
  <c r="I1064" i="31"/>
  <c r="H1064" i="31"/>
  <c r="F1064" i="31"/>
  <c r="E1064" i="31"/>
  <c r="G1063" i="31"/>
  <c r="D1063" i="31"/>
  <c r="C1063" i="31"/>
  <c r="B1063" i="31"/>
  <c r="A1063" i="31" s="1"/>
  <c r="G1062" i="31"/>
  <c r="G1064" i="31" s="1"/>
  <c r="D1062" i="31"/>
  <c r="C1062" i="31"/>
  <c r="C1064" i="31" s="1"/>
  <c r="B1062" i="31"/>
  <c r="I1061" i="31"/>
  <c r="H1061" i="31"/>
  <c r="F1061" i="31"/>
  <c r="E1061" i="31"/>
  <c r="G1060" i="31"/>
  <c r="D1060" i="31"/>
  <c r="C1060" i="31"/>
  <c r="B1060" i="31"/>
  <c r="A1060" i="31"/>
  <c r="G1059" i="31"/>
  <c r="D1059" i="31"/>
  <c r="D1061" i="31" s="1"/>
  <c r="C1059" i="31"/>
  <c r="B1059" i="31"/>
  <c r="A1059" i="31" s="1"/>
  <c r="A1061" i="31" s="1"/>
  <c r="I1058" i="31"/>
  <c r="H1058" i="31"/>
  <c r="F1058" i="31"/>
  <c r="E1058" i="31"/>
  <c r="G1057" i="31"/>
  <c r="D1057" i="31"/>
  <c r="C1057" i="31"/>
  <c r="B1057" i="31"/>
  <c r="A1057" i="31" s="1"/>
  <c r="G1056" i="31"/>
  <c r="G1058" i="31" s="1"/>
  <c r="D1056" i="31"/>
  <c r="D1058" i="31" s="1"/>
  <c r="C1056" i="31"/>
  <c r="C1058" i="31" s="1"/>
  <c r="B1056" i="31"/>
  <c r="B1058" i="31" s="1"/>
  <c r="I1055" i="31"/>
  <c r="H1055" i="31"/>
  <c r="F1055" i="31"/>
  <c r="E1055" i="31"/>
  <c r="G1054" i="31"/>
  <c r="D1054" i="31"/>
  <c r="C1054" i="31"/>
  <c r="B1054" i="31"/>
  <c r="A1054" i="31"/>
  <c r="G1053" i="31"/>
  <c r="D1053" i="31"/>
  <c r="D1055" i="31" s="1"/>
  <c r="C1053" i="31"/>
  <c r="B1053" i="31"/>
  <c r="A1053" i="31" s="1"/>
  <c r="A1055" i="31" s="1"/>
  <c r="I1052" i="31"/>
  <c r="H1052" i="31"/>
  <c r="F1052" i="31"/>
  <c r="E1052" i="31"/>
  <c r="G1051" i="31"/>
  <c r="D1051" i="31"/>
  <c r="C1051" i="31"/>
  <c r="B1051" i="31"/>
  <c r="A1051" i="31" s="1"/>
  <c r="G1050" i="31"/>
  <c r="G1052" i="31" s="1"/>
  <c r="D1050" i="31"/>
  <c r="D1052" i="31" s="1"/>
  <c r="C1050" i="31"/>
  <c r="C1052" i="31" s="1"/>
  <c r="B1050" i="31"/>
  <c r="B1052" i="31" s="1"/>
  <c r="I1049" i="31"/>
  <c r="H1049" i="31"/>
  <c r="F1049" i="31"/>
  <c r="E1049" i="31"/>
  <c r="G1048" i="31"/>
  <c r="D1048" i="31"/>
  <c r="C1048" i="31"/>
  <c r="B1048" i="31"/>
  <c r="A1048" i="31"/>
  <c r="G1047" i="31"/>
  <c r="D1047" i="31"/>
  <c r="D1049" i="31" s="1"/>
  <c r="C1047" i="31"/>
  <c r="B1047" i="31"/>
  <c r="A1047" i="31" s="1"/>
  <c r="A1049" i="31" s="1"/>
  <c r="I1046" i="31"/>
  <c r="H1046" i="31"/>
  <c r="F1046" i="31"/>
  <c r="E1046" i="31"/>
  <c r="G1045" i="31"/>
  <c r="D1045" i="31"/>
  <c r="C1045" i="31"/>
  <c r="B1045" i="31"/>
  <c r="A1045" i="31" s="1"/>
  <c r="G1044" i="31"/>
  <c r="G1046" i="31" s="1"/>
  <c r="D1044" i="31"/>
  <c r="D1046" i="31" s="1"/>
  <c r="C1044" i="31"/>
  <c r="C1046" i="31" s="1"/>
  <c r="B1044" i="31"/>
  <c r="B1046" i="31" s="1"/>
  <c r="I1043" i="31"/>
  <c r="H1043" i="31"/>
  <c r="F1043" i="31"/>
  <c r="E1043" i="31"/>
  <c r="G1042" i="31"/>
  <c r="D1042" i="31"/>
  <c r="C1042" i="31"/>
  <c r="B1042" i="31"/>
  <c r="A1042" i="31"/>
  <c r="G1041" i="31"/>
  <c r="D1041" i="31"/>
  <c r="D1043" i="31" s="1"/>
  <c r="C1041" i="31"/>
  <c r="B1041" i="31"/>
  <c r="A1041" i="31" s="1"/>
  <c r="A1043" i="31" s="1"/>
  <c r="I1040" i="31"/>
  <c r="H1040" i="31"/>
  <c r="F1040" i="31"/>
  <c r="E1040" i="31"/>
  <c r="G1039" i="31"/>
  <c r="D1039" i="31"/>
  <c r="C1039" i="31"/>
  <c r="B1039" i="31"/>
  <c r="A1039" i="31" s="1"/>
  <c r="G1038" i="31"/>
  <c r="G1040" i="31" s="1"/>
  <c r="D1038" i="31"/>
  <c r="D1040" i="31" s="1"/>
  <c r="C1038" i="31"/>
  <c r="C1040" i="31" s="1"/>
  <c r="B1038" i="31"/>
  <c r="B1040" i="31" s="1"/>
  <c r="I1037" i="31"/>
  <c r="H1037" i="31"/>
  <c r="E1037" i="31"/>
  <c r="G1036" i="31"/>
  <c r="D1036" i="31"/>
  <c r="C1036" i="31"/>
  <c r="B1036" i="31"/>
  <c r="A1036" i="31"/>
  <c r="G1035" i="31"/>
  <c r="F1035" i="31"/>
  <c r="D1035" i="31" s="1"/>
  <c r="D1037" i="31" s="1"/>
  <c r="B1035" i="31"/>
  <c r="B1037" i="31" s="1"/>
  <c r="I1034" i="31"/>
  <c r="H1034" i="31"/>
  <c r="E1034" i="31"/>
  <c r="G1033" i="31"/>
  <c r="D1033" i="31"/>
  <c r="C1033" i="31"/>
  <c r="B1033" i="31"/>
  <c r="A1033" i="31" s="1"/>
  <c r="G1032" i="31"/>
  <c r="G1034" i="31" s="1"/>
  <c r="F1032" i="31"/>
  <c r="D1032" i="31" s="1"/>
  <c r="C1032" i="31"/>
  <c r="C1034" i="31" s="1"/>
  <c r="B1032" i="31"/>
  <c r="A1032" i="31"/>
  <c r="I1031" i="31"/>
  <c r="H1031" i="31"/>
  <c r="F1031" i="31"/>
  <c r="E1031" i="31"/>
  <c r="G1030" i="31"/>
  <c r="D1030" i="31"/>
  <c r="C1030" i="31"/>
  <c r="B1030" i="31"/>
  <c r="A1030" i="31" s="1"/>
  <c r="G1029" i="31"/>
  <c r="G1031" i="31" s="1"/>
  <c r="D1029" i="31"/>
  <c r="C1029" i="31"/>
  <c r="C1031" i="31" s="1"/>
  <c r="B1029" i="31"/>
  <c r="I1028" i="31"/>
  <c r="H1028" i="31"/>
  <c r="F1028" i="31"/>
  <c r="E1028" i="31"/>
  <c r="G1027" i="31"/>
  <c r="D1027" i="31"/>
  <c r="C1027" i="31"/>
  <c r="B1027" i="31"/>
  <c r="G1026" i="31"/>
  <c r="G1028" i="31" s="1"/>
  <c r="D1026" i="31"/>
  <c r="D1028" i="31" s="1"/>
  <c r="C1026" i="31"/>
  <c r="C1028" i="31" s="1"/>
  <c r="B1026" i="31"/>
  <c r="B1028" i="31" s="1"/>
  <c r="A1026" i="31"/>
  <c r="I1025" i="31"/>
  <c r="H1025" i="31"/>
  <c r="F1025" i="31"/>
  <c r="E1025" i="31"/>
  <c r="G1024" i="31"/>
  <c r="D1024" i="31"/>
  <c r="C1024" i="31"/>
  <c r="B1024" i="31"/>
  <c r="A1024" i="31" s="1"/>
  <c r="G1023" i="31"/>
  <c r="G1025" i="31" s="1"/>
  <c r="D1023" i="31"/>
  <c r="C1023" i="31"/>
  <c r="C1025" i="31" s="1"/>
  <c r="B1023" i="31"/>
  <c r="I1022" i="31"/>
  <c r="H1022" i="31"/>
  <c r="F1022" i="31"/>
  <c r="E1022" i="31"/>
  <c r="G1021" i="31"/>
  <c r="D1021" i="31"/>
  <c r="C1021" i="31"/>
  <c r="B1021" i="31"/>
  <c r="G1020" i="31"/>
  <c r="G1022" i="31" s="1"/>
  <c r="D1020" i="31"/>
  <c r="D1022" i="31" s="1"/>
  <c r="C1020" i="31"/>
  <c r="C1022" i="31" s="1"/>
  <c r="B1020" i="31"/>
  <c r="B1022" i="31" s="1"/>
  <c r="A1020" i="31"/>
  <c r="I1019" i="31"/>
  <c r="H1019" i="31"/>
  <c r="F1019" i="31"/>
  <c r="E1019" i="31"/>
  <c r="G1018" i="31"/>
  <c r="D1018" i="31"/>
  <c r="C1018" i="31"/>
  <c r="B1018" i="31"/>
  <c r="A1018" i="31" s="1"/>
  <c r="G1017" i="31"/>
  <c r="G1019" i="31" s="1"/>
  <c r="D1017" i="31"/>
  <c r="C1017" i="31"/>
  <c r="C1019" i="31" s="1"/>
  <c r="B1017" i="31"/>
  <c r="I1016" i="31"/>
  <c r="H1016" i="31"/>
  <c r="F1016" i="31"/>
  <c r="E1016" i="31"/>
  <c r="G1015" i="31"/>
  <c r="D1015" i="31"/>
  <c r="C1015" i="31"/>
  <c r="B1015" i="31"/>
  <c r="G1014" i="31"/>
  <c r="G1016" i="31" s="1"/>
  <c r="D1014" i="31"/>
  <c r="D1016" i="31" s="1"/>
  <c r="C1014" i="31"/>
  <c r="C1016" i="31" s="1"/>
  <c r="B1014" i="31"/>
  <c r="B1016" i="31" s="1"/>
  <c r="A1014" i="31"/>
  <c r="I1013" i="31"/>
  <c r="H1013" i="31"/>
  <c r="G1012" i="31"/>
  <c r="D1012" i="31"/>
  <c r="C1012" i="31"/>
  <c r="B1012" i="31"/>
  <c r="A1012" i="31" s="1"/>
  <c r="G1011" i="31"/>
  <c r="G1013" i="31" s="1"/>
  <c r="F1011" i="31"/>
  <c r="F1068" i="31" s="1"/>
  <c r="E1011" i="31"/>
  <c r="E1013" i="31" s="1"/>
  <c r="B1011" i="31"/>
  <c r="I1010" i="31"/>
  <c r="H1010" i="31"/>
  <c r="H1070" i="31" s="1"/>
  <c r="F1010" i="31"/>
  <c r="E1010" i="31"/>
  <c r="E1070" i="31" s="1"/>
  <c r="G1009" i="31"/>
  <c r="G1069" i="31" s="1"/>
  <c r="D1009" i="31"/>
  <c r="C1009" i="31"/>
  <c r="C1069" i="31" s="1"/>
  <c r="B1009" i="31"/>
  <c r="G1008" i="31"/>
  <c r="G1068" i="31" s="1"/>
  <c r="E1008" i="31"/>
  <c r="D1008" i="31"/>
  <c r="C1008" i="31"/>
  <c r="C1010" i="31" s="1"/>
  <c r="B1008" i="31"/>
  <c r="B1068" i="31" s="1"/>
  <c r="I963" i="31"/>
  <c r="H963" i="31"/>
  <c r="F963" i="31"/>
  <c r="E963" i="31"/>
  <c r="F962" i="31"/>
  <c r="E962" i="31"/>
  <c r="I961" i="31"/>
  <c r="F961" i="31"/>
  <c r="E961" i="31"/>
  <c r="G960" i="31"/>
  <c r="D960" i="31"/>
  <c r="C960" i="31"/>
  <c r="B960" i="31"/>
  <c r="A960" i="31"/>
  <c r="H959" i="31"/>
  <c r="H961" i="31" s="1"/>
  <c r="G959" i="31"/>
  <c r="G961" i="31" s="1"/>
  <c r="D959" i="31"/>
  <c r="D961" i="31" s="1"/>
  <c r="C959" i="31"/>
  <c r="C961" i="31" s="1"/>
  <c r="B959" i="31"/>
  <c r="B961" i="31" s="1"/>
  <c r="A959" i="31"/>
  <c r="A961" i="31" s="1"/>
  <c r="I958" i="31"/>
  <c r="F958" i="31"/>
  <c r="E958" i="31"/>
  <c r="D958" i="31"/>
  <c r="G957" i="31"/>
  <c r="D957" i="31"/>
  <c r="C957" i="31"/>
  <c r="B957" i="31"/>
  <c r="A957" i="31"/>
  <c r="H956" i="31"/>
  <c r="H962" i="31" s="1"/>
  <c r="G956" i="31"/>
  <c r="G958" i="31" s="1"/>
  <c r="D956" i="31"/>
  <c r="C956" i="31"/>
  <c r="C958" i="31" s="1"/>
  <c r="B956" i="31"/>
  <c r="B958" i="31" s="1"/>
  <c r="A956" i="31"/>
  <c r="A958" i="31" s="1"/>
  <c r="H955" i="31"/>
  <c r="F955" i="31"/>
  <c r="E955" i="31"/>
  <c r="G954" i="31"/>
  <c r="D954" i="31"/>
  <c r="C954" i="31"/>
  <c r="B954" i="31"/>
  <c r="A954" i="31" s="1"/>
  <c r="I953" i="31"/>
  <c r="I955" i="31" s="1"/>
  <c r="D953" i="31"/>
  <c r="D955" i="31" s="1"/>
  <c r="B953" i="31"/>
  <c r="H952" i="31"/>
  <c r="F952" i="31"/>
  <c r="E952" i="31"/>
  <c r="E964" i="31" s="1"/>
  <c r="G951" i="31"/>
  <c r="D951" i="31"/>
  <c r="D963" i="31" s="1"/>
  <c r="C951" i="31"/>
  <c r="B951" i="31"/>
  <c r="B963" i="31" s="1"/>
  <c r="I950" i="31"/>
  <c r="I952" i="31" s="1"/>
  <c r="I964" i="31" s="1"/>
  <c r="D950" i="31"/>
  <c r="D962" i="31" s="1"/>
  <c r="B950" i="31"/>
  <c r="B962" i="31" s="1"/>
  <c r="I944" i="31"/>
  <c r="H944" i="31"/>
  <c r="F944" i="31"/>
  <c r="E944" i="31"/>
  <c r="I943" i="31"/>
  <c r="F943" i="31"/>
  <c r="E943" i="31"/>
  <c r="I942" i="31"/>
  <c r="F942" i="31"/>
  <c r="E942" i="31"/>
  <c r="G941" i="31"/>
  <c r="D941" i="31"/>
  <c r="C941" i="31"/>
  <c r="B941" i="31"/>
  <c r="A941" i="31"/>
  <c r="H940" i="31"/>
  <c r="H942" i="31" s="1"/>
  <c r="G940" i="31"/>
  <c r="G942" i="31" s="1"/>
  <c r="D940" i="31"/>
  <c r="D942" i="31" s="1"/>
  <c r="C940" i="31"/>
  <c r="C942" i="31" s="1"/>
  <c r="B940" i="31"/>
  <c r="B942" i="31" s="1"/>
  <c r="A940" i="31"/>
  <c r="A942" i="31" s="1"/>
  <c r="I939" i="31"/>
  <c r="H939" i="31"/>
  <c r="F939" i="31"/>
  <c r="E939" i="31"/>
  <c r="G938" i="31"/>
  <c r="D938" i="31"/>
  <c r="A938" i="31" s="1"/>
  <c r="C938" i="31"/>
  <c r="B938" i="31"/>
  <c r="G937" i="31"/>
  <c r="G939" i="31" s="1"/>
  <c r="D937" i="31"/>
  <c r="C937" i="31"/>
  <c r="C939" i="31" s="1"/>
  <c r="B937" i="31"/>
  <c r="I936" i="31"/>
  <c r="H936" i="31"/>
  <c r="F936" i="31"/>
  <c r="E936" i="31"/>
  <c r="G935" i="31"/>
  <c r="D935" i="31"/>
  <c r="C935" i="31"/>
  <c r="B935" i="31"/>
  <c r="G934" i="31"/>
  <c r="G936" i="31" s="1"/>
  <c r="D934" i="31"/>
  <c r="D936" i="31" s="1"/>
  <c r="C934" i="31"/>
  <c r="C936" i="31" s="1"/>
  <c r="B934" i="31"/>
  <c r="B936" i="31" s="1"/>
  <c r="A934" i="31"/>
  <c r="I933" i="31"/>
  <c r="H933" i="31"/>
  <c r="F933" i="31"/>
  <c r="E933" i="31"/>
  <c r="G932" i="31"/>
  <c r="D932" i="31"/>
  <c r="A932" i="31" s="1"/>
  <c r="C932" i="31"/>
  <c r="B932" i="31"/>
  <c r="G931" i="31"/>
  <c r="G933" i="31" s="1"/>
  <c r="D931" i="31"/>
  <c r="C931" i="31"/>
  <c r="C933" i="31" s="1"/>
  <c r="B931" i="31"/>
  <c r="I930" i="31"/>
  <c r="F930" i="31"/>
  <c r="E930" i="31"/>
  <c r="G929" i="31"/>
  <c r="D929" i="31"/>
  <c r="C929" i="31"/>
  <c r="B929" i="31"/>
  <c r="H928" i="31"/>
  <c r="H930" i="31" s="1"/>
  <c r="D928" i="31"/>
  <c r="D930" i="31" s="1"/>
  <c r="C928" i="31"/>
  <c r="C930" i="31" s="1"/>
  <c r="I927" i="31"/>
  <c r="H927" i="31"/>
  <c r="F927" i="31"/>
  <c r="E927" i="31"/>
  <c r="G926" i="31"/>
  <c r="D926" i="31"/>
  <c r="C926" i="31"/>
  <c r="B926" i="31"/>
  <c r="G925" i="31"/>
  <c r="G927" i="31" s="1"/>
  <c r="D925" i="31"/>
  <c r="D927" i="31" s="1"/>
  <c r="C925" i="31"/>
  <c r="C927" i="31" s="1"/>
  <c r="B925" i="31"/>
  <c r="B927" i="31" s="1"/>
  <c r="A925" i="31"/>
  <c r="I924" i="31"/>
  <c r="H924" i="31"/>
  <c r="F924" i="31"/>
  <c r="E924" i="31"/>
  <c r="G923" i="31"/>
  <c r="D923" i="31"/>
  <c r="A923" i="31" s="1"/>
  <c r="C923" i="31"/>
  <c r="B923" i="31"/>
  <c r="G922" i="31"/>
  <c r="G924" i="31" s="1"/>
  <c r="D922" i="31"/>
  <c r="C922" i="31"/>
  <c r="C924" i="31" s="1"/>
  <c r="B922" i="31"/>
  <c r="I921" i="31"/>
  <c r="H921" i="31"/>
  <c r="F921" i="31"/>
  <c r="E921" i="31"/>
  <c r="G920" i="31"/>
  <c r="D920" i="31"/>
  <c r="C920" i="31"/>
  <c r="B920" i="31"/>
  <c r="G919" i="31"/>
  <c r="G921" i="31" s="1"/>
  <c r="D919" i="31"/>
  <c r="D921" i="31" s="1"/>
  <c r="C919" i="31"/>
  <c r="C921" i="31" s="1"/>
  <c r="B919" i="31"/>
  <c r="B921" i="31" s="1"/>
  <c r="A919" i="31"/>
  <c r="I918" i="31"/>
  <c r="H918" i="31"/>
  <c r="F918" i="31"/>
  <c r="E918" i="31"/>
  <c r="G917" i="31"/>
  <c r="D917" i="31"/>
  <c r="A917" i="31" s="1"/>
  <c r="C917" i="31"/>
  <c r="B917" i="31"/>
  <c r="G916" i="31"/>
  <c r="G918" i="31" s="1"/>
  <c r="D916" i="31"/>
  <c r="C916" i="31"/>
  <c r="C918" i="31" s="1"/>
  <c r="B916" i="31"/>
  <c r="I915" i="31"/>
  <c r="H915" i="31"/>
  <c r="F915" i="31"/>
  <c r="E915" i="31"/>
  <c r="G914" i="31"/>
  <c r="D914" i="31"/>
  <c r="C914" i="31"/>
  <c r="B914" i="31"/>
  <c r="G913" i="31"/>
  <c r="G915" i="31" s="1"/>
  <c r="D913" i="31"/>
  <c r="D915" i="31" s="1"/>
  <c r="C913" i="31"/>
  <c r="C915" i="31" s="1"/>
  <c r="B913" i="31"/>
  <c r="B915" i="31" s="1"/>
  <c r="A913" i="31"/>
  <c r="I912" i="31"/>
  <c r="H912" i="31"/>
  <c r="F912" i="31"/>
  <c r="E912" i="31"/>
  <c r="G911" i="31"/>
  <c r="D911" i="31"/>
  <c r="A911" i="31" s="1"/>
  <c r="C911" i="31"/>
  <c r="B911" i="31"/>
  <c r="G910" i="31"/>
  <c r="G912" i="31" s="1"/>
  <c r="D910" i="31"/>
  <c r="C910" i="31"/>
  <c r="C912" i="31" s="1"/>
  <c r="B910" i="31"/>
  <c r="I909" i="31"/>
  <c r="H909" i="31"/>
  <c r="F909" i="31"/>
  <c r="E909" i="31"/>
  <c r="G908" i="31"/>
  <c r="D908" i="31"/>
  <c r="C908" i="31"/>
  <c r="B908" i="31"/>
  <c r="G907" i="31"/>
  <c r="G909" i="31" s="1"/>
  <c r="D907" i="31"/>
  <c r="D909" i="31" s="1"/>
  <c r="C907" i="31"/>
  <c r="C909" i="31" s="1"/>
  <c r="B907" i="31"/>
  <c r="B909" i="31" s="1"/>
  <c r="A907" i="31"/>
  <c r="I906" i="31"/>
  <c r="F906" i="31"/>
  <c r="E906" i="31"/>
  <c r="G905" i="31"/>
  <c r="D905" i="31"/>
  <c r="A905" i="31" s="1"/>
  <c r="C905" i="31"/>
  <c r="B905" i="31"/>
  <c r="H904" i="31"/>
  <c r="G904" i="31" s="1"/>
  <c r="D904" i="31"/>
  <c r="D906" i="31" s="1"/>
  <c r="C904" i="31"/>
  <c r="C906" i="31" s="1"/>
  <c r="B904" i="31"/>
  <c r="B906" i="31" s="1"/>
  <c r="I903" i="31"/>
  <c r="F903" i="31"/>
  <c r="E903" i="31"/>
  <c r="D903" i="31"/>
  <c r="G902" i="31"/>
  <c r="D902" i="31"/>
  <c r="C902" i="31"/>
  <c r="B902" i="31"/>
  <c r="A902" i="31"/>
  <c r="H901" i="31"/>
  <c r="G901" i="31"/>
  <c r="G903" i="31" s="1"/>
  <c r="D901" i="31"/>
  <c r="C901" i="31"/>
  <c r="C903" i="31" s="1"/>
  <c r="B901" i="31"/>
  <c r="B903" i="31" s="1"/>
  <c r="A901" i="31"/>
  <c r="A903" i="31" s="1"/>
  <c r="I900" i="31"/>
  <c r="H900" i="31"/>
  <c r="F900" i="31"/>
  <c r="E900" i="31"/>
  <c r="G899" i="31"/>
  <c r="D899" i="31"/>
  <c r="A899" i="31" s="1"/>
  <c r="C899" i="31"/>
  <c r="B899" i="31"/>
  <c r="G898" i="31"/>
  <c r="G900" i="31" s="1"/>
  <c r="D898" i="31"/>
  <c r="C898" i="31"/>
  <c r="C900" i="31" s="1"/>
  <c r="B898" i="31"/>
  <c r="I897" i="31"/>
  <c r="H897" i="31"/>
  <c r="F897" i="31"/>
  <c r="E897" i="31"/>
  <c r="G896" i="31"/>
  <c r="D896" i="31"/>
  <c r="C896" i="31"/>
  <c r="B896" i="31"/>
  <c r="G895" i="31"/>
  <c r="G897" i="31" s="1"/>
  <c r="D895" i="31"/>
  <c r="D897" i="31" s="1"/>
  <c r="C895" i="31"/>
  <c r="C897" i="31" s="1"/>
  <c r="B895" i="31"/>
  <c r="B897" i="31" s="1"/>
  <c r="A895" i="31"/>
  <c r="I894" i="31"/>
  <c r="H894" i="31"/>
  <c r="F894" i="31"/>
  <c r="E894" i="31"/>
  <c r="G893" i="31"/>
  <c r="D893" i="31"/>
  <c r="A893" i="31" s="1"/>
  <c r="C893" i="31"/>
  <c r="B893" i="31"/>
  <c r="G892" i="31"/>
  <c r="G894" i="31" s="1"/>
  <c r="D892" i="31"/>
  <c r="C892" i="31"/>
  <c r="C894" i="31" s="1"/>
  <c r="B892" i="31"/>
  <c r="I891" i="31"/>
  <c r="H891" i="31"/>
  <c r="F891" i="31"/>
  <c r="E891" i="31"/>
  <c r="G890" i="31"/>
  <c r="D890" i="31"/>
  <c r="C890" i="31"/>
  <c r="B890" i="31"/>
  <c r="G889" i="31"/>
  <c r="G891" i="31" s="1"/>
  <c r="D889" i="31"/>
  <c r="D891" i="31" s="1"/>
  <c r="C889" i="31"/>
  <c r="C891" i="31" s="1"/>
  <c r="B889" i="31"/>
  <c r="B891" i="31" s="1"/>
  <c r="A889" i="31"/>
  <c r="I888" i="31"/>
  <c r="H888" i="31"/>
  <c r="F888" i="31"/>
  <c r="E888" i="31"/>
  <c r="G887" i="31"/>
  <c r="D887" i="31"/>
  <c r="A887" i="31" s="1"/>
  <c r="C887" i="31"/>
  <c r="B887" i="31"/>
  <c r="G886" i="31"/>
  <c r="G888" i="31" s="1"/>
  <c r="D886" i="31"/>
  <c r="C886" i="31"/>
  <c r="C888" i="31" s="1"/>
  <c r="B886" i="31"/>
  <c r="I885" i="31"/>
  <c r="H885" i="31"/>
  <c r="F885" i="31"/>
  <c r="E885" i="31"/>
  <c r="G884" i="31"/>
  <c r="D884" i="31"/>
  <c r="C884" i="31"/>
  <c r="B884" i="31"/>
  <c r="G883" i="31"/>
  <c r="G885" i="31" s="1"/>
  <c r="D883" i="31"/>
  <c r="D885" i="31" s="1"/>
  <c r="C883" i="31"/>
  <c r="C885" i="31" s="1"/>
  <c r="B883" i="31"/>
  <c r="B885" i="31" s="1"/>
  <c r="A883" i="31"/>
  <c r="I882" i="31"/>
  <c r="H882" i="31"/>
  <c r="F882" i="31"/>
  <c r="E882" i="31"/>
  <c r="G881" i="31"/>
  <c r="D881" i="31"/>
  <c r="A881" i="31" s="1"/>
  <c r="C881" i="31"/>
  <c r="B881" i="31"/>
  <c r="G880" i="31"/>
  <c r="G882" i="31" s="1"/>
  <c r="D880" i="31"/>
  <c r="C880" i="31"/>
  <c r="C882" i="31" s="1"/>
  <c r="B880" i="31"/>
  <c r="I879" i="31"/>
  <c r="I945" i="31" s="1"/>
  <c r="H879" i="31"/>
  <c r="F879" i="31"/>
  <c r="E879" i="31"/>
  <c r="G878" i="31"/>
  <c r="D878" i="31"/>
  <c r="C878" i="31"/>
  <c r="B878" i="31"/>
  <c r="G877" i="31"/>
  <c r="D877" i="31"/>
  <c r="C877" i="31"/>
  <c r="C943" i="31" s="1"/>
  <c r="B877" i="31"/>
  <c r="A877" i="31"/>
  <c r="I871" i="31"/>
  <c r="H871" i="31"/>
  <c r="F871" i="31"/>
  <c r="E871" i="31"/>
  <c r="F870" i="31"/>
  <c r="E870" i="31"/>
  <c r="H869" i="31"/>
  <c r="F869" i="31"/>
  <c r="E869" i="31"/>
  <c r="G868" i="31"/>
  <c r="D868" i="31"/>
  <c r="C868" i="31"/>
  <c r="B868" i="31"/>
  <c r="I867" i="31"/>
  <c r="I869" i="31" s="1"/>
  <c r="D867" i="31"/>
  <c r="D869" i="31" s="1"/>
  <c r="B867" i="31"/>
  <c r="B869" i="31" s="1"/>
  <c r="I866" i="31"/>
  <c r="F866" i="31"/>
  <c r="E866" i="31"/>
  <c r="C866" i="31"/>
  <c r="G865" i="31"/>
  <c r="D865" i="31"/>
  <c r="C865" i="31"/>
  <c r="B865" i="31"/>
  <c r="A865" i="31" s="1"/>
  <c r="H864" i="31"/>
  <c r="H870" i="31" s="1"/>
  <c r="D864" i="31"/>
  <c r="D866" i="31" s="1"/>
  <c r="C864" i="31"/>
  <c r="B864" i="31"/>
  <c r="B866" i="31" s="1"/>
  <c r="I863" i="31"/>
  <c r="H863" i="31"/>
  <c r="F863" i="31"/>
  <c r="E863" i="31"/>
  <c r="E872" i="31" s="1"/>
  <c r="G862" i="31"/>
  <c r="D862" i="31"/>
  <c r="D871" i="31" s="1"/>
  <c r="C862" i="31"/>
  <c r="B862" i="31"/>
  <c r="B871" i="31" s="1"/>
  <c r="G861" i="31"/>
  <c r="G863" i="31" s="1"/>
  <c r="D861" i="31"/>
  <c r="D870" i="31" s="1"/>
  <c r="C861" i="31"/>
  <c r="C863" i="31" s="1"/>
  <c r="B861" i="31"/>
  <c r="B870" i="31" s="1"/>
  <c r="I855" i="31"/>
  <c r="H855" i="31"/>
  <c r="F855" i="31"/>
  <c r="E855" i="31"/>
  <c r="H854" i="31"/>
  <c r="F854" i="31"/>
  <c r="E854" i="31"/>
  <c r="I853" i="31"/>
  <c r="H853" i="31"/>
  <c r="F853" i="31"/>
  <c r="E853" i="31"/>
  <c r="G852" i="31"/>
  <c r="D852" i="31"/>
  <c r="C852" i="31"/>
  <c r="B852" i="31"/>
  <c r="A852" i="31" s="1"/>
  <c r="G851" i="31"/>
  <c r="G853" i="31" s="1"/>
  <c r="D851" i="31"/>
  <c r="D853" i="31" s="1"/>
  <c r="C851" i="31"/>
  <c r="C853" i="31" s="1"/>
  <c r="B851" i="31"/>
  <c r="B853" i="31" s="1"/>
  <c r="I850" i="31"/>
  <c r="H850" i="31"/>
  <c r="F850" i="31"/>
  <c r="E850" i="31"/>
  <c r="G849" i="31"/>
  <c r="D849" i="31"/>
  <c r="C849" i="31"/>
  <c r="B849" i="31"/>
  <c r="A849" i="31"/>
  <c r="G848" i="31"/>
  <c r="D848" i="31"/>
  <c r="D850" i="31" s="1"/>
  <c r="C848" i="31"/>
  <c r="B848" i="31"/>
  <c r="B850" i="31" s="1"/>
  <c r="I847" i="31"/>
  <c r="H847" i="31"/>
  <c r="F847" i="31"/>
  <c r="E847" i="31"/>
  <c r="G846" i="31"/>
  <c r="D846" i="31"/>
  <c r="C846" i="31"/>
  <c r="B846" i="31"/>
  <c r="A846" i="31" s="1"/>
  <c r="G845" i="31"/>
  <c r="G847" i="31" s="1"/>
  <c r="D845" i="31"/>
  <c r="D847" i="31" s="1"/>
  <c r="C845" i="31"/>
  <c r="C847" i="31" s="1"/>
  <c r="B845" i="31"/>
  <c r="B847" i="31" s="1"/>
  <c r="I844" i="31"/>
  <c r="H844" i="31"/>
  <c r="F844" i="31"/>
  <c r="E844" i="31"/>
  <c r="G843" i="31"/>
  <c r="D843" i="31"/>
  <c r="C843" i="31"/>
  <c r="B843" i="31"/>
  <c r="A843" i="31"/>
  <c r="G842" i="31"/>
  <c r="D842" i="31"/>
  <c r="D844" i="31" s="1"/>
  <c r="C842" i="31"/>
  <c r="B842" i="31"/>
  <c r="B844" i="31" s="1"/>
  <c r="I841" i="31"/>
  <c r="H841" i="31"/>
  <c r="F841" i="31"/>
  <c r="E841" i="31"/>
  <c r="G840" i="31"/>
  <c r="D840" i="31"/>
  <c r="C840" i="31"/>
  <c r="B840" i="31"/>
  <c r="A840" i="31" s="1"/>
  <c r="G839" i="31"/>
  <c r="G841" i="31" s="1"/>
  <c r="D839" i="31"/>
  <c r="D841" i="31" s="1"/>
  <c r="C839" i="31"/>
  <c r="C841" i="31" s="1"/>
  <c r="B839" i="31"/>
  <c r="B841" i="31" s="1"/>
  <c r="H838" i="31"/>
  <c r="F838" i="31"/>
  <c r="E838" i="31"/>
  <c r="G837" i="31"/>
  <c r="D837" i="31"/>
  <c r="C837" i="31"/>
  <c r="B837" i="31"/>
  <c r="A837" i="31" s="1"/>
  <c r="I836" i="31"/>
  <c r="I838" i="31" s="1"/>
  <c r="D836" i="31"/>
  <c r="D838" i="31" s="1"/>
  <c r="B836" i="31"/>
  <c r="B838" i="31" s="1"/>
  <c r="H835" i="31"/>
  <c r="F835" i="31"/>
  <c r="E835" i="31"/>
  <c r="G834" i="31"/>
  <c r="D834" i="31"/>
  <c r="C834" i="31"/>
  <c r="B834" i="31"/>
  <c r="A834" i="31" s="1"/>
  <c r="I833" i="31"/>
  <c r="I835" i="31" s="1"/>
  <c r="D833" i="31"/>
  <c r="D835" i="31" s="1"/>
  <c r="B833" i="31"/>
  <c r="B835" i="31" s="1"/>
  <c r="H832" i="31"/>
  <c r="H856" i="31" s="1"/>
  <c r="F832" i="31"/>
  <c r="E832" i="31"/>
  <c r="E856" i="31" s="1"/>
  <c r="G831" i="31"/>
  <c r="D831" i="31"/>
  <c r="D855" i="31" s="1"/>
  <c r="C831" i="31"/>
  <c r="B831" i="31"/>
  <c r="B855" i="31" s="1"/>
  <c r="I830" i="31"/>
  <c r="I854" i="31" s="1"/>
  <c r="D830" i="31"/>
  <c r="D854" i="31" s="1"/>
  <c r="B830" i="31"/>
  <c r="B854" i="31" s="1"/>
  <c r="I824" i="31"/>
  <c r="H824" i="31"/>
  <c r="F824" i="31"/>
  <c r="E824" i="31"/>
  <c r="H823" i="31"/>
  <c r="F823" i="31"/>
  <c r="E823" i="31"/>
  <c r="I822" i="31"/>
  <c r="H822" i="31"/>
  <c r="F822" i="31"/>
  <c r="E822" i="31"/>
  <c r="G821" i="31"/>
  <c r="D821" i="31"/>
  <c r="C821" i="31"/>
  <c r="B821" i="31"/>
  <c r="A821" i="31" s="1"/>
  <c r="G820" i="31"/>
  <c r="G822" i="31" s="1"/>
  <c r="D820" i="31"/>
  <c r="D822" i="31" s="1"/>
  <c r="C820" i="31"/>
  <c r="C822" i="31" s="1"/>
  <c r="B820" i="31"/>
  <c r="B822" i="31" s="1"/>
  <c r="I819" i="31"/>
  <c r="H819" i="31"/>
  <c r="F819" i="31"/>
  <c r="E819" i="31"/>
  <c r="G818" i="31"/>
  <c r="D818" i="31"/>
  <c r="C818" i="31"/>
  <c r="B818" i="31"/>
  <c r="G817" i="31"/>
  <c r="G819" i="31" s="1"/>
  <c r="D817" i="31"/>
  <c r="D819" i="31" s="1"/>
  <c r="C817" i="31"/>
  <c r="C819" i="31" s="1"/>
  <c r="B817" i="31"/>
  <c r="B819" i="31" s="1"/>
  <c r="A817" i="31"/>
  <c r="H816" i="31"/>
  <c r="F816" i="31"/>
  <c r="E816" i="31"/>
  <c r="G815" i="31"/>
  <c r="D815" i="31"/>
  <c r="C815" i="31"/>
  <c r="B815" i="31"/>
  <c r="A815" i="31"/>
  <c r="I814" i="31"/>
  <c r="I816" i="31" s="1"/>
  <c r="G814" i="31"/>
  <c r="G816" i="31" s="1"/>
  <c r="D814" i="31"/>
  <c r="D816" i="31" s="1"/>
  <c r="C814" i="31"/>
  <c r="C816" i="31" s="1"/>
  <c r="B814" i="31"/>
  <c r="B816" i="31" s="1"/>
  <c r="A814" i="31"/>
  <c r="A816" i="31" s="1"/>
  <c r="I813" i="31"/>
  <c r="H813" i="31"/>
  <c r="F813" i="31"/>
  <c r="E813" i="31"/>
  <c r="G812" i="31"/>
  <c r="D812" i="31"/>
  <c r="C812" i="31"/>
  <c r="B812" i="31"/>
  <c r="A812" i="31" s="1"/>
  <c r="G811" i="31"/>
  <c r="G813" i="31" s="1"/>
  <c r="D811" i="31"/>
  <c r="C811" i="31"/>
  <c r="C813" i="31" s="1"/>
  <c r="B811" i="31"/>
  <c r="I810" i="31"/>
  <c r="H810" i="31"/>
  <c r="F810" i="31"/>
  <c r="E810" i="31"/>
  <c r="G809" i="31"/>
  <c r="D809" i="31"/>
  <c r="C809" i="31"/>
  <c r="B809" i="31"/>
  <c r="G808" i="31"/>
  <c r="G810" i="31" s="1"/>
  <c r="D808" i="31"/>
  <c r="D810" i="31" s="1"/>
  <c r="C808" i="31"/>
  <c r="C810" i="31" s="1"/>
  <c r="B808" i="31"/>
  <c r="B810" i="31" s="1"/>
  <c r="A808" i="31"/>
  <c r="I807" i="31"/>
  <c r="H807" i="31"/>
  <c r="F807" i="31"/>
  <c r="E807" i="31"/>
  <c r="G806" i="31"/>
  <c r="D806" i="31"/>
  <c r="C806" i="31"/>
  <c r="B806" i="31"/>
  <c r="A806" i="31" s="1"/>
  <c r="G805" i="31"/>
  <c r="G807" i="31" s="1"/>
  <c r="D805" i="31"/>
  <c r="C805" i="31"/>
  <c r="C807" i="31" s="1"/>
  <c r="B805" i="31"/>
  <c r="H804" i="31"/>
  <c r="H825" i="31" s="1"/>
  <c r="F804" i="31"/>
  <c r="E804" i="31"/>
  <c r="E825" i="31" s="1"/>
  <c r="G803" i="31"/>
  <c r="D803" i="31"/>
  <c r="D824" i="31" s="1"/>
  <c r="C803" i="31"/>
  <c r="B803" i="31"/>
  <c r="A803" i="31" s="1"/>
  <c r="I802" i="31"/>
  <c r="G802" i="31" s="1"/>
  <c r="D802" i="31"/>
  <c r="D823" i="31" s="1"/>
  <c r="B802" i="31"/>
  <c r="I796" i="31"/>
  <c r="H796" i="31"/>
  <c r="F796" i="31"/>
  <c r="E796" i="31"/>
  <c r="F795" i="31"/>
  <c r="E795" i="31"/>
  <c r="I794" i="31"/>
  <c r="H794" i="31"/>
  <c r="F794" i="31"/>
  <c r="E794" i="31"/>
  <c r="G793" i="31"/>
  <c r="D793" i="31"/>
  <c r="C793" i="31"/>
  <c r="B793" i="31"/>
  <c r="A793" i="31"/>
  <c r="G792" i="31"/>
  <c r="D792" i="31"/>
  <c r="D794" i="31" s="1"/>
  <c r="C792" i="31"/>
  <c r="B792" i="31"/>
  <c r="A792" i="31" s="1"/>
  <c r="A794" i="31" s="1"/>
  <c r="I791" i="31"/>
  <c r="F791" i="31"/>
  <c r="E791" i="31"/>
  <c r="G790" i="31"/>
  <c r="D790" i="31"/>
  <c r="C790" i="31"/>
  <c r="B790" i="31"/>
  <c r="H789" i="31"/>
  <c r="H791" i="31" s="1"/>
  <c r="D789" i="31"/>
  <c r="D791" i="31" s="1"/>
  <c r="C789" i="31"/>
  <c r="C791" i="31" s="1"/>
  <c r="H788" i="31"/>
  <c r="F788" i="31"/>
  <c r="E788" i="31"/>
  <c r="G787" i="31"/>
  <c r="D787" i="31"/>
  <c r="C787" i="31"/>
  <c r="B787" i="31"/>
  <c r="A787" i="31" s="1"/>
  <c r="I786" i="31"/>
  <c r="G786" i="31" s="1"/>
  <c r="G788" i="31" s="1"/>
  <c r="D786" i="31"/>
  <c r="D788" i="31" s="1"/>
  <c r="B786" i="31"/>
  <c r="I785" i="31"/>
  <c r="F785" i="31"/>
  <c r="E785" i="31"/>
  <c r="G784" i="31"/>
  <c r="D784" i="31"/>
  <c r="C784" i="31"/>
  <c r="B784" i="31"/>
  <c r="A784" i="31" s="1"/>
  <c r="H783" i="31"/>
  <c r="H785" i="31" s="1"/>
  <c r="D783" i="31"/>
  <c r="D785" i="31" s="1"/>
  <c r="C783" i="31"/>
  <c r="C785" i="31" s="1"/>
  <c r="B783" i="31"/>
  <c r="B785" i="31" s="1"/>
  <c r="I782" i="31"/>
  <c r="H782" i="31"/>
  <c r="F782" i="31"/>
  <c r="E782" i="31"/>
  <c r="G781" i="31"/>
  <c r="D781" i="31"/>
  <c r="C781" i="31"/>
  <c r="B781" i="31"/>
  <c r="A781" i="31" s="1"/>
  <c r="G780" i="31"/>
  <c r="G782" i="31" s="1"/>
  <c r="D780" i="31"/>
  <c r="D782" i="31" s="1"/>
  <c r="C780" i="31"/>
  <c r="C782" i="31" s="1"/>
  <c r="B780" i="31"/>
  <c r="B782" i="31" s="1"/>
  <c r="H779" i="31"/>
  <c r="F779" i="31"/>
  <c r="E779" i="31"/>
  <c r="G778" i="31"/>
  <c r="D778" i="31"/>
  <c r="C778" i="31"/>
  <c r="B778" i="31"/>
  <c r="A778" i="31" s="1"/>
  <c r="I777" i="31"/>
  <c r="I779" i="31" s="1"/>
  <c r="D777" i="31"/>
  <c r="D779" i="31" s="1"/>
  <c r="B777" i="31"/>
  <c r="B779" i="31" s="1"/>
  <c r="I776" i="31"/>
  <c r="H776" i="31"/>
  <c r="F776" i="31"/>
  <c r="E776" i="31"/>
  <c r="G775" i="31"/>
  <c r="D775" i="31"/>
  <c r="C775" i="31"/>
  <c r="B775" i="31"/>
  <c r="A775" i="31"/>
  <c r="G774" i="31"/>
  <c r="D774" i="31"/>
  <c r="D776" i="31" s="1"/>
  <c r="C774" i="31"/>
  <c r="B774" i="31"/>
  <c r="A774" i="31" s="1"/>
  <c r="A776" i="31" s="1"/>
  <c r="H773" i="31"/>
  <c r="F773" i="31"/>
  <c r="E773" i="31"/>
  <c r="G772" i="31"/>
  <c r="D772" i="31"/>
  <c r="C772" i="31"/>
  <c r="B772" i="31"/>
  <c r="I771" i="31"/>
  <c r="G771" i="31" s="1"/>
  <c r="G773" i="31" s="1"/>
  <c r="D771" i="31"/>
  <c r="D773" i="31" s="1"/>
  <c r="B771" i="31"/>
  <c r="B773" i="31" s="1"/>
  <c r="F770" i="31"/>
  <c r="E770" i="31"/>
  <c r="E797" i="31" s="1"/>
  <c r="G769" i="31"/>
  <c r="D769" i="31"/>
  <c r="D796" i="31" s="1"/>
  <c r="C769" i="31"/>
  <c r="B769" i="31"/>
  <c r="A769" i="31" s="1"/>
  <c r="I768" i="31"/>
  <c r="H768" i="31"/>
  <c r="H795" i="31" s="1"/>
  <c r="D768" i="31"/>
  <c r="D795" i="31" s="1"/>
  <c r="C768" i="31"/>
  <c r="B768" i="31"/>
  <c r="I762" i="31"/>
  <c r="F762" i="31"/>
  <c r="E762" i="31"/>
  <c r="I761" i="31"/>
  <c r="F761" i="31"/>
  <c r="E761" i="31"/>
  <c r="I760" i="31"/>
  <c r="H760" i="31"/>
  <c r="F760" i="31"/>
  <c r="E760" i="31"/>
  <c r="G759" i="31"/>
  <c r="D759" i="31"/>
  <c r="C759" i="31"/>
  <c r="B759" i="31"/>
  <c r="G758" i="31"/>
  <c r="G760" i="31" s="1"/>
  <c r="D758" i="31"/>
  <c r="D760" i="31" s="1"/>
  <c r="C758" i="31"/>
  <c r="C760" i="31" s="1"/>
  <c r="B758" i="31"/>
  <c r="B760" i="31" s="1"/>
  <c r="A758" i="31"/>
  <c r="I757" i="31"/>
  <c r="F757" i="31"/>
  <c r="E757" i="31"/>
  <c r="G756" i="31"/>
  <c r="D756" i="31"/>
  <c r="C756" i="31"/>
  <c r="B756" i="31"/>
  <c r="A756" i="31"/>
  <c r="H755" i="31"/>
  <c r="H757" i="31" s="1"/>
  <c r="G755" i="31"/>
  <c r="G757" i="31" s="1"/>
  <c r="D755" i="31"/>
  <c r="D757" i="31" s="1"/>
  <c r="C755" i="31"/>
  <c r="C757" i="31" s="1"/>
  <c r="B755" i="31"/>
  <c r="B757" i="31" s="1"/>
  <c r="A755" i="31"/>
  <c r="A757" i="31" s="1"/>
  <c r="I754" i="31"/>
  <c r="F754" i="31"/>
  <c r="E754" i="31"/>
  <c r="G753" i="31"/>
  <c r="D753" i="31"/>
  <c r="C753" i="31"/>
  <c r="B753" i="31"/>
  <c r="A753" i="31"/>
  <c r="H752" i="31"/>
  <c r="H754" i="31" s="1"/>
  <c r="G752" i="31"/>
  <c r="G754" i="31" s="1"/>
  <c r="D752" i="31"/>
  <c r="D754" i="31" s="1"/>
  <c r="C752" i="31"/>
  <c r="C754" i="31" s="1"/>
  <c r="B752" i="31"/>
  <c r="B754" i="31" s="1"/>
  <c r="A752" i="31"/>
  <c r="A754" i="31" s="1"/>
  <c r="I751" i="31"/>
  <c r="F751" i="31"/>
  <c r="E751" i="31"/>
  <c r="H750" i="31"/>
  <c r="H762" i="31" s="1"/>
  <c r="D750" i="31"/>
  <c r="C750" i="31"/>
  <c r="H749" i="31"/>
  <c r="G749" i="31" s="1"/>
  <c r="D749" i="31"/>
  <c r="D751" i="31" s="1"/>
  <c r="C749" i="31"/>
  <c r="C751" i="31" s="1"/>
  <c r="I748" i="31"/>
  <c r="H748" i="31"/>
  <c r="F748" i="31"/>
  <c r="E748" i="31"/>
  <c r="G747" i="31"/>
  <c r="D747" i="31"/>
  <c r="C747" i="31"/>
  <c r="B747" i="31"/>
  <c r="G746" i="31"/>
  <c r="G748" i="31" s="1"/>
  <c r="D746" i="31"/>
  <c r="D748" i="31" s="1"/>
  <c r="C746" i="31"/>
  <c r="C748" i="31" s="1"/>
  <c r="B746" i="31"/>
  <c r="B748" i="31" s="1"/>
  <c r="A746" i="31"/>
  <c r="I745" i="31"/>
  <c r="H745" i="31"/>
  <c r="F745" i="31"/>
  <c r="E745" i="31"/>
  <c r="E763" i="31" s="1"/>
  <c r="G744" i="31"/>
  <c r="D744" i="31"/>
  <c r="D762" i="31" s="1"/>
  <c r="C744" i="31"/>
  <c r="B744" i="31"/>
  <c r="G743" i="31"/>
  <c r="G761" i="31" s="1"/>
  <c r="D743" i="31"/>
  <c r="D761" i="31" s="1"/>
  <c r="C743" i="31"/>
  <c r="C761" i="31" s="1"/>
  <c r="B743" i="31"/>
  <c r="I737" i="31"/>
  <c r="F737" i="31"/>
  <c r="E737" i="31"/>
  <c r="F736" i="31"/>
  <c r="E736" i="31"/>
  <c r="I735" i="31"/>
  <c r="F735" i="31"/>
  <c r="E735" i="31"/>
  <c r="G734" i="31"/>
  <c r="D734" i="31"/>
  <c r="C734" i="31"/>
  <c r="B734" i="31"/>
  <c r="H733" i="31"/>
  <c r="H735" i="31" s="1"/>
  <c r="D733" i="31"/>
  <c r="D735" i="31" s="1"/>
  <c r="C733" i="31"/>
  <c r="C735" i="31" s="1"/>
  <c r="I732" i="31"/>
  <c r="F732" i="31"/>
  <c r="E732" i="31"/>
  <c r="H731" i="31"/>
  <c r="G731" i="31"/>
  <c r="D731" i="31"/>
  <c r="C731" i="31"/>
  <c r="B731" i="31"/>
  <c r="A731" i="31"/>
  <c r="H730" i="31"/>
  <c r="H732" i="31" s="1"/>
  <c r="G730" i="31"/>
  <c r="G732" i="31" s="1"/>
  <c r="D730" i="31"/>
  <c r="D732" i="31" s="1"/>
  <c r="C730" i="31"/>
  <c r="C732" i="31" s="1"/>
  <c r="B730" i="31"/>
  <c r="B732" i="31" s="1"/>
  <c r="A730" i="31"/>
  <c r="A732" i="31" s="1"/>
  <c r="I729" i="31"/>
  <c r="F729" i="31"/>
  <c r="E729" i="31"/>
  <c r="G728" i="31"/>
  <c r="D728" i="31"/>
  <c r="C728" i="31"/>
  <c r="B728" i="31"/>
  <c r="A728" i="31"/>
  <c r="H727" i="31"/>
  <c r="H729" i="31" s="1"/>
  <c r="G727" i="31"/>
  <c r="G729" i="31" s="1"/>
  <c r="D727" i="31"/>
  <c r="D729" i="31" s="1"/>
  <c r="C727" i="31"/>
  <c r="C729" i="31" s="1"/>
  <c r="B727" i="31"/>
  <c r="B729" i="31" s="1"/>
  <c r="A727" i="31"/>
  <c r="A729" i="31" s="1"/>
  <c r="I726" i="31"/>
  <c r="F726" i="31"/>
  <c r="E726" i="31"/>
  <c r="G725" i="31"/>
  <c r="D725" i="31"/>
  <c r="C725" i="31"/>
  <c r="B725" i="31"/>
  <c r="A725" i="31"/>
  <c r="H724" i="31"/>
  <c r="H726" i="31" s="1"/>
  <c r="G724" i="31"/>
  <c r="G726" i="31" s="1"/>
  <c r="D724" i="31"/>
  <c r="D726" i="31" s="1"/>
  <c r="C724" i="31"/>
  <c r="C726" i="31" s="1"/>
  <c r="B724" i="31"/>
  <c r="B726" i="31" s="1"/>
  <c r="A724" i="31"/>
  <c r="A726" i="31" s="1"/>
  <c r="I723" i="31"/>
  <c r="F723" i="31"/>
  <c r="E723" i="31"/>
  <c r="H722" i="31"/>
  <c r="H737" i="31" s="1"/>
  <c r="D722" i="31"/>
  <c r="C722" i="31"/>
  <c r="H721" i="31"/>
  <c r="G721" i="31" s="1"/>
  <c r="D721" i="31"/>
  <c r="D723" i="31" s="1"/>
  <c r="C721" i="31"/>
  <c r="C723" i="31" s="1"/>
  <c r="H720" i="31"/>
  <c r="F720" i="31"/>
  <c r="E720" i="31"/>
  <c r="G719" i="31"/>
  <c r="D719" i="31"/>
  <c r="C719" i="31"/>
  <c r="B719" i="31"/>
  <c r="A719" i="31" s="1"/>
  <c r="I718" i="31"/>
  <c r="G718" i="31" s="1"/>
  <c r="G720" i="31" s="1"/>
  <c r="D718" i="31"/>
  <c r="D720" i="31" s="1"/>
  <c r="B718" i="31"/>
  <c r="H717" i="31"/>
  <c r="F717" i="31"/>
  <c r="E717" i="31"/>
  <c r="G716" i="31"/>
  <c r="D716" i="31"/>
  <c r="C716" i="31"/>
  <c r="B716" i="31"/>
  <c r="A716" i="31" s="1"/>
  <c r="I715" i="31"/>
  <c r="G715" i="31" s="1"/>
  <c r="G717" i="31" s="1"/>
  <c r="D715" i="31"/>
  <c r="D717" i="31" s="1"/>
  <c r="B715" i="31"/>
  <c r="H714" i="31"/>
  <c r="F714" i="31"/>
  <c r="E714" i="31"/>
  <c r="G713" i="31"/>
  <c r="D713" i="31"/>
  <c r="C713" i="31"/>
  <c r="B713" i="31"/>
  <c r="A713" i="31" s="1"/>
  <c r="I712" i="31"/>
  <c r="G712" i="31" s="1"/>
  <c r="G714" i="31" s="1"/>
  <c r="D712" i="31"/>
  <c r="D714" i="31" s="1"/>
  <c r="B712" i="31"/>
  <c r="H711" i="31"/>
  <c r="F711" i="31"/>
  <c r="E711" i="31"/>
  <c r="G710" i="31"/>
  <c r="D710" i="31"/>
  <c r="C710" i="31"/>
  <c r="B710" i="31"/>
  <c r="A710" i="31" s="1"/>
  <c r="I709" i="31"/>
  <c r="G709" i="31" s="1"/>
  <c r="G711" i="31" s="1"/>
  <c r="D709" i="31"/>
  <c r="D711" i="31" s="1"/>
  <c r="B709" i="31"/>
  <c r="H708" i="31"/>
  <c r="F708" i="31"/>
  <c r="E708" i="31"/>
  <c r="G707" i="31"/>
  <c r="D707" i="31"/>
  <c r="C707" i="31"/>
  <c r="B707" i="31"/>
  <c r="A707" i="31" s="1"/>
  <c r="I706" i="31"/>
  <c r="G706" i="31" s="1"/>
  <c r="G708" i="31" s="1"/>
  <c r="D706" i="31"/>
  <c r="D708" i="31" s="1"/>
  <c r="B706" i="31"/>
  <c r="H705" i="31"/>
  <c r="F705" i="31"/>
  <c r="E705" i="31"/>
  <c r="E738" i="31" s="1"/>
  <c r="G704" i="31"/>
  <c r="D704" i="31"/>
  <c r="D737" i="31" s="1"/>
  <c r="C704" i="31"/>
  <c r="B704" i="31"/>
  <c r="I703" i="31"/>
  <c r="I736" i="31" s="1"/>
  <c r="D703" i="31"/>
  <c r="D705" i="31" s="1"/>
  <c r="D738" i="31" s="1"/>
  <c r="B703" i="31"/>
  <c r="I681" i="31"/>
  <c r="H681" i="31"/>
  <c r="F681" i="31"/>
  <c r="E681" i="31"/>
  <c r="I680" i="31"/>
  <c r="F680" i="31"/>
  <c r="E680" i="31"/>
  <c r="I679" i="31"/>
  <c r="H679" i="31"/>
  <c r="F679" i="31"/>
  <c r="E679" i="31"/>
  <c r="G678" i="31"/>
  <c r="D678" i="31"/>
  <c r="C678" i="31"/>
  <c r="B678" i="31"/>
  <c r="A678" i="31" s="1"/>
  <c r="G677" i="31"/>
  <c r="G679" i="31" s="1"/>
  <c r="D677" i="31"/>
  <c r="C677" i="31"/>
  <c r="C679" i="31" s="1"/>
  <c r="B677" i="31"/>
  <c r="I676" i="31"/>
  <c r="H676" i="31"/>
  <c r="F676" i="31"/>
  <c r="E676" i="31"/>
  <c r="G675" i="31"/>
  <c r="D675" i="31"/>
  <c r="C675" i="31"/>
  <c r="B675" i="31"/>
  <c r="G674" i="31"/>
  <c r="G676" i="31" s="1"/>
  <c r="D674" i="31"/>
  <c r="D676" i="31" s="1"/>
  <c r="C674" i="31"/>
  <c r="C676" i="31" s="1"/>
  <c r="B674" i="31"/>
  <c r="B676" i="31" s="1"/>
  <c r="A674" i="31"/>
  <c r="I673" i="31"/>
  <c r="F673" i="31"/>
  <c r="E673" i="31"/>
  <c r="G672" i="31"/>
  <c r="D672" i="31"/>
  <c r="C672" i="31"/>
  <c r="B672" i="31"/>
  <c r="A672" i="31"/>
  <c r="H671" i="31"/>
  <c r="H673" i="31" s="1"/>
  <c r="G671" i="31"/>
  <c r="G673" i="31" s="1"/>
  <c r="D671" i="31"/>
  <c r="D673" i="31" s="1"/>
  <c r="C671" i="31"/>
  <c r="C673" i="31" s="1"/>
  <c r="B671" i="31"/>
  <c r="B673" i="31" s="1"/>
  <c r="A671" i="31"/>
  <c r="A673" i="31" s="1"/>
  <c r="I670" i="31"/>
  <c r="H670" i="31"/>
  <c r="F670" i="31"/>
  <c r="E670" i="31"/>
  <c r="G669" i="31"/>
  <c r="D669" i="31"/>
  <c r="C669" i="31"/>
  <c r="B669" i="31"/>
  <c r="A669" i="31" s="1"/>
  <c r="G668" i="31"/>
  <c r="G670" i="31" s="1"/>
  <c r="D668" i="31"/>
  <c r="C668" i="31"/>
  <c r="C670" i="31" s="1"/>
  <c r="B668" i="31"/>
  <c r="I667" i="31"/>
  <c r="H667" i="31"/>
  <c r="F667" i="31"/>
  <c r="E667" i="31"/>
  <c r="G666" i="31"/>
  <c r="D666" i="31"/>
  <c r="C666" i="31"/>
  <c r="B666" i="31"/>
  <c r="G665" i="31"/>
  <c r="G667" i="31" s="1"/>
  <c r="D665" i="31"/>
  <c r="D667" i="31" s="1"/>
  <c r="C665" i="31"/>
  <c r="C667" i="31" s="1"/>
  <c r="B665" i="31"/>
  <c r="B667" i="31" s="1"/>
  <c r="A665" i="31"/>
  <c r="I664" i="31"/>
  <c r="H664" i="31"/>
  <c r="F664" i="31"/>
  <c r="E664" i="31"/>
  <c r="G663" i="31"/>
  <c r="D663" i="31"/>
  <c r="C663" i="31"/>
  <c r="B663" i="31"/>
  <c r="A663" i="31" s="1"/>
  <c r="G662" i="31"/>
  <c r="G664" i="31" s="1"/>
  <c r="D662" i="31"/>
  <c r="C662" i="31"/>
  <c r="C664" i="31" s="1"/>
  <c r="B662" i="31"/>
  <c r="I661" i="31"/>
  <c r="H661" i="31"/>
  <c r="F661" i="31"/>
  <c r="E661" i="31"/>
  <c r="G660" i="31"/>
  <c r="D660" i="31"/>
  <c r="C660" i="31"/>
  <c r="B660" i="31"/>
  <c r="G659" i="31"/>
  <c r="G661" i="31" s="1"/>
  <c r="D659" i="31"/>
  <c r="D661" i="31" s="1"/>
  <c r="C659" i="31"/>
  <c r="C661" i="31" s="1"/>
  <c r="B659" i="31"/>
  <c r="B661" i="31" s="1"/>
  <c r="A659" i="31"/>
  <c r="I658" i="31"/>
  <c r="H658" i="31"/>
  <c r="F658" i="31"/>
  <c r="E658" i="31"/>
  <c r="G657" i="31"/>
  <c r="D657" i="31"/>
  <c r="C657" i="31"/>
  <c r="B657" i="31"/>
  <c r="A657" i="31" s="1"/>
  <c r="G656" i="31"/>
  <c r="G658" i="31" s="1"/>
  <c r="D656" i="31"/>
  <c r="C656" i="31"/>
  <c r="C658" i="31" s="1"/>
  <c r="B656" i="31"/>
  <c r="I655" i="31"/>
  <c r="H655" i="31"/>
  <c r="F655" i="31"/>
  <c r="E655" i="31"/>
  <c r="G654" i="31"/>
  <c r="D654" i="31"/>
  <c r="C654" i="31"/>
  <c r="B654" i="31"/>
  <c r="G653" i="31"/>
  <c r="G655" i="31" s="1"/>
  <c r="D653" i="31"/>
  <c r="D655" i="31" s="1"/>
  <c r="C653" i="31"/>
  <c r="C655" i="31" s="1"/>
  <c r="B653" i="31"/>
  <c r="B655" i="31" s="1"/>
  <c r="A653" i="31"/>
  <c r="I652" i="31"/>
  <c r="F652" i="31"/>
  <c r="E652" i="31"/>
  <c r="D652" i="31"/>
  <c r="G651" i="31"/>
  <c r="D651" i="31"/>
  <c r="C651" i="31"/>
  <c r="B651" i="31"/>
  <c r="A651" i="31"/>
  <c r="H650" i="31"/>
  <c r="H652" i="31" s="1"/>
  <c r="G650" i="31"/>
  <c r="G652" i="31" s="1"/>
  <c r="D650" i="31"/>
  <c r="C650" i="31"/>
  <c r="C652" i="31" s="1"/>
  <c r="B650" i="31"/>
  <c r="B652" i="31" s="1"/>
  <c r="A650" i="31"/>
  <c r="A652" i="31" s="1"/>
  <c r="I649" i="31"/>
  <c r="H649" i="31"/>
  <c r="F649" i="31"/>
  <c r="E649" i="31"/>
  <c r="G648" i="31"/>
  <c r="D648" i="31"/>
  <c r="C648" i="31"/>
  <c r="B648" i="31"/>
  <c r="A648" i="31" s="1"/>
  <c r="G647" i="31"/>
  <c r="G649" i="31" s="1"/>
  <c r="D647" i="31"/>
  <c r="C647" i="31"/>
  <c r="C649" i="31" s="1"/>
  <c r="B647" i="31"/>
  <c r="I646" i="31"/>
  <c r="H646" i="31"/>
  <c r="F646" i="31"/>
  <c r="E646" i="31"/>
  <c r="G645" i="31"/>
  <c r="D645" i="31"/>
  <c r="C645" i="31"/>
  <c r="B645" i="31"/>
  <c r="G644" i="31"/>
  <c r="G646" i="31" s="1"/>
  <c r="D644" i="31"/>
  <c r="D646" i="31" s="1"/>
  <c r="C644" i="31"/>
  <c r="C646" i="31" s="1"/>
  <c r="B644" i="31"/>
  <c r="B646" i="31" s="1"/>
  <c r="A644" i="31"/>
  <c r="I643" i="31"/>
  <c r="H643" i="31"/>
  <c r="F643" i="31"/>
  <c r="E643" i="31"/>
  <c r="G642" i="31"/>
  <c r="D642" i="31"/>
  <c r="C642" i="31"/>
  <c r="B642" i="31"/>
  <c r="A642" i="31" s="1"/>
  <c r="G641" i="31"/>
  <c r="G643" i="31" s="1"/>
  <c r="D641" i="31"/>
  <c r="C641" i="31"/>
  <c r="C643" i="31" s="1"/>
  <c r="B641" i="31"/>
  <c r="I640" i="31"/>
  <c r="H640" i="31"/>
  <c r="F640" i="31"/>
  <c r="E640" i="31"/>
  <c r="G639" i="31"/>
  <c r="D639" i="31"/>
  <c r="C639" i="31"/>
  <c r="B639" i="31"/>
  <c r="G638" i="31"/>
  <c r="G640" i="31" s="1"/>
  <c r="D638" i="31"/>
  <c r="D640" i="31" s="1"/>
  <c r="C638" i="31"/>
  <c r="C640" i="31" s="1"/>
  <c r="B638" i="31"/>
  <c r="B640" i="31" s="1"/>
  <c r="A638" i="31"/>
  <c r="I637" i="31"/>
  <c r="F637" i="31"/>
  <c r="E637" i="31"/>
  <c r="G636" i="31"/>
  <c r="D636" i="31"/>
  <c r="C636" i="31"/>
  <c r="B636" i="31"/>
  <c r="A636" i="31" s="1"/>
  <c r="H635" i="31"/>
  <c r="H680" i="31" s="1"/>
  <c r="D635" i="31"/>
  <c r="D637" i="31" s="1"/>
  <c r="C635" i="31"/>
  <c r="C637" i="31" s="1"/>
  <c r="B635" i="31"/>
  <c r="A635" i="31" s="1"/>
  <c r="A637" i="31" s="1"/>
  <c r="I634" i="31"/>
  <c r="I682" i="31" s="1"/>
  <c r="H634" i="31"/>
  <c r="F634" i="31"/>
  <c r="F682" i="31" s="1"/>
  <c r="E634" i="31"/>
  <c r="E682" i="31" s="1"/>
  <c r="G633" i="31"/>
  <c r="G681" i="31" s="1"/>
  <c r="D633" i="31"/>
  <c r="D681" i="31" s="1"/>
  <c r="C633" i="31"/>
  <c r="C681" i="31" s="1"/>
  <c r="B633" i="31"/>
  <c r="B681" i="31" s="1"/>
  <c r="A633" i="31"/>
  <c r="G632" i="31"/>
  <c r="D632" i="31"/>
  <c r="D680" i="31" s="1"/>
  <c r="C632" i="31"/>
  <c r="B632" i="31"/>
  <c r="B680" i="31" s="1"/>
  <c r="I626" i="31"/>
  <c r="H626" i="31"/>
  <c r="F626" i="31"/>
  <c r="E626" i="31"/>
  <c r="H625" i="31"/>
  <c r="F625" i="31"/>
  <c r="E625" i="31"/>
  <c r="I624" i="31"/>
  <c r="H624" i="31"/>
  <c r="F624" i="31"/>
  <c r="E624" i="31"/>
  <c r="G623" i="31"/>
  <c r="D623" i="31"/>
  <c r="C623" i="31"/>
  <c r="B623" i="31"/>
  <c r="G622" i="31"/>
  <c r="G624" i="31" s="1"/>
  <c r="D622" i="31"/>
  <c r="D624" i="31" s="1"/>
  <c r="C622" i="31"/>
  <c r="C624" i="31" s="1"/>
  <c r="B622" i="31"/>
  <c r="B624" i="31" s="1"/>
  <c r="A622" i="31"/>
  <c r="I621" i="31"/>
  <c r="H621" i="31"/>
  <c r="F621" i="31"/>
  <c r="E621" i="31"/>
  <c r="G620" i="31"/>
  <c r="D620" i="31"/>
  <c r="A620" i="31" s="1"/>
  <c r="C620" i="31"/>
  <c r="B620" i="31"/>
  <c r="G619" i="31"/>
  <c r="G621" i="31" s="1"/>
  <c r="D619" i="31"/>
  <c r="C619" i="31"/>
  <c r="C621" i="31" s="1"/>
  <c r="B619" i="31"/>
  <c r="I618" i="31"/>
  <c r="H618" i="31"/>
  <c r="F618" i="31"/>
  <c r="E618" i="31"/>
  <c r="G617" i="31"/>
  <c r="D617" i="31"/>
  <c r="C617" i="31"/>
  <c r="B617" i="31"/>
  <c r="G616" i="31"/>
  <c r="G618" i="31" s="1"/>
  <c r="D616" i="31"/>
  <c r="D618" i="31" s="1"/>
  <c r="C616" i="31"/>
  <c r="C618" i="31" s="1"/>
  <c r="B616" i="31"/>
  <c r="B618" i="31" s="1"/>
  <c r="A616" i="31"/>
  <c r="I615" i="31"/>
  <c r="H615" i="31"/>
  <c r="F615" i="31"/>
  <c r="E615" i="31"/>
  <c r="G614" i="31"/>
  <c r="D614" i="31"/>
  <c r="A614" i="31" s="1"/>
  <c r="C614" i="31"/>
  <c r="B614" i="31"/>
  <c r="G613" i="31"/>
  <c r="G615" i="31" s="1"/>
  <c r="D613" i="31"/>
  <c r="C613" i="31"/>
  <c r="C615" i="31" s="1"/>
  <c r="B613" i="31"/>
  <c r="I612" i="31"/>
  <c r="H612" i="31"/>
  <c r="F612" i="31"/>
  <c r="E612" i="31"/>
  <c r="G611" i="31"/>
  <c r="D611" i="31"/>
  <c r="C611" i="31"/>
  <c r="B611" i="31"/>
  <c r="G610" i="31"/>
  <c r="G612" i="31" s="1"/>
  <c r="D610" i="31"/>
  <c r="D612" i="31" s="1"/>
  <c r="C610" i="31"/>
  <c r="C612" i="31" s="1"/>
  <c r="B610" i="31"/>
  <c r="B612" i="31" s="1"/>
  <c r="A610" i="31"/>
  <c r="I609" i="31"/>
  <c r="H609" i="31"/>
  <c r="F609" i="31"/>
  <c r="E609" i="31"/>
  <c r="G608" i="31"/>
  <c r="D608" i="31"/>
  <c r="A608" i="31" s="1"/>
  <c r="C608" i="31"/>
  <c r="B608" i="31"/>
  <c r="G607" i="31"/>
  <c r="G609" i="31" s="1"/>
  <c r="D607" i="31"/>
  <c r="C607" i="31"/>
  <c r="C609" i="31" s="1"/>
  <c r="B607" i="31"/>
  <c r="I606" i="31"/>
  <c r="H606" i="31"/>
  <c r="F606" i="31"/>
  <c r="E606" i="31"/>
  <c r="G605" i="31"/>
  <c r="D605" i="31"/>
  <c r="C605" i="31"/>
  <c r="B605" i="31"/>
  <c r="G604" i="31"/>
  <c r="G606" i="31" s="1"/>
  <c r="D604" i="31"/>
  <c r="D606" i="31" s="1"/>
  <c r="C604" i="31"/>
  <c r="C606" i="31" s="1"/>
  <c r="B604" i="31"/>
  <c r="B606" i="31" s="1"/>
  <c r="A604" i="31"/>
  <c r="I603" i="31"/>
  <c r="H603" i="31"/>
  <c r="F603" i="31"/>
  <c r="E603" i="31"/>
  <c r="G602" i="31"/>
  <c r="D602" i="31"/>
  <c r="A602" i="31" s="1"/>
  <c r="C602" i="31"/>
  <c r="B602" i="31"/>
  <c r="G601" i="31"/>
  <c r="G603" i="31" s="1"/>
  <c r="D601" i="31"/>
  <c r="C601" i="31"/>
  <c r="C603" i="31" s="1"/>
  <c r="B601" i="31"/>
  <c r="I600" i="31"/>
  <c r="H600" i="31"/>
  <c r="F600" i="31"/>
  <c r="E600" i="31"/>
  <c r="G599" i="31"/>
  <c r="D599" i="31"/>
  <c r="C599" i="31"/>
  <c r="B599" i="31"/>
  <c r="G598" i="31"/>
  <c r="G600" i="31" s="1"/>
  <c r="D598" i="31"/>
  <c r="D600" i="31" s="1"/>
  <c r="C598" i="31"/>
  <c r="C600" i="31" s="1"/>
  <c r="B598" i="31"/>
  <c r="B600" i="31" s="1"/>
  <c r="A598" i="31"/>
  <c r="I597" i="31"/>
  <c r="H597" i="31"/>
  <c r="F597" i="31"/>
  <c r="E597" i="31"/>
  <c r="G596" i="31"/>
  <c r="D596" i="31"/>
  <c r="A596" i="31" s="1"/>
  <c r="C596" i="31"/>
  <c r="B596" i="31"/>
  <c r="G595" i="31"/>
  <c r="G597" i="31" s="1"/>
  <c r="D595" i="31"/>
  <c r="C595" i="31"/>
  <c r="C597" i="31" s="1"/>
  <c r="B595" i="31"/>
  <c r="I594" i="31"/>
  <c r="H594" i="31"/>
  <c r="F594" i="31"/>
  <c r="E594" i="31"/>
  <c r="G593" i="31"/>
  <c r="D593" i="31"/>
  <c r="C593" i="31"/>
  <c r="B593" i="31"/>
  <c r="G592" i="31"/>
  <c r="G594" i="31" s="1"/>
  <c r="D592" i="31"/>
  <c r="D594" i="31" s="1"/>
  <c r="C592" i="31"/>
  <c r="C594" i="31" s="1"/>
  <c r="B592" i="31"/>
  <c r="B594" i="31" s="1"/>
  <c r="A592" i="31"/>
  <c r="I591" i="31"/>
  <c r="H591" i="31"/>
  <c r="F591" i="31"/>
  <c r="E591" i="31"/>
  <c r="G590" i="31"/>
  <c r="D590" i="31"/>
  <c r="A590" i="31" s="1"/>
  <c r="C590" i="31"/>
  <c r="B590" i="31"/>
  <c r="G589" i="31"/>
  <c r="G591" i="31" s="1"/>
  <c r="D589" i="31"/>
  <c r="C589" i="31"/>
  <c r="C591" i="31" s="1"/>
  <c r="B589" i="31"/>
  <c r="I588" i="31"/>
  <c r="H588" i="31"/>
  <c r="F588" i="31"/>
  <c r="E588" i="31"/>
  <c r="G587" i="31"/>
  <c r="D587" i="31"/>
  <c r="C587" i="31"/>
  <c r="B587" i="31"/>
  <c r="G586" i="31"/>
  <c r="G588" i="31" s="1"/>
  <c r="D586" i="31"/>
  <c r="D588" i="31" s="1"/>
  <c r="C586" i="31"/>
  <c r="C588" i="31" s="1"/>
  <c r="B586" i="31"/>
  <c r="B588" i="31" s="1"/>
  <c r="A586" i="31"/>
  <c r="I585" i="31"/>
  <c r="H585" i="31"/>
  <c r="F585" i="31"/>
  <c r="E585" i="31"/>
  <c r="G584" i="31"/>
  <c r="D584" i="31"/>
  <c r="A584" i="31" s="1"/>
  <c r="C584" i="31"/>
  <c r="B584" i="31"/>
  <c r="G583" i="31"/>
  <c r="G585" i="31" s="1"/>
  <c r="D583" i="31"/>
  <c r="C583" i="31"/>
  <c r="C585" i="31" s="1"/>
  <c r="B583" i="31"/>
  <c r="I582" i="31"/>
  <c r="H582" i="31"/>
  <c r="F582" i="31"/>
  <c r="E582" i="31"/>
  <c r="G581" i="31"/>
  <c r="D581" i="31"/>
  <c r="C581" i="31"/>
  <c r="B581" i="31"/>
  <c r="G580" i="31"/>
  <c r="G582" i="31" s="1"/>
  <c r="D580" i="31"/>
  <c r="D582" i="31" s="1"/>
  <c r="C580" i="31"/>
  <c r="C582" i="31" s="1"/>
  <c r="B580" i="31"/>
  <c r="B582" i="31" s="1"/>
  <c r="A580" i="31"/>
  <c r="I579" i="31"/>
  <c r="H579" i="31"/>
  <c r="F579" i="31"/>
  <c r="E579" i="31"/>
  <c r="G578" i="31"/>
  <c r="D578" i="31"/>
  <c r="A578" i="31" s="1"/>
  <c r="C578" i="31"/>
  <c r="B578" i="31"/>
  <c r="G577" i="31"/>
  <c r="G579" i="31" s="1"/>
  <c r="D577" i="31"/>
  <c r="C577" i="31"/>
  <c r="C579" i="31" s="1"/>
  <c r="B577" i="31"/>
  <c r="I576" i="31"/>
  <c r="H576" i="31"/>
  <c r="F576" i="31"/>
  <c r="E576" i="31"/>
  <c r="G575" i="31"/>
  <c r="D575" i="31"/>
  <c r="C575" i="31"/>
  <c r="B575" i="31"/>
  <c r="G574" i="31"/>
  <c r="G576" i="31" s="1"/>
  <c r="D574" i="31"/>
  <c r="D576" i="31" s="1"/>
  <c r="C574" i="31"/>
  <c r="C576" i="31" s="1"/>
  <c r="B574" i="31"/>
  <c r="B576" i="31" s="1"/>
  <c r="A574" i="31"/>
  <c r="I573" i="31"/>
  <c r="H573" i="31"/>
  <c r="F573" i="31"/>
  <c r="E573" i="31"/>
  <c r="G572" i="31"/>
  <c r="D572" i="31"/>
  <c r="A572" i="31" s="1"/>
  <c r="C572" i="31"/>
  <c r="B572" i="31"/>
  <c r="G571" i="31"/>
  <c r="G573" i="31" s="1"/>
  <c r="D571" i="31"/>
  <c r="C571" i="31"/>
  <c r="C573" i="31" s="1"/>
  <c r="B571" i="31"/>
  <c r="I570" i="31"/>
  <c r="H570" i="31"/>
  <c r="F570" i="31"/>
  <c r="E570" i="31"/>
  <c r="G569" i="31"/>
  <c r="D569" i="31"/>
  <c r="C569" i="31"/>
  <c r="B569" i="31"/>
  <c r="G568" i="31"/>
  <c r="G570" i="31" s="1"/>
  <c r="D568" i="31"/>
  <c r="D570" i="31" s="1"/>
  <c r="C568" i="31"/>
  <c r="C570" i="31" s="1"/>
  <c r="B568" i="31"/>
  <c r="B570" i="31" s="1"/>
  <c r="A568" i="31"/>
  <c r="I567" i="31"/>
  <c r="H567" i="31"/>
  <c r="F567" i="31"/>
  <c r="E567" i="31"/>
  <c r="G566" i="31"/>
  <c r="D566" i="31"/>
  <c r="A566" i="31" s="1"/>
  <c r="C566" i="31"/>
  <c r="B566" i="31"/>
  <c r="G565" i="31"/>
  <c r="G567" i="31" s="1"/>
  <c r="D565" i="31"/>
  <c r="C565" i="31"/>
  <c r="C567" i="31" s="1"/>
  <c r="B565" i="31"/>
  <c r="H564" i="31"/>
  <c r="F564" i="31"/>
  <c r="E564" i="31"/>
  <c r="G563" i="31"/>
  <c r="D563" i="31"/>
  <c r="A563" i="31" s="1"/>
  <c r="C563" i="31"/>
  <c r="B563" i="31"/>
  <c r="I562" i="31"/>
  <c r="I564" i="31" s="1"/>
  <c r="D562" i="31"/>
  <c r="D564" i="31" s="1"/>
  <c r="B562" i="31"/>
  <c r="I561" i="31"/>
  <c r="H561" i="31"/>
  <c r="F561" i="31"/>
  <c r="E561" i="31"/>
  <c r="G560" i="31"/>
  <c r="D560" i="31"/>
  <c r="C560" i="31"/>
  <c r="B560" i="31"/>
  <c r="G559" i="31"/>
  <c r="G561" i="31" s="1"/>
  <c r="D559" i="31"/>
  <c r="D561" i="31" s="1"/>
  <c r="C559" i="31"/>
  <c r="C561" i="31" s="1"/>
  <c r="B559" i="31"/>
  <c r="B561" i="31" s="1"/>
  <c r="A559" i="31"/>
  <c r="H558" i="31"/>
  <c r="F558" i="31"/>
  <c r="E558" i="31"/>
  <c r="D558" i="31"/>
  <c r="G557" i="31"/>
  <c r="D557" i="31"/>
  <c r="C557" i="31"/>
  <c r="B557" i="31"/>
  <c r="A557" i="31"/>
  <c r="I556" i="31"/>
  <c r="I558" i="31" s="1"/>
  <c r="G556" i="31"/>
  <c r="G558" i="31" s="1"/>
  <c r="D556" i="31"/>
  <c r="C556" i="31"/>
  <c r="C558" i="31" s="1"/>
  <c r="B556" i="31"/>
  <c r="B558" i="31" s="1"/>
  <c r="A556" i="31"/>
  <c r="A558" i="31" s="1"/>
  <c r="H555" i="31"/>
  <c r="H627" i="31" s="1"/>
  <c r="F555" i="31"/>
  <c r="F627" i="31" s="1"/>
  <c r="E555" i="31"/>
  <c r="E627" i="31" s="1"/>
  <c r="G554" i="31"/>
  <c r="G626" i="31" s="1"/>
  <c r="D554" i="31"/>
  <c r="D626" i="31" s="1"/>
  <c r="C554" i="31"/>
  <c r="C626" i="31" s="1"/>
  <c r="B554" i="31"/>
  <c r="B626" i="31" s="1"/>
  <c r="A554" i="31"/>
  <c r="I553" i="31"/>
  <c r="I625" i="31" s="1"/>
  <c r="G553" i="31"/>
  <c r="D553" i="31"/>
  <c r="D625" i="31" s="1"/>
  <c r="C553" i="31"/>
  <c r="B553" i="31"/>
  <c r="B625" i="31" s="1"/>
  <c r="I547" i="31"/>
  <c r="F547" i="31"/>
  <c r="E547" i="31"/>
  <c r="F546" i="31"/>
  <c r="I545" i="31"/>
  <c r="H545" i="31"/>
  <c r="F545" i="31"/>
  <c r="E545" i="31"/>
  <c r="G544" i="31"/>
  <c r="D544" i="31"/>
  <c r="C544" i="31"/>
  <c r="B544" i="31"/>
  <c r="G543" i="31"/>
  <c r="G545" i="31" s="1"/>
  <c r="D543" i="31"/>
  <c r="D545" i="31" s="1"/>
  <c r="C543" i="31"/>
  <c r="C545" i="31" s="1"/>
  <c r="B543" i="31"/>
  <c r="B545" i="31" s="1"/>
  <c r="A543" i="31"/>
  <c r="I542" i="31"/>
  <c r="F542" i="31"/>
  <c r="G541" i="31"/>
  <c r="D541" i="31"/>
  <c r="C541" i="31"/>
  <c r="B541" i="31"/>
  <c r="A541" i="31" s="1"/>
  <c r="H540" i="31"/>
  <c r="H542" i="31" s="1"/>
  <c r="E540" i="31"/>
  <c r="E546" i="31" s="1"/>
  <c r="C540" i="31"/>
  <c r="C542" i="31" s="1"/>
  <c r="I539" i="31"/>
  <c r="F539" i="31"/>
  <c r="E539" i="31"/>
  <c r="G538" i="31"/>
  <c r="D538" i="31"/>
  <c r="C538" i="31"/>
  <c r="B538" i="31"/>
  <c r="H537" i="31"/>
  <c r="H539" i="31" s="1"/>
  <c r="D537" i="31"/>
  <c r="D539" i="31" s="1"/>
  <c r="C537" i="31"/>
  <c r="C539" i="31" s="1"/>
  <c r="I536" i="31"/>
  <c r="F536" i="31"/>
  <c r="E536" i="31"/>
  <c r="H535" i="31"/>
  <c r="G535" i="31"/>
  <c r="D535" i="31"/>
  <c r="C535" i="31"/>
  <c r="B535" i="31"/>
  <c r="A535" i="31"/>
  <c r="H534" i="31"/>
  <c r="H536" i="31" s="1"/>
  <c r="G534" i="31"/>
  <c r="G536" i="31" s="1"/>
  <c r="D534" i="31"/>
  <c r="D536" i="31" s="1"/>
  <c r="C534" i="31"/>
  <c r="C536" i="31" s="1"/>
  <c r="B534" i="31"/>
  <c r="B536" i="31" s="1"/>
  <c r="A534" i="31"/>
  <c r="A536" i="31" s="1"/>
  <c r="I533" i="31"/>
  <c r="H533" i="31"/>
  <c r="F533" i="31"/>
  <c r="E533" i="31"/>
  <c r="G532" i="31"/>
  <c r="D532" i="31"/>
  <c r="C532" i="31"/>
  <c r="B532" i="31"/>
  <c r="A532" i="31" s="1"/>
  <c r="G531" i="31"/>
  <c r="G533" i="31" s="1"/>
  <c r="D531" i="31"/>
  <c r="C531" i="31"/>
  <c r="C533" i="31" s="1"/>
  <c r="B531" i="31"/>
  <c r="I530" i="31"/>
  <c r="H530" i="31"/>
  <c r="F530" i="31"/>
  <c r="E530" i="31"/>
  <c r="G529" i="31"/>
  <c r="D529" i="31"/>
  <c r="C529" i="31"/>
  <c r="B529" i="31"/>
  <c r="G528" i="31"/>
  <c r="G530" i="31" s="1"/>
  <c r="D528" i="31"/>
  <c r="D530" i="31" s="1"/>
  <c r="C528" i="31"/>
  <c r="C530" i="31" s="1"/>
  <c r="B528" i="31"/>
  <c r="B530" i="31" s="1"/>
  <c r="A528" i="31"/>
  <c r="I527" i="31"/>
  <c r="H527" i="31"/>
  <c r="F527" i="31"/>
  <c r="E527" i="31"/>
  <c r="G526" i="31"/>
  <c r="D526" i="31"/>
  <c r="C526" i="31"/>
  <c r="B526" i="31"/>
  <c r="A526" i="31" s="1"/>
  <c r="G525" i="31"/>
  <c r="G527" i="31" s="1"/>
  <c r="D525" i="31"/>
  <c r="C525" i="31"/>
  <c r="C527" i="31" s="1"/>
  <c r="B525" i="31"/>
  <c r="I524" i="31"/>
  <c r="H524" i="31"/>
  <c r="F524" i="31"/>
  <c r="E524" i="31"/>
  <c r="G523" i="31"/>
  <c r="D523" i="31"/>
  <c r="C523" i="31"/>
  <c r="B523" i="31"/>
  <c r="G522" i="31"/>
  <c r="G524" i="31" s="1"/>
  <c r="D522" i="31"/>
  <c r="D524" i="31" s="1"/>
  <c r="C522" i="31"/>
  <c r="C524" i="31" s="1"/>
  <c r="B522" i="31"/>
  <c r="B524" i="31" s="1"/>
  <c r="A522" i="31"/>
  <c r="I521" i="31"/>
  <c r="H521" i="31"/>
  <c r="F521" i="31"/>
  <c r="E521" i="31"/>
  <c r="G520" i="31"/>
  <c r="D520" i="31"/>
  <c r="C520" i="31"/>
  <c r="B520" i="31"/>
  <c r="A520" i="31" s="1"/>
  <c r="G519" i="31"/>
  <c r="G521" i="31" s="1"/>
  <c r="D519" i="31"/>
  <c r="D521" i="31" s="1"/>
  <c r="C519" i="31"/>
  <c r="C521" i="31" s="1"/>
  <c r="B519" i="31"/>
  <c r="B521" i="31" s="1"/>
  <c r="I518" i="31"/>
  <c r="H518" i="31"/>
  <c r="F518" i="31"/>
  <c r="E518" i="31"/>
  <c r="G517" i="31"/>
  <c r="D517" i="31"/>
  <c r="C517" i="31"/>
  <c r="B517" i="31"/>
  <c r="A517" i="31"/>
  <c r="G516" i="31"/>
  <c r="D516" i="31"/>
  <c r="D518" i="31" s="1"/>
  <c r="C516" i="31"/>
  <c r="B516" i="31"/>
  <c r="A516" i="31" s="1"/>
  <c r="A518" i="31" s="1"/>
  <c r="I515" i="31"/>
  <c r="H515" i="31"/>
  <c r="F515" i="31"/>
  <c r="E515" i="31"/>
  <c r="G514" i="31"/>
  <c r="D514" i="31"/>
  <c r="C514" i="31"/>
  <c r="B514" i="31"/>
  <c r="A514" i="31" s="1"/>
  <c r="G513" i="31"/>
  <c r="G515" i="31" s="1"/>
  <c r="D513" i="31"/>
  <c r="D515" i="31" s="1"/>
  <c r="C513" i="31"/>
  <c r="C515" i="31" s="1"/>
  <c r="B513" i="31"/>
  <c r="B515" i="31" s="1"/>
  <c r="I512" i="31"/>
  <c r="F512" i="31"/>
  <c r="E512" i="31"/>
  <c r="H511" i="31"/>
  <c r="G511" i="31" s="1"/>
  <c r="D511" i="31"/>
  <c r="C511" i="31"/>
  <c r="B511" i="31"/>
  <c r="A511" i="31" s="1"/>
  <c r="H510" i="31"/>
  <c r="G510" i="31" s="1"/>
  <c r="G512" i="31" s="1"/>
  <c r="D510" i="31"/>
  <c r="D512" i="31" s="1"/>
  <c r="C510" i="31"/>
  <c r="C512" i="31" s="1"/>
  <c r="B510" i="31"/>
  <c r="A510" i="31" s="1"/>
  <c r="A512" i="31" s="1"/>
  <c r="I509" i="31"/>
  <c r="H509" i="31"/>
  <c r="F509" i="31"/>
  <c r="E509" i="31"/>
  <c r="G508" i="31"/>
  <c r="D508" i="31"/>
  <c r="C508" i="31"/>
  <c r="B508" i="31"/>
  <c r="A508" i="31" s="1"/>
  <c r="G507" i="31"/>
  <c r="G509" i="31" s="1"/>
  <c r="D507" i="31"/>
  <c r="D509" i="31" s="1"/>
  <c r="C507" i="31"/>
  <c r="C509" i="31" s="1"/>
  <c r="B507" i="31"/>
  <c r="B509" i="31" s="1"/>
  <c r="I506" i="31"/>
  <c r="F506" i="31"/>
  <c r="E506" i="31"/>
  <c r="H505" i="31"/>
  <c r="G505" i="31" s="1"/>
  <c r="D505" i="31"/>
  <c r="C505" i="31"/>
  <c r="B505" i="31"/>
  <c r="A505" i="31" s="1"/>
  <c r="H504" i="31"/>
  <c r="H546" i="31" s="1"/>
  <c r="D504" i="31"/>
  <c r="D506" i="31" s="1"/>
  <c r="C504" i="31"/>
  <c r="C506" i="31" s="1"/>
  <c r="B504" i="31"/>
  <c r="A504" i="31" s="1"/>
  <c r="A506" i="31" s="1"/>
  <c r="I503" i="31"/>
  <c r="H503" i="31"/>
  <c r="F503" i="31"/>
  <c r="E503" i="31"/>
  <c r="G502" i="31"/>
  <c r="D502" i="31"/>
  <c r="C502" i="31"/>
  <c r="B502" i="31"/>
  <c r="A502" i="31" s="1"/>
  <c r="G501" i="31"/>
  <c r="G503" i="31" s="1"/>
  <c r="D501" i="31"/>
  <c r="D503" i="31" s="1"/>
  <c r="C501" i="31"/>
  <c r="C503" i="31" s="1"/>
  <c r="B501" i="31"/>
  <c r="B503" i="31" s="1"/>
  <c r="I500" i="31"/>
  <c r="H500" i="31"/>
  <c r="F500" i="31"/>
  <c r="E500" i="31"/>
  <c r="G499" i="31"/>
  <c r="D499" i="31"/>
  <c r="C499" i="31"/>
  <c r="B499" i="31"/>
  <c r="A499" i="31"/>
  <c r="G498" i="31"/>
  <c r="D498" i="31"/>
  <c r="D500" i="31" s="1"/>
  <c r="C498" i="31"/>
  <c r="B498" i="31"/>
  <c r="A498" i="31" s="1"/>
  <c r="A500" i="31" s="1"/>
  <c r="I497" i="31"/>
  <c r="H497" i="31"/>
  <c r="F497" i="31"/>
  <c r="E497" i="31"/>
  <c r="G496" i="31"/>
  <c r="D496" i="31"/>
  <c r="C496" i="31"/>
  <c r="B496" i="31"/>
  <c r="A496" i="31" s="1"/>
  <c r="G495" i="31"/>
  <c r="G497" i="31" s="1"/>
  <c r="D495" i="31"/>
  <c r="D497" i="31" s="1"/>
  <c r="C495" i="31"/>
  <c r="C497" i="31" s="1"/>
  <c r="B495" i="31"/>
  <c r="B497" i="31" s="1"/>
  <c r="I494" i="31"/>
  <c r="H494" i="31"/>
  <c r="F494" i="31"/>
  <c r="E494" i="31"/>
  <c r="G493" i="31"/>
  <c r="D493" i="31"/>
  <c r="C493" i="31"/>
  <c r="B493" i="31"/>
  <c r="A493" i="31"/>
  <c r="G492" i="31"/>
  <c r="D492" i="31"/>
  <c r="D494" i="31" s="1"/>
  <c r="C492" i="31"/>
  <c r="B492" i="31"/>
  <c r="A492" i="31" s="1"/>
  <c r="A494" i="31" s="1"/>
  <c r="I491" i="31"/>
  <c r="H491" i="31"/>
  <c r="F491" i="31"/>
  <c r="E491" i="31"/>
  <c r="G490" i="31"/>
  <c r="D490" i="31"/>
  <c r="C490" i="31"/>
  <c r="B490" i="31"/>
  <c r="A490" i="31" s="1"/>
  <c r="G489" i="31"/>
  <c r="G491" i="31" s="1"/>
  <c r="D489" i="31"/>
  <c r="D491" i="31" s="1"/>
  <c r="C489" i="31"/>
  <c r="C491" i="31" s="1"/>
  <c r="B489" i="31"/>
  <c r="B491" i="31" s="1"/>
  <c r="I488" i="31"/>
  <c r="H488" i="31"/>
  <c r="F488" i="31"/>
  <c r="E488" i="31"/>
  <c r="G487" i="31"/>
  <c r="D487" i="31"/>
  <c r="C487" i="31"/>
  <c r="B487" i="31"/>
  <c r="A487" i="31"/>
  <c r="G486" i="31"/>
  <c r="D486" i="31"/>
  <c r="D488" i="31" s="1"/>
  <c r="C486" i="31"/>
  <c r="B486" i="31"/>
  <c r="A486" i="31" s="1"/>
  <c r="A488" i="31" s="1"/>
  <c r="I485" i="31"/>
  <c r="H485" i="31"/>
  <c r="F485" i="31"/>
  <c r="E485" i="31"/>
  <c r="G484" i="31"/>
  <c r="D484" i="31"/>
  <c r="C484" i="31"/>
  <c r="B484" i="31"/>
  <c r="A484" i="31" s="1"/>
  <c r="G483" i="31"/>
  <c r="G485" i="31" s="1"/>
  <c r="D483" i="31"/>
  <c r="D485" i="31" s="1"/>
  <c r="C483" i="31"/>
  <c r="C485" i="31" s="1"/>
  <c r="B483" i="31"/>
  <c r="B485" i="31" s="1"/>
  <c r="I482" i="31"/>
  <c r="H482" i="31"/>
  <c r="F482" i="31"/>
  <c r="E482" i="31"/>
  <c r="G481" i="31"/>
  <c r="D481" i="31"/>
  <c r="C481" i="31"/>
  <c r="B481" i="31"/>
  <c r="A481" i="31"/>
  <c r="G480" i="31"/>
  <c r="D480" i="31"/>
  <c r="D482" i="31" s="1"/>
  <c r="C480" i="31"/>
  <c r="B480" i="31"/>
  <c r="A480" i="31" s="1"/>
  <c r="A482" i="31" s="1"/>
  <c r="I479" i="31"/>
  <c r="H479" i="31"/>
  <c r="F479" i="31"/>
  <c r="E479" i="31"/>
  <c r="G478" i="31"/>
  <c r="D478" i="31"/>
  <c r="C478" i="31"/>
  <c r="B478" i="31"/>
  <c r="A478" i="31" s="1"/>
  <c r="G477" i="31"/>
  <c r="G479" i="31" s="1"/>
  <c r="D477" i="31"/>
  <c r="D479" i="31" s="1"/>
  <c r="C477" i="31"/>
  <c r="C479" i="31" s="1"/>
  <c r="B477" i="31"/>
  <c r="B479" i="31" s="1"/>
  <c r="H476" i="31"/>
  <c r="F476" i="31"/>
  <c r="E476" i="31"/>
  <c r="G475" i="31"/>
  <c r="D475" i="31"/>
  <c r="C475" i="31"/>
  <c r="B475" i="31"/>
  <c r="A475" i="31" s="1"/>
  <c r="I474" i="31"/>
  <c r="I476" i="31" s="1"/>
  <c r="D474" i="31"/>
  <c r="D476" i="31" s="1"/>
  <c r="B474" i="31"/>
  <c r="B476" i="31" s="1"/>
  <c r="H473" i="31"/>
  <c r="F473" i="31"/>
  <c r="F548" i="31" s="1"/>
  <c r="E473" i="31"/>
  <c r="G472" i="31"/>
  <c r="G547" i="31" s="1"/>
  <c r="D472" i="31"/>
  <c r="D547" i="31" s="1"/>
  <c r="C472" i="31"/>
  <c r="C547" i="31" s="1"/>
  <c r="B472" i="31"/>
  <c r="B547" i="31" s="1"/>
  <c r="I471" i="31"/>
  <c r="I473" i="31" s="1"/>
  <c r="I548" i="31" s="1"/>
  <c r="D471" i="31"/>
  <c r="D473" i="31" s="1"/>
  <c r="B471" i="31"/>
  <c r="I465" i="31"/>
  <c r="H465" i="31"/>
  <c r="F465" i="31"/>
  <c r="E465" i="31"/>
  <c r="H464" i="31"/>
  <c r="F464" i="31"/>
  <c r="E464" i="31"/>
  <c r="I463" i="31"/>
  <c r="H463" i="31"/>
  <c r="F463" i="31"/>
  <c r="E463" i="31"/>
  <c r="G462" i="31"/>
  <c r="D462" i="31"/>
  <c r="C462" i="31"/>
  <c r="B462" i="31"/>
  <c r="A462" i="31" s="1"/>
  <c r="G461" i="31"/>
  <c r="G463" i="31" s="1"/>
  <c r="D461" i="31"/>
  <c r="D463" i="31" s="1"/>
  <c r="C461" i="31"/>
  <c r="C463" i="31" s="1"/>
  <c r="B461" i="31"/>
  <c r="B463" i="31" s="1"/>
  <c r="I460" i="31"/>
  <c r="H460" i="31"/>
  <c r="F460" i="31"/>
  <c r="E460" i="31"/>
  <c r="G459" i="31"/>
  <c r="D459" i="31"/>
  <c r="C459" i="31"/>
  <c r="B459" i="31"/>
  <c r="A459" i="31"/>
  <c r="G458" i="31"/>
  <c r="D458" i="31"/>
  <c r="D460" i="31" s="1"/>
  <c r="C458" i="31"/>
  <c r="B458" i="31"/>
  <c r="A458" i="31" s="1"/>
  <c r="A460" i="31" s="1"/>
  <c r="I457" i="31"/>
  <c r="H457" i="31"/>
  <c r="F457" i="31"/>
  <c r="E457" i="31"/>
  <c r="G456" i="31"/>
  <c r="D456" i="31"/>
  <c r="C456" i="31"/>
  <c r="B456" i="31"/>
  <c r="A456" i="31" s="1"/>
  <c r="G455" i="31"/>
  <c r="G457" i="31" s="1"/>
  <c r="D455" i="31"/>
  <c r="D457" i="31" s="1"/>
  <c r="C455" i="31"/>
  <c r="C457" i="31" s="1"/>
  <c r="B455" i="31"/>
  <c r="B457" i="31" s="1"/>
  <c r="I454" i="31"/>
  <c r="H454" i="31"/>
  <c r="F454" i="31"/>
  <c r="E454" i="31"/>
  <c r="G453" i="31"/>
  <c r="D453" i="31"/>
  <c r="C453" i="31"/>
  <c r="B453" i="31"/>
  <c r="A453" i="31"/>
  <c r="G452" i="31"/>
  <c r="D452" i="31"/>
  <c r="D454" i="31" s="1"/>
  <c r="C452" i="31"/>
  <c r="B452" i="31"/>
  <c r="A452" i="31" s="1"/>
  <c r="A454" i="31" s="1"/>
  <c r="I451" i="31"/>
  <c r="H451" i="31"/>
  <c r="F451" i="31"/>
  <c r="E451" i="31"/>
  <c r="G450" i="31"/>
  <c r="D450" i="31"/>
  <c r="C450" i="31"/>
  <c r="B450" i="31"/>
  <c r="A450" i="31" s="1"/>
  <c r="G449" i="31"/>
  <c r="G451" i="31" s="1"/>
  <c r="D449" i="31"/>
  <c r="D451" i="31" s="1"/>
  <c r="C449" i="31"/>
  <c r="C451" i="31" s="1"/>
  <c r="B449" i="31"/>
  <c r="B451" i="31" s="1"/>
  <c r="I448" i="31"/>
  <c r="H448" i="31"/>
  <c r="F448" i="31"/>
  <c r="E448" i="31"/>
  <c r="G447" i="31"/>
  <c r="D447" i="31"/>
  <c r="C447" i="31"/>
  <c r="B447" i="31"/>
  <c r="A447" i="31"/>
  <c r="G446" i="31"/>
  <c r="D446" i="31"/>
  <c r="D448" i="31" s="1"/>
  <c r="C446" i="31"/>
  <c r="B446" i="31"/>
  <c r="A446" i="31" s="1"/>
  <c r="A448" i="31" s="1"/>
  <c r="I445" i="31"/>
  <c r="H445" i="31"/>
  <c r="F445" i="31"/>
  <c r="E445" i="31"/>
  <c r="G444" i="31"/>
  <c r="D444" i="31"/>
  <c r="C444" i="31"/>
  <c r="B444" i="31"/>
  <c r="A444" i="31" s="1"/>
  <c r="G443" i="31"/>
  <c r="G445" i="31" s="1"/>
  <c r="D443" i="31"/>
  <c r="D445" i="31" s="1"/>
  <c r="C443" i="31"/>
  <c r="C445" i="31" s="1"/>
  <c r="B443" i="31"/>
  <c r="B445" i="31" s="1"/>
  <c r="I442" i="31"/>
  <c r="H442" i="31"/>
  <c r="F442" i="31"/>
  <c r="E442" i="31"/>
  <c r="G441" i="31"/>
  <c r="D441" i="31"/>
  <c r="C441" i="31"/>
  <c r="B441" i="31"/>
  <c r="A441" i="31"/>
  <c r="G440" i="31"/>
  <c r="D440" i="31"/>
  <c r="D442" i="31" s="1"/>
  <c r="C440" i="31"/>
  <c r="B440" i="31"/>
  <c r="A440" i="31" s="1"/>
  <c r="A442" i="31" s="1"/>
  <c r="I439" i="31"/>
  <c r="H439" i="31"/>
  <c r="F439" i="31"/>
  <c r="E439" i="31"/>
  <c r="G438" i="31"/>
  <c r="D438" i="31"/>
  <c r="C438" i="31"/>
  <c r="B438" i="31"/>
  <c r="A438" i="31" s="1"/>
  <c r="G437" i="31"/>
  <c r="G439" i="31" s="1"/>
  <c r="D437" i="31"/>
  <c r="D439" i="31" s="1"/>
  <c r="C437" i="31"/>
  <c r="C439" i="31" s="1"/>
  <c r="B437" i="31"/>
  <c r="B439" i="31" s="1"/>
  <c r="I436" i="31"/>
  <c r="H436" i="31"/>
  <c r="F436" i="31"/>
  <c r="E436" i="31"/>
  <c r="G435" i="31"/>
  <c r="D435" i="31"/>
  <c r="C435" i="31"/>
  <c r="B435" i="31"/>
  <c r="A435" i="31"/>
  <c r="G434" i="31"/>
  <c r="D434" i="31"/>
  <c r="D436" i="31" s="1"/>
  <c r="C434" i="31"/>
  <c r="B434" i="31"/>
  <c r="A434" i="31" s="1"/>
  <c r="A436" i="31" s="1"/>
  <c r="I433" i="31"/>
  <c r="H433" i="31"/>
  <c r="F433" i="31"/>
  <c r="E433" i="31"/>
  <c r="G432" i="31"/>
  <c r="D432" i="31"/>
  <c r="C432" i="31"/>
  <c r="B432" i="31"/>
  <c r="A432" i="31" s="1"/>
  <c r="G431" i="31"/>
  <c r="G433" i="31" s="1"/>
  <c r="D431" i="31"/>
  <c r="D433" i="31" s="1"/>
  <c r="C431" i="31"/>
  <c r="C433" i="31" s="1"/>
  <c r="B431" i="31"/>
  <c r="B433" i="31" s="1"/>
  <c r="I430" i="31"/>
  <c r="H430" i="31"/>
  <c r="F430" i="31"/>
  <c r="E430" i="31"/>
  <c r="G429" i="31"/>
  <c r="D429" i="31"/>
  <c r="C429" i="31"/>
  <c r="B429" i="31"/>
  <c r="A429" i="31"/>
  <c r="G428" i="31"/>
  <c r="D428" i="31"/>
  <c r="D430" i="31" s="1"/>
  <c r="C428" i="31"/>
  <c r="B428" i="31"/>
  <c r="A428" i="31" s="1"/>
  <c r="A430" i="31" s="1"/>
  <c r="I427" i="31"/>
  <c r="H427" i="31"/>
  <c r="F427" i="31"/>
  <c r="E427" i="31"/>
  <c r="G426" i="31"/>
  <c r="D426" i="31"/>
  <c r="C426" i="31"/>
  <c r="B426" i="31"/>
  <c r="A426" i="31" s="1"/>
  <c r="G425" i="31"/>
  <c r="G427" i="31" s="1"/>
  <c r="D425" i="31"/>
  <c r="D427" i="31" s="1"/>
  <c r="C425" i="31"/>
  <c r="C427" i="31" s="1"/>
  <c r="B425" i="31"/>
  <c r="B427" i="31" s="1"/>
  <c r="I424" i="31"/>
  <c r="H424" i="31"/>
  <c r="F424" i="31"/>
  <c r="E424" i="31"/>
  <c r="G423" i="31"/>
  <c r="D423" i="31"/>
  <c r="C423" i="31"/>
  <c r="B423" i="31"/>
  <c r="A423" i="31"/>
  <c r="G422" i="31"/>
  <c r="D422" i="31"/>
  <c r="D424" i="31" s="1"/>
  <c r="C422" i="31"/>
  <c r="B422" i="31"/>
  <c r="A422" i="31" s="1"/>
  <c r="A424" i="31" s="1"/>
  <c r="I421" i="31"/>
  <c r="H421" i="31"/>
  <c r="F421" i="31"/>
  <c r="E421" i="31"/>
  <c r="G420" i="31"/>
  <c r="D420" i="31"/>
  <c r="C420" i="31"/>
  <c r="B420" i="31"/>
  <c r="A420" i="31" s="1"/>
  <c r="G419" i="31"/>
  <c r="G421" i="31" s="1"/>
  <c r="D419" i="31"/>
  <c r="D421" i="31" s="1"/>
  <c r="C419" i="31"/>
  <c r="C421" i="31" s="1"/>
  <c r="B419" i="31"/>
  <c r="B421" i="31" s="1"/>
  <c r="I418" i="31"/>
  <c r="H418" i="31"/>
  <c r="F418" i="31"/>
  <c r="E418" i="31"/>
  <c r="G417" i="31"/>
  <c r="D417" i="31"/>
  <c r="C417" i="31"/>
  <c r="B417" i="31"/>
  <c r="A417" i="31"/>
  <c r="G416" i="31"/>
  <c r="D416" i="31"/>
  <c r="D418" i="31" s="1"/>
  <c r="C416" i="31"/>
  <c r="B416" i="31"/>
  <c r="A416" i="31" s="1"/>
  <c r="A418" i="31" s="1"/>
  <c r="I415" i="31"/>
  <c r="H415" i="31"/>
  <c r="F415" i="31"/>
  <c r="E415" i="31"/>
  <c r="G414" i="31"/>
  <c r="D414" i="31"/>
  <c r="C414" i="31"/>
  <c r="B414" i="31"/>
  <c r="A414" i="31" s="1"/>
  <c r="G413" i="31"/>
  <c r="G415" i="31" s="1"/>
  <c r="D413" i="31"/>
  <c r="D415" i="31" s="1"/>
  <c r="C413" i="31"/>
  <c r="C415" i="31" s="1"/>
  <c r="B413" i="31"/>
  <c r="B415" i="31" s="1"/>
  <c r="I412" i="31"/>
  <c r="H412" i="31"/>
  <c r="F412" i="31"/>
  <c r="E412" i="31"/>
  <c r="G411" i="31"/>
  <c r="D411" i="31"/>
  <c r="C411" i="31"/>
  <c r="B411" i="31"/>
  <c r="A411" i="31"/>
  <c r="G410" i="31"/>
  <c r="D410" i="31"/>
  <c r="D412" i="31" s="1"/>
  <c r="C410" i="31"/>
  <c r="B410" i="31"/>
  <c r="A410" i="31" s="1"/>
  <c r="A412" i="31" s="1"/>
  <c r="I409" i="31"/>
  <c r="H409" i="31"/>
  <c r="F409" i="31"/>
  <c r="E409" i="31"/>
  <c r="G408" i="31"/>
  <c r="D408" i="31"/>
  <c r="C408" i="31"/>
  <c r="B408" i="31"/>
  <c r="A408" i="31" s="1"/>
  <c r="G407" i="31"/>
  <c r="G409" i="31" s="1"/>
  <c r="D407" i="31"/>
  <c r="D409" i="31" s="1"/>
  <c r="C407" i="31"/>
  <c r="C409" i="31" s="1"/>
  <c r="B407" i="31"/>
  <c r="B409" i="31" s="1"/>
  <c r="I406" i="31"/>
  <c r="H406" i="31"/>
  <c r="F406" i="31"/>
  <c r="E406" i="31"/>
  <c r="G405" i="31"/>
  <c r="D405" i="31"/>
  <c r="C405" i="31"/>
  <c r="B405" i="31"/>
  <c r="A405" i="31"/>
  <c r="G404" i="31"/>
  <c r="D404" i="31"/>
  <c r="D406" i="31" s="1"/>
  <c r="C404" i="31"/>
  <c r="B404" i="31"/>
  <c r="A404" i="31" s="1"/>
  <c r="A406" i="31" s="1"/>
  <c r="I403" i="31"/>
  <c r="H403" i="31"/>
  <c r="F403" i="31"/>
  <c r="E403" i="31"/>
  <c r="G402" i="31"/>
  <c r="D402" i="31"/>
  <c r="C402" i="31"/>
  <c r="B402" i="31"/>
  <c r="A402" i="31" s="1"/>
  <c r="G401" i="31"/>
  <c r="G403" i="31" s="1"/>
  <c r="D401" i="31"/>
  <c r="D403" i="31" s="1"/>
  <c r="C401" i="31"/>
  <c r="C403" i="31" s="1"/>
  <c r="B401" i="31"/>
  <c r="B403" i="31" s="1"/>
  <c r="I400" i="31"/>
  <c r="H400" i="31"/>
  <c r="F400" i="31"/>
  <c r="E400" i="31"/>
  <c r="G399" i="31"/>
  <c r="D399" i="31"/>
  <c r="C399" i="31"/>
  <c r="B399" i="31"/>
  <c r="A399" i="31"/>
  <c r="G398" i="31"/>
  <c r="D398" i="31"/>
  <c r="D400" i="31" s="1"/>
  <c r="C398" i="31"/>
  <c r="B398" i="31"/>
  <c r="A398" i="31" s="1"/>
  <c r="A400" i="31" s="1"/>
  <c r="I397" i="31"/>
  <c r="H397" i="31"/>
  <c r="F397" i="31"/>
  <c r="E397" i="31"/>
  <c r="G396" i="31"/>
  <c r="D396" i="31"/>
  <c r="C396" i="31"/>
  <c r="B396" i="31"/>
  <c r="A396" i="31" s="1"/>
  <c r="G395" i="31"/>
  <c r="G397" i="31" s="1"/>
  <c r="D395" i="31"/>
  <c r="D397" i="31" s="1"/>
  <c r="C395" i="31"/>
  <c r="C397" i="31" s="1"/>
  <c r="B395" i="31"/>
  <c r="B397" i="31" s="1"/>
  <c r="I394" i="31"/>
  <c r="H394" i="31"/>
  <c r="F394" i="31"/>
  <c r="E394" i="31"/>
  <c r="G393" i="31"/>
  <c r="D393" i="31"/>
  <c r="C393" i="31"/>
  <c r="B393" i="31"/>
  <c r="A393" i="31"/>
  <c r="G392" i="31"/>
  <c r="D392" i="31"/>
  <c r="D394" i="31" s="1"/>
  <c r="C392" i="31"/>
  <c r="B392" i="31"/>
  <c r="A392" i="31" s="1"/>
  <c r="A394" i="31" s="1"/>
  <c r="I391" i="31"/>
  <c r="H391" i="31"/>
  <c r="F391" i="31"/>
  <c r="E391" i="31"/>
  <c r="G390" i="31"/>
  <c r="D390" i="31"/>
  <c r="C390" i="31"/>
  <c r="B390" i="31"/>
  <c r="A390" i="31" s="1"/>
  <c r="G389" i="31"/>
  <c r="G391" i="31" s="1"/>
  <c r="D389" i="31"/>
  <c r="D391" i="31" s="1"/>
  <c r="C389" i="31"/>
  <c r="C391" i="31" s="1"/>
  <c r="B389" i="31"/>
  <c r="B391" i="31" s="1"/>
  <c r="H388" i="31"/>
  <c r="F388" i="31"/>
  <c r="E388" i="31"/>
  <c r="G387" i="31"/>
  <c r="D387" i="31"/>
  <c r="C387" i="31"/>
  <c r="B387" i="31"/>
  <c r="A387" i="31" s="1"/>
  <c r="I386" i="31"/>
  <c r="I388" i="31" s="1"/>
  <c r="D386" i="31"/>
  <c r="D388" i="31" s="1"/>
  <c r="B386" i="31"/>
  <c r="B388" i="31" s="1"/>
  <c r="H385" i="31"/>
  <c r="F385" i="31"/>
  <c r="E385" i="31"/>
  <c r="G384" i="31"/>
  <c r="D384" i="31"/>
  <c r="C384" i="31"/>
  <c r="B384" i="31"/>
  <c r="A384" i="31" s="1"/>
  <c r="I383" i="31"/>
  <c r="I385" i="31" s="1"/>
  <c r="D383" i="31"/>
  <c r="D385" i="31" s="1"/>
  <c r="B383" i="31"/>
  <c r="B385" i="31" s="1"/>
  <c r="H382" i="31"/>
  <c r="F382" i="31"/>
  <c r="E382" i="31"/>
  <c r="G381" i="31"/>
  <c r="D381" i="31"/>
  <c r="C381" i="31"/>
  <c r="B381" i="31"/>
  <c r="A381" i="31" s="1"/>
  <c r="I380" i="31"/>
  <c r="I382" i="31" s="1"/>
  <c r="D380" i="31"/>
  <c r="D382" i="31" s="1"/>
  <c r="B380" i="31"/>
  <c r="B382" i="31" s="1"/>
  <c r="H379" i="31"/>
  <c r="F379" i="31"/>
  <c r="E379" i="31"/>
  <c r="G378" i="31"/>
  <c r="D378" i="31"/>
  <c r="C378" i="31"/>
  <c r="B378" i="31"/>
  <c r="A378" i="31" s="1"/>
  <c r="I377" i="31"/>
  <c r="I464" i="31" s="1"/>
  <c r="D377" i="31"/>
  <c r="D379" i="31" s="1"/>
  <c r="B377" i="31"/>
  <c r="B379" i="31" s="1"/>
  <c r="I376" i="31"/>
  <c r="H376" i="31"/>
  <c r="F376" i="31"/>
  <c r="F466" i="31" s="1"/>
  <c r="E376" i="31"/>
  <c r="G375" i="31"/>
  <c r="G465" i="31" s="1"/>
  <c r="D375" i="31"/>
  <c r="C375" i="31"/>
  <c r="C465" i="31" s="1"/>
  <c r="B375" i="31"/>
  <c r="A375" i="31"/>
  <c r="G374" i="31"/>
  <c r="D374" i="31"/>
  <c r="D464" i="31" s="1"/>
  <c r="C374" i="31"/>
  <c r="B374" i="31"/>
  <c r="A374" i="31" s="1"/>
  <c r="I369" i="31"/>
  <c r="F369" i="31"/>
  <c r="E369" i="31"/>
  <c r="F368" i="31"/>
  <c r="E368" i="31"/>
  <c r="I367" i="31"/>
  <c r="H367" i="31"/>
  <c r="F367" i="31"/>
  <c r="E367" i="31"/>
  <c r="G366" i="31"/>
  <c r="D366" i="31"/>
  <c r="C366" i="31"/>
  <c r="B366" i="31"/>
  <c r="A366" i="31"/>
  <c r="G365" i="31"/>
  <c r="D365" i="31"/>
  <c r="D367" i="31" s="1"/>
  <c r="C365" i="31"/>
  <c r="B365" i="31"/>
  <c r="A365" i="31" s="1"/>
  <c r="A367" i="31" s="1"/>
  <c r="I364" i="31"/>
  <c r="F364" i="31"/>
  <c r="E364" i="31"/>
  <c r="G363" i="31"/>
  <c r="D363" i="31"/>
  <c r="C363" i="31"/>
  <c r="B363" i="31"/>
  <c r="H362" i="31"/>
  <c r="H364" i="31" s="1"/>
  <c r="D362" i="31"/>
  <c r="D364" i="31" s="1"/>
  <c r="C362" i="31"/>
  <c r="C364" i="31" s="1"/>
  <c r="I361" i="31"/>
  <c r="H361" i="31"/>
  <c r="F361" i="31"/>
  <c r="E361" i="31"/>
  <c r="G360" i="31"/>
  <c r="D360" i="31"/>
  <c r="C360" i="31"/>
  <c r="B360" i="31"/>
  <c r="G359" i="31"/>
  <c r="G361" i="31" s="1"/>
  <c r="D359" i="31"/>
  <c r="D361" i="31" s="1"/>
  <c r="C359" i="31"/>
  <c r="C361" i="31" s="1"/>
  <c r="B359" i="31"/>
  <c r="B361" i="31" s="1"/>
  <c r="A359" i="31"/>
  <c r="I358" i="31"/>
  <c r="F358" i="31"/>
  <c r="E358" i="31"/>
  <c r="G357" i="31"/>
  <c r="D357" i="31"/>
  <c r="C357" i="31"/>
  <c r="B357" i="31"/>
  <c r="A357" i="31"/>
  <c r="H356" i="31"/>
  <c r="H358" i="31" s="1"/>
  <c r="G356" i="31"/>
  <c r="G358" i="31" s="1"/>
  <c r="D356" i="31"/>
  <c r="D358" i="31" s="1"/>
  <c r="C356" i="31"/>
  <c r="C358" i="31" s="1"/>
  <c r="B356" i="31"/>
  <c r="B358" i="31" s="1"/>
  <c r="A356" i="31"/>
  <c r="A358" i="31" s="1"/>
  <c r="I355" i="31"/>
  <c r="H355" i="31"/>
  <c r="F355" i="31"/>
  <c r="E355" i="31"/>
  <c r="G354" i="31"/>
  <c r="D354" i="31"/>
  <c r="C354" i="31"/>
  <c r="B354" i="31"/>
  <c r="A354" i="31" s="1"/>
  <c r="G353" i="31"/>
  <c r="G355" i="31" s="1"/>
  <c r="D353" i="31"/>
  <c r="C353" i="31"/>
  <c r="C355" i="31" s="1"/>
  <c r="B353" i="31"/>
  <c r="I352" i="31"/>
  <c r="F352" i="31"/>
  <c r="E352" i="31"/>
  <c r="G351" i="31"/>
  <c r="D351" i="31"/>
  <c r="C351" i="31"/>
  <c r="B351" i="31"/>
  <c r="A351" i="31" s="1"/>
  <c r="H350" i="31"/>
  <c r="D350" i="31"/>
  <c r="D352" i="31" s="1"/>
  <c r="C350" i="31"/>
  <c r="C352" i="31" s="1"/>
  <c r="B350" i="31"/>
  <c r="B352" i="31" s="1"/>
  <c r="I349" i="31"/>
  <c r="F349" i="31"/>
  <c r="E349" i="31"/>
  <c r="H348" i="31"/>
  <c r="H349" i="31" s="1"/>
  <c r="D348" i="31"/>
  <c r="C348" i="31"/>
  <c r="B348" i="31"/>
  <c r="A348" i="31" s="1"/>
  <c r="G347" i="31"/>
  <c r="D347" i="31"/>
  <c r="C347" i="31"/>
  <c r="C349" i="31" s="1"/>
  <c r="B347" i="31"/>
  <c r="I346" i="31"/>
  <c r="H346" i="31"/>
  <c r="F346" i="31"/>
  <c r="E346" i="31"/>
  <c r="G345" i="31"/>
  <c r="D345" i="31"/>
  <c r="C345" i="31"/>
  <c r="B345" i="31"/>
  <c r="G344" i="31"/>
  <c r="G346" i="31" s="1"/>
  <c r="D344" i="31"/>
  <c r="D346" i="31" s="1"/>
  <c r="C344" i="31"/>
  <c r="C346" i="31" s="1"/>
  <c r="B344" i="31"/>
  <c r="B346" i="31" s="1"/>
  <c r="A344" i="31"/>
  <c r="I343" i="31"/>
  <c r="F343" i="31"/>
  <c r="E343" i="31"/>
  <c r="H342" i="31"/>
  <c r="G342" i="31" s="1"/>
  <c r="D342" i="31"/>
  <c r="C342" i="31"/>
  <c r="G341" i="31"/>
  <c r="G343" i="31" s="1"/>
  <c r="D341" i="31"/>
  <c r="C341" i="31"/>
  <c r="C343" i="31" s="1"/>
  <c r="B341" i="31"/>
  <c r="A341" i="31"/>
  <c r="I340" i="31"/>
  <c r="H340" i="31"/>
  <c r="F340" i="31"/>
  <c r="E340" i="31"/>
  <c r="G339" i="31"/>
  <c r="D339" i="31"/>
  <c r="C339" i="31"/>
  <c r="B339" i="31"/>
  <c r="A339" i="31" s="1"/>
  <c r="G338" i="31"/>
  <c r="G340" i="31" s="1"/>
  <c r="D338" i="31"/>
  <c r="C338" i="31"/>
  <c r="C340" i="31" s="1"/>
  <c r="B338" i="31"/>
  <c r="I337" i="31"/>
  <c r="H337" i="31"/>
  <c r="F337" i="31"/>
  <c r="E337" i="31"/>
  <c r="G336" i="31"/>
  <c r="D336" i="31"/>
  <c r="C336" i="31"/>
  <c r="B336" i="31"/>
  <c r="G335" i="31"/>
  <c r="G337" i="31" s="1"/>
  <c r="D335" i="31"/>
  <c r="D337" i="31" s="1"/>
  <c r="C335" i="31"/>
  <c r="C337" i="31" s="1"/>
  <c r="B335" i="31"/>
  <c r="B337" i="31" s="1"/>
  <c r="A335" i="31"/>
  <c r="H334" i="31"/>
  <c r="F334" i="31"/>
  <c r="E334" i="31"/>
  <c r="D334" i="31"/>
  <c r="G333" i="31"/>
  <c r="D333" i="31"/>
  <c r="C333" i="31"/>
  <c r="B333" i="31"/>
  <c r="A333" i="31"/>
  <c r="I332" i="31"/>
  <c r="I334" i="31" s="1"/>
  <c r="G332" i="31"/>
  <c r="G334" i="31" s="1"/>
  <c r="D332" i="31"/>
  <c r="C332" i="31"/>
  <c r="C334" i="31" s="1"/>
  <c r="B332" i="31"/>
  <c r="B334" i="31" s="1"/>
  <c r="A332" i="31"/>
  <c r="A334" i="31" s="1"/>
  <c r="I331" i="31"/>
  <c r="H331" i="31"/>
  <c r="F331" i="31"/>
  <c r="E331" i="31"/>
  <c r="G330" i="31"/>
  <c r="D330" i="31"/>
  <c r="C330" i="31"/>
  <c r="B330" i="31"/>
  <c r="A330" i="31" s="1"/>
  <c r="G329" i="31"/>
  <c r="G331" i="31" s="1"/>
  <c r="D329" i="31"/>
  <c r="C329" i="31"/>
  <c r="C331" i="31" s="1"/>
  <c r="B329" i="31"/>
  <c r="I328" i="31"/>
  <c r="H328" i="31"/>
  <c r="F328" i="31"/>
  <c r="E328" i="31"/>
  <c r="G327" i="31"/>
  <c r="D327" i="31"/>
  <c r="C327" i="31"/>
  <c r="B327" i="31"/>
  <c r="G326" i="31"/>
  <c r="G328" i="31" s="1"/>
  <c r="D326" i="31"/>
  <c r="D328" i="31" s="1"/>
  <c r="C326" i="31"/>
  <c r="C328" i="31" s="1"/>
  <c r="B326" i="31"/>
  <c r="B328" i="31" s="1"/>
  <c r="A326" i="31"/>
  <c r="I325" i="31"/>
  <c r="H325" i="31"/>
  <c r="F325" i="31"/>
  <c r="E325" i="31"/>
  <c r="G324" i="31"/>
  <c r="D324" i="31"/>
  <c r="C324" i="31"/>
  <c r="B324" i="31"/>
  <c r="A324" i="31" s="1"/>
  <c r="G323" i="31"/>
  <c r="G325" i="31" s="1"/>
  <c r="D323" i="31"/>
  <c r="C323" i="31"/>
  <c r="C325" i="31" s="1"/>
  <c r="B323" i="31"/>
  <c r="H322" i="31"/>
  <c r="F322" i="31"/>
  <c r="E322" i="31"/>
  <c r="G321" i="31"/>
  <c r="D321" i="31"/>
  <c r="C321" i="31"/>
  <c r="B321" i="31"/>
  <c r="A321" i="31" s="1"/>
  <c r="I320" i="31"/>
  <c r="G320" i="31" s="1"/>
  <c r="G322" i="31" s="1"/>
  <c r="D320" i="31"/>
  <c r="D322" i="31" s="1"/>
  <c r="B320" i="31"/>
  <c r="H319" i="31"/>
  <c r="F319" i="31"/>
  <c r="E319" i="31"/>
  <c r="G318" i="31"/>
  <c r="D318" i="31"/>
  <c r="C318" i="31"/>
  <c r="B318" i="31"/>
  <c r="A318" i="31" s="1"/>
  <c r="I317" i="31"/>
  <c r="G317" i="31" s="1"/>
  <c r="G319" i="31" s="1"/>
  <c r="D317" i="31"/>
  <c r="D319" i="31" s="1"/>
  <c r="B317" i="31"/>
  <c r="I316" i="31"/>
  <c r="H316" i="31"/>
  <c r="F316" i="31"/>
  <c r="E316" i="31"/>
  <c r="G315" i="31"/>
  <c r="D315" i="31"/>
  <c r="C315" i="31"/>
  <c r="B315" i="31"/>
  <c r="G314" i="31"/>
  <c r="G316" i="31" s="1"/>
  <c r="D314" i="31"/>
  <c r="D316" i="31" s="1"/>
  <c r="C314" i="31"/>
  <c r="C316" i="31" s="1"/>
  <c r="B314" i="31"/>
  <c r="B316" i="31" s="1"/>
  <c r="A314" i="31"/>
  <c r="I313" i="31"/>
  <c r="H313" i="31"/>
  <c r="F313" i="31"/>
  <c r="E313" i="31"/>
  <c r="G312" i="31"/>
  <c r="D312" i="31"/>
  <c r="C312" i="31"/>
  <c r="B312" i="31"/>
  <c r="A312" i="31" s="1"/>
  <c r="G311" i="31"/>
  <c r="D311" i="31"/>
  <c r="C311" i="31"/>
  <c r="B311" i="31"/>
  <c r="H310" i="31"/>
  <c r="F310" i="31"/>
  <c r="E310" i="31"/>
  <c r="G309" i="31"/>
  <c r="D309" i="31"/>
  <c r="C309" i="31"/>
  <c r="B309" i="31"/>
  <c r="A309" i="31" s="1"/>
  <c r="I308" i="31"/>
  <c r="G308" i="31" s="1"/>
  <c r="G310" i="31" s="1"/>
  <c r="D308" i="31"/>
  <c r="D310" i="31" s="1"/>
  <c r="B308" i="31"/>
  <c r="H307" i="31"/>
  <c r="F307" i="31"/>
  <c r="E307" i="31"/>
  <c r="G306" i="31"/>
  <c r="D306" i="31"/>
  <c r="C306" i="31"/>
  <c r="B306" i="31"/>
  <c r="A306" i="31" s="1"/>
  <c r="I305" i="31"/>
  <c r="G305" i="31" s="1"/>
  <c r="G307" i="31" s="1"/>
  <c r="D305" i="31"/>
  <c r="D307" i="31" s="1"/>
  <c r="B305" i="31"/>
  <c r="H304" i="31"/>
  <c r="F304" i="31"/>
  <c r="E304" i="31"/>
  <c r="G303" i="31"/>
  <c r="D303" i="31"/>
  <c r="C303" i="31"/>
  <c r="B303" i="31"/>
  <c r="A303" i="31" s="1"/>
  <c r="I302" i="31"/>
  <c r="G302" i="31" s="1"/>
  <c r="G304" i="31" s="1"/>
  <c r="D302" i="31"/>
  <c r="D304" i="31" s="1"/>
  <c r="B302" i="31"/>
  <c r="I301" i="31"/>
  <c r="H301" i="31"/>
  <c r="F301" i="31"/>
  <c r="E301" i="31"/>
  <c r="G300" i="31"/>
  <c r="D300" i="31"/>
  <c r="C300" i="31"/>
  <c r="B300" i="31"/>
  <c r="G299" i="31"/>
  <c r="G301" i="31" s="1"/>
  <c r="D299" i="31"/>
  <c r="D301" i="31" s="1"/>
  <c r="C299" i="31"/>
  <c r="C301" i="31" s="1"/>
  <c r="B299" i="31"/>
  <c r="B301" i="31" s="1"/>
  <c r="A299" i="31"/>
  <c r="H298" i="31"/>
  <c r="F298" i="31"/>
  <c r="F370" i="31" s="1"/>
  <c r="E298" i="31"/>
  <c r="D298" i="31"/>
  <c r="G297" i="31"/>
  <c r="D297" i="31"/>
  <c r="C297" i="31"/>
  <c r="C369" i="31" s="1"/>
  <c r="B297" i="31"/>
  <c r="A297" i="31"/>
  <c r="I296" i="31"/>
  <c r="G296" i="31"/>
  <c r="D296" i="31"/>
  <c r="C296" i="31"/>
  <c r="B296" i="31"/>
  <c r="B298" i="31" s="1"/>
  <c r="A296" i="31"/>
  <c r="I290" i="31"/>
  <c r="H290" i="31"/>
  <c r="F290" i="31"/>
  <c r="E290" i="31"/>
  <c r="I289" i="31"/>
  <c r="H289" i="31"/>
  <c r="F289" i="31"/>
  <c r="E289" i="31"/>
  <c r="I288" i="31"/>
  <c r="H288" i="31"/>
  <c r="F288" i="31"/>
  <c r="E288" i="31"/>
  <c r="G287" i="31"/>
  <c r="D287" i="31"/>
  <c r="C287" i="31"/>
  <c r="B287" i="31"/>
  <c r="A287" i="31" s="1"/>
  <c r="G286" i="31"/>
  <c r="G288" i="31" s="1"/>
  <c r="D286" i="31"/>
  <c r="D288" i="31" s="1"/>
  <c r="C286" i="31"/>
  <c r="C288" i="31" s="1"/>
  <c r="B286" i="31"/>
  <c r="B288" i="31" s="1"/>
  <c r="I285" i="31"/>
  <c r="H285" i="31"/>
  <c r="F285" i="31"/>
  <c r="E285" i="31"/>
  <c r="G284" i="31"/>
  <c r="D284" i="31"/>
  <c r="C284" i="31"/>
  <c r="B284" i="31"/>
  <c r="A284" i="31"/>
  <c r="G283" i="31"/>
  <c r="D283" i="31"/>
  <c r="D285" i="31" s="1"/>
  <c r="C283" i="31"/>
  <c r="B283" i="31"/>
  <c r="A283" i="31" s="1"/>
  <c r="A285" i="31" s="1"/>
  <c r="I282" i="31"/>
  <c r="H282" i="31"/>
  <c r="F282" i="31"/>
  <c r="E282" i="31"/>
  <c r="G281" i="31"/>
  <c r="D281" i="31"/>
  <c r="C281" i="31"/>
  <c r="B281" i="31"/>
  <c r="A281" i="31" s="1"/>
  <c r="G280" i="31"/>
  <c r="G282" i="31" s="1"/>
  <c r="D280" i="31"/>
  <c r="D282" i="31" s="1"/>
  <c r="C280" i="31"/>
  <c r="C282" i="31" s="1"/>
  <c r="B280" i="31"/>
  <c r="B282" i="31" s="1"/>
  <c r="I279" i="31"/>
  <c r="H279" i="31"/>
  <c r="F279" i="31"/>
  <c r="E279" i="31"/>
  <c r="G278" i="31"/>
  <c r="D278" i="31"/>
  <c r="C278" i="31"/>
  <c r="B278" i="31"/>
  <c r="A278" i="31"/>
  <c r="G277" i="31"/>
  <c r="D277" i="31"/>
  <c r="D279" i="31" s="1"/>
  <c r="C277" i="31"/>
  <c r="B277" i="31"/>
  <c r="A277" i="31" s="1"/>
  <c r="A279" i="31" s="1"/>
  <c r="I276" i="31"/>
  <c r="H276" i="31"/>
  <c r="F276" i="31"/>
  <c r="E276" i="31"/>
  <c r="G275" i="31"/>
  <c r="D275" i="31"/>
  <c r="C275" i="31"/>
  <c r="B275" i="31"/>
  <c r="A275" i="31" s="1"/>
  <c r="G274" i="31"/>
  <c r="G276" i="31" s="1"/>
  <c r="D274" i="31"/>
  <c r="D276" i="31" s="1"/>
  <c r="C274" i="31"/>
  <c r="C276" i="31" s="1"/>
  <c r="B274" i="31"/>
  <c r="B276" i="31" s="1"/>
  <c r="I273" i="31"/>
  <c r="H273" i="31"/>
  <c r="F273" i="31"/>
  <c r="E273" i="31"/>
  <c r="G272" i="31"/>
  <c r="D272" i="31"/>
  <c r="C272" i="31"/>
  <c r="B272" i="31"/>
  <c r="A272" i="31"/>
  <c r="G271" i="31"/>
  <c r="D271" i="31"/>
  <c r="D273" i="31" s="1"/>
  <c r="C271" i="31"/>
  <c r="B271" i="31"/>
  <c r="A271" i="31" s="1"/>
  <c r="A273" i="31" s="1"/>
  <c r="I270" i="31"/>
  <c r="H270" i="31"/>
  <c r="H291" i="31" s="1"/>
  <c r="F270" i="31"/>
  <c r="E270" i="31"/>
  <c r="E291" i="31" s="1"/>
  <c r="G269" i="31"/>
  <c r="D269" i="31"/>
  <c r="D290" i="31" s="1"/>
  <c r="C269" i="31"/>
  <c r="B269" i="31"/>
  <c r="B290" i="31" s="1"/>
  <c r="G268" i="31"/>
  <c r="G289" i="31" s="1"/>
  <c r="D268" i="31"/>
  <c r="D270" i="31" s="1"/>
  <c r="D291" i="31" s="1"/>
  <c r="C268" i="31"/>
  <c r="C289" i="31" s="1"/>
  <c r="B268" i="31"/>
  <c r="B270" i="31" s="1"/>
  <c r="I262" i="31"/>
  <c r="H260" i="31"/>
  <c r="F260" i="31"/>
  <c r="E260" i="31"/>
  <c r="G259" i="31"/>
  <c r="D259" i="31"/>
  <c r="C259" i="31"/>
  <c r="B259" i="31"/>
  <c r="I258" i="31"/>
  <c r="G258" i="31" s="1"/>
  <c r="G260" i="31" s="1"/>
  <c r="D258" i="31"/>
  <c r="D260" i="31" s="1"/>
  <c r="B258" i="31"/>
  <c r="B260" i="31" s="1"/>
  <c r="I257" i="31"/>
  <c r="F257" i="31"/>
  <c r="E257" i="31"/>
  <c r="C257" i="31"/>
  <c r="G256" i="31"/>
  <c r="D256" i="31"/>
  <c r="C256" i="31"/>
  <c r="B256" i="31"/>
  <c r="A256" i="31" s="1"/>
  <c r="H255" i="31"/>
  <c r="H257" i="31" s="1"/>
  <c r="D255" i="31"/>
  <c r="D257" i="31" s="1"/>
  <c r="C255" i="31"/>
  <c r="B255" i="31"/>
  <c r="B257" i="31" s="1"/>
  <c r="I254" i="31"/>
  <c r="H254" i="31"/>
  <c r="F254" i="31"/>
  <c r="E254" i="31"/>
  <c r="G253" i="31"/>
  <c r="D253" i="31"/>
  <c r="C253" i="31"/>
  <c r="B253" i="31"/>
  <c r="A253" i="31" s="1"/>
  <c r="G252" i="31"/>
  <c r="G254" i="31" s="1"/>
  <c r="D252" i="31"/>
  <c r="D254" i="31" s="1"/>
  <c r="C252" i="31"/>
  <c r="C254" i="31" s="1"/>
  <c r="B252" i="31"/>
  <c r="B254" i="31" s="1"/>
  <c r="I251" i="31"/>
  <c r="H251" i="31"/>
  <c r="F251" i="31"/>
  <c r="E251" i="31"/>
  <c r="G250" i="31"/>
  <c r="D250" i="31"/>
  <c r="C250" i="31"/>
  <c r="B250" i="31"/>
  <c r="A250" i="31"/>
  <c r="G249" i="31"/>
  <c r="D249" i="31"/>
  <c r="D251" i="31" s="1"/>
  <c r="C249" i="31"/>
  <c r="B249" i="31"/>
  <c r="A249" i="31" s="1"/>
  <c r="A251" i="31" s="1"/>
  <c r="I248" i="31"/>
  <c r="F248" i="31"/>
  <c r="E248" i="31"/>
  <c r="C248" i="31"/>
  <c r="G247" i="31"/>
  <c r="D247" i="31"/>
  <c r="C247" i="31"/>
  <c r="B247" i="31"/>
  <c r="A247" i="31" s="1"/>
  <c r="H246" i="31"/>
  <c r="H248" i="31" s="1"/>
  <c r="D246" i="31"/>
  <c r="D248" i="31" s="1"/>
  <c r="C246" i="31"/>
  <c r="B246" i="31"/>
  <c r="B248" i="31" s="1"/>
  <c r="I245" i="31"/>
  <c r="H245" i="31"/>
  <c r="F245" i="31"/>
  <c r="E245" i="31"/>
  <c r="G244" i="31"/>
  <c r="D244" i="31"/>
  <c r="C244" i="31"/>
  <c r="B244" i="31"/>
  <c r="A244" i="31" s="1"/>
  <c r="G243" i="31"/>
  <c r="G245" i="31" s="1"/>
  <c r="D243" i="31"/>
  <c r="D245" i="31" s="1"/>
  <c r="C243" i="31"/>
  <c r="C245" i="31" s="1"/>
  <c r="B243" i="31"/>
  <c r="B245" i="31" s="1"/>
  <c r="I242" i="31"/>
  <c r="H242" i="31"/>
  <c r="F242" i="31"/>
  <c r="E242" i="31"/>
  <c r="G241" i="31"/>
  <c r="D241" i="31"/>
  <c r="C241" i="31"/>
  <c r="B241" i="31"/>
  <c r="A241" i="31"/>
  <c r="G240" i="31"/>
  <c r="D240" i="31"/>
  <c r="D242" i="31" s="1"/>
  <c r="C240" i="31"/>
  <c r="B240" i="31"/>
  <c r="A240" i="31" s="1"/>
  <c r="A242" i="31" s="1"/>
  <c r="H238" i="31"/>
  <c r="H262" i="31" s="1"/>
  <c r="F238" i="31"/>
  <c r="F262" i="31" s="1"/>
  <c r="E238" i="31"/>
  <c r="C238" i="31"/>
  <c r="I237" i="31"/>
  <c r="I239" i="31" s="1"/>
  <c r="H237" i="31"/>
  <c r="H239" i="31" s="1"/>
  <c r="D237" i="31"/>
  <c r="C237" i="31"/>
  <c r="I236" i="31"/>
  <c r="H236" i="31"/>
  <c r="F236" i="31"/>
  <c r="E236" i="31"/>
  <c r="G235" i="31"/>
  <c r="D235" i="31"/>
  <c r="C235" i="31"/>
  <c r="B235" i="31"/>
  <c r="G234" i="31"/>
  <c r="G236" i="31" s="1"/>
  <c r="D234" i="31"/>
  <c r="D236" i="31" s="1"/>
  <c r="C234" i="31"/>
  <c r="C236" i="31" s="1"/>
  <c r="B234" i="31"/>
  <c r="B236" i="31" s="1"/>
  <c r="A234" i="31"/>
  <c r="F233" i="31"/>
  <c r="E233" i="31"/>
  <c r="G232" i="31"/>
  <c r="D232" i="31"/>
  <c r="C232" i="31"/>
  <c r="B232" i="31"/>
  <c r="A232" i="31" s="1"/>
  <c r="I231" i="31"/>
  <c r="I233" i="31" s="1"/>
  <c r="H231" i="31"/>
  <c r="D231" i="31"/>
  <c r="D233" i="31" s="1"/>
  <c r="B231" i="31"/>
  <c r="I230" i="31"/>
  <c r="F230" i="31"/>
  <c r="E230" i="31"/>
  <c r="C230" i="31"/>
  <c r="G229" i="31"/>
  <c r="D229" i="31"/>
  <c r="C229" i="31"/>
  <c r="B229" i="31"/>
  <c r="A229" i="31" s="1"/>
  <c r="H228" i="31"/>
  <c r="H230" i="31" s="1"/>
  <c r="D228" i="31"/>
  <c r="D230" i="31" s="1"/>
  <c r="C228" i="31"/>
  <c r="B228" i="31"/>
  <c r="B230" i="31" s="1"/>
  <c r="H227" i="31"/>
  <c r="F227" i="31"/>
  <c r="E227" i="31"/>
  <c r="G226" i="31"/>
  <c r="D226" i="31"/>
  <c r="C226" i="31"/>
  <c r="B226" i="31"/>
  <c r="I225" i="31"/>
  <c r="G225" i="31" s="1"/>
  <c r="G227" i="31" s="1"/>
  <c r="D225" i="31"/>
  <c r="D227" i="31" s="1"/>
  <c r="B225" i="31"/>
  <c r="B227" i="31" s="1"/>
  <c r="H224" i="31"/>
  <c r="F224" i="31"/>
  <c r="E224" i="31"/>
  <c r="G223" i="31"/>
  <c r="D223" i="31"/>
  <c r="C223" i="31"/>
  <c r="B223" i="31"/>
  <c r="I222" i="31"/>
  <c r="G222" i="31" s="1"/>
  <c r="G224" i="31" s="1"/>
  <c r="D222" i="31"/>
  <c r="D224" i="31" s="1"/>
  <c r="B222" i="31"/>
  <c r="B224" i="31" s="1"/>
  <c r="H221" i="31"/>
  <c r="F221" i="31"/>
  <c r="E221" i="31"/>
  <c r="G220" i="31"/>
  <c r="D220" i="31"/>
  <c r="C220" i="31"/>
  <c r="B220" i="31"/>
  <c r="I219" i="31"/>
  <c r="G219" i="31" s="1"/>
  <c r="G221" i="31" s="1"/>
  <c r="D219" i="31"/>
  <c r="D221" i="31" s="1"/>
  <c r="B219" i="31"/>
  <c r="B221" i="31" s="1"/>
  <c r="H218" i="31"/>
  <c r="F218" i="31"/>
  <c r="E218" i="31"/>
  <c r="G217" i="31"/>
  <c r="D217" i="31"/>
  <c r="C217" i="31"/>
  <c r="B217" i="31"/>
  <c r="I216" i="31"/>
  <c r="G216" i="31" s="1"/>
  <c r="G218" i="31" s="1"/>
  <c r="D216" i="31"/>
  <c r="D218" i="31" s="1"/>
  <c r="B216" i="31"/>
  <c r="B218" i="31" s="1"/>
  <c r="F215" i="31"/>
  <c r="G214" i="31"/>
  <c r="D214" i="31"/>
  <c r="C214" i="31"/>
  <c r="B214" i="31"/>
  <c r="A214" i="31" s="1"/>
  <c r="I213" i="31"/>
  <c r="C213" i="31" s="1"/>
  <c r="C215" i="31" s="1"/>
  <c r="H213" i="31"/>
  <c r="H215" i="31" s="1"/>
  <c r="E213" i="31"/>
  <c r="E215" i="31" s="1"/>
  <c r="B213" i="31"/>
  <c r="B215" i="31" s="1"/>
  <c r="H212" i="31"/>
  <c r="E212" i="31"/>
  <c r="G211" i="31"/>
  <c r="D211" i="31"/>
  <c r="C211" i="31"/>
  <c r="B211" i="31"/>
  <c r="A211" i="31" s="1"/>
  <c r="I210" i="31"/>
  <c r="G210" i="31" s="1"/>
  <c r="G212" i="31" s="1"/>
  <c r="F210" i="31"/>
  <c r="F212" i="31" s="1"/>
  <c r="B210" i="31"/>
  <c r="B212" i="31" s="1"/>
  <c r="F209" i="31"/>
  <c r="E209" i="31"/>
  <c r="G208" i="31"/>
  <c r="D208" i="31"/>
  <c r="C208" i="31"/>
  <c r="B208" i="31"/>
  <c r="A208" i="31"/>
  <c r="I207" i="31"/>
  <c r="I209" i="31" s="1"/>
  <c r="H207" i="31"/>
  <c r="G207" i="31" s="1"/>
  <c r="G209" i="31" s="1"/>
  <c r="D207" i="31"/>
  <c r="D209" i="31" s="1"/>
  <c r="C207" i="31"/>
  <c r="C209" i="31" s="1"/>
  <c r="H206" i="31"/>
  <c r="F206" i="31"/>
  <c r="E206" i="31"/>
  <c r="G205" i="31"/>
  <c r="D205" i="31"/>
  <c r="C205" i="31"/>
  <c r="B205" i="31"/>
  <c r="A205" i="31" s="1"/>
  <c r="I204" i="31"/>
  <c r="G204" i="31" s="1"/>
  <c r="G206" i="31" s="1"/>
  <c r="D204" i="31"/>
  <c r="D206" i="31" s="1"/>
  <c r="B204" i="31"/>
  <c r="F203" i="31"/>
  <c r="E203" i="31"/>
  <c r="G202" i="31"/>
  <c r="D202" i="31"/>
  <c r="C202" i="31"/>
  <c r="B202" i="31"/>
  <c r="I201" i="31"/>
  <c r="I203" i="31" s="1"/>
  <c r="H201" i="31"/>
  <c r="H203" i="31" s="1"/>
  <c r="G201" i="31"/>
  <c r="G203" i="31" s="1"/>
  <c r="D201" i="31"/>
  <c r="D203" i="31" s="1"/>
  <c r="C201" i="31"/>
  <c r="C203" i="31" s="1"/>
  <c r="B201" i="31"/>
  <c r="B203" i="31" s="1"/>
  <c r="A201" i="31"/>
  <c r="F200" i="31"/>
  <c r="G199" i="31"/>
  <c r="D199" i="31"/>
  <c r="C199" i="31"/>
  <c r="C262" i="31" s="1"/>
  <c r="B199" i="31"/>
  <c r="A199" i="31"/>
  <c r="I198" i="31"/>
  <c r="H198" i="31"/>
  <c r="G198" i="31" s="1"/>
  <c r="E198" i="31"/>
  <c r="C198" i="31"/>
  <c r="I192" i="31"/>
  <c r="H192" i="31"/>
  <c r="F192" i="31"/>
  <c r="E192" i="31"/>
  <c r="H191" i="31"/>
  <c r="F191" i="31"/>
  <c r="E191" i="31"/>
  <c r="I190" i="31"/>
  <c r="H190" i="31"/>
  <c r="F190" i="31"/>
  <c r="E190" i="31"/>
  <c r="G189" i="31"/>
  <c r="D189" i="31"/>
  <c r="C189" i="31"/>
  <c r="B189" i="31"/>
  <c r="G188" i="31"/>
  <c r="G190" i="31" s="1"/>
  <c r="D188" i="31"/>
  <c r="D190" i="31" s="1"/>
  <c r="C188" i="31"/>
  <c r="C190" i="31" s="1"/>
  <c r="B188" i="31"/>
  <c r="B190" i="31" s="1"/>
  <c r="A188" i="31"/>
  <c r="I187" i="31"/>
  <c r="H187" i="31"/>
  <c r="F187" i="31"/>
  <c r="E187" i="31"/>
  <c r="G186" i="31"/>
  <c r="D186" i="31"/>
  <c r="C186" i="31"/>
  <c r="B186" i="31"/>
  <c r="A186" i="31" s="1"/>
  <c r="G185" i="31"/>
  <c r="G187" i="31" s="1"/>
  <c r="D185" i="31"/>
  <c r="C185" i="31"/>
  <c r="C187" i="31" s="1"/>
  <c r="B185" i="31"/>
  <c r="I184" i="31"/>
  <c r="H184" i="31"/>
  <c r="F184" i="31"/>
  <c r="E184" i="31"/>
  <c r="G183" i="31"/>
  <c r="D183" i="31"/>
  <c r="C183" i="31"/>
  <c r="B183" i="31"/>
  <c r="G182" i="31"/>
  <c r="G184" i="31" s="1"/>
  <c r="D182" i="31"/>
  <c r="D184" i="31" s="1"/>
  <c r="C182" i="31"/>
  <c r="C184" i="31" s="1"/>
  <c r="B182" i="31"/>
  <c r="B184" i="31" s="1"/>
  <c r="A182" i="31"/>
  <c r="I181" i="31"/>
  <c r="H181" i="31"/>
  <c r="F181" i="31"/>
  <c r="E181" i="31"/>
  <c r="G180" i="31"/>
  <c r="D180" i="31"/>
  <c r="C180" i="31"/>
  <c r="B180" i="31"/>
  <c r="A180" i="31" s="1"/>
  <c r="G179" i="31"/>
  <c r="G181" i="31" s="1"/>
  <c r="D179" i="31"/>
  <c r="C179" i="31"/>
  <c r="C181" i="31" s="1"/>
  <c r="B179" i="31"/>
  <c r="I178" i="31"/>
  <c r="H178" i="31"/>
  <c r="F178" i="31"/>
  <c r="E178" i="31"/>
  <c r="G177" i="31"/>
  <c r="D177" i="31"/>
  <c r="C177" i="31"/>
  <c r="B177" i="31"/>
  <c r="G176" i="31"/>
  <c r="G178" i="31" s="1"/>
  <c r="D176" i="31"/>
  <c r="D178" i="31" s="1"/>
  <c r="C176" i="31"/>
  <c r="C178" i="31" s="1"/>
  <c r="B176" i="31"/>
  <c r="B178" i="31" s="1"/>
  <c r="A176" i="31"/>
  <c r="I175" i="31"/>
  <c r="H175" i="31"/>
  <c r="F175" i="31"/>
  <c r="E175" i="31"/>
  <c r="G174" i="31"/>
  <c r="D174" i="31"/>
  <c r="C174" i="31"/>
  <c r="B174" i="31"/>
  <c r="A174" i="31" s="1"/>
  <c r="G173" i="31"/>
  <c r="G175" i="31" s="1"/>
  <c r="D173" i="31"/>
  <c r="C173" i="31"/>
  <c r="C175" i="31" s="1"/>
  <c r="B173" i="31"/>
  <c r="I172" i="31"/>
  <c r="H172" i="31"/>
  <c r="F172" i="31"/>
  <c r="E172" i="31"/>
  <c r="G171" i="31"/>
  <c r="D171" i="31"/>
  <c r="C171" i="31"/>
  <c r="B171" i="31"/>
  <c r="G170" i="31"/>
  <c r="G172" i="31" s="1"/>
  <c r="D170" i="31"/>
  <c r="D172" i="31" s="1"/>
  <c r="C170" i="31"/>
  <c r="C172" i="31" s="1"/>
  <c r="B170" i="31"/>
  <c r="B172" i="31" s="1"/>
  <c r="A170" i="31"/>
  <c r="I169" i="31"/>
  <c r="H169" i="31"/>
  <c r="F169" i="31"/>
  <c r="E169" i="31"/>
  <c r="G168" i="31"/>
  <c r="D168" i="31"/>
  <c r="C168" i="31"/>
  <c r="B168" i="31"/>
  <c r="A168" i="31" s="1"/>
  <c r="G167" i="31"/>
  <c r="G169" i="31" s="1"/>
  <c r="D167" i="31"/>
  <c r="C167" i="31"/>
  <c r="C169" i="31" s="1"/>
  <c r="B167" i="31"/>
  <c r="I166" i="31"/>
  <c r="H166" i="31"/>
  <c r="F166" i="31"/>
  <c r="E166" i="31"/>
  <c r="G165" i="31"/>
  <c r="D165" i="31"/>
  <c r="C165" i="31"/>
  <c r="B165" i="31"/>
  <c r="G164" i="31"/>
  <c r="G166" i="31" s="1"/>
  <c r="D164" i="31"/>
  <c r="D166" i="31" s="1"/>
  <c r="C164" i="31"/>
  <c r="C166" i="31" s="1"/>
  <c r="B164" i="31"/>
  <c r="B166" i="31" s="1"/>
  <c r="A164" i="31"/>
  <c r="I163" i="31"/>
  <c r="H163" i="31"/>
  <c r="F163" i="31"/>
  <c r="E163" i="31"/>
  <c r="G162" i="31"/>
  <c r="D162" i="31"/>
  <c r="C162" i="31"/>
  <c r="B162" i="31"/>
  <c r="A162" i="31" s="1"/>
  <c r="G161" i="31"/>
  <c r="G163" i="31" s="1"/>
  <c r="D161" i="31"/>
  <c r="C161" i="31"/>
  <c r="C163" i="31" s="1"/>
  <c r="B161" i="31"/>
  <c r="I160" i="31"/>
  <c r="H160" i="31"/>
  <c r="F160" i="31"/>
  <c r="E160" i="31"/>
  <c r="G159" i="31"/>
  <c r="D159" i="31"/>
  <c r="C159" i="31"/>
  <c r="B159" i="31"/>
  <c r="G158" i="31"/>
  <c r="G160" i="31" s="1"/>
  <c r="D158" i="31"/>
  <c r="D160" i="31" s="1"/>
  <c r="C158" i="31"/>
  <c r="C160" i="31" s="1"/>
  <c r="B158" i="31"/>
  <c r="B160" i="31" s="1"/>
  <c r="A158" i="31"/>
  <c r="I157" i="31"/>
  <c r="H157" i="31"/>
  <c r="F157" i="31"/>
  <c r="E157" i="31"/>
  <c r="G156" i="31"/>
  <c r="D156" i="31"/>
  <c r="C156" i="31"/>
  <c r="B156" i="31"/>
  <c r="A156" i="31" s="1"/>
  <c r="G155" i="31"/>
  <c r="G157" i="31" s="1"/>
  <c r="D155" i="31"/>
  <c r="C155" i="31"/>
  <c r="C157" i="31" s="1"/>
  <c r="B155" i="31"/>
  <c r="I154" i="31"/>
  <c r="H154" i="31"/>
  <c r="F154" i="31"/>
  <c r="E154" i="31"/>
  <c r="G153" i="31"/>
  <c r="D153" i="31"/>
  <c r="C153" i="31"/>
  <c r="B153" i="31"/>
  <c r="G152" i="31"/>
  <c r="G154" i="31" s="1"/>
  <c r="D152" i="31"/>
  <c r="D154" i="31" s="1"/>
  <c r="C152" i="31"/>
  <c r="C154" i="31" s="1"/>
  <c r="B152" i="31"/>
  <c r="B154" i="31" s="1"/>
  <c r="A152" i="31"/>
  <c r="I151" i="31"/>
  <c r="H151" i="31"/>
  <c r="F151" i="31"/>
  <c r="E151" i="31"/>
  <c r="G150" i="31"/>
  <c r="D150" i="31"/>
  <c r="C150" i="31"/>
  <c r="B150" i="31"/>
  <c r="A150" i="31" s="1"/>
  <c r="G149" i="31"/>
  <c r="G151" i="31" s="1"/>
  <c r="D149" i="31"/>
  <c r="C149" i="31"/>
  <c r="C151" i="31" s="1"/>
  <c r="B149" i="31"/>
  <c r="I148" i="31"/>
  <c r="H148" i="31"/>
  <c r="F148" i="31"/>
  <c r="E148" i="31"/>
  <c r="G147" i="31"/>
  <c r="D147" i="31"/>
  <c r="C147" i="31"/>
  <c r="B147" i="31"/>
  <c r="G146" i="31"/>
  <c r="G148" i="31" s="1"/>
  <c r="D146" i="31"/>
  <c r="D148" i="31" s="1"/>
  <c r="C146" i="31"/>
  <c r="C148" i="31" s="1"/>
  <c r="B146" i="31"/>
  <c r="B148" i="31" s="1"/>
  <c r="A146" i="31"/>
  <c r="I145" i="31"/>
  <c r="H145" i="31"/>
  <c r="F145" i="31"/>
  <c r="E145" i="31"/>
  <c r="G144" i="31"/>
  <c r="D144" i="31"/>
  <c r="C144" i="31"/>
  <c r="B144" i="31"/>
  <c r="A144" i="31" s="1"/>
  <c r="G143" i="31"/>
  <c r="G145" i="31" s="1"/>
  <c r="D143" i="31"/>
  <c r="C143" i="31"/>
  <c r="C145" i="31" s="1"/>
  <c r="B143" i="31"/>
  <c r="I142" i="31"/>
  <c r="H142" i="31"/>
  <c r="F142" i="31"/>
  <c r="E142" i="31"/>
  <c r="G141" i="31"/>
  <c r="D141" i="31"/>
  <c r="C141" i="31"/>
  <c r="B141" i="31"/>
  <c r="G140" i="31"/>
  <c r="G142" i="31" s="1"/>
  <c r="D140" i="31"/>
  <c r="D142" i="31" s="1"/>
  <c r="C140" i="31"/>
  <c r="C142" i="31" s="1"/>
  <c r="B140" i="31"/>
  <c r="B142" i="31" s="1"/>
  <c r="A140" i="31"/>
  <c r="I139" i="31"/>
  <c r="H139" i="31"/>
  <c r="F139" i="31"/>
  <c r="E139" i="31"/>
  <c r="G138" i="31"/>
  <c r="D138" i="31"/>
  <c r="C138" i="31"/>
  <c r="B138" i="31"/>
  <c r="A138" i="31" s="1"/>
  <c r="G137" i="31"/>
  <c r="G139" i="31" s="1"/>
  <c r="D137" i="31"/>
  <c r="C137" i="31"/>
  <c r="C139" i="31" s="1"/>
  <c r="B137" i="31"/>
  <c r="I136" i="31"/>
  <c r="H136" i="31"/>
  <c r="F136" i="31"/>
  <c r="E136" i="31"/>
  <c r="G135" i="31"/>
  <c r="D135" i="31"/>
  <c r="C135" i="31"/>
  <c r="B135" i="31"/>
  <c r="G134" i="31"/>
  <c r="G136" i="31" s="1"/>
  <c r="D134" i="31"/>
  <c r="D136" i="31" s="1"/>
  <c r="C134" i="31"/>
  <c r="C136" i="31" s="1"/>
  <c r="B134" i="31"/>
  <c r="B136" i="31" s="1"/>
  <c r="A134" i="31"/>
  <c r="I133" i="31"/>
  <c r="H133" i="31"/>
  <c r="F133" i="31"/>
  <c r="E133" i="31"/>
  <c r="G132" i="31"/>
  <c r="D132" i="31"/>
  <c r="C132" i="31"/>
  <c r="B132" i="31"/>
  <c r="A132" i="31" s="1"/>
  <c r="G131" i="31"/>
  <c r="G133" i="31" s="1"/>
  <c r="D131" i="31"/>
  <c r="C131" i="31"/>
  <c r="C133" i="31" s="1"/>
  <c r="B131" i="31"/>
  <c r="I130" i="31"/>
  <c r="H130" i="31"/>
  <c r="F130" i="31"/>
  <c r="E130" i="31"/>
  <c r="G129" i="31"/>
  <c r="D129" i="31"/>
  <c r="C129" i="31"/>
  <c r="B129" i="31"/>
  <c r="G128" i="31"/>
  <c r="G130" i="31" s="1"/>
  <c r="D128" i="31"/>
  <c r="D130" i="31" s="1"/>
  <c r="C128" i="31"/>
  <c r="C130" i="31" s="1"/>
  <c r="B128" i="31"/>
  <c r="B130" i="31" s="1"/>
  <c r="A128" i="31"/>
  <c r="H127" i="31"/>
  <c r="F127" i="31"/>
  <c r="E127" i="31"/>
  <c r="D127" i="31"/>
  <c r="G126" i="31"/>
  <c r="D126" i="31"/>
  <c r="C126" i="31"/>
  <c r="B126" i="31"/>
  <c r="A126" i="31"/>
  <c r="I125" i="31"/>
  <c r="I127" i="31" s="1"/>
  <c r="G125" i="31"/>
  <c r="G127" i="31" s="1"/>
  <c r="D125" i="31"/>
  <c r="C125" i="31"/>
  <c r="C127" i="31" s="1"/>
  <c r="B125" i="31"/>
  <c r="B127" i="31" s="1"/>
  <c r="A125" i="31"/>
  <c r="A127" i="31" s="1"/>
  <c r="H124" i="31"/>
  <c r="F124" i="31"/>
  <c r="E124" i="31"/>
  <c r="D124" i="31"/>
  <c r="G123" i="31"/>
  <c r="D123" i="31"/>
  <c r="C123" i="31"/>
  <c r="B123" i="31"/>
  <c r="A123" i="31"/>
  <c r="I122" i="31"/>
  <c r="I124" i="31" s="1"/>
  <c r="G122" i="31"/>
  <c r="G124" i="31" s="1"/>
  <c r="D122" i="31"/>
  <c r="C122" i="31"/>
  <c r="C124" i="31" s="1"/>
  <c r="B122" i="31"/>
  <c r="B124" i="31" s="1"/>
  <c r="A122" i="31"/>
  <c r="A124" i="31" s="1"/>
  <c r="H121" i="31"/>
  <c r="F121" i="31"/>
  <c r="F193" i="31" s="1"/>
  <c r="E121" i="31"/>
  <c r="D121" i="31"/>
  <c r="G120" i="31"/>
  <c r="G192" i="31" s="1"/>
  <c r="D120" i="31"/>
  <c r="C120" i="31"/>
  <c r="C192" i="31" s="1"/>
  <c r="B120" i="31"/>
  <c r="A120" i="31"/>
  <c r="I119" i="31"/>
  <c r="I191" i="31" s="1"/>
  <c r="G119" i="31"/>
  <c r="G191" i="31" s="1"/>
  <c r="D119" i="31"/>
  <c r="D191" i="31" s="1"/>
  <c r="C119" i="31"/>
  <c r="C191" i="31" s="1"/>
  <c r="B119" i="31"/>
  <c r="B191" i="31" s="1"/>
  <c r="A119" i="31"/>
  <c r="I113" i="31"/>
  <c r="H113" i="31"/>
  <c r="F113" i="31"/>
  <c r="E113" i="31"/>
  <c r="F112" i="31"/>
  <c r="E112" i="31"/>
  <c r="I111" i="31"/>
  <c r="H111" i="31"/>
  <c r="F111" i="31"/>
  <c r="E111" i="31"/>
  <c r="G110" i="31"/>
  <c r="D110" i="31"/>
  <c r="C110" i="31"/>
  <c r="B110" i="31"/>
  <c r="A110" i="31" s="1"/>
  <c r="G109" i="31"/>
  <c r="G111" i="31" s="1"/>
  <c r="D109" i="31"/>
  <c r="D111" i="31" s="1"/>
  <c r="C109" i="31"/>
  <c r="C111" i="31" s="1"/>
  <c r="B109" i="31"/>
  <c r="B111" i="31" s="1"/>
  <c r="I108" i="31"/>
  <c r="H108" i="31"/>
  <c r="F108" i="31"/>
  <c r="E108" i="31"/>
  <c r="G107" i="31"/>
  <c r="D107" i="31"/>
  <c r="C107" i="31"/>
  <c r="B107" i="31"/>
  <c r="A107" i="31"/>
  <c r="G106" i="31"/>
  <c r="D106" i="31"/>
  <c r="D108" i="31" s="1"/>
  <c r="C106" i="31"/>
  <c r="B106" i="31"/>
  <c r="A106" i="31" s="1"/>
  <c r="A108" i="31" s="1"/>
  <c r="I105" i="31"/>
  <c r="H105" i="31"/>
  <c r="F105" i="31"/>
  <c r="E105" i="31"/>
  <c r="G104" i="31"/>
  <c r="D104" i="31"/>
  <c r="C104" i="31"/>
  <c r="B104" i="31"/>
  <c r="A104" i="31" s="1"/>
  <c r="G103" i="31"/>
  <c r="G105" i="31" s="1"/>
  <c r="D103" i="31"/>
  <c r="D105" i="31" s="1"/>
  <c r="C103" i="31"/>
  <c r="C105" i="31" s="1"/>
  <c r="B103" i="31"/>
  <c r="B105" i="31" s="1"/>
  <c r="I102" i="31"/>
  <c r="H102" i="31"/>
  <c r="F102" i="31"/>
  <c r="E102" i="31"/>
  <c r="G101" i="31"/>
  <c r="D101" i="31"/>
  <c r="C101" i="31"/>
  <c r="B101" i="31"/>
  <c r="A101" i="31"/>
  <c r="G100" i="31"/>
  <c r="D100" i="31"/>
  <c r="D102" i="31" s="1"/>
  <c r="C100" i="31"/>
  <c r="B100" i="31"/>
  <c r="A100" i="31" s="1"/>
  <c r="A102" i="31" s="1"/>
  <c r="H99" i="31"/>
  <c r="F99" i="31"/>
  <c r="E99" i="31"/>
  <c r="G98" i="31"/>
  <c r="D98" i="31"/>
  <c r="C98" i="31"/>
  <c r="B98" i="31"/>
  <c r="I97" i="31"/>
  <c r="G97" i="31" s="1"/>
  <c r="G99" i="31" s="1"/>
  <c r="D97" i="31"/>
  <c r="D99" i="31" s="1"/>
  <c r="B97" i="31"/>
  <c r="B99" i="31" s="1"/>
  <c r="H96" i="31"/>
  <c r="F96" i="31"/>
  <c r="E96" i="31"/>
  <c r="G95" i="31"/>
  <c r="D95" i="31"/>
  <c r="C95" i="31"/>
  <c r="B95" i="31"/>
  <c r="I94" i="31"/>
  <c r="G94" i="31" s="1"/>
  <c r="G96" i="31" s="1"/>
  <c r="D94" i="31"/>
  <c r="D96" i="31" s="1"/>
  <c r="B94" i="31"/>
  <c r="B96" i="31" s="1"/>
  <c r="H93" i="31"/>
  <c r="F93" i="31"/>
  <c r="E93" i="31"/>
  <c r="G92" i="31"/>
  <c r="D92" i="31"/>
  <c r="C92" i="31"/>
  <c r="B92" i="31"/>
  <c r="I91" i="31"/>
  <c r="G91" i="31" s="1"/>
  <c r="G93" i="31" s="1"/>
  <c r="D91" i="31"/>
  <c r="D93" i="31" s="1"/>
  <c r="B91" i="31"/>
  <c r="B93" i="31" s="1"/>
  <c r="F90" i="31"/>
  <c r="E90" i="31"/>
  <c r="G89" i="31"/>
  <c r="D89" i="31"/>
  <c r="C89" i="31"/>
  <c r="B89" i="31"/>
  <c r="A89" i="31" s="1"/>
  <c r="I88" i="31"/>
  <c r="I90" i="31" s="1"/>
  <c r="H88" i="31"/>
  <c r="H90" i="31" s="1"/>
  <c r="D88" i="31"/>
  <c r="D90" i="31" s="1"/>
  <c r="C88" i="31"/>
  <c r="C90" i="31" s="1"/>
  <c r="B88" i="31"/>
  <c r="B90" i="31" s="1"/>
  <c r="F87" i="31"/>
  <c r="E87" i="31"/>
  <c r="G86" i="31"/>
  <c r="D86" i="31"/>
  <c r="C86" i="31"/>
  <c r="B86" i="31"/>
  <c r="A86" i="31"/>
  <c r="I85" i="31"/>
  <c r="I87" i="31" s="1"/>
  <c r="H85" i="31"/>
  <c r="G85" i="31" s="1"/>
  <c r="G87" i="31" s="1"/>
  <c r="D85" i="31"/>
  <c r="D87" i="31" s="1"/>
  <c r="C85" i="31"/>
  <c r="C87" i="31" s="1"/>
  <c r="H84" i="31"/>
  <c r="F84" i="31"/>
  <c r="E84" i="31"/>
  <c r="E114" i="31" s="1"/>
  <c r="G83" i="31"/>
  <c r="D83" i="31"/>
  <c r="D113" i="31" s="1"/>
  <c r="C83" i="31"/>
  <c r="B83" i="31"/>
  <c r="B113" i="31" s="1"/>
  <c r="I82" i="31"/>
  <c r="D82" i="31"/>
  <c r="D84" i="31" s="1"/>
  <c r="D114" i="31" s="1"/>
  <c r="B82" i="31"/>
  <c r="I76" i="31"/>
  <c r="H76" i="31"/>
  <c r="F76" i="31"/>
  <c r="E76" i="31"/>
  <c r="H75" i="31"/>
  <c r="E75" i="31"/>
  <c r="H74" i="31"/>
  <c r="F74" i="31"/>
  <c r="E74" i="31"/>
  <c r="G73" i="31"/>
  <c r="D73" i="31"/>
  <c r="C73" i="31"/>
  <c r="B73" i="31"/>
  <c r="A73" i="31" s="1"/>
  <c r="I72" i="31"/>
  <c r="I74" i="31" s="1"/>
  <c r="D72" i="31"/>
  <c r="D74" i="31" s="1"/>
  <c r="B72" i="31"/>
  <c r="B74" i="31" s="1"/>
  <c r="I71" i="31"/>
  <c r="H71" i="31"/>
  <c r="F71" i="31"/>
  <c r="E71" i="31"/>
  <c r="G70" i="31"/>
  <c r="D70" i="31"/>
  <c r="C70" i="31"/>
  <c r="B70" i="31"/>
  <c r="A70" i="31"/>
  <c r="G69" i="31"/>
  <c r="D69" i="31"/>
  <c r="D71" i="31" s="1"/>
  <c r="C69" i="31"/>
  <c r="B69" i="31"/>
  <c r="A69" i="31" s="1"/>
  <c r="A71" i="31" s="1"/>
  <c r="H68" i="31"/>
  <c r="E68" i="31"/>
  <c r="G67" i="31"/>
  <c r="D67" i="31"/>
  <c r="C67" i="31"/>
  <c r="B67" i="31"/>
  <c r="A67" i="31" s="1"/>
  <c r="I66" i="31"/>
  <c r="G66" i="31" s="1"/>
  <c r="G68" i="31" s="1"/>
  <c r="F66" i="31"/>
  <c r="F68" i="31" s="1"/>
  <c r="B66" i="31"/>
  <c r="B68" i="31" s="1"/>
  <c r="H65" i="31"/>
  <c r="E65" i="31"/>
  <c r="G64" i="31"/>
  <c r="D64" i="31"/>
  <c r="C64" i="31"/>
  <c r="B64" i="31"/>
  <c r="A64" i="31" s="1"/>
  <c r="I63" i="31"/>
  <c r="I65" i="31" s="1"/>
  <c r="F63" i="31"/>
  <c r="F75" i="31" s="1"/>
  <c r="C63" i="31"/>
  <c r="C65" i="31" s="1"/>
  <c r="B63" i="31"/>
  <c r="H62" i="31"/>
  <c r="H77" i="31" s="1"/>
  <c r="F62" i="31"/>
  <c r="E62" i="31"/>
  <c r="E77" i="31" s="1"/>
  <c r="G61" i="31"/>
  <c r="D61" i="31"/>
  <c r="D76" i="31" s="1"/>
  <c r="C61" i="31"/>
  <c r="B61" i="31"/>
  <c r="A61" i="31" s="1"/>
  <c r="I60" i="31"/>
  <c r="G60" i="31" s="1"/>
  <c r="D60" i="31"/>
  <c r="B60" i="31"/>
  <c r="I54" i="31"/>
  <c r="H54" i="31"/>
  <c r="F54" i="31"/>
  <c r="E54" i="31"/>
  <c r="I53" i="31"/>
  <c r="H53" i="31"/>
  <c r="F53" i="31"/>
  <c r="E53" i="31"/>
  <c r="I52" i="31"/>
  <c r="H52" i="31"/>
  <c r="F52" i="31"/>
  <c r="E52" i="31"/>
  <c r="G51" i="31"/>
  <c r="D51" i="31"/>
  <c r="C51" i="31"/>
  <c r="B51" i="31"/>
  <c r="A51" i="31"/>
  <c r="G50" i="31"/>
  <c r="D50" i="31"/>
  <c r="A50" i="31" s="1"/>
  <c r="A52" i="31" s="1"/>
  <c r="C50" i="31"/>
  <c r="B50" i="31"/>
  <c r="B52" i="31" s="1"/>
  <c r="I49" i="31"/>
  <c r="H49" i="31"/>
  <c r="F49" i="31"/>
  <c r="E49" i="31"/>
  <c r="G48" i="31"/>
  <c r="D48" i="31"/>
  <c r="A48" i="31" s="1"/>
  <c r="C48" i="31"/>
  <c r="B48" i="31"/>
  <c r="G47" i="31"/>
  <c r="G49" i="31" s="1"/>
  <c r="D47" i="31"/>
  <c r="D49" i="31" s="1"/>
  <c r="C47" i="31"/>
  <c r="C49" i="31" s="1"/>
  <c r="B47" i="31"/>
  <c r="B49" i="31" s="1"/>
  <c r="I46" i="31"/>
  <c r="H46" i="31"/>
  <c r="F46" i="31"/>
  <c r="E46" i="31"/>
  <c r="G45" i="31"/>
  <c r="D45" i="31"/>
  <c r="C45" i="31"/>
  <c r="B45" i="31"/>
  <c r="A45" i="31"/>
  <c r="G44" i="31"/>
  <c r="D44" i="31"/>
  <c r="A44" i="31" s="1"/>
  <c r="A46" i="31" s="1"/>
  <c r="C44" i="31"/>
  <c r="B44" i="31"/>
  <c r="B46" i="31" s="1"/>
  <c r="I43" i="31"/>
  <c r="H43" i="31"/>
  <c r="F43" i="31"/>
  <c r="E43" i="31"/>
  <c r="G42" i="31"/>
  <c r="D42" i="31"/>
  <c r="A42" i="31" s="1"/>
  <c r="C42" i="31"/>
  <c r="B42" i="31"/>
  <c r="G41" i="31"/>
  <c r="G43" i="31" s="1"/>
  <c r="D41" i="31"/>
  <c r="D43" i="31" s="1"/>
  <c r="C41" i="31"/>
  <c r="C43" i="31" s="1"/>
  <c r="B41" i="31"/>
  <c r="B43" i="31" s="1"/>
  <c r="I40" i="31"/>
  <c r="H40" i="31"/>
  <c r="F40" i="31"/>
  <c r="C40" i="31" s="1"/>
  <c r="E40" i="31"/>
  <c r="B40" i="31"/>
  <c r="G39" i="31"/>
  <c r="D39" i="31"/>
  <c r="A39" i="31" s="1"/>
  <c r="C39" i="31"/>
  <c r="B39" i="31"/>
  <c r="G38" i="31"/>
  <c r="G40" i="31" s="1"/>
  <c r="D38" i="31"/>
  <c r="C38" i="31"/>
  <c r="B38" i="31"/>
  <c r="I37" i="31"/>
  <c r="H37" i="31"/>
  <c r="F37" i="31"/>
  <c r="E37" i="31"/>
  <c r="G36" i="31"/>
  <c r="D36" i="31"/>
  <c r="C36" i="31"/>
  <c r="B36" i="31"/>
  <c r="G35" i="31"/>
  <c r="G37" i="31" s="1"/>
  <c r="D35" i="31"/>
  <c r="D37" i="31" s="1"/>
  <c r="C35" i="31"/>
  <c r="C37" i="31" s="1"/>
  <c r="B35" i="31"/>
  <c r="B37" i="31" s="1"/>
  <c r="A35" i="31"/>
  <c r="I34" i="31"/>
  <c r="H34" i="31"/>
  <c r="F34" i="31"/>
  <c r="E34" i="31"/>
  <c r="G33" i="31"/>
  <c r="D33" i="31"/>
  <c r="A33" i="31" s="1"/>
  <c r="C33" i="31"/>
  <c r="B33" i="31"/>
  <c r="G32" i="31"/>
  <c r="G34" i="31" s="1"/>
  <c r="D32" i="31"/>
  <c r="C32" i="31"/>
  <c r="C34" i="31" s="1"/>
  <c r="B32" i="31"/>
  <c r="I31" i="31"/>
  <c r="H31" i="31"/>
  <c r="F31" i="31"/>
  <c r="E31" i="31"/>
  <c r="G30" i="31"/>
  <c r="D30" i="31"/>
  <c r="C30" i="31"/>
  <c r="B30" i="31"/>
  <c r="G29" i="31"/>
  <c r="G31" i="31" s="1"/>
  <c r="D29" i="31"/>
  <c r="D31" i="31" s="1"/>
  <c r="C29" i="31"/>
  <c r="C31" i="31" s="1"/>
  <c r="B29" i="31"/>
  <c r="B31" i="31" s="1"/>
  <c r="A29" i="31"/>
  <c r="I28" i="31"/>
  <c r="H28" i="31"/>
  <c r="F28" i="31"/>
  <c r="E28" i="31"/>
  <c r="G27" i="31"/>
  <c r="D27" i="31"/>
  <c r="A27" i="31" s="1"/>
  <c r="C27" i="31"/>
  <c r="B27" i="31"/>
  <c r="G26" i="31"/>
  <c r="G28" i="31" s="1"/>
  <c r="D26" i="31"/>
  <c r="C26" i="31"/>
  <c r="C28" i="31" s="1"/>
  <c r="B26" i="31"/>
  <c r="I25" i="31"/>
  <c r="H25" i="31"/>
  <c r="F25" i="31"/>
  <c r="E25" i="31"/>
  <c r="G24" i="31"/>
  <c r="D24" i="31"/>
  <c r="C24" i="31"/>
  <c r="B24" i="31"/>
  <c r="G23" i="31"/>
  <c r="G25" i="31" s="1"/>
  <c r="D23" i="31"/>
  <c r="D25" i="31" s="1"/>
  <c r="C23" i="31"/>
  <c r="C25" i="31" s="1"/>
  <c r="B23" i="31"/>
  <c r="B25" i="31" s="1"/>
  <c r="A23" i="31"/>
  <c r="I22" i="31"/>
  <c r="H22" i="31"/>
  <c r="F22" i="31"/>
  <c r="E22" i="31"/>
  <c r="G21" i="31"/>
  <c r="D21" i="31"/>
  <c r="A21" i="31" s="1"/>
  <c r="C21" i="31"/>
  <c r="B21" i="31"/>
  <c r="G20" i="31"/>
  <c r="G22" i="31" s="1"/>
  <c r="D20" i="31"/>
  <c r="C20" i="31"/>
  <c r="C22" i="31" s="1"/>
  <c r="B20" i="31"/>
  <c r="I19" i="31"/>
  <c r="H19" i="31"/>
  <c r="F19" i="31"/>
  <c r="E19" i="31"/>
  <c r="G18" i="31"/>
  <c r="D18" i="31"/>
  <c r="C18" i="31"/>
  <c r="B18" i="31"/>
  <c r="G17" i="31"/>
  <c r="G19" i="31" s="1"/>
  <c r="D17" i="31"/>
  <c r="D19" i="31" s="1"/>
  <c r="C17" i="31"/>
  <c r="C19" i="31" s="1"/>
  <c r="B17" i="31"/>
  <c r="B19" i="31" s="1"/>
  <c r="A17" i="31"/>
  <c r="I16" i="31"/>
  <c r="H16" i="31"/>
  <c r="F16" i="31"/>
  <c r="E16" i="31"/>
  <c r="G15" i="31"/>
  <c r="D15" i="31"/>
  <c r="A15" i="31" s="1"/>
  <c r="C15" i="31"/>
  <c r="B15" i="31"/>
  <c r="G14" i="31"/>
  <c r="G16" i="31" s="1"/>
  <c r="D14" i="31"/>
  <c r="C14" i="31"/>
  <c r="C16" i="31" s="1"/>
  <c r="B14" i="31"/>
  <c r="I13" i="31"/>
  <c r="H13" i="31"/>
  <c r="F13" i="31"/>
  <c r="E13" i="31"/>
  <c r="G12" i="31"/>
  <c r="D12" i="31"/>
  <c r="C12" i="31"/>
  <c r="B12" i="31"/>
  <c r="G11" i="31"/>
  <c r="G13" i="31" s="1"/>
  <c r="D11" i="31"/>
  <c r="D13" i="31" s="1"/>
  <c r="C11" i="31"/>
  <c r="C13" i="31" s="1"/>
  <c r="B11" i="31"/>
  <c r="B13" i="31" s="1"/>
  <c r="A11" i="31"/>
  <c r="I10" i="31"/>
  <c r="H10" i="31"/>
  <c r="F10" i="31"/>
  <c r="E10" i="31"/>
  <c r="G9" i="31"/>
  <c r="D9" i="31"/>
  <c r="A9" i="31" s="1"/>
  <c r="C9" i="31"/>
  <c r="B9" i="31"/>
  <c r="G8" i="31"/>
  <c r="G10" i="31" s="1"/>
  <c r="D8" i="31"/>
  <c r="C8" i="31"/>
  <c r="C10" i="31" s="1"/>
  <c r="B8" i="31"/>
  <c r="I7" i="31"/>
  <c r="I55" i="31" s="1"/>
  <c r="H7" i="31"/>
  <c r="F7" i="31"/>
  <c r="F55" i="31" s="1"/>
  <c r="E7" i="31"/>
  <c r="G6" i="31"/>
  <c r="G54" i="31" s="1"/>
  <c r="D6" i="31"/>
  <c r="C6" i="31"/>
  <c r="C54" i="31" s="1"/>
  <c r="B6" i="31"/>
  <c r="G5" i="31"/>
  <c r="G53" i="31" s="1"/>
  <c r="D5" i="31"/>
  <c r="D53" i="31" s="1"/>
  <c r="C5" i="31"/>
  <c r="C53" i="31" s="1"/>
  <c r="B5" i="31"/>
  <c r="B53" i="31" s="1"/>
  <c r="A5" i="31"/>
  <c r="I287" i="30"/>
  <c r="H287" i="30"/>
  <c r="F287" i="30"/>
  <c r="E287" i="30"/>
  <c r="G286" i="30"/>
  <c r="D286" i="30"/>
  <c r="C286" i="30"/>
  <c r="B286" i="30"/>
  <c r="A286" i="30" s="1"/>
  <c r="G285" i="30"/>
  <c r="G287" i="30" s="1"/>
  <c r="D285" i="30"/>
  <c r="C285" i="30"/>
  <c r="C287" i="30" s="1"/>
  <c r="B285" i="30"/>
  <c r="I279" i="30"/>
  <c r="H279" i="30"/>
  <c r="F279" i="30"/>
  <c r="E279" i="30"/>
  <c r="D279" i="30"/>
  <c r="G278" i="30"/>
  <c r="A278" i="30" s="1"/>
  <c r="A279" i="30" s="1"/>
  <c r="C278" i="30"/>
  <c r="C279" i="30" s="1"/>
  <c r="B278" i="30"/>
  <c r="B279" i="30" s="1"/>
  <c r="I272" i="30"/>
  <c r="H272" i="30"/>
  <c r="F272" i="30"/>
  <c r="E272" i="30"/>
  <c r="G271" i="30"/>
  <c r="D271" i="30"/>
  <c r="C271" i="30"/>
  <c r="B271" i="30"/>
  <c r="A271" i="30"/>
  <c r="G270" i="30"/>
  <c r="D270" i="30"/>
  <c r="D272" i="30" s="1"/>
  <c r="C270" i="30"/>
  <c r="B270" i="30"/>
  <c r="A270" i="30" s="1"/>
  <c r="A272" i="30" s="1"/>
  <c r="I264" i="30"/>
  <c r="H264" i="30"/>
  <c r="F264" i="30"/>
  <c r="E264" i="30"/>
  <c r="C264" i="30"/>
  <c r="G263" i="30"/>
  <c r="G264" i="30" s="1"/>
  <c r="D263" i="30"/>
  <c r="D264" i="30" s="1"/>
  <c r="C263" i="30"/>
  <c r="B263" i="30"/>
  <c r="B264" i="30" s="1"/>
  <c r="H257" i="30"/>
  <c r="E257" i="30"/>
  <c r="G256" i="30"/>
  <c r="D256" i="30"/>
  <c r="C256" i="30"/>
  <c r="B256" i="30"/>
  <c r="A256" i="30" s="1"/>
  <c r="G255" i="30"/>
  <c r="D255" i="30"/>
  <c r="C255" i="30"/>
  <c r="B255" i="30"/>
  <c r="A255" i="30" s="1"/>
  <c r="G254" i="30"/>
  <c r="D254" i="30"/>
  <c r="C254" i="30"/>
  <c r="B254" i="30"/>
  <c r="G253" i="30"/>
  <c r="D253" i="30"/>
  <c r="C253" i="30"/>
  <c r="B253" i="30"/>
  <c r="A253" i="30"/>
  <c r="G252" i="30"/>
  <c r="D252" i="30"/>
  <c r="C252" i="30"/>
  <c r="B252" i="30"/>
  <c r="A252" i="30" s="1"/>
  <c r="G251" i="30"/>
  <c r="D251" i="30"/>
  <c r="C251" i="30"/>
  <c r="B251" i="30"/>
  <c r="A251" i="30" s="1"/>
  <c r="G250" i="30"/>
  <c r="D250" i="30"/>
  <c r="C250" i="30"/>
  <c r="B250" i="30"/>
  <c r="G249" i="30"/>
  <c r="D249" i="30"/>
  <c r="C249" i="30"/>
  <c r="B249" i="30"/>
  <c r="A249" i="30"/>
  <c r="G248" i="30"/>
  <c r="D248" i="30"/>
  <c r="C248" i="30"/>
  <c r="B248" i="30"/>
  <c r="A248" i="30" s="1"/>
  <c r="G247" i="30"/>
  <c r="D247" i="30"/>
  <c r="C247" i="30"/>
  <c r="B247" i="30"/>
  <c r="A247" i="30" s="1"/>
  <c r="G246" i="30"/>
  <c r="D246" i="30"/>
  <c r="C246" i="30"/>
  <c r="B246" i="30"/>
  <c r="G245" i="30"/>
  <c r="D245" i="30"/>
  <c r="C245" i="30"/>
  <c r="B245" i="30"/>
  <c r="A245" i="30"/>
  <c r="G244" i="30"/>
  <c r="D244" i="30"/>
  <c r="C244" i="30"/>
  <c r="B244" i="30"/>
  <c r="A244" i="30" s="1"/>
  <c r="G243" i="30"/>
  <c r="D243" i="30"/>
  <c r="C243" i="30"/>
  <c r="B243" i="30"/>
  <c r="A243" i="30" s="1"/>
  <c r="G242" i="30"/>
  <c r="D242" i="30"/>
  <c r="C242" i="30"/>
  <c r="B242" i="30"/>
  <c r="G241" i="30"/>
  <c r="D241" i="30"/>
  <c r="C241" i="30"/>
  <c r="B241" i="30"/>
  <c r="A241" i="30"/>
  <c r="G240" i="30"/>
  <c r="D240" i="30"/>
  <c r="C240" i="30"/>
  <c r="B240" i="30"/>
  <c r="A240" i="30" s="1"/>
  <c r="G239" i="30"/>
  <c r="D239" i="30"/>
  <c r="C239" i="30"/>
  <c r="B239" i="30"/>
  <c r="A239" i="30" s="1"/>
  <c r="G238" i="30"/>
  <c r="D238" i="30"/>
  <c r="C238" i="30"/>
  <c r="B238" i="30"/>
  <c r="G237" i="30"/>
  <c r="D237" i="30"/>
  <c r="C237" i="30"/>
  <c r="B237" i="30"/>
  <c r="A237" i="30"/>
  <c r="G236" i="30"/>
  <c r="D236" i="30"/>
  <c r="C236" i="30"/>
  <c r="B236" i="30"/>
  <c r="A236" i="30" s="1"/>
  <c r="G235" i="30"/>
  <c r="D235" i="30"/>
  <c r="C235" i="30"/>
  <c r="B235" i="30"/>
  <c r="A235" i="30" s="1"/>
  <c r="G234" i="30"/>
  <c r="F234" i="30"/>
  <c r="D234" i="30" s="1"/>
  <c r="C234" i="30"/>
  <c r="B234" i="30"/>
  <c r="A234" i="30"/>
  <c r="G233" i="30"/>
  <c r="D233" i="30"/>
  <c r="C233" i="30"/>
  <c r="B233" i="30"/>
  <c r="A233" i="30" s="1"/>
  <c r="G232" i="30"/>
  <c r="D232" i="30"/>
  <c r="C232" i="30"/>
  <c r="B232" i="30"/>
  <c r="A232" i="30" s="1"/>
  <c r="G231" i="30"/>
  <c r="D231" i="30"/>
  <c r="C231" i="30"/>
  <c r="B231" i="30"/>
  <c r="G230" i="30"/>
  <c r="D230" i="30"/>
  <c r="C230" i="30"/>
  <c r="B230" i="30"/>
  <c r="A230" i="30"/>
  <c r="G229" i="30"/>
  <c r="D229" i="30"/>
  <c r="C229" i="30"/>
  <c r="B229" i="30"/>
  <c r="A229" i="30" s="1"/>
  <c r="G228" i="30"/>
  <c r="F228" i="30"/>
  <c r="D228" i="30" s="1"/>
  <c r="C228" i="30"/>
  <c r="B228" i="30"/>
  <c r="G227" i="30"/>
  <c r="D227" i="30"/>
  <c r="C227" i="30"/>
  <c r="B227" i="30"/>
  <c r="A227" i="30"/>
  <c r="G226" i="30"/>
  <c r="D226" i="30"/>
  <c r="C226" i="30"/>
  <c r="B226" i="30"/>
  <c r="A226" i="30" s="1"/>
  <c r="G225" i="30"/>
  <c r="D225" i="30"/>
  <c r="C225" i="30"/>
  <c r="B225" i="30"/>
  <c r="A225" i="30" s="1"/>
  <c r="G224" i="30"/>
  <c r="D224" i="30"/>
  <c r="C224" i="30"/>
  <c r="B224" i="30"/>
  <c r="G223" i="30"/>
  <c r="D223" i="30"/>
  <c r="C223" i="30"/>
  <c r="B223" i="30"/>
  <c r="A223" i="30"/>
  <c r="G222" i="30"/>
  <c r="F222" i="30"/>
  <c r="D222" i="30" s="1"/>
  <c r="B222" i="30"/>
  <c r="G221" i="30"/>
  <c r="D221" i="30"/>
  <c r="C221" i="30"/>
  <c r="B221" i="30"/>
  <c r="G220" i="30"/>
  <c r="D220" i="30"/>
  <c r="C220" i="30"/>
  <c r="B220" i="30"/>
  <c r="A220" i="30"/>
  <c r="G219" i="30"/>
  <c r="D219" i="30"/>
  <c r="C219" i="30"/>
  <c r="B219" i="30"/>
  <c r="A219" i="30" s="1"/>
  <c r="G218" i="30"/>
  <c r="D218" i="30"/>
  <c r="C218" i="30"/>
  <c r="B218" i="30"/>
  <c r="A218" i="30" s="1"/>
  <c r="G217" i="30"/>
  <c r="D217" i="30"/>
  <c r="C217" i="30"/>
  <c r="B217" i="30"/>
  <c r="G216" i="30"/>
  <c r="D216" i="30"/>
  <c r="C216" i="30"/>
  <c r="B216" i="30"/>
  <c r="A216" i="30"/>
  <c r="G215" i="30"/>
  <c r="D215" i="30"/>
  <c r="C215" i="30"/>
  <c r="B215" i="30"/>
  <c r="A215" i="30" s="1"/>
  <c r="G214" i="30"/>
  <c r="D214" i="30"/>
  <c r="C214" i="30"/>
  <c r="B214" i="30"/>
  <c r="A214" i="30" s="1"/>
  <c r="I213" i="30"/>
  <c r="I257" i="30" s="1"/>
  <c r="F213" i="30"/>
  <c r="F257" i="30" s="1"/>
  <c r="C213" i="30"/>
  <c r="B213" i="30"/>
  <c r="I207" i="30"/>
  <c r="H207" i="30"/>
  <c r="F207" i="30"/>
  <c r="E207" i="30"/>
  <c r="G206" i="30"/>
  <c r="D206" i="30"/>
  <c r="C206" i="30"/>
  <c r="B206" i="30"/>
  <c r="G205" i="30"/>
  <c r="D205" i="30"/>
  <c r="C205" i="30"/>
  <c r="B205" i="30"/>
  <c r="A205" i="30"/>
  <c r="G204" i="30"/>
  <c r="D204" i="30"/>
  <c r="C204" i="30"/>
  <c r="B204" i="30"/>
  <c r="A204" i="30" s="1"/>
  <c r="G203" i="30"/>
  <c r="D203" i="30"/>
  <c r="D207" i="30" s="1"/>
  <c r="C203" i="30"/>
  <c r="B203" i="30"/>
  <c r="B207" i="30" s="1"/>
  <c r="I190" i="30"/>
  <c r="F190" i="30"/>
  <c r="E190" i="30"/>
  <c r="D190" i="30"/>
  <c r="G189" i="30"/>
  <c r="D189" i="30"/>
  <c r="C189" i="30"/>
  <c r="B189" i="30"/>
  <c r="A189" i="30"/>
  <c r="H188" i="30"/>
  <c r="H190" i="30" s="1"/>
  <c r="G188" i="30"/>
  <c r="G190" i="30" s="1"/>
  <c r="D188" i="30"/>
  <c r="C188" i="30"/>
  <c r="C190" i="30" s="1"/>
  <c r="B188" i="30"/>
  <c r="B190" i="30" s="1"/>
  <c r="A188" i="30"/>
  <c r="A190" i="30" s="1"/>
  <c r="I182" i="30"/>
  <c r="H182" i="30"/>
  <c r="F182" i="30"/>
  <c r="E182" i="30"/>
  <c r="C182" i="30"/>
  <c r="B182" i="30"/>
  <c r="G181" i="30"/>
  <c r="D181" i="30"/>
  <c r="A181" i="30"/>
  <c r="G180" i="30"/>
  <c r="D180" i="30"/>
  <c r="A180" i="30"/>
  <c r="G179" i="30"/>
  <c r="D179" i="30"/>
  <c r="A179" i="30"/>
  <c r="H173" i="30"/>
  <c r="F173" i="30"/>
  <c r="E173" i="30"/>
  <c r="G172" i="30"/>
  <c r="D172" i="30"/>
  <c r="C172" i="30"/>
  <c r="B172" i="30"/>
  <c r="A172" i="30" s="1"/>
  <c r="G171" i="30"/>
  <c r="D171" i="30"/>
  <c r="C171" i="30"/>
  <c r="B171" i="30"/>
  <c r="I170" i="30"/>
  <c r="G170" i="30" s="1"/>
  <c r="D170" i="30"/>
  <c r="B170" i="30"/>
  <c r="I169" i="30"/>
  <c r="D169" i="30"/>
  <c r="D173" i="30" s="1"/>
  <c r="B169" i="30"/>
  <c r="H163" i="30"/>
  <c r="F163" i="30"/>
  <c r="E163" i="30"/>
  <c r="G162" i="30"/>
  <c r="D162" i="30"/>
  <c r="C162" i="30"/>
  <c r="B162" i="30"/>
  <c r="A162" i="30" s="1"/>
  <c r="G161" i="30"/>
  <c r="D161" i="30"/>
  <c r="C161" i="30"/>
  <c r="B161" i="30"/>
  <c r="A161" i="30" s="1"/>
  <c r="G160" i="30"/>
  <c r="D160" i="30"/>
  <c r="C160" i="30"/>
  <c r="B160" i="30"/>
  <c r="G159" i="30"/>
  <c r="D159" i="30"/>
  <c r="C159" i="30"/>
  <c r="B159" i="30"/>
  <c r="A159" i="30"/>
  <c r="G158" i="30"/>
  <c r="D158" i="30"/>
  <c r="C158" i="30"/>
  <c r="B158" i="30"/>
  <c r="A158" i="30" s="1"/>
  <c r="I157" i="30"/>
  <c r="G157" i="30" s="1"/>
  <c r="G163" i="30" s="1"/>
  <c r="D157" i="30"/>
  <c r="D163" i="30" s="1"/>
  <c r="B157" i="30"/>
  <c r="B163" i="30" s="1"/>
  <c r="H151" i="30"/>
  <c r="F151" i="30"/>
  <c r="E151" i="30"/>
  <c r="I150" i="30"/>
  <c r="G150" i="30" s="1"/>
  <c r="D150" i="30"/>
  <c r="C150" i="30"/>
  <c r="B150" i="30"/>
  <c r="A150" i="30"/>
  <c r="I149" i="30"/>
  <c r="G149" i="30"/>
  <c r="D149" i="30"/>
  <c r="C149" i="30"/>
  <c r="B149" i="30"/>
  <c r="A149" i="30"/>
  <c r="I148" i="30"/>
  <c r="I151" i="30" s="1"/>
  <c r="G148" i="30"/>
  <c r="D148" i="30"/>
  <c r="D151" i="30" s="1"/>
  <c r="C148" i="30"/>
  <c r="C151" i="30" s="1"/>
  <c r="B148" i="30"/>
  <c r="B151" i="30" s="1"/>
  <c r="A148" i="30"/>
  <c r="A151" i="30" s="1"/>
  <c r="F142" i="30"/>
  <c r="E142" i="30"/>
  <c r="H141" i="30"/>
  <c r="G141" i="30" s="1"/>
  <c r="D141" i="30"/>
  <c r="C141" i="30"/>
  <c r="B141" i="30"/>
  <c r="A141" i="30" s="1"/>
  <c r="H140" i="30"/>
  <c r="G140" i="30" s="1"/>
  <c r="D140" i="30"/>
  <c r="C140" i="30"/>
  <c r="B140" i="30"/>
  <c r="A140" i="30" s="1"/>
  <c r="I139" i="30"/>
  <c r="G139" i="30" s="1"/>
  <c r="D139" i="30"/>
  <c r="B139" i="30"/>
  <c r="I138" i="30"/>
  <c r="G138" i="30" s="1"/>
  <c r="D138" i="30"/>
  <c r="B138" i="30"/>
  <c r="I137" i="30"/>
  <c r="I142" i="30" s="1"/>
  <c r="D137" i="30"/>
  <c r="D142" i="30" s="1"/>
  <c r="B137" i="30"/>
  <c r="I131" i="30"/>
  <c r="H131" i="30"/>
  <c r="F131" i="30"/>
  <c r="E131" i="30"/>
  <c r="C131" i="30"/>
  <c r="B131" i="30"/>
  <c r="G130" i="30"/>
  <c r="D130" i="30"/>
  <c r="A130" i="30"/>
  <c r="G129" i="30"/>
  <c r="G131" i="30" s="1"/>
  <c r="D129" i="30"/>
  <c r="D131" i="30" s="1"/>
  <c r="A129" i="30"/>
  <c r="A131" i="30" s="1"/>
  <c r="I123" i="30"/>
  <c r="H123" i="30"/>
  <c r="F123" i="30"/>
  <c r="E123" i="30"/>
  <c r="G122" i="30"/>
  <c r="D122" i="30"/>
  <c r="C122" i="30"/>
  <c r="B122" i="30"/>
  <c r="A122" i="30"/>
  <c r="G121" i="30"/>
  <c r="D121" i="30"/>
  <c r="C121" i="30"/>
  <c r="B121" i="30"/>
  <c r="A121" i="30" s="1"/>
  <c r="G120" i="30"/>
  <c r="D120" i="30"/>
  <c r="C120" i="30"/>
  <c r="B120" i="30"/>
  <c r="A120" i="30" s="1"/>
  <c r="G119" i="30"/>
  <c r="G123" i="30" s="1"/>
  <c r="D119" i="30"/>
  <c r="D123" i="30" s="1"/>
  <c r="C119" i="30"/>
  <c r="C123" i="30" s="1"/>
  <c r="B119" i="30"/>
  <c r="I113" i="30"/>
  <c r="H113" i="30"/>
  <c r="F113" i="30"/>
  <c r="E113" i="30"/>
  <c r="G112" i="30"/>
  <c r="D112" i="30"/>
  <c r="C112" i="30"/>
  <c r="B112" i="30"/>
  <c r="A112" i="30" s="1"/>
  <c r="G111" i="30"/>
  <c r="D111" i="30"/>
  <c r="C111" i="30"/>
  <c r="B111" i="30"/>
  <c r="A111" i="30"/>
  <c r="G110" i="30"/>
  <c r="G113" i="30" s="1"/>
  <c r="D110" i="30"/>
  <c r="D113" i="30" s="1"/>
  <c r="C110" i="30"/>
  <c r="B110" i="30"/>
  <c r="B113" i="30" s="1"/>
  <c r="I104" i="30"/>
  <c r="H104" i="30"/>
  <c r="F104" i="30"/>
  <c r="E104" i="30"/>
  <c r="G103" i="30"/>
  <c r="D103" i="30"/>
  <c r="C103" i="30"/>
  <c r="B103" i="30"/>
  <c r="A103" i="30" s="1"/>
  <c r="G102" i="30"/>
  <c r="D102" i="30"/>
  <c r="C102" i="30"/>
  <c r="B102" i="30"/>
  <c r="A102" i="30" s="1"/>
  <c r="G101" i="30"/>
  <c r="D101" i="30"/>
  <c r="C101" i="30"/>
  <c r="B101" i="30"/>
  <c r="G100" i="30"/>
  <c r="G104" i="30" s="1"/>
  <c r="D100" i="30"/>
  <c r="D104" i="30" s="1"/>
  <c r="C100" i="30"/>
  <c r="C104" i="30" s="1"/>
  <c r="B100" i="30"/>
  <c r="B104" i="30" s="1"/>
  <c r="A100" i="30"/>
  <c r="H94" i="30"/>
  <c r="F94" i="30"/>
  <c r="E94" i="30"/>
  <c r="G93" i="30"/>
  <c r="D93" i="30"/>
  <c r="C93" i="30"/>
  <c r="B93" i="30"/>
  <c r="A93" i="30"/>
  <c r="I92" i="30"/>
  <c r="G92" i="30"/>
  <c r="D92" i="30"/>
  <c r="C92" i="30"/>
  <c r="B92" i="30"/>
  <c r="A92" i="30"/>
  <c r="I91" i="30"/>
  <c r="G91" i="30"/>
  <c r="D91" i="30"/>
  <c r="C91" i="30"/>
  <c r="B91" i="30"/>
  <c r="A91" i="30"/>
  <c r="G90" i="30"/>
  <c r="D90" i="30"/>
  <c r="A90" i="30" s="1"/>
  <c r="C90" i="30"/>
  <c r="B90" i="30"/>
  <c r="G89" i="30"/>
  <c r="D89" i="30"/>
  <c r="A89" i="30" s="1"/>
  <c r="C89" i="30"/>
  <c r="B89" i="30"/>
  <c r="I88" i="30"/>
  <c r="G88" i="30" s="1"/>
  <c r="A88" i="30" s="1"/>
  <c r="D88" i="30"/>
  <c r="B88" i="30"/>
  <c r="I87" i="30"/>
  <c r="I94" i="30" s="1"/>
  <c r="D87" i="30"/>
  <c r="B87" i="30"/>
  <c r="G86" i="30"/>
  <c r="D86" i="30"/>
  <c r="C86" i="30"/>
  <c r="B86" i="30"/>
  <c r="H80" i="30"/>
  <c r="F80" i="30"/>
  <c r="E80" i="30"/>
  <c r="I79" i="30"/>
  <c r="G79" i="30"/>
  <c r="D79" i="30"/>
  <c r="C79" i="30"/>
  <c r="B79" i="30"/>
  <c r="A79" i="30"/>
  <c r="I78" i="30"/>
  <c r="G78" i="30"/>
  <c r="D78" i="30"/>
  <c r="C78" i="30"/>
  <c r="B78" i="30"/>
  <c r="A78" i="30"/>
  <c r="G77" i="30"/>
  <c r="D77" i="30"/>
  <c r="C77" i="30"/>
  <c r="B77" i="30"/>
  <c r="A77" i="30" s="1"/>
  <c r="G76" i="30"/>
  <c r="D76" i="30"/>
  <c r="C76" i="30"/>
  <c r="B76" i="30"/>
  <c r="A76" i="30" s="1"/>
  <c r="G75" i="30"/>
  <c r="D75" i="30"/>
  <c r="C75" i="30"/>
  <c r="B75" i="30"/>
  <c r="G74" i="30"/>
  <c r="D74" i="30"/>
  <c r="C74" i="30"/>
  <c r="B74" i="30"/>
  <c r="A74" i="30"/>
  <c r="G73" i="30"/>
  <c r="D73" i="30"/>
  <c r="C73" i="30"/>
  <c r="B73" i="30"/>
  <c r="A73" i="30" s="1"/>
  <c r="G72" i="30"/>
  <c r="D72" i="30"/>
  <c r="C72" i="30"/>
  <c r="B72" i="30"/>
  <c r="A72" i="30" s="1"/>
  <c r="I71" i="30"/>
  <c r="I80" i="30" s="1"/>
  <c r="D71" i="30"/>
  <c r="B71" i="30"/>
  <c r="G70" i="30"/>
  <c r="D70" i="30"/>
  <c r="C70" i="30"/>
  <c r="B70" i="30"/>
  <c r="I64" i="30"/>
  <c r="H64" i="30"/>
  <c r="F64" i="30"/>
  <c r="E64" i="30"/>
  <c r="G63" i="30"/>
  <c r="D63" i="30"/>
  <c r="C63" i="30"/>
  <c r="B63" i="30"/>
  <c r="G62" i="30"/>
  <c r="G64" i="30" s="1"/>
  <c r="D62" i="30"/>
  <c r="D64" i="30" s="1"/>
  <c r="C62" i="30"/>
  <c r="C64" i="30" s="1"/>
  <c r="B62" i="30"/>
  <c r="B64" i="30" s="1"/>
  <c r="A62" i="30"/>
  <c r="I56" i="30"/>
  <c r="H56" i="30"/>
  <c r="F56" i="30"/>
  <c r="E56" i="30"/>
  <c r="G55" i="30"/>
  <c r="D55" i="30"/>
  <c r="A55" i="30" s="1"/>
  <c r="C55" i="30"/>
  <c r="B55" i="30"/>
  <c r="G54" i="30"/>
  <c r="D54" i="30"/>
  <c r="C54" i="30"/>
  <c r="B54" i="30"/>
  <c r="G53" i="30"/>
  <c r="D53" i="30"/>
  <c r="C53" i="30"/>
  <c r="B53" i="30"/>
  <c r="A53" i="30"/>
  <c r="G52" i="30"/>
  <c r="G56" i="30" s="1"/>
  <c r="D52" i="30"/>
  <c r="A52" i="30" s="1"/>
  <c r="C52" i="30"/>
  <c r="C56" i="30" s="1"/>
  <c r="B52" i="30"/>
  <c r="B56" i="30" s="1"/>
  <c r="H46" i="30"/>
  <c r="I45" i="30"/>
  <c r="G45" i="30"/>
  <c r="D45" i="30"/>
  <c r="C45" i="30"/>
  <c r="B45" i="30"/>
  <c r="A45" i="30"/>
  <c r="G44" i="30"/>
  <c r="D44" i="30"/>
  <c r="A44" i="30" s="1"/>
  <c r="C44" i="30"/>
  <c r="B44" i="30"/>
  <c r="I43" i="30"/>
  <c r="G43" i="30" s="1"/>
  <c r="D43" i="30"/>
  <c r="B43" i="30"/>
  <c r="I42" i="30"/>
  <c r="G42" i="30" s="1"/>
  <c r="A42" i="30" s="1"/>
  <c r="D42" i="30"/>
  <c r="B42" i="30"/>
  <c r="G41" i="30"/>
  <c r="D41" i="30"/>
  <c r="A41" i="30" s="1"/>
  <c r="C41" i="30"/>
  <c r="B41" i="30"/>
  <c r="I40" i="30"/>
  <c r="I46" i="30" s="1"/>
  <c r="D40" i="30"/>
  <c r="B40" i="30"/>
  <c r="G39" i="30"/>
  <c r="F39" i="30"/>
  <c r="F46" i="30" s="1"/>
  <c r="E39" i="30"/>
  <c r="E46" i="30" s="1"/>
  <c r="B39" i="30"/>
  <c r="G38" i="30"/>
  <c r="D38" i="30"/>
  <c r="A38" i="30" s="1"/>
  <c r="C38" i="30"/>
  <c r="B38" i="30"/>
  <c r="G37" i="30"/>
  <c r="D37" i="30"/>
  <c r="C37" i="30"/>
  <c r="B37" i="30"/>
  <c r="G36" i="30"/>
  <c r="D36" i="30"/>
  <c r="C36" i="30"/>
  <c r="B36" i="30"/>
  <c r="A36" i="30"/>
  <c r="G35" i="30"/>
  <c r="D35" i="30"/>
  <c r="A35" i="30" s="1"/>
  <c r="C35" i="30"/>
  <c r="B35" i="30"/>
  <c r="G34" i="30"/>
  <c r="D34" i="30"/>
  <c r="C34" i="30"/>
  <c r="B34" i="30"/>
  <c r="B46" i="30" s="1"/>
  <c r="I28" i="30"/>
  <c r="H28" i="30"/>
  <c r="F28" i="30"/>
  <c r="E28" i="30"/>
  <c r="G27" i="30"/>
  <c r="D27" i="30"/>
  <c r="C27" i="30"/>
  <c r="B27" i="30"/>
  <c r="A27" i="30"/>
  <c r="G26" i="30"/>
  <c r="D26" i="30"/>
  <c r="C26" i="30"/>
  <c r="B26" i="30"/>
  <c r="A26" i="30" s="1"/>
  <c r="G25" i="30"/>
  <c r="D25" i="30"/>
  <c r="C25" i="30"/>
  <c r="B25" i="30"/>
  <c r="A25" i="30" s="1"/>
  <c r="G24" i="30"/>
  <c r="G28" i="30" s="1"/>
  <c r="D24" i="30"/>
  <c r="C24" i="30"/>
  <c r="C28" i="30" s="1"/>
  <c r="B24" i="30"/>
  <c r="I18" i="30"/>
  <c r="H18" i="30"/>
  <c r="E18" i="30"/>
  <c r="G17" i="30"/>
  <c r="G18" i="30" s="1"/>
  <c r="F17" i="30"/>
  <c r="F18" i="30" s="1"/>
  <c r="C17" i="30"/>
  <c r="C18" i="30" s="1"/>
  <c r="B17" i="30"/>
  <c r="B18" i="30" s="1"/>
  <c r="A17" i="30"/>
  <c r="A18" i="30" s="1"/>
  <c r="I11" i="30"/>
  <c r="H11" i="30"/>
  <c r="F11" i="30"/>
  <c r="E11" i="30"/>
  <c r="G10" i="30"/>
  <c r="D10" i="30"/>
  <c r="A10" i="30" s="1"/>
  <c r="C10" i="30"/>
  <c r="B10" i="30"/>
  <c r="G9" i="30"/>
  <c r="D9" i="30"/>
  <c r="C9" i="30"/>
  <c r="B9" i="30"/>
  <c r="G8" i="30"/>
  <c r="D8" i="30"/>
  <c r="C8" i="30"/>
  <c r="B8" i="30"/>
  <c r="A8" i="30"/>
  <c r="G7" i="30"/>
  <c r="D7" i="30"/>
  <c r="A7" i="30" s="1"/>
  <c r="C7" i="30"/>
  <c r="B7" i="30"/>
  <c r="G6" i="30"/>
  <c r="D6" i="30"/>
  <c r="A6" i="30" s="1"/>
  <c r="C6" i="30"/>
  <c r="B6" i="30"/>
  <c r="G5" i="30"/>
  <c r="G11" i="30" s="1"/>
  <c r="D5" i="30"/>
  <c r="C5" i="30"/>
  <c r="C11" i="30" s="1"/>
  <c r="B5" i="30"/>
  <c r="I73" i="29"/>
  <c r="H73" i="29"/>
  <c r="F73" i="29"/>
  <c r="E73" i="29"/>
  <c r="E72" i="29"/>
  <c r="E71" i="29"/>
  <c r="E74" i="29" s="1"/>
  <c r="G70" i="29"/>
  <c r="D70" i="29"/>
  <c r="A70" i="29" s="1"/>
  <c r="C70" i="29"/>
  <c r="B70" i="29"/>
  <c r="G69" i="29"/>
  <c r="D69" i="29"/>
  <c r="A69" i="29" s="1"/>
  <c r="C69" i="29"/>
  <c r="B69" i="29"/>
  <c r="G68" i="29"/>
  <c r="D68" i="29"/>
  <c r="A68" i="29" s="1"/>
  <c r="C68" i="29"/>
  <c r="B68" i="29"/>
  <c r="G67" i="29"/>
  <c r="D67" i="29"/>
  <c r="A67" i="29" s="1"/>
  <c r="C67" i="29"/>
  <c r="B67" i="29"/>
  <c r="G66" i="29"/>
  <c r="D66" i="29"/>
  <c r="C66" i="29"/>
  <c r="B66" i="29"/>
  <c r="A66" i="29"/>
  <c r="G65" i="29"/>
  <c r="D65" i="29"/>
  <c r="A65" i="29" s="1"/>
  <c r="C65" i="29"/>
  <c r="B65" i="29"/>
  <c r="G64" i="29"/>
  <c r="D64" i="29"/>
  <c r="C64" i="29"/>
  <c r="B64" i="29"/>
  <c r="G63" i="29"/>
  <c r="D63" i="29"/>
  <c r="C63" i="29"/>
  <c r="B63" i="29"/>
  <c r="G62" i="29"/>
  <c r="D62" i="29"/>
  <c r="A62" i="29" s="1"/>
  <c r="C62" i="29"/>
  <c r="B62" i="29"/>
  <c r="G61" i="29"/>
  <c r="D61" i="29"/>
  <c r="A61" i="29" s="1"/>
  <c r="C61" i="29"/>
  <c r="B61" i="29"/>
  <c r="G60" i="29"/>
  <c r="D60" i="29"/>
  <c r="C60" i="29"/>
  <c r="B60" i="29"/>
  <c r="A60" i="29"/>
  <c r="G59" i="29"/>
  <c r="D59" i="29"/>
  <c r="A59" i="29" s="1"/>
  <c r="C59" i="29"/>
  <c r="B59" i="29"/>
  <c r="G58" i="29"/>
  <c r="D58" i="29"/>
  <c r="C58" i="29"/>
  <c r="B58" i="29"/>
  <c r="G57" i="29"/>
  <c r="D57" i="29"/>
  <c r="C57" i="29"/>
  <c r="B57" i="29"/>
  <c r="G56" i="29"/>
  <c r="D56" i="29"/>
  <c r="C56" i="29"/>
  <c r="B56" i="29"/>
  <c r="G55" i="29"/>
  <c r="D55" i="29"/>
  <c r="C55" i="29"/>
  <c r="B55" i="29"/>
  <c r="A55" i="29"/>
  <c r="G54" i="29"/>
  <c r="D54" i="29"/>
  <c r="A54" i="29" s="1"/>
  <c r="C54" i="29"/>
  <c r="B54" i="29"/>
  <c r="G53" i="29"/>
  <c r="D53" i="29"/>
  <c r="C53" i="29"/>
  <c r="B53" i="29"/>
  <c r="A53" i="29"/>
  <c r="G52" i="29"/>
  <c r="D52" i="29"/>
  <c r="A52" i="29" s="1"/>
  <c r="C52" i="29"/>
  <c r="B52" i="29"/>
  <c r="G51" i="29"/>
  <c r="D51" i="29"/>
  <c r="A51" i="29" s="1"/>
  <c r="C51" i="29"/>
  <c r="B51" i="29"/>
  <c r="G50" i="29"/>
  <c r="D50" i="29"/>
  <c r="A50" i="29" s="1"/>
  <c r="C50" i="29"/>
  <c r="B50" i="29"/>
  <c r="G49" i="29"/>
  <c r="D49" i="29"/>
  <c r="A49" i="29" s="1"/>
  <c r="C49" i="29"/>
  <c r="B49" i="29"/>
  <c r="G48" i="29"/>
  <c r="D48" i="29"/>
  <c r="C48" i="29"/>
  <c r="B48" i="29"/>
  <c r="A48" i="29"/>
  <c r="G47" i="29"/>
  <c r="D47" i="29"/>
  <c r="A47" i="29" s="1"/>
  <c r="C47" i="29"/>
  <c r="B47" i="29"/>
  <c r="G46" i="29"/>
  <c r="D46" i="29"/>
  <c r="C46" i="29"/>
  <c r="B46" i="29"/>
  <c r="G45" i="29"/>
  <c r="D45" i="29"/>
  <c r="C45" i="29"/>
  <c r="B45" i="29"/>
  <c r="G44" i="29"/>
  <c r="D44" i="29"/>
  <c r="C44" i="29"/>
  <c r="B44" i="29"/>
  <c r="G43" i="29"/>
  <c r="D43" i="29"/>
  <c r="C43" i="29"/>
  <c r="B43" i="29"/>
  <c r="A43" i="29"/>
  <c r="H42" i="29"/>
  <c r="G42" i="29" s="1"/>
  <c r="D42" i="29"/>
  <c r="C42" i="29"/>
  <c r="B42" i="29"/>
  <c r="G41" i="29"/>
  <c r="D41" i="29"/>
  <c r="A41" i="29" s="1"/>
  <c r="C41" i="29"/>
  <c r="B41" i="29"/>
  <c r="G40" i="29"/>
  <c r="D40" i="29"/>
  <c r="A40" i="29" s="1"/>
  <c r="C40" i="29"/>
  <c r="B40" i="29"/>
  <c r="G39" i="29"/>
  <c r="D39" i="29"/>
  <c r="C39" i="29"/>
  <c r="B39" i="29"/>
  <c r="A39" i="29"/>
  <c r="G38" i="29"/>
  <c r="D38" i="29"/>
  <c r="A38" i="29" s="1"/>
  <c r="C38" i="29"/>
  <c r="B38" i="29"/>
  <c r="G37" i="29"/>
  <c r="D37" i="29"/>
  <c r="C37" i="29"/>
  <c r="B37" i="29"/>
  <c r="G36" i="29"/>
  <c r="D36" i="29"/>
  <c r="C36" i="29"/>
  <c r="B36" i="29"/>
  <c r="H35" i="29"/>
  <c r="G35" i="29" s="1"/>
  <c r="A35" i="29" s="1"/>
  <c r="D35" i="29"/>
  <c r="C35" i="29"/>
  <c r="B35" i="29"/>
  <c r="G34" i="29"/>
  <c r="D34" i="29"/>
  <c r="C34" i="29"/>
  <c r="B34" i="29"/>
  <c r="G33" i="29"/>
  <c r="D33" i="29"/>
  <c r="C33" i="29"/>
  <c r="B33" i="29"/>
  <c r="G32" i="29"/>
  <c r="D32" i="29"/>
  <c r="C32" i="29"/>
  <c r="B32" i="29"/>
  <c r="G31" i="29"/>
  <c r="D31" i="29"/>
  <c r="C31" i="29"/>
  <c r="B31" i="29"/>
  <c r="A31" i="29"/>
  <c r="G30" i="29"/>
  <c r="D30" i="29"/>
  <c r="A30" i="29" s="1"/>
  <c r="C30" i="29"/>
  <c r="B30" i="29"/>
  <c r="G29" i="29"/>
  <c r="D29" i="29"/>
  <c r="C29" i="29"/>
  <c r="B29" i="29"/>
  <c r="A29" i="29"/>
  <c r="G28" i="29"/>
  <c r="D28" i="29"/>
  <c r="A28" i="29" s="1"/>
  <c r="C28" i="29"/>
  <c r="B28" i="29"/>
  <c r="G27" i="29"/>
  <c r="D27" i="29"/>
  <c r="A27" i="29" s="1"/>
  <c r="C27" i="29"/>
  <c r="B27" i="29"/>
  <c r="G26" i="29"/>
  <c r="D26" i="29"/>
  <c r="A26" i="29" s="1"/>
  <c r="C26" i="29"/>
  <c r="B26" i="29"/>
  <c r="G25" i="29"/>
  <c r="D25" i="29"/>
  <c r="A25" i="29" s="1"/>
  <c r="C25" i="29"/>
  <c r="B25" i="29"/>
  <c r="G24" i="29"/>
  <c r="D24" i="29"/>
  <c r="C24" i="29"/>
  <c r="B24" i="29"/>
  <c r="A24" i="29"/>
  <c r="H23" i="29"/>
  <c r="G23" i="29" s="1"/>
  <c r="D23" i="29"/>
  <c r="C23" i="29"/>
  <c r="B23" i="29"/>
  <c r="G22" i="29"/>
  <c r="D22" i="29"/>
  <c r="A22" i="29" s="1"/>
  <c r="C22" i="29"/>
  <c r="B22" i="29"/>
  <c r="H21" i="29"/>
  <c r="G21" i="29" s="1"/>
  <c r="F21" i="29"/>
  <c r="F72" i="29" s="1"/>
  <c r="C21" i="29"/>
  <c r="G20" i="29"/>
  <c r="D20" i="29"/>
  <c r="C20" i="29"/>
  <c r="B20" i="29"/>
  <c r="A20" i="29"/>
  <c r="G19" i="29"/>
  <c r="D19" i="29"/>
  <c r="A19" i="29" s="1"/>
  <c r="C19" i="29"/>
  <c r="B19" i="29"/>
  <c r="G18" i="29"/>
  <c r="D18" i="29"/>
  <c r="C18" i="29"/>
  <c r="B18" i="29"/>
  <c r="G17" i="29"/>
  <c r="D17" i="29"/>
  <c r="C17" i="29"/>
  <c r="B17" i="29"/>
  <c r="G16" i="29"/>
  <c r="D16" i="29"/>
  <c r="C16" i="29"/>
  <c r="B16" i="29"/>
  <c r="A16" i="29"/>
  <c r="I15" i="29"/>
  <c r="I72" i="29" s="1"/>
  <c r="H15" i="29"/>
  <c r="H72" i="29" s="1"/>
  <c r="G15" i="29"/>
  <c r="D15" i="29"/>
  <c r="A15" i="29" s="1"/>
  <c r="C15" i="29"/>
  <c r="B15" i="29"/>
  <c r="I14" i="29"/>
  <c r="I71" i="29" s="1"/>
  <c r="I74" i="29" s="1"/>
  <c r="F14" i="29"/>
  <c r="F71" i="29" s="1"/>
  <c r="F74" i="29" s="1"/>
  <c r="C14" i="29"/>
  <c r="B14" i="29"/>
  <c r="G13" i="29"/>
  <c r="D13" i="29"/>
  <c r="C13" i="29"/>
  <c r="B13" i="29"/>
  <c r="G12" i="29"/>
  <c r="D12" i="29"/>
  <c r="C12" i="29"/>
  <c r="B12" i="29"/>
  <c r="G11" i="29"/>
  <c r="D11" i="29"/>
  <c r="C11" i="29"/>
  <c r="B11" i="29"/>
  <c r="G10" i="29"/>
  <c r="D10" i="29"/>
  <c r="C10" i="29"/>
  <c r="B10" i="29"/>
  <c r="A10" i="29"/>
  <c r="G9" i="29"/>
  <c r="D9" i="29"/>
  <c r="A9" i="29" s="1"/>
  <c r="C9" i="29"/>
  <c r="B9" i="29"/>
  <c r="H8" i="29"/>
  <c r="H71" i="29" s="1"/>
  <c r="D8" i="29"/>
  <c r="C8" i="29"/>
  <c r="G7" i="29"/>
  <c r="G73" i="29" s="1"/>
  <c r="D7" i="29"/>
  <c r="D73" i="29" s="1"/>
  <c r="C7" i="29"/>
  <c r="C73" i="29" s="1"/>
  <c r="B7" i="29"/>
  <c r="B73" i="29" s="1"/>
  <c r="A7" i="29"/>
  <c r="G6" i="29"/>
  <c r="G72" i="29" s="1"/>
  <c r="D6" i="29"/>
  <c r="C6" i="29"/>
  <c r="C72" i="29" s="1"/>
  <c r="B6" i="29"/>
  <c r="A6" i="29"/>
  <c r="G5" i="29"/>
  <c r="D5" i="29"/>
  <c r="C5" i="29"/>
  <c r="C71" i="29" s="1"/>
  <c r="B5" i="29"/>
  <c r="A5" i="29"/>
  <c r="I46" i="28"/>
  <c r="H46" i="28"/>
  <c r="F46" i="28"/>
  <c r="E46" i="28"/>
  <c r="I45" i="28"/>
  <c r="H45" i="28"/>
  <c r="F45" i="28"/>
  <c r="E45" i="28"/>
  <c r="I44" i="28"/>
  <c r="I47" i="28" s="1"/>
  <c r="H44" i="28"/>
  <c r="H47" i="28" s="1"/>
  <c r="F44" i="28"/>
  <c r="F47" i="28" s="1"/>
  <c r="E44" i="28"/>
  <c r="E47" i="28" s="1"/>
  <c r="G43" i="28"/>
  <c r="D43" i="28"/>
  <c r="C43" i="28"/>
  <c r="B43" i="28"/>
  <c r="A43" i="28"/>
  <c r="G42" i="28"/>
  <c r="D42" i="28"/>
  <c r="C42" i="28"/>
  <c r="B42" i="28"/>
  <c r="A42" i="28" s="1"/>
  <c r="G41" i="28"/>
  <c r="D41" i="28"/>
  <c r="C41" i="28"/>
  <c r="B41" i="28"/>
  <c r="A41" i="28"/>
  <c r="G40" i="28"/>
  <c r="D40" i="28"/>
  <c r="C40" i="28"/>
  <c r="B40" i="28"/>
  <c r="A40" i="28" s="1"/>
  <c r="G39" i="28"/>
  <c r="D39" i="28"/>
  <c r="C39" i="28"/>
  <c r="B39" i="28"/>
  <c r="A39" i="28"/>
  <c r="G38" i="28"/>
  <c r="D38" i="28"/>
  <c r="C38" i="28"/>
  <c r="B38" i="28"/>
  <c r="A38" i="28"/>
  <c r="G37" i="28"/>
  <c r="D37" i="28"/>
  <c r="C37" i="28"/>
  <c r="B37" i="28"/>
  <c r="A37" i="28" s="1"/>
  <c r="G36" i="28"/>
  <c r="D36" i="28"/>
  <c r="C36" i="28"/>
  <c r="B36" i="28"/>
  <c r="A36" i="28" s="1"/>
  <c r="G35" i="28"/>
  <c r="D35" i="28"/>
  <c r="C35" i="28"/>
  <c r="B35" i="28"/>
  <c r="A35" i="28"/>
  <c r="G34" i="28"/>
  <c r="D34" i="28"/>
  <c r="C34" i="28"/>
  <c r="B34" i="28"/>
  <c r="A34" i="28" s="1"/>
  <c r="G33" i="28"/>
  <c r="D33" i="28"/>
  <c r="C33" i="28"/>
  <c r="B33" i="28"/>
  <c r="A33" i="28" s="1"/>
  <c r="G32" i="28"/>
  <c r="D32" i="28"/>
  <c r="C32" i="28"/>
  <c r="B32" i="28"/>
  <c r="A32" i="28"/>
  <c r="G31" i="28"/>
  <c r="D31" i="28"/>
  <c r="C31" i="28"/>
  <c r="B31" i="28"/>
  <c r="A31" i="28" s="1"/>
  <c r="G30" i="28"/>
  <c r="D30" i="28"/>
  <c r="C30" i="28"/>
  <c r="B30" i="28"/>
  <c r="A30" i="28"/>
  <c r="G29" i="28"/>
  <c r="D29" i="28"/>
  <c r="C29" i="28"/>
  <c r="B29" i="28"/>
  <c r="A29" i="28" s="1"/>
  <c r="G28" i="28"/>
  <c r="D28" i="28"/>
  <c r="C28" i="28"/>
  <c r="B28" i="28"/>
  <c r="A28" i="28" s="1"/>
  <c r="G27" i="28"/>
  <c r="D27" i="28"/>
  <c r="C27" i="28"/>
  <c r="B27" i="28"/>
  <c r="A27" i="28" s="1"/>
  <c r="G26" i="28"/>
  <c r="D26" i="28"/>
  <c r="C26" i="28"/>
  <c r="B26" i="28"/>
  <c r="A26" i="28" s="1"/>
  <c r="G25" i="28"/>
  <c r="D25" i="28"/>
  <c r="C25" i="28"/>
  <c r="B25" i="28"/>
  <c r="A25" i="28" s="1"/>
  <c r="G24" i="28"/>
  <c r="D24" i="28"/>
  <c r="C24" i="28"/>
  <c r="B24" i="28"/>
  <c r="A24" i="28"/>
  <c r="G23" i="28"/>
  <c r="D23" i="28"/>
  <c r="C23" i="28"/>
  <c r="B23" i="28"/>
  <c r="A23" i="28" s="1"/>
  <c r="G22" i="28"/>
  <c r="D22" i="28"/>
  <c r="C22" i="28"/>
  <c r="B22" i="28"/>
  <c r="G21" i="28"/>
  <c r="D21" i="28"/>
  <c r="C21" i="28"/>
  <c r="B21" i="28"/>
  <c r="A21" i="28"/>
  <c r="G20" i="28"/>
  <c r="D20" i="28"/>
  <c r="C20" i="28"/>
  <c r="B20" i="28"/>
  <c r="A20" i="28" s="1"/>
  <c r="G19" i="28"/>
  <c r="D19" i="28"/>
  <c r="C19" i="28"/>
  <c r="B19" i="28"/>
  <c r="G18" i="28"/>
  <c r="D18" i="28"/>
  <c r="C18" i="28"/>
  <c r="B18" i="28"/>
  <c r="A18" i="28" s="1"/>
  <c r="G17" i="28"/>
  <c r="D17" i="28"/>
  <c r="C17" i="28"/>
  <c r="B17" i="28"/>
  <c r="A17" i="28" s="1"/>
  <c r="G16" i="28"/>
  <c r="D16" i="28"/>
  <c r="C16" i="28"/>
  <c r="B16" i="28"/>
  <c r="A16" i="28" s="1"/>
  <c r="G15" i="28"/>
  <c r="D15" i="28"/>
  <c r="C15" i="28"/>
  <c r="B15" i="28"/>
  <c r="A15" i="28"/>
  <c r="G14" i="28"/>
  <c r="D14" i="28"/>
  <c r="C14" i="28"/>
  <c r="B14" i="28"/>
  <c r="A14" i="28" s="1"/>
  <c r="G13" i="28"/>
  <c r="D13" i="28"/>
  <c r="C13" i="28"/>
  <c r="B13" i="28"/>
  <c r="A13" i="28" s="1"/>
  <c r="G12" i="28"/>
  <c r="D12" i="28"/>
  <c r="C12" i="28"/>
  <c r="B12" i="28"/>
  <c r="A12" i="28" s="1"/>
  <c r="G11" i="28"/>
  <c r="D11" i="28"/>
  <c r="C11" i="28"/>
  <c r="B11" i="28"/>
  <c r="A11" i="28" s="1"/>
  <c r="G10" i="28"/>
  <c r="D10" i="28"/>
  <c r="C10" i="28"/>
  <c r="B10" i="28"/>
  <c r="A10" i="28" s="1"/>
  <c r="G9" i="28"/>
  <c r="D9" i="28"/>
  <c r="C9" i="28"/>
  <c r="B9" i="28"/>
  <c r="G8" i="28"/>
  <c r="D8" i="28"/>
  <c r="C8" i="28"/>
  <c r="B8" i="28"/>
  <c r="G7" i="28"/>
  <c r="G46" i="28" s="1"/>
  <c r="D7" i="28"/>
  <c r="D46" i="28" s="1"/>
  <c r="C7" i="28"/>
  <c r="C46" i="28" s="1"/>
  <c r="B7" i="28"/>
  <c r="B46" i="28" s="1"/>
  <c r="A7" i="28"/>
  <c r="G6" i="28"/>
  <c r="G45" i="28" s="1"/>
  <c r="D6" i="28"/>
  <c r="D45" i="28" s="1"/>
  <c r="C6" i="28"/>
  <c r="C45" i="28" s="1"/>
  <c r="B6" i="28"/>
  <c r="B45" i="28" s="1"/>
  <c r="G5" i="28"/>
  <c r="G44" i="28" s="1"/>
  <c r="G47" i="28" s="1"/>
  <c r="D5" i="28"/>
  <c r="D44" i="28" s="1"/>
  <c r="C5" i="28"/>
  <c r="C44" i="28" s="1"/>
  <c r="C47" i="28" s="1"/>
  <c r="B5" i="28"/>
  <c r="A5" i="28"/>
  <c r="I70" i="27"/>
  <c r="H70" i="27"/>
  <c r="G70" i="27" s="1"/>
  <c r="F70" i="27"/>
  <c r="E70" i="27"/>
  <c r="C70" i="27"/>
  <c r="G69" i="27"/>
  <c r="D69" i="27"/>
  <c r="C69" i="27"/>
  <c r="B69" i="27"/>
  <c r="A69" i="27" s="1"/>
  <c r="G68" i="27"/>
  <c r="D68" i="27"/>
  <c r="C68" i="27"/>
  <c r="B68" i="27"/>
  <c r="A68" i="27" s="1"/>
  <c r="I67" i="27"/>
  <c r="H67" i="27"/>
  <c r="F67" i="27"/>
  <c r="C67" i="27" s="1"/>
  <c r="E67" i="27"/>
  <c r="D67" i="27"/>
  <c r="B67" i="27"/>
  <c r="G66" i="27"/>
  <c r="D66" i="27"/>
  <c r="C66" i="27"/>
  <c r="B66" i="27"/>
  <c r="A66" i="27"/>
  <c r="G65" i="27"/>
  <c r="D65" i="27"/>
  <c r="C65" i="27"/>
  <c r="B65" i="27"/>
  <c r="A65" i="27" s="1"/>
  <c r="H64" i="27"/>
  <c r="E64" i="27"/>
  <c r="I63" i="27"/>
  <c r="I64" i="27" s="1"/>
  <c r="G63" i="27"/>
  <c r="D63" i="27"/>
  <c r="C63" i="27"/>
  <c r="B63" i="27"/>
  <c r="A63" i="27"/>
  <c r="G62" i="27"/>
  <c r="F62" i="27"/>
  <c r="F64" i="27" s="1"/>
  <c r="B62" i="27"/>
  <c r="I61" i="27"/>
  <c r="H61" i="27"/>
  <c r="F61" i="27"/>
  <c r="C61" i="27" s="1"/>
  <c r="E61" i="27"/>
  <c r="D61" i="27"/>
  <c r="B61" i="27"/>
  <c r="G60" i="27"/>
  <c r="D60" i="27"/>
  <c r="C60" i="27"/>
  <c r="B60" i="27"/>
  <c r="A60" i="27"/>
  <c r="G59" i="27"/>
  <c r="D59" i="27"/>
  <c r="C59" i="27"/>
  <c r="B59" i="27"/>
  <c r="A59" i="27" s="1"/>
  <c r="I58" i="27"/>
  <c r="H58" i="27"/>
  <c r="G58" i="27" s="1"/>
  <c r="F58" i="27"/>
  <c r="E58" i="27"/>
  <c r="C58" i="27"/>
  <c r="G57" i="27"/>
  <c r="D57" i="27"/>
  <c r="C57" i="27"/>
  <c r="B57" i="27"/>
  <c r="A57" i="27" s="1"/>
  <c r="G56" i="27"/>
  <c r="D56" i="27"/>
  <c r="C56" i="27"/>
  <c r="B56" i="27"/>
  <c r="A56" i="27" s="1"/>
  <c r="I55" i="27"/>
  <c r="H55" i="27"/>
  <c r="E55" i="27"/>
  <c r="B55" i="27" s="1"/>
  <c r="G54" i="27"/>
  <c r="D54" i="27"/>
  <c r="C54" i="27"/>
  <c r="B54" i="27"/>
  <c r="A54" i="27"/>
  <c r="G53" i="27"/>
  <c r="F53" i="27"/>
  <c r="D53" i="27" s="1"/>
  <c r="B53" i="27"/>
  <c r="I52" i="27"/>
  <c r="H52" i="27"/>
  <c r="F52" i="27"/>
  <c r="C52" i="27" s="1"/>
  <c r="E52" i="27"/>
  <c r="D52" i="27"/>
  <c r="B52" i="27"/>
  <c r="G51" i="27"/>
  <c r="D51" i="27"/>
  <c r="C51" i="27"/>
  <c r="B51" i="27"/>
  <c r="A51" i="27"/>
  <c r="G50" i="27"/>
  <c r="D50" i="27"/>
  <c r="C50" i="27"/>
  <c r="B50" i="27"/>
  <c r="A50" i="27" s="1"/>
  <c r="I49" i="27"/>
  <c r="H49" i="27"/>
  <c r="G49" i="27" s="1"/>
  <c r="F49" i="27"/>
  <c r="E49" i="27"/>
  <c r="C49" i="27"/>
  <c r="G48" i="27"/>
  <c r="D48" i="27"/>
  <c r="C48" i="27"/>
  <c r="B48" i="27"/>
  <c r="A48" i="27"/>
  <c r="G47" i="27"/>
  <c r="D47" i="27"/>
  <c r="C47" i="27"/>
  <c r="B47" i="27"/>
  <c r="A47" i="27" s="1"/>
  <c r="I46" i="27"/>
  <c r="H46" i="27"/>
  <c r="G46" i="27"/>
  <c r="G45" i="27"/>
  <c r="D45" i="27"/>
  <c r="C45" i="27"/>
  <c r="B45" i="27"/>
  <c r="A45" i="27" s="1"/>
  <c r="G44" i="27"/>
  <c r="F44" i="27"/>
  <c r="F46" i="27" s="1"/>
  <c r="C46" i="27" s="1"/>
  <c r="E44" i="27"/>
  <c r="E46" i="27" s="1"/>
  <c r="C44" i="27"/>
  <c r="I43" i="27"/>
  <c r="H43" i="27"/>
  <c r="G43" i="27" s="1"/>
  <c r="F43" i="27"/>
  <c r="E43" i="27"/>
  <c r="D43" i="27" s="1"/>
  <c r="C43" i="27"/>
  <c r="G42" i="27"/>
  <c r="D42" i="27"/>
  <c r="C42" i="27"/>
  <c r="B42" i="27"/>
  <c r="A42" i="27"/>
  <c r="G41" i="27"/>
  <c r="D41" i="27"/>
  <c r="C41" i="27"/>
  <c r="B41" i="27"/>
  <c r="A41" i="27" s="1"/>
  <c r="I40" i="27"/>
  <c r="H40" i="27"/>
  <c r="G40" i="27" s="1"/>
  <c r="F40" i="27"/>
  <c r="E40" i="27"/>
  <c r="C40" i="27"/>
  <c r="B40" i="27"/>
  <c r="A40" i="27"/>
  <c r="G39" i="27"/>
  <c r="D39" i="27"/>
  <c r="C39" i="27"/>
  <c r="B39" i="27"/>
  <c r="A39" i="27" s="1"/>
  <c r="G38" i="27"/>
  <c r="D38" i="27"/>
  <c r="C38" i="27"/>
  <c r="B38" i="27"/>
  <c r="I37" i="27"/>
  <c r="F37" i="27"/>
  <c r="E37" i="27"/>
  <c r="D37" i="27" s="1"/>
  <c r="C37" i="27"/>
  <c r="G36" i="27"/>
  <c r="D36" i="27"/>
  <c r="C36" i="27"/>
  <c r="B36" i="27"/>
  <c r="A36" i="27" s="1"/>
  <c r="H35" i="27"/>
  <c r="H37" i="27" s="1"/>
  <c r="D35" i="27"/>
  <c r="C35" i="27"/>
  <c r="B35" i="27"/>
  <c r="A35" i="27" s="1"/>
  <c r="I34" i="27"/>
  <c r="H34" i="27"/>
  <c r="G34" i="27"/>
  <c r="F34" i="27"/>
  <c r="E34" i="27"/>
  <c r="D34" i="27" s="1"/>
  <c r="C34" i="27"/>
  <c r="G33" i="27"/>
  <c r="D33" i="27"/>
  <c r="C33" i="27"/>
  <c r="B33" i="27"/>
  <c r="A33" i="27" s="1"/>
  <c r="G32" i="27"/>
  <c r="D32" i="27"/>
  <c r="C32" i="27"/>
  <c r="B32" i="27"/>
  <c r="A32" i="27" s="1"/>
  <c r="I30" i="27"/>
  <c r="G30" i="27" s="1"/>
  <c r="F30" i="27"/>
  <c r="F31" i="27" s="1"/>
  <c r="E30" i="27"/>
  <c r="D30" i="27"/>
  <c r="B30" i="27"/>
  <c r="I29" i="27"/>
  <c r="I31" i="27" s="1"/>
  <c r="C31" i="27" s="1"/>
  <c r="H29" i="27"/>
  <c r="H31" i="27" s="1"/>
  <c r="G29" i="27"/>
  <c r="D29" i="27"/>
  <c r="C29" i="27"/>
  <c r="B29" i="27"/>
  <c r="A29" i="27"/>
  <c r="H28" i="27"/>
  <c r="F28" i="27"/>
  <c r="E28" i="27"/>
  <c r="D28" i="27"/>
  <c r="B28" i="27"/>
  <c r="I27" i="27"/>
  <c r="I28" i="27" s="1"/>
  <c r="C28" i="27" s="1"/>
  <c r="D27" i="27"/>
  <c r="B27" i="27"/>
  <c r="G26" i="27"/>
  <c r="D26" i="27"/>
  <c r="C26" i="27"/>
  <c r="B26" i="27"/>
  <c r="A26" i="27" s="1"/>
  <c r="I25" i="27"/>
  <c r="H25" i="27"/>
  <c r="G25" i="27" s="1"/>
  <c r="F25" i="27"/>
  <c r="C25" i="27" s="1"/>
  <c r="E25" i="27"/>
  <c r="D25" i="27"/>
  <c r="B25" i="27"/>
  <c r="G24" i="27"/>
  <c r="D24" i="27"/>
  <c r="C24" i="27"/>
  <c r="B24" i="27"/>
  <c r="A24" i="27" s="1"/>
  <c r="G23" i="27"/>
  <c r="D23" i="27"/>
  <c r="C23" i="27"/>
  <c r="B23" i="27"/>
  <c r="A23" i="27" s="1"/>
  <c r="I21" i="27"/>
  <c r="H21" i="27"/>
  <c r="H22" i="27" s="1"/>
  <c r="F21" i="27"/>
  <c r="F22" i="27" s="1"/>
  <c r="C21" i="27"/>
  <c r="I20" i="27"/>
  <c r="I22" i="27" s="1"/>
  <c r="G20" i="27"/>
  <c r="E20" i="27"/>
  <c r="E22" i="27" s="1"/>
  <c r="D22" i="27" s="1"/>
  <c r="D20" i="27"/>
  <c r="C20" i="27"/>
  <c r="B20" i="27"/>
  <c r="A20" i="27" s="1"/>
  <c r="I19" i="27"/>
  <c r="H19" i="27"/>
  <c r="G19" i="27" s="1"/>
  <c r="F19" i="27"/>
  <c r="E19" i="27"/>
  <c r="C19" i="27"/>
  <c r="G18" i="27"/>
  <c r="D18" i="27"/>
  <c r="C18" i="27"/>
  <c r="B18" i="27"/>
  <c r="A18" i="27" s="1"/>
  <c r="G17" i="27"/>
  <c r="D17" i="27"/>
  <c r="C17" i="27"/>
  <c r="B17" i="27"/>
  <c r="A17" i="27" s="1"/>
  <c r="F16" i="27"/>
  <c r="E16" i="27"/>
  <c r="D16" i="27"/>
  <c r="H15" i="27"/>
  <c r="G15" i="27" s="1"/>
  <c r="D15" i="27"/>
  <c r="C15" i="27"/>
  <c r="B15" i="27"/>
  <c r="A15" i="27" s="1"/>
  <c r="I14" i="27"/>
  <c r="I16" i="27" s="1"/>
  <c r="C16" i="27" s="1"/>
  <c r="D14" i="27"/>
  <c r="B14" i="27"/>
  <c r="H13" i="27"/>
  <c r="F13" i="27"/>
  <c r="E13" i="27"/>
  <c r="D13" i="27" s="1"/>
  <c r="G12" i="27"/>
  <c r="D12" i="27"/>
  <c r="C12" i="27"/>
  <c r="B12" i="27"/>
  <c r="A12" i="27" s="1"/>
  <c r="I11" i="27"/>
  <c r="G11" i="27" s="1"/>
  <c r="D11" i="27"/>
  <c r="B11" i="27"/>
  <c r="E10" i="27"/>
  <c r="I9" i="27"/>
  <c r="H9" i="27"/>
  <c r="H72" i="27" s="1"/>
  <c r="F9" i="27"/>
  <c r="F72" i="27" s="1"/>
  <c r="C9" i="27"/>
  <c r="I8" i="27"/>
  <c r="I10" i="27" s="1"/>
  <c r="H8" i="27"/>
  <c r="H10" i="27" s="1"/>
  <c r="F8" i="27"/>
  <c r="F71" i="27" s="1"/>
  <c r="C8" i="27"/>
  <c r="F7" i="27"/>
  <c r="G6" i="27"/>
  <c r="D6" i="27"/>
  <c r="C6" i="27"/>
  <c r="B6" i="27"/>
  <c r="A6" i="27" s="1"/>
  <c r="I5" i="27"/>
  <c r="H5" i="27"/>
  <c r="H71" i="27" s="1"/>
  <c r="E5" i="27"/>
  <c r="E71" i="27" s="1"/>
  <c r="C5" i="27"/>
  <c r="I78" i="26"/>
  <c r="H78" i="26"/>
  <c r="F78" i="26"/>
  <c r="E78" i="26"/>
  <c r="I77" i="26"/>
  <c r="H77" i="26"/>
  <c r="F77" i="26"/>
  <c r="E77" i="26"/>
  <c r="I76" i="26"/>
  <c r="H76" i="26"/>
  <c r="F76" i="26"/>
  <c r="E76" i="26"/>
  <c r="G75" i="26"/>
  <c r="D75" i="26"/>
  <c r="C75" i="26"/>
  <c r="B75" i="26"/>
  <c r="A75" i="26" s="1"/>
  <c r="G74" i="26"/>
  <c r="G76" i="26" s="1"/>
  <c r="D74" i="26"/>
  <c r="D76" i="26" s="1"/>
  <c r="C74" i="26"/>
  <c r="C76" i="26" s="1"/>
  <c r="B74" i="26"/>
  <c r="B76" i="26" s="1"/>
  <c r="A74" i="26"/>
  <c r="A76" i="26" s="1"/>
  <c r="I73" i="26"/>
  <c r="H73" i="26"/>
  <c r="F73" i="26"/>
  <c r="E73" i="26"/>
  <c r="G72" i="26"/>
  <c r="D72" i="26"/>
  <c r="C72" i="26"/>
  <c r="B72" i="26"/>
  <c r="A72" i="26" s="1"/>
  <c r="G71" i="26"/>
  <c r="G73" i="26" s="1"/>
  <c r="D71" i="26"/>
  <c r="D73" i="26" s="1"/>
  <c r="C71" i="26"/>
  <c r="C73" i="26" s="1"/>
  <c r="B71" i="26"/>
  <c r="A71" i="26" s="1"/>
  <c r="I70" i="26"/>
  <c r="H70" i="26"/>
  <c r="F70" i="26"/>
  <c r="E70" i="26"/>
  <c r="G69" i="26"/>
  <c r="D69" i="26"/>
  <c r="C69" i="26"/>
  <c r="B69" i="26"/>
  <c r="A69" i="26" s="1"/>
  <c r="G68" i="26"/>
  <c r="G70" i="26" s="1"/>
  <c r="D68" i="26"/>
  <c r="D70" i="26" s="1"/>
  <c r="C68" i="26"/>
  <c r="C70" i="26" s="1"/>
  <c r="B68" i="26"/>
  <c r="B70" i="26" s="1"/>
  <c r="I67" i="26"/>
  <c r="H67" i="26"/>
  <c r="F67" i="26"/>
  <c r="E67" i="26"/>
  <c r="G66" i="26"/>
  <c r="D66" i="26"/>
  <c r="C66" i="26"/>
  <c r="B66" i="26"/>
  <c r="A66" i="26"/>
  <c r="G65" i="26"/>
  <c r="G67" i="26" s="1"/>
  <c r="D65" i="26"/>
  <c r="D67" i="26" s="1"/>
  <c r="C65" i="26"/>
  <c r="C67" i="26" s="1"/>
  <c r="B65" i="26"/>
  <c r="A65" i="26" s="1"/>
  <c r="A67" i="26" s="1"/>
  <c r="I64" i="26"/>
  <c r="H64" i="26"/>
  <c r="F64" i="26"/>
  <c r="E64" i="26"/>
  <c r="G63" i="26"/>
  <c r="D63" i="26"/>
  <c r="C63" i="26"/>
  <c r="B63" i="26"/>
  <c r="A63" i="26" s="1"/>
  <c r="G62" i="26"/>
  <c r="G64" i="26" s="1"/>
  <c r="D62" i="26"/>
  <c r="D64" i="26" s="1"/>
  <c r="C62" i="26"/>
  <c r="C64" i="26" s="1"/>
  <c r="B62" i="26"/>
  <c r="B64" i="26" s="1"/>
  <c r="I61" i="26"/>
  <c r="H61" i="26"/>
  <c r="F61" i="26"/>
  <c r="E61" i="26"/>
  <c r="G60" i="26"/>
  <c r="D60" i="26"/>
  <c r="C60" i="26"/>
  <c r="B60" i="26"/>
  <c r="A60" i="26"/>
  <c r="G59" i="26"/>
  <c r="G61" i="26" s="1"/>
  <c r="D59" i="26"/>
  <c r="D61" i="26" s="1"/>
  <c r="C59" i="26"/>
  <c r="C61" i="26" s="1"/>
  <c r="B59" i="26"/>
  <c r="A59" i="26" s="1"/>
  <c r="A61" i="26" s="1"/>
  <c r="I58" i="26"/>
  <c r="H58" i="26"/>
  <c r="F58" i="26"/>
  <c r="E58" i="26"/>
  <c r="G57" i="26"/>
  <c r="D57" i="26"/>
  <c r="C57" i="26"/>
  <c r="B57" i="26"/>
  <c r="A57" i="26" s="1"/>
  <c r="G56" i="26"/>
  <c r="G58" i="26" s="1"/>
  <c r="D56" i="26"/>
  <c r="D58" i="26" s="1"/>
  <c r="C56" i="26"/>
  <c r="C58" i="26" s="1"/>
  <c r="B56" i="26"/>
  <c r="B58" i="26" s="1"/>
  <c r="I55" i="26"/>
  <c r="H55" i="26"/>
  <c r="F55" i="26"/>
  <c r="E55" i="26"/>
  <c r="G54" i="26"/>
  <c r="D54" i="26"/>
  <c r="C54" i="26"/>
  <c r="B54" i="26"/>
  <c r="A54" i="26"/>
  <c r="G53" i="26"/>
  <c r="D53" i="26"/>
  <c r="D55" i="26" s="1"/>
  <c r="C53" i="26"/>
  <c r="C55" i="26" s="1"/>
  <c r="B53" i="26"/>
  <c r="A53" i="26" s="1"/>
  <c r="A55" i="26" s="1"/>
  <c r="I52" i="26"/>
  <c r="H52" i="26"/>
  <c r="F52" i="26"/>
  <c r="E52" i="26"/>
  <c r="G51" i="26"/>
  <c r="D51" i="26"/>
  <c r="C51" i="26"/>
  <c r="B51" i="26"/>
  <c r="A51" i="26" s="1"/>
  <c r="G50" i="26"/>
  <c r="G52" i="26" s="1"/>
  <c r="D50" i="26"/>
  <c r="D52" i="26" s="1"/>
  <c r="C50" i="26"/>
  <c r="C52" i="26" s="1"/>
  <c r="B50" i="26"/>
  <c r="B52" i="26" s="1"/>
  <c r="A50" i="26"/>
  <c r="A52" i="26" s="1"/>
  <c r="I49" i="26"/>
  <c r="H49" i="26"/>
  <c r="F49" i="26"/>
  <c r="E49" i="26"/>
  <c r="G48" i="26"/>
  <c r="D48" i="26"/>
  <c r="C48" i="26"/>
  <c r="B48" i="26"/>
  <c r="A48" i="26"/>
  <c r="G47" i="26"/>
  <c r="D47" i="26"/>
  <c r="D49" i="26" s="1"/>
  <c r="C47" i="26"/>
  <c r="B47" i="26"/>
  <c r="A47" i="26" s="1"/>
  <c r="A49" i="26" s="1"/>
  <c r="I46" i="26"/>
  <c r="H46" i="26"/>
  <c r="F46" i="26"/>
  <c r="E46" i="26"/>
  <c r="G45" i="26"/>
  <c r="D45" i="26"/>
  <c r="C45" i="26"/>
  <c r="B45" i="26"/>
  <c r="A45" i="26" s="1"/>
  <c r="G44" i="26"/>
  <c r="G46" i="26" s="1"/>
  <c r="D44" i="26"/>
  <c r="D46" i="26" s="1"/>
  <c r="C44" i="26"/>
  <c r="C46" i="26" s="1"/>
  <c r="B44" i="26"/>
  <c r="B46" i="26" s="1"/>
  <c r="I43" i="26"/>
  <c r="H43" i="26"/>
  <c r="F43" i="26"/>
  <c r="E43" i="26"/>
  <c r="G42" i="26"/>
  <c r="D42" i="26"/>
  <c r="C42" i="26"/>
  <c r="B42" i="26"/>
  <c r="A42" i="26"/>
  <c r="G41" i="26"/>
  <c r="D41" i="26"/>
  <c r="D43" i="26" s="1"/>
  <c r="C41" i="26"/>
  <c r="B41" i="26"/>
  <c r="A41" i="26" s="1"/>
  <c r="A43" i="26" s="1"/>
  <c r="I40" i="26"/>
  <c r="H40" i="26"/>
  <c r="F40" i="26"/>
  <c r="E40" i="26"/>
  <c r="G39" i="26"/>
  <c r="D39" i="26"/>
  <c r="C39" i="26"/>
  <c r="B39" i="26"/>
  <c r="A39" i="26" s="1"/>
  <c r="G38" i="26"/>
  <c r="G40" i="26" s="1"/>
  <c r="D38" i="26"/>
  <c r="D40" i="26" s="1"/>
  <c r="C38" i="26"/>
  <c r="C40" i="26" s="1"/>
  <c r="B38" i="26"/>
  <c r="B40" i="26" s="1"/>
  <c r="I37" i="26"/>
  <c r="H37" i="26"/>
  <c r="F37" i="26"/>
  <c r="E37" i="26"/>
  <c r="G36" i="26"/>
  <c r="D36" i="26"/>
  <c r="C36" i="26"/>
  <c r="B36" i="26"/>
  <c r="A36" i="26"/>
  <c r="G35" i="26"/>
  <c r="D35" i="26"/>
  <c r="D37" i="26" s="1"/>
  <c r="C35" i="26"/>
  <c r="B35" i="26"/>
  <c r="A35" i="26" s="1"/>
  <c r="A37" i="26" s="1"/>
  <c r="I34" i="26"/>
  <c r="H34" i="26"/>
  <c r="F34" i="26"/>
  <c r="E34" i="26"/>
  <c r="G33" i="26"/>
  <c r="D33" i="26"/>
  <c r="C33" i="26"/>
  <c r="B33" i="26"/>
  <c r="A33" i="26" s="1"/>
  <c r="G32" i="26"/>
  <c r="G34" i="26" s="1"/>
  <c r="D32" i="26"/>
  <c r="D34" i="26" s="1"/>
  <c r="C32" i="26"/>
  <c r="C34" i="26" s="1"/>
  <c r="B32" i="26"/>
  <c r="B34" i="26" s="1"/>
  <c r="I31" i="26"/>
  <c r="H31" i="26"/>
  <c r="F31" i="26"/>
  <c r="E31" i="26"/>
  <c r="G30" i="26"/>
  <c r="D30" i="26"/>
  <c r="C30" i="26"/>
  <c r="B30" i="26"/>
  <c r="A30" i="26"/>
  <c r="G29" i="26"/>
  <c r="D29" i="26"/>
  <c r="D31" i="26" s="1"/>
  <c r="C29" i="26"/>
  <c r="B29" i="26"/>
  <c r="A29" i="26" s="1"/>
  <c r="A31" i="26" s="1"/>
  <c r="I28" i="26"/>
  <c r="H28" i="26"/>
  <c r="F28" i="26"/>
  <c r="E28" i="26"/>
  <c r="G27" i="26"/>
  <c r="D27" i="26"/>
  <c r="C27" i="26"/>
  <c r="B27" i="26"/>
  <c r="A27" i="26" s="1"/>
  <c r="G26" i="26"/>
  <c r="G28" i="26" s="1"/>
  <c r="D26" i="26"/>
  <c r="D28" i="26" s="1"/>
  <c r="C26" i="26"/>
  <c r="C28" i="26" s="1"/>
  <c r="B26" i="26"/>
  <c r="B28" i="26" s="1"/>
  <c r="I25" i="26"/>
  <c r="H25" i="26"/>
  <c r="F25" i="26"/>
  <c r="E25" i="26"/>
  <c r="G24" i="26"/>
  <c r="D24" i="26"/>
  <c r="C24" i="26"/>
  <c r="B24" i="26"/>
  <c r="A24" i="26"/>
  <c r="G23" i="26"/>
  <c r="D23" i="26"/>
  <c r="D25" i="26" s="1"/>
  <c r="C23" i="26"/>
  <c r="B23" i="26"/>
  <c r="A23" i="26" s="1"/>
  <c r="A25" i="26" s="1"/>
  <c r="I22" i="26"/>
  <c r="H22" i="26"/>
  <c r="F22" i="26"/>
  <c r="E22" i="26"/>
  <c r="G21" i="26"/>
  <c r="D21" i="26"/>
  <c r="C21" i="26"/>
  <c r="B21" i="26"/>
  <c r="A21" i="26" s="1"/>
  <c r="G20" i="26"/>
  <c r="G22" i="26" s="1"/>
  <c r="D20" i="26"/>
  <c r="D22" i="26" s="1"/>
  <c r="C20" i="26"/>
  <c r="C22" i="26" s="1"/>
  <c r="B20" i="26"/>
  <c r="B22" i="26" s="1"/>
  <c r="I19" i="26"/>
  <c r="H19" i="26"/>
  <c r="F19" i="26"/>
  <c r="E19" i="26"/>
  <c r="G18" i="26"/>
  <c r="D18" i="26"/>
  <c r="C18" i="26"/>
  <c r="B18" i="26"/>
  <c r="A18" i="26"/>
  <c r="G17" i="26"/>
  <c r="D17" i="26"/>
  <c r="D19" i="26" s="1"/>
  <c r="C17" i="26"/>
  <c r="B17" i="26"/>
  <c r="A17" i="26" s="1"/>
  <c r="A19" i="26" s="1"/>
  <c r="I16" i="26"/>
  <c r="H16" i="26"/>
  <c r="F16" i="26"/>
  <c r="E16" i="26"/>
  <c r="G15" i="26"/>
  <c r="D15" i="26"/>
  <c r="C15" i="26"/>
  <c r="B15" i="26"/>
  <c r="A15" i="26" s="1"/>
  <c r="G14" i="26"/>
  <c r="G16" i="26" s="1"/>
  <c r="D14" i="26"/>
  <c r="D16" i="26" s="1"/>
  <c r="C14" i="26"/>
  <c r="C16" i="26" s="1"/>
  <c r="B14" i="26"/>
  <c r="B16" i="26" s="1"/>
  <c r="I13" i="26"/>
  <c r="H13" i="26"/>
  <c r="F13" i="26"/>
  <c r="E13" i="26"/>
  <c r="G12" i="26"/>
  <c r="D12" i="26"/>
  <c r="C12" i="26"/>
  <c r="B12" i="26"/>
  <c r="A12" i="26"/>
  <c r="G11" i="26"/>
  <c r="D11" i="26"/>
  <c r="D13" i="26" s="1"/>
  <c r="C11" i="26"/>
  <c r="B11" i="26"/>
  <c r="A11" i="26" s="1"/>
  <c r="A13" i="26" s="1"/>
  <c r="I10" i="26"/>
  <c r="H10" i="26"/>
  <c r="F10" i="26"/>
  <c r="E10" i="26"/>
  <c r="G9" i="26"/>
  <c r="D9" i="26"/>
  <c r="C9" i="26"/>
  <c r="B9" i="26"/>
  <c r="A9" i="26" s="1"/>
  <c r="G8" i="26"/>
  <c r="G10" i="26" s="1"/>
  <c r="D8" i="26"/>
  <c r="D10" i="26" s="1"/>
  <c r="C8" i="26"/>
  <c r="C10" i="26" s="1"/>
  <c r="B8" i="26"/>
  <c r="B10" i="26" s="1"/>
  <c r="I7" i="26"/>
  <c r="I79" i="26" s="1"/>
  <c r="H7" i="26"/>
  <c r="F7" i="26"/>
  <c r="F79" i="26" s="1"/>
  <c r="E7" i="26"/>
  <c r="E79" i="26" s="1"/>
  <c r="G6" i="26"/>
  <c r="G78" i="26" s="1"/>
  <c r="D6" i="26"/>
  <c r="D78" i="26" s="1"/>
  <c r="C6" i="26"/>
  <c r="C78" i="26" s="1"/>
  <c r="B6" i="26"/>
  <c r="B78" i="26" s="1"/>
  <c r="G5" i="26"/>
  <c r="G77" i="26" s="1"/>
  <c r="D5" i="26"/>
  <c r="D77" i="26" s="1"/>
  <c r="C5" i="26"/>
  <c r="C77" i="26" s="1"/>
  <c r="B5" i="26"/>
  <c r="I28" i="25"/>
  <c r="G27" i="25"/>
  <c r="D27" i="25"/>
  <c r="C27" i="25"/>
  <c r="B27" i="25"/>
  <c r="G26" i="25"/>
  <c r="D26" i="25"/>
  <c r="C26" i="25"/>
  <c r="B26" i="25"/>
  <c r="A26" i="25"/>
  <c r="G25" i="25"/>
  <c r="D25" i="25"/>
  <c r="C25" i="25"/>
  <c r="B25" i="25"/>
  <c r="A25" i="25" s="1"/>
  <c r="G24" i="25"/>
  <c r="D24" i="25"/>
  <c r="C24" i="25"/>
  <c r="B24" i="25"/>
  <c r="A24" i="25" s="1"/>
  <c r="H23" i="25"/>
  <c r="G23" i="25" s="1"/>
  <c r="E23" i="25"/>
  <c r="E28" i="25" s="1"/>
  <c r="C23" i="25"/>
  <c r="G22" i="25"/>
  <c r="D22" i="25"/>
  <c r="C22" i="25"/>
  <c r="B22" i="25"/>
  <c r="A22" i="25"/>
  <c r="G21" i="25"/>
  <c r="D21" i="25"/>
  <c r="C21" i="25"/>
  <c r="B21" i="25"/>
  <c r="A21" i="25" s="1"/>
  <c r="G20" i="25"/>
  <c r="D20" i="25"/>
  <c r="C20" i="25"/>
  <c r="B20" i="25"/>
  <c r="A20" i="25" s="1"/>
  <c r="G19" i="25"/>
  <c r="D19" i="25"/>
  <c r="C19" i="25"/>
  <c r="B19" i="25"/>
  <c r="G18" i="25"/>
  <c r="D18" i="25"/>
  <c r="C18" i="25"/>
  <c r="B18" i="25"/>
  <c r="A18" i="25"/>
  <c r="G17" i="25"/>
  <c r="D17" i="25"/>
  <c r="C17" i="25"/>
  <c r="B17" i="25"/>
  <c r="A17" i="25" s="1"/>
  <c r="G16" i="25"/>
  <c r="D16" i="25"/>
  <c r="C16" i="25"/>
  <c r="B16" i="25"/>
  <c r="A16" i="25" s="1"/>
  <c r="G15" i="25"/>
  <c r="D15" i="25"/>
  <c r="C15" i="25"/>
  <c r="B15" i="25"/>
  <c r="G14" i="25"/>
  <c r="D14" i="25"/>
  <c r="C14" i="25"/>
  <c r="B14" i="25"/>
  <c r="A14" i="25"/>
  <c r="I13" i="25"/>
  <c r="G13" i="25"/>
  <c r="F13" i="25"/>
  <c r="F28" i="25" s="1"/>
  <c r="D13" i="25"/>
  <c r="C13" i="25"/>
  <c r="B13" i="25"/>
  <c r="A13" i="25" s="1"/>
  <c r="G12" i="25"/>
  <c r="D12" i="25"/>
  <c r="C12" i="25"/>
  <c r="B12" i="25"/>
  <c r="A12" i="25" s="1"/>
  <c r="H11" i="25"/>
  <c r="H28" i="25" s="1"/>
  <c r="D11" i="25"/>
  <c r="C11" i="25"/>
  <c r="B11" i="25"/>
  <c r="A11" i="25" s="1"/>
  <c r="G10" i="25"/>
  <c r="D10" i="25"/>
  <c r="C10" i="25"/>
  <c r="B10" i="25"/>
  <c r="G9" i="25"/>
  <c r="D9" i="25"/>
  <c r="C9" i="25"/>
  <c r="B9" i="25"/>
  <c r="A9" i="25"/>
  <c r="G8" i="25"/>
  <c r="D8" i="25"/>
  <c r="C8" i="25"/>
  <c r="B8" i="25"/>
  <c r="A8" i="25" s="1"/>
  <c r="G7" i="25"/>
  <c r="D7" i="25"/>
  <c r="C7" i="25"/>
  <c r="B7" i="25"/>
  <c r="A7" i="25" s="1"/>
  <c r="G6" i="25"/>
  <c r="D6" i="25"/>
  <c r="C6" i="25"/>
  <c r="B6" i="25"/>
  <c r="G5" i="25"/>
  <c r="D5" i="25"/>
  <c r="C5" i="25"/>
  <c r="C28" i="25" s="1"/>
  <c r="B5" i="25"/>
  <c r="A5" i="25"/>
  <c r="I30" i="24"/>
  <c r="H30" i="24"/>
  <c r="F30" i="24"/>
  <c r="E30" i="24"/>
  <c r="G29" i="24"/>
  <c r="D29" i="24"/>
  <c r="C29" i="24"/>
  <c r="B29" i="24"/>
  <c r="A29" i="24" s="1"/>
  <c r="G28" i="24"/>
  <c r="D28" i="24"/>
  <c r="C28" i="24"/>
  <c r="B28" i="24"/>
  <c r="G27" i="24"/>
  <c r="D27" i="24"/>
  <c r="C27" i="24"/>
  <c r="B27" i="24"/>
  <c r="A27" i="24"/>
  <c r="G26" i="24"/>
  <c r="D26" i="24"/>
  <c r="C26" i="24"/>
  <c r="B26" i="24"/>
  <c r="A26" i="24" s="1"/>
  <c r="G25" i="24"/>
  <c r="D25" i="24"/>
  <c r="C25" i="24"/>
  <c r="B25" i="24"/>
  <c r="A25" i="24" s="1"/>
  <c r="G24" i="24"/>
  <c r="D24" i="24"/>
  <c r="C24" i="24"/>
  <c r="B24" i="24"/>
  <c r="G23" i="24"/>
  <c r="D23" i="24"/>
  <c r="C23" i="24"/>
  <c r="B23" i="24"/>
  <c r="A23" i="24"/>
  <c r="G22" i="24"/>
  <c r="D22" i="24"/>
  <c r="C22" i="24"/>
  <c r="B22" i="24"/>
  <c r="A22" i="24" s="1"/>
  <c r="G21" i="24"/>
  <c r="D21" i="24"/>
  <c r="C21" i="24"/>
  <c r="B21" i="24"/>
  <c r="A21" i="24" s="1"/>
  <c r="G20" i="24"/>
  <c r="D20" i="24"/>
  <c r="C20" i="24"/>
  <c r="B20" i="24"/>
  <c r="G19" i="24"/>
  <c r="D19" i="24"/>
  <c r="C19" i="24"/>
  <c r="B19" i="24"/>
  <c r="A19" i="24"/>
  <c r="G18" i="24"/>
  <c r="D18" i="24"/>
  <c r="C18" i="24"/>
  <c r="B18" i="24"/>
  <c r="A18" i="24" s="1"/>
  <c r="G17" i="24"/>
  <c r="D17" i="24"/>
  <c r="C17" i="24"/>
  <c r="B17" i="24"/>
  <c r="A17" i="24" s="1"/>
  <c r="G16" i="24"/>
  <c r="D16" i="24"/>
  <c r="C16" i="24"/>
  <c r="B16" i="24"/>
  <c r="G15" i="24"/>
  <c r="D15" i="24"/>
  <c r="C15" i="24"/>
  <c r="B15" i="24"/>
  <c r="A15" i="24"/>
  <c r="G14" i="24"/>
  <c r="D14" i="24"/>
  <c r="C14" i="24"/>
  <c r="B14" i="24"/>
  <c r="A14" i="24" s="1"/>
  <c r="G13" i="24"/>
  <c r="D13" i="24"/>
  <c r="C13" i="24"/>
  <c r="B13" i="24"/>
  <c r="A13" i="24" s="1"/>
  <c r="G12" i="24"/>
  <c r="D12" i="24"/>
  <c r="C12" i="24"/>
  <c r="B12" i="24"/>
  <c r="G11" i="24"/>
  <c r="D11" i="24"/>
  <c r="C11" i="24"/>
  <c r="B11" i="24"/>
  <c r="A11" i="24"/>
  <c r="G10" i="24"/>
  <c r="D10" i="24"/>
  <c r="C10" i="24"/>
  <c r="B10" i="24"/>
  <c r="A10" i="24" s="1"/>
  <c r="G9" i="24"/>
  <c r="D9" i="24"/>
  <c r="C9" i="24"/>
  <c r="B9" i="24"/>
  <c r="G8" i="24"/>
  <c r="D8" i="24"/>
  <c r="C8" i="24"/>
  <c r="B8" i="24"/>
  <c r="A8" i="24" s="1"/>
  <c r="G7" i="24"/>
  <c r="D7" i="24"/>
  <c r="C7" i="24"/>
  <c r="B7" i="24"/>
  <c r="A7" i="24" s="1"/>
  <c r="G6" i="24"/>
  <c r="D6" i="24"/>
  <c r="C6" i="24"/>
  <c r="B6" i="24"/>
  <c r="G5" i="24"/>
  <c r="G30" i="24" s="1"/>
  <c r="D5" i="24"/>
  <c r="C5" i="24"/>
  <c r="C30" i="24" s="1"/>
  <c r="B5" i="24"/>
  <c r="A5" i="24"/>
  <c r="A53" i="27" l="1"/>
  <c r="A71" i="30"/>
  <c r="H79" i="26"/>
  <c r="A8" i="26"/>
  <c r="A10" i="26" s="1"/>
  <c r="C13" i="26"/>
  <c r="G13" i="26"/>
  <c r="A14" i="26"/>
  <c r="A16" i="26" s="1"/>
  <c r="C19" i="26"/>
  <c r="G19" i="26"/>
  <c r="A20" i="26"/>
  <c r="A22" i="26" s="1"/>
  <c r="C25" i="26"/>
  <c r="G25" i="26"/>
  <c r="A26" i="26"/>
  <c r="A28" i="26" s="1"/>
  <c r="C31" i="26"/>
  <c r="G31" i="26"/>
  <c r="A32" i="26"/>
  <c r="A34" i="26" s="1"/>
  <c r="C37" i="26"/>
  <c r="G37" i="26"/>
  <c r="A38" i="26"/>
  <c r="A40" i="26" s="1"/>
  <c r="C43" i="26"/>
  <c r="G43" i="26"/>
  <c r="A44" i="26"/>
  <c r="A46" i="26" s="1"/>
  <c r="C49" i="26"/>
  <c r="G49" i="26"/>
  <c r="G55" i="26"/>
  <c r="A56" i="26"/>
  <c r="A58" i="26" s="1"/>
  <c r="A62" i="26"/>
  <c r="A64" i="26" s="1"/>
  <c r="A68" i="26"/>
  <c r="A70" i="26" s="1"/>
  <c r="A44" i="28"/>
  <c r="A63" i="29"/>
  <c r="A64" i="29"/>
  <c r="D46" i="30"/>
  <c r="A54" i="30"/>
  <c r="A63" i="30"/>
  <c r="A64" i="30" s="1"/>
  <c r="B80" i="30"/>
  <c r="D80" i="30"/>
  <c r="C71" i="30"/>
  <c r="G71" i="30"/>
  <c r="A75" i="30"/>
  <c r="B94" i="30"/>
  <c r="A86" i="30"/>
  <c r="C87" i="30"/>
  <c r="C94" i="30" s="1"/>
  <c r="G87" i="30"/>
  <c r="A87" i="30" s="1"/>
  <c r="C88" i="30"/>
  <c r="A101" i="30"/>
  <c r="A119" i="30"/>
  <c r="A123" i="30" s="1"/>
  <c r="A471" i="31"/>
  <c r="A473" i="31" s="1"/>
  <c r="A6" i="24"/>
  <c r="A30" i="24" s="1"/>
  <c r="D30" i="24"/>
  <c r="A9" i="24"/>
  <c r="A12" i="24"/>
  <c r="A16" i="24"/>
  <c r="A20" i="24"/>
  <c r="A24" i="24"/>
  <c r="A28" i="24"/>
  <c r="B28" i="25"/>
  <c r="A6" i="25"/>
  <c r="A28" i="25" s="1"/>
  <c r="A10" i="25"/>
  <c r="G11" i="25"/>
  <c r="G28" i="25" s="1"/>
  <c r="A15" i="25"/>
  <c r="A19" i="25"/>
  <c r="B23" i="25"/>
  <c r="A23" i="25" s="1"/>
  <c r="D23" i="25"/>
  <c r="D28" i="25" s="1"/>
  <c r="A27" i="25"/>
  <c r="A5" i="26"/>
  <c r="A7" i="26" s="1"/>
  <c r="A79" i="26" s="1"/>
  <c r="A6" i="26"/>
  <c r="A78" i="26" s="1"/>
  <c r="A73" i="26"/>
  <c r="D19" i="27"/>
  <c r="C22" i="27"/>
  <c r="A38" i="27"/>
  <c r="D40" i="27"/>
  <c r="B43" i="27"/>
  <c r="A43" i="27" s="1"/>
  <c r="B49" i="27"/>
  <c r="A49" i="27" s="1"/>
  <c r="D49" i="27"/>
  <c r="G52" i="27"/>
  <c r="C53" i="27"/>
  <c r="G55" i="27"/>
  <c r="D58" i="27"/>
  <c r="G61" i="27"/>
  <c r="C62" i="27"/>
  <c r="A62" i="27" s="1"/>
  <c r="G67" i="27"/>
  <c r="D70" i="27"/>
  <c r="A6" i="28"/>
  <c r="A45" i="28" s="1"/>
  <c r="A47" i="28" s="1"/>
  <c r="A8" i="28"/>
  <c r="A9" i="28"/>
  <c r="A19" i="28"/>
  <c r="A46" i="28" s="1"/>
  <c r="A22" i="28"/>
  <c r="B8" i="29"/>
  <c r="B71" i="29" s="1"/>
  <c r="A11" i="29"/>
  <c r="A12" i="29"/>
  <c r="A13" i="29"/>
  <c r="A73" i="29" s="1"/>
  <c r="A17" i="29"/>
  <c r="A18" i="29"/>
  <c r="B21" i="29"/>
  <c r="B72" i="29" s="1"/>
  <c r="A23" i="29"/>
  <c r="A32" i="29"/>
  <c r="A33" i="29"/>
  <c r="A34" i="29"/>
  <c r="A36" i="29"/>
  <c r="A37" i="29"/>
  <c r="A42" i="29"/>
  <c r="A44" i="29"/>
  <c r="A45" i="29"/>
  <c r="A46" i="29"/>
  <c r="A56" i="29"/>
  <c r="A57" i="29"/>
  <c r="A58" i="29"/>
  <c r="B11" i="30"/>
  <c r="A5" i="30"/>
  <c r="A9" i="30"/>
  <c r="A24" i="30"/>
  <c r="D28" i="30"/>
  <c r="A34" i="30"/>
  <c r="A37" i="30"/>
  <c r="D39" i="30"/>
  <c r="A39" i="30" s="1"/>
  <c r="C40" i="30"/>
  <c r="G40" i="30"/>
  <c r="A40" i="30" s="1"/>
  <c r="A43" i="30"/>
  <c r="C80" i="30"/>
  <c r="G80" i="30"/>
  <c r="G94" i="30"/>
  <c r="C113" i="30"/>
  <c r="G151" i="30"/>
  <c r="A160" i="30"/>
  <c r="I173" i="30"/>
  <c r="A171" i="30"/>
  <c r="A182" i="30"/>
  <c r="G182" i="30"/>
  <c r="D182" i="30"/>
  <c r="A203" i="30"/>
  <c r="C207" i="30"/>
  <c r="G207" i="30"/>
  <c r="A206" i="30"/>
  <c r="A207" i="30" s="1"/>
  <c r="B257" i="30"/>
  <c r="D213" i="30"/>
  <c r="G213" i="30"/>
  <c r="G257" i="30" s="1"/>
  <c r="A217" i="30"/>
  <c r="A221" i="30"/>
  <c r="C222" i="30"/>
  <c r="A222" i="30" s="1"/>
  <c r="A224" i="30"/>
  <c r="A228" i="30"/>
  <c r="A231" i="30"/>
  <c r="A238" i="30"/>
  <c r="G279" i="30"/>
  <c r="A242" i="30"/>
  <c r="A246" i="30"/>
  <c r="A250" i="30"/>
  <c r="A254" i="30"/>
  <c r="C272" i="30"/>
  <c r="G272" i="30"/>
  <c r="A285" i="30"/>
  <c r="A287" i="30" s="1"/>
  <c r="D287" i="30"/>
  <c r="B54" i="31"/>
  <c r="A6" i="31"/>
  <c r="E55" i="31"/>
  <c r="H55" i="31"/>
  <c r="B10" i="31"/>
  <c r="A8" i="31"/>
  <c r="A10" i="31" s="1"/>
  <c r="A12" i="31"/>
  <c r="A13" i="31" s="1"/>
  <c r="B16" i="31"/>
  <c r="A14" i="31"/>
  <c r="A16" i="31" s="1"/>
  <c r="A18" i="31"/>
  <c r="B22" i="31"/>
  <c r="A20" i="31"/>
  <c r="A22" i="31" s="1"/>
  <c r="A24" i="31"/>
  <c r="A25" i="31" s="1"/>
  <c r="B28" i="31"/>
  <c r="A26" i="31"/>
  <c r="A28" i="31" s="1"/>
  <c r="A30" i="31"/>
  <c r="B34" i="31"/>
  <c r="A32" i="31"/>
  <c r="A34" i="31" s="1"/>
  <c r="A36" i="31"/>
  <c r="A37" i="31" s="1"/>
  <c r="A38" i="31"/>
  <c r="A41" i="31"/>
  <c r="C46" i="31"/>
  <c r="G46" i="31"/>
  <c r="A47" i="31"/>
  <c r="C52" i="31"/>
  <c r="G52" i="31"/>
  <c r="B75" i="31"/>
  <c r="C76" i="31"/>
  <c r="G76" i="31"/>
  <c r="A63" i="31"/>
  <c r="A65" i="31" s="1"/>
  <c r="D63" i="31"/>
  <c r="D65" i="31" s="1"/>
  <c r="G63" i="31"/>
  <c r="G65" i="31" s="1"/>
  <c r="F65" i="31"/>
  <c r="C66" i="31"/>
  <c r="C68" i="31" s="1"/>
  <c r="C71" i="31"/>
  <c r="G71" i="31"/>
  <c r="C72" i="31"/>
  <c r="C74" i="31" s="1"/>
  <c r="G72" i="31"/>
  <c r="G74" i="31" s="1"/>
  <c r="B84" i="31"/>
  <c r="I112" i="31"/>
  <c r="C113" i="31"/>
  <c r="G113" i="31"/>
  <c r="F114" i="31"/>
  <c r="B85" i="31"/>
  <c r="A85" i="31" s="1"/>
  <c r="A87" i="31" s="1"/>
  <c r="A88" i="31"/>
  <c r="G88" i="31"/>
  <c r="G90" i="31" s="1"/>
  <c r="A92" i="31"/>
  <c r="A95" i="31"/>
  <c r="A98" i="31"/>
  <c r="C102" i="31"/>
  <c r="G102" i="31"/>
  <c r="A103" i="31"/>
  <c r="C108" i="31"/>
  <c r="G108" i="31"/>
  <c r="A109" i="31"/>
  <c r="B192" i="31"/>
  <c r="D192" i="31"/>
  <c r="B121" i="31"/>
  <c r="E193" i="31"/>
  <c r="H193" i="31"/>
  <c r="A129" i="31"/>
  <c r="A131" i="31"/>
  <c r="A133" i="31" s="1"/>
  <c r="D133" i="31"/>
  <c r="D193" i="31" s="1"/>
  <c r="A135" i="31"/>
  <c r="A137" i="31"/>
  <c r="A139" i="31" s="1"/>
  <c r="D139" i="31"/>
  <c r="A141" i="31"/>
  <c r="A143" i="31"/>
  <c r="A145" i="31" s="1"/>
  <c r="D145" i="31"/>
  <c r="A147" i="31"/>
  <c r="A149" i="31"/>
  <c r="A151" i="31" s="1"/>
  <c r="D151" i="31"/>
  <c r="A153" i="31"/>
  <c r="A155" i="31"/>
  <c r="A157" i="31" s="1"/>
  <c r="D157" i="31"/>
  <c r="A159" i="31"/>
  <c r="A161" i="31"/>
  <c r="A163" i="31" s="1"/>
  <c r="D163" i="31"/>
  <c r="A165" i="31"/>
  <c r="A167" i="31"/>
  <c r="A169" i="31" s="1"/>
  <c r="D169" i="31"/>
  <c r="A171" i="31"/>
  <c r="A173" i="31"/>
  <c r="A175" i="31" s="1"/>
  <c r="D175" i="31"/>
  <c r="A177" i="31"/>
  <c r="A179" i="31"/>
  <c r="A181" i="31" s="1"/>
  <c r="D181" i="31"/>
  <c r="A183" i="31"/>
  <c r="A185" i="31"/>
  <c r="A187" i="31" s="1"/>
  <c r="D187" i="31"/>
  <c r="A189" i="31"/>
  <c r="E261" i="31"/>
  <c r="I261" i="31"/>
  <c r="A202" i="31"/>
  <c r="B206" i="31"/>
  <c r="B207" i="31"/>
  <c r="A207" i="31" s="1"/>
  <c r="A209" i="31" s="1"/>
  <c r="C210" i="31"/>
  <c r="C212" i="31" s="1"/>
  <c r="D213" i="31"/>
  <c r="D215" i="31" s="1"/>
  <c r="G213" i="31"/>
  <c r="G215" i="31" s="1"/>
  <c r="A217" i="31"/>
  <c r="A220" i="31"/>
  <c r="A223" i="31"/>
  <c r="A226" i="31"/>
  <c r="C231" i="31"/>
  <c r="C233" i="31" s="1"/>
  <c r="G231" i="31"/>
  <c r="G233" i="31" s="1"/>
  <c r="A235" i="31"/>
  <c r="B237" i="31"/>
  <c r="D238" i="31"/>
  <c r="D262" i="31" s="1"/>
  <c r="G238" i="31"/>
  <c r="C242" i="31"/>
  <c r="G242" i="31"/>
  <c r="A243" i="31"/>
  <c r="C251" i="31"/>
  <c r="G251" i="31"/>
  <c r="A252" i="31"/>
  <c r="A259" i="31"/>
  <c r="A268" i="31"/>
  <c r="C290" i="31"/>
  <c r="G290" i="31"/>
  <c r="F291" i="31"/>
  <c r="I291" i="31"/>
  <c r="C273" i="31"/>
  <c r="G273" i="31"/>
  <c r="A274" i="31"/>
  <c r="A276" i="31" s="1"/>
  <c r="C279" i="31"/>
  <c r="G279" i="31"/>
  <c r="A280" i="31"/>
  <c r="C285" i="31"/>
  <c r="G285" i="31"/>
  <c r="A286" i="31"/>
  <c r="A288" i="31" s="1"/>
  <c r="A300" i="31"/>
  <c r="B304" i="31"/>
  <c r="B307" i="31"/>
  <c r="B310" i="31"/>
  <c r="B313" i="31"/>
  <c r="D313" i="31"/>
  <c r="D370" i="31" s="1"/>
  <c r="A315" i="31"/>
  <c r="A316" i="31" s="1"/>
  <c r="B319" i="31"/>
  <c r="B322" i="31"/>
  <c r="A323" i="31"/>
  <c r="A325" i="31" s="1"/>
  <c r="D325" i="31"/>
  <c r="A327" i="31"/>
  <c r="A329" i="31"/>
  <c r="A331" i="31" s="1"/>
  <c r="D331" i="31"/>
  <c r="A336" i="31"/>
  <c r="A338" i="31"/>
  <c r="A340" i="31" s="1"/>
  <c r="D340" i="31"/>
  <c r="B342" i="31"/>
  <c r="A342" i="31" s="1"/>
  <c r="D343" i="31"/>
  <c r="A345" i="31"/>
  <c r="A346" i="31" s="1"/>
  <c r="B349" i="31"/>
  <c r="D349" i="31"/>
  <c r="G348" i="31"/>
  <c r="H368" i="31"/>
  <c r="A353" i="31"/>
  <c r="A355" i="31" s="1"/>
  <c r="D355" i="31"/>
  <c r="A360" i="31"/>
  <c r="B362" i="31"/>
  <c r="B364" i="31" s="1"/>
  <c r="A363" i="31"/>
  <c r="C367" i="31"/>
  <c r="G367" i="31"/>
  <c r="B465" i="31"/>
  <c r="D465" i="31"/>
  <c r="E466" i="31"/>
  <c r="H466" i="31"/>
  <c r="A377" i="31"/>
  <c r="A379" i="31" s="1"/>
  <c r="C377" i="31"/>
  <c r="C379" i="31" s="1"/>
  <c r="G377" i="31"/>
  <c r="G379" i="31" s="1"/>
  <c r="C380" i="31"/>
  <c r="C382" i="31" s="1"/>
  <c r="G380" i="31"/>
  <c r="G382" i="31" s="1"/>
  <c r="A383" i="31"/>
  <c r="A385" i="31" s="1"/>
  <c r="C383" i="31"/>
  <c r="C385" i="31" s="1"/>
  <c r="G383" i="31"/>
  <c r="G385" i="31" s="1"/>
  <c r="C386" i="31"/>
  <c r="C388" i="31" s="1"/>
  <c r="G386" i="31"/>
  <c r="G388" i="31" s="1"/>
  <c r="A389" i="31"/>
  <c r="A391" i="31" s="1"/>
  <c r="C394" i="31"/>
  <c r="G394" i="31"/>
  <c r="A395" i="31"/>
  <c r="C400" i="31"/>
  <c r="G400" i="31"/>
  <c r="A401" i="31"/>
  <c r="A403" i="31" s="1"/>
  <c r="C406" i="31"/>
  <c r="G406" i="31"/>
  <c r="A407" i="31"/>
  <c r="C412" i="31"/>
  <c r="G412" i="31"/>
  <c r="A413" i="31"/>
  <c r="A415" i="31" s="1"/>
  <c r="C418" i="31"/>
  <c r="G418" i="31"/>
  <c r="A419" i="31"/>
  <c r="C424" i="31"/>
  <c r="G424" i="31"/>
  <c r="A425" i="31"/>
  <c r="A427" i="31" s="1"/>
  <c r="C430" i="31"/>
  <c r="G430" i="31"/>
  <c r="A431" i="31"/>
  <c r="C436" i="31"/>
  <c r="G436" i="31"/>
  <c r="A437" i="31"/>
  <c r="A439" i="31" s="1"/>
  <c r="C442" i="31"/>
  <c r="G442" i="31"/>
  <c r="A443" i="31"/>
  <c r="C448" i="31"/>
  <c r="G448" i="31"/>
  <c r="A449" i="31"/>
  <c r="A451" i="31" s="1"/>
  <c r="C454" i="31"/>
  <c r="G454" i="31"/>
  <c r="A455" i="31"/>
  <c r="C460" i="31"/>
  <c r="G460" i="31"/>
  <c r="A461" i="31"/>
  <c r="A463" i="31" s="1"/>
  <c r="C471" i="31"/>
  <c r="C473" i="31" s="1"/>
  <c r="G471" i="31"/>
  <c r="G473" i="31" s="1"/>
  <c r="A472" i="31"/>
  <c r="A474" i="31"/>
  <c r="A476" i="31" s="1"/>
  <c r="C474" i="31"/>
  <c r="C476" i="31" s="1"/>
  <c r="G474" i="31"/>
  <c r="G476" i="31" s="1"/>
  <c r="A477" i="31"/>
  <c r="C482" i="31"/>
  <c r="G482" i="31"/>
  <c r="A483" i="31"/>
  <c r="C488" i="31"/>
  <c r="G488" i="31"/>
  <c r="A489" i="31"/>
  <c r="C494" i="31"/>
  <c r="G494" i="31"/>
  <c r="A495" i="31"/>
  <c r="C500" i="31"/>
  <c r="G500" i="31"/>
  <c r="A501" i="31"/>
  <c r="A507" i="31"/>
  <c r="A513" i="31"/>
  <c r="C518" i="31"/>
  <c r="G518" i="31"/>
  <c r="A519" i="31"/>
  <c r="A523" i="31"/>
  <c r="B527" i="31"/>
  <c r="D527" i="31"/>
  <c r="A529" i="31"/>
  <c r="A530" i="31" s="1"/>
  <c r="B533" i="31"/>
  <c r="D533" i="31"/>
  <c r="B537" i="31"/>
  <c r="B539" i="31" s="1"/>
  <c r="A538" i="31"/>
  <c r="B540" i="31"/>
  <c r="B542" i="31" s="1"/>
  <c r="D540" i="31"/>
  <c r="D542" i="31" s="1"/>
  <c r="G540" i="31"/>
  <c r="G542" i="31" s="1"/>
  <c r="A544" i="31"/>
  <c r="A553" i="31"/>
  <c r="D555" i="31"/>
  <c r="A576" i="31"/>
  <c r="A588" i="31"/>
  <c r="A600" i="31"/>
  <c r="A612" i="31"/>
  <c r="A624" i="31"/>
  <c r="B637" i="31"/>
  <c r="H637" i="31"/>
  <c r="A676" i="31"/>
  <c r="G906" i="31"/>
  <c r="A904" i="31"/>
  <c r="A906" i="31" s="1"/>
  <c r="A53" i="31"/>
  <c r="A19" i="31"/>
  <c r="A31" i="31"/>
  <c r="A76" i="31"/>
  <c r="A192" i="31"/>
  <c r="A130" i="31"/>
  <c r="A136" i="31"/>
  <c r="A142" i="31"/>
  <c r="A148" i="31"/>
  <c r="A154" i="31"/>
  <c r="A160" i="31"/>
  <c r="A166" i="31"/>
  <c r="A172" i="31"/>
  <c r="A178" i="31"/>
  <c r="A184" i="31"/>
  <c r="A190" i="31"/>
  <c r="G262" i="31"/>
  <c r="A203" i="31"/>
  <c r="A231" i="31"/>
  <c r="A233" i="31" s="1"/>
  <c r="A236" i="31"/>
  <c r="C239" i="31"/>
  <c r="G369" i="31"/>
  <c r="A301" i="31"/>
  <c r="A328" i="31"/>
  <c r="A337" i="31"/>
  <c r="A343" i="31"/>
  <c r="G349" i="31"/>
  <c r="A361" i="31"/>
  <c r="A465" i="31"/>
  <c r="B546" i="31"/>
  <c r="D546" i="31"/>
  <c r="B473" i="31"/>
  <c r="A524" i="31"/>
  <c r="A545" i="31"/>
  <c r="B555" i="31"/>
  <c r="A560" i="31"/>
  <c r="A626" i="31" s="1"/>
  <c r="B564" i="31"/>
  <c r="B567" i="31"/>
  <c r="D567" i="31"/>
  <c r="A569" i="31"/>
  <c r="A570" i="31" s="1"/>
  <c r="B573" i="31"/>
  <c r="D573" i="31"/>
  <c r="A575" i="31"/>
  <c r="B579" i="31"/>
  <c r="D579" i="31"/>
  <c r="A581" i="31"/>
  <c r="A582" i="31" s="1"/>
  <c r="B585" i="31"/>
  <c r="D585" i="31"/>
  <c r="A587" i="31"/>
  <c r="B591" i="31"/>
  <c r="D591" i="31"/>
  <c r="A593" i="31"/>
  <c r="A594" i="31" s="1"/>
  <c r="B597" i="31"/>
  <c r="D597" i="31"/>
  <c r="A599" i="31"/>
  <c r="B603" i="31"/>
  <c r="D603" i="31"/>
  <c r="A605" i="31"/>
  <c r="A606" i="31" s="1"/>
  <c r="B609" i="31"/>
  <c r="D609" i="31"/>
  <c r="A611" i="31"/>
  <c r="B615" i="31"/>
  <c r="D615" i="31"/>
  <c r="A617" i="31"/>
  <c r="A618" i="31" s="1"/>
  <c r="B621" i="31"/>
  <c r="D621" i="31"/>
  <c r="A623" i="31"/>
  <c r="C634" i="31"/>
  <c r="C682" i="31" s="1"/>
  <c r="G634" i="31"/>
  <c r="H682" i="31"/>
  <c r="G635" i="31"/>
  <c r="G637" i="31" s="1"/>
  <c r="A639" i="31"/>
  <c r="A681" i="31" s="1"/>
  <c r="A641" i="31"/>
  <c r="A643" i="31" s="1"/>
  <c r="A646" i="31"/>
  <c r="B762" i="31"/>
  <c r="A810" i="31"/>
  <c r="H906" i="31"/>
  <c r="A909" i="31"/>
  <c r="A921" i="31"/>
  <c r="A936" i="31"/>
  <c r="B952" i="31"/>
  <c r="B955" i="31"/>
  <c r="A1034" i="31"/>
  <c r="A65" i="32"/>
  <c r="A103" i="32"/>
  <c r="C215" i="32"/>
  <c r="D643" i="31"/>
  <c r="A645" i="31"/>
  <c r="A647" i="31"/>
  <c r="A649" i="31" s="1"/>
  <c r="D649" i="31"/>
  <c r="A654" i="31"/>
  <c r="A655" i="31" s="1"/>
  <c r="A656" i="31"/>
  <c r="A658" i="31" s="1"/>
  <c r="D658" i="31"/>
  <c r="A660" i="31"/>
  <c r="A661" i="31" s="1"/>
  <c r="A662" i="31"/>
  <c r="A664" i="31" s="1"/>
  <c r="D664" i="31"/>
  <c r="A666" i="31"/>
  <c r="A667" i="31" s="1"/>
  <c r="A668" i="31"/>
  <c r="A670" i="31" s="1"/>
  <c r="D670" i="31"/>
  <c r="A675" i="31"/>
  <c r="A677" i="31"/>
  <c r="A679" i="31" s="1"/>
  <c r="D679" i="31"/>
  <c r="B705" i="31"/>
  <c r="C737" i="31"/>
  <c r="F738" i="31"/>
  <c r="B708" i="31"/>
  <c r="B711" i="31"/>
  <c r="B714" i="31"/>
  <c r="B717" i="31"/>
  <c r="B720" i="31"/>
  <c r="B721" i="31"/>
  <c r="A721" i="31" s="1"/>
  <c r="A723" i="31" s="1"/>
  <c r="B722" i="31"/>
  <c r="A722" i="31" s="1"/>
  <c r="B733" i="31"/>
  <c r="B735" i="31" s="1"/>
  <c r="A734" i="31"/>
  <c r="A744" i="31"/>
  <c r="C762" i="31"/>
  <c r="F763" i="31"/>
  <c r="I763" i="31"/>
  <c r="A747" i="31"/>
  <c r="A748" i="31" s="1"/>
  <c r="B749" i="31"/>
  <c r="A749" i="31" s="1"/>
  <c r="A751" i="31" s="1"/>
  <c r="B750" i="31"/>
  <c r="A750" i="31" s="1"/>
  <c r="A759" i="31"/>
  <c r="A760" i="31" s="1"/>
  <c r="A768" i="31"/>
  <c r="G768" i="31"/>
  <c r="I795" i="31"/>
  <c r="C796" i="31"/>
  <c r="G796" i="31"/>
  <c r="F797" i="31"/>
  <c r="A772" i="31"/>
  <c r="C776" i="31"/>
  <c r="G776" i="31"/>
  <c r="A777" i="31"/>
  <c r="A779" i="31" s="1"/>
  <c r="C777" i="31"/>
  <c r="C779" i="31" s="1"/>
  <c r="G777" i="31"/>
  <c r="G779" i="31" s="1"/>
  <c r="A780" i="31"/>
  <c r="B788" i="31"/>
  <c r="B789" i="31"/>
  <c r="B791" i="31" s="1"/>
  <c r="A790" i="31"/>
  <c r="A796" i="31" s="1"/>
  <c r="C794" i="31"/>
  <c r="G794" i="31"/>
  <c r="B823" i="31"/>
  <c r="C824" i="31"/>
  <c r="G824" i="31"/>
  <c r="F825" i="31"/>
  <c r="A805" i="31"/>
  <c r="A807" i="31" s="1"/>
  <c r="D807" i="31"/>
  <c r="A809" i="31"/>
  <c r="A824" i="31" s="1"/>
  <c r="A811" i="31"/>
  <c r="A813" i="31" s="1"/>
  <c r="D813" i="31"/>
  <c r="A818" i="31"/>
  <c r="A819" i="31" s="1"/>
  <c r="A820" i="31"/>
  <c r="A830" i="31"/>
  <c r="C830" i="31"/>
  <c r="G830" i="31"/>
  <c r="A831" i="31"/>
  <c r="A855" i="31" s="1"/>
  <c r="C855" i="31"/>
  <c r="G855" i="31"/>
  <c r="F856" i="31"/>
  <c r="C833" i="31"/>
  <c r="C835" i="31" s="1"/>
  <c r="G833" i="31"/>
  <c r="G835" i="31" s="1"/>
  <c r="A836" i="31"/>
  <c r="A838" i="31" s="1"/>
  <c r="C836" i="31"/>
  <c r="C838" i="31" s="1"/>
  <c r="G836" i="31"/>
  <c r="G838" i="31" s="1"/>
  <c r="A839" i="31"/>
  <c r="C844" i="31"/>
  <c r="G844" i="31"/>
  <c r="A845" i="31"/>
  <c r="C850" i="31"/>
  <c r="G850" i="31"/>
  <c r="A851" i="31"/>
  <c r="A861" i="31"/>
  <c r="C871" i="31"/>
  <c r="G871" i="31"/>
  <c r="F872" i="31"/>
  <c r="A868" i="31"/>
  <c r="D943" i="31"/>
  <c r="B944" i="31"/>
  <c r="D944" i="31"/>
  <c r="E945" i="31"/>
  <c r="B882" i="31"/>
  <c r="D882" i="31"/>
  <c r="A884" i="31"/>
  <c r="A885" i="31" s="1"/>
  <c r="B888" i="31"/>
  <c r="D888" i="31"/>
  <c r="A890" i="31"/>
  <c r="A891" i="31" s="1"/>
  <c r="B894" i="31"/>
  <c r="D894" i="31"/>
  <c r="A896" i="31"/>
  <c r="A897" i="31" s="1"/>
  <c r="B900" i="31"/>
  <c r="D900" i="31"/>
  <c r="H943" i="31"/>
  <c r="H903" i="31"/>
  <c r="A908" i="31"/>
  <c r="B912" i="31"/>
  <c r="D912" i="31"/>
  <c r="A914" i="31"/>
  <c r="A915" i="31" s="1"/>
  <c r="B918" i="31"/>
  <c r="D918" i="31"/>
  <c r="A920" i="31"/>
  <c r="B924" i="31"/>
  <c r="D924" i="31"/>
  <c r="A926" i="31"/>
  <c r="A927" i="31" s="1"/>
  <c r="B928" i="31"/>
  <c r="B930" i="31" s="1"/>
  <c r="A929" i="31"/>
  <c r="B933" i="31"/>
  <c r="D933" i="31"/>
  <c r="A935" i="31"/>
  <c r="B939" i="31"/>
  <c r="D939" i="31"/>
  <c r="A950" i="31"/>
  <c r="A952" i="31" s="1"/>
  <c r="C950" i="31"/>
  <c r="C952" i="31" s="1"/>
  <c r="G950" i="31"/>
  <c r="G952" i="31" s="1"/>
  <c r="G964" i="31" s="1"/>
  <c r="A951" i="31"/>
  <c r="A963" i="31" s="1"/>
  <c r="C963" i="31"/>
  <c r="G963" i="31"/>
  <c r="D952" i="31"/>
  <c r="D964" i="31" s="1"/>
  <c r="F964" i="31"/>
  <c r="C953" i="31"/>
  <c r="C955" i="31" s="1"/>
  <c r="G953" i="31"/>
  <c r="G955" i="31" s="1"/>
  <c r="E1068" i="31"/>
  <c r="A1009" i="31"/>
  <c r="D1069" i="31"/>
  <c r="I1070" i="31"/>
  <c r="D1011" i="31"/>
  <c r="D1013" i="31" s="1"/>
  <c r="A1015" i="31"/>
  <c r="A1017" i="31"/>
  <c r="A1019" i="31" s="1"/>
  <c r="D1019" i="31"/>
  <c r="A1021" i="31"/>
  <c r="A1023" i="31"/>
  <c r="A1025" i="31" s="1"/>
  <c r="D1025" i="31"/>
  <c r="A1027" i="31"/>
  <c r="A1029" i="31"/>
  <c r="A1031" i="31" s="1"/>
  <c r="D1031" i="31"/>
  <c r="B1034" i="31"/>
  <c r="D1034" i="31"/>
  <c r="A1035" i="31"/>
  <c r="A1037" i="31" s="1"/>
  <c r="C1035" i="31"/>
  <c r="C1037" i="31" s="1"/>
  <c r="G1037" i="31"/>
  <c r="A1038" i="31"/>
  <c r="A1040" i="31" s="1"/>
  <c r="C1043" i="31"/>
  <c r="G1043" i="31"/>
  <c r="A1044" i="31"/>
  <c r="A1046" i="31" s="1"/>
  <c r="C1049" i="31"/>
  <c r="G1049" i="31"/>
  <c r="A1050" i="31"/>
  <c r="A1052" i="31" s="1"/>
  <c r="C1055" i="31"/>
  <c r="G1055" i="31"/>
  <c r="A1056" i="31"/>
  <c r="A1058" i="31" s="1"/>
  <c r="C1061" i="31"/>
  <c r="G1061" i="31"/>
  <c r="B1064" i="31"/>
  <c r="D1064" i="31"/>
  <c r="A1066" i="31"/>
  <c r="A10" i="32"/>
  <c r="A43" i="32" s="1"/>
  <c r="A44" i="32" s="1"/>
  <c r="E44" i="32"/>
  <c r="I44" i="32"/>
  <c r="B65" i="32"/>
  <c r="D65" i="32"/>
  <c r="D68" i="32" s="1"/>
  <c r="I68" i="32"/>
  <c r="B66" i="32"/>
  <c r="D66" i="32"/>
  <c r="A55" i="32"/>
  <c r="A58" i="32"/>
  <c r="A61" i="32"/>
  <c r="E68" i="32"/>
  <c r="H68" i="32"/>
  <c r="A74" i="32"/>
  <c r="C101" i="32"/>
  <c r="G101" i="32"/>
  <c r="C102" i="32"/>
  <c r="G102" i="32"/>
  <c r="B103" i="32"/>
  <c r="B104" i="32" s="1"/>
  <c r="D103" i="32"/>
  <c r="D104" i="32" s="1"/>
  <c r="A77" i="32"/>
  <c r="A81" i="32"/>
  <c r="H102" i="32"/>
  <c r="A86" i="32"/>
  <c r="A92" i="32"/>
  <c r="A96" i="32"/>
  <c r="E104" i="32"/>
  <c r="C158" i="32"/>
  <c r="C161" i="32" s="1"/>
  <c r="G158" i="32"/>
  <c r="B159" i="32"/>
  <c r="B161" i="32" s="1"/>
  <c r="D159" i="32"/>
  <c r="B160" i="32"/>
  <c r="A112" i="32"/>
  <c r="A116" i="32"/>
  <c r="G117" i="32"/>
  <c r="A117" i="32" s="1"/>
  <c r="A159" i="32" s="1"/>
  <c r="A119" i="32"/>
  <c r="A120" i="32"/>
  <c r="A123" i="32"/>
  <c r="A127" i="32"/>
  <c r="A129" i="32"/>
  <c r="A132" i="32"/>
  <c r="A136" i="32"/>
  <c r="A140" i="32"/>
  <c r="A158" i="32" s="1"/>
  <c r="A144" i="32"/>
  <c r="A148" i="32"/>
  <c r="A152" i="32"/>
  <c r="A156" i="32"/>
  <c r="F161" i="32"/>
  <c r="B212" i="32"/>
  <c r="D212" i="32"/>
  <c r="B213" i="32"/>
  <c r="D213" i="32"/>
  <c r="A169" i="32"/>
  <c r="C214" i="32"/>
  <c r="G214" i="32"/>
  <c r="G215" i="32" s="1"/>
  <c r="A172" i="32"/>
  <c r="A176" i="32"/>
  <c r="A212" i="32" s="1"/>
  <c r="A180" i="32"/>
  <c r="A184" i="32"/>
  <c r="A188" i="32"/>
  <c r="A192" i="32"/>
  <c r="A196" i="32"/>
  <c r="A200" i="32"/>
  <c r="A204" i="32"/>
  <c r="A208" i="32"/>
  <c r="A248" i="32"/>
  <c r="C281" i="32"/>
  <c r="B280" i="32"/>
  <c r="D280" i="32"/>
  <c r="D281" i="32" s="1"/>
  <c r="A251" i="32"/>
  <c r="B255" i="32"/>
  <c r="B279" i="32" s="1"/>
  <c r="B281" i="32" s="1"/>
  <c r="A256" i="32"/>
  <c r="A280" i="32" s="1"/>
  <c r="A258" i="32"/>
  <c r="H281" i="32"/>
  <c r="A263" i="32"/>
  <c r="B267" i="32"/>
  <c r="A268" i="32"/>
  <c r="B320" i="32"/>
  <c r="A304" i="32"/>
  <c r="A319" i="32" s="1"/>
  <c r="C305" i="32"/>
  <c r="C306" i="32"/>
  <c r="A310" i="32"/>
  <c r="A314" i="32"/>
  <c r="C315" i="32"/>
  <c r="B22" i="27"/>
  <c r="A22" i="27" s="1"/>
  <c r="G22" i="27"/>
  <c r="A77" i="26"/>
  <c r="B10" i="27"/>
  <c r="G10" i="27"/>
  <c r="A25" i="27"/>
  <c r="A28" i="27"/>
  <c r="G28" i="27"/>
  <c r="B37" i="27"/>
  <c r="A37" i="27" s="1"/>
  <c r="G37" i="27"/>
  <c r="G200" i="31"/>
  <c r="B30" i="24"/>
  <c r="B7" i="26"/>
  <c r="D7" i="26"/>
  <c r="D79" i="26" s="1"/>
  <c r="B13" i="26"/>
  <c r="B19" i="26"/>
  <c r="B25" i="26"/>
  <c r="B31" i="26"/>
  <c r="B37" i="26"/>
  <c r="B43" i="26"/>
  <c r="B49" i="26"/>
  <c r="B55" i="26"/>
  <c r="B61" i="26"/>
  <c r="B67" i="26"/>
  <c r="B73" i="26"/>
  <c r="B77" i="26"/>
  <c r="H7" i="27"/>
  <c r="I13" i="27"/>
  <c r="H16" i="27"/>
  <c r="D64" i="27"/>
  <c r="G31" i="27"/>
  <c r="B31" i="27"/>
  <c r="A31" i="27" s="1"/>
  <c r="E31" i="27"/>
  <c r="D31" i="27" s="1"/>
  <c r="E72" i="27"/>
  <c r="D46" i="27"/>
  <c r="B46" i="27"/>
  <c r="A46" i="27" s="1"/>
  <c r="G64" i="27"/>
  <c r="C64" i="27"/>
  <c r="G75" i="31"/>
  <c r="G62" i="31"/>
  <c r="G77" i="31" s="1"/>
  <c r="C7" i="26"/>
  <c r="G7" i="26"/>
  <c r="G79" i="26" s="1"/>
  <c r="B5" i="27"/>
  <c r="D5" i="27"/>
  <c r="G5" i="27"/>
  <c r="I71" i="27"/>
  <c r="E7" i="27"/>
  <c r="I7" i="27"/>
  <c r="B8" i="27"/>
  <c r="A8" i="27" s="1"/>
  <c r="D8" i="27"/>
  <c r="G8" i="27"/>
  <c r="B9" i="27"/>
  <c r="A9" i="27" s="1"/>
  <c r="D9" i="27"/>
  <c r="D72" i="27" s="1"/>
  <c r="G9" i="27"/>
  <c r="I72" i="27"/>
  <c r="F10" i="27"/>
  <c r="C10" i="27" s="1"/>
  <c r="C11" i="27"/>
  <c r="B13" i="27"/>
  <c r="C14" i="27"/>
  <c r="A14" i="27" s="1"/>
  <c r="G14" i="27"/>
  <c r="B19" i="27"/>
  <c r="A19" i="27" s="1"/>
  <c r="B21" i="27"/>
  <c r="A21" i="27" s="1"/>
  <c r="D21" i="27"/>
  <c r="G21" i="27"/>
  <c r="C27" i="27"/>
  <c r="G27" i="27"/>
  <c r="C30" i="27"/>
  <c r="A30" i="27" s="1"/>
  <c r="A52" i="27"/>
  <c r="A61" i="27"/>
  <c r="A67" i="27"/>
  <c r="D47" i="28"/>
  <c r="C74" i="29"/>
  <c r="H74" i="29"/>
  <c r="A11" i="30"/>
  <c r="A28" i="30"/>
  <c r="A46" i="30"/>
  <c r="G46" i="30"/>
  <c r="A56" i="30"/>
  <c r="A104" i="30"/>
  <c r="D257" i="30"/>
  <c r="A43" i="31"/>
  <c r="A49" i="31"/>
  <c r="F77" i="31"/>
  <c r="A90" i="31"/>
  <c r="A105" i="31"/>
  <c r="A111" i="31"/>
  <c r="A245" i="31"/>
  <c r="A254" i="31"/>
  <c r="A289" i="31"/>
  <c r="A282" i="31"/>
  <c r="A376" i="31"/>
  <c r="B44" i="27"/>
  <c r="A44" i="27" s="1"/>
  <c r="D44" i="27"/>
  <c r="F55" i="27"/>
  <c r="B44" i="28"/>
  <c r="B47" i="28" s="1"/>
  <c r="G8" i="29"/>
  <c r="A8" i="29" s="1"/>
  <c r="D14" i="29"/>
  <c r="D71" i="29" s="1"/>
  <c r="G14" i="29"/>
  <c r="A14" i="29" s="1"/>
  <c r="D21" i="29"/>
  <c r="A21" i="29" s="1"/>
  <c r="D11" i="30"/>
  <c r="B28" i="30"/>
  <c r="D56" i="30"/>
  <c r="D94" i="30"/>
  <c r="B123" i="30"/>
  <c r="B142" i="30"/>
  <c r="H142" i="30"/>
  <c r="I163" i="30"/>
  <c r="B173" i="30"/>
  <c r="B272" i="30"/>
  <c r="B287" i="30"/>
  <c r="A7" i="31"/>
  <c r="C7" i="31"/>
  <c r="C55" i="31" s="1"/>
  <c r="G7" i="31"/>
  <c r="D10" i="31"/>
  <c r="D16" i="31"/>
  <c r="D22" i="31"/>
  <c r="D28" i="31"/>
  <c r="D34" i="31"/>
  <c r="D40" i="31"/>
  <c r="A40" i="31" s="1"/>
  <c r="D46" i="31"/>
  <c r="D52" i="31"/>
  <c r="D54" i="31"/>
  <c r="I62" i="31"/>
  <c r="B65" i="31"/>
  <c r="I68" i="31"/>
  <c r="B71" i="31"/>
  <c r="I75" i="31"/>
  <c r="B76" i="31"/>
  <c r="I84" i="31"/>
  <c r="B87" i="31"/>
  <c r="H87" i="31"/>
  <c r="H114" i="31" s="1"/>
  <c r="I93" i="31"/>
  <c r="I96" i="31"/>
  <c r="I99" i="31"/>
  <c r="B102" i="31"/>
  <c r="B108" i="31"/>
  <c r="B112" i="31"/>
  <c r="D112" i="31"/>
  <c r="H112" i="31"/>
  <c r="B133" i="31"/>
  <c r="B139" i="31"/>
  <c r="B145" i="31"/>
  <c r="B151" i="31"/>
  <c r="B157" i="31"/>
  <c r="B163" i="31"/>
  <c r="B169" i="31"/>
  <c r="B175" i="31"/>
  <c r="B181" i="31"/>
  <c r="B187" i="31"/>
  <c r="H200" i="31"/>
  <c r="H263" i="31" s="1"/>
  <c r="I206" i="31"/>
  <c r="B209" i="31"/>
  <c r="H209" i="31"/>
  <c r="I212" i="31"/>
  <c r="I215" i="31"/>
  <c r="I218" i="31"/>
  <c r="I221" i="31"/>
  <c r="I224" i="31"/>
  <c r="I227" i="31"/>
  <c r="B233" i="31"/>
  <c r="H233" i="31"/>
  <c r="E239" i="31"/>
  <c r="B242" i="31"/>
  <c r="B251" i="31"/>
  <c r="I260" i="31"/>
  <c r="F261" i="31"/>
  <c r="H261" i="31"/>
  <c r="E262" i="31"/>
  <c r="C270" i="31"/>
  <c r="G270" i="31"/>
  <c r="G291" i="31" s="1"/>
  <c r="B273" i="31"/>
  <c r="B279" i="31"/>
  <c r="B285" i="31"/>
  <c r="B289" i="31"/>
  <c r="D289" i="31"/>
  <c r="A369" i="31"/>
  <c r="I304" i="31"/>
  <c r="I307" i="31"/>
  <c r="I310" i="31"/>
  <c r="B34" i="27"/>
  <c r="A34" i="27" s="1"/>
  <c r="G35" i="27"/>
  <c r="B58" i="27"/>
  <c r="A58" i="27" s="1"/>
  <c r="D62" i="27"/>
  <c r="B64" i="27"/>
  <c r="B70" i="27"/>
  <c r="A70" i="27" s="1"/>
  <c r="D17" i="30"/>
  <c r="D18" i="30" s="1"/>
  <c r="C39" i="30"/>
  <c r="C42" i="30"/>
  <c r="C43" i="30"/>
  <c r="A70" i="30"/>
  <c r="A110" i="30"/>
  <c r="A113" i="30" s="1"/>
  <c r="C137" i="30"/>
  <c r="G137" i="30"/>
  <c r="G142" i="30" s="1"/>
  <c r="C138" i="30"/>
  <c r="A138" i="30" s="1"/>
  <c r="C139" i="30"/>
  <c r="A139" i="30" s="1"/>
  <c r="C157" i="30"/>
  <c r="C163" i="30" s="1"/>
  <c r="C169" i="30"/>
  <c r="G169" i="30"/>
  <c r="G173" i="30" s="1"/>
  <c r="C170" i="30"/>
  <c r="A170" i="30" s="1"/>
  <c r="A213" i="30"/>
  <c r="A263" i="30"/>
  <c r="A264" i="30" s="1"/>
  <c r="B7" i="31"/>
  <c r="B55" i="31" s="1"/>
  <c r="D7" i="31"/>
  <c r="C60" i="31"/>
  <c r="B62" i="31"/>
  <c r="D62" i="31"/>
  <c r="D77" i="31" s="1"/>
  <c r="D66" i="31"/>
  <c r="D68" i="31" s="1"/>
  <c r="A82" i="31"/>
  <c r="C82" i="31"/>
  <c r="G82" i="31"/>
  <c r="A83" i="31"/>
  <c r="A91" i="31"/>
  <c r="A93" i="31" s="1"/>
  <c r="C91" i="31"/>
  <c r="C93" i="31" s="1"/>
  <c r="A94" i="31"/>
  <c r="A96" i="31" s="1"/>
  <c r="C94" i="31"/>
  <c r="C96" i="31" s="1"/>
  <c r="A97" i="31"/>
  <c r="A99" i="31" s="1"/>
  <c r="C97" i="31"/>
  <c r="C99" i="31" s="1"/>
  <c r="A121" i="31"/>
  <c r="A193" i="31" s="1"/>
  <c r="C121" i="31"/>
  <c r="C193" i="31" s="1"/>
  <c r="G121" i="31"/>
  <c r="G193" i="31" s="1"/>
  <c r="I121" i="31"/>
  <c r="I193" i="31" s="1"/>
  <c r="B198" i="31"/>
  <c r="D198" i="31"/>
  <c r="C200" i="31"/>
  <c r="E200" i="31"/>
  <c r="I200" i="31"/>
  <c r="I263" i="31" s="1"/>
  <c r="C204" i="31"/>
  <c r="C206" i="31" s="1"/>
  <c r="D210" i="31"/>
  <c r="D212" i="31" s="1"/>
  <c r="A213" i="31"/>
  <c r="A215" i="31" s="1"/>
  <c r="C216" i="31"/>
  <c r="C218" i="31" s="1"/>
  <c r="C219" i="31"/>
  <c r="C221" i="31" s="1"/>
  <c r="C222" i="31"/>
  <c r="C224" i="31" s="1"/>
  <c r="C225" i="31"/>
  <c r="C227" i="31" s="1"/>
  <c r="A228" i="31"/>
  <c r="A230" i="31" s="1"/>
  <c r="G228" i="31"/>
  <c r="G230" i="31" s="1"/>
  <c r="A237" i="31"/>
  <c r="G237" i="31"/>
  <c r="G239" i="31" s="1"/>
  <c r="B238" i="31"/>
  <c r="A238" i="31" s="1"/>
  <c r="A262" i="31" s="1"/>
  <c r="F239" i="31"/>
  <c r="F263" i="31" s="1"/>
  <c r="A246" i="31"/>
  <c r="A248" i="31" s="1"/>
  <c r="G246" i="31"/>
  <c r="G248" i="31" s="1"/>
  <c r="A255" i="31"/>
  <c r="A257" i="31" s="1"/>
  <c r="G255" i="31"/>
  <c r="G257" i="31" s="1"/>
  <c r="C258" i="31"/>
  <c r="C260" i="31" s="1"/>
  <c r="A269" i="31"/>
  <c r="A290" i="31" s="1"/>
  <c r="B368" i="31"/>
  <c r="D368" i="31"/>
  <c r="I368" i="31"/>
  <c r="D369" i="31"/>
  <c r="A298" i="31"/>
  <c r="C298" i="31"/>
  <c r="E370" i="31"/>
  <c r="G298" i="31"/>
  <c r="I298" i="31"/>
  <c r="A302" i="31"/>
  <c r="A304" i="31" s="1"/>
  <c r="C302" i="31"/>
  <c r="C304" i="31" s="1"/>
  <c r="A305" i="31"/>
  <c r="A307" i="31" s="1"/>
  <c r="C305" i="31"/>
  <c r="C307" i="31" s="1"/>
  <c r="A308" i="31"/>
  <c r="A310" i="31" s="1"/>
  <c r="C308" i="31"/>
  <c r="C310" i="31" s="1"/>
  <c r="A311" i="31"/>
  <c r="A313" i="31" s="1"/>
  <c r="C313" i="31"/>
  <c r="G313" i="31"/>
  <c r="A397" i="31"/>
  <c r="A409" i="31"/>
  <c r="A421" i="31"/>
  <c r="A433" i="31"/>
  <c r="A445" i="31"/>
  <c r="A457" i="31"/>
  <c r="D548" i="31"/>
  <c r="A479" i="31"/>
  <c r="A485" i="31"/>
  <c r="A491" i="31"/>
  <c r="A497" i="31"/>
  <c r="A503" i="31"/>
  <c r="A509" i="31"/>
  <c r="A515" i="31"/>
  <c r="A521" i="31"/>
  <c r="G823" i="31"/>
  <c r="G804" i="31"/>
  <c r="G825" i="31" s="1"/>
  <c r="I319" i="31"/>
  <c r="I322" i="31"/>
  <c r="B325" i="31"/>
  <c r="B331" i="31"/>
  <c r="B340" i="31"/>
  <c r="B343" i="31"/>
  <c r="H343" i="31"/>
  <c r="B355" i="31"/>
  <c r="B367" i="31"/>
  <c r="H369" i="31"/>
  <c r="B376" i="31"/>
  <c r="D376" i="31"/>
  <c r="D466" i="31" s="1"/>
  <c r="B394" i="31"/>
  <c r="B400" i="31"/>
  <c r="B406" i="31"/>
  <c r="B412" i="31"/>
  <c r="B418" i="31"/>
  <c r="B424" i="31"/>
  <c r="B430" i="31"/>
  <c r="B436" i="31"/>
  <c r="B442" i="31"/>
  <c r="B448" i="31"/>
  <c r="B454" i="31"/>
  <c r="B460" i="31"/>
  <c r="B464" i="31"/>
  <c r="B482" i="31"/>
  <c r="B488" i="31"/>
  <c r="B494" i="31"/>
  <c r="B500" i="31"/>
  <c r="B506" i="31"/>
  <c r="H506" i="31"/>
  <c r="B512" i="31"/>
  <c r="H512" i="31"/>
  <c r="B518" i="31"/>
  <c r="A525" i="31"/>
  <c r="A527" i="31" s="1"/>
  <c r="A531" i="31"/>
  <c r="A533" i="31" s="1"/>
  <c r="A537" i="31"/>
  <c r="G537" i="31"/>
  <c r="G539" i="31" s="1"/>
  <c r="A540" i="31"/>
  <c r="A542" i="31" s="1"/>
  <c r="E542" i="31"/>
  <c r="E548" i="31" s="1"/>
  <c r="C546" i="31"/>
  <c r="I546" i="31"/>
  <c r="H547" i="31"/>
  <c r="A555" i="31"/>
  <c r="C555" i="31"/>
  <c r="C627" i="31" s="1"/>
  <c r="G555" i="31"/>
  <c r="I555" i="31"/>
  <c r="I627" i="31" s="1"/>
  <c r="C562" i="31"/>
  <c r="C564" i="31" s="1"/>
  <c r="G562" i="31"/>
  <c r="A565" i="31"/>
  <c r="A567" i="31" s="1"/>
  <c r="A571" i="31"/>
  <c r="A573" i="31" s="1"/>
  <c r="A577" i="31"/>
  <c r="A579" i="31" s="1"/>
  <c r="A583" i="31"/>
  <c r="A585" i="31" s="1"/>
  <c r="A589" i="31"/>
  <c r="A591" i="31" s="1"/>
  <c r="A595" i="31"/>
  <c r="A597" i="31" s="1"/>
  <c r="A601" i="31"/>
  <c r="A603" i="31" s="1"/>
  <c r="A607" i="31"/>
  <c r="A609" i="31" s="1"/>
  <c r="A613" i="31"/>
  <c r="A615" i="31" s="1"/>
  <c r="A619" i="31"/>
  <c r="A621" i="31" s="1"/>
  <c r="B634" i="31"/>
  <c r="D634" i="31"/>
  <c r="D682" i="31" s="1"/>
  <c r="B643" i="31"/>
  <c r="B649" i="31"/>
  <c r="B658" i="31"/>
  <c r="B664" i="31"/>
  <c r="B670" i="31"/>
  <c r="B679" i="31"/>
  <c r="C680" i="31"/>
  <c r="G680" i="31"/>
  <c r="I705" i="31"/>
  <c r="I708" i="31"/>
  <c r="I711" i="31"/>
  <c r="I714" i="31"/>
  <c r="I717" i="31"/>
  <c r="I720" i="31"/>
  <c r="H723" i="31"/>
  <c r="H738" i="31" s="1"/>
  <c r="D736" i="31"/>
  <c r="H736" i="31"/>
  <c r="A743" i="31"/>
  <c r="C745" i="31"/>
  <c r="C763" i="31" s="1"/>
  <c r="G745" i="31"/>
  <c r="A782" i="31"/>
  <c r="A822" i="31"/>
  <c r="A841" i="31"/>
  <c r="A847" i="31"/>
  <c r="A853" i="31"/>
  <c r="I872" i="31"/>
  <c r="C317" i="31"/>
  <c r="C319" i="31" s="1"/>
  <c r="C320" i="31"/>
  <c r="C322" i="31" s="1"/>
  <c r="A347" i="31"/>
  <c r="A349" i="31" s="1"/>
  <c r="A350" i="31"/>
  <c r="A352" i="31" s="1"/>
  <c r="G350" i="31"/>
  <c r="G352" i="31" s="1"/>
  <c r="H352" i="31"/>
  <c r="G362" i="31"/>
  <c r="G364" i="31" s="1"/>
  <c r="C376" i="31"/>
  <c r="G376" i="31"/>
  <c r="G466" i="31" s="1"/>
  <c r="I379" i="31"/>
  <c r="I466" i="31" s="1"/>
  <c r="G504" i="31"/>
  <c r="G506" i="31" s="1"/>
  <c r="G548" i="31" s="1"/>
  <c r="A632" i="31"/>
  <c r="C703" i="31"/>
  <c r="G703" i="31"/>
  <c r="A704" i="31"/>
  <c r="A737" i="31" s="1"/>
  <c r="C706" i="31"/>
  <c r="C708" i="31" s="1"/>
  <c r="C709" i="31"/>
  <c r="C711" i="31" s="1"/>
  <c r="C712" i="31"/>
  <c r="C714" i="31" s="1"/>
  <c r="C715" i="31"/>
  <c r="C717" i="31" s="1"/>
  <c r="C718" i="31"/>
  <c r="C720" i="31" s="1"/>
  <c r="G722" i="31"/>
  <c r="G723" i="31" s="1"/>
  <c r="G733" i="31"/>
  <c r="G735" i="31" s="1"/>
  <c r="B745" i="31"/>
  <c r="D745" i="31"/>
  <c r="D763" i="31" s="1"/>
  <c r="H751" i="31"/>
  <c r="H763" i="31" s="1"/>
  <c r="H761" i="31"/>
  <c r="A770" i="31"/>
  <c r="C770" i="31"/>
  <c r="G770" i="31"/>
  <c r="I770" i="31"/>
  <c r="I773" i="31"/>
  <c r="B776" i="31"/>
  <c r="I788" i="31"/>
  <c r="B794" i="31"/>
  <c r="B796" i="31"/>
  <c r="I804" i="31"/>
  <c r="I825" i="31" s="1"/>
  <c r="B807" i="31"/>
  <c r="B813" i="31"/>
  <c r="I823" i="31"/>
  <c r="B824" i="31"/>
  <c r="A832" i="31"/>
  <c r="C832" i="31"/>
  <c r="G832" i="31"/>
  <c r="G856" i="31" s="1"/>
  <c r="I832" i="31"/>
  <c r="I856" i="31" s="1"/>
  <c r="A842" i="31"/>
  <c r="A844" i="31" s="1"/>
  <c r="A848" i="31"/>
  <c r="A850" i="31" s="1"/>
  <c r="A862" i="31"/>
  <c r="A871" i="31" s="1"/>
  <c r="B863" i="31"/>
  <c r="B872" i="31" s="1"/>
  <c r="D863" i="31"/>
  <c r="D872" i="31" s="1"/>
  <c r="A864" i="31"/>
  <c r="A866" i="31" s="1"/>
  <c r="G864" i="31"/>
  <c r="G866" i="31" s="1"/>
  <c r="G872" i="31" s="1"/>
  <c r="H866" i="31"/>
  <c r="H872" i="31" s="1"/>
  <c r="C867" i="31"/>
  <c r="C869" i="31" s="1"/>
  <c r="C872" i="31" s="1"/>
  <c r="G867" i="31"/>
  <c r="G869" i="31" s="1"/>
  <c r="G870" i="31"/>
  <c r="I870" i="31"/>
  <c r="A878" i="31"/>
  <c r="A944" i="31" s="1"/>
  <c r="C944" i="31"/>
  <c r="G944" i="31"/>
  <c r="B879" i="31"/>
  <c r="D879" i="31"/>
  <c r="D945" i="31" s="1"/>
  <c r="F945" i="31"/>
  <c r="H945" i="31"/>
  <c r="A880" i="31"/>
  <c r="A882" i="31" s="1"/>
  <c r="A886" i="31"/>
  <c r="A888" i="31" s="1"/>
  <c r="A892" i="31"/>
  <c r="A894" i="31" s="1"/>
  <c r="A898" i="31"/>
  <c r="A900" i="31" s="1"/>
  <c r="A910" i="31"/>
  <c r="A912" i="31" s="1"/>
  <c r="A916" i="31"/>
  <c r="A918" i="31" s="1"/>
  <c r="A922" i="31"/>
  <c r="A924" i="31" s="1"/>
  <c r="G928" i="31"/>
  <c r="A931" i="31"/>
  <c r="A933" i="31" s="1"/>
  <c r="A937" i="31"/>
  <c r="A939" i="31" s="1"/>
  <c r="C44" i="32"/>
  <c r="G44" i="32"/>
  <c r="H104" i="32"/>
  <c r="A303" i="32"/>
  <c r="A318" i="32" s="1"/>
  <c r="G318" i="32"/>
  <c r="G750" i="31"/>
  <c r="G762" i="31" s="1"/>
  <c r="B770" i="31"/>
  <c r="B797" i="31" s="1"/>
  <c r="D770" i="31"/>
  <c r="D797" i="31" s="1"/>
  <c r="H770" i="31"/>
  <c r="H797" i="31" s="1"/>
  <c r="C771" i="31"/>
  <c r="C773" i="31" s="1"/>
  <c r="A783" i="31"/>
  <c r="A785" i="31" s="1"/>
  <c r="G783" i="31"/>
  <c r="G785" i="31" s="1"/>
  <c r="C786" i="31"/>
  <c r="C788" i="31" s="1"/>
  <c r="A789" i="31"/>
  <c r="G789" i="31"/>
  <c r="G791" i="31" s="1"/>
  <c r="C802" i="31"/>
  <c r="B804" i="31"/>
  <c r="B825" i="31" s="1"/>
  <c r="D804" i="31"/>
  <c r="B832" i="31"/>
  <c r="B856" i="31" s="1"/>
  <c r="D832" i="31"/>
  <c r="D856" i="31" s="1"/>
  <c r="C879" i="31"/>
  <c r="C945" i="31" s="1"/>
  <c r="G879" i="31"/>
  <c r="H964" i="31"/>
  <c r="A1016" i="31"/>
  <c r="A1022" i="31"/>
  <c r="A1028" i="31"/>
  <c r="A1067" i="31"/>
  <c r="B44" i="32"/>
  <c r="D320" i="32"/>
  <c r="H958" i="31"/>
  <c r="G962" i="31"/>
  <c r="I962" i="31"/>
  <c r="G1010" i="31"/>
  <c r="G1070" i="31" s="1"/>
  <c r="B1013" i="31"/>
  <c r="F1013" i="31"/>
  <c r="B1019" i="31"/>
  <c r="B1025" i="31"/>
  <c r="B1031" i="31"/>
  <c r="F1034" i="31"/>
  <c r="F1037" i="31"/>
  <c r="B1043" i="31"/>
  <c r="B1049" i="31"/>
  <c r="B1055" i="31"/>
  <c r="B1061" i="31"/>
  <c r="A1062" i="31"/>
  <c r="A1064" i="31" s="1"/>
  <c r="B1069" i="31"/>
  <c r="A52" i="32"/>
  <c r="A67" i="32" s="1"/>
  <c r="C54" i="32"/>
  <c r="G54" i="32"/>
  <c r="A54" i="32" s="1"/>
  <c r="A66" i="32" s="1"/>
  <c r="A68" i="32" s="1"/>
  <c r="C57" i="32"/>
  <c r="C60" i="32"/>
  <c r="D158" i="32"/>
  <c r="H158" i="32"/>
  <c r="H161" i="32" s="1"/>
  <c r="D160" i="32"/>
  <c r="A168" i="32"/>
  <c r="A213" i="32" s="1"/>
  <c r="G260" i="32"/>
  <c r="A260" i="32" s="1"/>
  <c r="I318" i="32"/>
  <c r="I320" i="32" s="1"/>
  <c r="D319" i="32"/>
  <c r="A1008" i="31"/>
  <c r="B1010" i="31"/>
  <c r="D1010" i="31"/>
  <c r="D1070" i="31" s="1"/>
  <c r="C1011" i="31"/>
  <c r="C1013" i="31" s="1"/>
  <c r="A75" i="32"/>
  <c r="A102" i="32" s="1"/>
  <c r="A249" i="32"/>
  <c r="G255" i="32"/>
  <c r="A255" i="32" s="1"/>
  <c r="C302" i="32"/>
  <c r="C317" i="32" s="1"/>
  <c r="G302" i="32"/>
  <c r="C303" i="32"/>
  <c r="B74" i="29" l="1"/>
  <c r="A104" i="32"/>
  <c r="F1070" i="31"/>
  <c r="B548" i="31"/>
  <c r="A548" i="31"/>
  <c r="A257" i="30"/>
  <c r="C46" i="30"/>
  <c r="B193" i="31"/>
  <c r="B114" i="31"/>
  <c r="A71" i="29"/>
  <c r="C72" i="27"/>
  <c r="C71" i="27"/>
  <c r="A214" i="32"/>
  <c r="A215" i="32" s="1"/>
  <c r="B215" i="32"/>
  <c r="A160" i="32"/>
  <c r="A161" i="32" s="1"/>
  <c r="C104" i="32"/>
  <c r="G854" i="31"/>
  <c r="B761" i="31"/>
  <c r="G159" i="32"/>
  <c r="G161" i="32" s="1"/>
  <c r="A640" i="31"/>
  <c r="A561" i="31"/>
  <c r="C464" i="31"/>
  <c r="C318" i="32"/>
  <c r="C320" i="32" s="1"/>
  <c r="C1070" i="31"/>
  <c r="A278" i="32"/>
  <c r="C66" i="32"/>
  <c r="C68" i="32" s="1"/>
  <c r="C962" i="31"/>
  <c r="D825" i="31"/>
  <c r="A791" i="31"/>
  <c r="B945" i="31"/>
  <c r="C856" i="31"/>
  <c r="I797" i="31"/>
  <c r="B751" i="31"/>
  <c r="A733" i="31"/>
  <c r="A735" i="31" s="1"/>
  <c r="C466" i="31"/>
  <c r="A362" i="31"/>
  <c r="A364" i="31" s="1"/>
  <c r="A320" i="31"/>
  <c r="A322" i="31" s="1"/>
  <c r="A370" i="31" s="1"/>
  <c r="A317" i="31"/>
  <c r="A319" i="31" s="1"/>
  <c r="B736" i="31"/>
  <c r="B723" i="31"/>
  <c r="B738" i="31" s="1"/>
  <c r="A546" i="31"/>
  <c r="A539" i="31"/>
  <c r="H548" i="31"/>
  <c r="H370" i="31"/>
  <c r="B370" i="31"/>
  <c r="B369" i="31"/>
  <c r="E263" i="31"/>
  <c r="A113" i="31"/>
  <c r="B77" i="31"/>
  <c r="D55" i="31"/>
  <c r="A157" i="30"/>
  <c r="A163" i="30" s="1"/>
  <c r="A80" i="30"/>
  <c r="A64" i="27"/>
  <c r="B291" i="31"/>
  <c r="C291" i="31"/>
  <c r="G55" i="31"/>
  <c r="A55" i="31"/>
  <c r="A72" i="29"/>
  <c r="A54" i="31"/>
  <c r="G72" i="27"/>
  <c r="C79" i="26"/>
  <c r="D215" i="32"/>
  <c r="G104" i="32"/>
  <c r="A101" i="32"/>
  <c r="B68" i="32"/>
  <c r="A1069" i="31"/>
  <c r="C964" i="31"/>
  <c r="B943" i="31"/>
  <c r="A833" i="31"/>
  <c r="A835" i="31" s="1"/>
  <c r="A856" i="31" s="1"/>
  <c r="C854" i="31"/>
  <c r="A762" i="31"/>
  <c r="D1068" i="31"/>
  <c r="B964" i="31"/>
  <c r="B795" i="31"/>
  <c r="B737" i="31"/>
  <c r="G682" i="31"/>
  <c r="B627" i="31"/>
  <c r="A191" i="31"/>
  <c r="A953" i="31"/>
  <c r="D627" i="31"/>
  <c r="A547" i="31"/>
  <c r="C548" i="31"/>
  <c r="A386" i="31"/>
  <c r="A388" i="31" s="1"/>
  <c r="A380" i="31"/>
  <c r="G464" i="31"/>
  <c r="D239" i="31"/>
  <c r="A210" i="31"/>
  <c r="A212" i="31" s="1"/>
  <c r="A72" i="31"/>
  <c r="A74" i="31" s="1"/>
  <c r="A66" i="31"/>
  <c r="A68" i="31" s="1"/>
  <c r="C257" i="30"/>
  <c r="A94" i="30"/>
  <c r="A74" i="29"/>
  <c r="A1010" i="31"/>
  <c r="C823" i="31"/>
  <c r="C804" i="31"/>
  <c r="C825" i="31" s="1"/>
  <c r="G930" i="31"/>
  <c r="A928" i="31"/>
  <c r="A930" i="31" s="1"/>
  <c r="C736" i="31"/>
  <c r="C705" i="31"/>
  <c r="C738" i="31" s="1"/>
  <c r="A634" i="31"/>
  <c r="A682" i="31" s="1"/>
  <c r="A680" i="31"/>
  <c r="A761" i="31"/>
  <c r="A745" i="31"/>
  <c r="A763" i="31" s="1"/>
  <c r="G564" i="31"/>
  <c r="A562" i="31"/>
  <c r="B261" i="31"/>
  <c r="B200" i="31"/>
  <c r="A198" i="31"/>
  <c r="G112" i="31"/>
  <c r="G84" i="31"/>
  <c r="G114" i="31" s="1"/>
  <c r="A112" i="31"/>
  <c r="A84" i="31"/>
  <c r="A114" i="31" s="1"/>
  <c r="C75" i="31"/>
  <c r="C62" i="31"/>
  <c r="C77" i="31" s="1"/>
  <c r="I73" i="27"/>
  <c r="C7" i="27"/>
  <c r="G16" i="27"/>
  <c r="B16" i="27"/>
  <c r="A16" i="27" s="1"/>
  <c r="H73" i="27"/>
  <c r="G7" i="27"/>
  <c r="B7" i="27"/>
  <c r="G278" i="32"/>
  <c r="C797" i="31"/>
  <c r="G751" i="31"/>
  <c r="A863" i="31"/>
  <c r="A854" i="31"/>
  <c r="C795" i="31"/>
  <c r="G763" i="31"/>
  <c r="G546" i="31"/>
  <c r="B466" i="31"/>
  <c r="C625" i="31"/>
  <c r="G370" i="31"/>
  <c r="C370" i="31"/>
  <c r="C263" i="31"/>
  <c r="C173" i="30"/>
  <c r="C142" i="30"/>
  <c r="G737" i="31"/>
  <c r="C368" i="31"/>
  <c r="B239" i="31"/>
  <c r="A169" i="30"/>
  <c r="A173" i="30" s="1"/>
  <c r="G71" i="29"/>
  <c r="G74" i="29" s="1"/>
  <c r="D71" i="27"/>
  <c r="C261" i="31"/>
  <c r="D75" i="31"/>
  <c r="A137" i="30"/>
  <c r="A142" i="30" s="1"/>
  <c r="G261" i="31"/>
  <c r="A11" i="27"/>
  <c r="A27" i="27"/>
  <c r="A72" i="27" s="1"/>
  <c r="G317" i="32"/>
  <c r="G320" i="32" s="1"/>
  <c r="A302" i="32"/>
  <c r="A317" i="32" s="1"/>
  <c r="A320" i="32" s="1"/>
  <c r="G736" i="31"/>
  <c r="G705" i="31"/>
  <c r="G738" i="31" s="1"/>
  <c r="D261" i="31"/>
  <c r="D200" i="31"/>
  <c r="D263" i="31" s="1"/>
  <c r="C112" i="31"/>
  <c r="C84" i="31"/>
  <c r="C114" i="31" s="1"/>
  <c r="C55" i="27"/>
  <c r="A55" i="27" s="1"/>
  <c r="D55" i="27"/>
  <c r="E73" i="27"/>
  <c r="D7" i="27"/>
  <c r="B71" i="27"/>
  <c r="A5" i="27"/>
  <c r="G13" i="27"/>
  <c r="C13" i="27"/>
  <c r="A13" i="27" s="1"/>
  <c r="G66" i="32"/>
  <c r="G68" i="32" s="1"/>
  <c r="A279" i="32"/>
  <c r="A281" i="32" s="1"/>
  <c r="B1070" i="31"/>
  <c r="D161" i="32"/>
  <c r="A1011" i="31"/>
  <c r="A1013" i="31" s="1"/>
  <c r="G945" i="31"/>
  <c r="A879" i="31"/>
  <c r="A802" i="31"/>
  <c r="A786" i="31"/>
  <c r="A788" i="31" s="1"/>
  <c r="A771" i="31"/>
  <c r="G279" i="32"/>
  <c r="C1068" i="31"/>
  <c r="C870" i="31"/>
  <c r="A867" i="31"/>
  <c r="G797" i="31"/>
  <c r="G943" i="31"/>
  <c r="B763" i="31"/>
  <c r="A718" i="31"/>
  <c r="A720" i="31" s="1"/>
  <c r="A715" i="31"/>
  <c r="A717" i="31" s="1"/>
  <c r="A712" i="31"/>
  <c r="A714" i="31" s="1"/>
  <c r="A709" i="31"/>
  <c r="A711" i="31" s="1"/>
  <c r="A706" i="31"/>
  <c r="A708" i="31" s="1"/>
  <c r="A703" i="31"/>
  <c r="G795" i="31"/>
  <c r="I738" i="31"/>
  <c r="B682" i="31"/>
  <c r="G627" i="31"/>
  <c r="G625" i="31"/>
  <c r="I370" i="31"/>
  <c r="A258" i="31"/>
  <c r="A260" i="31" s="1"/>
  <c r="A239" i="31"/>
  <c r="A225" i="31"/>
  <c r="A227" i="31" s="1"/>
  <c r="A222" i="31"/>
  <c r="A224" i="31" s="1"/>
  <c r="A219" i="31"/>
  <c r="A221" i="31" s="1"/>
  <c r="A216" i="31"/>
  <c r="A218" i="31" s="1"/>
  <c r="A204" i="31"/>
  <c r="A206" i="31" s="1"/>
  <c r="A60" i="31"/>
  <c r="G368" i="31"/>
  <c r="A270" i="31"/>
  <c r="A291" i="31" s="1"/>
  <c r="I114" i="31"/>
  <c r="I77" i="31"/>
  <c r="B262" i="31"/>
  <c r="D72" i="29"/>
  <c r="D74" i="29" s="1"/>
  <c r="B72" i="27"/>
  <c r="G71" i="27"/>
  <c r="F73" i="27"/>
  <c r="B79" i="26"/>
  <c r="G263" i="31"/>
  <c r="D10" i="27"/>
  <c r="A10" i="27"/>
  <c r="A368" i="31" l="1"/>
  <c r="A945" i="31"/>
  <c r="A71" i="27"/>
  <c r="A943" i="31"/>
  <c r="A382" i="31"/>
  <c r="A466" i="31" s="1"/>
  <c r="A464" i="31"/>
  <c r="A955" i="31"/>
  <c r="A964" i="31" s="1"/>
  <c r="A962" i="31"/>
  <c r="A869" i="31"/>
  <c r="A870" i="31"/>
  <c r="A773" i="31"/>
  <c r="A797" i="31" s="1"/>
  <c r="A795" i="31"/>
  <c r="A823" i="31"/>
  <c r="A804" i="31"/>
  <c r="A825" i="31" s="1"/>
  <c r="A261" i="31"/>
  <c r="A200" i="31"/>
  <c r="A263" i="31" s="1"/>
  <c r="A872" i="31"/>
  <c r="G281" i="32"/>
  <c r="G73" i="27"/>
  <c r="C73" i="27"/>
  <c r="A1068" i="31"/>
  <c r="A75" i="31"/>
  <c r="A62" i="31"/>
  <c r="A77" i="31" s="1"/>
  <c r="A736" i="31"/>
  <c r="A705" i="31"/>
  <c r="A738" i="31" s="1"/>
  <c r="B73" i="27"/>
  <c r="A7" i="27"/>
  <c r="A73" i="27" s="1"/>
  <c r="A564" i="31"/>
  <c r="A627" i="31" s="1"/>
  <c r="A625" i="31"/>
  <c r="D73" i="27"/>
  <c r="B263" i="31"/>
  <c r="A1070" i="31"/>
  <c r="I370" i="23" l="1"/>
  <c r="H370" i="23"/>
  <c r="F370" i="23"/>
  <c r="E370" i="23"/>
  <c r="I369" i="23"/>
  <c r="H369" i="23"/>
  <c r="F369" i="23"/>
  <c r="E369" i="23"/>
  <c r="I368" i="23"/>
  <c r="I371" i="23" s="1"/>
  <c r="H368" i="23"/>
  <c r="H371" i="23" s="1"/>
  <c r="F368" i="23"/>
  <c r="F371" i="23" s="1"/>
  <c r="E368" i="23"/>
  <c r="E371" i="23" s="1"/>
  <c r="G367" i="23"/>
  <c r="D367" i="23"/>
  <c r="C367" i="23"/>
  <c r="B367" i="23"/>
  <c r="A367" i="23"/>
  <c r="G366" i="23"/>
  <c r="D366" i="23"/>
  <c r="C366" i="23"/>
  <c r="B366" i="23"/>
  <c r="A366" i="23" s="1"/>
  <c r="G365" i="23"/>
  <c r="D365" i="23"/>
  <c r="C365" i="23"/>
  <c r="B365" i="23"/>
  <c r="A365" i="23" s="1"/>
  <c r="G364" i="23"/>
  <c r="D364" i="23"/>
  <c r="C364" i="23"/>
  <c r="B364" i="23"/>
  <c r="A364" i="23" s="1"/>
  <c r="G363" i="23"/>
  <c r="D363" i="23"/>
  <c r="C363" i="23"/>
  <c r="B363" i="23"/>
  <c r="A363" i="23"/>
  <c r="G362" i="23"/>
  <c r="D362" i="23"/>
  <c r="C362" i="23"/>
  <c r="B362" i="23"/>
  <c r="A362" i="23" s="1"/>
  <c r="G361" i="23"/>
  <c r="G370" i="23" s="1"/>
  <c r="D361" i="23"/>
  <c r="D370" i="23" s="1"/>
  <c r="C361" i="23"/>
  <c r="C370" i="23" s="1"/>
  <c r="B361" i="23"/>
  <c r="B370" i="23" s="1"/>
  <c r="A361" i="23"/>
  <c r="A370" i="23" s="1"/>
  <c r="G360" i="23"/>
  <c r="G369" i="23" s="1"/>
  <c r="D360" i="23"/>
  <c r="D369" i="23" s="1"/>
  <c r="C360" i="23"/>
  <c r="C369" i="23" s="1"/>
  <c r="B360" i="23"/>
  <c r="B369" i="23" s="1"/>
  <c r="G359" i="23"/>
  <c r="G368" i="23" s="1"/>
  <c r="G371" i="23" s="1"/>
  <c r="D359" i="23"/>
  <c r="D368" i="23" s="1"/>
  <c r="D371" i="23" s="1"/>
  <c r="C359" i="23"/>
  <c r="C368" i="23" s="1"/>
  <c r="C371" i="23" s="1"/>
  <c r="B359" i="23"/>
  <c r="B368" i="23" s="1"/>
  <c r="B371" i="23" s="1"/>
  <c r="A359" i="23"/>
  <c r="H352" i="23"/>
  <c r="F352" i="23"/>
  <c r="E352" i="23"/>
  <c r="D352" i="23"/>
  <c r="B352" i="23"/>
  <c r="I351" i="23"/>
  <c r="H351" i="23"/>
  <c r="G351" i="23"/>
  <c r="F351" i="23"/>
  <c r="E351" i="23"/>
  <c r="D351" i="23" s="1"/>
  <c r="C351" i="23"/>
  <c r="I350" i="23"/>
  <c r="H350" i="23"/>
  <c r="H353" i="23" s="1"/>
  <c r="F350" i="23"/>
  <c r="F353" i="23" s="1"/>
  <c r="E350" i="23"/>
  <c r="E353" i="23" s="1"/>
  <c r="D350" i="23"/>
  <c r="D353" i="23" s="1"/>
  <c r="B350" i="23"/>
  <c r="I349" i="23"/>
  <c r="I352" i="23" s="1"/>
  <c r="C352" i="23" s="1"/>
  <c r="D349" i="23"/>
  <c r="B349" i="23"/>
  <c r="G348" i="23"/>
  <c r="D348" i="23"/>
  <c r="C348" i="23"/>
  <c r="B348" i="23"/>
  <c r="A348" i="23" s="1"/>
  <c r="G347" i="23"/>
  <c r="D347" i="23"/>
  <c r="C347" i="23"/>
  <c r="B347" i="23"/>
  <c r="I340" i="23"/>
  <c r="H340" i="23"/>
  <c r="F340" i="23"/>
  <c r="E340" i="23"/>
  <c r="I339" i="23"/>
  <c r="H339" i="23"/>
  <c r="F339" i="23"/>
  <c r="E339" i="23"/>
  <c r="I338" i="23"/>
  <c r="I341" i="23" s="1"/>
  <c r="H338" i="23"/>
  <c r="H341" i="23" s="1"/>
  <c r="F338" i="23"/>
  <c r="F341" i="23" s="1"/>
  <c r="E338" i="23"/>
  <c r="E341" i="23" s="1"/>
  <c r="G337" i="23"/>
  <c r="D337" i="23"/>
  <c r="C337" i="23"/>
  <c r="B337" i="23"/>
  <c r="A337" i="23" s="1"/>
  <c r="G336" i="23"/>
  <c r="D336" i="23"/>
  <c r="C336" i="23"/>
  <c r="B336" i="23"/>
  <c r="A336" i="23" s="1"/>
  <c r="G335" i="23"/>
  <c r="D335" i="23"/>
  <c r="C335" i="23"/>
  <c r="B335" i="23"/>
  <c r="A335" i="23" s="1"/>
  <c r="G334" i="23"/>
  <c r="G340" i="23" s="1"/>
  <c r="D334" i="23"/>
  <c r="D340" i="23" s="1"/>
  <c r="C334" i="23"/>
  <c r="C340" i="23" s="1"/>
  <c r="B334" i="23"/>
  <c r="B340" i="23" s="1"/>
  <c r="A334" i="23"/>
  <c r="A340" i="23" s="1"/>
  <c r="G333" i="23"/>
  <c r="G339" i="23" s="1"/>
  <c r="D333" i="23"/>
  <c r="D339" i="23" s="1"/>
  <c r="C333" i="23"/>
  <c r="C339" i="23" s="1"/>
  <c r="B333" i="23"/>
  <c r="A333" i="23" s="1"/>
  <c r="G332" i="23"/>
  <c r="G338" i="23" s="1"/>
  <c r="G341" i="23" s="1"/>
  <c r="D332" i="23"/>
  <c r="D338" i="23" s="1"/>
  <c r="D341" i="23" s="1"/>
  <c r="C332" i="23"/>
  <c r="C338" i="23" s="1"/>
  <c r="C341" i="23" s="1"/>
  <c r="B332" i="23"/>
  <c r="B338" i="23" s="1"/>
  <c r="A332" i="23"/>
  <c r="A338" i="23" s="1"/>
  <c r="I325" i="23"/>
  <c r="H325" i="23"/>
  <c r="F325" i="23"/>
  <c r="E325" i="23"/>
  <c r="I324" i="23"/>
  <c r="F324" i="23"/>
  <c r="E324" i="23"/>
  <c r="I323" i="23"/>
  <c r="I326" i="23" s="1"/>
  <c r="H323" i="23"/>
  <c r="F323" i="23"/>
  <c r="F326" i="23" s="1"/>
  <c r="E323" i="23"/>
  <c r="E326" i="23" s="1"/>
  <c r="G322" i="23"/>
  <c r="D322" i="23"/>
  <c r="C322" i="23"/>
  <c r="B322" i="23"/>
  <c r="A322" i="23" s="1"/>
  <c r="H321" i="23"/>
  <c r="G321" i="23" s="1"/>
  <c r="D321" i="23"/>
  <c r="C321" i="23"/>
  <c r="B321" i="23"/>
  <c r="A321" i="23" s="1"/>
  <c r="G320" i="23"/>
  <c r="D320" i="23"/>
  <c r="C320" i="23"/>
  <c r="B320" i="23"/>
  <c r="A320" i="23" s="1"/>
  <c r="G319" i="23"/>
  <c r="D319" i="23"/>
  <c r="C319" i="23"/>
  <c r="B319" i="23"/>
  <c r="H318" i="23"/>
  <c r="G318" i="23" s="1"/>
  <c r="D318" i="23"/>
  <c r="C318" i="23"/>
  <c r="B318" i="23"/>
  <c r="G317" i="23"/>
  <c r="D317" i="23"/>
  <c r="C317" i="23"/>
  <c r="B317" i="23"/>
  <c r="A317" i="23"/>
  <c r="G316" i="23"/>
  <c r="G325" i="23" s="1"/>
  <c r="D316" i="23"/>
  <c r="D325" i="23" s="1"/>
  <c r="C316" i="23"/>
  <c r="C325" i="23" s="1"/>
  <c r="B316" i="23"/>
  <c r="B325" i="23" s="1"/>
  <c r="H315" i="23"/>
  <c r="G315" i="23" s="1"/>
  <c r="G324" i="23" s="1"/>
  <c r="D315" i="23"/>
  <c r="D324" i="23" s="1"/>
  <c r="C315" i="23"/>
  <c r="C324" i="23" s="1"/>
  <c r="B315" i="23"/>
  <c r="A315" i="23" s="1"/>
  <c r="G314" i="23"/>
  <c r="G323" i="23" s="1"/>
  <c r="G326" i="23" s="1"/>
  <c r="D314" i="23"/>
  <c r="D323" i="23" s="1"/>
  <c r="D326" i="23" s="1"/>
  <c r="C314" i="23"/>
  <c r="C323" i="23" s="1"/>
  <c r="C326" i="23" s="1"/>
  <c r="B314" i="23"/>
  <c r="B323" i="23" s="1"/>
  <c r="A314" i="23"/>
  <c r="I307" i="23"/>
  <c r="H307" i="23"/>
  <c r="F307" i="23"/>
  <c r="E307" i="23"/>
  <c r="F306" i="23"/>
  <c r="E306" i="23"/>
  <c r="I305" i="23"/>
  <c r="H305" i="23"/>
  <c r="F305" i="23"/>
  <c r="F308" i="23" s="1"/>
  <c r="E305" i="23"/>
  <c r="E308" i="23" s="1"/>
  <c r="G304" i="23"/>
  <c r="D304" i="23"/>
  <c r="C304" i="23"/>
  <c r="B304" i="23"/>
  <c r="A304" i="23" s="1"/>
  <c r="G303" i="23"/>
  <c r="D303" i="23"/>
  <c r="C303" i="23"/>
  <c r="B303" i="23"/>
  <c r="A303" i="23" s="1"/>
  <c r="G302" i="23"/>
  <c r="D302" i="23"/>
  <c r="C302" i="23"/>
  <c r="B302" i="23"/>
  <c r="G301" i="23"/>
  <c r="D301" i="23"/>
  <c r="C301" i="23"/>
  <c r="B301" i="23"/>
  <c r="A301" i="23"/>
  <c r="I300" i="23"/>
  <c r="I306" i="23" s="1"/>
  <c r="G300" i="23"/>
  <c r="D300" i="23"/>
  <c r="C300" i="23"/>
  <c r="B300" i="23"/>
  <c r="A300" i="23" s="1"/>
  <c r="G299" i="23"/>
  <c r="D299" i="23"/>
  <c r="C299" i="23"/>
  <c r="B299" i="23"/>
  <c r="A299" i="23" s="1"/>
  <c r="G298" i="23"/>
  <c r="D298" i="23"/>
  <c r="C298" i="23"/>
  <c r="B298" i="23"/>
  <c r="A298" i="23" s="1"/>
  <c r="G297" i="23"/>
  <c r="D297" i="23"/>
  <c r="C297" i="23"/>
  <c r="B297" i="23"/>
  <c r="A297" i="23" s="1"/>
  <c r="G296" i="23"/>
  <c r="D296" i="23"/>
  <c r="C296" i="23"/>
  <c r="B296" i="23"/>
  <c r="A296" i="23" s="1"/>
  <c r="G295" i="23"/>
  <c r="D295" i="23"/>
  <c r="C295" i="23"/>
  <c r="B295" i="23"/>
  <c r="A295" i="23" s="1"/>
  <c r="H294" i="23"/>
  <c r="G294" i="23" s="1"/>
  <c r="D294" i="23"/>
  <c r="C294" i="23"/>
  <c r="B294" i="23"/>
  <c r="A294" i="23" s="1"/>
  <c r="G293" i="23"/>
  <c r="D293" i="23"/>
  <c r="C293" i="23"/>
  <c r="B293" i="23"/>
  <c r="A293" i="23"/>
  <c r="G292" i="23"/>
  <c r="G307" i="23" s="1"/>
  <c r="D292" i="23"/>
  <c r="D307" i="23" s="1"/>
  <c r="C292" i="23"/>
  <c r="C307" i="23" s="1"/>
  <c r="B292" i="23"/>
  <c r="B307" i="23" s="1"/>
  <c r="G291" i="23"/>
  <c r="G306" i="23" s="1"/>
  <c r="D291" i="23"/>
  <c r="D306" i="23" s="1"/>
  <c r="C291" i="23"/>
  <c r="C306" i="23" s="1"/>
  <c r="B291" i="23"/>
  <c r="B306" i="23" s="1"/>
  <c r="A291" i="23"/>
  <c r="G290" i="23"/>
  <c r="G305" i="23" s="1"/>
  <c r="D290" i="23"/>
  <c r="D305" i="23" s="1"/>
  <c r="D308" i="23" s="1"/>
  <c r="C290" i="23"/>
  <c r="C305" i="23" s="1"/>
  <c r="B290" i="23"/>
  <c r="B305" i="23" s="1"/>
  <c r="B308" i="23" s="1"/>
  <c r="F283" i="23"/>
  <c r="E283" i="23"/>
  <c r="I282" i="23"/>
  <c r="H282" i="23"/>
  <c r="F282" i="23"/>
  <c r="E282" i="23"/>
  <c r="C282" i="23"/>
  <c r="B282" i="23"/>
  <c r="I281" i="23"/>
  <c r="H281" i="23"/>
  <c r="F281" i="23"/>
  <c r="F284" i="23" s="1"/>
  <c r="E281" i="23"/>
  <c r="E284" i="23" s="1"/>
  <c r="C281" i="23"/>
  <c r="B281" i="23"/>
  <c r="H280" i="23"/>
  <c r="G280" i="23" s="1"/>
  <c r="D280" i="23"/>
  <c r="C280" i="23"/>
  <c r="B280" i="23"/>
  <c r="A280" i="23" s="1"/>
  <c r="G279" i="23"/>
  <c r="D279" i="23"/>
  <c r="C279" i="23"/>
  <c r="B279" i="23"/>
  <c r="A279" i="23" s="1"/>
  <c r="G278" i="23"/>
  <c r="D278" i="23"/>
  <c r="C278" i="23"/>
  <c r="B278" i="23"/>
  <c r="G277" i="23"/>
  <c r="D277" i="23"/>
  <c r="C277" i="23"/>
  <c r="B277" i="23"/>
  <c r="A277" i="23"/>
  <c r="G276" i="23"/>
  <c r="D276" i="23"/>
  <c r="C276" i="23"/>
  <c r="B276" i="23"/>
  <c r="A276" i="23" s="1"/>
  <c r="G275" i="23"/>
  <c r="D275" i="23"/>
  <c r="C275" i="23"/>
  <c r="B275" i="23"/>
  <c r="A275" i="23" s="1"/>
  <c r="I274" i="23"/>
  <c r="I283" i="23" s="1"/>
  <c r="C283" i="23" s="1"/>
  <c r="H274" i="23"/>
  <c r="G274" i="23" s="1"/>
  <c r="G283" i="23" s="1"/>
  <c r="D274" i="23"/>
  <c r="D283" i="23" s="1"/>
  <c r="C274" i="23"/>
  <c r="B274" i="23"/>
  <c r="A274" i="23" s="1"/>
  <c r="A283" i="23" s="1"/>
  <c r="G273" i="23"/>
  <c r="G282" i="23" s="1"/>
  <c r="D273" i="23"/>
  <c r="D282" i="23" s="1"/>
  <c r="C273" i="23"/>
  <c r="B273" i="23"/>
  <c r="A273" i="23" s="1"/>
  <c r="G272" i="23"/>
  <c r="G281" i="23" s="1"/>
  <c r="G284" i="23" s="1"/>
  <c r="D272" i="23"/>
  <c r="D281" i="23" s="1"/>
  <c r="C272" i="23"/>
  <c r="B272" i="23"/>
  <c r="I265" i="23"/>
  <c r="H265" i="23"/>
  <c r="F265" i="23"/>
  <c r="E265" i="23"/>
  <c r="I264" i="23"/>
  <c r="H264" i="23"/>
  <c r="F264" i="23"/>
  <c r="E264" i="23"/>
  <c r="I263" i="23"/>
  <c r="I266" i="23" s="1"/>
  <c r="H263" i="23"/>
  <c r="H266" i="23" s="1"/>
  <c r="F263" i="23"/>
  <c r="F266" i="23" s="1"/>
  <c r="E263" i="23"/>
  <c r="E266" i="23" s="1"/>
  <c r="G262" i="23"/>
  <c r="D262" i="23"/>
  <c r="C262" i="23"/>
  <c r="B262" i="23"/>
  <c r="A262" i="23"/>
  <c r="G261" i="23"/>
  <c r="D261" i="23"/>
  <c r="C261" i="23"/>
  <c r="B261" i="23"/>
  <c r="A261" i="23" s="1"/>
  <c r="G260" i="23"/>
  <c r="D260" i="23"/>
  <c r="C260" i="23"/>
  <c r="B260" i="23"/>
  <c r="A260" i="23" s="1"/>
  <c r="G259" i="23"/>
  <c r="D259" i="23"/>
  <c r="C259" i="23"/>
  <c r="B259" i="23"/>
  <c r="G258" i="23"/>
  <c r="D258" i="23"/>
  <c r="C258" i="23"/>
  <c r="B258" i="23"/>
  <c r="A258" i="23"/>
  <c r="G257" i="23"/>
  <c r="D257" i="23"/>
  <c r="C257" i="23"/>
  <c r="B257" i="23"/>
  <c r="A257" i="23" s="1"/>
  <c r="G256" i="23"/>
  <c r="D256" i="23"/>
  <c r="C256" i="23"/>
  <c r="B256" i="23"/>
  <c r="A256" i="23" s="1"/>
  <c r="G255" i="23"/>
  <c r="D255" i="23"/>
  <c r="C255" i="23"/>
  <c r="B255" i="23"/>
  <c r="A255" i="23" s="1"/>
  <c r="G254" i="23"/>
  <c r="D254" i="23"/>
  <c r="C254" i="23"/>
  <c r="B254" i="23"/>
  <c r="A254" i="23" s="1"/>
  <c r="G253" i="23"/>
  <c r="D253" i="23"/>
  <c r="C253" i="23"/>
  <c r="B253" i="23"/>
  <c r="A253" i="23" s="1"/>
  <c r="G252" i="23"/>
  <c r="D252" i="23"/>
  <c r="C252" i="23"/>
  <c r="B252" i="23"/>
  <c r="A252" i="23" s="1"/>
  <c r="G251" i="23"/>
  <c r="D251" i="23"/>
  <c r="C251" i="23"/>
  <c r="B251" i="23"/>
  <c r="A251" i="23" s="1"/>
  <c r="G250" i="23"/>
  <c r="D250" i="23"/>
  <c r="C250" i="23"/>
  <c r="B250" i="23"/>
  <c r="A250" i="23" s="1"/>
  <c r="G249" i="23"/>
  <c r="D249" i="23"/>
  <c r="C249" i="23"/>
  <c r="B249" i="23"/>
  <c r="A249" i="23" s="1"/>
  <c r="G248" i="23"/>
  <c r="D248" i="23"/>
  <c r="C248" i="23"/>
  <c r="B248" i="23"/>
  <c r="A248" i="23"/>
  <c r="G247" i="23"/>
  <c r="D247" i="23"/>
  <c r="C247" i="23"/>
  <c r="B247" i="23"/>
  <c r="A247" i="23" s="1"/>
  <c r="G246" i="23"/>
  <c r="D246" i="23"/>
  <c r="C246" i="23"/>
  <c r="B246" i="23"/>
  <c r="A246" i="23" s="1"/>
  <c r="G245" i="23"/>
  <c r="D245" i="23"/>
  <c r="C245" i="23"/>
  <c r="B245" i="23"/>
  <c r="A245" i="23" s="1"/>
  <c r="G244" i="23"/>
  <c r="D244" i="23"/>
  <c r="C244" i="23"/>
  <c r="B244" i="23"/>
  <c r="A244" i="23"/>
  <c r="G243" i="23"/>
  <c r="D243" i="23"/>
  <c r="C243" i="23"/>
  <c r="B243" i="23"/>
  <c r="A243" i="23" s="1"/>
  <c r="G242" i="23"/>
  <c r="D242" i="23"/>
  <c r="C242" i="23"/>
  <c r="B242" i="23"/>
  <c r="A242" i="23" s="1"/>
  <c r="G241" i="23"/>
  <c r="D241" i="23"/>
  <c r="C241" i="23"/>
  <c r="B241" i="23"/>
  <c r="A241" i="23" s="1"/>
  <c r="G240" i="23"/>
  <c r="D240" i="23"/>
  <c r="C240" i="23"/>
  <c r="B240" i="23"/>
  <c r="A240" i="23" s="1"/>
  <c r="G239" i="23"/>
  <c r="D239" i="23"/>
  <c r="C239" i="23"/>
  <c r="B239" i="23"/>
  <c r="A239" i="23" s="1"/>
  <c r="G238" i="23"/>
  <c r="G265" i="23" s="1"/>
  <c r="D238" i="23"/>
  <c r="D265" i="23" s="1"/>
  <c r="C238" i="23"/>
  <c r="C265" i="23" s="1"/>
  <c r="B238" i="23"/>
  <c r="B265" i="23" s="1"/>
  <c r="A238" i="23"/>
  <c r="G237" i="23"/>
  <c r="G264" i="23" s="1"/>
  <c r="D237" i="23"/>
  <c r="D264" i="23" s="1"/>
  <c r="C237" i="23"/>
  <c r="C264" i="23" s="1"/>
  <c r="B237" i="23"/>
  <c r="B264" i="23" s="1"/>
  <c r="G236" i="23"/>
  <c r="G263" i="23" s="1"/>
  <c r="G266" i="23" s="1"/>
  <c r="D236" i="23"/>
  <c r="D263" i="23" s="1"/>
  <c r="D266" i="23" s="1"/>
  <c r="C236" i="23"/>
  <c r="C263" i="23" s="1"/>
  <c r="C266" i="23" s="1"/>
  <c r="B236" i="23"/>
  <c r="B263" i="23" s="1"/>
  <c r="B266" i="23" s="1"/>
  <c r="A236" i="23"/>
  <c r="I229" i="23"/>
  <c r="H229" i="23"/>
  <c r="F229" i="23"/>
  <c r="E229" i="23"/>
  <c r="I228" i="23"/>
  <c r="H228" i="23"/>
  <c r="F228" i="23"/>
  <c r="E228" i="23"/>
  <c r="I227" i="23"/>
  <c r="I230" i="23" s="1"/>
  <c r="H227" i="23"/>
  <c r="H230" i="23" s="1"/>
  <c r="F227" i="23"/>
  <c r="F230" i="23" s="1"/>
  <c r="E227" i="23"/>
  <c r="E230" i="23" s="1"/>
  <c r="G226" i="23"/>
  <c r="D226" i="23"/>
  <c r="C226" i="23"/>
  <c r="B226" i="23"/>
  <c r="A226" i="23" s="1"/>
  <c r="G225" i="23"/>
  <c r="D225" i="23"/>
  <c r="C225" i="23"/>
  <c r="B225" i="23"/>
  <c r="A225" i="23" s="1"/>
  <c r="G224" i="23"/>
  <c r="D224" i="23"/>
  <c r="C224" i="23"/>
  <c r="B224" i="23"/>
  <c r="G223" i="23"/>
  <c r="D223" i="23"/>
  <c r="C223" i="23"/>
  <c r="B223" i="23"/>
  <c r="A223" i="23"/>
  <c r="G222" i="23"/>
  <c r="D222" i="23"/>
  <c r="C222" i="23"/>
  <c r="B222" i="23"/>
  <c r="A222" i="23" s="1"/>
  <c r="G221" i="23"/>
  <c r="D221" i="23"/>
  <c r="C221" i="23"/>
  <c r="B221" i="23"/>
  <c r="A221" i="23" s="1"/>
  <c r="G220" i="23"/>
  <c r="D220" i="23"/>
  <c r="C220" i="23"/>
  <c r="B220" i="23"/>
  <c r="G219" i="23"/>
  <c r="D219" i="23"/>
  <c r="C219" i="23"/>
  <c r="B219" i="23"/>
  <c r="A219" i="23"/>
  <c r="G218" i="23"/>
  <c r="D218" i="23"/>
  <c r="C218" i="23"/>
  <c r="B218" i="23"/>
  <c r="A218" i="23" s="1"/>
  <c r="G217" i="23"/>
  <c r="D217" i="23"/>
  <c r="C217" i="23"/>
  <c r="B217" i="23"/>
  <c r="A217" i="23" s="1"/>
  <c r="G216" i="23"/>
  <c r="D216" i="23"/>
  <c r="C216" i="23"/>
  <c r="B216" i="23"/>
  <c r="G215" i="23"/>
  <c r="D215" i="23"/>
  <c r="C215" i="23"/>
  <c r="B215" i="23"/>
  <c r="A215" i="23"/>
  <c r="G214" i="23"/>
  <c r="D214" i="23"/>
  <c r="C214" i="23"/>
  <c r="B214" i="23"/>
  <c r="A214" i="23" s="1"/>
  <c r="G213" i="23"/>
  <c r="D213" i="23"/>
  <c r="C213" i="23"/>
  <c r="B213" i="23"/>
  <c r="A213" i="23" s="1"/>
  <c r="G212" i="23"/>
  <c r="D212" i="23"/>
  <c r="C212" i="23"/>
  <c r="B212" i="23"/>
  <c r="G211" i="23"/>
  <c r="G229" i="23" s="1"/>
  <c r="D211" i="23"/>
  <c r="D229" i="23" s="1"/>
  <c r="C211" i="23"/>
  <c r="C229" i="23" s="1"/>
  <c r="B211" i="23"/>
  <c r="B229" i="23" s="1"/>
  <c r="A211" i="23"/>
  <c r="G210" i="23"/>
  <c r="G228" i="23" s="1"/>
  <c r="D210" i="23"/>
  <c r="D228" i="23" s="1"/>
  <c r="C210" i="23"/>
  <c r="C228" i="23" s="1"/>
  <c r="B210" i="23"/>
  <c r="A210" i="23" s="1"/>
  <c r="G209" i="23"/>
  <c r="G227" i="23" s="1"/>
  <c r="G230" i="23" s="1"/>
  <c r="D209" i="23"/>
  <c r="D227" i="23" s="1"/>
  <c r="D230" i="23" s="1"/>
  <c r="C209" i="23"/>
  <c r="C227" i="23" s="1"/>
  <c r="C230" i="23" s="1"/>
  <c r="B209" i="23"/>
  <c r="B227" i="23" s="1"/>
  <c r="A209" i="23"/>
  <c r="I202" i="23"/>
  <c r="H202" i="23"/>
  <c r="F202" i="23"/>
  <c r="E202" i="23"/>
  <c r="I201" i="23"/>
  <c r="H201" i="23"/>
  <c r="F201" i="23"/>
  <c r="E201" i="23"/>
  <c r="I200" i="23"/>
  <c r="I203" i="23" s="1"/>
  <c r="H200" i="23"/>
  <c r="H203" i="23" s="1"/>
  <c r="F200" i="23"/>
  <c r="F203" i="23" s="1"/>
  <c r="E200" i="23"/>
  <c r="E203" i="23" s="1"/>
  <c r="G199" i="23"/>
  <c r="D199" i="23"/>
  <c r="C199" i="23"/>
  <c r="B199" i="23"/>
  <c r="A199" i="23" s="1"/>
  <c r="G198" i="23"/>
  <c r="D198" i="23"/>
  <c r="C198" i="23"/>
  <c r="B198" i="23"/>
  <c r="A198" i="23" s="1"/>
  <c r="G197" i="23"/>
  <c r="D197" i="23"/>
  <c r="C197" i="23"/>
  <c r="B197" i="23"/>
  <c r="G196" i="23"/>
  <c r="D196" i="23"/>
  <c r="C196" i="23"/>
  <c r="B196" i="23"/>
  <c r="A196" i="23"/>
  <c r="G195" i="23"/>
  <c r="D195" i="23"/>
  <c r="C195" i="23"/>
  <c r="B195" i="23"/>
  <c r="A195" i="23" s="1"/>
  <c r="G194" i="23"/>
  <c r="D194" i="23"/>
  <c r="C194" i="23"/>
  <c r="B194" i="23"/>
  <c r="A194" i="23" s="1"/>
  <c r="G193" i="23"/>
  <c r="D193" i="23"/>
  <c r="C193" i="23"/>
  <c r="B193" i="23"/>
  <c r="A193" i="23" s="1"/>
  <c r="G192" i="23"/>
  <c r="D192" i="23"/>
  <c r="C192" i="23"/>
  <c r="B192" i="23"/>
  <c r="A192" i="23"/>
  <c r="G191" i="23"/>
  <c r="D191" i="23"/>
  <c r="C191" i="23"/>
  <c r="B191" i="23"/>
  <c r="A191" i="23" s="1"/>
  <c r="G190" i="23"/>
  <c r="D190" i="23"/>
  <c r="C190" i="23"/>
  <c r="B190" i="23"/>
  <c r="A190" i="23" s="1"/>
  <c r="G189" i="23"/>
  <c r="D189" i="23"/>
  <c r="C189" i="23"/>
  <c r="B189" i="23"/>
  <c r="A189" i="23" s="1"/>
  <c r="G188" i="23"/>
  <c r="D188" i="23"/>
  <c r="C188" i="23"/>
  <c r="B188" i="23"/>
  <c r="A188" i="23" s="1"/>
  <c r="G187" i="23"/>
  <c r="D187" i="23"/>
  <c r="C187" i="23"/>
  <c r="B187" i="23"/>
  <c r="A187" i="23" s="1"/>
  <c r="G186" i="23"/>
  <c r="D186" i="23"/>
  <c r="C186" i="23"/>
  <c r="B186" i="23"/>
  <c r="A186" i="23"/>
  <c r="G185" i="23"/>
  <c r="D185" i="23"/>
  <c r="C185" i="23"/>
  <c r="B185" i="23"/>
  <c r="A185" i="23" s="1"/>
  <c r="G184" i="23"/>
  <c r="D184" i="23"/>
  <c r="C184" i="23"/>
  <c r="B184" i="23"/>
  <c r="A184" i="23" s="1"/>
  <c r="G183" i="23"/>
  <c r="D183" i="23"/>
  <c r="C183" i="23"/>
  <c r="B183" i="23"/>
  <c r="G182" i="23"/>
  <c r="D182" i="23"/>
  <c r="C182" i="23"/>
  <c r="B182" i="23"/>
  <c r="A182" i="23"/>
  <c r="G181" i="23"/>
  <c r="D181" i="23"/>
  <c r="C181" i="23"/>
  <c r="B181" i="23"/>
  <c r="A181" i="23" s="1"/>
  <c r="G180" i="23"/>
  <c r="D180" i="23"/>
  <c r="C180" i="23"/>
  <c r="B180" i="23"/>
  <c r="A180" i="23" s="1"/>
  <c r="G179" i="23"/>
  <c r="D179" i="23"/>
  <c r="C179" i="23"/>
  <c r="B179" i="23"/>
  <c r="G178" i="23"/>
  <c r="D178" i="23"/>
  <c r="C178" i="23"/>
  <c r="B178" i="23"/>
  <c r="A178" i="23"/>
  <c r="G177" i="23"/>
  <c r="D177" i="23"/>
  <c r="C177" i="23"/>
  <c r="B177" i="23"/>
  <c r="A177" i="23" s="1"/>
  <c r="G176" i="23"/>
  <c r="D176" i="23"/>
  <c r="C176" i="23"/>
  <c r="B176" i="23"/>
  <c r="A176" i="23" s="1"/>
  <c r="G175" i="23"/>
  <c r="D175" i="23"/>
  <c r="C175" i="23"/>
  <c r="B175" i="23"/>
  <c r="G174" i="23"/>
  <c r="D174" i="23"/>
  <c r="C174" i="23"/>
  <c r="B174" i="23"/>
  <c r="A174" i="23"/>
  <c r="G173" i="23"/>
  <c r="D173" i="23"/>
  <c r="C173" i="23"/>
  <c r="B173" i="23"/>
  <c r="A173" i="23" s="1"/>
  <c r="G172" i="23"/>
  <c r="D172" i="23"/>
  <c r="C172" i="23"/>
  <c r="B172" i="23"/>
  <c r="A172" i="23" s="1"/>
  <c r="G171" i="23"/>
  <c r="D171" i="23"/>
  <c r="C171" i="23"/>
  <c r="B171" i="23"/>
  <c r="G170" i="23"/>
  <c r="D170" i="23"/>
  <c r="C170" i="23"/>
  <c r="B170" i="23"/>
  <c r="A170" i="23"/>
  <c r="G169" i="23"/>
  <c r="D169" i="23"/>
  <c r="C169" i="23"/>
  <c r="B169" i="23"/>
  <c r="A169" i="23" s="1"/>
  <c r="G168" i="23"/>
  <c r="D168" i="23"/>
  <c r="C168" i="23"/>
  <c r="B168" i="23"/>
  <c r="A168" i="23" s="1"/>
  <c r="G167" i="23"/>
  <c r="D167" i="23"/>
  <c r="C167" i="23"/>
  <c r="B167" i="23"/>
  <c r="G166" i="23"/>
  <c r="G202" i="23" s="1"/>
  <c r="D166" i="23"/>
  <c r="D202" i="23" s="1"/>
  <c r="C166" i="23"/>
  <c r="C202" i="23" s="1"/>
  <c r="B166" i="23"/>
  <c r="B202" i="23" s="1"/>
  <c r="A166" i="23"/>
  <c r="G165" i="23"/>
  <c r="G201" i="23" s="1"/>
  <c r="D165" i="23"/>
  <c r="D201" i="23" s="1"/>
  <c r="C165" i="23"/>
  <c r="C201" i="23" s="1"/>
  <c r="B165" i="23"/>
  <c r="A165" i="23" s="1"/>
  <c r="G164" i="23"/>
  <c r="G200" i="23" s="1"/>
  <c r="G203" i="23" s="1"/>
  <c r="D164" i="23"/>
  <c r="D200" i="23" s="1"/>
  <c r="D203" i="23" s="1"/>
  <c r="C164" i="23"/>
  <c r="C200" i="23" s="1"/>
  <c r="C203" i="23" s="1"/>
  <c r="B164" i="23"/>
  <c r="B200" i="23" s="1"/>
  <c r="A164" i="23"/>
  <c r="I157" i="23"/>
  <c r="H157" i="23"/>
  <c r="F157" i="23"/>
  <c r="E157" i="23"/>
  <c r="I156" i="23"/>
  <c r="H156" i="23"/>
  <c r="F156" i="23"/>
  <c r="E156" i="23"/>
  <c r="I155" i="23"/>
  <c r="I158" i="23" s="1"/>
  <c r="H155" i="23"/>
  <c r="H158" i="23" s="1"/>
  <c r="F155" i="23"/>
  <c r="F158" i="23" s="1"/>
  <c r="E155" i="23"/>
  <c r="E158" i="23" s="1"/>
  <c r="G154" i="23"/>
  <c r="D154" i="23"/>
  <c r="C154" i="23"/>
  <c r="B154" i="23"/>
  <c r="A154" i="23" s="1"/>
  <c r="G153" i="23"/>
  <c r="D153" i="23"/>
  <c r="C153" i="23"/>
  <c r="B153" i="23"/>
  <c r="A153" i="23"/>
  <c r="G152" i="23"/>
  <c r="D152" i="23"/>
  <c r="C152" i="23"/>
  <c r="B152" i="23"/>
  <c r="A152" i="23" s="1"/>
  <c r="G151" i="23"/>
  <c r="D151" i="23"/>
  <c r="C151" i="23"/>
  <c r="B151" i="23"/>
  <c r="A151" i="23" s="1"/>
  <c r="G150" i="23"/>
  <c r="D150" i="23"/>
  <c r="C150" i="23"/>
  <c r="B150" i="23"/>
  <c r="G149" i="23"/>
  <c r="D149" i="23"/>
  <c r="C149" i="23"/>
  <c r="B149" i="23"/>
  <c r="A149" i="23"/>
  <c r="G148" i="23"/>
  <c r="D148" i="23"/>
  <c r="C148" i="23"/>
  <c r="B148" i="23"/>
  <c r="A148" i="23" s="1"/>
  <c r="G147" i="23"/>
  <c r="D147" i="23"/>
  <c r="C147" i="23"/>
  <c r="B147" i="23"/>
  <c r="A147" i="23" s="1"/>
  <c r="G146" i="23"/>
  <c r="D146" i="23"/>
  <c r="C146" i="23"/>
  <c r="B146" i="23"/>
  <c r="G145" i="23"/>
  <c r="D145" i="23"/>
  <c r="C145" i="23"/>
  <c r="B145" i="23"/>
  <c r="A145" i="23"/>
  <c r="G144" i="23"/>
  <c r="D144" i="23"/>
  <c r="C144" i="23"/>
  <c r="B144" i="23"/>
  <c r="A144" i="23" s="1"/>
  <c r="G143" i="23"/>
  <c r="D143" i="23"/>
  <c r="C143" i="23"/>
  <c r="B143" i="23"/>
  <c r="A143" i="23" s="1"/>
  <c r="G142" i="23"/>
  <c r="D142" i="23"/>
  <c r="C142" i="23"/>
  <c r="B142" i="23"/>
  <c r="G141" i="23"/>
  <c r="D141" i="23"/>
  <c r="C141" i="23"/>
  <c r="B141" i="23"/>
  <c r="A141" i="23"/>
  <c r="G140" i="23"/>
  <c r="D140" i="23"/>
  <c r="C140" i="23"/>
  <c r="B140" i="23"/>
  <c r="A140" i="23" s="1"/>
  <c r="G139" i="23"/>
  <c r="D139" i="23"/>
  <c r="C139" i="23"/>
  <c r="B139" i="23"/>
  <c r="A139" i="23" s="1"/>
  <c r="G138" i="23"/>
  <c r="D138" i="23"/>
  <c r="C138" i="23"/>
  <c r="B138" i="23"/>
  <c r="G137" i="23"/>
  <c r="D137" i="23"/>
  <c r="C137" i="23"/>
  <c r="B137" i="23"/>
  <c r="A137" i="23"/>
  <c r="G136" i="23"/>
  <c r="D136" i="23"/>
  <c r="C136" i="23"/>
  <c r="B136" i="23"/>
  <c r="A136" i="23" s="1"/>
  <c r="G135" i="23"/>
  <c r="D135" i="23"/>
  <c r="C135" i="23"/>
  <c r="B135" i="23"/>
  <c r="A135" i="23" s="1"/>
  <c r="G134" i="23"/>
  <c r="D134" i="23"/>
  <c r="C134" i="23"/>
  <c r="B134" i="23"/>
  <c r="G133" i="23"/>
  <c r="D133" i="23"/>
  <c r="C133" i="23"/>
  <c r="B133" i="23"/>
  <c r="A133" i="23"/>
  <c r="G132" i="23"/>
  <c r="D132" i="23"/>
  <c r="C132" i="23"/>
  <c r="B132" i="23"/>
  <c r="A132" i="23" s="1"/>
  <c r="G131" i="23"/>
  <c r="D131" i="23"/>
  <c r="C131" i="23"/>
  <c r="B131" i="23"/>
  <c r="A131" i="23"/>
  <c r="G130" i="23"/>
  <c r="D130" i="23"/>
  <c r="C130" i="23"/>
  <c r="B130" i="23"/>
  <c r="A130" i="23" s="1"/>
  <c r="G129" i="23"/>
  <c r="D129" i="23"/>
  <c r="C129" i="23"/>
  <c r="B129" i="23"/>
  <c r="G128" i="23"/>
  <c r="D128" i="23"/>
  <c r="C128" i="23"/>
  <c r="B128" i="23"/>
  <c r="A128" i="23"/>
  <c r="G127" i="23"/>
  <c r="D127" i="23"/>
  <c r="C127" i="23"/>
  <c r="B127" i="23"/>
  <c r="A127" i="23" s="1"/>
  <c r="G126" i="23"/>
  <c r="D126" i="23"/>
  <c r="C126" i="23"/>
  <c r="B126" i="23"/>
  <c r="A126" i="23"/>
  <c r="G125" i="23"/>
  <c r="D125" i="23"/>
  <c r="C125" i="23"/>
  <c r="B125" i="23"/>
  <c r="A125" i="23" s="1"/>
  <c r="G124" i="23"/>
  <c r="D124" i="23"/>
  <c r="C124" i="23"/>
  <c r="B124" i="23"/>
  <c r="A124" i="23"/>
  <c r="G123" i="23"/>
  <c r="D123" i="23"/>
  <c r="C123" i="23"/>
  <c r="B123" i="23"/>
  <c r="A123" i="23" s="1"/>
  <c r="G122" i="23"/>
  <c r="D122" i="23"/>
  <c r="C122" i="23"/>
  <c r="B122" i="23"/>
  <c r="A122" i="23"/>
  <c r="G121" i="23"/>
  <c r="D121" i="23"/>
  <c r="C121" i="23"/>
  <c r="B121" i="23"/>
  <c r="A121" i="23" s="1"/>
  <c r="G120" i="23"/>
  <c r="D120" i="23"/>
  <c r="C120" i="23"/>
  <c r="B120" i="23"/>
  <c r="A120" i="23"/>
  <c r="G119" i="23"/>
  <c r="D119" i="23"/>
  <c r="C119" i="23"/>
  <c r="B119" i="23"/>
  <c r="A119" i="23" s="1"/>
  <c r="G118" i="23"/>
  <c r="D118" i="23"/>
  <c r="C118" i="23"/>
  <c r="B118" i="23"/>
  <c r="G117" i="23"/>
  <c r="D117" i="23"/>
  <c r="C117" i="23"/>
  <c r="B117" i="23"/>
  <c r="A117" i="23"/>
  <c r="G116" i="23"/>
  <c r="D116" i="23"/>
  <c r="C116" i="23"/>
  <c r="B116" i="23"/>
  <c r="A116" i="23" s="1"/>
  <c r="G115" i="23"/>
  <c r="D115" i="23"/>
  <c r="C115" i="23"/>
  <c r="B115" i="23"/>
  <c r="A115" i="23" s="1"/>
  <c r="G114" i="23"/>
  <c r="D114" i="23"/>
  <c r="C114" i="23"/>
  <c r="B114" i="23"/>
  <c r="A114" i="23" s="1"/>
  <c r="G113" i="23"/>
  <c r="D113" i="23"/>
  <c r="C113" i="23"/>
  <c r="B113" i="23"/>
  <c r="A113" i="23"/>
  <c r="G112" i="23"/>
  <c r="D112" i="23"/>
  <c r="C112" i="23"/>
  <c r="B112" i="23"/>
  <c r="A112" i="23" s="1"/>
  <c r="G111" i="23"/>
  <c r="D111" i="23"/>
  <c r="C111" i="23"/>
  <c r="B111" i="23"/>
  <c r="A111" i="23" s="1"/>
  <c r="G110" i="23"/>
  <c r="D110" i="23"/>
  <c r="C110" i="23"/>
  <c r="B110" i="23"/>
  <c r="G109" i="23"/>
  <c r="G157" i="23" s="1"/>
  <c r="D109" i="23"/>
  <c r="D157" i="23" s="1"/>
  <c r="C109" i="23"/>
  <c r="C157" i="23" s="1"/>
  <c r="B109" i="23"/>
  <c r="B157" i="23" s="1"/>
  <c r="A109" i="23"/>
  <c r="G108" i="23"/>
  <c r="G156" i="23" s="1"/>
  <c r="D108" i="23"/>
  <c r="D156" i="23" s="1"/>
  <c r="C108" i="23"/>
  <c r="C156" i="23" s="1"/>
  <c r="B108" i="23"/>
  <c r="A108" i="23" s="1"/>
  <c r="G107" i="23"/>
  <c r="G155" i="23" s="1"/>
  <c r="G158" i="23" s="1"/>
  <c r="D107" i="23"/>
  <c r="D155" i="23" s="1"/>
  <c r="D158" i="23" s="1"/>
  <c r="C107" i="23"/>
  <c r="C155" i="23" s="1"/>
  <c r="C158" i="23" s="1"/>
  <c r="B107" i="23"/>
  <c r="B155" i="23" s="1"/>
  <c r="A107" i="23"/>
  <c r="H100" i="23"/>
  <c r="F100" i="23"/>
  <c r="E100" i="23"/>
  <c r="F99" i="23"/>
  <c r="E99" i="23"/>
  <c r="I98" i="23"/>
  <c r="H98" i="23"/>
  <c r="F98" i="23"/>
  <c r="F101" i="23" s="1"/>
  <c r="E98" i="23"/>
  <c r="E101" i="23" s="1"/>
  <c r="I97" i="23"/>
  <c r="G97" i="23" s="1"/>
  <c r="A97" i="23" s="1"/>
  <c r="D97" i="23"/>
  <c r="C97" i="23"/>
  <c r="B97" i="23"/>
  <c r="I96" i="23"/>
  <c r="H96" i="23"/>
  <c r="G96" i="23" s="1"/>
  <c r="A96" i="23" s="1"/>
  <c r="D96" i="23"/>
  <c r="C96" i="23"/>
  <c r="B96" i="23"/>
  <c r="G95" i="23"/>
  <c r="D95" i="23"/>
  <c r="C95" i="23"/>
  <c r="B95" i="23"/>
  <c r="A95" i="23"/>
  <c r="I94" i="23"/>
  <c r="I100" i="23" s="1"/>
  <c r="G94" i="23"/>
  <c r="D94" i="23"/>
  <c r="A94" i="23" s="1"/>
  <c r="C94" i="23"/>
  <c r="B94" i="23"/>
  <c r="G93" i="23"/>
  <c r="D93" i="23"/>
  <c r="C93" i="23"/>
  <c r="B93" i="23"/>
  <c r="G92" i="23"/>
  <c r="D92" i="23"/>
  <c r="C92" i="23"/>
  <c r="B92" i="23"/>
  <c r="A92" i="23"/>
  <c r="G91" i="23"/>
  <c r="D91" i="23"/>
  <c r="A91" i="23" s="1"/>
  <c r="C91" i="23"/>
  <c r="B91" i="23"/>
  <c r="G90" i="23"/>
  <c r="D90" i="23"/>
  <c r="A90" i="23" s="1"/>
  <c r="C90" i="23"/>
  <c r="B90" i="23"/>
  <c r="G89" i="23"/>
  <c r="D89" i="23"/>
  <c r="C89" i="23"/>
  <c r="B89" i="23"/>
  <c r="G88" i="23"/>
  <c r="D88" i="23"/>
  <c r="C88" i="23"/>
  <c r="B88" i="23"/>
  <c r="A88" i="23"/>
  <c r="G87" i="23"/>
  <c r="D87" i="23"/>
  <c r="A87" i="23" s="1"/>
  <c r="C87" i="23"/>
  <c r="B87" i="23"/>
  <c r="G86" i="23"/>
  <c r="D86" i="23"/>
  <c r="A86" i="23" s="1"/>
  <c r="C86" i="23"/>
  <c r="B86" i="23"/>
  <c r="G85" i="23"/>
  <c r="D85" i="23"/>
  <c r="C85" i="23"/>
  <c r="B85" i="23"/>
  <c r="G84" i="23"/>
  <c r="D84" i="23"/>
  <c r="C84" i="23"/>
  <c r="B84" i="23"/>
  <c r="A84" i="23"/>
  <c r="G83" i="23"/>
  <c r="D83" i="23"/>
  <c r="A83" i="23" s="1"/>
  <c r="C83" i="23"/>
  <c r="B83" i="23"/>
  <c r="G82" i="23"/>
  <c r="D82" i="23"/>
  <c r="A82" i="23" s="1"/>
  <c r="C82" i="23"/>
  <c r="B82" i="23"/>
  <c r="G81" i="23"/>
  <c r="D81" i="23"/>
  <c r="C81" i="23"/>
  <c r="B81" i="23"/>
  <c r="G80" i="23"/>
  <c r="D80" i="23"/>
  <c r="C80" i="23"/>
  <c r="B80" i="23"/>
  <c r="A80" i="23"/>
  <c r="G79" i="23"/>
  <c r="D79" i="23"/>
  <c r="A79" i="23" s="1"/>
  <c r="C79" i="23"/>
  <c r="B79" i="23"/>
  <c r="I78" i="23"/>
  <c r="I99" i="23" s="1"/>
  <c r="D78" i="23"/>
  <c r="B78" i="23"/>
  <c r="G77" i="23"/>
  <c r="D77" i="23"/>
  <c r="A77" i="23" s="1"/>
  <c r="C77" i="23"/>
  <c r="B77" i="23"/>
  <c r="G76" i="23"/>
  <c r="D76" i="23"/>
  <c r="C76" i="23"/>
  <c r="B76" i="23"/>
  <c r="G75" i="23"/>
  <c r="D75" i="23"/>
  <c r="C75" i="23"/>
  <c r="B75" i="23"/>
  <c r="A75" i="23"/>
  <c r="G74" i="23"/>
  <c r="D74" i="23"/>
  <c r="A74" i="23" s="1"/>
  <c r="C74" i="23"/>
  <c r="B74" i="23"/>
  <c r="G73" i="23"/>
  <c r="D73" i="23"/>
  <c r="D100" i="23" s="1"/>
  <c r="C73" i="23"/>
  <c r="C100" i="23" s="1"/>
  <c r="B73" i="23"/>
  <c r="B100" i="23" s="1"/>
  <c r="A73" i="23"/>
  <c r="G72" i="23"/>
  <c r="D72" i="23"/>
  <c r="C72" i="23"/>
  <c r="B72" i="23"/>
  <c r="B99" i="23" s="1"/>
  <c r="G71" i="23"/>
  <c r="G98" i="23" s="1"/>
  <c r="D71" i="23"/>
  <c r="D98" i="23" s="1"/>
  <c r="C71" i="23"/>
  <c r="C98" i="23" s="1"/>
  <c r="B71" i="23"/>
  <c r="B98" i="23" s="1"/>
  <c r="B101" i="23" s="1"/>
  <c r="A71" i="23"/>
  <c r="I64" i="23"/>
  <c r="H64" i="23"/>
  <c r="F64" i="23"/>
  <c r="E64" i="23"/>
  <c r="C64" i="23"/>
  <c r="B64" i="23"/>
  <c r="I63" i="23"/>
  <c r="H63" i="23"/>
  <c r="F63" i="23"/>
  <c r="E63" i="23"/>
  <c r="C63" i="23"/>
  <c r="B63" i="23"/>
  <c r="I62" i="23"/>
  <c r="I65" i="23" s="1"/>
  <c r="H62" i="23"/>
  <c r="H65" i="23" s="1"/>
  <c r="F62" i="23"/>
  <c r="F65" i="23" s="1"/>
  <c r="E62" i="23"/>
  <c r="E65" i="23" s="1"/>
  <c r="C62" i="23"/>
  <c r="C65" i="23" s="1"/>
  <c r="B62" i="23"/>
  <c r="B65" i="23" s="1"/>
  <c r="G61" i="23"/>
  <c r="D61" i="23"/>
  <c r="A61" i="23"/>
  <c r="G60" i="23"/>
  <c r="D60" i="23"/>
  <c r="A60" i="23"/>
  <c r="G59" i="23"/>
  <c r="D59" i="23"/>
  <c r="A59" i="23"/>
  <c r="G58" i="23"/>
  <c r="D58" i="23"/>
  <c r="A58" i="23"/>
  <c r="G57" i="23"/>
  <c r="D57" i="23"/>
  <c r="A57" i="23"/>
  <c r="G56" i="23"/>
  <c r="D56" i="23"/>
  <c r="A56" i="23"/>
  <c r="G55" i="23"/>
  <c r="D55" i="23"/>
  <c r="A55" i="23"/>
  <c r="G54" i="23"/>
  <c r="D54" i="23"/>
  <c r="A54" i="23"/>
  <c r="G53" i="23"/>
  <c r="D53" i="23"/>
  <c r="A53" i="23"/>
  <c r="G52" i="23"/>
  <c r="D52" i="23"/>
  <c r="A52" i="23"/>
  <c r="G51" i="23"/>
  <c r="D51" i="23"/>
  <c r="A51" i="23"/>
  <c r="G50" i="23"/>
  <c r="D50" i="23"/>
  <c r="A50" i="23"/>
  <c r="G49" i="23"/>
  <c r="G64" i="23" s="1"/>
  <c r="D49" i="23"/>
  <c r="D64" i="23" s="1"/>
  <c r="A49" i="23"/>
  <c r="A64" i="23" s="1"/>
  <c r="G48" i="23"/>
  <c r="G63" i="23" s="1"/>
  <c r="D48" i="23"/>
  <c r="D63" i="23" s="1"/>
  <c r="A48" i="23"/>
  <c r="A63" i="23" s="1"/>
  <c r="G47" i="23"/>
  <c r="G62" i="23" s="1"/>
  <c r="G65" i="23" s="1"/>
  <c r="D47" i="23"/>
  <c r="D62" i="23" s="1"/>
  <c r="A47" i="23"/>
  <c r="A62" i="23" s="1"/>
  <c r="A65" i="23" s="1"/>
  <c r="I40" i="23"/>
  <c r="H40" i="23"/>
  <c r="F40" i="23"/>
  <c r="E40" i="23"/>
  <c r="I39" i="23"/>
  <c r="H39" i="23"/>
  <c r="F39" i="23"/>
  <c r="E39" i="23"/>
  <c r="I38" i="23"/>
  <c r="I41" i="23" s="1"/>
  <c r="H38" i="23"/>
  <c r="H41" i="23" s="1"/>
  <c r="F38" i="23"/>
  <c r="F41" i="23" s="1"/>
  <c r="E38" i="23"/>
  <c r="E41" i="23" s="1"/>
  <c r="G37" i="23"/>
  <c r="D37" i="23"/>
  <c r="C37" i="23"/>
  <c r="B37" i="23"/>
  <c r="A37" i="23"/>
  <c r="G36" i="23"/>
  <c r="D36" i="23"/>
  <c r="C36" i="23"/>
  <c r="B36" i="23"/>
  <c r="A36" i="23"/>
  <c r="G35" i="23"/>
  <c r="D35" i="23"/>
  <c r="C35" i="23"/>
  <c r="B35" i="23"/>
  <c r="A35" i="23"/>
  <c r="G34" i="23"/>
  <c r="D34" i="23"/>
  <c r="C34" i="23"/>
  <c r="B34" i="23"/>
  <c r="A34" i="23" s="1"/>
  <c r="G33" i="23"/>
  <c r="D33" i="23"/>
  <c r="C33" i="23"/>
  <c r="B33" i="23"/>
  <c r="A33" i="23" s="1"/>
  <c r="G32" i="23"/>
  <c r="D32" i="23"/>
  <c r="C32" i="23"/>
  <c r="B32" i="23"/>
  <c r="G31" i="23"/>
  <c r="D31" i="23"/>
  <c r="C31" i="23"/>
  <c r="B31" i="23"/>
  <c r="A31" i="23"/>
  <c r="G30" i="23"/>
  <c r="D30" i="23"/>
  <c r="C30" i="23"/>
  <c r="B30" i="23"/>
  <c r="A30" i="23" s="1"/>
  <c r="G29" i="23"/>
  <c r="D29" i="23"/>
  <c r="C29" i="23"/>
  <c r="B29" i="23"/>
  <c r="A29" i="23" s="1"/>
  <c r="G28" i="23"/>
  <c r="D28" i="23"/>
  <c r="C28" i="23"/>
  <c r="B28" i="23"/>
  <c r="G27" i="23"/>
  <c r="D27" i="23"/>
  <c r="C27" i="23"/>
  <c r="B27" i="23"/>
  <c r="A27" i="23"/>
  <c r="G26" i="23"/>
  <c r="D26" i="23"/>
  <c r="C26" i="23"/>
  <c r="B26" i="23"/>
  <c r="A26" i="23" s="1"/>
  <c r="G25" i="23"/>
  <c r="D25" i="23"/>
  <c r="C25" i="23"/>
  <c r="B25" i="23"/>
  <c r="A25" i="23" s="1"/>
  <c r="G24" i="23"/>
  <c r="D24" i="23"/>
  <c r="C24" i="23"/>
  <c r="B24" i="23"/>
  <c r="G23" i="23"/>
  <c r="D23" i="23"/>
  <c r="C23" i="23"/>
  <c r="B23" i="23"/>
  <c r="A23" i="23"/>
  <c r="G22" i="23"/>
  <c r="D22" i="23"/>
  <c r="C22" i="23"/>
  <c r="B22" i="23"/>
  <c r="A22" i="23" s="1"/>
  <c r="G21" i="23"/>
  <c r="D21" i="23"/>
  <c r="C21" i="23"/>
  <c r="B21" i="23"/>
  <c r="A21" i="23" s="1"/>
  <c r="G20" i="23"/>
  <c r="D20" i="23"/>
  <c r="C20" i="23"/>
  <c r="B20" i="23"/>
  <c r="G19" i="23"/>
  <c r="D19" i="23"/>
  <c r="C19" i="23"/>
  <c r="B19" i="23"/>
  <c r="A19" i="23"/>
  <c r="G18" i="23"/>
  <c r="D18" i="23"/>
  <c r="C18" i="23"/>
  <c r="B18" i="23"/>
  <c r="A18" i="23" s="1"/>
  <c r="G17" i="23"/>
  <c r="D17" i="23"/>
  <c r="C17" i="23"/>
  <c r="B17" i="23"/>
  <c r="A17" i="23" s="1"/>
  <c r="G16" i="23"/>
  <c r="D16" i="23"/>
  <c r="C16" i="23"/>
  <c r="B16" i="23"/>
  <c r="G15" i="23"/>
  <c r="D15" i="23"/>
  <c r="C15" i="23"/>
  <c r="B15" i="23"/>
  <c r="A15" i="23"/>
  <c r="G14" i="23"/>
  <c r="D14" i="23"/>
  <c r="C14" i="23"/>
  <c r="B14" i="23"/>
  <c r="A14" i="23" s="1"/>
  <c r="G13" i="23"/>
  <c r="D13" i="23"/>
  <c r="C13" i="23"/>
  <c r="B13" i="23"/>
  <c r="A13" i="23" s="1"/>
  <c r="G12" i="23"/>
  <c r="D12" i="23"/>
  <c r="C12" i="23"/>
  <c r="B12" i="23"/>
  <c r="G11" i="23"/>
  <c r="D11" i="23"/>
  <c r="C11" i="23"/>
  <c r="B11" i="23"/>
  <c r="A11" i="23"/>
  <c r="G10" i="23"/>
  <c r="D10" i="23"/>
  <c r="C10" i="23"/>
  <c r="B10" i="23"/>
  <c r="A10" i="23" s="1"/>
  <c r="G9" i="23"/>
  <c r="D9" i="23"/>
  <c r="C9" i="23"/>
  <c r="B9" i="23"/>
  <c r="A9" i="23" s="1"/>
  <c r="G8" i="23"/>
  <c r="D8" i="23"/>
  <c r="C8" i="23"/>
  <c r="B8" i="23"/>
  <c r="G7" i="23"/>
  <c r="G40" i="23" s="1"/>
  <c r="D7" i="23"/>
  <c r="C7" i="23"/>
  <c r="C40" i="23" s="1"/>
  <c r="B7" i="23"/>
  <c r="B40" i="23" s="1"/>
  <c r="A7" i="23"/>
  <c r="G6" i="23"/>
  <c r="G39" i="23" s="1"/>
  <c r="D6" i="23"/>
  <c r="D39" i="23" s="1"/>
  <c r="C6" i="23"/>
  <c r="C39" i="23" s="1"/>
  <c r="B6" i="23"/>
  <c r="B39" i="23" s="1"/>
  <c r="G5" i="23"/>
  <c r="G38" i="23" s="1"/>
  <c r="G41" i="23" s="1"/>
  <c r="D5" i="23"/>
  <c r="D38" i="23" s="1"/>
  <c r="C5" i="23"/>
  <c r="C38" i="23" s="1"/>
  <c r="C41" i="23" s="1"/>
  <c r="B5" i="23"/>
  <c r="B38" i="23" s="1"/>
  <c r="B41" i="23" s="1"/>
  <c r="I1036" i="22"/>
  <c r="H1036" i="22"/>
  <c r="F1036" i="22"/>
  <c r="E1036" i="22"/>
  <c r="I1035" i="22"/>
  <c r="H1035" i="22"/>
  <c r="F1035" i="22"/>
  <c r="E1035" i="22"/>
  <c r="I1034" i="22"/>
  <c r="H1034" i="22"/>
  <c r="F1034" i="22"/>
  <c r="E1034" i="22"/>
  <c r="G1033" i="22"/>
  <c r="D1033" i="22"/>
  <c r="C1033" i="22"/>
  <c r="B1033" i="22"/>
  <c r="A1033" i="22" s="1"/>
  <c r="G1032" i="22"/>
  <c r="G1034" i="22" s="1"/>
  <c r="D1032" i="22"/>
  <c r="D1034" i="22" s="1"/>
  <c r="C1032" i="22"/>
  <c r="C1034" i="22" s="1"/>
  <c r="B1032" i="22"/>
  <c r="B1034" i="22" s="1"/>
  <c r="I1031" i="22"/>
  <c r="H1031" i="22"/>
  <c r="F1031" i="22"/>
  <c r="E1031" i="22"/>
  <c r="G1030" i="22"/>
  <c r="D1030" i="22"/>
  <c r="C1030" i="22"/>
  <c r="B1030" i="22"/>
  <c r="A1030" i="22"/>
  <c r="G1029" i="22"/>
  <c r="G1031" i="22" s="1"/>
  <c r="D1029" i="22"/>
  <c r="D1031" i="22" s="1"/>
  <c r="C1029" i="22"/>
  <c r="C1031" i="22" s="1"/>
  <c r="B1029" i="22"/>
  <c r="A1029" i="22" s="1"/>
  <c r="A1031" i="22" s="1"/>
  <c r="I1028" i="22"/>
  <c r="H1028" i="22"/>
  <c r="F1028" i="22"/>
  <c r="E1028" i="22"/>
  <c r="G1027" i="22"/>
  <c r="D1027" i="22"/>
  <c r="C1027" i="22"/>
  <c r="B1027" i="22"/>
  <c r="A1027" i="22" s="1"/>
  <c r="G1026" i="22"/>
  <c r="G1028" i="22" s="1"/>
  <c r="D1026" i="22"/>
  <c r="D1028" i="22" s="1"/>
  <c r="C1026" i="22"/>
  <c r="C1028" i="22" s="1"/>
  <c r="B1026" i="22"/>
  <c r="B1028" i="22" s="1"/>
  <c r="I1025" i="22"/>
  <c r="H1025" i="22"/>
  <c r="F1025" i="22"/>
  <c r="E1025" i="22"/>
  <c r="G1024" i="22"/>
  <c r="D1024" i="22"/>
  <c r="C1024" i="22"/>
  <c r="B1024" i="22"/>
  <c r="A1024" i="22"/>
  <c r="G1023" i="22"/>
  <c r="G1025" i="22" s="1"/>
  <c r="D1023" i="22"/>
  <c r="D1025" i="22" s="1"/>
  <c r="C1023" i="22"/>
  <c r="C1025" i="22" s="1"/>
  <c r="B1023" i="22"/>
  <c r="A1023" i="22" s="1"/>
  <c r="A1025" i="22" s="1"/>
  <c r="I1022" i="22"/>
  <c r="H1022" i="22"/>
  <c r="F1022" i="22"/>
  <c r="E1022" i="22"/>
  <c r="G1021" i="22"/>
  <c r="D1021" i="22"/>
  <c r="C1021" i="22"/>
  <c r="B1021" i="22"/>
  <c r="A1021" i="22" s="1"/>
  <c r="G1020" i="22"/>
  <c r="G1022" i="22" s="1"/>
  <c r="D1020" i="22"/>
  <c r="D1022" i="22" s="1"/>
  <c r="C1020" i="22"/>
  <c r="C1022" i="22" s="1"/>
  <c r="B1020" i="22"/>
  <c r="B1022" i="22" s="1"/>
  <c r="I1019" i="22"/>
  <c r="H1019" i="22"/>
  <c r="F1019" i="22"/>
  <c r="E1019" i="22"/>
  <c r="G1018" i="22"/>
  <c r="D1018" i="22"/>
  <c r="C1018" i="22"/>
  <c r="B1018" i="22"/>
  <c r="A1018" i="22"/>
  <c r="G1017" i="22"/>
  <c r="G1019" i="22" s="1"/>
  <c r="D1017" i="22"/>
  <c r="D1019" i="22" s="1"/>
  <c r="C1017" i="22"/>
  <c r="C1019" i="22" s="1"/>
  <c r="B1017" i="22"/>
  <c r="A1017" i="22" s="1"/>
  <c r="A1019" i="22" s="1"/>
  <c r="I1016" i="22"/>
  <c r="H1016" i="22"/>
  <c r="F1016" i="22"/>
  <c r="E1016" i="22"/>
  <c r="G1015" i="22"/>
  <c r="D1015" i="22"/>
  <c r="C1015" i="22"/>
  <c r="B1015" i="22"/>
  <c r="A1015" i="22" s="1"/>
  <c r="G1014" i="22"/>
  <c r="G1016" i="22" s="1"/>
  <c r="D1014" i="22"/>
  <c r="D1016" i="22" s="1"/>
  <c r="C1014" i="22"/>
  <c r="C1016" i="22" s="1"/>
  <c r="B1014" i="22"/>
  <c r="B1016" i="22" s="1"/>
  <c r="I1013" i="22"/>
  <c r="H1013" i="22"/>
  <c r="F1013" i="22"/>
  <c r="E1013" i="22"/>
  <c r="G1012" i="22"/>
  <c r="D1012" i="22"/>
  <c r="C1012" i="22"/>
  <c r="B1012" i="22"/>
  <c r="A1012" i="22"/>
  <c r="G1011" i="22"/>
  <c r="G1013" i="22" s="1"/>
  <c r="D1011" i="22"/>
  <c r="D1013" i="22" s="1"/>
  <c r="C1011" i="22"/>
  <c r="C1013" i="22" s="1"/>
  <c r="B1011" i="22"/>
  <c r="A1011" i="22" s="1"/>
  <c r="A1013" i="22" s="1"/>
  <c r="I1010" i="22"/>
  <c r="H1010" i="22"/>
  <c r="F1010" i="22"/>
  <c r="E1010" i="22"/>
  <c r="G1009" i="22"/>
  <c r="D1009" i="22"/>
  <c r="C1009" i="22"/>
  <c r="B1009" i="22"/>
  <c r="A1009" i="22" s="1"/>
  <c r="G1008" i="22"/>
  <c r="G1010" i="22" s="1"/>
  <c r="D1008" i="22"/>
  <c r="D1010" i="22" s="1"/>
  <c r="C1008" i="22"/>
  <c r="C1010" i="22" s="1"/>
  <c r="B1008" i="22"/>
  <c r="B1010" i="22" s="1"/>
  <c r="I1007" i="22"/>
  <c r="H1007" i="22"/>
  <c r="F1007" i="22"/>
  <c r="E1007" i="22"/>
  <c r="G1006" i="22"/>
  <c r="D1006" i="22"/>
  <c r="C1006" i="22"/>
  <c r="B1006" i="22"/>
  <c r="A1006" i="22"/>
  <c r="G1005" i="22"/>
  <c r="D1005" i="22"/>
  <c r="D1007" i="22" s="1"/>
  <c r="C1005" i="22"/>
  <c r="C1007" i="22" s="1"/>
  <c r="B1005" i="22"/>
  <c r="A1005" i="22" s="1"/>
  <c r="A1007" i="22" s="1"/>
  <c r="I1004" i="22"/>
  <c r="H1004" i="22"/>
  <c r="F1004" i="22"/>
  <c r="E1004" i="22"/>
  <c r="G1003" i="22"/>
  <c r="D1003" i="22"/>
  <c r="C1003" i="22"/>
  <c r="B1003" i="22"/>
  <c r="A1003" i="22" s="1"/>
  <c r="G1002" i="22"/>
  <c r="G1004" i="22" s="1"/>
  <c r="D1002" i="22"/>
  <c r="D1004" i="22" s="1"/>
  <c r="C1002" i="22"/>
  <c r="C1004" i="22" s="1"/>
  <c r="B1002" i="22"/>
  <c r="B1004" i="22" s="1"/>
  <c r="I1001" i="22"/>
  <c r="H1001" i="22"/>
  <c r="F1001" i="22"/>
  <c r="E1001" i="22"/>
  <c r="G1000" i="22"/>
  <c r="D1000" i="22"/>
  <c r="C1000" i="22"/>
  <c r="B1000" i="22"/>
  <c r="A1000" i="22"/>
  <c r="G999" i="22"/>
  <c r="D999" i="22"/>
  <c r="D1001" i="22" s="1"/>
  <c r="C999" i="22"/>
  <c r="B999" i="22"/>
  <c r="A999" i="22" s="1"/>
  <c r="A1001" i="22" s="1"/>
  <c r="I998" i="22"/>
  <c r="H998" i="22"/>
  <c r="F998" i="22"/>
  <c r="E998" i="22"/>
  <c r="G997" i="22"/>
  <c r="D997" i="22"/>
  <c r="C997" i="22"/>
  <c r="B997" i="22"/>
  <c r="A997" i="22" s="1"/>
  <c r="G996" i="22"/>
  <c r="G998" i="22" s="1"/>
  <c r="D996" i="22"/>
  <c r="D998" i="22" s="1"/>
  <c r="C996" i="22"/>
  <c r="C998" i="22" s="1"/>
  <c r="B996" i="22"/>
  <c r="B998" i="22" s="1"/>
  <c r="I995" i="22"/>
  <c r="H995" i="22"/>
  <c r="F995" i="22"/>
  <c r="E995" i="22"/>
  <c r="G994" i="22"/>
  <c r="D994" i="22"/>
  <c r="C994" i="22"/>
  <c r="B994" i="22"/>
  <c r="A994" i="22"/>
  <c r="G993" i="22"/>
  <c r="D993" i="22"/>
  <c r="D995" i="22" s="1"/>
  <c r="C993" i="22"/>
  <c r="B993" i="22"/>
  <c r="A993" i="22" s="1"/>
  <c r="A995" i="22" s="1"/>
  <c r="I992" i="22"/>
  <c r="H992" i="22"/>
  <c r="F992" i="22"/>
  <c r="E992" i="22"/>
  <c r="G991" i="22"/>
  <c r="D991" i="22"/>
  <c r="C991" i="22"/>
  <c r="B991" i="22"/>
  <c r="A991" i="22" s="1"/>
  <c r="G990" i="22"/>
  <c r="G992" i="22" s="1"/>
  <c r="D990" i="22"/>
  <c r="D992" i="22" s="1"/>
  <c r="C990" i="22"/>
  <c r="C992" i="22" s="1"/>
  <c r="B990" i="22"/>
  <c r="B992" i="22" s="1"/>
  <c r="I989" i="22"/>
  <c r="H989" i="22"/>
  <c r="F989" i="22"/>
  <c r="E989" i="22"/>
  <c r="G988" i="22"/>
  <c r="D988" i="22"/>
  <c r="C988" i="22"/>
  <c r="B988" i="22"/>
  <c r="A988" i="22"/>
  <c r="G987" i="22"/>
  <c r="D987" i="22"/>
  <c r="D989" i="22" s="1"/>
  <c r="C987" i="22"/>
  <c r="B987" i="22"/>
  <c r="A987" i="22" s="1"/>
  <c r="A989" i="22" s="1"/>
  <c r="I986" i="22"/>
  <c r="H986" i="22"/>
  <c r="F986" i="22"/>
  <c r="E986" i="22"/>
  <c r="G985" i="22"/>
  <c r="D985" i="22"/>
  <c r="C985" i="22"/>
  <c r="B985" i="22"/>
  <c r="A985" i="22" s="1"/>
  <c r="G984" i="22"/>
  <c r="G986" i="22" s="1"/>
  <c r="D984" i="22"/>
  <c r="D986" i="22" s="1"/>
  <c r="C984" i="22"/>
  <c r="C986" i="22" s="1"/>
  <c r="B984" i="22"/>
  <c r="B986" i="22" s="1"/>
  <c r="I983" i="22"/>
  <c r="H983" i="22"/>
  <c r="F983" i="22"/>
  <c r="E983" i="22"/>
  <c r="G982" i="22"/>
  <c r="D982" i="22"/>
  <c r="C982" i="22"/>
  <c r="B982" i="22"/>
  <c r="A982" i="22"/>
  <c r="G981" i="22"/>
  <c r="D981" i="22"/>
  <c r="D983" i="22" s="1"/>
  <c r="C981" i="22"/>
  <c r="B981" i="22"/>
  <c r="A981" i="22" s="1"/>
  <c r="A983" i="22" s="1"/>
  <c r="I980" i="22"/>
  <c r="H980" i="22"/>
  <c r="F980" i="22"/>
  <c r="E980" i="22"/>
  <c r="G979" i="22"/>
  <c r="D979" i="22"/>
  <c r="C979" i="22"/>
  <c r="B979" i="22"/>
  <c r="A979" i="22" s="1"/>
  <c r="G978" i="22"/>
  <c r="G980" i="22" s="1"/>
  <c r="D978" i="22"/>
  <c r="D980" i="22" s="1"/>
  <c r="C978" i="22"/>
  <c r="C980" i="22" s="1"/>
  <c r="B978" i="22"/>
  <c r="B980" i="22" s="1"/>
  <c r="I977" i="22"/>
  <c r="I1037" i="22" s="1"/>
  <c r="H977" i="22"/>
  <c r="F977" i="22"/>
  <c r="F1037" i="22" s="1"/>
  <c r="E977" i="22"/>
  <c r="E1037" i="22" s="1"/>
  <c r="G976" i="22"/>
  <c r="G1036" i="22" s="1"/>
  <c r="D976" i="22"/>
  <c r="D1036" i="22" s="1"/>
  <c r="C976" i="22"/>
  <c r="C1036" i="22" s="1"/>
  <c r="B976" i="22"/>
  <c r="B1036" i="22" s="1"/>
  <c r="A976" i="22"/>
  <c r="A1036" i="22" s="1"/>
  <c r="G975" i="22"/>
  <c r="G1035" i="22" s="1"/>
  <c r="D975" i="22"/>
  <c r="D1035" i="22" s="1"/>
  <c r="C975" i="22"/>
  <c r="C1035" i="22" s="1"/>
  <c r="B975" i="22"/>
  <c r="A975" i="22" s="1"/>
  <c r="I970" i="22"/>
  <c r="H970" i="22"/>
  <c r="F970" i="22"/>
  <c r="E970" i="22"/>
  <c r="I969" i="22"/>
  <c r="H969" i="22"/>
  <c r="F969" i="22"/>
  <c r="E969" i="22"/>
  <c r="I968" i="22"/>
  <c r="H968" i="22"/>
  <c r="F968" i="22"/>
  <c r="E968" i="22"/>
  <c r="G967" i="22"/>
  <c r="D967" i="22"/>
  <c r="C967" i="22"/>
  <c r="B967" i="22"/>
  <c r="A967" i="22" s="1"/>
  <c r="G966" i="22"/>
  <c r="D966" i="22"/>
  <c r="C966" i="22"/>
  <c r="B966" i="22"/>
  <c r="A966" i="22" s="1"/>
  <c r="G965" i="22"/>
  <c r="D965" i="22"/>
  <c r="C965" i="22"/>
  <c r="B965" i="22"/>
  <c r="G964" i="22"/>
  <c r="D964" i="22"/>
  <c r="C964" i="22"/>
  <c r="B964" i="22"/>
  <c r="A964" i="22"/>
  <c r="G963" i="22"/>
  <c r="D963" i="22"/>
  <c r="C963" i="22"/>
  <c r="B963" i="22"/>
  <c r="A963" i="22" s="1"/>
  <c r="G962" i="22"/>
  <c r="D962" i="22"/>
  <c r="C962" i="22"/>
  <c r="B962" i="22"/>
  <c r="A962" i="22" s="1"/>
  <c r="G961" i="22"/>
  <c r="D961" i="22"/>
  <c r="C961" i="22"/>
  <c r="B961" i="22"/>
  <c r="G960" i="22"/>
  <c r="D960" i="22"/>
  <c r="C960" i="22"/>
  <c r="B960" i="22"/>
  <c r="A960" i="22"/>
  <c r="G959" i="22"/>
  <c r="D959" i="22"/>
  <c r="C959" i="22"/>
  <c r="B959" i="22"/>
  <c r="A959" i="22" s="1"/>
  <c r="G958" i="22"/>
  <c r="G970" i="22" s="1"/>
  <c r="D958" i="22"/>
  <c r="D970" i="22" s="1"/>
  <c r="C958" i="22"/>
  <c r="C970" i="22" s="1"/>
  <c r="B958" i="22"/>
  <c r="B970" i="22" s="1"/>
  <c r="G957" i="22"/>
  <c r="G969" i="22" s="1"/>
  <c r="D957" i="22"/>
  <c r="D969" i="22" s="1"/>
  <c r="C957" i="22"/>
  <c r="C969" i="22" s="1"/>
  <c r="B957" i="22"/>
  <c r="B969" i="22" s="1"/>
  <c r="A957" i="22"/>
  <c r="G956" i="22"/>
  <c r="G968" i="22" s="1"/>
  <c r="D956" i="22"/>
  <c r="D968" i="22" s="1"/>
  <c r="C956" i="22"/>
  <c r="C968" i="22" s="1"/>
  <c r="B956" i="22"/>
  <c r="B968" i="22" s="1"/>
  <c r="I951" i="22"/>
  <c r="H951" i="22"/>
  <c r="F951" i="22"/>
  <c r="E951" i="22"/>
  <c r="I950" i="22"/>
  <c r="H950" i="22"/>
  <c r="F950" i="22"/>
  <c r="E950" i="22"/>
  <c r="I949" i="22"/>
  <c r="H949" i="22"/>
  <c r="F949" i="22"/>
  <c r="E949" i="22"/>
  <c r="G948" i="22"/>
  <c r="G951" i="22" s="1"/>
  <c r="D948" i="22"/>
  <c r="D951" i="22" s="1"/>
  <c r="C948" i="22"/>
  <c r="C951" i="22" s="1"/>
  <c r="B948" i="22"/>
  <c r="B951" i="22" s="1"/>
  <c r="G947" i="22"/>
  <c r="G950" i="22" s="1"/>
  <c r="D947" i="22"/>
  <c r="D950" i="22" s="1"/>
  <c r="C947" i="22"/>
  <c r="C950" i="22" s="1"/>
  <c r="B947" i="22"/>
  <c r="B950" i="22" s="1"/>
  <c r="G946" i="22"/>
  <c r="G949" i="22" s="1"/>
  <c r="D946" i="22"/>
  <c r="D949" i="22" s="1"/>
  <c r="C946" i="22"/>
  <c r="C949" i="22" s="1"/>
  <c r="B946" i="22"/>
  <c r="B949" i="22" s="1"/>
  <c r="I941" i="22"/>
  <c r="H941" i="22"/>
  <c r="F941" i="22"/>
  <c r="E941" i="22"/>
  <c r="I940" i="22"/>
  <c r="H940" i="22"/>
  <c r="F940" i="22"/>
  <c r="E940" i="22"/>
  <c r="I939" i="22"/>
  <c r="H939" i="22"/>
  <c r="F939" i="22"/>
  <c r="E939" i="22"/>
  <c r="G938" i="22"/>
  <c r="G941" i="22" s="1"/>
  <c r="D938" i="22"/>
  <c r="D941" i="22" s="1"/>
  <c r="C938" i="22"/>
  <c r="C941" i="22" s="1"/>
  <c r="B938" i="22"/>
  <c r="B941" i="22" s="1"/>
  <c r="G937" i="22"/>
  <c r="G940" i="22" s="1"/>
  <c r="D937" i="22"/>
  <c r="D940" i="22" s="1"/>
  <c r="C937" i="22"/>
  <c r="C940" i="22" s="1"/>
  <c r="B937" i="22"/>
  <c r="B940" i="22" s="1"/>
  <c r="G936" i="22"/>
  <c r="G939" i="22" s="1"/>
  <c r="D936" i="22"/>
  <c r="D939" i="22" s="1"/>
  <c r="C936" i="22"/>
  <c r="C939" i="22" s="1"/>
  <c r="B936" i="22"/>
  <c r="B939" i="22" s="1"/>
  <c r="I930" i="22"/>
  <c r="H930" i="22"/>
  <c r="F930" i="22"/>
  <c r="E930" i="22"/>
  <c r="I929" i="22"/>
  <c r="F929" i="22"/>
  <c r="E929" i="22"/>
  <c r="I928" i="22"/>
  <c r="H928" i="22"/>
  <c r="F928" i="22"/>
  <c r="E928" i="22"/>
  <c r="G927" i="22"/>
  <c r="D927" i="22"/>
  <c r="C927" i="22"/>
  <c r="B927" i="22"/>
  <c r="A927" i="22"/>
  <c r="G926" i="22"/>
  <c r="G928" i="22" s="1"/>
  <c r="D926" i="22"/>
  <c r="D928" i="22" s="1"/>
  <c r="C926" i="22"/>
  <c r="C928" i="22" s="1"/>
  <c r="B926" i="22"/>
  <c r="B928" i="22" s="1"/>
  <c r="I925" i="22"/>
  <c r="F925" i="22"/>
  <c r="E925" i="22"/>
  <c r="G924" i="22"/>
  <c r="D924" i="22"/>
  <c r="A924" i="22" s="1"/>
  <c r="C924" i="22"/>
  <c r="B924" i="22"/>
  <c r="H923" i="22"/>
  <c r="H929" i="22" s="1"/>
  <c r="D923" i="22"/>
  <c r="D925" i="22" s="1"/>
  <c r="C923" i="22"/>
  <c r="C925" i="22" s="1"/>
  <c r="B923" i="22"/>
  <c r="B925" i="22" s="1"/>
  <c r="I922" i="22"/>
  <c r="H922" i="22"/>
  <c r="F922" i="22"/>
  <c r="E922" i="22"/>
  <c r="G921" i="22"/>
  <c r="D921" i="22"/>
  <c r="A921" i="22" s="1"/>
  <c r="C921" i="22"/>
  <c r="B921" i="22"/>
  <c r="G920" i="22"/>
  <c r="G922" i="22" s="1"/>
  <c r="D920" i="22"/>
  <c r="D922" i="22" s="1"/>
  <c r="C920" i="22"/>
  <c r="C922" i="22" s="1"/>
  <c r="B920" i="22"/>
  <c r="B922" i="22" s="1"/>
  <c r="A920" i="22"/>
  <c r="A922" i="22" s="1"/>
  <c r="I919" i="22"/>
  <c r="I931" i="22" s="1"/>
  <c r="H919" i="22"/>
  <c r="F919" i="22"/>
  <c r="F931" i="22" s="1"/>
  <c r="E919" i="22"/>
  <c r="E931" i="22" s="1"/>
  <c r="G918" i="22"/>
  <c r="G930" i="22" s="1"/>
  <c r="D918" i="22"/>
  <c r="D930" i="22" s="1"/>
  <c r="C918" i="22"/>
  <c r="C930" i="22" s="1"/>
  <c r="B918" i="22"/>
  <c r="B930" i="22" s="1"/>
  <c r="A918" i="22"/>
  <c r="A930" i="22" s="1"/>
  <c r="G917" i="22"/>
  <c r="D917" i="22"/>
  <c r="D919" i="22" s="1"/>
  <c r="D931" i="22" s="1"/>
  <c r="C917" i="22"/>
  <c r="C929" i="22" s="1"/>
  <c r="B917" i="22"/>
  <c r="B919" i="22" s="1"/>
  <c r="B931" i="22" s="1"/>
  <c r="I911" i="22"/>
  <c r="H911" i="22"/>
  <c r="F911" i="22"/>
  <c r="E911" i="22"/>
  <c r="I910" i="22"/>
  <c r="H910" i="22"/>
  <c r="F910" i="22"/>
  <c r="E910" i="22"/>
  <c r="I909" i="22"/>
  <c r="H909" i="22"/>
  <c r="F909" i="22"/>
  <c r="E909" i="22"/>
  <c r="G908" i="22"/>
  <c r="D908" i="22"/>
  <c r="C908" i="22"/>
  <c r="B908" i="22"/>
  <c r="A908" i="22"/>
  <c r="G907" i="22"/>
  <c r="G909" i="22" s="1"/>
  <c r="D907" i="22"/>
  <c r="D909" i="22" s="1"/>
  <c r="C907" i="22"/>
  <c r="C909" i="22" s="1"/>
  <c r="B907" i="22"/>
  <c r="B909" i="22" s="1"/>
  <c r="A907" i="22"/>
  <c r="A909" i="22" s="1"/>
  <c r="I906" i="22"/>
  <c r="H906" i="22"/>
  <c r="F906" i="22"/>
  <c r="E906" i="22"/>
  <c r="G905" i="22"/>
  <c r="D905" i="22"/>
  <c r="A905" i="22" s="1"/>
  <c r="C905" i="22"/>
  <c r="B905" i="22"/>
  <c r="G904" i="22"/>
  <c r="G906" i="22" s="1"/>
  <c r="D904" i="22"/>
  <c r="D906" i="22" s="1"/>
  <c r="C904" i="22"/>
  <c r="C906" i="22" s="1"/>
  <c r="B904" i="22"/>
  <c r="B906" i="22" s="1"/>
  <c r="A904" i="22"/>
  <c r="I903" i="22"/>
  <c r="H903" i="22"/>
  <c r="F903" i="22"/>
  <c r="E903" i="22"/>
  <c r="G902" i="22"/>
  <c r="D902" i="22"/>
  <c r="A902" i="22" s="1"/>
  <c r="C902" i="22"/>
  <c r="B902" i="22"/>
  <c r="G901" i="22"/>
  <c r="G903" i="22" s="1"/>
  <c r="D901" i="22"/>
  <c r="C901" i="22"/>
  <c r="C903" i="22" s="1"/>
  <c r="B901" i="22"/>
  <c r="I900" i="22"/>
  <c r="H900" i="22"/>
  <c r="F900" i="22"/>
  <c r="E900" i="22"/>
  <c r="G899" i="22"/>
  <c r="D899" i="22"/>
  <c r="C899" i="22"/>
  <c r="B899" i="22"/>
  <c r="A899" i="22"/>
  <c r="G898" i="22"/>
  <c r="G900" i="22" s="1"/>
  <c r="D898" i="22"/>
  <c r="D900" i="22" s="1"/>
  <c r="C898" i="22"/>
  <c r="C900" i="22" s="1"/>
  <c r="B898" i="22"/>
  <c r="B900" i="22" s="1"/>
  <c r="A898" i="22"/>
  <c r="A900" i="22" s="1"/>
  <c r="I897" i="22"/>
  <c r="H897" i="22"/>
  <c r="F897" i="22"/>
  <c r="E897" i="22"/>
  <c r="G896" i="22"/>
  <c r="D896" i="22"/>
  <c r="A896" i="22" s="1"/>
  <c r="C896" i="22"/>
  <c r="B896" i="22"/>
  <c r="G895" i="22"/>
  <c r="G897" i="22" s="1"/>
  <c r="D895" i="22"/>
  <c r="C895" i="22"/>
  <c r="C897" i="22" s="1"/>
  <c r="B895" i="22"/>
  <c r="A895" i="22"/>
  <c r="I894" i="22"/>
  <c r="H894" i="22"/>
  <c r="F894" i="22"/>
  <c r="E894" i="22"/>
  <c r="G893" i="22"/>
  <c r="D893" i="22"/>
  <c r="A893" i="22" s="1"/>
  <c r="C893" i="22"/>
  <c r="B893" i="22"/>
  <c r="G892" i="22"/>
  <c r="G894" i="22" s="1"/>
  <c r="D892" i="22"/>
  <c r="C892" i="22"/>
  <c r="C894" i="22" s="1"/>
  <c r="B892" i="22"/>
  <c r="B894" i="22" s="1"/>
  <c r="I891" i="22"/>
  <c r="H891" i="22"/>
  <c r="F891" i="22"/>
  <c r="E891" i="22"/>
  <c r="G890" i="22"/>
  <c r="D890" i="22"/>
  <c r="C890" i="22"/>
  <c r="B890" i="22"/>
  <c r="G889" i="22"/>
  <c r="G891" i="22" s="1"/>
  <c r="D889" i="22"/>
  <c r="D891" i="22" s="1"/>
  <c r="C889" i="22"/>
  <c r="C891" i="22" s="1"/>
  <c r="B889" i="22"/>
  <c r="B891" i="22" s="1"/>
  <c r="A889" i="22"/>
  <c r="I888" i="22"/>
  <c r="H888" i="22"/>
  <c r="F888" i="22"/>
  <c r="E888" i="22"/>
  <c r="G887" i="22"/>
  <c r="D887" i="22"/>
  <c r="A887" i="22" s="1"/>
  <c r="C887" i="22"/>
  <c r="B887" i="22"/>
  <c r="G886" i="22"/>
  <c r="G888" i="22" s="1"/>
  <c r="D886" i="22"/>
  <c r="C886" i="22"/>
  <c r="C888" i="22" s="1"/>
  <c r="B886" i="22"/>
  <c r="B888" i="22" s="1"/>
  <c r="I885" i="22"/>
  <c r="H885" i="22"/>
  <c r="F885" i="22"/>
  <c r="E885" i="22"/>
  <c r="G884" i="22"/>
  <c r="D884" i="22"/>
  <c r="C884" i="22"/>
  <c r="B884" i="22"/>
  <c r="G883" i="22"/>
  <c r="G885" i="22" s="1"/>
  <c r="D883" i="22"/>
  <c r="D885" i="22" s="1"/>
  <c r="C883" i="22"/>
  <c r="C885" i="22" s="1"/>
  <c r="B883" i="22"/>
  <c r="B885" i="22" s="1"/>
  <c r="A883" i="22"/>
  <c r="I882" i="22"/>
  <c r="H882" i="22"/>
  <c r="F882" i="22"/>
  <c r="E882" i="22"/>
  <c r="G881" i="22"/>
  <c r="D881" i="22"/>
  <c r="A881" i="22" s="1"/>
  <c r="C881" i="22"/>
  <c r="B881" i="22"/>
  <c r="G880" i="22"/>
  <c r="G882" i="22" s="1"/>
  <c r="D880" i="22"/>
  <c r="C880" i="22"/>
  <c r="C882" i="22" s="1"/>
  <c r="B880" i="22"/>
  <c r="B882" i="22" s="1"/>
  <c r="I879" i="22"/>
  <c r="H879" i="22"/>
  <c r="F879" i="22"/>
  <c r="E879" i="22"/>
  <c r="G878" i="22"/>
  <c r="D878" i="22"/>
  <c r="C878" i="22"/>
  <c r="B878" i="22"/>
  <c r="G877" i="22"/>
  <c r="G879" i="22" s="1"/>
  <c r="D877" i="22"/>
  <c r="D879" i="22" s="1"/>
  <c r="C877" i="22"/>
  <c r="C879" i="22" s="1"/>
  <c r="B877" i="22"/>
  <c r="B879" i="22" s="1"/>
  <c r="A877" i="22"/>
  <c r="I876" i="22"/>
  <c r="H876" i="22"/>
  <c r="F876" i="22"/>
  <c r="E876" i="22"/>
  <c r="G875" i="22"/>
  <c r="D875" i="22"/>
  <c r="A875" i="22" s="1"/>
  <c r="C875" i="22"/>
  <c r="B875" i="22"/>
  <c r="G874" i="22"/>
  <c r="G876" i="22" s="1"/>
  <c r="D874" i="22"/>
  <c r="C874" i="22"/>
  <c r="C876" i="22" s="1"/>
  <c r="B874" i="22"/>
  <c r="B876" i="22" s="1"/>
  <c r="I873" i="22"/>
  <c r="H873" i="22"/>
  <c r="F873" i="22"/>
  <c r="E873" i="22"/>
  <c r="G872" i="22"/>
  <c r="D872" i="22"/>
  <c r="C872" i="22"/>
  <c r="B872" i="22"/>
  <c r="G871" i="22"/>
  <c r="G873" i="22" s="1"/>
  <c r="D871" i="22"/>
  <c r="D873" i="22" s="1"/>
  <c r="C871" i="22"/>
  <c r="C873" i="22" s="1"/>
  <c r="B871" i="22"/>
  <c r="B873" i="22" s="1"/>
  <c r="A871" i="22"/>
  <c r="I870" i="22"/>
  <c r="H870" i="22"/>
  <c r="F870" i="22"/>
  <c r="E870" i="22"/>
  <c r="G869" i="22"/>
  <c r="D869" i="22"/>
  <c r="C869" i="22"/>
  <c r="B869" i="22"/>
  <c r="A869" i="22"/>
  <c r="G868" i="22"/>
  <c r="G870" i="22" s="1"/>
  <c r="D868" i="22"/>
  <c r="A868" i="22" s="1"/>
  <c r="A870" i="22" s="1"/>
  <c r="C868" i="22"/>
  <c r="C870" i="22" s="1"/>
  <c r="B868" i="22"/>
  <c r="B870" i="22" s="1"/>
  <c r="I867" i="22"/>
  <c r="H867" i="22"/>
  <c r="F867" i="22"/>
  <c r="E867" i="22"/>
  <c r="G866" i="22"/>
  <c r="D866" i="22"/>
  <c r="A866" i="22" s="1"/>
  <c r="C866" i="22"/>
  <c r="B866" i="22"/>
  <c r="G865" i="22"/>
  <c r="G867" i="22" s="1"/>
  <c r="D865" i="22"/>
  <c r="D867" i="22" s="1"/>
  <c r="C865" i="22"/>
  <c r="C867" i="22" s="1"/>
  <c r="B865" i="22"/>
  <c r="B867" i="22" s="1"/>
  <c r="A865" i="22"/>
  <c r="I864" i="22"/>
  <c r="H864" i="22"/>
  <c r="F864" i="22"/>
  <c r="E864" i="22"/>
  <c r="G863" i="22"/>
  <c r="D863" i="22"/>
  <c r="C863" i="22"/>
  <c r="B863" i="22"/>
  <c r="A863" i="22"/>
  <c r="G862" i="22"/>
  <c r="G864" i="22" s="1"/>
  <c r="D862" i="22"/>
  <c r="A862" i="22" s="1"/>
  <c r="A864" i="22" s="1"/>
  <c r="C862" i="22"/>
  <c r="C864" i="22" s="1"/>
  <c r="B862" i="22"/>
  <c r="B864" i="22" s="1"/>
  <c r="I861" i="22"/>
  <c r="H861" i="22"/>
  <c r="F861" i="22"/>
  <c r="E861" i="22"/>
  <c r="G860" i="22"/>
  <c r="D860" i="22"/>
  <c r="A860" i="22" s="1"/>
  <c r="C860" i="22"/>
  <c r="B860" i="22"/>
  <c r="G859" i="22"/>
  <c r="G861" i="22" s="1"/>
  <c r="D859" i="22"/>
  <c r="D861" i="22" s="1"/>
  <c r="C859" i="22"/>
  <c r="C861" i="22" s="1"/>
  <c r="B859" i="22"/>
  <c r="B861" i="22" s="1"/>
  <c r="I858" i="22"/>
  <c r="H858" i="22"/>
  <c r="F858" i="22"/>
  <c r="E858" i="22"/>
  <c r="G857" i="22"/>
  <c r="D857" i="22"/>
  <c r="C857" i="22"/>
  <c r="B857" i="22"/>
  <c r="A857" i="22"/>
  <c r="G856" i="22"/>
  <c r="D856" i="22"/>
  <c r="A856" i="22" s="1"/>
  <c r="A858" i="22" s="1"/>
  <c r="C856" i="22"/>
  <c r="C858" i="22" s="1"/>
  <c r="B856" i="22"/>
  <c r="B858" i="22" s="1"/>
  <c r="I855" i="22"/>
  <c r="H855" i="22"/>
  <c r="F855" i="22"/>
  <c r="E855" i="22"/>
  <c r="G854" i="22"/>
  <c r="D854" i="22"/>
  <c r="A854" i="22" s="1"/>
  <c r="C854" i="22"/>
  <c r="B854" i="22"/>
  <c r="G853" i="22"/>
  <c r="G855" i="22" s="1"/>
  <c r="D853" i="22"/>
  <c r="D855" i="22" s="1"/>
  <c r="C853" i="22"/>
  <c r="C855" i="22" s="1"/>
  <c r="B853" i="22"/>
  <c r="B855" i="22" s="1"/>
  <c r="I852" i="22"/>
  <c r="H852" i="22"/>
  <c r="F852" i="22"/>
  <c r="E852" i="22"/>
  <c r="G851" i="22"/>
  <c r="D851" i="22"/>
  <c r="C851" i="22"/>
  <c r="B851" i="22"/>
  <c r="A851" i="22"/>
  <c r="G850" i="22"/>
  <c r="D850" i="22"/>
  <c r="A850" i="22" s="1"/>
  <c r="A852" i="22" s="1"/>
  <c r="C850" i="22"/>
  <c r="B850" i="22"/>
  <c r="B852" i="22" s="1"/>
  <c r="I849" i="22"/>
  <c r="H849" i="22"/>
  <c r="F849" i="22"/>
  <c r="E849" i="22"/>
  <c r="G848" i="22"/>
  <c r="D848" i="22"/>
  <c r="A848" i="22" s="1"/>
  <c r="C848" i="22"/>
  <c r="B848" i="22"/>
  <c r="G847" i="22"/>
  <c r="G849" i="22" s="1"/>
  <c r="D847" i="22"/>
  <c r="D849" i="22" s="1"/>
  <c r="C847" i="22"/>
  <c r="C849" i="22" s="1"/>
  <c r="B847" i="22"/>
  <c r="B849" i="22" s="1"/>
  <c r="I846" i="22"/>
  <c r="I912" i="22" s="1"/>
  <c r="H846" i="22"/>
  <c r="H912" i="22" s="1"/>
  <c r="F846" i="22"/>
  <c r="F912" i="22" s="1"/>
  <c r="E846" i="22"/>
  <c r="E912" i="22" s="1"/>
  <c r="G845" i="22"/>
  <c r="G911" i="22" s="1"/>
  <c r="D845" i="22"/>
  <c r="D911" i="22" s="1"/>
  <c r="C845" i="22"/>
  <c r="C911" i="22" s="1"/>
  <c r="B845" i="22"/>
  <c r="B911" i="22" s="1"/>
  <c r="A845" i="22"/>
  <c r="G844" i="22"/>
  <c r="G910" i="22" s="1"/>
  <c r="D844" i="22"/>
  <c r="A844" i="22" s="1"/>
  <c r="C844" i="22"/>
  <c r="C910" i="22" s="1"/>
  <c r="B844" i="22"/>
  <c r="B910" i="22" s="1"/>
  <c r="I838" i="22"/>
  <c r="H838" i="22"/>
  <c r="F838" i="22"/>
  <c r="E838" i="22"/>
  <c r="H837" i="22"/>
  <c r="F837" i="22"/>
  <c r="E837" i="22"/>
  <c r="H836" i="22"/>
  <c r="F836" i="22"/>
  <c r="E836" i="22"/>
  <c r="G835" i="22"/>
  <c r="D835" i="22"/>
  <c r="C835" i="22"/>
  <c r="B835" i="22"/>
  <c r="A835" i="22"/>
  <c r="I834" i="22"/>
  <c r="I836" i="22" s="1"/>
  <c r="G834" i="22"/>
  <c r="G836" i="22" s="1"/>
  <c r="D834" i="22"/>
  <c r="D836" i="22" s="1"/>
  <c r="C834" i="22"/>
  <c r="C836" i="22" s="1"/>
  <c r="B834" i="22"/>
  <c r="B836" i="22" s="1"/>
  <c r="A834" i="22"/>
  <c r="A836" i="22" s="1"/>
  <c r="I833" i="22"/>
  <c r="H833" i="22"/>
  <c r="F833" i="22"/>
  <c r="E833" i="22"/>
  <c r="G832" i="22"/>
  <c r="D832" i="22"/>
  <c r="C832" i="22"/>
  <c r="B832" i="22"/>
  <c r="A832" i="22"/>
  <c r="G831" i="22"/>
  <c r="G833" i="22" s="1"/>
  <c r="D831" i="22"/>
  <c r="A831" i="22" s="1"/>
  <c r="A833" i="22" s="1"/>
  <c r="C831" i="22"/>
  <c r="C833" i="22" s="1"/>
  <c r="B831" i="22"/>
  <c r="B833" i="22" s="1"/>
  <c r="I830" i="22"/>
  <c r="H830" i="22"/>
  <c r="H839" i="22" s="1"/>
  <c r="F830" i="22"/>
  <c r="F839" i="22" s="1"/>
  <c r="E830" i="22"/>
  <c r="E839" i="22" s="1"/>
  <c r="G829" i="22"/>
  <c r="G838" i="22" s="1"/>
  <c r="D829" i="22"/>
  <c r="A829" i="22" s="1"/>
  <c r="A838" i="22" s="1"/>
  <c r="C829" i="22"/>
  <c r="C838" i="22" s="1"/>
  <c r="B829" i="22"/>
  <c r="B838" i="22" s="1"/>
  <c r="G828" i="22"/>
  <c r="G837" i="22" s="1"/>
  <c r="D828" i="22"/>
  <c r="D837" i="22" s="1"/>
  <c r="C828" i="22"/>
  <c r="C837" i="22" s="1"/>
  <c r="B828" i="22"/>
  <c r="B837" i="22" s="1"/>
  <c r="A828" i="22"/>
  <c r="A837" i="22" s="1"/>
  <c r="I822" i="22"/>
  <c r="H822" i="22"/>
  <c r="F822" i="22"/>
  <c r="E822" i="22"/>
  <c r="H821" i="22"/>
  <c r="F821" i="22"/>
  <c r="E821" i="22"/>
  <c r="I820" i="22"/>
  <c r="H820" i="22"/>
  <c r="F820" i="22"/>
  <c r="E820" i="22"/>
  <c r="G819" i="22"/>
  <c r="D819" i="22"/>
  <c r="A819" i="22" s="1"/>
  <c r="C819" i="22"/>
  <c r="B819" i="22"/>
  <c r="G818" i="22"/>
  <c r="G820" i="22" s="1"/>
  <c r="D818" i="22"/>
  <c r="D820" i="22" s="1"/>
  <c r="C818" i="22"/>
  <c r="C820" i="22" s="1"/>
  <c r="B818" i="22"/>
  <c r="B820" i="22" s="1"/>
  <c r="A818" i="22"/>
  <c r="I817" i="22"/>
  <c r="H817" i="22"/>
  <c r="F817" i="22"/>
  <c r="E817" i="22"/>
  <c r="G816" i="22"/>
  <c r="D816" i="22"/>
  <c r="C816" i="22"/>
  <c r="B816" i="22"/>
  <c r="A816" i="22"/>
  <c r="G815" i="22"/>
  <c r="G817" i="22" s="1"/>
  <c r="D815" i="22"/>
  <c r="A815" i="22" s="1"/>
  <c r="A817" i="22" s="1"/>
  <c r="C815" i="22"/>
  <c r="C817" i="22" s="1"/>
  <c r="B815" i="22"/>
  <c r="B817" i="22" s="1"/>
  <c r="I814" i="22"/>
  <c r="H814" i="22"/>
  <c r="F814" i="22"/>
  <c r="E814" i="22"/>
  <c r="G813" i="22"/>
  <c r="D813" i="22"/>
  <c r="A813" i="22" s="1"/>
  <c r="C813" i="22"/>
  <c r="B813" i="22"/>
  <c r="G812" i="22"/>
  <c r="G814" i="22" s="1"/>
  <c r="D812" i="22"/>
  <c r="D814" i="22" s="1"/>
  <c r="C812" i="22"/>
  <c r="C814" i="22" s="1"/>
  <c r="B812" i="22"/>
  <c r="B814" i="22" s="1"/>
  <c r="I811" i="22"/>
  <c r="H811" i="22"/>
  <c r="F811" i="22"/>
  <c r="E811" i="22"/>
  <c r="G810" i="22"/>
  <c r="D810" i="22"/>
  <c r="C810" i="22"/>
  <c r="B810" i="22"/>
  <c r="A810" i="22"/>
  <c r="G809" i="22"/>
  <c r="D809" i="22"/>
  <c r="A809" i="22" s="1"/>
  <c r="A811" i="22" s="1"/>
  <c r="C809" i="22"/>
  <c r="B809" i="22"/>
  <c r="B811" i="22" s="1"/>
  <c r="H808" i="22"/>
  <c r="F808" i="22"/>
  <c r="E808" i="22"/>
  <c r="G807" i="22"/>
  <c r="D807" i="22"/>
  <c r="C807" i="22"/>
  <c r="B807" i="22"/>
  <c r="I806" i="22"/>
  <c r="G806" i="22" s="1"/>
  <c r="D806" i="22"/>
  <c r="D808" i="22" s="1"/>
  <c r="B806" i="22"/>
  <c r="B808" i="22" s="1"/>
  <c r="I805" i="22"/>
  <c r="H805" i="22"/>
  <c r="F805" i="22"/>
  <c r="E805" i="22"/>
  <c r="G804" i="22"/>
  <c r="D804" i="22"/>
  <c r="A804" i="22" s="1"/>
  <c r="C804" i="22"/>
  <c r="B804" i="22"/>
  <c r="G803" i="22"/>
  <c r="G805" i="22" s="1"/>
  <c r="D803" i="22"/>
  <c r="D805" i="22" s="1"/>
  <c r="C803" i="22"/>
  <c r="C805" i="22" s="1"/>
  <c r="B803" i="22"/>
  <c r="B805" i="22" s="1"/>
  <c r="H802" i="22"/>
  <c r="F802" i="22"/>
  <c r="E802" i="22"/>
  <c r="G801" i="22"/>
  <c r="D801" i="22"/>
  <c r="A801" i="22" s="1"/>
  <c r="C801" i="22"/>
  <c r="B801" i="22"/>
  <c r="I800" i="22"/>
  <c r="I802" i="22" s="1"/>
  <c r="D800" i="22"/>
  <c r="D802" i="22" s="1"/>
  <c r="B800" i="22"/>
  <c r="B802" i="22" s="1"/>
  <c r="H799" i="22"/>
  <c r="H823" i="22" s="1"/>
  <c r="F799" i="22"/>
  <c r="F823" i="22" s="1"/>
  <c r="E799" i="22"/>
  <c r="E823" i="22" s="1"/>
  <c r="G798" i="22"/>
  <c r="G822" i="22" s="1"/>
  <c r="D798" i="22"/>
  <c r="D822" i="22" s="1"/>
  <c r="C798" i="22"/>
  <c r="C822" i="22" s="1"/>
  <c r="B798" i="22"/>
  <c r="B822" i="22" s="1"/>
  <c r="I797" i="22"/>
  <c r="I821" i="22" s="1"/>
  <c r="D797" i="22"/>
  <c r="D821" i="22" s="1"/>
  <c r="B797" i="22"/>
  <c r="B821" i="22" s="1"/>
  <c r="I791" i="22"/>
  <c r="H791" i="22"/>
  <c r="F791" i="22"/>
  <c r="E791" i="22"/>
  <c r="H790" i="22"/>
  <c r="F790" i="22"/>
  <c r="E790" i="22"/>
  <c r="I789" i="22"/>
  <c r="H789" i="22"/>
  <c r="F789" i="22"/>
  <c r="E789" i="22"/>
  <c r="G788" i="22"/>
  <c r="D788" i="22"/>
  <c r="A788" i="22" s="1"/>
  <c r="C788" i="22"/>
  <c r="B788" i="22"/>
  <c r="G787" i="22"/>
  <c r="G789" i="22" s="1"/>
  <c r="D787" i="22"/>
  <c r="D789" i="22" s="1"/>
  <c r="C787" i="22"/>
  <c r="C789" i="22" s="1"/>
  <c r="B787" i="22"/>
  <c r="B789" i="22" s="1"/>
  <c r="I786" i="22"/>
  <c r="H786" i="22"/>
  <c r="F786" i="22"/>
  <c r="E786" i="22"/>
  <c r="G785" i="22"/>
  <c r="D785" i="22"/>
  <c r="C785" i="22"/>
  <c r="B785" i="22"/>
  <c r="A785" i="22"/>
  <c r="G784" i="22"/>
  <c r="D784" i="22"/>
  <c r="A784" i="22" s="1"/>
  <c r="A786" i="22" s="1"/>
  <c r="C784" i="22"/>
  <c r="B784" i="22"/>
  <c r="B786" i="22" s="1"/>
  <c r="H783" i="22"/>
  <c r="F783" i="22"/>
  <c r="E783" i="22"/>
  <c r="G782" i="22"/>
  <c r="D782" i="22"/>
  <c r="C782" i="22"/>
  <c r="B782" i="22"/>
  <c r="I781" i="22"/>
  <c r="I783" i="22" s="1"/>
  <c r="D781" i="22"/>
  <c r="B781" i="22"/>
  <c r="I780" i="22"/>
  <c r="H780" i="22"/>
  <c r="F780" i="22"/>
  <c r="E780" i="22"/>
  <c r="G779" i="22"/>
  <c r="D779" i="22"/>
  <c r="C779" i="22"/>
  <c r="B779" i="22"/>
  <c r="A779" i="22"/>
  <c r="G778" i="22"/>
  <c r="D778" i="22"/>
  <c r="D780" i="22" s="1"/>
  <c r="C778" i="22"/>
  <c r="B778" i="22"/>
  <c r="B780" i="22" s="1"/>
  <c r="I777" i="22"/>
  <c r="H777" i="22"/>
  <c r="F777" i="22"/>
  <c r="E777" i="22"/>
  <c r="G776" i="22"/>
  <c r="D776" i="22"/>
  <c r="A776" i="22" s="1"/>
  <c r="C776" i="22"/>
  <c r="B776" i="22"/>
  <c r="G775" i="22"/>
  <c r="G777" i="22" s="1"/>
  <c r="D775" i="22"/>
  <c r="D777" i="22" s="1"/>
  <c r="C775" i="22"/>
  <c r="C777" i="22" s="1"/>
  <c r="B775" i="22"/>
  <c r="B777" i="22" s="1"/>
  <c r="H774" i="22"/>
  <c r="F774" i="22"/>
  <c r="E774" i="22"/>
  <c r="G773" i="22"/>
  <c r="D773" i="22"/>
  <c r="A773" i="22" s="1"/>
  <c r="C773" i="22"/>
  <c r="B773" i="22"/>
  <c r="I772" i="22"/>
  <c r="I774" i="22" s="1"/>
  <c r="D772" i="22"/>
  <c r="D774" i="22" s="1"/>
  <c r="B772" i="22"/>
  <c r="B774" i="22" s="1"/>
  <c r="H771" i="22"/>
  <c r="H792" i="22" s="1"/>
  <c r="F771" i="22"/>
  <c r="F792" i="22" s="1"/>
  <c r="E771" i="22"/>
  <c r="E792" i="22" s="1"/>
  <c r="G770" i="22"/>
  <c r="G791" i="22" s="1"/>
  <c r="D770" i="22"/>
  <c r="D791" i="22" s="1"/>
  <c r="C770" i="22"/>
  <c r="C791" i="22" s="1"/>
  <c r="B770" i="22"/>
  <c r="B791" i="22" s="1"/>
  <c r="I769" i="22"/>
  <c r="I790" i="22" s="1"/>
  <c r="D769" i="22"/>
  <c r="D790" i="22" s="1"/>
  <c r="B769" i="22"/>
  <c r="B790" i="22" s="1"/>
  <c r="I763" i="22"/>
  <c r="H763" i="22"/>
  <c r="F763" i="22"/>
  <c r="E763" i="22"/>
  <c r="H762" i="22"/>
  <c r="F762" i="22"/>
  <c r="E762" i="22"/>
  <c r="I761" i="22"/>
  <c r="H761" i="22"/>
  <c r="F761" i="22"/>
  <c r="E761" i="22"/>
  <c r="G760" i="22"/>
  <c r="D760" i="22"/>
  <c r="A760" i="22" s="1"/>
  <c r="C760" i="22"/>
  <c r="B760" i="22"/>
  <c r="G759" i="22"/>
  <c r="G761" i="22" s="1"/>
  <c r="D759" i="22"/>
  <c r="D761" i="22" s="1"/>
  <c r="C759" i="22"/>
  <c r="C761" i="22" s="1"/>
  <c r="B759" i="22"/>
  <c r="B761" i="22" s="1"/>
  <c r="I758" i="22"/>
  <c r="H758" i="22"/>
  <c r="F758" i="22"/>
  <c r="E758" i="22"/>
  <c r="G757" i="22"/>
  <c r="D757" i="22"/>
  <c r="C757" i="22"/>
  <c r="B757" i="22"/>
  <c r="A757" i="22"/>
  <c r="G756" i="22"/>
  <c r="D756" i="22"/>
  <c r="D758" i="22" s="1"/>
  <c r="C756" i="22"/>
  <c r="B756" i="22"/>
  <c r="B758" i="22" s="1"/>
  <c r="H755" i="22"/>
  <c r="F755" i="22"/>
  <c r="E755" i="22"/>
  <c r="G754" i="22"/>
  <c r="D754" i="22"/>
  <c r="C754" i="22"/>
  <c r="B754" i="22"/>
  <c r="I753" i="22"/>
  <c r="I755" i="22" s="1"/>
  <c r="D753" i="22"/>
  <c r="D755" i="22" s="1"/>
  <c r="B753" i="22"/>
  <c r="B755" i="22" s="1"/>
  <c r="I752" i="22"/>
  <c r="H752" i="22"/>
  <c r="F752" i="22"/>
  <c r="E752" i="22"/>
  <c r="G751" i="22"/>
  <c r="D751" i="22"/>
  <c r="A751" i="22" s="1"/>
  <c r="C751" i="22"/>
  <c r="B751" i="22"/>
  <c r="G750" i="22"/>
  <c r="G752" i="22" s="1"/>
  <c r="D750" i="22"/>
  <c r="D752" i="22" s="1"/>
  <c r="C750" i="22"/>
  <c r="C752" i="22" s="1"/>
  <c r="B750" i="22"/>
  <c r="B752" i="22" s="1"/>
  <c r="I749" i="22"/>
  <c r="H749" i="22"/>
  <c r="F749" i="22"/>
  <c r="E749" i="22"/>
  <c r="G748" i="22"/>
  <c r="D748" i="22"/>
  <c r="C748" i="22"/>
  <c r="B748" i="22"/>
  <c r="A748" i="22"/>
  <c r="G747" i="22"/>
  <c r="D747" i="22"/>
  <c r="D749" i="22" s="1"/>
  <c r="C747" i="22"/>
  <c r="B747" i="22"/>
  <c r="B749" i="22" s="1"/>
  <c r="I746" i="22"/>
  <c r="H746" i="22"/>
  <c r="F746" i="22"/>
  <c r="E746" i="22"/>
  <c r="G745" i="22"/>
  <c r="D745" i="22"/>
  <c r="A745" i="22" s="1"/>
  <c r="C745" i="22"/>
  <c r="B745" i="22"/>
  <c r="G744" i="22"/>
  <c r="G746" i="22" s="1"/>
  <c r="D744" i="22"/>
  <c r="D746" i="22" s="1"/>
  <c r="C744" i="22"/>
  <c r="C746" i="22" s="1"/>
  <c r="B744" i="22"/>
  <c r="B746" i="22" s="1"/>
  <c r="I743" i="22"/>
  <c r="H743" i="22"/>
  <c r="F743" i="22"/>
  <c r="E743" i="22"/>
  <c r="G742" i="22"/>
  <c r="D742" i="22"/>
  <c r="C742" i="22"/>
  <c r="B742" i="22"/>
  <c r="A742" i="22"/>
  <c r="G741" i="22"/>
  <c r="D741" i="22"/>
  <c r="D743" i="22" s="1"/>
  <c r="C741" i="22"/>
  <c r="B741" i="22"/>
  <c r="B743" i="22" s="1"/>
  <c r="I740" i="22"/>
  <c r="H740" i="22"/>
  <c r="F740" i="22"/>
  <c r="E740" i="22"/>
  <c r="G739" i="22"/>
  <c r="D739" i="22"/>
  <c r="A739" i="22" s="1"/>
  <c r="C739" i="22"/>
  <c r="B739" i="22"/>
  <c r="G738" i="22"/>
  <c r="G740" i="22" s="1"/>
  <c r="D738" i="22"/>
  <c r="D740" i="22" s="1"/>
  <c r="C738" i="22"/>
  <c r="C740" i="22" s="1"/>
  <c r="B738" i="22"/>
  <c r="B740" i="22" s="1"/>
  <c r="H737" i="22"/>
  <c r="H764" i="22" s="1"/>
  <c r="F737" i="22"/>
  <c r="F764" i="22" s="1"/>
  <c r="E737" i="22"/>
  <c r="E764" i="22" s="1"/>
  <c r="G736" i="22"/>
  <c r="G763" i="22" s="1"/>
  <c r="D736" i="22"/>
  <c r="D763" i="22" s="1"/>
  <c r="C736" i="22"/>
  <c r="C763" i="22" s="1"/>
  <c r="B736" i="22"/>
  <c r="B763" i="22" s="1"/>
  <c r="I735" i="22"/>
  <c r="I762" i="22" s="1"/>
  <c r="D735" i="22"/>
  <c r="D762" i="22" s="1"/>
  <c r="B735" i="22"/>
  <c r="B762" i="22" s="1"/>
  <c r="I729" i="22"/>
  <c r="H729" i="22"/>
  <c r="F729" i="22"/>
  <c r="E729" i="22"/>
  <c r="F728" i="22"/>
  <c r="E728" i="22"/>
  <c r="H727" i="22"/>
  <c r="F727" i="22"/>
  <c r="E727" i="22"/>
  <c r="G726" i="22"/>
  <c r="D726" i="22"/>
  <c r="A726" i="22" s="1"/>
  <c r="C726" i="22"/>
  <c r="B726" i="22"/>
  <c r="I725" i="22"/>
  <c r="I727" i="22" s="1"/>
  <c r="D725" i="22"/>
  <c r="C725" i="22"/>
  <c r="C727" i="22" s="1"/>
  <c r="B725" i="22"/>
  <c r="I724" i="22"/>
  <c r="H724" i="22"/>
  <c r="F724" i="22"/>
  <c r="E724" i="22"/>
  <c r="G723" i="22"/>
  <c r="D723" i="22"/>
  <c r="C723" i="22"/>
  <c r="B723" i="22"/>
  <c r="G722" i="22"/>
  <c r="G724" i="22" s="1"/>
  <c r="D722" i="22"/>
  <c r="D724" i="22" s="1"/>
  <c r="C722" i="22"/>
  <c r="C724" i="22" s="1"/>
  <c r="B722" i="22"/>
  <c r="B724" i="22" s="1"/>
  <c r="A722" i="22"/>
  <c r="I721" i="22"/>
  <c r="H721" i="22"/>
  <c r="F721" i="22"/>
  <c r="E721" i="22"/>
  <c r="G720" i="22"/>
  <c r="D720" i="22"/>
  <c r="A720" i="22" s="1"/>
  <c r="C720" i="22"/>
  <c r="B720" i="22"/>
  <c r="G719" i="22"/>
  <c r="G721" i="22" s="1"/>
  <c r="D719" i="22"/>
  <c r="C719" i="22"/>
  <c r="C721" i="22" s="1"/>
  <c r="B719" i="22"/>
  <c r="I718" i="22"/>
  <c r="H718" i="22"/>
  <c r="F718" i="22"/>
  <c r="E718" i="22"/>
  <c r="G717" i="22"/>
  <c r="D717" i="22"/>
  <c r="C717" i="22"/>
  <c r="B717" i="22"/>
  <c r="G716" i="22"/>
  <c r="G718" i="22" s="1"/>
  <c r="D716" i="22"/>
  <c r="D718" i="22" s="1"/>
  <c r="C716" i="22"/>
  <c r="C718" i="22" s="1"/>
  <c r="B716" i="22"/>
  <c r="B718" i="22" s="1"/>
  <c r="A716" i="22"/>
  <c r="I715" i="22"/>
  <c r="F715" i="22"/>
  <c r="E715" i="22"/>
  <c r="G714" i="22"/>
  <c r="D714" i="22"/>
  <c r="C714" i="22"/>
  <c r="B714" i="22"/>
  <c r="A714" i="22"/>
  <c r="H713" i="22"/>
  <c r="H728" i="22" s="1"/>
  <c r="G713" i="22"/>
  <c r="G715" i="22" s="1"/>
  <c r="D713" i="22"/>
  <c r="D715" i="22" s="1"/>
  <c r="C713" i="22"/>
  <c r="C715" i="22" s="1"/>
  <c r="B713" i="22"/>
  <c r="B715" i="22" s="1"/>
  <c r="A713" i="22"/>
  <c r="A715" i="22" s="1"/>
  <c r="I712" i="22"/>
  <c r="I730" i="22" s="1"/>
  <c r="H712" i="22"/>
  <c r="F712" i="22"/>
  <c r="F730" i="22" s="1"/>
  <c r="E712" i="22"/>
  <c r="E730" i="22" s="1"/>
  <c r="G711" i="22"/>
  <c r="G729" i="22" s="1"/>
  <c r="D711" i="22"/>
  <c r="D729" i="22" s="1"/>
  <c r="C711" i="22"/>
  <c r="C729" i="22" s="1"/>
  <c r="B711" i="22"/>
  <c r="B729" i="22" s="1"/>
  <c r="A711" i="22"/>
  <c r="G710" i="22"/>
  <c r="D710" i="22"/>
  <c r="D728" i="22" s="1"/>
  <c r="C710" i="22"/>
  <c r="C728" i="22" s="1"/>
  <c r="B710" i="22"/>
  <c r="B728" i="22" s="1"/>
  <c r="I704" i="22"/>
  <c r="H704" i="22"/>
  <c r="F704" i="22"/>
  <c r="E704" i="22"/>
  <c r="H703" i="22"/>
  <c r="F703" i="22"/>
  <c r="E703" i="22"/>
  <c r="I702" i="22"/>
  <c r="H702" i="22"/>
  <c r="F702" i="22"/>
  <c r="E702" i="22"/>
  <c r="G701" i="22"/>
  <c r="D701" i="22"/>
  <c r="A701" i="22" s="1"/>
  <c r="C701" i="22"/>
  <c r="B701" i="22"/>
  <c r="G700" i="22"/>
  <c r="G702" i="22" s="1"/>
  <c r="D700" i="22"/>
  <c r="D702" i="22" s="1"/>
  <c r="C700" i="22"/>
  <c r="C702" i="22" s="1"/>
  <c r="B700" i="22"/>
  <c r="B702" i="22" s="1"/>
  <c r="A700" i="22"/>
  <c r="A702" i="22" s="1"/>
  <c r="I699" i="22"/>
  <c r="H699" i="22"/>
  <c r="F699" i="22"/>
  <c r="E699" i="22"/>
  <c r="G698" i="22"/>
  <c r="D698" i="22"/>
  <c r="C698" i="22"/>
  <c r="B698" i="22"/>
  <c r="A698" i="22"/>
  <c r="G697" i="22"/>
  <c r="G699" i="22" s="1"/>
  <c r="D697" i="22"/>
  <c r="A697" i="22" s="1"/>
  <c r="A699" i="22" s="1"/>
  <c r="C697" i="22"/>
  <c r="C699" i="22" s="1"/>
  <c r="B697" i="22"/>
  <c r="B699" i="22" s="1"/>
  <c r="I696" i="22"/>
  <c r="H696" i="22"/>
  <c r="F696" i="22"/>
  <c r="E696" i="22"/>
  <c r="G695" i="22"/>
  <c r="D695" i="22"/>
  <c r="A695" i="22" s="1"/>
  <c r="C695" i="22"/>
  <c r="B695" i="22"/>
  <c r="G694" i="22"/>
  <c r="G696" i="22" s="1"/>
  <c r="D694" i="22"/>
  <c r="D696" i="22" s="1"/>
  <c r="C694" i="22"/>
  <c r="C696" i="22" s="1"/>
  <c r="B694" i="22"/>
  <c r="B696" i="22" s="1"/>
  <c r="A694" i="22"/>
  <c r="A696" i="22" s="1"/>
  <c r="I693" i="22"/>
  <c r="H693" i="22"/>
  <c r="F693" i="22"/>
  <c r="E693" i="22"/>
  <c r="G692" i="22"/>
  <c r="D692" i="22"/>
  <c r="C692" i="22"/>
  <c r="B692" i="22"/>
  <c r="A692" i="22"/>
  <c r="G691" i="22"/>
  <c r="G693" i="22" s="1"/>
  <c r="D691" i="22"/>
  <c r="A691" i="22" s="1"/>
  <c r="A693" i="22" s="1"/>
  <c r="C691" i="22"/>
  <c r="C693" i="22" s="1"/>
  <c r="B691" i="22"/>
  <c r="B693" i="22" s="1"/>
  <c r="I690" i="22"/>
  <c r="H690" i="22"/>
  <c r="F690" i="22"/>
  <c r="E690" i="22"/>
  <c r="G689" i="22"/>
  <c r="D689" i="22"/>
  <c r="A689" i="22" s="1"/>
  <c r="C689" i="22"/>
  <c r="B689" i="22"/>
  <c r="G688" i="22"/>
  <c r="G690" i="22" s="1"/>
  <c r="D688" i="22"/>
  <c r="D690" i="22" s="1"/>
  <c r="C688" i="22"/>
  <c r="C690" i="22" s="1"/>
  <c r="B688" i="22"/>
  <c r="B690" i="22" s="1"/>
  <c r="A688" i="22"/>
  <c r="A690" i="22" s="1"/>
  <c r="I687" i="22"/>
  <c r="H687" i="22"/>
  <c r="F687" i="22"/>
  <c r="E687" i="22"/>
  <c r="G686" i="22"/>
  <c r="D686" i="22"/>
  <c r="C686" i="22"/>
  <c r="B686" i="22"/>
  <c r="A686" i="22"/>
  <c r="G685" i="22"/>
  <c r="G687" i="22" s="1"/>
  <c r="D685" i="22"/>
  <c r="A685" i="22" s="1"/>
  <c r="A687" i="22" s="1"/>
  <c r="C685" i="22"/>
  <c r="C687" i="22" s="1"/>
  <c r="B685" i="22"/>
  <c r="B687" i="22" s="1"/>
  <c r="H684" i="22"/>
  <c r="F684" i="22"/>
  <c r="E684" i="22"/>
  <c r="G683" i="22"/>
  <c r="D683" i="22"/>
  <c r="A683" i="22" s="1"/>
  <c r="C683" i="22"/>
  <c r="B683" i="22"/>
  <c r="I682" i="22"/>
  <c r="G682" i="22" s="1"/>
  <c r="D682" i="22"/>
  <c r="D684" i="22" s="1"/>
  <c r="B682" i="22"/>
  <c r="B684" i="22" s="1"/>
  <c r="I681" i="22"/>
  <c r="H681" i="22"/>
  <c r="F681" i="22"/>
  <c r="E681" i="22"/>
  <c r="G680" i="22"/>
  <c r="D680" i="22"/>
  <c r="A680" i="22" s="1"/>
  <c r="C680" i="22"/>
  <c r="B680" i="22"/>
  <c r="G679" i="22"/>
  <c r="G681" i="22" s="1"/>
  <c r="D679" i="22"/>
  <c r="D681" i="22" s="1"/>
  <c r="C679" i="22"/>
  <c r="C681" i="22" s="1"/>
  <c r="B679" i="22"/>
  <c r="B681" i="22" s="1"/>
  <c r="A679" i="22"/>
  <c r="A681" i="22" s="1"/>
  <c r="I678" i="22"/>
  <c r="H678" i="22"/>
  <c r="F678" i="22"/>
  <c r="E678" i="22"/>
  <c r="G677" i="22"/>
  <c r="D677" i="22"/>
  <c r="C677" i="22"/>
  <c r="B677" i="22"/>
  <c r="A677" i="22"/>
  <c r="G676" i="22"/>
  <c r="G678" i="22" s="1"/>
  <c r="D676" i="22"/>
  <c r="A676" i="22" s="1"/>
  <c r="A678" i="22" s="1"/>
  <c r="C676" i="22"/>
  <c r="C678" i="22" s="1"/>
  <c r="B676" i="22"/>
  <c r="B678" i="22" s="1"/>
  <c r="H675" i="22"/>
  <c r="F675" i="22"/>
  <c r="E675" i="22"/>
  <c r="G674" i="22"/>
  <c r="D674" i="22"/>
  <c r="A674" i="22" s="1"/>
  <c r="C674" i="22"/>
  <c r="B674" i="22"/>
  <c r="I673" i="22"/>
  <c r="G673" i="22" s="1"/>
  <c r="D673" i="22"/>
  <c r="D675" i="22" s="1"/>
  <c r="B673" i="22"/>
  <c r="B675" i="22" s="1"/>
  <c r="H672" i="22"/>
  <c r="H705" i="22" s="1"/>
  <c r="F672" i="22"/>
  <c r="F705" i="22" s="1"/>
  <c r="E672" i="22"/>
  <c r="E705" i="22" s="1"/>
  <c r="G671" i="22"/>
  <c r="G704" i="22" s="1"/>
  <c r="D671" i="22"/>
  <c r="D704" i="22" s="1"/>
  <c r="C671" i="22"/>
  <c r="C704" i="22" s="1"/>
  <c r="B671" i="22"/>
  <c r="B704" i="22" s="1"/>
  <c r="I670" i="22"/>
  <c r="I703" i="22" s="1"/>
  <c r="D670" i="22"/>
  <c r="D672" i="22" s="1"/>
  <c r="B670" i="22"/>
  <c r="B672" i="22" s="1"/>
  <c r="B705" i="22" s="1"/>
  <c r="I648" i="22"/>
  <c r="F648" i="22"/>
  <c r="E648" i="22"/>
  <c r="F647" i="22"/>
  <c r="E647" i="22"/>
  <c r="I646" i="22"/>
  <c r="H646" i="22"/>
  <c r="F646" i="22"/>
  <c r="E646" i="22"/>
  <c r="G645" i="22"/>
  <c r="D645" i="22"/>
  <c r="C645" i="22"/>
  <c r="B645" i="22"/>
  <c r="A645" i="22"/>
  <c r="G644" i="22"/>
  <c r="G646" i="22" s="1"/>
  <c r="D644" i="22"/>
  <c r="D646" i="22" s="1"/>
  <c r="C644" i="22"/>
  <c r="C646" i="22" s="1"/>
  <c r="B644" i="22"/>
  <c r="B646" i="22" s="1"/>
  <c r="A644" i="22"/>
  <c r="A646" i="22" s="1"/>
  <c r="I643" i="22"/>
  <c r="H643" i="22"/>
  <c r="F643" i="22"/>
  <c r="E643" i="22"/>
  <c r="G642" i="22"/>
  <c r="D642" i="22"/>
  <c r="C642" i="22"/>
  <c r="B642" i="22"/>
  <c r="A642" i="22"/>
  <c r="G641" i="22"/>
  <c r="G643" i="22" s="1"/>
  <c r="D641" i="22"/>
  <c r="D643" i="22" s="1"/>
  <c r="C641" i="22"/>
  <c r="C643" i="22" s="1"/>
  <c r="B641" i="22"/>
  <c r="B643" i="22" s="1"/>
  <c r="I640" i="22"/>
  <c r="H640" i="22"/>
  <c r="F640" i="22"/>
  <c r="E640" i="22"/>
  <c r="G639" i="22"/>
  <c r="D639" i="22"/>
  <c r="A639" i="22" s="1"/>
  <c r="C639" i="22"/>
  <c r="B639" i="22"/>
  <c r="G638" i="22"/>
  <c r="G640" i="22" s="1"/>
  <c r="D638" i="22"/>
  <c r="D640" i="22" s="1"/>
  <c r="C638" i="22"/>
  <c r="C640" i="22" s="1"/>
  <c r="B638" i="22"/>
  <c r="B640" i="22" s="1"/>
  <c r="A638" i="22"/>
  <c r="A640" i="22" s="1"/>
  <c r="I637" i="22"/>
  <c r="H637" i="22"/>
  <c r="F637" i="22"/>
  <c r="E637" i="22"/>
  <c r="G636" i="22"/>
  <c r="D636" i="22"/>
  <c r="C636" i="22"/>
  <c r="B636" i="22"/>
  <c r="A636" i="22"/>
  <c r="G635" i="22"/>
  <c r="G637" i="22" s="1"/>
  <c r="D635" i="22"/>
  <c r="D637" i="22" s="1"/>
  <c r="C635" i="22"/>
  <c r="C637" i="22" s="1"/>
  <c r="B635" i="22"/>
  <c r="B637" i="22" s="1"/>
  <c r="I634" i="22"/>
  <c r="H634" i="22"/>
  <c r="F634" i="22"/>
  <c r="E634" i="22"/>
  <c r="G633" i="22"/>
  <c r="D633" i="22"/>
  <c r="A633" i="22" s="1"/>
  <c r="C633" i="22"/>
  <c r="B633" i="22"/>
  <c r="G632" i="22"/>
  <c r="G634" i="22" s="1"/>
  <c r="D632" i="22"/>
  <c r="D634" i="22" s="1"/>
  <c r="C632" i="22"/>
  <c r="C634" i="22" s="1"/>
  <c r="B632" i="22"/>
  <c r="B634" i="22" s="1"/>
  <c r="A632" i="22"/>
  <c r="I631" i="22"/>
  <c r="H631" i="22"/>
  <c r="F631" i="22"/>
  <c r="E631" i="22"/>
  <c r="G630" i="22"/>
  <c r="D630" i="22"/>
  <c r="A630" i="22" s="1"/>
  <c r="C630" i="22"/>
  <c r="B630" i="22"/>
  <c r="G629" i="22"/>
  <c r="G631" i="22" s="1"/>
  <c r="D629" i="22"/>
  <c r="D631" i="22" s="1"/>
  <c r="C629" i="22"/>
  <c r="C631" i="22" s="1"/>
  <c r="B629" i="22"/>
  <c r="B631" i="22" s="1"/>
  <c r="A629" i="22"/>
  <c r="I628" i="22"/>
  <c r="F628" i="22"/>
  <c r="E628" i="22"/>
  <c r="H627" i="22"/>
  <c r="H648" i="22" s="1"/>
  <c r="D627" i="22"/>
  <c r="C627" i="22"/>
  <c r="B627" i="22"/>
  <c r="G626" i="22"/>
  <c r="D626" i="22"/>
  <c r="C626" i="22"/>
  <c r="C628" i="22" s="1"/>
  <c r="B626" i="22"/>
  <c r="I625" i="22"/>
  <c r="H625" i="22"/>
  <c r="F625" i="22"/>
  <c r="E625" i="22"/>
  <c r="G624" i="22"/>
  <c r="D624" i="22"/>
  <c r="C624" i="22"/>
  <c r="B624" i="22"/>
  <c r="G623" i="22"/>
  <c r="G625" i="22" s="1"/>
  <c r="D623" i="22"/>
  <c r="D625" i="22" s="1"/>
  <c r="C623" i="22"/>
  <c r="C625" i="22" s="1"/>
  <c r="B623" i="22"/>
  <c r="B625" i="22" s="1"/>
  <c r="A623" i="22"/>
  <c r="I622" i="22"/>
  <c r="H622" i="22"/>
  <c r="F622" i="22"/>
  <c r="E622" i="22"/>
  <c r="G621" i="22"/>
  <c r="D621" i="22"/>
  <c r="A621" i="22" s="1"/>
  <c r="C621" i="22"/>
  <c r="B621" i="22"/>
  <c r="G620" i="22"/>
  <c r="G622" i="22" s="1"/>
  <c r="D620" i="22"/>
  <c r="C620" i="22"/>
  <c r="C622" i="22" s="1"/>
  <c r="B620" i="22"/>
  <c r="I619" i="22"/>
  <c r="H619" i="22"/>
  <c r="F619" i="22"/>
  <c r="E619" i="22"/>
  <c r="G618" i="22"/>
  <c r="D618" i="22"/>
  <c r="C618" i="22"/>
  <c r="B618" i="22"/>
  <c r="A618" i="22"/>
  <c r="G617" i="22"/>
  <c r="D617" i="22"/>
  <c r="D619" i="22" s="1"/>
  <c r="C617" i="22"/>
  <c r="B617" i="22"/>
  <c r="B619" i="22" s="1"/>
  <c r="I616" i="22"/>
  <c r="F616" i="22"/>
  <c r="E616" i="22"/>
  <c r="G615" i="22"/>
  <c r="D615" i="22"/>
  <c r="A615" i="22" s="1"/>
  <c r="C615" i="22"/>
  <c r="B615" i="22"/>
  <c r="H614" i="22"/>
  <c r="H647" i="22" s="1"/>
  <c r="D614" i="22"/>
  <c r="D616" i="22" s="1"/>
  <c r="C614" i="22"/>
  <c r="C616" i="22" s="1"/>
  <c r="B614" i="22"/>
  <c r="B616" i="22" s="1"/>
  <c r="I613" i="22"/>
  <c r="H613" i="22"/>
  <c r="F613" i="22"/>
  <c r="E613" i="22"/>
  <c r="G612" i="22"/>
  <c r="D612" i="22"/>
  <c r="C612" i="22"/>
  <c r="B612" i="22"/>
  <c r="A612" i="22"/>
  <c r="G611" i="22"/>
  <c r="D611" i="22"/>
  <c r="D613" i="22" s="1"/>
  <c r="C611" i="22"/>
  <c r="B611" i="22"/>
  <c r="B613" i="22" s="1"/>
  <c r="I610" i="22"/>
  <c r="H610" i="22"/>
  <c r="F610" i="22"/>
  <c r="E610" i="22"/>
  <c r="G609" i="22"/>
  <c r="D609" i="22"/>
  <c r="C609" i="22"/>
  <c r="B609" i="22"/>
  <c r="A609" i="22"/>
  <c r="G608" i="22"/>
  <c r="D608" i="22"/>
  <c r="D610" i="22" s="1"/>
  <c r="C608" i="22"/>
  <c r="B608" i="22"/>
  <c r="B610" i="22" s="1"/>
  <c r="I607" i="22"/>
  <c r="H607" i="22"/>
  <c r="F607" i="22"/>
  <c r="E607" i="22"/>
  <c r="G606" i="22"/>
  <c r="D606" i="22"/>
  <c r="C606" i="22"/>
  <c r="B606" i="22"/>
  <c r="A606" i="22"/>
  <c r="G605" i="22"/>
  <c r="D605" i="22"/>
  <c r="D607" i="22" s="1"/>
  <c r="C605" i="22"/>
  <c r="B605" i="22"/>
  <c r="B607" i="22" s="1"/>
  <c r="I604" i="22"/>
  <c r="H604" i="22"/>
  <c r="F604" i="22"/>
  <c r="E604" i="22"/>
  <c r="G603" i="22"/>
  <c r="D603" i="22"/>
  <c r="A603" i="22" s="1"/>
  <c r="C603" i="22"/>
  <c r="B603" i="22"/>
  <c r="G602" i="22"/>
  <c r="G604" i="22" s="1"/>
  <c r="D602" i="22"/>
  <c r="D604" i="22" s="1"/>
  <c r="C602" i="22"/>
  <c r="C604" i="22" s="1"/>
  <c r="B602" i="22"/>
  <c r="B604" i="22" s="1"/>
  <c r="H601" i="22"/>
  <c r="F601" i="22"/>
  <c r="F649" i="22" s="1"/>
  <c r="E601" i="22"/>
  <c r="E649" i="22" s="1"/>
  <c r="G600" i="22"/>
  <c r="D600" i="22"/>
  <c r="D648" i="22" s="1"/>
  <c r="C600" i="22"/>
  <c r="C648" i="22" s="1"/>
  <c r="B600" i="22"/>
  <c r="B648" i="22" s="1"/>
  <c r="I599" i="22"/>
  <c r="I647" i="22" s="1"/>
  <c r="D599" i="22"/>
  <c r="D647" i="22" s="1"/>
  <c r="B599" i="22"/>
  <c r="B647" i="22" s="1"/>
  <c r="I593" i="22"/>
  <c r="F593" i="22"/>
  <c r="E593" i="22"/>
  <c r="H592" i="22"/>
  <c r="F592" i="22"/>
  <c r="E592" i="22"/>
  <c r="I591" i="22"/>
  <c r="H591" i="22"/>
  <c r="F591" i="22"/>
  <c r="E591" i="22"/>
  <c r="G590" i="22"/>
  <c r="D590" i="22"/>
  <c r="C590" i="22"/>
  <c r="B590" i="22"/>
  <c r="G589" i="22"/>
  <c r="G591" i="22" s="1"/>
  <c r="D589" i="22"/>
  <c r="D591" i="22" s="1"/>
  <c r="C589" i="22"/>
  <c r="C591" i="22" s="1"/>
  <c r="B589" i="22"/>
  <c r="B591" i="22" s="1"/>
  <c r="A589" i="22"/>
  <c r="I588" i="22"/>
  <c r="H588" i="22"/>
  <c r="F588" i="22"/>
  <c r="E588" i="22"/>
  <c r="G587" i="22"/>
  <c r="D587" i="22"/>
  <c r="A587" i="22" s="1"/>
  <c r="C587" i="22"/>
  <c r="B587" i="22"/>
  <c r="G586" i="22"/>
  <c r="G588" i="22" s="1"/>
  <c r="D586" i="22"/>
  <c r="C586" i="22"/>
  <c r="C588" i="22" s="1"/>
  <c r="B586" i="22"/>
  <c r="H585" i="22"/>
  <c r="F585" i="22"/>
  <c r="E585" i="22"/>
  <c r="G584" i="22"/>
  <c r="D584" i="22"/>
  <c r="A584" i="22" s="1"/>
  <c r="C584" i="22"/>
  <c r="B584" i="22"/>
  <c r="I583" i="22"/>
  <c r="I585" i="22" s="1"/>
  <c r="D583" i="22"/>
  <c r="D585" i="22" s="1"/>
  <c r="B583" i="22"/>
  <c r="I582" i="22"/>
  <c r="H582" i="22"/>
  <c r="F582" i="22"/>
  <c r="E582" i="22"/>
  <c r="G581" i="22"/>
  <c r="D581" i="22"/>
  <c r="C581" i="22"/>
  <c r="B581" i="22"/>
  <c r="G580" i="22"/>
  <c r="G582" i="22" s="1"/>
  <c r="D580" i="22"/>
  <c r="D582" i="22" s="1"/>
  <c r="C580" i="22"/>
  <c r="C582" i="22" s="1"/>
  <c r="B580" i="22"/>
  <c r="B582" i="22" s="1"/>
  <c r="A580" i="22"/>
  <c r="I579" i="22"/>
  <c r="H579" i="22"/>
  <c r="F579" i="22"/>
  <c r="E579" i="22"/>
  <c r="G578" i="22"/>
  <c r="D578" i="22"/>
  <c r="A578" i="22" s="1"/>
  <c r="C578" i="22"/>
  <c r="B578" i="22"/>
  <c r="G577" i="22"/>
  <c r="G579" i="22" s="1"/>
  <c r="D577" i="22"/>
  <c r="C577" i="22"/>
  <c r="C579" i="22" s="1"/>
  <c r="B577" i="22"/>
  <c r="I576" i="22"/>
  <c r="H576" i="22"/>
  <c r="F576" i="22"/>
  <c r="E576" i="22"/>
  <c r="G575" i="22"/>
  <c r="D575" i="22"/>
  <c r="C575" i="22"/>
  <c r="B575" i="22"/>
  <c r="G574" i="22"/>
  <c r="G576" i="22" s="1"/>
  <c r="D574" i="22"/>
  <c r="D576" i="22" s="1"/>
  <c r="C574" i="22"/>
  <c r="C576" i="22" s="1"/>
  <c r="B574" i="22"/>
  <c r="B576" i="22" s="1"/>
  <c r="A574" i="22"/>
  <c r="I573" i="22"/>
  <c r="H573" i="22"/>
  <c r="F573" i="22"/>
  <c r="E573" i="22"/>
  <c r="G572" i="22"/>
  <c r="D572" i="22"/>
  <c r="A572" i="22" s="1"/>
  <c r="C572" i="22"/>
  <c r="B572" i="22"/>
  <c r="G571" i="22"/>
  <c r="G573" i="22" s="1"/>
  <c r="D571" i="22"/>
  <c r="C571" i="22"/>
  <c r="C573" i="22" s="1"/>
  <c r="B571" i="22"/>
  <c r="H570" i="22"/>
  <c r="F570" i="22"/>
  <c r="E570" i="22"/>
  <c r="G569" i="22"/>
  <c r="D569" i="22"/>
  <c r="A569" i="22" s="1"/>
  <c r="C569" i="22"/>
  <c r="B569" i="22"/>
  <c r="I568" i="22"/>
  <c r="I570" i="22" s="1"/>
  <c r="D568" i="22"/>
  <c r="D570" i="22" s="1"/>
  <c r="B568" i="22"/>
  <c r="H567" i="22"/>
  <c r="F567" i="22"/>
  <c r="E567" i="22"/>
  <c r="G566" i="22"/>
  <c r="D566" i="22"/>
  <c r="A566" i="22" s="1"/>
  <c r="C566" i="22"/>
  <c r="B566" i="22"/>
  <c r="I565" i="22"/>
  <c r="I567" i="22" s="1"/>
  <c r="D565" i="22"/>
  <c r="D567" i="22" s="1"/>
  <c r="B565" i="22"/>
  <c r="I564" i="22"/>
  <c r="H564" i="22"/>
  <c r="F564" i="22"/>
  <c r="E564" i="22"/>
  <c r="G563" i="22"/>
  <c r="D563" i="22"/>
  <c r="C563" i="22"/>
  <c r="B563" i="22"/>
  <c r="G562" i="22"/>
  <c r="G564" i="22" s="1"/>
  <c r="D562" i="22"/>
  <c r="D564" i="22" s="1"/>
  <c r="C562" i="22"/>
  <c r="C564" i="22" s="1"/>
  <c r="B562" i="22"/>
  <c r="B564" i="22" s="1"/>
  <c r="A562" i="22"/>
  <c r="I561" i="22"/>
  <c r="H561" i="22"/>
  <c r="F561" i="22"/>
  <c r="E561" i="22"/>
  <c r="G560" i="22"/>
  <c r="D560" i="22"/>
  <c r="A560" i="22" s="1"/>
  <c r="C560" i="22"/>
  <c r="B560" i="22"/>
  <c r="G559" i="22"/>
  <c r="G561" i="22" s="1"/>
  <c r="D559" i="22"/>
  <c r="D561" i="22" s="1"/>
  <c r="C559" i="22"/>
  <c r="C561" i="22" s="1"/>
  <c r="B559" i="22"/>
  <c r="B561" i="22" s="1"/>
  <c r="I558" i="22"/>
  <c r="F558" i="22"/>
  <c r="E558" i="22"/>
  <c r="H557" i="22"/>
  <c r="H593" i="22" s="1"/>
  <c r="G557" i="22"/>
  <c r="D557" i="22"/>
  <c r="A557" i="22" s="1"/>
  <c r="C557" i="22"/>
  <c r="B557" i="22"/>
  <c r="G556" i="22"/>
  <c r="G558" i="22" s="1"/>
  <c r="D556" i="22"/>
  <c r="D558" i="22" s="1"/>
  <c r="C556" i="22"/>
  <c r="C558" i="22" s="1"/>
  <c r="B556" i="22"/>
  <c r="B558" i="22" s="1"/>
  <c r="I555" i="22"/>
  <c r="H555" i="22"/>
  <c r="F555" i="22"/>
  <c r="E555" i="22"/>
  <c r="G554" i="22"/>
  <c r="D554" i="22"/>
  <c r="C554" i="22"/>
  <c r="B554" i="22"/>
  <c r="G553" i="22"/>
  <c r="G555" i="22" s="1"/>
  <c r="D553" i="22"/>
  <c r="D555" i="22" s="1"/>
  <c r="C553" i="22"/>
  <c r="C555" i="22" s="1"/>
  <c r="B553" i="22"/>
  <c r="B555" i="22" s="1"/>
  <c r="A553" i="22"/>
  <c r="I552" i="22"/>
  <c r="H552" i="22"/>
  <c r="F552" i="22"/>
  <c r="E552" i="22"/>
  <c r="G551" i="22"/>
  <c r="D551" i="22"/>
  <c r="C551" i="22"/>
  <c r="B551" i="22"/>
  <c r="A551" i="22"/>
  <c r="G550" i="22"/>
  <c r="G552" i="22" s="1"/>
  <c r="D550" i="22"/>
  <c r="D552" i="22" s="1"/>
  <c r="C550" i="22"/>
  <c r="C552" i="22" s="1"/>
  <c r="B550" i="22"/>
  <c r="B552" i="22" s="1"/>
  <c r="I549" i="22"/>
  <c r="H549" i="22"/>
  <c r="F549" i="22"/>
  <c r="E549" i="22"/>
  <c r="G548" i="22"/>
  <c r="D548" i="22"/>
  <c r="A548" i="22" s="1"/>
  <c r="C548" i="22"/>
  <c r="B548" i="22"/>
  <c r="G547" i="22"/>
  <c r="G549" i="22" s="1"/>
  <c r="D547" i="22"/>
  <c r="D549" i="22" s="1"/>
  <c r="C547" i="22"/>
  <c r="C549" i="22" s="1"/>
  <c r="B547" i="22"/>
  <c r="B549" i="22" s="1"/>
  <c r="A547" i="22"/>
  <c r="A549" i="22" s="1"/>
  <c r="H546" i="22"/>
  <c r="F546" i="22"/>
  <c r="E546" i="22"/>
  <c r="G545" i="22"/>
  <c r="D545" i="22"/>
  <c r="C545" i="22"/>
  <c r="B545" i="22"/>
  <c r="A545" i="22"/>
  <c r="I544" i="22"/>
  <c r="I546" i="22" s="1"/>
  <c r="G544" i="22"/>
  <c r="G546" i="22" s="1"/>
  <c r="D544" i="22"/>
  <c r="D546" i="22" s="1"/>
  <c r="C544" i="22"/>
  <c r="C546" i="22" s="1"/>
  <c r="B544" i="22"/>
  <c r="B546" i="22" s="1"/>
  <c r="A544" i="22"/>
  <c r="A546" i="22" s="1"/>
  <c r="I543" i="22"/>
  <c r="H543" i="22"/>
  <c r="F543" i="22"/>
  <c r="E543" i="22"/>
  <c r="G542" i="22"/>
  <c r="D542" i="22"/>
  <c r="C542" i="22"/>
  <c r="B542" i="22"/>
  <c r="A542" i="22"/>
  <c r="G541" i="22"/>
  <c r="G543" i="22" s="1"/>
  <c r="D541" i="22"/>
  <c r="D543" i="22" s="1"/>
  <c r="C541" i="22"/>
  <c r="C543" i="22" s="1"/>
  <c r="B541" i="22"/>
  <c r="B543" i="22" s="1"/>
  <c r="H540" i="22"/>
  <c r="F540" i="22"/>
  <c r="E540" i="22"/>
  <c r="G539" i="22"/>
  <c r="D539" i="22"/>
  <c r="A539" i="22" s="1"/>
  <c r="C539" i="22"/>
  <c r="B539" i="22"/>
  <c r="I538" i="22"/>
  <c r="I540" i="22" s="1"/>
  <c r="D538" i="22"/>
  <c r="D540" i="22" s="1"/>
  <c r="B538" i="22"/>
  <c r="B540" i="22" s="1"/>
  <c r="H537" i="22"/>
  <c r="F537" i="22"/>
  <c r="F594" i="22" s="1"/>
  <c r="E537" i="22"/>
  <c r="E594" i="22" s="1"/>
  <c r="G536" i="22"/>
  <c r="G593" i="22" s="1"/>
  <c r="D536" i="22"/>
  <c r="D593" i="22" s="1"/>
  <c r="C536" i="22"/>
  <c r="C593" i="22" s="1"/>
  <c r="B536" i="22"/>
  <c r="B593" i="22" s="1"/>
  <c r="I535" i="22"/>
  <c r="I537" i="22" s="1"/>
  <c r="I594" i="22" s="1"/>
  <c r="D535" i="22"/>
  <c r="D592" i="22" s="1"/>
  <c r="B535" i="22"/>
  <c r="B592" i="22" s="1"/>
  <c r="I529" i="22"/>
  <c r="F529" i="22"/>
  <c r="E529" i="22"/>
  <c r="H528" i="22"/>
  <c r="F528" i="22"/>
  <c r="E528" i="22"/>
  <c r="I527" i="22"/>
  <c r="H527" i="22"/>
  <c r="F527" i="22"/>
  <c r="E527" i="22"/>
  <c r="G526" i="22"/>
  <c r="D526" i="22"/>
  <c r="A526" i="22" s="1"/>
  <c r="C526" i="22"/>
  <c r="B526" i="22"/>
  <c r="G525" i="22"/>
  <c r="G527" i="22" s="1"/>
  <c r="D525" i="22"/>
  <c r="D527" i="22" s="1"/>
  <c r="C525" i="22"/>
  <c r="C527" i="22" s="1"/>
  <c r="B525" i="22"/>
  <c r="B527" i="22" s="1"/>
  <c r="A525" i="22"/>
  <c r="A527" i="22" s="1"/>
  <c r="I524" i="22"/>
  <c r="H524" i="22"/>
  <c r="F524" i="22"/>
  <c r="E524" i="22"/>
  <c r="G523" i="22"/>
  <c r="D523" i="22"/>
  <c r="C523" i="22"/>
  <c r="B523" i="22"/>
  <c r="A523" i="22"/>
  <c r="G522" i="22"/>
  <c r="G524" i="22" s="1"/>
  <c r="D522" i="22"/>
  <c r="A522" i="22" s="1"/>
  <c r="A524" i="22" s="1"/>
  <c r="C522" i="22"/>
  <c r="C524" i="22" s="1"/>
  <c r="B522" i="22"/>
  <c r="B524" i="22" s="1"/>
  <c r="I521" i="22"/>
  <c r="H521" i="22"/>
  <c r="F521" i="22"/>
  <c r="E521" i="22"/>
  <c r="G520" i="22"/>
  <c r="D520" i="22"/>
  <c r="A520" i="22" s="1"/>
  <c r="C520" i="22"/>
  <c r="B520" i="22"/>
  <c r="G519" i="22"/>
  <c r="G521" i="22" s="1"/>
  <c r="D519" i="22"/>
  <c r="D521" i="22" s="1"/>
  <c r="C519" i="22"/>
  <c r="C521" i="22" s="1"/>
  <c r="B519" i="22"/>
  <c r="B521" i="22" s="1"/>
  <c r="A519" i="22"/>
  <c r="A521" i="22" s="1"/>
  <c r="I518" i="22"/>
  <c r="H518" i="22"/>
  <c r="F518" i="22"/>
  <c r="E518" i="22"/>
  <c r="G517" i="22"/>
  <c r="D517" i="22"/>
  <c r="C517" i="22"/>
  <c r="B517" i="22"/>
  <c r="A517" i="22"/>
  <c r="G516" i="22"/>
  <c r="G518" i="22" s="1"/>
  <c r="D516" i="22"/>
  <c r="A516" i="22" s="1"/>
  <c r="A518" i="22" s="1"/>
  <c r="C516" i="22"/>
  <c r="C518" i="22" s="1"/>
  <c r="B516" i="22"/>
  <c r="B518" i="22" s="1"/>
  <c r="I515" i="22"/>
  <c r="H515" i="22"/>
  <c r="F515" i="22"/>
  <c r="E515" i="22"/>
  <c r="G514" i="22"/>
  <c r="D514" i="22"/>
  <c r="A514" i="22" s="1"/>
  <c r="C514" i="22"/>
  <c r="B514" i="22"/>
  <c r="G513" i="22"/>
  <c r="G515" i="22" s="1"/>
  <c r="D513" i="22"/>
  <c r="D515" i="22" s="1"/>
  <c r="C513" i="22"/>
  <c r="C515" i="22" s="1"/>
  <c r="B513" i="22"/>
  <c r="B515" i="22" s="1"/>
  <c r="I512" i="22"/>
  <c r="H512" i="22"/>
  <c r="F512" i="22"/>
  <c r="E512" i="22"/>
  <c r="G511" i="22"/>
  <c r="D511" i="22"/>
  <c r="C511" i="22"/>
  <c r="B511" i="22"/>
  <c r="A511" i="22"/>
  <c r="G510" i="22"/>
  <c r="G512" i="22" s="1"/>
  <c r="D510" i="22"/>
  <c r="A510" i="22" s="1"/>
  <c r="A512" i="22" s="1"/>
  <c r="C510" i="22"/>
  <c r="C512" i="22" s="1"/>
  <c r="B510" i="22"/>
  <c r="B512" i="22" s="1"/>
  <c r="I509" i="22"/>
  <c r="H509" i="22"/>
  <c r="F509" i="22"/>
  <c r="E509" i="22"/>
  <c r="G508" i="22"/>
  <c r="D508" i="22"/>
  <c r="A508" i="22" s="1"/>
  <c r="C508" i="22"/>
  <c r="B508" i="22"/>
  <c r="G507" i="22"/>
  <c r="G509" i="22" s="1"/>
  <c r="D507" i="22"/>
  <c r="D509" i="22" s="1"/>
  <c r="C507" i="22"/>
  <c r="C509" i="22" s="1"/>
  <c r="B507" i="22"/>
  <c r="B509" i="22" s="1"/>
  <c r="H506" i="22"/>
  <c r="F506" i="22"/>
  <c r="E506" i="22"/>
  <c r="G505" i="22"/>
  <c r="D505" i="22"/>
  <c r="A505" i="22" s="1"/>
  <c r="C505" i="22"/>
  <c r="B505" i="22"/>
  <c r="I504" i="22"/>
  <c r="I528" i="22" s="1"/>
  <c r="D504" i="22"/>
  <c r="D506" i="22" s="1"/>
  <c r="B504" i="22"/>
  <c r="B506" i="22" s="1"/>
  <c r="I503" i="22"/>
  <c r="H503" i="22"/>
  <c r="F503" i="22"/>
  <c r="E503" i="22"/>
  <c r="G502" i="22"/>
  <c r="D502" i="22"/>
  <c r="C502" i="22"/>
  <c r="B502" i="22"/>
  <c r="A502" i="22"/>
  <c r="G501" i="22"/>
  <c r="D501" i="22"/>
  <c r="A501" i="22" s="1"/>
  <c r="A503" i="22" s="1"/>
  <c r="C501" i="22"/>
  <c r="B501" i="22"/>
  <c r="B503" i="22" s="1"/>
  <c r="I500" i="22"/>
  <c r="F500" i="22"/>
  <c r="E500" i="22"/>
  <c r="H499" i="22"/>
  <c r="H529" i="22" s="1"/>
  <c r="D499" i="22"/>
  <c r="C499" i="22"/>
  <c r="B499" i="22"/>
  <c r="G498" i="22"/>
  <c r="D498" i="22"/>
  <c r="C498" i="22"/>
  <c r="B498" i="22"/>
  <c r="I497" i="22"/>
  <c r="H497" i="22"/>
  <c r="F497" i="22"/>
  <c r="E497" i="22"/>
  <c r="G496" i="22"/>
  <c r="D496" i="22"/>
  <c r="C496" i="22"/>
  <c r="B496" i="22"/>
  <c r="G495" i="22"/>
  <c r="G497" i="22" s="1"/>
  <c r="D495" i="22"/>
  <c r="D497" i="22" s="1"/>
  <c r="C495" i="22"/>
  <c r="C497" i="22" s="1"/>
  <c r="B495" i="22"/>
  <c r="B497" i="22" s="1"/>
  <c r="A495" i="22"/>
  <c r="I494" i="22"/>
  <c r="H494" i="22"/>
  <c r="F494" i="22"/>
  <c r="E494" i="22"/>
  <c r="G493" i="22"/>
  <c r="D493" i="22"/>
  <c r="A493" i="22" s="1"/>
  <c r="C493" i="22"/>
  <c r="B493" i="22"/>
  <c r="G492" i="22"/>
  <c r="G494" i="22" s="1"/>
  <c r="D492" i="22"/>
  <c r="C492" i="22"/>
  <c r="C494" i="22" s="1"/>
  <c r="B492" i="22"/>
  <c r="I491" i="22"/>
  <c r="H491" i="22"/>
  <c r="F491" i="22"/>
  <c r="E491" i="22"/>
  <c r="G490" i="22"/>
  <c r="D490" i="22"/>
  <c r="C490" i="22"/>
  <c r="B490" i="22"/>
  <c r="G489" i="22"/>
  <c r="G491" i="22" s="1"/>
  <c r="D489" i="22"/>
  <c r="D491" i="22" s="1"/>
  <c r="C489" i="22"/>
  <c r="C491" i="22" s="1"/>
  <c r="B489" i="22"/>
  <c r="B491" i="22" s="1"/>
  <c r="A489" i="22"/>
  <c r="I488" i="22"/>
  <c r="H488" i="22"/>
  <c r="F488" i="22"/>
  <c r="E488" i="22"/>
  <c r="G487" i="22"/>
  <c r="D487" i="22"/>
  <c r="A487" i="22" s="1"/>
  <c r="C487" i="22"/>
  <c r="B487" i="22"/>
  <c r="G486" i="22"/>
  <c r="G488" i="22" s="1"/>
  <c r="D486" i="22"/>
  <c r="C486" i="22"/>
  <c r="C488" i="22" s="1"/>
  <c r="B486" i="22"/>
  <c r="I485" i="22"/>
  <c r="H485" i="22"/>
  <c r="F485" i="22"/>
  <c r="E485" i="22"/>
  <c r="G484" i="22"/>
  <c r="D484" i="22"/>
  <c r="C484" i="22"/>
  <c r="B484" i="22"/>
  <c r="G483" i="22"/>
  <c r="G485" i="22" s="1"/>
  <c r="D483" i="22"/>
  <c r="D485" i="22" s="1"/>
  <c r="C483" i="22"/>
  <c r="C485" i="22" s="1"/>
  <c r="B483" i="22"/>
  <c r="B485" i="22" s="1"/>
  <c r="A483" i="22"/>
  <c r="I482" i="22"/>
  <c r="H482" i="22"/>
  <c r="F482" i="22"/>
  <c r="E482" i="22"/>
  <c r="G481" i="22"/>
  <c r="D481" i="22"/>
  <c r="A481" i="22" s="1"/>
  <c r="C481" i="22"/>
  <c r="B481" i="22"/>
  <c r="G480" i="22"/>
  <c r="G482" i="22" s="1"/>
  <c r="D480" i="22"/>
  <c r="C480" i="22"/>
  <c r="C482" i="22" s="1"/>
  <c r="B480" i="22"/>
  <c r="I479" i="22"/>
  <c r="H479" i="22"/>
  <c r="F479" i="22"/>
  <c r="E479" i="22"/>
  <c r="G478" i="22"/>
  <c r="D478" i="22"/>
  <c r="C478" i="22"/>
  <c r="B478" i="22"/>
  <c r="G477" i="22"/>
  <c r="G479" i="22" s="1"/>
  <c r="D477" i="22"/>
  <c r="D479" i="22" s="1"/>
  <c r="C477" i="22"/>
  <c r="C479" i="22" s="1"/>
  <c r="B477" i="22"/>
  <c r="B479" i="22" s="1"/>
  <c r="A477" i="22"/>
  <c r="I476" i="22"/>
  <c r="H476" i="22"/>
  <c r="F476" i="22"/>
  <c r="E476" i="22"/>
  <c r="G475" i="22"/>
  <c r="D475" i="22"/>
  <c r="A475" i="22" s="1"/>
  <c r="C475" i="22"/>
  <c r="B475" i="22"/>
  <c r="G474" i="22"/>
  <c r="G476" i="22" s="1"/>
  <c r="D474" i="22"/>
  <c r="C474" i="22"/>
  <c r="C476" i="22" s="1"/>
  <c r="B474" i="22"/>
  <c r="I473" i="22"/>
  <c r="H473" i="22"/>
  <c r="F473" i="22"/>
  <c r="E473" i="22"/>
  <c r="G472" i="22"/>
  <c r="D472" i="22"/>
  <c r="C472" i="22"/>
  <c r="B472" i="22"/>
  <c r="G471" i="22"/>
  <c r="G473" i="22" s="1"/>
  <c r="D471" i="22"/>
  <c r="D473" i="22" s="1"/>
  <c r="C471" i="22"/>
  <c r="C473" i="22" s="1"/>
  <c r="B471" i="22"/>
  <c r="B473" i="22" s="1"/>
  <c r="A471" i="22"/>
  <c r="I470" i="22"/>
  <c r="H470" i="22"/>
  <c r="F470" i="22"/>
  <c r="E470" i="22"/>
  <c r="G469" i="22"/>
  <c r="D469" i="22"/>
  <c r="A469" i="22" s="1"/>
  <c r="C469" i="22"/>
  <c r="B469" i="22"/>
  <c r="G468" i="22"/>
  <c r="G470" i="22" s="1"/>
  <c r="D468" i="22"/>
  <c r="C468" i="22"/>
  <c r="C470" i="22" s="1"/>
  <c r="B468" i="22"/>
  <c r="I467" i="22"/>
  <c r="H467" i="22"/>
  <c r="F467" i="22"/>
  <c r="E467" i="22"/>
  <c r="G466" i="22"/>
  <c r="D466" i="22"/>
  <c r="C466" i="22"/>
  <c r="B466" i="22"/>
  <c r="G465" i="22"/>
  <c r="G467" i="22" s="1"/>
  <c r="D465" i="22"/>
  <c r="D467" i="22" s="1"/>
  <c r="C465" i="22"/>
  <c r="C467" i="22" s="1"/>
  <c r="B465" i="22"/>
  <c r="B467" i="22" s="1"/>
  <c r="A465" i="22"/>
  <c r="I464" i="22"/>
  <c r="H464" i="22"/>
  <c r="F464" i="22"/>
  <c r="E464" i="22"/>
  <c r="G463" i="22"/>
  <c r="D463" i="22"/>
  <c r="A463" i="22" s="1"/>
  <c r="C463" i="22"/>
  <c r="B463" i="22"/>
  <c r="G462" i="22"/>
  <c r="G464" i="22" s="1"/>
  <c r="D462" i="22"/>
  <c r="C462" i="22"/>
  <c r="C464" i="22" s="1"/>
  <c r="B462" i="22"/>
  <c r="I461" i="22"/>
  <c r="H461" i="22"/>
  <c r="F461" i="22"/>
  <c r="E461" i="22"/>
  <c r="G460" i="22"/>
  <c r="D460" i="22"/>
  <c r="C460" i="22"/>
  <c r="B460" i="22"/>
  <c r="G459" i="22"/>
  <c r="G461" i="22" s="1"/>
  <c r="D459" i="22"/>
  <c r="D461" i="22" s="1"/>
  <c r="C459" i="22"/>
  <c r="C461" i="22" s="1"/>
  <c r="B459" i="22"/>
  <c r="B461" i="22" s="1"/>
  <c r="A459" i="22"/>
  <c r="I458" i="22"/>
  <c r="H458" i="22"/>
  <c r="F458" i="22"/>
  <c r="E458" i="22"/>
  <c r="G457" i="22"/>
  <c r="D457" i="22"/>
  <c r="A457" i="22" s="1"/>
  <c r="C457" i="22"/>
  <c r="B457" i="22"/>
  <c r="G456" i="22"/>
  <c r="G458" i="22" s="1"/>
  <c r="D456" i="22"/>
  <c r="C456" i="22"/>
  <c r="C458" i="22" s="1"/>
  <c r="B456" i="22"/>
  <c r="I455" i="22"/>
  <c r="H455" i="22"/>
  <c r="F455" i="22"/>
  <c r="F530" i="22" s="1"/>
  <c r="E455" i="22"/>
  <c r="E530" i="22" s="1"/>
  <c r="G454" i="22"/>
  <c r="D454" i="22"/>
  <c r="D529" i="22" s="1"/>
  <c r="C454" i="22"/>
  <c r="C529" i="22" s="1"/>
  <c r="B454" i="22"/>
  <c r="B529" i="22" s="1"/>
  <c r="G453" i="22"/>
  <c r="D453" i="22"/>
  <c r="D455" i="22" s="1"/>
  <c r="C453" i="22"/>
  <c r="B453" i="22"/>
  <c r="B455" i="22" s="1"/>
  <c r="A453" i="22"/>
  <c r="I447" i="22"/>
  <c r="H447" i="22"/>
  <c r="F447" i="22"/>
  <c r="E447" i="22"/>
  <c r="I446" i="22"/>
  <c r="H446" i="22"/>
  <c r="F446" i="22"/>
  <c r="E446" i="22"/>
  <c r="I445" i="22"/>
  <c r="H445" i="22"/>
  <c r="F445" i="22"/>
  <c r="E445" i="22"/>
  <c r="G444" i="22"/>
  <c r="D444" i="22"/>
  <c r="A444" i="22" s="1"/>
  <c r="C444" i="22"/>
  <c r="B444" i="22"/>
  <c r="G443" i="22"/>
  <c r="G445" i="22" s="1"/>
  <c r="D443" i="22"/>
  <c r="D445" i="22" s="1"/>
  <c r="C443" i="22"/>
  <c r="C445" i="22" s="1"/>
  <c r="B443" i="22"/>
  <c r="B445" i="22" s="1"/>
  <c r="A443" i="22"/>
  <c r="A445" i="22" s="1"/>
  <c r="I442" i="22"/>
  <c r="H442" i="22"/>
  <c r="F442" i="22"/>
  <c r="E442" i="22"/>
  <c r="G441" i="22"/>
  <c r="D441" i="22"/>
  <c r="C441" i="22"/>
  <c r="B441" i="22"/>
  <c r="A441" i="22"/>
  <c r="G440" i="22"/>
  <c r="G442" i="22" s="1"/>
  <c r="D440" i="22"/>
  <c r="A440" i="22" s="1"/>
  <c r="A442" i="22" s="1"/>
  <c r="C440" i="22"/>
  <c r="C442" i="22" s="1"/>
  <c r="B440" i="22"/>
  <c r="B442" i="22" s="1"/>
  <c r="I439" i="22"/>
  <c r="H439" i="22"/>
  <c r="F439" i="22"/>
  <c r="E439" i="22"/>
  <c r="G438" i="22"/>
  <c r="D438" i="22"/>
  <c r="A438" i="22" s="1"/>
  <c r="C438" i="22"/>
  <c r="B438" i="22"/>
  <c r="G437" i="22"/>
  <c r="G439" i="22" s="1"/>
  <c r="D437" i="22"/>
  <c r="D439" i="22" s="1"/>
  <c r="C437" i="22"/>
  <c r="C439" i="22" s="1"/>
  <c r="B437" i="22"/>
  <c r="B439" i="22" s="1"/>
  <c r="I436" i="22"/>
  <c r="H436" i="22"/>
  <c r="F436" i="22"/>
  <c r="E436" i="22"/>
  <c r="G435" i="22"/>
  <c r="D435" i="22"/>
  <c r="C435" i="22"/>
  <c r="B435" i="22"/>
  <c r="A435" i="22"/>
  <c r="G434" i="22"/>
  <c r="G436" i="22" s="1"/>
  <c r="D434" i="22"/>
  <c r="A434" i="22" s="1"/>
  <c r="A436" i="22" s="1"/>
  <c r="C434" i="22"/>
  <c r="C436" i="22" s="1"/>
  <c r="B434" i="22"/>
  <c r="B436" i="22" s="1"/>
  <c r="I433" i="22"/>
  <c r="H433" i="22"/>
  <c r="F433" i="22"/>
  <c r="E433" i="22"/>
  <c r="G432" i="22"/>
  <c r="D432" i="22"/>
  <c r="A432" i="22" s="1"/>
  <c r="C432" i="22"/>
  <c r="B432" i="22"/>
  <c r="G431" i="22"/>
  <c r="G433" i="22" s="1"/>
  <c r="D431" i="22"/>
  <c r="D433" i="22" s="1"/>
  <c r="C431" i="22"/>
  <c r="C433" i="22" s="1"/>
  <c r="B431" i="22"/>
  <c r="B433" i="22" s="1"/>
  <c r="I430" i="22"/>
  <c r="H430" i="22"/>
  <c r="F430" i="22"/>
  <c r="E430" i="22"/>
  <c r="G429" i="22"/>
  <c r="D429" i="22"/>
  <c r="C429" i="22"/>
  <c r="B429" i="22"/>
  <c r="A429" i="22"/>
  <c r="G428" i="22"/>
  <c r="D428" i="22"/>
  <c r="A428" i="22" s="1"/>
  <c r="A430" i="22" s="1"/>
  <c r="C428" i="22"/>
  <c r="B428" i="22"/>
  <c r="B430" i="22" s="1"/>
  <c r="I427" i="22"/>
  <c r="H427" i="22"/>
  <c r="F427" i="22"/>
  <c r="E427" i="22"/>
  <c r="G426" i="22"/>
  <c r="D426" i="22"/>
  <c r="A426" i="22" s="1"/>
  <c r="C426" i="22"/>
  <c r="B426" i="22"/>
  <c r="G425" i="22"/>
  <c r="G427" i="22" s="1"/>
  <c r="D425" i="22"/>
  <c r="D427" i="22" s="1"/>
  <c r="C425" i="22"/>
  <c r="C427" i="22" s="1"/>
  <c r="B425" i="22"/>
  <c r="B427" i="22" s="1"/>
  <c r="I424" i="22"/>
  <c r="H424" i="22"/>
  <c r="F424" i="22"/>
  <c r="E424" i="22"/>
  <c r="G423" i="22"/>
  <c r="D423" i="22"/>
  <c r="C423" i="22"/>
  <c r="B423" i="22"/>
  <c r="A423" i="22"/>
  <c r="G422" i="22"/>
  <c r="D422" i="22"/>
  <c r="A422" i="22" s="1"/>
  <c r="A424" i="22" s="1"/>
  <c r="C422" i="22"/>
  <c r="C424" i="22" s="1"/>
  <c r="B422" i="22"/>
  <c r="B424" i="22" s="1"/>
  <c r="I421" i="22"/>
  <c r="H421" i="22"/>
  <c r="F421" i="22"/>
  <c r="E421" i="22"/>
  <c r="G420" i="22"/>
  <c r="D420" i="22"/>
  <c r="A420" i="22" s="1"/>
  <c r="C420" i="22"/>
  <c r="B420" i="22"/>
  <c r="G419" i="22"/>
  <c r="G421" i="22" s="1"/>
  <c r="D419" i="22"/>
  <c r="D421" i="22" s="1"/>
  <c r="C419" i="22"/>
  <c r="C421" i="22" s="1"/>
  <c r="B419" i="22"/>
  <c r="B421" i="22" s="1"/>
  <c r="I418" i="22"/>
  <c r="H418" i="22"/>
  <c r="F418" i="22"/>
  <c r="E418" i="22"/>
  <c r="G417" i="22"/>
  <c r="D417" i="22"/>
  <c r="C417" i="22"/>
  <c r="B417" i="22"/>
  <c r="A417" i="22"/>
  <c r="G416" i="22"/>
  <c r="G418" i="22" s="1"/>
  <c r="D416" i="22"/>
  <c r="A416" i="22" s="1"/>
  <c r="A418" i="22" s="1"/>
  <c r="C416" i="22"/>
  <c r="C418" i="22" s="1"/>
  <c r="B416" i="22"/>
  <c r="B418" i="22" s="1"/>
  <c r="I415" i="22"/>
  <c r="H415" i="22"/>
  <c r="F415" i="22"/>
  <c r="E415" i="22"/>
  <c r="G414" i="22"/>
  <c r="D414" i="22"/>
  <c r="A414" i="22" s="1"/>
  <c r="C414" i="22"/>
  <c r="B414" i="22"/>
  <c r="G413" i="22"/>
  <c r="G415" i="22" s="1"/>
  <c r="D413" i="22"/>
  <c r="D415" i="22" s="1"/>
  <c r="C413" i="22"/>
  <c r="C415" i="22" s="1"/>
  <c r="B413" i="22"/>
  <c r="B415" i="22" s="1"/>
  <c r="I412" i="22"/>
  <c r="H412" i="22"/>
  <c r="F412" i="22"/>
  <c r="E412" i="22"/>
  <c r="G411" i="22"/>
  <c r="D411" i="22"/>
  <c r="C411" i="22"/>
  <c r="B411" i="22"/>
  <c r="A411" i="22"/>
  <c r="G410" i="22"/>
  <c r="D410" i="22"/>
  <c r="A410" i="22" s="1"/>
  <c r="A412" i="22" s="1"/>
  <c r="C410" i="22"/>
  <c r="B410" i="22"/>
  <c r="B412" i="22" s="1"/>
  <c r="I409" i="22"/>
  <c r="H409" i="22"/>
  <c r="F409" i="22"/>
  <c r="E409" i="22"/>
  <c r="G408" i="22"/>
  <c r="D408" i="22"/>
  <c r="A408" i="22" s="1"/>
  <c r="C408" i="22"/>
  <c r="B408" i="22"/>
  <c r="G407" i="22"/>
  <c r="G409" i="22" s="1"/>
  <c r="D407" i="22"/>
  <c r="D409" i="22" s="1"/>
  <c r="C407" i="22"/>
  <c r="C409" i="22" s="1"/>
  <c r="B407" i="22"/>
  <c r="B409" i="22" s="1"/>
  <c r="I406" i="22"/>
  <c r="H406" i="22"/>
  <c r="F406" i="22"/>
  <c r="E406" i="22"/>
  <c r="G405" i="22"/>
  <c r="D405" i="22"/>
  <c r="C405" i="22"/>
  <c r="B405" i="22"/>
  <c r="A405" i="22"/>
  <c r="G404" i="22"/>
  <c r="D404" i="22"/>
  <c r="D406" i="22" s="1"/>
  <c r="C404" i="22"/>
  <c r="B404" i="22"/>
  <c r="B406" i="22" s="1"/>
  <c r="I403" i="22"/>
  <c r="H403" i="22"/>
  <c r="F403" i="22"/>
  <c r="E403" i="22"/>
  <c r="G402" i="22"/>
  <c r="D402" i="22"/>
  <c r="C402" i="22"/>
  <c r="B402" i="22"/>
  <c r="G401" i="22"/>
  <c r="G403" i="22" s="1"/>
  <c r="D401" i="22"/>
  <c r="D403" i="22" s="1"/>
  <c r="C401" i="22"/>
  <c r="C403" i="22" s="1"/>
  <c r="B401" i="22"/>
  <c r="B403" i="22" s="1"/>
  <c r="A401" i="22"/>
  <c r="I400" i="22"/>
  <c r="H400" i="22"/>
  <c r="F400" i="22"/>
  <c r="E400" i="22"/>
  <c r="G399" i="22"/>
  <c r="D399" i="22"/>
  <c r="A399" i="22" s="1"/>
  <c r="C399" i="22"/>
  <c r="B399" i="22"/>
  <c r="G398" i="22"/>
  <c r="G400" i="22" s="1"/>
  <c r="D398" i="22"/>
  <c r="C398" i="22"/>
  <c r="C400" i="22" s="1"/>
  <c r="B398" i="22"/>
  <c r="B400" i="22" s="1"/>
  <c r="I397" i="22"/>
  <c r="H397" i="22"/>
  <c r="F397" i="22"/>
  <c r="E397" i="22"/>
  <c r="G396" i="22"/>
  <c r="D396" i="22"/>
  <c r="A396" i="22" s="1"/>
  <c r="C396" i="22"/>
  <c r="B396" i="22"/>
  <c r="G395" i="22"/>
  <c r="G397" i="22" s="1"/>
  <c r="D395" i="22"/>
  <c r="D397" i="22" s="1"/>
  <c r="C395" i="22"/>
  <c r="C397" i="22" s="1"/>
  <c r="B395" i="22"/>
  <c r="B397" i="22" s="1"/>
  <c r="A395" i="22"/>
  <c r="I394" i="22"/>
  <c r="H394" i="22"/>
  <c r="F394" i="22"/>
  <c r="E394" i="22"/>
  <c r="G393" i="22"/>
  <c r="D393" i="22"/>
  <c r="C393" i="22"/>
  <c r="B393" i="22"/>
  <c r="A393" i="22"/>
  <c r="G392" i="22"/>
  <c r="G394" i="22" s="1"/>
  <c r="D392" i="22"/>
  <c r="A392" i="22" s="1"/>
  <c r="A394" i="22" s="1"/>
  <c r="C392" i="22"/>
  <c r="C394" i="22" s="1"/>
  <c r="B392" i="22"/>
  <c r="B394" i="22" s="1"/>
  <c r="I391" i="22"/>
  <c r="H391" i="22"/>
  <c r="F391" i="22"/>
  <c r="E391" i="22"/>
  <c r="G390" i="22"/>
  <c r="D390" i="22"/>
  <c r="A390" i="22" s="1"/>
  <c r="C390" i="22"/>
  <c r="B390" i="22"/>
  <c r="G389" i="22"/>
  <c r="G391" i="22" s="1"/>
  <c r="D389" i="22"/>
  <c r="D391" i="22" s="1"/>
  <c r="C389" i="22"/>
  <c r="C391" i="22" s="1"/>
  <c r="B389" i="22"/>
  <c r="B391" i="22" s="1"/>
  <c r="I388" i="22"/>
  <c r="H388" i="22"/>
  <c r="F388" i="22"/>
  <c r="E388" i="22"/>
  <c r="G387" i="22"/>
  <c r="D387" i="22"/>
  <c r="C387" i="22"/>
  <c r="B387" i="22"/>
  <c r="A387" i="22"/>
  <c r="G386" i="22"/>
  <c r="G388" i="22" s="1"/>
  <c r="D386" i="22"/>
  <c r="A386" i="22" s="1"/>
  <c r="A388" i="22" s="1"/>
  <c r="C386" i="22"/>
  <c r="C388" i="22" s="1"/>
  <c r="B386" i="22"/>
  <c r="B388" i="22" s="1"/>
  <c r="I385" i="22"/>
  <c r="H385" i="22"/>
  <c r="F385" i="22"/>
  <c r="E385" i="22"/>
  <c r="G384" i="22"/>
  <c r="D384" i="22"/>
  <c r="A384" i="22" s="1"/>
  <c r="C384" i="22"/>
  <c r="B384" i="22"/>
  <c r="G383" i="22"/>
  <c r="G385" i="22" s="1"/>
  <c r="D383" i="22"/>
  <c r="D385" i="22" s="1"/>
  <c r="C383" i="22"/>
  <c r="C385" i="22" s="1"/>
  <c r="B383" i="22"/>
  <c r="B385" i="22" s="1"/>
  <c r="A383" i="22"/>
  <c r="I382" i="22"/>
  <c r="H382" i="22"/>
  <c r="F382" i="22"/>
  <c r="E382" i="22"/>
  <c r="G381" i="22"/>
  <c r="D381" i="22"/>
  <c r="C381" i="22"/>
  <c r="B381" i="22"/>
  <c r="A381" i="22"/>
  <c r="G380" i="22"/>
  <c r="G382" i="22" s="1"/>
  <c r="D380" i="22"/>
  <c r="A380" i="22" s="1"/>
  <c r="A382" i="22" s="1"/>
  <c r="C380" i="22"/>
  <c r="C382" i="22" s="1"/>
  <c r="B380" i="22"/>
  <c r="B382" i="22" s="1"/>
  <c r="I379" i="22"/>
  <c r="H379" i="22"/>
  <c r="F379" i="22"/>
  <c r="E379" i="22"/>
  <c r="G378" i="22"/>
  <c r="D378" i="22"/>
  <c r="A378" i="22" s="1"/>
  <c r="C378" i="22"/>
  <c r="B378" i="22"/>
  <c r="G377" i="22"/>
  <c r="G379" i="22" s="1"/>
  <c r="D377" i="22"/>
  <c r="D379" i="22" s="1"/>
  <c r="C377" i="22"/>
  <c r="C379" i="22" s="1"/>
  <c r="B377" i="22"/>
  <c r="B379" i="22" s="1"/>
  <c r="A377" i="22"/>
  <c r="I376" i="22"/>
  <c r="H376" i="22"/>
  <c r="F376" i="22"/>
  <c r="E376" i="22"/>
  <c r="G375" i="22"/>
  <c r="D375" i="22"/>
  <c r="C375" i="22"/>
  <c r="B375" i="22"/>
  <c r="A375" i="22"/>
  <c r="G374" i="22"/>
  <c r="G376" i="22" s="1"/>
  <c r="D374" i="22"/>
  <c r="A374" i="22" s="1"/>
  <c r="A376" i="22" s="1"/>
  <c r="C374" i="22"/>
  <c r="C376" i="22" s="1"/>
  <c r="B374" i="22"/>
  <c r="B376" i="22" s="1"/>
  <c r="I373" i="22"/>
  <c r="H373" i="22"/>
  <c r="F373" i="22"/>
  <c r="E373" i="22"/>
  <c r="G372" i="22"/>
  <c r="D372" i="22"/>
  <c r="A372" i="22" s="1"/>
  <c r="C372" i="22"/>
  <c r="B372" i="22"/>
  <c r="G371" i="22"/>
  <c r="G373" i="22" s="1"/>
  <c r="D371" i="22"/>
  <c r="D373" i="22" s="1"/>
  <c r="C371" i="22"/>
  <c r="C373" i="22" s="1"/>
  <c r="B371" i="22"/>
  <c r="B373" i="22" s="1"/>
  <c r="A371" i="22"/>
  <c r="I370" i="22"/>
  <c r="H370" i="22"/>
  <c r="F370" i="22"/>
  <c r="E370" i="22"/>
  <c r="G369" i="22"/>
  <c r="D369" i="22"/>
  <c r="C369" i="22"/>
  <c r="B369" i="22"/>
  <c r="A369" i="22"/>
  <c r="G368" i="22"/>
  <c r="G370" i="22" s="1"/>
  <c r="D368" i="22"/>
  <c r="A368" i="22" s="1"/>
  <c r="A370" i="22" s="1"/>
  <c r="C368" i="22"/>
  <c r="C370" i="22" s="1"/>
  <c r="B368" i="22"/>
  <c r="B370" i="22" s="1"/>
  <c r="I367" i="22"/>
  <c r="H367" i="22"/>
  <c r="F367" i="22"/>
  <c r="E367" i="22"/>
  <c r="G366" i="22"/>
  <c r="D366" i="22"/>
  <c r="A366" i="22" s="1"/>
  <c r="C366" i="22"/>
  <c r="B366" i="22"/>
  <c r="G365" i="22"/>
  <c r="G367" i="22" s="1"/>
  <c r="D365" i="22"/>
  <c r="D367" i="22" s="1"/>
  <c r="C365" i="22"/>
  <c r="C367" i="22" s="1"/>
  <c r="B365" i="22"/>
  <c r="B367" i="22" s="1"/>
  <c r="A365" i="22"/>
  <c r="I364" i="22"/>
  <c r="H364" i="22"/>
  <c r="F364" i="22"/>
  <c r="E364" i="22"/>
  <c r="G363" i="22"/>
  <c r="D363" i="22"/>
  <c r="C363" i="22"/>
  <c r="B363" i="22"/>
  <c r="A363" i="22"/>
  <c r="G362" i="22"/>
  <c r="G364" i="22" s="1"/>
  <c r="D362" i="22"/>
  <c r="D364" i="22" s="1"/>
  <c r="C362" i="22"/>
  <c r="C364" i="22" s="1"/>
  <c r="B362" i="22"/>
  <c r="B364" i="22" s="1"/>
  <c r="A362" i="22"/>
  <c r="A364" i="22" s="1"/>
  <c r="I361" i="22"/>
  <c r="I448" i="22" s="1"/>
  <c r="H361" i="22"/>
  <c r="H448" i="22" s="1"/>
  <c r="F361" i="22"/>
  <c r="F448" i="22" s="1"/>
  <c r="E361" i="22"/>
  <c r="E448" i="22" s="1"/>
  <c r="G360" i="22"/>
  <c r="G447" i="22" s="1"/>
  <c r="D360" i="22"/>
  <c r="D447" i="22" s="1"/>
  <c r="C360" i="22"/>
  <c r="C447" i="22" s="1"/>
  <c r="B360" i="22"/>
  <c r="B447" i="22" s="1"/>
  <c r="G359" i="22"/>
  <c r="G446" i="22" s="1"/>
  <c r="D359" i="22"/>
  <c r="D361" i="22" s="1"/>
  <c r="C359" i="22"/>
  <c r="C446" i="22" s="1"/>
  <c r="B359" i="22"/>
  <c r="B361" i="22" s="1"/>
  <c r="B448" i="22" s="1"/>
  <c r="A359" i="22"/>
  <c r="I354" i="22"/>
  <c r="H354" i="22"/>
  <c r="F354" i="22"/>
  <c r="E354" i="22"/>
  <c r="I353" i="22"/>
  <c r="H353" i="22"/>
  <c r="F353" i="22"/>
  <c r="E353" i="22"/>
  <c r="I352" i="22"/>
  <c r="H352" i="22"/>
  <c r="F352" i="22"/>
  <c r="E352" i="22"/>
  <c r="G351" i="22"/>
  <c r="D351" i="22"/>
  <c r="C351" i="22"/>
  <c r="B351" i="22"/>
  <c r="A351" i="22"/>
  <c r="G350" i="22"/>
  <c r="G352" i="22" s="1"/>
  <c r="D350" i="22"/>
  <c r="D352" i="22" s="1"/>
  <c r="C350" i="22"/>
  <c r="C352" i="22" s="1"/>
  <c r="B350" i="22"/>
  <c r="B352" i="22" s="1"/>
  <c r="A350" i="22"/>
  <c r="A352" i="22" s="1"/>
  <c r="I349" i="22"/>
  <c r="H349" i="22"/>
  <c r="F349" i="22"/>
  <c r="E349" i="22"/>
  <c r="G348" i="22"/>
  <c r="D348" i="22"/>
  <c r="A348" i="22" s="1"/>
  <c r="C348" i="22"/>
  <c r="B348" i="22"/>
  <c r="G347" i="22"/>
  <c r="G349" i="22" s="1"/>
  <c r="D347" i="22"/>
  <c r="D349" i="22" s="1"/>
  <c r="C347" i="22"/>
  <c r="C349" i="22" s="1"/>
  <c r="B347" i="22"/>
  <c r="B349" i="22" s="1"/>
  <c r="A347" i="22"/>
  <c r="I346" i="22"/>
  <c r="H346" i="22"/>
  <c r="F346" i="22"/>
  <c r="E346" i="22"/>
  <c r="G345" i="22"/>
  <c r="D345" i="22"/>
  <c r="C345" i="22"/>
  <c r="B345" i="22"/>
  <c r="A345" i="22"/>
  <c r="G344" i="22"/>
  <c r="G346" i="22" s="1"/>
  <c r="D344" i="22"/>
  <c r="D346" i="22" s="1"/>
  <c r="C344" i="22"/>
  <c r="C346" i="22" s="1"/>
  <c r="B344" i="22"/>
  <c r="B346" i="22" s="1"/>
  <c r="I343" i="22"/>
  <c r="H343" i="22"/>
  <c r="F343" i="22"/>
  <c r="E343" i="22"/>
  <c r="G342" i="22"/>
  <c r="D342" i="22"/>
  <c r="A342" i="22" s="1"/>
  <c r="C342" i="22"/>
  <c r="B342" i="22"/>
  <c r="G341" i="22"/>
  <c r="G343" i="22" s="1"/>
  <c r="D341" i="22"/>
  <c r="D343" i="22" s="1"/>
  <c r="C341" i="22"/>
  <c r="C343" i="22" s="1"/>
  <c r="B341" i="22"/>
  <c r="B343" i="22" s="1"/>
  <c r="A341" i="22"/>
  <c r="I340" i="22"/>
  <c r="H340" i="22"/>
  <c r="F340" i="22"/>
  <c r="E340" i="22"/>
  <c r="G339" i="22"/>
  <c r="D339" i="22"/>
  <c r="C339" i="22"/>
  <c r="B339" i="22"/>
  <c r="A339" i="22"/>
  <c r="G338" i="22"/>
  <c r="G340" i="22" s="1"/>
  <c r="D338" i="22"/>
  <c r="D340" i="22" s="1"/>
  <c r="C338" i="22"/>
  <c r="C340" i="22" s="1"/>
  <c r="B338" i="22"/>
  <c r="B340" i="22" s="1"/>
  <c r="I337" i="22"/>
  <c r="H337" i="22"/>
  <c r="F337" i="22"/>
  <c r="E337" i="22"/>
  <c r="G336" i="22"/>
  <c r="D336" i="22"/>
  <c r="A336" i="22" s="1"/>
  <c r="C336" i="22"/>
  <c r="B336" i="22"/>
  <c r="G335" i="22"/>
  <c r="G337" i="22" s="1"/>
  <c r="D335" i="22"/>
  <c r="D337" i="22" s="1"/>
  <c r="C335" i="22"/>
  <c r="C337" i="22" s="1"/>
  <c r="B335" i="22"/>
  <c r="B337" i="22" s="1"/>
  <c r="A335" i="22"/>
  <c r="I334" i="22"/>
  <c r="H334" i="22"/>
  <c r="F334" i="22"/>
  <c r="E334" i="22"/>
  <c r="G333" i="22"/>
  <c r="D333" i="22"/>
  <c r="C333" i="22"/>
  <c r="B333" i="22"/>
  <c r="A333" i="22"/>
  <c r="G332" i="22"/>
  <c r="G334" i="22" s="1"/>
  <c r="D332" i="22"/>
  <c r="D334" i="22" s="1"/>
  <c r="C332" i="22"/>
  <c r="C334" i="22" s="1"/>
  <c r="B332" i="22"/>
  <c r="B334" i="22" s="1"/>
  <c r="I331" i="22"/>
  <c r="H331" i="22"/>
  <c r="F331" i="22"/>
  <c r="E331" i="22"/>
  <c r="G330" i="22"/>
  <c r="D330" i="22"/>
  <c r="A330" i="22" s="1"/>
  <c r="C330" i="22"/>
  <c r="B330" i="22"/>
  <c r="G329" i="22"/>
  <c r="G331" i="22" s="1"/>
  <c r="D329" i="22"/>
  <c r="D331" i="22" s="1"/>
  <c r="C329" i="22"/>
  <c r="C331" i="22" s="1"/>
  <c r="B329" i="22"/>
  <c r="B331" i="22" s="1"/>
  <c r="A329" i="22"/>
  <c r="I328" i="22"/>
  <c r="H328" i="22"/>
  <c r="F328" i="22"/>
  <c r="E328" i="22"/>
  <c r="G327" i="22"/>
  <c r="D327" i="22"/>
  <c r="C327" i="22"/>
  <c r="B327" i="22"/>
  <c r="A327" i="22"/>
  <c r="G326" i="22"/>
  <c r="G328" i="22" s="1"/>
  <c r="D326" i="22"/>
  <c r="D328" i="22" s="1"/>
  <c r="C326" i="22"/>
  <c r="C328" i="22" s="1"/>
  <c r="B326" i="22"/>
  <c r="B328" i="22" s="1"/>
  <c r="I325" i="22"/>
  <c r="H325" i="22"/>
  <c r="F325" i="22"/>
  <c r="E325" i="22"/>
  <c r="G324" i="22"/>
  <c r="D324" i="22"/>
  <c r="C324" i="22"/>
  <c r="B324" i="22"/>
  <c r="G323" i="22"/>
  <c r="G325" i="22" s="1"/>
  <c r="D323" i="22"/>
  <c r="D325" i="22" s="1"/>
  <c r="C323" i="22"/>
  <c r="C325" i="22" s="1"/>
  <c r="B323" i="22"/>
  <c r="B325" i="22" s="1"/>
  <c r="A323" i="22"/>
  <c r="I322" i="22"/>
  <c r="H322" i="22"/>
  <c r="F322" i="22"/>
  <c r="E322" i="22"/>
  <c r="G321" i="22"/>
  <c r="D321" i="22"/>
  <c r="C321" i="22"/>
  <c r="B321" i="22"/>
  <c r="A321" i="22"/>
  <c r="G320" i="22"/>
  <c r="G322" i="22" s="1"/>
  <c r="D320" i="22"/>
  <c r="D322" i="22" s="1"/>
  <c r="C320" i="22"/>
  <c r="C322" i="22" s="1"/>
  <c r="B320" i="22"/>
  <c r="B322" i="22" s="1"/>
  <c r="I319" i="22"/>
  <c r="H319" i="22"/>
  <c r="F319" i="22"/>
  <c r="E319" i="22"/>
  <c r="G318" i="22"/>
  <c r="D318" i="22"/>
  <c r="C318" i="22"/>
  <c r="B318" i="22"/>
  <c r="G317" i="22"/>
  <c r="G319" i="22" s="1"/>
  <c r="D317" i="22"/>
  <c r="D319" i="22" s="1"/>
  <c r="C317" i="22"/>
  <c r="C319" i="22" s="1"/>
  <c r="B317" i="22"/>
  <c r="B319" i="22" s="1"/>
  <c r="A317" i="22"/>
  <c r="I316" i="22"/>
  <c r="H316" i="22"/>
  <c r="F316" i="22"/>
  <c r="E316" i="22"/>
  <c r="G315" i="22"/>
  <c r="D315" i="22"/>
  <c r="A315" i="22" s="1"/>
  <c r="C315" i="22"/>
  <c r="B315" i="22"/>
  <c r="G314" i="22"/>
  <c r="G316" i="22" s="1"/>
  <c r="D314" i="22"/>
  <c r="D316" i="22" s="1"/>
  <c r="C314" i="22"/>
  <c r="C316" i="22" s="1"/>
  <c r="B314" i="22"/>
  <c r="B316" i="22" s="1"/>
  <c r="I313" i="22"/>
  <c r="H313" i="22"/>
  <c r="F313" i="22"/>
  <c r="E313" i="22"/>
  <c r="G312" i="22"/>
  <c r="D312" i="22"/>
  <c r="C312" i="22"/>
  <c r="B312" i="22"/>
  <c r="G311" i="22"/>
  <c r="G313" i="22" s="1"/>
  <c r="D311" i="22"/>
  <c r="C311" i="22"/>
  <c r="C313" i="22" s="1"/>
  <c r="B311" i="22"/>
  <c r="B313" i="22" s="1"/>
  <c r="A311" i="22"/>
  <c r="I310" i="22"/>
  <c r="H310" i="22"/>
  <c r="F310" i="22"/>
  <c r="E310" i="22"/>
  <c r="G309" i="22"/>
  <c r="D309" i="22"/>
  <c r="A309" i="22" s="1"/>
  <c r="C309" i="22"/>
  <c r="B309" i="22"/>
  <c r="G308" i="22"/>
  <c r="G310" i="22" s="1"/>
  <c r="D308" i="22"/>
  <c r="C308" i="22"/>
  <c r="C310" i="22" s="1"/>
  <c r="B308" i="22"/>
  <c r="I307" i="22"/>
  <c r="H307" i="22"/>
  <c r="F307" i="22"/>
  <c r="E307" i="22"/>
  <c r="G306" i="22"/>
  <c r="D306" i="22"/>
  <c r="C306" i="22"/>
  <c r="B306" i="22"/>
  <c r="G305" i="22"/>
  <c r="G307" i="22" s="1"/>
  <c r="D305" i="22"/>
  <c r="D307" i="22" s="1"/>
  <c r="C305" i="22"/>
  <c r="C307" i="22" s="1"/>
  <c r="B305" i="22"/>
  <c r="B307" i="22" s="1"/>
  <c r="A305" i="22"/>
  <c r="I304" i="22"/>
  <c r="H304" i="22"/>
  <c r="F304" i="22"/>
  <c r="E304" i="22"/>
  <c r="G303" i="22"/>
  <c r="D303" i="22"/>
  <c r="A303" i="22" s="1"/>
  <c r="C303" i="22"/>
  <c r="B303" i="22"/>
  <c r="G302" i="22"/>
  <c r="G304" i="22" s="1"/>
  <c r="D302" i="22"/>
  <c r="C302" i="22"/>
  <c r="C304" i="22" s="1"/>
  <c r="B302" i="22"/>
  <c r="I301" i="22"/>
  <c r="H301" i="22"/>
  <c r="F301" i="22"/>
  <c r="E301" i="22"/>
  <c r="G300" i="22"/>
  <c r="D300" i="22"/>
  <c r="C300" i="22"/>
  <c r="B300" i="22"/>
  <c r="G299" i="22"/>
  <c r="G301" i="22" s="1"/>
  <c r="D299" i="22"/>
  <c r="D301" i="22" s="1"/>
  <c r="C299" i="22"/>
  <c r="C301" i="22" s="1"/>
  <c r="B299" i="22"/>
  <c r="B301" i="22" s="1"/>
  <c r="A299" i="22"/>
  <c r="I298" i="22"/>
  <c r="H298" i="22"/>
  <c r="F298" i="22"/>
  <c r="E298" i="22"/>
  <c r="G297" i="22"/>
  <c r="D297" i="22"/>
  <c r="A297" i="22" s="1"/>
  <c r="C297" i="22"/>
  <c r="B297" i="22"/>
  <c r="G296" i="22"/>
  <c r="G298" i="22" s="1"/>
  <c r="D296" i="22"/>
  <c r="C296" i="22"/>
  <c r="C298" i="22" s="1"/>
  <c r="B296" i="22"/>
  <c r="I295" i="22"/>
  <c r="H295" i="22"/>
  <c r="F295" i="22"/>
  <c r="E295" i="22"/>
  <c r="G294" i="22"/>
  <c r="D294" i="22"/>
  <c r="C294" i="22"/>
  <c r="B294" i="22"/>
  <c r="G293" i="22"/>
  <c r="G295" i="22" s="1"/>
  <c r="D293" i="22"/>
  <c r="D295" i="22" s="1"/>
  <c r="C293" i="22"/>
  <c r="C295" i="22" s="1"/>
  <c r="B293" i="22"/>
  <c r="B295" i="22" s="1"/>
  <c r="A293" i="22"/>
  <c r="I292" i="22"/>
  <c r="H292" i="22"/>
  <c r="F292" i="22"/>
  <c r="E292" i="22"/>
  <c r="G291" i="22"/>
  <c r="D291" i="22"/>
  <c r="A291" i="22" s="1"/>
  <c r="C291" i="22"/>
  <c r="B291" i="22"/>
  <c r="G290" i="22"/>
  <c r="G292" i="22" s="1"/>
  <c r="D290" i="22"/>
  <c r="C290" i="22"/>
  <c r="C292" i="22" s="1"/>
  <c r="B290" i="22"/>
  <c r="B292" i="22" s="1"/>
  <c r="I289" i="22"/>
  <c r="H289" i="22"/>
  <c r="F289" i="22"/>
  <c r="E289" i="22"/>
  <c r="G288" i="22"/>
  <c r="D288" i="22"/>
  <c r="A288" i="22" s="1"/>
  <c r="C288" i="22"/>
  <c r="B288" i="22"/>
  <c r="G287" i="22"/>
  <c r="G289" i="22" s="1"/>
  <c r="D287" i="22"/>
  <c r="D289" i="22" s="1"/>
  <c r="C287" i="22"/>
  <c r="C289" i="22" s="1"/>
  <c r="B287" i="22"/>
  <c r="B289" i="22" s="1"/>
  <c r="A287" i="22"/>
  <c r="A289" i="22" s="1"/>
  <c r="I286" i="22"/>
  <c r="H286" i="22"/>
  <c r="F286" i="22"/>
  <c r="E286" i="22"/>
  <c r="G285" i="22"/>
  <c r="D285" i="22"/>
  <c r="C285" i="22"/>
  <c r="B285" i="22"/>
  <c r="A285" i="22"/>
  <c r="G284" i="22"/>
  <c r="G286" i="22" s="1"/>
  <c r="D284" i="22"/>
  <c r="A284" i="22" s="1"/>
  <c r="A286" i="22" s="1"/>
  <c r="C284" i="22"/>
  <c r="C286" i="22" s="1"/>
  <c r="B284" i="22"/>
  <c r="B286" i="22" s="1"/>
  <c r="I283" i="22"/>
  <c r="I355" i="22" s="1"/>
  <c r="H283" i="22"/>
  <c r="F283" i="22"/>
  <c r="E283" i="22"/>
  <c r="E355" i="22" s="1"/>
  <c r="G282" i="22"/>
  <c r="D282" i="22"/>
  <c r="D354" i="22" s="1"/>
  <c r="C282" i="22"/>
  <c r="B282" i="22"/>
  <c r="B354" i="22" s="1"/>
  <c r="G281" i="22"/>
  <c r="G353" i="22" s="1"/>
  <c r="D281" i="22"/>
  <c r="C281" i="22"/>
  <c r="C353" i="22" s="1"/>
  <c r="B281" i="22"/>
  <c r="A281" i="22"/>
  <c r="I275" i="22"/>
  <c r="H275" i="22"/>
  <c r="F275" i="22"/>
  <c r="E275" i="22"/>
  <c r="I274" i="22"/>
  <c r="H274" i="22"/>
  <c r="F274" i="22"/>
  <c r="E274" i="22"/>
  <c r="I273" i="22"/>
  <c r="H273" i="22"/>
  <c r="F273" i="22"/>
  <c r="E273" i="22"/>
  <c r="G272" i="22"/>
  <c r="D272" i="22"/>
  <c r="A272" i="22" s="1"/>
  <c r="C272" i="22"/>
  <c r="B272" i="22"/>
  <c r="G271" i="22"/>
  <c r="G273" i="22" s="1"/>
  <c r="D271" i="22"/>
  <c r="D273" i="22" s="1"/>
  <c r="C271" i="22"/>
  <c r="C273" i="22" s="1"/>
  <c r="B271" i="22"/>
  <c r="B273" i="22" s="1"/>
  <c r="A271" i="22"/>
  <c r="A273" i="22" s="1"/>
  <c r="I270" i="22"/>
  <c r="H270" i="22"/>
  <c r="F270" i="22"/>
  <c r="E270" i="22"/>
  <c r="G269" i="22"/>
  <c r="D269" i="22"/>
  <c r="C269" i="22"/>
  <c r="B269" i="22"/>
  <c r="A269" i="22"/>
  <c r="G268" i="22"/>
  <c r="G270" i="22" s="1"/>
  <c r="D268" i="22"/>
  <c r="A268" i="22" s="1"/>
  <c r="A270" i="22" s="1"/>
  <c r="C268" i="22"/>
  <c r="C270" i="22" s="1"/>
  <c r="B268" i="22"/>
  <c r="B270" i="22" s="1"/>
  <c r="I267" i="22"/>
  <c r="H267" i="22"/>
  <c r="F267" i="22"/>
  <c r="E267" i="22"/>
  <c r="G266" i="22"/>
  <c r="D266" i="22"/>
  <c r="A266" i="22" s="1"/>
  <c r="C266" i="22"/>
  <c r="B266" i="22"/>
  <c r="G265" i="22"/>
  <c r="G267" i="22" s="1"/>
  <c r="D265" i="22"/>
  <c r="D267" i="22" s="1"/>
  <c r="C265" i="22"/>
  <c r="C267" i="22" s="1"/>
  <c r="B265" i="22"/>
  <c r="B267" i="22" s="1"/>
  <c r="A265" i="22"/>
  <c r="I264" i="22"/>
  <c r="H264" i="22"/>
  <c r="F264" i="22"/>
  <c r="E264" i="22"/>
  <c r="G263" i="22"/>
  <c r="D263" i="22"/>
  <c r="C263" i="22"/>
  <c r="B263" i="22"/>
  <c r="A263" i="22"/>
  <c r="G262" i="22"/>
  <c r="G264" i="22" s="1"/>
  <c r="D262" i="22"/>
  <c r="A262" i="22" s="1"/>
  <c r="A264" i="22" s="1"/>
  <c r="C262" i="22"/>
  <c r="C264" i="22" s="1"/>
  <c r="B262" i="22"/>
  <c r="B264" i="22" s="1"/>
  <c r="I261" i="22"/>
  <c r="H261" i="22"/>
  <c r="F261" i="22"/>
  <c r="E261" i="22"/>
  <c r="G260" i="22"/>
  <c r="D260" i="22"/>
  <c r="A260" i="22" s="1"/>
  <c r="C260" i="22"/>
  <c r="B260" i="22"/>
  <c r="G259" i="22"/>
  <c r="G261" i="22" s="1"/>
  <c r="D259" i="22"/>
  <c r="D261" i="22" s="1"/>
  <c r="C259" i="22"/>
  <c r="C261" i="22" s="1"/>
  <c r="B259" i="22"/>
  <c r="B261" i="22" s="1"/>
  <c r="I258" i="22"/>
  <c r="I276" i="22" s="1"/>
  <c r="H258" i="22"/>
  <c r="H276" i="22" s="1"/>
  <c r="F258" i="22"/>
  <c r="F276" i="22" s="1"/>
  <c r="E258" i="22"/>
  <c r="E276" i="22" s="1"/>
  <c r="G257" i="22"/>
  <c r="G275" i="22" s="1"/>
  <c r="D257" i="22"/>
  <c r="D275" i="22" s="1"/>
  <c r="C257" i="22"/>
  <c r="C275" i="22" s="1"/>
  <c r="B257" i="22"/>
  <c r="B275" i="22" s="1"/>
  <c r="A257" i="22"/>
  <c r="A275" i="22" s="1"/>
  <c r="G256" i="22"/>
  <c r="G274" i="22" s="1"/>
  <c r="D256" i="22"/>
  <c r="A256" i="22" s="1"/>
  <c r="C256" i="22"/>
  <c r="C274" i="22" s="1"/>
  <c r="B256" i="22"/>
  <c r="B274" i="22" s="1"/>
  <c r="I250" i="22"/>
  <c r="H250" i="22"/>
  <c r="F250" i="22"/>
  <c r="E250" i="22"/>
  <c r="I249" i="22"/>
  <c r="H249" i="22"/>
  <c r="F249" i="22"/>
  <c r="E249" i="22"/>
  <c r="I248" i="22"/>
  <c r="H248" i="22"/>
  <c r="F248" i="22"/>
  <c r="E248" i="22"/>
  <c r="G247" i="22"/>
  <c r="D247" i="22"/>
  <c r="C247" i="22"/>
  <c r="B247" i="22"/>
  <c r="A247" i="22"/>
  <c r="G246" i="22"/>
  <c r="G248" i="22" s="1"/>
  <c r="D246" i="22"/>
  <c r="A246" i="22" s="1"/>
  <c r="A248" i="22" s="1"/>
  <c r="C246" i="22"/>
  <c r="C248" i="22" s="1"/>
  <c r="B246" i="22"/>
  <c r="B248" i="22" s="1"/>
  <c r="I245" i="22"/>
  <c r="H245" i="22"/>
  <c r="F245" i="22"/>
  <c r="E245" i="22"/>
  <c r="G244" i="22"/>
  <c r="D244" i="22"/>
  <c r="A244" i="22" s="1"/>
  <c r="C244" i="22"/>
  <c r="B244" i="22"/>
  <c r="G243" i="22"/>
  <c r="G245" i="22" s="1"/>
  <c r="D243" i="22"/>
  <c r="D245" i="22" s="1"/>
  <c r="C243" i="22"/>
  <c r="C245" i="22" s="1"/>
  <c r="B243" i="22"/>
  <c r="B245" i="22" s="1"/>
  <c r="A243" i="22"/>
  <c r="A245" i="22" s="1"/>
  <c r="I242" i="22"/>
  <c r="H242" i="22"/>
  <c r="F242" i="22"/>
  <c r="E242" i="22"/>
  <c r="G241" i="22"/>
  <c r="D241" i="22"/>
  <c r="C241" i="22"/>
  <c r="B241" i="22"/>
  <c r="A241" i="22"/>
  <c r="G240" i="22"/>
  <c r="G242" i="22" s="1"/>
  <c r="D240" i="22"/>
  <c r="A240" i="22" s="1"/>
  <c r="A242" i="22" s="1"/>
  <c r="C240" i="22"/>
  <c r="C242" i="22" s="1"/>
  <c r="B240" i="22"/>
  <c r="B242" i="22" s="1"/>
  <c r="I239" i="22"/>
  <c r="H239" i="22"/>
  <c r="F239" i="22"/>
  <c r="E239" i="22"/>
  <c r="G238" i="22"/>
  <c r="D238" i="22"/>
  <c r="A238" i="22" s="1"/>
  <c r="C238" i="22"/>
  <c r="B238" i="22"/>
  <c r="G237" i="22"/>
  <c r="G239" i="22" s="1"/>
  <c r="D237" i="22"/>
  <c r="D239" i="22" s="1"/>
  <c r="C237" i="22"/>
  <c r="C239" i="22" s="1"/>
  <c r="B237" i="22"/>
  <c r="B239" i="22" s="1"/>
  <c r="A237" i="22"/>
  <c r="A239" i="22" s="1"/>
  <c r="I236" i="22"/>
  <c r="H236" i="22"/>
  <c r="F236" i="22"/>
  <c r="E236" i="22"/>
  <c r="G235" i="22"/>
  <c r="D235" i="22"/>
  <c r="C235" i="22"/>
  <c r="B235" i="22"/>
  <c r="A235" i="22"/>
  <c r="G234" i="22"/>
  <c r="G236" i="22" s="1"/>
  <c r="D234" i="22"/>
  <c r="A234" i="22" s="1"/>
  <c r="A236" i="22" s="1"/>
  <c r="C234" i="22"/>
  <c r="C236" i="22" s="1"/>
  <c r="B234" i="22"/>
  <c r="B236" i="22" s="1"/>
  <c r="I233" i="22"/>
  <c r="H233" i="22"/>
  <c r="F233" i="22"/>
  <c r="E233" i="22"/>
  <c r="G232" i="22"/>
  <c r="D232" i="22"/>
  <c r="A232" i="22" s="1"/>
  <c r="C232" i="22"/>
  <c r="B232" i="22"/>
  <c r="G231" i="22"/>
  <c r="G233" i="22" s="1"/>
  <c r="D231" i="22"/>
  <c r="D233" i="22" s="1"/>
  <c r="C231" i="22"/>
  <c r="C233" i="22" s="1"/>
  <c r="B231" i="22"/>
  <c r="B233" i="22" s="1"/>
  <c r="A231" i="22"/>
  <c r="A233" i="22" s="1"/>
  <c r="I230" i="22"/>
  <c r="H230" i="22"/>
  <c r="F230" i="22"/>
  <c r="E230" i="22"/>
  <c r="G229" i="22"/>
  <c r="D229" i="22"/>
  <c r="A229" i="22" s="1"/>
  <c r="C229" i="22"/>
  <c r="B229" i="22"/>
  <c r="G228" i="22"/>
  <c r="G230" i="22" s="1"/>
  <c r="D228" i="22"/>
  <c r="C228" i="22"/>
  <c r="C230" i="22" s="1"/>
  <c r="B228" i="22"/>
  <c r="B230" i="22" s="1"/>
  <c r="I227" i="22"/>
  <c r="H227" i="22"/>
  <c r="F227" i="22"/>
  <c r="E227" i="22"/>
  <c r="G226" i="22"/>
  <c r="D226" i="22"/>
  <c r="C226" i="22"/>
  <c r="B226" i="22"/>
  <c r="G225" i="22"/>
  <c r="G227" i="22" s="1"/>
  <c r="D225" i="22"/>
  <c r="D227" i="22" s="1"/>
  <c r="C225" i="22"/>
  <c r="C227" i="22" s="1"/>
  <c r="B225" i="22"/>
  <c r="B227" i="22" s="1"/>
  <c r="A225" i="22"/>
  <c r="I224" i="22"/>
  <c r="H224" i="22"/>
  <c r="F224" i="22"/>
  <c r="E224" i="22"/>
  <c r="G223" i="22"/>
  <c r="D223" i="22"/>
  <c r="A223" i="22" s="1"/>
  <c r="C223" i="22"/>
  <c r="B223" i="22"/>
  <c r="G222" i="22"/>
  <c r="G224" i="22" s="1"/>
  <c r="D222" i="22"/>
  <c r="C222" i="22"/>
  <c r="C224" i="22" s="1"/>
  <c r="B222" i="22"/>
  <c r="B224" i="22" s="1"/>
  <c r="I221" i="22"/>
  <c r="H221" i="22"/>
  <c r="F221" i="22"/>
  <c r="E221" i="22"/>
  <c r="G220" i="22"/>
  <c r="D220" i="22"/>
  <c r="C220" i="22"/>
  <c r="B220" i="22"/>
  <c r="G219" i="22"/>
  <c r="G221" i="22" s="1"/>
  <c r="D219" i="22"/>
  <c r="D221" i="22" s="1"/>
  <c r="C219" i="22"/>
  <c r="C221" i="22" s="1"/>
  <c r="B219" i="22"/>
  <c r="B221" i="22" s="1"/>
  <c r="A219" i="22"/>
  <c r="I218" i="22"/>
  <c r="H218" i="22"/>
  <c r="F218" i="22"/>
  <c r="E218" i="22"/>
  <c r="G217" i="22"/>
  <c r="D217" i="22"/>
  <c r="A217" i="22" s="1"/>
  <c r="C217" i="22"/>
  <c r="B217" i="22"/>
  <c r="G216" i="22"/>
  <c r="G218" i="22" s="1"/>
  <c r="D216" i="22"/>
  <c r="C216" i="22"/>
  <c r="C218" i="22" s="1"/>
  <c r="B216" i="22"/>
  <c r="B218" i="22" s="1"/>
  <c r="I215" i="22"/>
  <c r="H215" i="22"/>
  <c r="F215" i="22"/>
  <c r="E215" i="22"/>
  <c r="G214" i="22"/>
  <c r="D214" i="22"/>
  <c r="C214" i="22"/>
  <c r="B214" i="22"/>
  <c r="G213" i="22"/>
  <c r="G215" i="22" s="1"/>
  <c r="D213" i="22"/>
  <c r="D215" i="22" s="1"/>
  <c r="C213" i="22"/>
  <c r="C215" i="22" s="1"/>
  <c r="B213" i="22"/>
  <c r="B215" i="22" s="1"/>
  <c r="A213" i="22"/>
  <c r="I212" i="22"/>
  <c r="H212" i="22"/>
  <c r="F212" i="22"/>
  <c r="E212" i="22"/>
  <c r="G211" i="22"/>
  <c r="D211" i="22"/>
  <c r="A211" i="22" s="1"/>
  <c r="C211" i="22"/>
  <c r="B211" i="22"/>
  <c r="G210" i="22"/>
  <c r="G212" i="22" s="1"/>
  <c r="D210" i="22"/>
  <c r="C210" i="22"/>
  <c r="C212" i="22" s="1"/>
  <c r="B210" i="22"/>
  <c r="B212" i="22" s="1"/>
  <c r="I209" i="22"/>
  <c r="H209" i="22"/>
  <c r="F209" i="22"/>
  <c r="E209" i="22"/>
  <c r="G208" i="22"/>
  <c r="D208" i="22"/>
  <c r="C208" i="22"/>
  <c r="B208" i="22"/>
  <c r="G207" i="22"/>
  <c r="G209" i="22" s="1"/>
  <c r="D207" i="22"/>
  <c r="D209" i="22" s="1"/>
  <c r="C207" i="22"/>
  <c r="C209" i="22" s="1"/>
  <c r="B207" i="22"/>
  <c r="B209" i="22" s="1"/>
  <c r="A207" i="22"/>
  <c r="I206" i="22"/>
  <c r="H206" i="22"/>
  <c r="F206" i="22"/>
  <c r="E206" i="22"/>
  <c r="G205" i="22"/>
  <c r="D205" i="22"/>
  <c r="A205" i="22" s="1"/>
  <c r="C205" i="22"/>
  <c r="B205" i="22"/>
  <c r="G204" i="22"/>
  <c r="G206" i="22" s="1"/>
  <c r="D204" i="22"/>
  <c r="C204" i="22"/>
  <c r="C206" i="22" s="1"/>
  <c r="B204" i="22"/>
  <c r="B206" i="22" s="1"/>
  <c r="I203" i="22"/>
  <c r="H203" i="22"/>
  <c r="F203" i="22"/>
  <c r="E203" i="22"/>
  <c r="G202" i="22"/>
  <c r="D202" i="22"/>
  <c r="C202" i="22"/>
  <c r="B202" i="22"/>
  <c r="G201" i="22"/>
  <c r="G203" i="22" s="1"/>
  <c r="D201" i="22"/>
  <c r="D203" i="22" s="1"/>
  <c r="C201" i="22"/>
  <c r="C203" i="22" s="1"/>
  <c r="B201" i="22"/>
  <c r="B203" i="22" s="1"/>
  <c r="A201" i="22"/>
  <c r="I200" i="22"/>
  <c r="H200" i="22"/>
  <c r="F200" i="22"/>
  <c r="E200" i="22"/>
  <c r="G199" i="22"/>
  <c r="D199" i="22"/>
  <c r="A199" i="22" s="1"/>
  <c r="C199" i="22"/>
  <c r="B199" i="22"/>
  <c r="G198" i="22"/>
  <c r="G200" i="22" s="1"/>
  <c r="D198" i="22"/>
  <c r="C198" i="22"/>
  <c r="C200" i="22" s="1"/>
  <c r="B198" i="22"/>
  <c r="I197" i="22"/>
  <c r="H197" i="22"/>
  <c r="F197" i="22"/>
  <c r="E197" i="22"/>
  <c r="G196" i="22"/>
  <c r="D196" i="22"/>
  <c r="C196" i="22"/>
  <c r="B196" i="22"/>
  <c r="G195" i="22"/>
  <c r="G197" i="22" s="1"/>
  <c r="D195" i="22"/>
  <c r="D197" i="22" s="1"/>
  <c r="C195" i="22"/>
  <c r="C197" i="22" s="1"/>
  <c r="B195" i="22"/>
  <c r="B197" i="22" s="1"/>
  <c r="A195" i="22"/>
  <c r="I194" i="22"/>
  <c r="I251" i="22" s="1"/>
  <c r="H194" i="22"/>
  <c r="H251" i="22" s="1"/>
  <c r="F194" i="22"/>
  <c r="F251" i="22" s="1"/>
  <c r="E194" i="22"/>
  <c r="E251" i="22" s="1"/>
  <c r="G193" i="22"/>
  <c r="G250" i="22" s="1"/>
  <c r="D193" i="22"/>
  <c r="D250" i="22" s="1"/>
  <c r="C193" i="22"/>
  <c r="C250" i="22" s="1"/>
  <c r="B193" i="22"/>
  <c r="B250" i="22" s="1"/>
  <c r="A193" i="22"/>
  <c r="G192" i="22"/>
  <c r="G194" i="22" s="1"/>
  <c r="G251" i="22" s="1"/>
  <c r="D192" i="22"/>
  <c r="D249" i="22" s="1"/>
  <c r="C192" i="22"/>
  <c r="C194" i="22" s="1"/>
  <c r="C251" i="22" s="1"/>
  <c r="B192" i="22"/>
  <c r="B249" i="22" s="1"/>
  <c r="I186" i="22"/>
  <c r="H186" i="22"/>
  <c r="F186" i="22"/>
  <c r="E186" i="22"/>
  <c r="I185" i="22"/>
  <c r="H185" i="22"/>
  <c r="F185" i="22"/>
  <c r="E185" i="22"/>
  <c r="I184" i="22"/>
  <c r="H184" i="22"/>
  <c r="F184" i="22"/>
  <c r="E184" i="22"/>
  <c r="G183" i="22"/>
  <c r="D183" i="22"/>
  <c r="C183" i="22"/>
  <c r="B183" i="22"/>
  <c r="A183" i="22"/>
  <c r="G182" i="22"/>
  <c r="G184" i="22" s="1"/>
  <c r="D182" i="22"/>
  <c r="A182" i="22" s="1"/>
  <c r="A184" i="22" s="1"/>
  <c r="C182" i="22"/>
  <c r="C184" i="22" s="1"/>
  <c r="B182" i="22"/>
  <c r="B184" i="22" s="1"/>
  <c r="I181" i="22"/>
  <c r="H181" i="22"/>
  <c r="F181" i="22"/>
  <c r="E181" i="22"/>
  <c r="G180" i="22"/>
  <c r="D180" i="22"/>
  <c r="A180" i="22" s="1"/>
  <c r="C180" i="22"/>
  <c r="B180" i="22"/>
  <c r="G179" i="22"/>
  <c r="G181" i="22" s="1"/>
  <c r="D179" i="22"/>
  <c r="D181" i="22" s="1"/>
  <c r="C179" i="22"/>
  <c r="C181" i="22" s="1"/>
  <c r="B179" i="22"/>
  <c r="B181" i="22" s="1"/>
  <c r="I178" i="22"/>
  <c r="H178" i="22"/>
  <c r="F178" i="22"/>
  <c r="E178" i="22"/>
  <c r="G177" i="22"/>
  <c r="D177" i="22"/>
  <c r="C177" i="22"/>
  <c r="B177" i="22"/>
  <c r="A177" i="22"/>
  <c r="G176" i="22"/>
  <c r="G178" i="22" s="1"/>
  <c r="D176" i="22"/>
  <c r="A176" i="22" s="1"/>
  <c r="A178" i="22" s="1"/>
  <c r="C176" i="22"/>
  <c r="C178" i="22" s="1"/>
  <c r="B176" i="22"/>
  <c r="B178" i="22" s="1"/>
  <c r="I175" i="22"/>
  <c r="H175" i="22"/>
  <c r="F175" i="22"/>
  <c r="E175" i="22"/>
  <c r="G174" i="22"/>
  <c r="D174" i="22"/>
  <c r="A174" i="22" s="1"/>
  <c r="C174" i="22"/>
  <c r="B174" i="22"/>
  <c r="G173" i="22"/>
  <c r="G175" i="22" s="1"/>
  <c r="D173" i="22"/>
  <c r="D175" i="22" s="1"/>
  <c r="C173" i="22"/>
  <c r="C175" i="22" s="1"/>
  <c r="B173" i="22"/>
  <c r="B175" i="22" s="1"/>
  <c r="A173" i="22"/>
  <c r="I172" i="22"/>
  <c r="H172" i="22"/>
  <c r="F172" i="22"/>
  <c r="E172" i="22"/>
  <c r="G171" i="22"/>
  <c r="D171" i="22"/>
  <c r="C171" i="22"/>
  <c r="B171" i="22"/>
  <c r="A171" i="22"/>
  <c r="G170" i="22"/>
  <c r="G172" i="22" s="1"/>
  <c r="D170" i="22"/>
  <c r="A170" i="22" s="1"/>
  <c r="A172" i="22" s="1"/>
  <c r="C170" i="22"/>
  <c r="C172" i="22" s="1"/>
  <c r="B170" i="22"/>
  <c r="B172" i="22" s="1"/>
  <c r="I169" i="22"/>
  <c r="H169" i="22"/>
  <c r="F169" i="22"/>
  <c r="E169" i="22"/>
  <c r="G168" i="22"/>
  <c r="D168" i="22"/>
  <c r="A168" i="22" s="1"/>
  <c r="C168" i="22"/>
  <c r="B168" i="22"/>
  <c r="G167" i="22"/>
  <c r="G169" i="22" s="1"/>
  <c r="D167" i="22"/>
  <c r="D169" i="22" s="1"/>
  <c r="C167" i="22"/>
  <c r="C169" i="22" s="1"/>
  <c r="B167" i="22"/>
  <c r="B169" i="22" s="1"/>
  <c r="I166" i="22"/>
  <c r="H166" i="22"/>
  <c r="F166" i="22"/>
  <c r="E166" i="22"/>
  <c r="G165" i="22"/>
  <c r="D165" i="22"/>
  <c r="C165" i="22"/>
  <c r="B165" i="22"/>
  <c r="A165" i="22"/>
  <c r="G164" i="22"/>
  <c r="G166" i="22" s="1"/>
  <c r="D164" i="22"/>
  <c r="A164" i="22" s="1"/>
  <c r="A166" i="22" s="1"/>
  <c r="C164" i="22"/>
  <c r="C166" i="22" s="1"/>
  <c r="B164" i="22"/>
  <c r="B166" i="22" s="1"/>
  <c r="I163" i="22"/>
  <c r="H163" i="22"/>
  <c r="F163" i="22"/>
  <c r="E163" i="22"/>
  <c r="G162" i="22"/>
  <c r="D162" i="22"/>
  <c r="A162" i="22" s="1"/>
  <c r="C162" i="22"/>
  <c r="B162" i="22"/>
  <c r="G161" i="22"/>
  <c r="G163" i="22" s="1"/>
  <c r="D161" i="22"/>
  <c r="D163" i="22" s="1"/>
  <c r="C161" i="22"/>
  <c r="C163" i="22" s="1"/>
  <c r="B161" i="22"/>
  <c r="B163" i="22" s="1"/>
  <c r="A161" i="22"/>
  <c r="I160" i="22"/>
  <c r="H160" i="22"/>
  <c r="F160" i="22"/>
  <c r="E160" i="22"/>
  <c r="G159" i="22"/>
  <c r="D159" i="22"/>
  <c r="C159" i="22"/>
  <c r="B159" i="22"/>
  <c r="A159" i="22"/>
  <c r="G158" i="22"/>
  <c r="G160" i="22" s="1"/>
  <c r="D158" i="22"/>
  <c r="A158" i="22" s="1"/>
  <c r="A160" i="22" s="1"/>
  <c r="C158" i="22"/>
  <c r="C160" i="22" s="1"/>
  <c r="B158" i="22"/>
  <c r="B160" i="22" s="1"/>
  <c r="I157" i="22"/>
  <c r="H157" i="22"/>
  <c r="F157" i="22"/>
  <c r="E157" i="22"/>
  <c r="G156" i="22"/>
  <c r="D156" i="22"/>
  <c r="A156" i="22" s="1"/>
  <c r="C156" i="22"/>
  <c r="B156" i="22"/>
  <c r="G155" i="22"/>
  <c r="G157" i="22" s="1"/>
  <c r="D155" i="22"/>
  <c r="D157" i="22" s="1"/>
  <c r="C155" i="22"/>
  <c r="C157" i="22" s="1"/>
  <c r="B155" i="22"/>
  <c r="B157" i="22" s="1"/>
  <c r="I154" i="22"/>
  <c r="H154" i="22"/>
  <c r="F154" i="22"/>
  <c r="E154" i="22"/>
  <c r="G153" i="22"/>
  <c r="D153" i="22"/>
  <c r="C153" i="22"/>
  <c r="B153" i="22"/>
  <c r="A153" i="22"/>
  <c r="G152" i="22"/>
  <c r="G154" i="22" s="1"/>
  <c r="D152" i="22"/>
  <c r="A152" i="22" s="1"/>
  <c r="A154" i="22" s="1"/>
  <c r="C152" i="22"/>
  <c r="C154" i="22" s="1"/>
  <c r="B152" i="22"/>
  <c r="B154" i="22" s="1"/>
  <c r="I151" i="22"/>
  <c r="H151" i="22"/>
  <c r="F151" i="22"/>
  <c r="E151" i="22"/>
  <c r="G150" i="22"/>
  <c r="D150" i="22"/>
  <c r="A150" i="22" s="1"/>
  <c r="C150" i="22"/>
  <c r="B150" i="22"/>
  <c r="G149" i="22"/>
  <c r="G151" i="22" s="1"/>
  <c r="D149" i="22"/>
  <c r="D151" i="22" s="1"/>
  <c r="C149" i="22"/>
  <c r="C151" i="22" s="1"/>
  <c r="B149" i="22"/>
  <c r="B151" i="22" s="1"/>
  <c r="I148" i="22"/>
  <c r="H148" i="22"/>
  <c r="F148" i="22"/>
  <c r="E148" i="22"/>
  <c r="G147" i="22"/>
  <c r="D147" i="22"/>
  <c r="C147" i="22"/>
  <c r="B147" i="22"/>
  <c r="A147" i="22"/>
  <c r="G146" i="22"/>
  <c r="D146" i="22"/>
  <c r="A146" i="22" s="1"/>
  <c r="A148" i="22" s="1"/>
  <c r="C146" i="22"/>
  <c r="C148" i="22" s="1"/>
  <c r="B146" i="22"/>
  <c r="B148" i="22" s="1"/>
  <c r="I145" i="22"/>
  <c r="H145" i="22"/>
  <c r="F145" i="22"/>
  <c r="E145" i="22"/>
  <c r="G144" i="22"/>
  <c r="D144" i="22"/>
  <c r="A144" i="22" s="1"/>
  <c r="C144" i="22"/>
  <c r="B144" i="22"/>
  <c r="G143" i="22"/>
  <c r="G145" i="22" s="1"/>
  <c r="D143" i="22"/>
  <c r="D145" i="22" s="1"/>
  <c r="C143" i="22"/>
  <c r="C145" i="22" s="1"/>
  <c r="B143" i="22"/>
  <c r="B145" i="22" s="1"/>
  <c r="I142" i="22"/>
  <c r="H142" i="22"/>
  <c r="F142" i="22"/>
  <c r="E142" i="22"/>
  <c r="G141" i="22"/>
  <c r="D141" i="22"/>
  <c r="C141" i="22"/>
  <c r="B141" i="22"/>
  <c r="A141" i="22"/>
  <c r="G140" i="22"/>
  <c r="D140" i="22"/>
  <c r="A140" i="22" s="1"/>
  <c r="A142" i="22" s="1"/>
  <c r="C140" i="22"/>
  <c r="B140" i="22"/>
  <c r="B142" i="22" s="1"/>
  <c r="I139" i="22"/>
  <c r="H139" i="22"/>
  <c r="F139" i="22"/>
  <c r="E139" i="22"/>
  <c r="G138" i="22"/>
  <c r="D138" i="22"/>
  <c r="A138" i="22" s="1"/>
  <c r="C138" i="22"/>
  <c r="B138" i="22"/>
  <c r="G137" i="22"/>
  <c r="G139" i="22" s="1"/>
  <c r="D137" i="22"/>
  <c r="D139" i="22" s="1"/>
  <c r="C137" i="22"/>
  <c r="C139" i="22" s="1"/>
  <c r="B137" i="22"/>
  <c r="B139" i="22" s="1"/>
  <c r="I136" i="22"/>
  <c r="H136" i="22"/>
  <c r="F136" i="22"/>
  <c r="E136" i="22"/>
  <c r="G135" i="22"/>
  <c r="D135" i="22"/>
  <c r="C135" i="22"/>
  <c r="B135" i="22"/>
  <c r="A135" i="22"/>
  <c r="G134" i="22"/>
  <c r="D134" i="22"/>
  <c r="A134" i="22" s="1"/>
  <c r="A136" i="22" s="1"/>
  <c r="C134" i="22"/>
  <c r="B134" i="22"/>
  <c r="B136" i="22" s="1"/>
  <c r="I133" i="22"/>
  <c r="I187" i="22" s="1"/>
  <c r="H133" i="22"/>
  <c r="H187" i="22" s="1"/>
  <c r="F133" i="22"/>
  <c r="F187" i="22" s="1"/>
  <c r="E133" i="22"/>
  <c r="E187" i="22" s="1"/>
  <c r="G132" i="22"/>
  <c r="G186" i="22" s="1"/>
  <c r="D132" i="22"/>
  <c r="A132" i="22" s="1"/>
  <c r="A186" i="22" s="1"/>
  <c r="C132" i="22"/>
  <c r="C186" i="22" s="1"/>
  <c r="B132" i="22"/>
  <c r="B186" i="22" s="1"/>
  <c r="G131" i="22"/>
  <c r="G185" i="22" s="1"/>
  <c r="D131" i="22"/>
  <c r="D185" i="22" s="1"/>
  <c r="C131" i="22"/>
  <c r="C185" i="22" s="1"/>
  <c r="B131" i="22"/>
  <c r="B185" i="22" s="1"/>
  <c r="A131" i="22"/>
  <c r="I125" i="22"/>
  <c r="H125" i="22"/>
  <c r="F125" i="22"/>
  <c r="E125" i="22"/>
  <c r="I124" i="22"/>
  <c r="H124" i="22"/>
  <c r="F124" i="22"/>
  <c r="E124" i="22"/>
  <c r="I123" i="22"/>
  <c r="H123" i="22"/>
  <c r="F123" i="22"/>
  <c r="E123" i="22"/>
  <c r="G122" i="22"/>
  <c r="D122" i="22"/>
  <c r="C122" i="22"/>
  <c r="B122" i="22"/>
  <c r="A122" i="22"/>
  <c r="G121" i="22"/>
  <c r="G123" i="22" s="1"/>
  <c r="D121" i="22"/>
  <c r="D123" i="22" s="1"/>
  <c r="C121" i="22"/>
  <c r="C123" i="22" s="1"/>
  <c r="B121" i="22"/>
  <c r="B123" i="22" s="1"/>
  <c r="I120" i="22"/>
  <c r="H120" i="22"/>
  <c r="F120" i="22"/>
  <c r="E120" i="22"/>
  <c r="G119" i="22"/>
  <c r="D119" i="22"/>
  <c r="A119" i="22" s="1"/>
  <c r="C119" i="22"/>
  <c r="B119" i="22"/>
  <c r="G118" i="22"/>
  <c r="G120" i="22" s="1"/>
  <c r="D118" i="22"/>
  <c r="D120" i="22" s="1"/>
  <c r="C118" i="22"/>
  <c r="C120" i="22" s="1"/>
  <c r="B118" i="22"/>
  <c r="B120" i="22" s="1"/>
  <c r="A118" i="22"/>
  <c r="I117" i="22"/>
  <c r="H117" i="22"/>
  <c r="F117" i="22"/>
  <c r="E117" i="22"/>
  <c r="G116" i="22"/>
  <c r="D116" i="22"/>
  <c r="A116" i="22" s="1"/>
  <c r="C116" i="22"/>
  <c r="B116" i="22"/>
  <c r="G115" i="22"/>
  <c r="G117" i="22" s="1"/>
  <c r="D115" i="22"/>
  <c r="D117" i="22" s="1"/>
  <c r="C115" i="22"/>
  <c r="C117" i="22" s="1"/>
  <c r="B115" i="22"/>
  <c r="B117" i="22" s="1"/>
  <c r="I114" i="22"/>
  <c r="H114" i="22"/>
  <c r="F114" i="22"/>
  <c r="E114" i="22"/>
  <c r="G113" i="22"/>
  <c r="D113" i="22"/>
  <c r="A113" i="22" s="1"/>
  <c r="C113" i="22"/>
  <c r="B113" i="22"/>
  <c r="G112" i="22"/>
  <c r="G114" i="22" s="1"/>
  <c r="D112" i="22"/>
  <c r="D114" i="22" s="1"/>
  <c r="C112" i="22"/>
  <c r="C114" i="22" s="1"/>
  <c r="B112" i="22"/>
  <c r="B114" i="22" s="1"/>
  <c r="A112" i="22"/>
  <c r="A114" i="22" s="1"/>
  <c r="I111" i="22"/>
  <c r="H111" i="22"/>
  <c r="F111" i="22"/>
  <c r="E111" i="22"/>
  <c r="G110" i="22"/>
  <c r="D110" i="22"/>
  <c r="C110" i="22"/>
  <c r="B110" i="22"/>
  <c r="A110" i="22"/>
  <c r="G109" i="22"/>
  <c r="G111" i="22" s="1"/>
  <c r="D109" i="22"/>
  <c r="D111" i="22" s="1"/>
  <c r="C109" i="22"/>
  <c r="C111" i="22" s="1"/>
  <c r="B109" i="22"/>
  <c r="B111" i="22" s="1"/>
  <c r="I108" i="22"/>
  <c r="H108" i="22"/>
  <c r="F108" i="22"/>
  <c r="E108" i="22"/>
  <c r="G107" i="22"/>
  <c r="D107" i="22"/>
  <c r="A107" i="22" s="1"/>
  <c r="C107" i="22"/>
  <c r="B107" i="22"/>
  <c r="G106" i="22"/>
  <c r="G108" i="22" s="1"/>
  <c r="D106" i="22"/>
  <c r="D108" i="22" s="1"/>
  <c r="C106" i="22"/>
  <c r="C108" i="22" s="1"/>
  <c r="B106" i="22"/>
  <c r="B108" i="22" s="1"/>
  <c r="A106" i="22"/>
  <c r="A108" i="22" s="1"/>
  <c r="I105" i="22"/>
  <c r="H105" i="22"/>
  <c r="F105" i="22"/>
  <c r="E105" i="22"/>
  <c r="G104" i="22"/>
  <c r="D104" i="22"/>
  <c r="A104" i="22" s="1"/>
  <c r="C104" i="22"/>
  <c r="B104" i="22"/>
  <c r="G103" i="22"/>
  <c r="G105" i="22" s="1"/>
  <c r="D103" i="22"/>
  <c r="D105" i="22" s="1"/>
  <c r="C103" i="22"/>
  <c r="C105" i="22" s="1"/>
  <c r="B103" i="22"/>
  <c r="B105" i="22" s="1"/>
  <c r="I102" i="22"/>
  <c r="H102" i="22"/>
  <c r="F102" i="22"/>
  <c r="E102" i="22"/>
  <c r="G101" i="22"/>
  <c r="D101" i="22"/>
  <c r="C101" i="22"/>
  <c r="B101" i="22"/>
  <c r="G100" i="22"/>
  <c r="G102" i="22" s="1"/>
  <c r="D100" i="22"/>
  <c r="D102" i="22" s="1"/>
  <c r="C100" i="22"/>
  <c r="C102" i="22" s="1"/>
  <c r="B100" i="22"/>
  <c r="B102" i="22" s="1"/>
  <c r="A100" i="22"/>
  <c r="I99" i="22"/>
  <c r="H99" i="22"/>
  <c r="F99" i="22"/>
  <c r="E99" i="22"/>
  <c r="G98" i="22"/>
  <c r="D98" i="22"/>
  <c r="A98" i="22" s="1"/>
  <c r="C98" i="22"/>
  <c r="B98" i="22"/>
  <c r="G97" i="22"/>
  <c r="G99" i="22" s="1"/>
  <c r="D97" i="22"/>
  <c r="D99" i="22" s="1"/>
  <c r="C97" i="22"/>
  <c r="C99" i="22" s="1"/>
  <c r="B97" i="22"/>
  <c r="B99" i="22" s="1"/>
  <c r="I96" i="22"/>
  <c r="H96" i="22"/>
  <c r="F96" i="22"/>
  <c r="E96" i="22"/>
  <c r="G95" i="22"/>
  <c r="D95" i="22"/>
  <c r="C95" i="22"/>
  <c r="B95" i="22"/>
  <c r="G94" i="22"/>
  <c r="G96" i="22" s="1"/>
  <c r="D94" i="22"/>
  <c r="D96" i="22" s="1"/>
  <c r="C94" i="22"/>
  <c r="C96" i="22" s="1"/>
  <c r="B94" i="22"/>
  <c r="B96" i="22" s="1"/>
  <c r="A94" i="22"/>
  <c r="I93" i="22"/>
  <c r="I126" i="22" s="1"/>
  <c r="H93" i="22"/>
  <c r="H126" i="22" s="1"/>
  <c r="F93" i="22"/>
  <c r="F126" i="22" s="1"/>
  <c r="E93" i="22"/>
  <c r="E126" i="22" s="1"/>
  <c r="G92" i="22"/>
  <c r="G125" i="22" s="1"/>
  <c r="D92" i="22"/>
  <c r="D125" i="22" s="1"/>
  <c r="C92" i="22"/>
  <c r="C125" i="22" s="1"/>
  <c r="B92" i="22"/>
  <c r="B125" i="22" s="1"/>
  <c r="A92" i="22"/>
  <c r="G91" i="22"/>
  <c r="G124" i="22" s="1"/>
  <c r="D91" i="22"/>
  <c r="D93" i="22" s="1"/>
  <c r="D126" i="22" s="1"/>
  <c r="C91" i="22"/>
  <c r="C124" i="22" s="1"/>
  <c r="B91" i="22"/>
  <c r="B93" i="22" s="1"/>
  <c r="B126" i="22" s="1"/>
  <c r="I85" i="22"/>
  <c r="H85" i="22"/>
  <c r="F85" i="22"/>
  <c r="E85" i="22"/>
  <c r="H84" i="22"/>
  <c r="F84" i="22"/>
  <c r="E84" i="22"/>
  <c r="I83" i="22"/>
  <c r="H83" i="22"/>
  <c r="F83" i="22"/>
  <c r="E83" i="22"/>
  <c r="C83" i="22"/>
  <c r="B83" i="22"/>
  <c r="G82" i="22"/>
  <c r="D82" i="22"/>
  <c r="C82" i="22"/>
  <c r="B82" i="22"/>
  <c r="A82" i="22"/>
  <c r="G81" i="22"/>
  <c r="G83" i="22" s="1"/>
  <c r="D81" i="22"/>
  <c r="D83" i="22" s="1"/>
  <c r="C81" i="22"/>
  <c r="B81" i="22"/>
  <c r="A81" i="22"/>
  <c r="I80" i="22"/>
  <c r="H80" i="22"/>
  <c r="F80" i="22"/>
  <c r="E80" i="22"/>
  <c r="B80" i="22" s="1"/>
  <c r="C80" i="22"/>
  <c r="G79" i="22"/>
  <c r="D79" i="22"/>
  <c r="A79" i="22" s="1"/>
  <c r="C79" i="22"/>
  <c r="B79" i="22"/>
  <c r="G78" i="22"/>
  <c r="G80" i="22" s="1"/>
  <c r="D78" i="22"/>
  <c r="D80" i="22" s="1"/>
  <c r="C78" i="22"/>
  <c r="B78" i="22"/>
  <c r="A78" i="22"/>
  <c r="H77" i="22"/>
  <c r="B77" i="22" s="1"/>
  <c r="F77" i="22"/>
  <c r="E77" i="22"/>
  <c r="G76" i="22"/>
  <c r="D76" i="22"/>
  <c r="C76" i="22"/>
  <c r="B76" i="22"/>
  <c r="A76" i="22"/>
  <c r="I75" i="22"/>
  <c r="I84" i="22" s="1"/>
  <c r="G75" i="22"/>
  <c r="G77" i="22" s="1"/>
  <c r="D75" i="22"/>
  <c r="D77" i="22" s="1"/>
  <c r="C75" i="22"/>
  <c r="B75" i="22"/>
  <c r="A75" i="22"/>
  <c r="I74" i="22"/>
  <c r="H74" i="22"/>
  <c r="F74" i="22"/>
  <c r="C74" i="22" s="1"/>
  <c r="E74" i="22"/>
  <c r="B74" i="22"/>
  <c r="G73" i="22"/>
  <c r="D73" i="22"/>
  <c r="A73" i="22" s="1"/>
  <c r="C73" i="22"/>
  <c r="B73" i="22"/>
  <c r="G72" i="22"/>
  <c r="G74" i="22" s="1"/>
  <c r="A74" i="22" s="1"/>
  <c r="D72" i="22"/>
  <c r="D74" i="22" s="1"/>
  <c r="C72" i="22"/>
  <c r="B72" i="22"/>
  <c r="I71" i="22"/>
  <c r="H71" i="22"/>
  <c r="H86" i="22" s="1"/>
  <c r="F71" i="22"/>
  <c r="F86" i="22" s="1"/>
  <c r="E71" i="22"/>
  <c r="E86" i="22" s="1"/>
  <c r="C71" i="22"/>
  <c r="G70" i="22"/>
  <c r="G85" i="22" s="1"/>
  <c r="D70" i="22"/>
  <c r="D85" i="22" s="1"/>
  <c r="C70" i="22"/>
  <c r="C85" i="22" s="1"/>
  <c r="B70" i="22"/>
  <c r="B85" i="22" s="1"/>
  <c r="G69" i="22"/>
  <c r="G84" i="22" s="1"/>
  <c r="D69" i="22"/>
  <c r="D84" i="22" s="1"/>
  <c r="C69" i="22"/>
  <c r="C84" i="22" s="1"/>
  <c r="B69" i="22"/>
  <c r="B84" i="22" s="1"/>
  <c r="A69" i="22"/>
  <c r="I63" i="22"/>
  <c r="F63" i="22"/>
  <c r="E63" i="22"/>
  <c r="F62" i="22"/>
  <c r="E62" i="22"/>
  <c r="I61" i="22"/>
  <c r="H61" i="22"/>
  <c r="F61" i="22"/>
  <c r="E61" i="22"/>
  <c r="B61" i="22" s="1"/>
  <c r="C61" i="22"/>
  <c r="G60" i="22"/>
  <c r="D60" i="22"/>
  <c r="A60" i="22" s="1"/>
  <c r="C60" i="22"/>
  <c r="B60" i="22"/>
  <c r="G59" i="22"/>
  <c r="G61" i="22" s="1"/>
  <c r="D59" i="22"/>
  <c r="D61" i="22" s="1"/>
  <c r="C59" i="22"/>
  <c r="B59" i="22"/>
  <c r="A59" i="22"/>
  <c r="I58" i="22"/>
  <c r="H58" i="22"/>
  <c r="F58" i="22"/>
  <c r="C58" i="22" s="1"/>
  <c r="E58" i="22"/>
  <c r="B58" i="22"/>
  <c r="G57" i="22"/>
  <c r="D57" i="22"/>
  <c r="A57" i="22" s="1"/>
  <c r="C57" i="22"/>
  <c r="B57" i="22"/>
  <c r="G56" i="22"/>
  <c r="G58" i="22" s="1"/>
  <c r="D56" i="22"/>
  <c r="D58" i="22" s="1"/>
  <c r="C56" i="22"/>
  <c r="B56" i="22"/>
  <c r="I55" i="22"/>
  <c r="H55" i="22"/>
  <c r="F55" i="22"/>
  <c r="E55" i="22"/>
  <c r="B55" i="22" s="1"/>
  <c r="C55" i="22"/>
  <c r="G54" i="22"/>
  <c r="D54" i="22"/>
  <c r="A54" i="22" s="1"/>
  <c r="C54" i="22"/>
  <c r="B54" i="22"/>
  <c r="G53" i="22"/>
  <c r="G55" i="22" s="1"/>
  <c r="D53" i="22"/>
  <c r="D55" i="22" s="1"/>
  <c r="C53" i="22"/>
  <c r="B53" i="22"/>
  <c r="A53" i="22"/>
  <c r="I52" i="22"/>
  <c r="H52" i="22"/>
  <c r="F52" i="22"/>
  <c r="C52" i="22" s="1"/>
  <c r="E52" i="22"/>
  <c r="B52" i="22"/>
  <c r="G51" i="22"/>
  <c r="D51" i="22"/>
  <c r="A51" i="22" s="1"/>
  <c r="C51" i="22"/>
  <c r="B51" i="22"/>
  <c r="G50" i="22"/>
  <c r="G52" i="22" s="1"/>
  <c r="D50" i="22"/>
  <c r="D52" i="22" s="1"/>
  <c r="C50" i="22"/>
  <c r="B50" i="22"/>
  <c r="I49" i="22"/>
  <c r="C49" i="22" s="1"/>
  <c r="F49" i="22"/>
  <c r="E49" i="22"/>
  <c r="H48" i="22"/>
  <c r="H63" i="22" s="1"/>
  <c r="D48" i="22"/>
  <c r="C48" i="22"/>
  <c r="B48" i="22"/>
  <c r="G47" i="22"/>
  <c r="D47" i="22"/>
  <c r="C47" i="22"/>
  <c r="B47" i="22"/>
  <c r="I46" i="22"/>
  <c r="H46" i="22"/>
  <c r="F46" i="22"/>
  <c r="E46" i="22"/>
  <c r="B46" i="22" s="1"/>
  <c r="C46" i="22"/>
  <c r="G45" i="22"/>
  <c r="D45" i="22"/>
  <c r="A45" i="22" s="1"/>
  <c r="C45" i="22"/>
  <c r="B45" i="22"/>
  <c r="G44" i="22"/>
  <c r="G46" i="22" s="1"/>
  <c r="D44" i="22"/>
  <c r="D46" i="22" s="1"/>
  <c r="C44" i="22"/>
  <c r="B44" i="22"/>
  <c r="I43" i="22"/>
  <c r="H43" i="22"/>
  <c r="F43" i="22"/>
  <c r="E43" i="22"/>
  <c r="C43" i="22"/>
  <c r="B43" i="22"/>
  <c r="G42" i="22"/>
  <c r="D42" i="22"/>
  <c r="C42" i="22"/>
  <c r="B42" i="22"/>
  <c r="A42" i="22"/>
  <c r="G41" i="22"/>
  <c r="D41" i="22"/>
  <c r="D43" i="22" s="1"/>
  <c r="C41" i="22"/>
  <c r="B41" i="22"/>
  <c r="I40" i="22"/>
  <c r="H40" i="22"/>
  <c r="F40" i="22"/>
  <c r="E40" i="22"/>
  <c r="C40" i="22"/>
  <c r="B40" i="22"/>
  <c r="G39" i="22"/>
  <c r="D39" i="22"/>
  <c r="C39" i="22"/>
  <c r="B39" i="22"/>
  <c r="A39" i="22"/>
  <c r="G38" i="22"/>
  <c r="D38" i="22"/>
  <c r="A38" i="22" s="1"/>
  <c r="C38" i="22"/>
  <c r="B38" i="22"/>
  <c r="I37" i="22"/>
  <c r="H37" i="22"/>
  <c r="F37" i="22"/>
  <c r="E37" i="22"/>
  <c r="C37" i="22"/>
  <c r="B37" i="22"/>
  <c r="G36" i="22"/>
  <c r="D36" i="22"/>
  <c r="A36" i="22" s="1"/>
  <c r="C36" i="22"/>
  <c r="B36" i="22"/>
  <c r="G35" i="22"/>
  <c r="G37" i="22" s="1"/>
  <c r="D35" i="22"/>
  <c r="C35" i="22"/>
  <c r="B35" i="22"/>
  <c r="A35" i="22"/>
  <c r="I34" i="22"/>
  <c r="H34" i="22"/>
  <c r="F34" i="22"/>
  <c r="E34" i="22"/>
  <c r="C34" i="22"/>
  <c r="B34" i="22"/>
  <c r="G33" i="22"/>
  <c r="D33" i="22"/>
  <c r="A33" i="22" s="1"/>
  <c r="C33" i="22"/>
  <c r="B33" i="22"/>
  <c r="G32" i="22"/>
  <c r="G34" i="22" s="1"/>
  <c r="D32" i="22"/>
  <c r="C32" i="22"/>
  <c r="B32" i="22"/>
  <c r="I31" i="22"/>
  <c r="C31" i="22" s="1"/>
  <c r="F31" i="22"/>
  <c r="E31" i="22"/>
  <c r="G30" i="22"/>
  <c r="D30" i="22"/>
  <c r="C30" i="22"/>
  <c r="B30" i="22"/>
  <c r="H29" i="22"/>
  <c r="H31" i="22" s="1"/>
  <c r="B31" i="22" s="1"/>
  <c r="D29" i="22"/>
  <c r="D31" i="22" s="1"/>
  <c r="C29" i="22"/>
  <c r="I28" i="22"/>
  <c r="C28" i="22" s="1"/>
  <c r="F28" i="22"/>
  <c r="E28" i="22"/>
  <c r="G27" i="22"/>
  <c r="D27" i="22"/>
  <c r="C27" i="22"/>
  <c r="B27" i="22"/>
  <c r="H26" i="22"/>
  <c r="H28" i="22" s="1"/>
  <c r="B28" i="22" s="1"/>
  <c r="D26" i="22"/>
  <c r="D28" i="22" s="1"/>
  <c r="C26" i="22"/>
  <c r="I25" i="22"/>
  <c r="H25" i="22"/>
  <c r="F25" i="22"/>
  <c r="E25" i="22"/>
  <c r="B25" i="22" s="1"/>
  <c r="C25" i="22"/>
  <c r="G24" i="22"/>
  <c r="D24" i="22"/>
  <c r="A24" i="22" s="1"/>
  <c r="C24" i="22"/>
  <c r="B24" i="22"/>
  <c r="G23" i="22"/>
  <c r="G25" i="22" s="1"/>
  <c r="D23" i="22"/>
  <c r="D25" i="22" s="1"/>
  <c r="C23" i="22"/>
  <c r="B23" i="22"/>
  <c r="I22" i="22"/>
  <c r="H22" i="22"/>
  <c r="F22" i="22"/>
  <c r="C22" i="22" s="1"/>
  <c r="E22" i="22"/>
  <c r="B22" i="22"/>
  <c r="G21" i="22"/>
  <c r="D21" i="22"/>
  <c r="A21" i="22" s="1"/>
  <c r="C21" i="22"/>
  <c r="B21" i="22"/>
  <c r="G20" i="22"/>
  <c r="G22" i="22" s="1"/>
  <c r="D20" i="22"/>
  <c r="C20" i="22"/>
  <c r="B20" i="22"/>
  <c r="F19" i="22"/>
  <c r="E19" i="22"/>
  <c r="G18" i="22"/>
  <c r="D18" i="22"/>
  <c r="C18" i="22"/>
  <c r="B18" i="22"/>
  <c r="I17" i="22"/>
  <c r="I62" i="22" s="1"/>
  <c r="H17" i="22"/>
  <c r="H19" i="22" s="1"/>
  <c r="B19" i="22" s="1"/>
  <c r="D17" i="22"/>
  <c r="D19" i="22" s="1"/>
  <c r="C17" i="22"/>
  <c r="B17" i="22"/>
  <c r="I16" i="22"/>
  <c r="F16" i="22"/>
  <c r="E16" i="22"/>
  <c r="G15" i="22"/>
  <c r="D15" i="22"/>
  <c r="C15" i="22"/>
  <c r="B15" i="22"/>
  <c r="A15" i="22"/>
  <c r="H14" i="22"/>
  <c r="G14" i="22"/>
  <c r="G16" i="22" s="1"/>
  <c r="D14" i="22"/>
  <c r="D16" i="22" s="1"/>
  <c r="C14" i="22"/>
  <c r="B14" i="22"/>
  <c r="A14" i="22"/>
  <c r="I13" i="22"/>
  <c r="H13" i="22"/>
  <c r="B13" i="22" s="1"/>
  <c r="F13" i="22"/>
  <c r="C13" i="22" s="1"/>
  <c r="E13" i="22"/>
  <c r="G12" i="22"/>
  <c r="D12" i="22"/>
  <c r="C12" i="22"/>
  <c r="B12" i="22"/>
  <c r="A12" i="22"/>
  <c r="G11" i="22"/>
  <c r="D11" i="22"/>
  <c r="A11" i="22" s="1"/>
  <c r="C11" i="22"/>
  <c r="B11" i="22"/>
  <c r="I10" i="22"/>
  <c r="H10" i="22"/>
  <c r="F10" i="22"/>
  <c r="E10" i="22"/>
  <c r="B10" i="22" s="1"/>
  <c r="C10" i="22"/>
  <c r="G9" i="22"/>
  <c r="D9" i="22"/>
  <c r="C9" i="22"/>
  <c r="B9" i="22"/>
  <c r="G8" i="22"/>
  <c r="G10" i="22" s="1"/>
  <c r="A10" i="22" s="1"/>
  <c r="D8" i="22"/>
  <c r="D10" i="22" s="1"/>
  <c r="C8" i="22"/>
  <c r="B8" i="22"/>
  <c r="A8" i="22"/>
  <c r="I7" i="22"/>
  <c r="H7" i="22"/>
  <c r="B7" i="22" s="1"/>
  <c r="F7" i="22"/>
  <c r="F64" i="22" s="1"/>
  <c r="E7" i="22"/>
  <c r="E64" i="22" s="1"/>
  <c r="G6" i="22"/>
  <c r="D6" i="22"/>
  <c r="D63" i="22" s="1"/>
  <c r="C6" i="22"/>
  <c r="C63" i="22" s="1"/>
  <c r="B6" i="22"/>
  <c r="B63" i="22" s="1"/>
  <c r="A6" i="22"/>
  <c r="G5" i="22"/>
  <c r="D5" i="22"/>
  <c r="D62" i="22" s="1"/>
  <c r="C5" i="22"/>
  <c r="B5" i="22"/>
  <c r="I285" i="21"/>
  <c r="H285" i="21"/>
  <c r="F285" i="21"/>
  <c r="E285" i="21"/>
  <c r="G284" i="21"/>
  <c r="D284" i="21"/>
  <c r="C284" i="21"/>
  <c r="B284" i="21"/>
  <c r="A284" i="21" s="1"/>
  <c r="G283" i="21"/>
  <c r="G285" i="21" s="1"/>
  <c r="D283" i="21"/>
  <c r="D285" i="21" s="1"/>
  <c r="C283" i="21"/>
  <c r="C285" i="21" s="1"/>
  <c r="B283" i="21"/>
  <c r="B285" i="21" s="1"/>
  <c r="I277" i="21"/>
  <c r="H277" i="21"/>
  <c r="F277" i="21"/>
  <c r="E277" i="21"/>
  <c r="G276" i="21"/>
  <c r="G277" i="21" s="1"/>
  <c r="D276" i="21"/>
  <c r="D277" i="21" s="1"/>
  <c r="C276" i="21"/>
  <c r="C277" i="21" s="1"/>
  <c r="B276" i="21"/>
  <c r="B277" i="21" s="1"/>
  <c r="A276" i="21"/>
  <c r="A277" i="21" s="1"/>
  <c r="I270" i="21"/>
  <c r="H270" i="21"/>
  <c r="F270" i="21"/>
  <c r="E270" i="21"/>
  <c r="G269" i="21"/>
  <c r="D269" i="21"/>
  <c r="C269" i="21"/>
  <c r="B269" i="21"/>
  <c r="A269" i="21" s="1"/>
  <c r="G268" i="21"/>
  <c r="G270" i="21" s="1"/>
  <c r="D268" i="21"/>
  <c r="D270" i="21" s="1"/>
  <c r="C268" i="21"/>
  <c r="C270" i="21" s="1"/>
  <c r="B268" i="21"/>
  <c r="B270" i="21" s="1"/>
  <c r="I262" i="21"/>
  <c r="H262" i="21"/>
  <c r="F262" i="21"/>
  <c r="E262" i="21"/>
  <c r="G261" i="21"/>
  <c r="G262" i="21" s="1"/>
  <c r="D261" i="21"/>
  <c r="D262" i="21" s="1"/>
  <c r="C261" i="21"/>
  <c r="C262" i="21" s="1"/>
  <c r="B261" i="21"/>
  <c r="B262" i="21" s="1"/>
  <c r="A261" i="21"/>
  <c r="A262" i="21" s="1"/>
  <c r="I255" i="21"/>
  <c r="H255" i="21"/>
  <c r="F255" i="21"/>
  <c r="E255" i="21"/>
  <c r="G254" i="21"/>
  <c r="D254" i="21"/>
  <c r="A254" i="21" s="1"/>
  <c r="C254" i="21"/>
  <c r="B254" i="21"/>
  <c r="G253" i="21"/>
  <c r="D253" i="21"/>
  <c r="A253" i="21" s="1"/>
  <c r="C253" i="21"/>
  <c r="B253" i="21"/>
  <c r="G252" i="21"/>
  <c r="D252" i="21"/>
  <c r="C252" i="21"/>
  <c r="B252" i="21"/>
  <c r="G251" i="21"/>
  <c r="D251" i="21"/>
  <c r="C251" i="21"/>
  <c r="B251" i="21"/>
  <c r="A251" i="21"/>
  <c r="G250" i="21"/>
  <c r="D250" i="21"/>
  <c r="A250" i="21" s="1"/>
  <c r="C250" i="21"/>
  <c r="B250" i="21"/>
  <c r="G249" i="21"/>
  <c r="D249" i="21"/>
  <c r="A249" i="21" s="1"/>
  <c r="C249" i="21"/>
  <c r="B249" i="21"/>
  <c r="G248" i="21"/>
  <c r="D248" i="21"/>
  <c r="C248" i="21"/>
  <c r="B248" i="21"/>
  <c r="G247" i="21"/>
  <c r="D247" i="21"/>
  <c r="C247" i="21"/>
  <c r="B247" i="21"/>
  <c r="A247" i="21"/>
  <c r="G246" i="21"/>
  <c r="D246" i="21"/>
  <c r="A246" i="21" s="1"/>
  <c r="C246" i="21"/>
  <c r="B246" i="21"/>
  <c r="G245" i="21"/>
  <c r="D245" i="21"/>
  <c r="A245" i="21" s="1"/>
  <c r="C245" i="21"/>
  <c r="B245" i="21"/>
  <c r="G244" i="21"/>
  <c r="D244" i="21"/>
  <c r="C244" i="21"/>
  <c r="B244" i="21"/>
  <c r="G243" i="21"/>
  <c r="D243" i="21"/>
  <c r="C243" i="21"/>
  <c r="B243" i="21"/>
  <c r="A243" i="21"/>
  <c r="G242" i="21"/>
  <c r="D242" i="21"/>
  <c r="A242" i="21" s="1"/>
  <c r="C242" i="21"/>
  <c r="B242" i="21"/>
  <c r="G241" i="21"/>
  <c r="D241" i="21"/>
  <c r="A241" i="21" s="1"/>
  <c r="C241" i="21"/>
  <c r="B241" i="21"/>
  <c r="G240" i="21"/>
  <c r="D240" i="21"/>
  <c r="C240" i="21"/>
  <c r="B240" i="21"/>
  <c r="G239" i="21"/>
  <c r="D239" i="21"/>
  <c r="C239" i="21"/>
  <c r="B239" i="21"/>
  <c r="A239" i="21"/>
  <c r="G238" i="21"/>
  <c r="D238" i="21"/>
  <c r="A238" i="21" s="1"/>
  <c r="C238" i="21"/>
  <c r="B238" i="21"/>
  <c r="G237" i="21"/>
  <c r="D237" i="21"/>
  <c r="A237" i="21" s="1"/>
  <c r="C237" i="21"/>
  <c r="B237" i="21"/>
  <c r="G236" i="21"/>
  <c r="D236" i="21"/>
  <c r="C236" i="21"/>
  <c r="B236" i="21"/>
  <c r="G235" i="21"/>
  <c r="D235" i="21"/>
  <c r="C235" i="21"/>
  <c r="B235" i="21"/>
  <c r="A235" i="21"/>
  <c r="G234" i="21"/>
  <c r="D234" i="21"/>
  <c r="A234" i="21" s="1"/>
  <c r="C234" i="21"/>
  <c r="B234" i="21"/>
  <c r="G233" i="21"/>
  <c r="D233" i="21"/>
  <c r="A233" i="21" s="1"/>
  <c r="C233" i="21"/>
  <c r="B233" i="21"/>
  <c r="G232" i="21"/>
  <c r="D232" i="21"/>
  <c r="C232" i="21"/>
  <c r="B232" i="21"/>
  <c r="G231" i="21"/>
  <c r="D231" i="21"/>
  <c r="C231" i="21"/>
  <c r="B231" i="21"/>
  <c r="A231" i="21"/>
  <c r="G230" i="21"/>
  <c r="D230" i="21"/>
  <c r="A230" i="21" s="1"/>
  <c r="C230" i="21"/>
  <c r="B230" i="21"/>
  <c r="G229" i="21"/>
  <c r="D229" i="21"/>
  <c r="A229" i="21" s="1"/>
  <c r="C229" i="21"/>
  <c r="B229" i="21"/>
  <c r="G228" i="21"/>
  <c r="D228" i="21"/>
  <c r="C228" i="21"/>
  <c r="B228" i="21"/>
  <c r="G227" i="21"/>
  <c r="D227" i="21"/>
  <c r="C227" i="21"/>
  <c r="B227" i="21"/>
  <c r="A227" i="21"/>
  <c r="G226" i="21"/>
  <c r="D226" i="21"/>
  <c r="A226" i="21" s="1"/>
  <c r="C226" i="21"/>
  <c r="B226" i="21"/>
  <c r="G225" i="21"/>
  <c r="D225" i="21"/>
  <c r="A225" i="21" s="1"/>
  <c r="C225" i="21"/>
  <c r="B225" i="21"/>
  <c r="G224" i="21"/>
  <c r="D224" i="21"/>
  <c r="C224" i="21"/>
  <c r="B224" i="21"/>
  <c r="G223" i="21"/>
  <c r="D223" i="21"/>
  <c r="C223" i="21"/>
  <c r="B223" i="21"/>
  <c r="A223" i="21"/>
  <c r="G222" i="21"/>
  <c r="D222" i="21"/>
  <c r="A222" i="21" s="1"/>
  <c r="C222" i="21"/>
  <c r="B222" i="21"/>
  <c r="G221" i="21"/>
  <c r="D221" i="21"/>
  <c r="A221" i="21" s="1"/>
  <c r="C221" i="21"/>
  <c r="B221" i="21"/>
  <c r="G220" i="21"/>
  <c r="D220" i="21"/>
  <c r="C220" i="21"/>
  <c r="B220" i="21"/>
  <c r="G219" i="21"/>
  <c r="D219" i="21"/>
  <c r="C219" i="21"/>
  <c r="B219" i="21"/>
  <c r="A219" i="21"/>
  <c r="G218" i="21"/>
  <c r="D218" i="21"/>
  <c r="A218" i="21" s="1"/>
  <c r="C218" i="21"/>
  <c r="B218" i="21"/>
  <c r="G217" i="21"/>
  <c r="D217" i="21"/>
  <c r="A217" i="21" s="1"/>
  <c r="C217" i="21"/>
  <c r="B217" i="21"/>
  <c r="G216" i="21"/>
  <c r="D216" i="21"/>
  <c r="C216" i="21"/>
  <c r="B216" i="21"/>
  <c r="G215" i="21"/>
  <c r="D215" i="21"/>
  <c r="C215" i="21"/>
  <c r="B215" i="21"/>
  <c r="A215" i="21"/>
  <c r="G214" i="21"/>
  <c r="D214" i="21"/>
  <c r="A214" i="21" s="1"/>
  <c r="C214" i="21"/>
  <c r="B214" i="21"/>
  <c r="G213" i="21"/>
  <c r="D213" i="21"/>
  <c r="A213" i="21" s="1"/>
  <c r="C213" i="21"/>
  <c r="B213" i="21"/>
  <c r="G212" i="21"/>
  <c r="D212" i="21"/>
  <c r="C212" i="21"/>
  <c r="B212" i="21"/>
  <c r="G211" i="21"/>
  <c r="G255" i="21" s="1"/>
  <c r="D211" i="21"/>
  <c r="C211" i="21"/>
  <c r="C255" i="21" s="1"/>
  <c r="B211" i="21"/>
  <c r="A211" i="21"/>
  <c r="I205" i="21"/>
  <c r="H205" i="21"/>
  <c r="F205" i="21"/>
  <c r="E205" i="21"/>
  <c r="G204" i="21"/>
  <c r="D204" i="21"/>
  <c r="C204" i="21"/>
  <c r="B204" i="21"/>
  <c r="A204" i="21" s="1"/>
  <c r="G203" i="21"/>
  <c r="D203" i="21"/>
  <c r="C203" i="21"/>
  <c r="B203" i="21"/>
  <c r="A203" i="21" s="1"/>
  <c r="G202" i="21"/>
  <c r="D202" i="21"/>
  <c r="C202" i="21"/>
  <c r="B202" i="21"/>
  <c r="G201" i="21"/>
  <c r="G205" i="21" s="1"/>
  <c r="D201" i="21"/>
  <c r="C201" i="21"/>
  <c r="C205" i="21" s="1"/>
  <c r="B201" i="21"/>
  <c r="A201" i="21"/>
  <c r="I195" i="21"/>
  <c r="H195" i="21"/>
  <c r="F195" i="21"/>
  <c r="E195" i="21"/>
  <c r="G194" i="21"/>
  <c r="G195" i="21" s="1"/>
  <c r="D194" i="21"/>
  <c r="D195" i="21" s="1"/>
  <c r="C194" i="21"/>
  <c r="C195" i="21" s="1"/>
  <c r="B194" i="21"/>
  <c r="B195" i="21" s="1"/>
  <c r="I188" i="21"/>
  <c r="H188" i="21"/>
  <c r="F188" i="21"/>
  <c r="E188" i="21"/>
  <c r="G187" i="21"/>
  <c r="D187" i="21"/>
  <c r="C187" i="21"/>
  <c r="B187" i="21"/>
  <c r="A187" i="21"/>
  <c r="G186" i="21"/>
  <c r="D186" i="21"/>
  <c r="D188" i="21" s="1"/>
  <c r="C186" i="21"/>
  <c r="B186" i="21"/>
  <c r="B188" i="21" s="1"/>
  <c r="I180" i="21"/>
  <c r="H180" i="21"/>
  <c r="F180" i="21"/>
  <c r="E180" i="21"/>
  <c r="G179" i="21"/>
  <c r="D179" i="21"/>
  <c r="C179" i="21"/>
  <c r="B179" i="21"/>
  <c r="A179" i="21"/>
  <c r="G178" i="21"/>
  <c r="D178" i="21"/>
  <c r="D180" i="21" s="1"/>
  <c r="C178" i="21"/>
  <c r="B178" i="21"/>
  <c r="B180" i="21" s="1"/>
  <c r="H172" i="21"/>
  <c r="F172" i="21"/>
  <c r="E172" i="21"/>
  <c r="G171" i="21"/>
  <c r="D171" i="21"/>
  <c r="A171" i="21" s="1"/>
  <c r="C171" i="21"/>
  <c r="B171" i="21"/>
  <c r="G170" i="21"/>
  <c r="D170" i="21"/>
  <c r="C170" i="21"/>
  <c r="B170" i="21"/>
  <c r="A170" i="21"/>
  <c r="I169" i="21"/>
  <c r="G169" i="21"/>
  <c r="D169" i="21"/>
  <c r="C169" i="21"/>
  <c r="B169" i="21"/>
  <c r="A169" i="21"/>
  <c r="I168" i="21"/>
  <c r="I172" i="21" s="1"/>
  <c r="G168" i="21"/>
  <c r="G172" i="21" s="1"/>
  <c r="D168" i="21"/>
  <c r="C168" i="21"/>
  <c r="C172" i="21" s="1"/>
  <c r="B168" i="21"/>
  <c r="A168" i="21"/>
  <c r="H162" i="21"/>
  <c r="F162" i="21"/>
  <c r="E162" i="21"/>
  <c r="G161" i="21"/>
  <c r="D161" i="21"/>
  <c r="C161" i="21"/>
  <c r="B161" i="21"/>
  <c r="A161" i="21"/>
  <c r="I160" i="21"/>
  <c r="G160" i="21"/>
  <c r="D160" i="21"/>
  <c r="C160" i="21"/>
  <c r="B160" i="21"/>
  <c r="A160" i="21"/>
  <c r="G159" i="21"/>
  <c r="D159" i="21"/>
  <c r="A159" i="21" s="1"/>
  <c r="C159" i="21"/>
  <c r="B159" i="21"/>
  <c r="G158" i="21"/>
  <c r="D158" i="21"/>
  <c r="A158" i="21" s="1"/>
  <c r="C158" i="21"/>
  <c r="B158" i="21"/>
  <c r="G157" i="21"/>
  <c r="D157" i="21"/>
  <c r="C157" i="21"/>
  <c r="B157" i="21"/>
  <c r="G156" i="21"/>
  <c r="D156" i="21"/>
  <c r="C156" i="21"/>
  <c r="B156" i="21"/>
  <c r="A156" i="21"/>
  <c r="I155" i="21"/>
  <c r="I162" i="21" s="1"/>
  <c r="G155" i="21"/>
  <c r="G162" i="21" s="1"/>
  <c r="D155" i="21"/>
  <c r="C155" i="21"/>
  <c r="C162" i="21" s="1"/>
  <c r="B155" i="21"/>
  <c r="A155" i="21"/>
  <c r="I149" i="21"/>
  <c r="H149" i="21"/>
  <c r="F149" i="21"/>
  <c r="E149" i="21"/>
  <c r="G148" i="21"/>
  <c r="D148" i="21"/>
  <c r="A148" i="21" s="1"/>
  <c r="C148" i="21"/>
  <c r="B148" i="21"/>
  <c r="G147" i="21"/>
  <c r="D147" i="21"/>
  <c r="C147" i="21"/>
  <c r="B147" i="21"/>
  <c r="G146" i="21"/>
  <c r="G149" i="21" s="1"/>
  <c r="D146" i="21"/>
  <c r="C146" i="21"/>
  <c r="C149" i="21" s="1"/>
  <c r="B146" i="21"/>
  <c r="A146" i="21"/>
  <c r="I140" i="21"/>
  <c r="H140" i="21"/>
  <c r="F140" i="21"/>
  <c r="E140" i="21"/>
  <c r="G139" i="21"/>
  <c r="D139" i="21"/>
  <c r="A139" i="21" s="1"/>
  <c r="C139" i="21"/>
  <c r="B139" i="21"/>
  <c r="G138" i="21"/>
  <c r="D138" i="21"/>
  <c r="C138" i="21"/>
  <c r="B138" i="21"/>
  <c r="G137" i="21"/>
  <c r="D137" i="21"/>
  <c r="C137" i="21"/>
  <c r="B137" i="21"/>
  <c r="A137" i="21"/>
  <c r="G136" i="21"/>
  <c r="D136" i="21"/>
  <c r="A136" i="21" s="1"/>
  <c r="C136" i="21"/>
  <c r="B136" i="21"/>
  <c r="G135" i="21"/>
  <c r="D135" i="21"/>
  <c r="D140" i="21" s="1"/>
  <c r="C135" i="21"/>
  <c r="B135" i="21"/>
  <c r="B140" i="21" s="1"/>
  <c r="I121" i="21"/>
  <c r="H121" i="21"/>
  <c r="F121" i="21"/>
  <c r="E121" i="21"/>
  <c r="G120" i="21"/>
  <c r="D120" i="21"/>
  <c r="C120" i="21"/>
  <c r="B120" i="21"/>
  <c r="A120" i="21"/>
  <c r="G119" i="21"/>
  <c r="D119" i="21"/>
  <c r="A119" i="21" s="1"/>
  <c r="C119" i="21"/>
  <c r="B119" i="21"/>
  <c r="G118" i="21"/>
  <c r="D118" i="21"/>
  <c r="C118" i="21"/>
  <c r="B118" i="21"/>
  <c r="G117" i="21"/>
  <c r="G121" i="21" s="1"/>
  <c r="D117" i="21"/>
  <c r="C117" i="21"/>
  <c r="C121" i="21" s="1"/>
  <c r="B117" i="21"/>
  <c r="A117" i="21"/>
  <c r="I111" i="21"/>
  <c r="H111" i="21"/>
  <c r="F111" i="21"/>
  <c r="E111" i="21"/>
  <c r="G110" i="21"/>
  <c r="D110" i="21"/>
  <c r="A110" i="21" s="1"/>
  <c r="C110" i="21"/>
  <c r="B110" i="21"/>
  <c r="G109" i="21"/>
  <c r="D109" i="21"/>
  <c r="C109" i="21"/>
  <c r="B109" i="21"/>
  <c r="A109" i="21"/>
  <c r="G108" i="21"/>
  <c r="D108" i="21"/>
  <c r="D111" i="21" s="1"/>
  <c r="C108" i="21"/>
  <c r="B108" i="21"/>
  <c r="B111" i="21" s="1"/>
  <c r="I102" i="21"/>
  <c r="H102" i="21"/>
  <c r="F102" i="21"/>
  <c r="E102" i="21"/>
  <c r="G101" i="21"/>
  <c r="D101" i="21"/>
  <c r="C101" i="21"/>
  <c r="B101" i="21"/>
  <c r="A101" i="21"/>
  <c r="G100" i="21"/>
  <c r="D100" i="21"/>
  <c r="D102" i="21" s="1"/>
  <c r="C100" i="21"/>
  <c r="B100" i="21"/>
  <c r="B102" i="21" s="1"/>
  <c r="I94" i="21"/>
  <c r="H94" i="21"/>
  <c r="F94" i="21"/>
  <c r="E94" i="21"/>
  <c r="G93" i="21"/>
  <c r="D93" i="21"/>
  <c r="A93" i="21" s="1"/>
  <c r="C93" i="21"/>
  <c r="B93" i="21"/>
  <c r="G92" i="21"/>
  <c r="D92" i="21"/>
  <c r="A92" i="21" s="1"/>
  <c r="C92" i="21"/>
  <c r="B92" i="21"/>
  <c r="G91" i="21"/>
  <c r="D91" i="21"/>
  <c r="C91" i="21"/>
  <c r="B91" i="21"/>
  <c r="G90" i="21"/>
  <c r="D90" i="21"/>
  <c r="C90" i="21"/>
  <c r="B90" i="21"/>
  <c r="A90" i="21"/>
  <c r="G89" i="21"/>
  <c r="D89" i="21"/>
  <c r="A89" i="21" s="1"/>
  <c r="C89" i="21"/>
  <c r="B89" i="21"/>
  <c r="G88" i="21"/>
  <c r="D88" i="21"/>
  <c r="A88" i="21" s="1"/>
  <c r="C88" i="21"/>
  <c r="B88" i="21"/>
  <c r="G87" i="21"/>
  <c r="D87" i="21"/>
  <c r="C87" i="21"/>
  <c r="B87" i="21"/>
  <c r="G86" i="21"/>
  <c r="G94" i="21" s="1"/>
  <c r="D86" i="21"/>
  <c r="C86" i="21"/>
  <c r="C94" i="21" s="1"/>
  <c r="B86" i="21"/>
  <c r="A86" i="21"/>
  <c r="I80" i="21"/>
  <c r="H80" i="21"/>
  <c r="F80" i="21"/>
  <c r="E80" i="21"/>
  <c r="G79" i="21"/>
  <c r="D79" i="21"/>
  <c r="A79" i="21" s="1"/>
  <c r="C79" i="21"/>
  <c r="B79" i="21"/>
  <c r="G78" i="21"/>
  <c r="D78" i="21"/>
  <c r="A78" i="21" s="1"/>
  <c r="C78" i="21"/>
  <c r="B78" i="21"/>
  <c r="G77" i="21"/>
  <c r="D77" i="21"/>
  <c r="C77" i="21"/>
  <c r="B77" i="21"/>
  <c r="G76" i="21"/>
  <c r="D76" i="21"/>
  <c r="C76" i="21"/>
  <c r="B76" i="21"/>
  <c r="A76" i="21"/>
  <c r="G75" i="21"/>
  <c r="D75" i="21"/>
  <c r="A75" i="21" s="1"/>
  <c r="C75" i="21"/>
  <c r="B75" i="21"/>
  <c r="G74" i="21"/>
  <c r="D74" i="21"/>
  <c r="A74" i="21" s="1"/>
  <c r="C74" i="21"/>
  <c r="B74" i="21"/>
  <c r="G73" i="21"/>
  <c r="D73" i="21"/>
  <c r="C73" i="21"/>
  <c r="B73" i="21"/>
  <c r="G72" i="21"/>
  <c r="D72" i="21"/>
  <c r="C72" i="21"/>
  <c r="B72" i="21"/>
  <c r="A72" i="21"/>
  <c r="G71" i="21"/>
  <c r="D71" i="21"/>
  <c r="A71" i="21" s="1"/>
  <c r="C71" i="21"/>
  <c r="B71" i="21"/>
  <c r="G70" i="21"/>
  <c r="D70" i="21"/>
  <c r="D80" i="21" s="1"/>
  <c r="C70" i="21"/>
  <c r="B70" i="21"/>
  <c r="B80" i="21" s="1"/>
  <c r="I64" i="21"/>
  <c r="H64" i="21"/>
  <c r="F64" i="21"/>
  <c r="E64" i="21"/>
  <c r="G63" i="21"/>
  <c r="D63" i="21"/>
  <c r="C63" i="21"/>
  <c r="B63" i="21"/>
  <c r="A63" i="21"/>
  <c r="G62" i="21"/>
  <c r="D62" i="21"/>
  <c r="D64" i="21" s="1"/>
  <c r="C62" i="21"/>
  <c r="B62" i="21"/>
  <c r="B64" i="21" s="1"/>
  <c r="I56" i="21"/>
  <c r="H56" i="21"/>
  <c r="F56" i="21"/>
  <c r="E56" i="21"/>
  <c r="G55" i="21"/>
  <c r="D55" i="21"/>
  <c r="C55" i="21"/>
  <c r="B55" i="21"/>
  <c r="A55" i="21"/>
  <c r="G54" i="21"/>
  <c r="D54" i="21"/>
  <c r="A54" i="21" s="1"/>
  <c r="C54" i="21"/>
  <c r="B54" i="21"/>
  <c r="G53" i="21"/>
  <c r="D53" i="21"/>
  <c r="C53" i="21"/>
  <c r="B53" i="21"/>
  <c r="A53" i="21"/>
  <c r="G52" i="21"/>
  <c r="D52" i="21"/>
  <c r="A52" i="21" s="1"/>
  <c r="C52" i="21"/>
  <c r="B52" i="21"/>
  <c r="G51" i="21"/>
  <c r="G56" i="21" s="1"/>
  <c r="D51" i="21"/>
  <c r="C51" i="21"/>
  <c r="C56" i="21" s="1"/>
  <c r="B51" i="21"/>
  <c r="I45" i="21"/>
  <c r="H45" i="21"/>
  <c r="F45" i="21"/>
  <c r="E45" i="21"/>
  <c r="G44" i="21"/>
  <c r="D44" i="21"/>
  <c r="C44" i="21"/>
  <c r="B44" i="21"/>
  <c r="G43" i="21"/>
  <c r="D43" i="21"/>
  <c r="C43" i="21"/>
  <c r="B43" i="21"/>
  <c r="A43" i="21"/>
  <c r="G42" i="21"/>
  <c r="D42" i="21"/>
  <c r="A42" i="21" s="1"/>
  <c r="C42" i="21"/>
  <c r="B42" i="21"/>
  <c r="G41" i="21"/>
  <c r="D41" i="21"/>
  <c r="A41" i="21" s="1"/>
  <c r="C41" i="21"/>
  <c r="B41" i="21"/>
  <c r="G40" i="21"/>
  <c r="D40" i="21"/>
  <c r="C40" i="21"/>
  <c r="B40" i="21"/>
  <c r="G39" i="21"/>
  <c r="D39" i="21"/>
  <c r="C39" i="21"/>
  <c r="B39" i="21"/>
  <c r="A39" i="21"/>
  <c r="G38" i="21"/>
  <c r="D38" i="21"/>
  <c r="A38" i="21" s="1"/>
  <c r="C38" i="21"/>
  <c r="B38" i="21"/>
  <c r="G37" i="21"/>
  <c r="D37" i="21"/>
  <c r="A37" i="21" s="1"/>
  <c r="C37" i="21"/>
  <c r="B37" i="21"/>
  <c r="G36" i="21"/>
  <c r="D36" i="21"/>
  <c r="C36" i="21"/>
  <c r="B36" i="21"/>
  <c r="G35" i="21"/>
  <c r="D35" i="21"/>
  <c r="C35" i="21"/>
  <c r="B35" i="21"/>
  <c r="A35" i="21"/>
  <c r="G34" i="21"/>
  <c r="D34" i="21"/>
  <c r="D45" i="21" s="1"/>
  <c r="C34" i="21"/>
  <c r="B34" i="21"/>
  <c r="B45" i="21" s="1"/>
  <c r="I28" i="21"/>
  <c r="H28" i="21"/>
  <c r="F28" i="21"/>
  <c r="E28" i="21"/>
  <c r="G27" i="21"/>
  <c r="D27" i="21"/>
  <c r="A27" i="21" s="1"/>
  <c r="C27" i="21"/>
  <c r="B27" i="21"/>
  <c r="G26" i="21"/>
  <c r="D26" i="21"/>
  <c r="A26" i="21" s="1"/>
  <c r="C26" i="21"/>
  <c r="B26" i="21"/>
  <c r="G25" i="21"/>
  <c r="D25" i="21"/>
  <c r="C25" i="21"/>
  <c r="B25" i="21"/>
  <c r="G24" i="21"/>
  <c r="G28" i="21" s="1"/>
  <c r="D24" i="21"/>
  <c r="C24" i="21"/>
  <c r="C28" i="21" s="1"/>
  <c r="B24" i="21"/>
  <c r="A24" i="21"/>
  <c r="I18" i="21"/>
  <c r="H18" i="21"/>
  <c r="F18" i="21"/>
  <c r="E18" i="21"/>
  <c r="G17" i="21"/>
  <c r="G18" i="21" s="1"/>
  <c r="D17" i="21"/>
  <c r="D18" i="21" s="1"/>
  <c r="C17" i="21"/>
  <c r="C18" i="21" s="1"/>
  <c r="B17" i="21"/>
  <c r="B18" i="21" s="1"/>
  <c r="I11" i="21"/>
  <c r="H11" i="21"/>
  <c r="F11" i="21"/>
  <c r="E11" i="21"/>
  <c r="G10" i="21"/>
  <c r="D10" i="21"/>
  <c r="C10" i="21"/>
  <c r="B10" i="21"/>
  <c r="A10" i="21"/>
  <c r="G9" i="21"/>
  <c r="D9" i="21"/>
  <c r="A9" i="21" s="1"/>
  <c r="C9" i="21"/>
  <c r="B9" i="21"/>
  <c r="G8" i="21"/>
  <c r="D8" i="21"/>
  <c r="A8" i="21" s="1"/>
  <c r="C8" i="21"/>
  <c r="B8" i="21"/>
  <c r="G7" i="21"/>
  <c r="D7" i="21"/>
  <c r="C7" i="21"/>
  <c r="B7" i="21"/>
  <c r="G6" i="21"/>
  <c r="D6" i="21"/>
  <c r="C6" i="21"/>
  <c r="B6" i="21"/>
  <c r="A6" i="21"/>
  <c r="G5" i="21"/>
  <c r="D5" i="21"/>
  <c r="A5" i="21" s="1"/>
  <c r="C5" i="21"/>
  <c r="B5" i="21"/>
  <c r="B11" i="21" s="1"/>
  <c r="E70" i="20"/>
  <c r="E68" i="20"/>
  <c r="G67" i="20"/>
  <c r="D67" i="20"/>
  <c r="C67" i="20"/>
  <c r="B67" i="20"/>
  <c r="A67" i="20" s="1"/>
  <c r="I66" i="20"/>
  <c r="H66" i="20"/>
  <c r="G66" i="20" s="1"/>
  <c r="D66" i="20"/>
  <c r="C66" i="20"/>
  <c r="G65" i="20"/>
  <c r="F65" i="20"/>
  <c r="D65" i="20" s="1"/>
  <c r="C65" i="20"/>
  <c r="B65" i="20"/>
  <c r="A65" i="20"/>
  <c r="H64" i="20"/>
  <c r="G64" i="20"/>
  <c r="D64" i="20"/>
  <c r="C64" i="20"/>
  <c r="B64" i="20"/>
  <c r="A64" i="20"/>
  <c r="I63" i="20"/>
  <c r="H63" i="20"/>
  <c r="G63" i="20" s="1"/>
  <c r="D63" i="20"/>
  <c r="C63" i="20"/>
  <c r="B63" i="20"/>
  <c r="A63" i="20" s="1"/>
  <c r="G62" i="20"/>
  <c r="D62" i="20"/>
  <c r="C62" i="20"/>
  <c r="B62" i="20"/>
  <c r="A62" i="20"/>
  <c r="G61" i="20"/>
  <c r="D61" i="20"/>
  <c r="C61" i="20"/>
  <c r="B61" i="20"/>
  <c r="A61" i="20" s="1"/>
  <c r="I60" i="20"/>
  <c r="G60" i="20"/>
  <c r="F60" i="20"/>
  <c r="D60" i="20"/>
  <c r="C60" i="20"/>
  <c r="B60" i="20"/>
  <c r="A60" i="20" s="1"/>
  <c r="G59" i="20"/>
  <c r="D59" i="20"/>
  <c r="C59" i="20"/>
  <c r="B59" i="20"/>
  <c r="G58" i="20"/>
  <c r="D58" i="20"/>
  <c r="C58" i="20"/>
  <c r="B58" i="20"/>
  <c r="A58" i="20" s="1"/>
  <c r="G57" i="20"/>
  <c r="D57" i="20"/>
  <c r="C57" i="20"/>
  <c r="B57" i="20"/>
  <c r="G56" i="20"/>
  <c r="D56" i="20"/>
  <c r="C56" i="20"/>
  <c r="B56" i="20"/>
  <c r="G55" i="20"/>
  <c r="D55" i="20"/>
  <c r="C55" i="20"/>
  <c r="B55" i="20"/>
  <c r="A55" i="20"/>
  <c r="I54" i="20"/>
  <c r="G54" i="20"/>
  <c r="D54" i="20"/>
  <c r="C54" i="20"/>
  <c r="B54" i="20"/>
  <c r="A54" i="20"/>
  <c r="G53" i="20"/>
  <c r="D53" i="20"/>
  <c r="C53" i="20"/>
  <c r="B53" i="20"/>
  <c r="A53" i="20" s="1"/>
  <c r="G52" i="20"/>
  <c r="D52" i="20"/>
  <c r="C52" i="20"/>
  <c r="B52" i="20"/>
  <c r="G51" i="20"/>
  <c r="F51" i="20"/>
  <c r="D51" i="20"/>
  <c r="C51" i="20"/>
  <c r="B51" i="20"/>
  <c r="A51" i="20" s="1"/>
  <c r="G50" i="20"/>
  <c r="D50" i="20"/>
  <c r="C50" i="20"/>
  <c r="B50" i="20"/>
  <c r="A50" i="20" s="1"/>
  <c r="G49" i="20"/>
  <c r="D49" i="20"/>
  <c r="C49" i="20"/>
  <c r="B49" i="20"/>
  <c r="A49" i="20" s="1"/>
  <c r="I48" i="20"/>
  <c r="G48" i="20" s="1"/>
  <c r="D48" i="20"/>
  <c r="B48" i="20"/>
  <c r="G47" i="20"/>
  <c r="D47" i="20"/>
  <c r="C47" i="20"/>
  <c r="B47" i="20"/>
  <c r="G46" i="20"/>
  <c r="D46" i="20"/>
  <c r="C46" i="20"/>
  <c r="B46" i="20"/>
  <c r="A46" i="20" s="1"/>
  <c r="G45" i="20"/>
  <c r="F45" i="20"/>
  <c r="D45" i="20"/>
  <c r="C45" i="20"/>
  <c r="B45" i="20"/>
  <c r="A45" i="20" s="1"/>
  <c r="G44" i="20"/>
  <c r="D44" i="20"/>
  <c r="C44" i="20"/>
  <c r="B44" i="20"/>
  <c r="G43" i="20"/>
  <c r="D43" i="20"/>
  <c r="C43" i="20"/>
  <c r="B43" i="20"/>
  <c r="A43" i="20" s="1"/>
  <c r="I42" i="20"/>
  <c r="C42" i="20" s="1"/>
  <c r="H42" i="20"/>
  <c r="G42" i="20"/>
  <c r="F42" i="20"/>
  <c r="D42" i="20"/>
  <c r="B42" i="20"/>
  <c r="G41" i="20"/>
  <c r="D41" i="20"/>
  <c r="C41" i="20"/>
  <c r="B41" i="20"/>
  <c r="G40" i="20"/>
  <c r="D40" i="20"/>
  <c r="C40" i="20"/>
  <c r="B40" i="20"/>
  <c r="A40" i="20"/>
  <c r="I39" i="20"/>
  <c r="H39" i="20"/>
  <c r="G39" i="20" s="1"/>
  <c r="F39" i="20"/>
  <c r="E39" i="20"/>
  <c r="C39" i="20"/>
  <c r="G38" i="20"/>
  <c r="F38" i="20"/>
  <c r="D38" i="20" s="1"/>
  <c r="C38" i="20"/>
  <c r="B38" i="20"/>
  <c r="G37" i="20"/>
  <c r="D37" i="20"/>
  <c r="C37" i="20"/>
  <c r="B37" i="20"/>
  <c r="A37" i="20"/>
  <c r="G36" i="20"/>
  <c r="D36" i="20"/>
  <c r="C36" i="20"/>
  <c r="B36" i="20"/>
  <c r="A36" i="20" s="1"/>
  <c r="G35" i="20"/>
  <c r="F35" i="20"/>
  <c r="D35" i="20"/>
  <c r="C35" i="20"/>
  <c r="B35" i="20"/>
  <c r="I34" i="20"/>
  <c r="G34" i="20" s="1"/>
  <c r="D34" i="20"/>
  <c r="B34" i="20"/>
  <c r="G33" i="20"/>
  <c r="D33" i="20"/>
  <c r="C33" i="20"/>
  <c r="B33" i="20"/>
  <c r="G32" i="20"/>
  <c r="D32" i="20"/>
  <c r="C32" i="20"/>
  <c r="B32" i="20"/>
  <c r="G31" i="20"/>
  <c r="F31" i="20"/>
  <c r="D31" i="20"/>
  <c r="C31" i="20"/>
  <c r="B31" i="20"/>
  <c r="A31" i="20" s="1"/>
  <c r="I30" i="20"/>
  <c r="G30" i="20"/>
  <c r="E30" i="20"/>
  <c r="D30" i="20"/>
  <c r="C30" i="20"/>
  <c r="B30" i="20"/>
  <c r="A30" i="20" s="1"/>
  <c r="G29" i="20"/>
  <c r="D29" i="20"/>
  <c r="C29" i="20"/>
  <c r="B29" i="20"/>
  <c r="G28" i="20"/>
  <c r="D28" i="20"/>
  <c r="C28" i="20"/>
  <c r="B28" i="20"/>
  <c r="A28" i="20" s="1"/>
  <c r="I27" i="20"/>
  <c r="G27" i="20" s="1"/>
  <c r="D27" i="20"/>
  <c r="B27" i="20"/>
  <c r="G26" i="20"/>
  <c r="D26" i="20"/>
  <c r="C26" i="20"/>
  <c r="B26" i="20"/>
  <c r="I25" i="20"/>
  <c r="H25" i="20"/>
  <c r="G25" i="20" s="1"/>
  <c r="D25" i="20"/>
  <c r="C25" i="20"/>
  <c r="B25" i="20"/>
  <c r="A25" i="20" s="1"/>
  <c r="G24" i="20"/>
  <c r="D24" i="20"/>
  <c r="C24" i="20"/>
  <c r="B24" i="20"/>
  <c r="A24" i="20"/>
  <c r="G23" i="20"/>
  <c r="D23" i="20"/>
  <c r="C23" i="20"/>
  <c r="B23" i="20"/>
  <c r="A23" i="20" s="1"/>
  <c r="G22" i="20"/>
  <c r="D22" i="20"/>
  <c r="C22" i="20"/>
  <c r="B22" i="20"/>
  <c r="I21" i="20"/>
  <c r="H21" i="20"/>
  <c r="F21" i="20"/>
  <c r="C21" i="20" s="1"/>
  <c r="E21" i="20"/>
  <c r="D21" i="20"/>
  <c r="B21" i="20"/>
  <c r="I20" i="20"/>
  <c r="G20" i="20" s="1"/>
  <c r="D20" i="20"/>
  <c r="B20" i="20"/>
  <c r="G19" i="20"/>
  <c r="D19" i="20"/>
  <c r="C19" i="20"/>
  <c r="B19" i="20"/>
  <c r="I18" i="20"/>
  <c r="G18" i="20" s="1"/>
  <c r="D18" i="20"/>
  <c r="B18" i="20"/>
  <c r="G17" i="20"/>
  <c r="D17" i="20"/>
  <c r="C17" i="20"/>
  <c r="B17" i="20"/>
  <c r="A17" i="20"/>
  <c r="I16" i="20"/>
  <c r="I70" i="20" s="1"/>
  <c r="H16" i="20"/>
  <c r="H70" i="20" s="1"/>
  <c r="F16" i="20"/>
  <c r="D16" i="20" s="1"/>
  <c r="B16" i="20"/>
  <c r="I15" i="20"/>
  <c r="H15" i="20"/>
  <c r="G15" i="20" s="1"/>
  <c r="F15" i="20"/>
  <c r="C15" i="20" s="1"/>
  <c r="E15" i="20"/>
  <c r="D15" i="20" s="1"/>
  <c r="B15" i="20"/>
  <c r="A15" i="20" s="1"/>
  <c r="I14" i="20"/>
  <c r="H14" i="20"/>
  <c r="G14" i="20" s="1"/>
  <c r="D14" i="20"/>
  <c r="C14" i="20"/>
  <c r="G13" i="20"/>
  <c r="D13" i="20"/>
  <c r="C13" i="20"/>
  <c r="B13" i="20"/>
  <c r="A13" i="20"/>
  <c r="G12" i="20"/>
  <c r="D12" i="20"/>
  <c r="C12" i="20"/>
  <c r="B12" i="20"/>
  <c r="A12" i="20" s="1"/>
  <c r="G11" i="20"/>
  <c r="D11" i="20"/>
  <c r="C11" i="20"/>
  <c r="B11" i="20"/>
  <c r="A11" i="20"/>
  <c r="G10" i="20"/>
  <c r="F10" i="20"/>
  <c r="F70" i="20" s="1"/>
  <c r="B10" i="20"/>
  <c r="I9" i="20"/>
  <c r="C9" i="20" s="1"/>
  <c r="H9" i="20"/>
  <c r="G9" i="20"/>
  <c r="F9" i="20"/>
  <c r="E9" i="20"/>
  <c r="E69" i="20" s="1"/>
  <c r="I8" i="20"/>
  <c r="I68" i="20" s="1"/>
  <c r="H8" i="20"/>
  <c r="G8" i="20"/>
  <c r="F8" i="20"/>
  <c r="D8" i="20"/>
  <c r="B8" i="20"/>
  <c r="G7" i="20"/>
  <c r="D7" i="20"/>
  <c r="C7" i="20"/>
  <c r="B7" i="20"/>
  <c r="A7" i="20"/>
  <c r="I6" i="20"/>
  <c r="F6" i="20"/>
  <c r="F69" i="20" s="1"/>
  <c r="B6" i="20"/>
  <c r="G5" i="20"/>
  <c r="D5" i="20"/>
  <c r="C5" i="20"/>
  <c r="B5" i="20"/>
  <c r="A5" i="20"/>
  <c r="I46" i="19"/>
  <c r="H46" i="19"/>
  <c r="F46" i="19"/>
  <c r="E46" i="19"/>
  <c r="I45" i="19"/>
  <c r="H45" i="19"/>
  <c r="F45" i="19"/>
  <c r="E45" i="19"/>
  <c r="I44" i="19"/>
  <c r="I47" i="19" s="1"/>
  <c r="H44" i="19"/>
  <c r="H47" i="19" s="1"/>
  <c r="F44" i="19"/>
  <c r="F47" i="19" s="1"/>
  <c r="E44" i="19"/>
  <c r="E47" i="19" s="1"/>
  <c r="G43" i="19"/>
  <c r="D43" i="19"/>
  <c r="C43" i="19"/>
  <c r="B43" i="19"/>
  <c r="A43" i="19" s="1"/>
  <c r="G42" i="19"/>
  <c r="D42" i="19"/>
  <c r="C42" i="19"/>
  <c r="B42" i="19"/>
  <c r="G41" i="19"/>
  <c r="D41" i="19"/>
  <c r="C41" i="19"/>
  <c r="B41" i="19"/>
  <c r="A41" i="19"/>
  <c r="G40" i="19"/>
  <c r="D40" i="19"/>
  <c r="C40" i="19"/>
  <c r="B40" i="19"/>
  <c r="A40" i="19" s="1"/>
  <c r="G39" i="19"/>
  <c r="D39" i="19"/>
  <c r="C39" i="19"/>
  <c r="B39" i="19"/>
  <c r="G38" i="19"/>
  <c r="D38" i="19"/>
  <c r="C38" i="19"/>
  <c r="B38" i="19"/>
  <c r="A38" i="19"/>
  <c r="G37" i="19"/>
  <c r="D37" i="19"/>
  <c r="C37" i="19"/>
  <c r="B37" i="19"/>
  <c r="A37" i="19" s="1"/>
  <c r="G36" i="19"/>
  <c r="D36" i="19"/>
  <c r="C36" i="19"/>
  <c r="B36" i="19"/>
  <c r="G35" i="19"/>
  <c r="D35" i="19"/>
  <c r="C35" i="19"/>
  <c r="B35" i="19"/>
  <c r="A35" i="19"/>
  <c r="G34" i="19"/>
  <c r="D34" i="19"/>
  <c r="C34" i="19"/>
  <c r="B34" i="19"/>
  <c r="A34" i="19" s="1"/>
  <c r="G33" i="19"/>
  <c r="D33" i="19"/>
  <c r="C33" i="19"/>
  <c r="B33" i="19"/>
  <c r="A33" i="19" s="1"/>
  <c r="G32" i="19"/>
  <c r="D32" i="19"/>
  <c r="C32" i="19"/>
  <c r="B32" i="19"/>
  <c r="G31" i="19"/>
  <c r="D31" i="19"/>
  <c r="C31" i="19"/>
  <c r="B31" i="19"/>
  <c r="A31" i="19"/>
  <c r="G30" i="19"/>
  <c r="D30" i="19"/>
  <c r="C30" i="19"/>
  <c r="B30" i="19"/>
  <c r="A30" i="19" s="1"/>
  <c r="G29" i="19"/>
  <c r="D29" i="19"/>
  <c r="C29" i="19"/>
  <c r="B29" i="19"/>
  <c r="A29" i="19" s="1"/>
  <c r="G28" i="19"/>
  <c r="D28" i="19"/>
  <c r="C28" i="19"/>
  <c r="B28" i="19"/>
  <c r="G27" i="19"/>
  <c r="D27" i="19"/>
  <c r="C27" i="19"/>
  <c r="B27" i="19"/>
  <c r="A27" i="19"/>
  <c r="G26" i="19"/>
  <c r="D26" i="19"/>
  <c r="C26" i="19"/>
  <c r="B26" i="19"/>
  <c r="A26" i="19" s="1"/>
  <c r="G25" i="19"/>
  <c r="D25" i="19"/>
  <c r="C25" i="19"/>
  <c r="B25" i="19"/>
  <c r="A25" i="19" s="1"/>
  <c r="G24" i="19"/>
  <c r="D24" i="19"/>
  <c r="C24" i="19"/>
  <c r="B24" i="19"/>
  <c r="G23" i="19"/>
  <c r="D23" i="19"/>
  <c r="C23" i="19"/>
  <c r="B23" i="19"/>
  <c r="A23" i="19"/>
  <c r="G22" i="19"/>
  <c r="D22" i="19"/>
  <c r="C22" i="19"/>
  <c r="B22" i="19"/>
  <c r="A22" i="19" s="1"/>
  <c r="G21" i="19"/>
  <c r="D21" i="19"/>
  <c r="C21" i="19"/>
  <c r="B21" i="19"/>
  <c r="A21" i="19" s="1"/>
  <c r="G20" i="19"/>
  <c r="D20" i="19"/>
  <c r="C20" i="19"/>
  <c r="B20" i="19"/>
  <c r="G19" i="19"/>
  <c r="D19" i="19"/>
  <c r="C19" i="19"/>
  <c r="B19" i="19"/>
  <c r="A19" i="19"/>
  <c r="G18" i="19"/>
  <c r="D18" i="19"/>
  <c r="C18" i="19"/>
  <c r="B18" i="19"/>
  <c r="A18" i="19" s="1"/>
  <c r="G17" i="19"/>
  <c r="D17" i="19"/>
  <c r="C17" i="19"/>
  <c r="B17" i="19"/>
  <c r="A17" i="19" s="1"/>
  <c r="G16" i="19"/>
  <c r="D16" i="19"/>
  <c r="C16" i="19"/>
  <c r="B16" i="19"/>
  <c r="G15" i="19"/>
  <c r="D15" i="19"/>
  <c r="C15" i="19"/>
  <c r="B15" i="19"/>
  <c r="A15" i="19"/>
  <c r="G14" i="19"/>
  <c r="D14" i="19"/>
  <c r="C14" i="19"/>
  <c r="B14" i="19"/>
  <c r="A14" i="19" s="1"/>
  <c r="G13" i="19"/>
  <c r="D13" i="19"/>
  <c r="C13" i="19"/>
  <c r="B13" i="19"/>
  <c r="A13" i="19" s="1"/>
  <c r="G12" i="19"/>
  <c r="D12" i="19"/>
  <c r="C12" i="19"/>
  <c r="B12" i="19"/>
  <c r="G11" i="19"/>
  <c r="D11" i="19"/>
  <c r="C11" i="19"/>
  <c r="B11" i="19"/>
  <c r="A11" i="19"/>
  <c r="G10" i="19"/>
  <c r="D10" i="19"/>
  <c r="C10" i="19"/>
  <c r="B10" i="19"/>
  <c r="A10" i="19" s="1"/>
  <c r="G9" i="19"/>
  <c r="D9" i="19"/>
  <c r="C9" i="19"/>
  <c r="B9" i="19"/>
  <c r="A9" i="19" s="1"/>
  <c r="G8" i="19"/>
  <c r="D8" i="19"/>
  <c r="C8" i="19"/>
  <c r="B8" i="19"/>
  <c r="G7" i="19"/>
  <c r="G46" i="19" s="1"/>
  <c r="D7" i="19"/>
  <c r="C7" i="19"/>
  <c r="C46" i="19" s="1"/>
  <c r="B7" i="19"/>
  <c r="A7" i="19"/>
  <c r="G6" i="19"/>
  <c r="D6" i="19"/>
  <c r="D45" i="19" s="1"/>
  <c r="C6" i="19"/>
  <c r="B6" i="19"/>
  <c r="B45" i="19" s="1"/>
  <c r="G5" i="19"/>
  <c r="D5" i="19"/>
  <c r="D44" i="19" s="1"/>
  <c r="C5" i="19"/>
  <c r="B5" i="19"/>
  <c r="B44" i="19" s="1"/>
  <c r="F73" i="18"/>
  <c r="E73" i="18"/>
  <c r="G72" i="18"/>
  <c r="D72" i="18"/>
  <c r="C72" i="18"/>
  <c r="B72" i="18"/>
  <c r="A72" i="18" s="1"/>
  <c r="I71" i="18"/>
  <c r="I73" i="18" s="1"/>
  <c r="H71" i="18"/>
  <c r="H73" i="18" s="1"/>
  <c r="D71" i="18"/>
  <c r="D73" i="18" s="1"/>
  <c r="C71" i="18"/>
  <c r="C73" i="18" s="1"/>
  <c r="B71" i="18"/>
  <c r="B73" i="18" s="1"/>
  <c r="I70" i="18"/>
  <c r="H70" i="18"/>
  <c r="F70" i="18"/>
  <c r="E70" i="18"/>
  <c r="G69" i="18"/>
  <c r="D69" i="18"/>
  <c r="C69" i="18"/>
  <c r="B69" i="18"/>
  <c r="G68" i="18"/>
  <c r="G70" i="18" s="1"/>
  <c r="D68" i="18"/>
  <c r="D70" i="18" s="1"/>
  <c r="C68" i="18"/>
  <c r="C70" i="18" s="1"/>
  <c r="B68" i="18"/>
  <c r="B70" i="18" s="1"/>
  <c r="A68" i="18"/>
  <c r="I67" i="18"/>
  <c r="H67" i="18"/>
  <c r="F67" i="18"/>
  <c r="E67" i="18"/>
  <c r="G66" i="18"/>
  <c r="D66" i="18"/>
  <c r="C66" i="18"/>
  <c r="B66" i="18"/>
  <c r="A66" i="18" s="1"/>
  <c r="G65" i="18"/>
  <c r="G67" i="18" s="1"/>
  <c r="D65" i="18"/>
  <c r="C65" i="18"/>
  <c r="C67" i="18" s="1"/>
  <c r="B65" i="18"/>
  <c r="H64" i="18"/>
  <c r="F64" i="18"/>
  <c r="E64" i="18"/>
  <c r="G63" i="18"/>
  <c r="D63" i="18"/>
  <c r="C63" i="18"/>
  <c r="B63" i="18"/>
  <c r="A63" i="18" s="1"/>
  <c r="I62" i="18"/>
  <c r="I64" i="18" s="1"/>
  <c r="D62" i="18"/>
  <c r="D64" i="18" s="1"/>
  <c r="C62" i="18"/>
  <c r="C64" i="18" s="1"/>
  <c r="B62" i="18"/>
  <c r="B64" i="18" s="1"/>
  <c r="I61" i="18"/>
  <c r="H61" i="18"/>
  <c r="F61" i="18"/>
  <c r="E61" i="18"/>
  <c r="G60" i="18"/>
  <c r="D60" i="18"/>
  <c r="C60" i="18"/>
  <c r="B60" i="18"/>
  <c r="A60" i="18" s="1"/>
  <c r="G59" i="18"/>
  <c r="G61" i="18" s="1"/>
  <c r="D59" i="18"/>
  <c r="D61" i="18" s="1"/>
  <c r="C59" i="18"/>
  <c r="C61" i="18" s="1"/>
  <c r="B59" i="18"/>
  <c r="B61" i="18" s="1"/>
  <c r="I58" i="18"/>
  <c r="H58" i="18"/>
  <c r="F58" i="18"/>
  <c r="E58" i="18"/>
  <c r="G57" i="18"/>
  <c r="D57" i="18"/>
  <c r="C57" i="18"/>
  <c r="B57" i="18"/>
  <c r="A57" i="18"/>
  <c r="G56" i="18"/>
  <c r="D56" i="18"/>
  <c r="D58" i="18" s="1"/>
  <c r="C56" i="18"/>
  <c r="B56" i="18"/>
  <c r="B58" i="18" s="1"/>
  <c r="I55" i="18"/>
  <c r="H55" i="18"/>
  <c r="F55" i="18"/>
  <c r="E55" i="18"/>
  <c r="G54" i="18"/>
  <c r="D54" i="18"/>
  <c r="C54" i="18"/>
  <c r="B54" i="18"/>
  <c r="A54" i="18" s="1"/>
  <c r="G53" i="18"/>
  <c r="G55" i="18" s="1"/>
  <c r="D53" i="18"/>
  <c r="D55" i="18" s="1"/>
  <c r="C53" i="18"/>
  <c r="C55" i="18" s="1"/>
  <c r="B53" i="18"/>
  <c r="B55" i="18" s="1"/>
  <c r="I52" i="18"/>
  <c r="H52" i="18"/>
  <c r="F52" i="18"/>
  <c r="E52" i="18"/>
  <c r="G51" i="18"/>
  <c r="D51" i="18"/>
  <c r="C51" i="18"/>
  <c r="B51" i="18"/>
  <c r="A51" i="18"/>
  <c r="G50" i="18"/>
  <c r="D50" i="18"/>
  <c r="D52" i="18" s="1"/>
  <c r="C50" i="18"/>
  <c r="B50" i="18"/>
  <c r="B52" i="18" s="1"/>
  <c r="I49" i="18"/>
  <c r="H49" i="18"/>
  <c r="F49" i="18"/>
  <c r="E49" i="18"/>
  <c r="G48" i="18"/>
  <c r="D48" i="18"/>
  <c r="C48" i="18"/>
  <c r="B48" i="18"/>
  <c r="A48" i="18" s="1"/>
  <c r="G47" i="18"/>
  <c r="G49" i="18" s="1"/>
  <c r="D47" i="18"/>
  <c r="D49" i="18" s="1"/>
  <c r="C47" i="18"/>
  <c r="C49" i="18" s="1"/>
  <c r="B47" i="18"/>
  <c r="B49" i="18" s="1"/>
  <c r="H46" i="18"/>
  <c r="F46" i="18"/>
  <c r="G45" i="18"/>
  <c r="D45" i="18"/>
  <c r="C45" i="18"/>
  <c r="B45" i="18"/>
  <c r="I44" i="18"/>
  <c r="I46" i="18" s="1"/>
  <c r="E44" i="18"/>
  <c r="E46" i="18" s="1"/>
  <c r="C44" i="18"/>
  <c r="C46" i="18" s="1"/>
  <c r="I43" i="18"/>
  <c r="F43" i="18"/>
  <c r="E43" i="18"/>
  <c r="H42" i="18"/>
  <c r="G42" i="18" s="1"/>
  <c r="D42" i="18"/>
  <c r="C42" i="18"/>
  <c r="B42" i="18"/>
  <c r="A42" i="18" s="1"/>
  <c r="H41" i="18"/>
  <c r="H43" i="18" s="1"/>
  <c r="D41" i="18"/>
  <c r="D43" i="18" s="1"/>
  <c r="C41" i="18"/>
  <c r="C43" i="18" s="1"/>
  <c r="B41" i="18"/>
  <c r="B43" i="18" s="1"/>
  <c r="I40" i="18"/>
  <c r="H40" i="18"/>
  <c r="F40" i="18"/>
  <c r="G39" i="18"/>
  <c r="D39" i="18"/>
  <c r="C39" i="18"/>
  <c r="B39" i="18"/>
  <c r="A39" i="18" s="1"/>
  <c r="G38" i="18"/>
  <c r="G40" i="18" s="1"/>
  <c r="E38" i="18"/>
  <c r="E40" i="18" s="1"/>
  <c r="D38" i="18"/>
  <c r="D40" i="18" s="1"/>
  <c r="C38" i="18"/>
  <c r="C40" i="18" s="1"/>
  <c r="B38" i="18"/>
  <c r="B40" i="18" s="1"/>
  <c r="I37" i="18"/>
  <c r="F37" i="18"/>
  <c r="G36" i="18"/>
  <c r="D36" i="18"/>
  <c r="C36" i="18"/>
  <c r="B36" i="18"/>
  <c r="A36" i="18" s="1"/>
  <c r="H35" i="18"/>
  <c r="H37" i="18" s="1"/>
  <c r="E35" i="18"/>
  <c r="E37" i="18" s="1"/>
  <c r="C35" i="18"/>
  <c r="C37" i="18" s="1"/>
  <c r="I34" i="18"/>
  <c r="H34" i="18"/>
  <c r="F34" i="18"/>
  <c r="E34" i="18"/>
  <c r="G33" i="18"/>
  <c r="D33" i="18"/>
  <c r="C33" i="18"/>
  <c r="B33" i="18"/>
  <c r="G32" i="18"/>
  <c r="G34" i="18" s="1"/>
  <c r="D32" i="18"/>
  <c r="D34" i="18" s="1"/>
  <c r="C32" i="18"/>
  <c r="C34" i="18" s="1"/>
  <c r="B32" i="18"/>
  <c r="B34" i="18" s="1"/>
  <c r="A32" i="18"/>
  <c r="I30" i="18"/>
  <c r="I31" i="18" s="1"/>
  <c r="H30" i="18"/>
  <c r="H31" i="18" s="1"/>
  <c r="F30" i="18"/>
  <c r="F75" i="18" s="1"/>
  <c r="E30" i="18"/>
  <c r="C30" i="18"/>
  <c r="G29" i="18"/>
  <c r="E29" i="18"/>
  <c r="E31" i="18" s="1"/>
  <c r="C29" i="18"/>
  <c r="I28" i="18"/>
  <c r="H28" i="18"/>
  <c r="F28" i="18"/>
  <c r="E28" i="18"/>
  <c r="G27" i="18"/>
  <c r="D27" i="18"/>
  <c r="C27" i="18"/>
  <c r="B27" i="18"/>
  <c r="A27" i="18"/>
  <c r="G26" i="18"/>
  <c r="D26" i="18"/>
  <c r="D28" i="18" s="1"/>
  <c r="C26" i="18"/>
  <c r="B26" i="18"/>
  <c r="B28" i="18" s="1"/>
  <c r="I25" i="18"/>
  <c r="F25" i="18"/>
  <c r="E25" i="18"/>
  <c r="G24" i="18"/>
  <c r="D24" i="18"/>
  <c r="C24" i="18"/>
  <c r="B24" i="18"/>
  <c r="H23" i="18"/>
  <c r="H25" i="18" s="1"/>
  <c r="D23" i="18"/>
  <c r="D25" i="18" s="1"/>
  <c r="C23" i="18"/>
  <c r="C25" i="18" s="1"/>
  <c r="I21" i="18"/>
  <c r="C21" i="18" s="1"/>
  <c r="H21" i="18"/>
  <c r="H22" i="18" s="1"/>
  <c r="E21" i="18"/>
  <c r="E22" i="18" s="1"/>
  <c r="I20" i="18"/>
  <c r="I22" i="18" s="1"/>
  <c r="F20" i="18"/>
  <c r="F74" i="18" s="1"/>
  <c r="C20" i="18"/>
  <c r="B20" i="18"/>
  <c r="I19" i="18"/>
  <c r="H19" i="18"/>
  <c r="F19" i="18"/>
  <c r="E19" i="18"/>
  <c r="G18" i="18"/>
  <c r="D18" i="18"/>
  <c r="C18" i="18"/>
  <c r="B18" i="18"/>
  <c r="G17" i="18"/>
  <c r="G19" i="18" s="1"/>
  <c r="D17" i="18"/>
  <c r="D19" i="18" s="1"/>
  <c r="C17" i="18"/>
  <c r="C19" i="18" s="1"/>
  <c r="B17" i="18"/>
  <c r="B19" i="18" s="1"/>
  <c r="A17" i="18"/>
  <c r="I16" i="18"/>
  <c r="F16" i="18"/>
  <c r="G15" i="18"/>
  <c r="D15" i="18"/>
  <c r="C15" i="18"/>
  <c r="B15" i="18"/>
  <c r="A15" i="18" s="1"/>
  <c r="H14" i="18"/>
  <c r="H16" i="18" s="1"/>
  <c r="E14" i="18"/>
  <c r="E16" i="18" s="1"/>
  <c r="C14" i="18"/>
  <c r="C16" i="18" s="1"/>
  <c r="I13" i="18"/>
  <c r="F13" i="18"/>
  <c r="E13" i="18"/>
  <c r="H12" i="18"/>
  <c r="H13" i="18" s="1"/>
  <c r="G12" i="18"/>
  <c r="D12" i="18"/>
  <c r="C12" i="18"/>
  <c r="B12" i="18"/>
  <c r="A12" i="18"/>
  <c r="G11" i="18"/>
  <c r="D11" i="18"/>
  <c r="D13" i="18" s="1"/>
  <c r="C11" i="18"/>
  <c r="B11" i="18"/>
  <c r="B13" i="18" s="1"/>
  <c r="F10" i="18"/>
  <c r="I9" i="18"/>
  <c r="I75" i="18" s="1"/>
  <c r="H9" i="18"/>
  <c r="D9" i="18"/>
  <c r="B9" i="18"/>
  <c r="I8" i="18"/>
  <c r="H8" i="18"/>
  <c r="H74" i="18" s="1"/>
  <c r="E8" i="18"/>
  <c r="E10" i="18" s="1"/>
  <c r="B8" i="18"/>
  <c r="B10" i="18" s="1"/>
  <c r="H7" i="18"/>
  <c r="F7" i="18"/>
  <c r="G6" i="18"/>
  <c r="D6" i="18"/>
  <c r="C6" i="18"/>
  <c r="B6" i="18"/>
  <c r="I5" i="18"/>
  <c r="E5" i="18"/>
  <c r="E74" i="18" s="1"/>
  <c r="C5" i="18"/>
  <c r="I78" i="17"/>
  <c r="H78" i="17"/>
  <c r="F78" i="17"/>
  <c r="E78" i="17"/>
  <c r="I77" i="17"/>
  <c r="H77" i="17"/>
  <c r="F77" i="17"/>
  <c r="E77" i="17"/>
  <c r="I76" i="17"/>
  <c r="H76" i="17"/>
  <c r="F76" i="17"/>
  <c r="E76" i="17"/>
  <c r="G75" i="17"/>
  <c r="D75" i="17"/>
  <c r="C75" i="17"/>
  <c r="B75" i="17"/>
  <c r="A75" i="17"/>
  <c r="G74" i="17"/>
  <c r="D74" i="17"/>
  <c r="D76" i="17" s="1"/>
  <c r="C74" i="17"/>
  <c r="B74" i="17"/>
  <c r="B76" i="17" s="1"/>
  <c r="I73" i="17"/>
  <c r="H73" i="17"/>
  <c r="F73" i="17"/>
  <c r="E73" i="17"/>
  <c r="G72" i="17"/>
  <c r="D72" i="17"/>
  <c r="C72" i="17"/>
  <c r="B72" i="17"/>
  <c r="A72" i="17" s="1"/>
  <c r="G71" i="17"/>
  <c r="G73" i="17" s="1"/>
  <c r="D71" i="17"/>
  <c r="C71" i="17"/>
  <c r="C73" i="17" s="1"/>
  <c r="B71" i="17"/>
  <c r="A71" i="17"/>
  <c r="I70" i="17"/>
  <c r="H70" i="17"/>
  <c r="F70" i="17"/>
  <c r="E70" i="17"/>
  <c r="G69" i="17"/>
  <c r="D69" i="17"/>
  <c r="C69" i="17"/>
  <c r="B69" i="17"/>
  <c r="A69" i="17" s="1"/>
  <c r="G68" i="17"/>
  <c r="G70" i="17" s="1"/>
  <c r="D68" i="17"/>
  <c r="D70" i="17" s="1"/>
  <c r="C68" i="17"/>
  <c r="C70" i="17" s="1"/>
  <c r="B68" i="17"/>
  <c r="B70" i="17" s="1"/>
  <c r="I67" i="17"/>
  <c r="H67" i="17"/>
  <c r="F67" i="17"/>
  <c r="E67" i="17"/>
  <c r="G66" i="17"/>
  <c r="D66" i="17"/>
  <c r="C66" i="17"/>
  <c r="B66" i="17"/>
  <c r="G65" i="17"/>
  <c r="G67" i="17" s="1"/>
  <c r="D65" i="17"/>
  <c r="D67" i="17" s="1"/>
  <c r="C65" i="17"/>
  <c r="C67" i="17" s="1"/>
  <c r="B65" i="17"/>
  <c r="B67" i="17" s="1"/>
  <c r="A65" i="17"/>
  <c r="I64" i="17"/>
  <c r="H64" i="17"/>
  <c r="F64" i="17"/>
  <c r="E64" i="17"/>
  <c r="G63" i="17"/>
  <c r="D63" i="17"/>
  <c r="C63" i="17"/>
  <c r="B63" i="17"/>
  <c r="A63" i="17" s="1"/>
  <c r="G62" i="17"/>
  <c r="G64" i="17" s="1"/>
  <c r="D62" i="17"/>
  <c r="D64" i="17" s="1"/>
  <c r="C62" i="17"/>
  <c r="C64" i="17" s="1"/>
  <c r="B62" i="17"/>
  <c r="B64" i="17" s="1"/>
  <c r="I61" i="17"/>
  <c r="H61" i="17"/>
  <c r="F61" i="17"/>
  <c r="E61" i="17"/>
  <c r="G60" i="17"/>
  <c r="D60" i="17"/>
  <c r="C60" i="17"/>
  <c r="B60" i="17"/>
  <c r="G59" i="17"/>
  <c r="G61" i="17" s="1"/>
  <c r="D59" i="17"/>
  <c r="D61" i="17" s="1"/>
  <c r="C59" i="17"/>
  <c r="C61" i="17" s="1"/>
  <c r="B59" i="17"/>
  <c r="B61" i="17" s="1"/>
  <c r="A59" i="17"/>
  <c r="I58" i="17"/>
  <c r="H58" i="17"/>
  <c r="F58" i="17"/>
  <c r="E58" i="17"/>
  <c r="G57" i="17"/>
  <c r="D57" i="17"/>
  <c r="C57" i="17"/>
  <c r="B57" i="17"/>
  <c r="A57" i="17" s="1"/>
  <c r="G56" i="17"/>
  <c r="G58" i="17" s="1"/>
  <c r="D56" i="17"/>
  <c r="D58" i="17" s="1"/>
  <c r="C56" i="17"/>
  <c r="C58" i="17" s="1"/>
  <c r="B56" i="17"/>
  <c r="B58" i="17" s="1"/>
  <c r="I55" i="17"/>
  <c r="H55" i="17"/>
  <c r="F55" i="17"/>
  <c r="E55" i="17"/>
  <c r="G54" i="17"/>
  <c r="D54" i="17"/>
  <c r="C54" i="17"/>
  <c r="B54" i="17"/>
  <c r="G53" i="17"/>
  <c r="G55" i="17" s="1"/>
  <c r="D53" i="17"/>
  <c r="D55" i="17" s="1"/>
  <c r="C53" i="17"/>
  <c r="C55" i="17" s="1"/>
  <c r="B53" i="17"/>
  <c r="B55" i="17" s="1"/>
  <c r="A53" i="17"/>
  <c r="I52" i="17"/>
  <c r="H52" i="17"/>
  <c r="F52" i="17"/>
  <c r="E52" i="17"/>
  <c r="G51" i="17"/>
  <c r="D51" i="17"/>
  <c r="C51" i="17"/>
  <c r="B51" i="17"/>
  <c r="A51" i="17" s="1"/>
  <c r="G50" i="17"/>
  <c r="G52" i="17" s="1"/>
  <c r="D50" i="17"/>
  <c r="D52" i="17" s="1"/>
  <c r="C50" i="17"/>
  <c r="C52" i="17" s="1"/>
  <c r="B50" i="17"/>
  <c r="B52" i="17" s="1"/>
  <c r="I49" i="17"/>
  <c r="H49" i="17"/>
  <c r="F49" i="17"/>
  <c r="E49" i="17"/>
  <c r="G48" i="17"/>
  <c r="D48" i="17"/>
  <c r="C48" i="17"/>
  <c r="B48" i="17"/>
  <c r="G47" i="17"/>
  <c r="G49" i="17" s="1"/>
  <c r="D47" i="17"/>
  <c r="D49" i="17" s="1"/>
  <c r="C47" i="17"/>
  <c r="C49" i="17" s="1"/>
  <c r="B47" i="17"/>
  <c r="B49" i="17" s="1"/>
  <c r="A47" i="17"/>
  <c r="I46" i="17"/>
  <c r="H46" i="17"/>
  <c r="F46" i="17"/>
  <c r="E46" i="17"/>
  <c r="G45" i="17"/>
  <c r="D45" i="17"/>
  <c r="C45" i="17"/>
  <c r="B45" i="17"/>
  <c r="A45" i="17" s="1"/>
  <c r="G44" i="17"/>
  <c r="G46" i="17" s="1"/>
  <c r="D44" i="17"/>
  <c r="D46" i="17" s="1"/>
  <c r="C44" i="17"/>
  <c r="C46" i="17" s="1"/>
  <c r="B44" i="17"/>
  <c r="B46" i="17" s="1"/>
  <c r="I43" i="17"/>
  <c r="H43" i="17"/>
  <c r="F43" i="17"/>
  <c r="E43" i="17"/>
  <c r="G42" i="17"/>
  <c r="D42" i="17"/>
  <c r="C42" i="17"/>
  <c r="B42" i="17"/>
  <c r="G41" i="17"/>
  <c r="G43" i="17" s="1"/>
  <c r="D41" i="17"/>
  <c r="D43" i="17" s="1"/>
  <c r="C41" i="17"/>
  <c r="C43" i="17" s="1"/>
  <c r="B41" i="17"/>
  <c r="B43" i="17" s="1"/>
  <c r="A41" i="17"/>
  <c r="I40" i="17"/>
  <c r="H40" i="17"/>
  <c r="F40" i="17"/>
  <c r="E40" i="17"/>
  <c r="G39" i="17"/>
  <c r="D39" i="17"/>
  <c r="C39" i="17"/>
  <c r="B39" i="17"/>
  <c r="A39" i="17" s="1"/>
  <c r="G38" i="17"/>
  <c r="G40" i="17" s="1"/>
  <c r="D38" i="17"/>
  <c r="D40" i="17" s="1"/>
  <c r="C38" i="17"/>
  <c r="C40" i="17" s="1"/>
  <c r="B38" i="17"/>
  <c r="B40" i="17" s="1"/>
  <c r="I37" i="17"/>
  <c r="H37" i="17"/>
  <c r="F37" i="17"/>
  <c r="E37" i="17"/>
  <c r="G36" i="17"/>
  <c r="D36" i="17"/>
  <c r="C36" i="17"/>
  <c r="B36" i="17"/>
  <c r="G35" i="17"/>
  <c r="G37" i="17" s="1"/>
  <c r="D35" i="17"/>
  <c r="D37" i="17" s="1"/>
  <c r="C35" i="17"/>
  <c r="C37" i="17" s="1"/>
  <c r="B35" i="17"/>
  <c r="B37" i="17" s="1"/>
  <c r="A35" i="17"/>
  <c r="I34" i="17"/>
  <c r="H34" i="17"/>
  <c r="F34" i="17"/>
  <c r="E34" i="17"/>
  <c r="G33" i="17"/>
  <c r="D33" i="17"/>
  <c r="C33" i="17"/>
  <c r="B33" i="17"/>
  <c r="A33" i="17" s="1"/>
  <c r="G32" i="17"/>
  <c r="G34" i="17" s="1"/>
  <c r="D32" i="17"/>
  <c r="D34" i="17" s="1"/>
  <c r="C32" i="17"/>
  <c r="C34" i="17" s="1"/>
  <c r="B32" i="17"/>
  <c r="B34" i="17" s="1"/>
  <c r="I31" i="17"/>
  <c r="H31" i="17"/>
  <c r="F31" i="17"/>
  <c r="E31" i="17"/>
  <c r="G30" i="17"/>
  <c r="D30" i="17"/>
  <c r="C30" i="17"/>
  <c r="B30" i="17"/>
  <c r="G29" i="17"/>
  <c r="D29" i="17"/>
  <c r="D31" i="17" s="1"/>
  <c r="C29" i="17"/>
  <c r="C31" i="17" s="1"/>
  <c r="B29" i="17"/>
  <c r="B31" i="17" s="1"/>
  <c r="A29" i="17"/>
  <c r="I28" i="17"/>
  <c r="H28" i="17"/>
  <c r="F28" i="17"/>
  <c r="E28" i="17"/>
  <c r="G27" i="17"/>
  <c r="D27" i="17"/>
  <c r="C27" i="17"/>
  <c r="B27" i="17"/>
  <c r="A27" i="17" s="1"/>
  <c r="G26" i="17"/>
  <c r="G28" i="17" s="1"/>
  <c r="D26" i="17"/>
  <c r="D28" i="17" s="1"/>
  <c r="C26" i="17"/>
  <c r="C28" i="17" s="1"/>
  <c r="B26" i="17"/>
  <c r="B28" i="17" s="1"/>
  <c r="I25" i="17"/>
  <c r="H25" i="17"/>
  <c r="F25" i="17"/>
  <c r="E25" i="17"/>
  <c r="G24" i="17"/>
  <c r="D24" i="17"/>
  <c r="C24" i="17"/>
  <c r="B24" i="17"/>
  <c r="G23" i="17"/>
  <c r="G25" i="17" s="1"/>
  <c r="D23" i="17"/>
  <c r="D25" i="17" s="1"/>
  <c r="C23" i="17"/>
  <c r="C25" i="17" s="1"/>
  <c r="B23" i="17"/>
  <c r="B25" i="17" s="1"/>
  <c r="A23" i="17"/>
  <c r="I22" i="17"/>
  <c r="H22" i="17"/>
  <c r="F22" i="17"/>
  <c r="E22" i="17"/>
  <c r="G21" i="17"/>
  <c r="D21" i="17"/>
  <c r="C21" i="17"/>
  <c r="B21" i="17"/>
  <c r="A21" i="17" s="1"/>
  <c r="G20" i="17"/>
  <c r="G22" i="17" s="1"/>
  <c r="D20" i="17"/>
  <c r="D22" i="17" s="1"/>
  <c r="C20" i="17"/>
  <c r="C22" i="17" s="1"/>
  <c r="B20" i="17"/>
  <c r="B22" i="17" s="1"/>
  <c r="I19" i="17"/>
  <c r="H19" i="17"/>
  <c r="F19" i="17"/>
  <c r="E19" i="17"/>
  <c r="G18" i="17"/>
  <c r="D18" i="17"/>
  <c r="C18" i="17"/>
  <c r="B18" i="17"/>
  <c r="G17" i="17"/>
  <c r="G19" i="17" s="1"/>
  <c r="D17" i="17"/>
  <c r="D19" i="17" s="1"/>
  <c r="C17" i="17"/>
  <c r="C19" i="17" s="1"/>
  <c r="B17" i="17"/>
  <c r="B19" i="17" s="1"/>
  <c r="A17" i="17"/>
  <c r="I16" i="17"/>
  <c r="H16" i="17"/>
  <c r="F16" i="17"/>
  <c r="E16" i="17"/>
  <c r="G15" i="17"/>
  <c r="D15" i="17"/>
  <c r="C15" i="17"/>
  <c r="B15" i="17"/>
  <c r="A15" i="17" s="1"/>
  <c r="G14" i="17"/>
  <c r="G16" i="17" s="1"/>
  <c r="D14" i="17"/>
  <c r="D16" i="17" s="1"/>
  <c r="C14" i="17"/>
  <c r="C16" i="17" s="1"/>
  <c r="B14" i="17"/>
  <c r="B16" i="17" s="1"/>
  <c r="I13" i="17"/>
  <c r="H13" i="17"/>
  <c r="F13" i="17"/>
  <c r="E13" i="17"/>
  <c r="G12" i="17"/>
  <c r="D12" i="17"/>
  <c r="C12" i="17"/>
  <c r="B12" i="17"/>
  <c r="G11" i="17"/>
  <c r="G13" i="17" s="1"/>
  <c r="D11" i="17"/>
  <c r="D13" i="17" s="1"/>
  <c r="C11" i="17"/>
  <c r="C13" i="17" s="1"/>
  <c r="B11" i="17"/>
  <c r="B13" i="17" s="1"/>
  <c r="A11" i="17"/>
  <c r="I10" i="17"/>
  <c r="H10" i="17"/>
  <c r="F10" i="17"/>
  <c r="E10" i="17"/>
  <c r="G9" i="17"/>
  <c r="D9" i="17"/>
  <c r="C9" i="17"/>
  <c r="B9" i="17"/>
  <c r="A9" i="17" s="1"/>
  <c r="G8" i="17"/>
  <c r="G10" i="17" s="1"/>
  <c r="D8" i="17"/>
  <c r="D10" i="17" s="1"/>
  <c r="C8" i="17"/>
  <c r="C10" i="17" s="1"/>
  <c r="B8" i="17"/>
  <c r="B10" i="17" s="1"/>
  <c r="I7" i="17"/>
  <c r="I79" i="17" s="1"/>
  <c r="H7" i="17"/>
  <c r="F7" i="17"/>
  <c r="F79" i="17" s="1"/>
  <c r="E7" i="17"/>
  <c r="G6" i="17"/>
  <c r="G78" i="17" s="1"/>
  <c r="D6" i="17"/>
  <c r="C6" i="17"/>
  <c r="C78" i="17" s="1"/>
  <c r="B6" i="17"/>
  <c r="G5" i="17"/>
  <c r="G77" i="17" s="1"/>
  <c r="D5" i="17"/>
  <c r="C5" i="17"/>
  <c r="C77" i="17" s="1"/>
  <c r="B5" i="17"/>
  <c r="A5" i="17"/>
  <c r="G25" i="16"/>
  <c r="D25" i="16"/>
  <c r="C25" i="16"/>
  <c r="B25" i="16"/>
  <c r="A25" i="16" s="1"/>
  <c r="G24" i="16"/>
  <c r="D24" i="16"/>
  <c r="C24" i="16"/>
  <c r="B24" i="16"/>
  <c r="I23" i="16"/>
  <c r="G23" i="16" s="1"/>
  <c r="D23" i="16"/>
  <c r="B23" i="16"/>
  <c r="H22" i="16"/>
  <c r="G22" i="16" s="1"/>
  <c r="D22" i="16"/>
  <c r="C22" i="16"/>
  <c r="B22" i="16"/>
  <c r="A22" i="16" s="1"/>
  <c r="G21" i="16"/>
  <c r="D21" i="16"/>
  <c r="C21" i="16"/>
  <c r="B21" i="16"/>
  <c r="I20" i="16"/>
  <c r="G20" i="16" s="1"/>
  <c r="D20" i="16"/>
  <c r="B20" i="16"/>
  <c r="I19" i="16"/>
  <c r="G19" i="16" s="1"/>
  <c r="D19" i="16"/>
  <c r="B19" i="16"/>
  <c r="G18" i="16"/>
  <c r="D18" i="16"/>
  <c r="C18" i="16"/>
  <c r="B18" i="16"/>
  <c r="I17" i="16"/>
  <c r="G17" i="16" s="1"/>
  <c r="D17" i="16"/>
  <c r="B17" i="16"/>
  <c r="I16" i="16"/>
  <c r="G16" i="16" s="1"/>
  <c r="D16" i="16"/>
  <c r="B16" i="16"/>
  <c r="G15" i="16"/>
  <c r="D15" i="16"/>
  <c r="C15" i="16"/>
  <c r="A15" i="16" s="1"/>
  <c r="B15" i="16"/>
  <c r="I14" i="16"/>
  <c r="G14" i="16"/>
  <c r="D14" i="16"/>
  <c r="C14" i="16"/>
  <c r="B14" i="16"/>
  <c r="A14" i="16"/>
  <c r="G13" i="16"/>
  <c r="D13" i="16"/>
  <c r="C13" i="16"/>
  <c r="B13" i="16"/>
  <c r="A13" i="16" s="1"/>
  <c r="G12" i="16"/>
  <c r="D12" i="16"/>
  <c r="C12" i="16"/>
  <c r="B12" i="16"/>
  <c r="A12" i="16" s="1"/>
  <c r="I11" i="16"/>
  <c r="G11" i="16" s="1"/>
  <c r="D11" i="16"/>
  <c r="B11" i="16"/>
  <c r="G10" i="16"/>
  <c r="F10" i="16"/>
  <c r="C10" i="16" s="1"/>
  <c r="E10" i="16"/>
  <c r="E26" i="16" s="1"/>
  <c r="B10" i="16"/>
  <c r="A10" i="16" s="1"/>
  <c r="I9" i="16"/>
  <c r="G9" i="16" s="1"/>
  <c r="D9" i="16"/>
  <c r="B9" i="16"/>
  <c r="G8" i="16"/>
  <c r="D8" i="16"/>
  <c r="C8" i="16"/>
  <c r="B8" i="16"/>
  <c r="A8" i="16"/>
  <c r="I7" i="16"/>
  <c r="G7" i="16"/>
  <c r="D7" i="16"/>
  <c r="C7" i="16"/>
  <c r="A7" i="16" s="1"/>
  <c r="B7" i="16"/>
  <c r="I6" i="16"/>
  <c r="H6" i="16"/>
  <c r="G6" i="16" s="1"/>
  <c r="D6" i="16"/>
  <c r="C6" i="16"/>
  <c r="I5" i="16"/>
  <c r="I26" i="16" s="1"/>
  <c r="F5" i="16"/>
  <c r="F26" i="16" s="1"/>
  <c r="C5" i="16"/>
  <c r="B5" i="16"/>
  <c r="A5" i="16"/>
  <c r="I30" i="15"/>
  <c r="H30" i="15"/>
  <c r="F30" i="15"/>
  <c r="E30" i="15"/>
  <c r="G29" i="15"/>
  <c r="D29" i="15"/>
  <c r="C29" i="15"/>
  <c r="B29" i="15"/>
  <c r="A29" i="15" s="1"/>
  <c r="G28" i="15"/>
  <c r="D28" i="15"/>
  <c r="C28" i="15"/>
  <c r="B28" i="15"/>
  <c r="A28" i="15" s="1"/>
  <c r="G27" i="15"/>
  <c r="D27" i="15"/>
  <c r="C27" i="15"/>
  <c r="B27" i="15"/>
  <c r="G26" i="15"/>
  <c r="D26" i="15"/>
  <c r="C26" i="15"/>
  <c r="B26" i="15"/>
  <c r="A26" i="15"/>
  <c r="G25" i="15"/>
  <c r="D25" i="15"/>
  <c r="C25" i="15"/>
  <c r="B25" i="15"/>
  <c r="A25" i="15" s="1"/>
  <c r="G24" i="15"/>
  <c r="D24" i="15"/>
  <c r="C24" i="15"/>
  <c r="B24" i="15"/>
  <c r="A24" i="15" s="1"/>
  <c r="G23" i="15"/>
  <c r="D23" i="15"/>
  <c r="C23" i="15"/>
  <c r="B23" i="15"/>
  <c r="G22" i="15"/>
  <c r="D22" i="15"/>
  <c r="C22" i="15"/>
  <c r="B22" i="15"/>
  <c r="A22" i="15"/>
  <c r="G21" i="15"/>
  <c r="D21" i="15"/>
  <c r="C21" i="15"/>
  <c r="B21" i="15"/>
  <c r="A21" i="15" s="1"/>
  <c r="G20" i="15"/>
  <c r="D20" i="15"/>
  <c r="C20" i="15"/>
  <c r="B20" i="15"/>
  <c r="G19" i="15"/>
  <c r="D19" i="15"/>
  <c r="C19" i="15"/>
  <c r="B19" i="15"/>
  <c r="A19" i="15"/>
  <c r="G18" i="15"/>
  <c r="D18" i="15"/>
  <c r="C18" i="15"/>
  <c r="B18" i="15"/>
  <c r="A18" i="15" s="1"/>
  <c r="G17" i="15"/>
  <c r="D17" i="15"/>
  <c r="C17" i="15"/>
  <c r="B17" i="15"/>
  <c r="A17" i="15" s="1"/>
  <c r="G16" i="15"/>
  <c r="D16" i="15"/>
  <c r="C16" i="15"/>
  <c r="B16" i="15"/>
  <c r="G15" i="15"/>
  <c r="D15" i="15"/>
  <c r="C15" i="15"/>
  <c r="B15" i="15"/>
  <c r="A15" i="15"/>
  <c r="G14" i="15"/>
  <c r="D14" i="15"/>
  <c r="C14" i="15"/>
  <c r="B14" i="15"/>
  <c r="A14" i="15" s="1"/>
  <c r="G13" i="15"/>
  <c r="D13" i="15"/>
  <c r="C13" i="15"/>
  <c r="B13" i="15"/>
  <c r="A13" i="15" s="1"/>
  <c r="G12" i="15"/>
  <c r="D12" i="15"/>
  <c r="C12" i="15"/>
  <c r="B12" i="15"/>
  <c r="G11" i="15"/>
  <c r="D11" i="15"/>
  <c r="C11" i="15"/>
  <c r="B11" i="15"/>
  <c r="A11" i="15"/>
  <c r="G10" i="15"/>
  <c r="D10" i="15"/>
  <c r="C10" i="15"/>
  <c r="B10" i="15"/>
  <c r="A10" i="15" s="1"/>
  <c r="G9" i="15"/>
  <c r="D9" i="15"/>
  <c r="C9" i="15"/>
  <c r="B9" i="15"/>
  <c r="A9" i="15" s="1"/>
  <c r="G8" i="15"/>
  <c r="D8" i="15"/>
  <c r="C8" i="15"/>
  <c r="B8" i="15"/>
  <c r="G7" i="15"/>
  <c r="D7" i="15"/>
  <c r="C7" i="15"/>
  <c r="B7" i="15"/>
  <c r="A7" i="15"/>
  <c r="G6" i="15"/>
  <c r="D6" i="15"/>
  <c r="C6" i="15"/>
  <c r="B6" i="15"/>
  <c r="A6" i="15" s="1"/>
  <c r="G5" i="15"/>
  <c r="D5" i="15"/>
  <c r="D30" i="15" s="1"/>
  <c r="C5" i="15"/>
  <c r="B5" i="15"/>
  <c r="B30" i="15" s="1"/>
  <c r="G31" i="17" l="1"/>
  <c r="A73" i="17"/>
  <c r="C22" i="18"/>
  <c r="A172" i="21"/>
  <c r="A16" i="22"/>
  <c r="A18" i="22"/>
  <c r="A20" i="22"/>
  <c r="A23" i="22"/>
  <c r="A25" i="22"/>
  <c r="B26" i="22"/>
  <c r="B62" i="22" s="1"/>
  <c r="A27" i="22"/>
  <c r="B29" i="22"/>
  <c r="A30" i="22"/>
  <c r="A32" i="22"/>
  <c r="D37" i="22"/>
  <c r="G40" i="22"/>
  <c r="A41" i="22"/>
  <c r="G43" i="22"/>
  <c r="A43" i="22" s="1"/>
  <c r="A44" i="22"/>
  <c r="A46" i="22"/>
  <c r="D49" i="22"/>
  <c r="G48" i="22"/>
  <c r="A48" i="22" s="1"/>
  <c r="A55" i="22"/>
  <c r="A61" i="22"/>
  <c r="A80" i="22"/>
  <c r="A120" i="22"/>
  <c r="A389" i="22"/>
  <c r="A554" i="22"/>
  <c r="A631" i="22"/>
  <c r="A634" i="22"/>
  <c r="B737" i="22"/>
  <c r="B764" i="22" s="1"/>
  <c r="B771" i="22"/>
  <c r="A911" i="22"/>
  <c r="A872" i="22"/>
  <c r="A874" i="22"/>
  <c r="A876" i="22" s="1"/>
  <c r="A878" i="22"/>
  <c r="A880" i="22"/>
  <c r="A882" i="22" s="1"/>
  <c r="A884" i="22"/>
  <c r="A886" i="22"/>
  <c r="A888" i="22" s="1"/>
  <c r="A890" i="22"/>
  <c r="A892" i="22"/>
  <c r="A894" i="22" s="1"/>
  <c r="B897" i="22"/>
  <c r="D897" i="22"/>
  <c r="A906" i="22"/>
  <c r="A947" i="22"/>
  <c r="A950" i="22" s="1"/>
  <c r="A961" i="22"/>
  <c r="A965" i="22"/>
  <c r="H1037" i="22"/>
  <c r="A978" i="22"/>
  <c r="A980" i="22" s="1"/>
  <c r="C983" i="22"/>
  <c r="G983" i="22"/>
  <c r="A984" i="22"/>
  <c r="A986" i="22" s="1"/>
  <c r="C989" i="22"/>
  <c r="G989" i="22"/>
  <c r="A990" i="22"/>
  <c r="A992" i="22" s="1"/>
  <c r="C995" i="22"/>
  <c r="G995" i="22"/>
  <c r="A996" i="22"/>
  <c r="A998" i="22" s="1"/>
  <c r="C1001" i="22"/>
  <c r="G1001" i="22"/>
  <c r="A1002" i="22"/>
  <c r="A1004" i="22" s="1"/>
  <c r="G1007" i="22"/>
  <c r="A1008" i="22"/>
  <c r="A1010" i="22" s="1"/>
  <c r="A1014" i="22"/>
  <c r="A1016" i="22" s="1"/>
  <c r="A1020" i="22"/>
  <c r="A1022" i="22" s="1"/>
  <c r="A1026" i="22"/>
  <c r="A1028" i="22" s="1"/>
  <c r="A1032" i="22"/>
  <c r="A1034" i="22" s="1"/>
  <c r="A81" i="23"/>
  <c r="A85" i="23"/>
  <c r="A89" i="23"/>
  <c r="A98" i="23" s="1"/>
  <c r="A93" i="23"/>
  <c r="A197" i="23"/>
  <c r="A263" i="23"/>
  <c r="A259" i="23"/>
  <c r="A272" i="23"/>
  <c r="A278" i="23"/>
  <c r="A302" i="23"/>
  <c r="A339" i="23"/>
  <c r="A347" i="23"/>
  <c r="A5" i="15"/>
  <c r="C30" i="15"/>
  <c r="G30" i="15"/>
  <c r="A8" i="15"/>
  <c r="A12" i="15"/>
  <c r="A16" i="15"/>
  <c r="A20" i="15"/>
  <c r="A23" i="15"/>
  <c r="A27" i="15"/>
  <c r="D5" i="16"/>
  <c r="D26" i="16" s="1"/>
  <c r="G5" i="16"/>
  <c r="B6" i="16"/>
  <c r="A6" i="16" s="1"/>
  <c r="D10" i="16"/>
  <c r="C11" i="16"/>
  <c r="A11" i="16" s="1"/>
  <c r="A18" i="16"/>
  <c r="C19" i="16"/>
  <c r="A19" i="16" s="1"/>
  <c r="C20" i="16"/>
  <c r="A20" i="16" s="1"/>
  <c r="A21" i="16"/>
  <c r="C23" i="16"/>
  <c r="A23" i="16" s="1"/>
  <c r="A24" i="16"/>
  <c r="B77" i="17"/>
  <c r="D77" i="17"/>
  <c r="A6" i="17"/>
  <c r="D78" i="17"/>
  <c r="E79" i="17"/>
  <c r="H79" i="17"/>
  <c r="A8" i="17"/>
  <c r="A10" i="17" s="1"/>
  <c r="A12" i="17"/>
  <c r="A13" i="17" s="1"/>
  <c r="A14" i="17"/>
  <c r="A16" i="17" s="1"/>
  <c r="A18" i="17"/>
  <c r="A19" i="17" s="1"/>
  <c r="A20" i="17"/>
  <c r="A22" i="17" s="1"/>
  <c r="A24" i="17"/>
  <c r="A25" i="17" s="1"/>
  <c r="A26" i="17"/>
  <c r="A28" i="17" s="1"/>
  <c r="A30" i="17"/>
  <c r="A31" i="17" s="1"/>
  <c r="A32" i="17"/>
  <c r="A34" i="17" s="1"/>
  <c r="A36" i="17"/>
  <c r="A37" i="17" s="1"/>
  <c r="A38" i="17"/>
  <c r="A40" i="17" s="1"/>
  <c r="A42" i="17"/>
  <c r="A43" i="17" s="1"/>
  <c r="A44" i="17"/>
  <c r="A46" i="17" s="1"/>
  <c r="A48" i="17"/>
  <c r="A49" i="17" s="1"/>
  <c r="A50" i="17"/>
  <c r="A52" i="17" s="1"/>
  <c r="A54" i="17"/>
  <c r="A55" i="17" s="1"/>
  <c r="A56" i="17"/>
  <c r="A58" i="17" s="1"/>
  <c r="A60" i="17"/>
  <c r="A61" i="17" s="1"/>
  <c r="A62" i="17"/>
  <c r="A64" i="17" s="1"/>
  <c r="A66" i="17"/>
  <c r="A67" i="17" s="1"/>
  <c r="A68" i="17"/>
  <c r="A70" i="17" s="1"/>
  <c r="B73" i="17"/>
  <c r="D73" i="17"/>
  <c r="C76" i="17"/>
  <c r="G76" i="17"/>
  <c r="I74" i="18"/>
  <c r="D8" i="18"/>
  <c r="D10" i="18" s="1"/>
  <c r="G8" i="18"/>
  <c r="I10" i="18"/>
  <c r="C9" i="18"/>
  <c r="C75" i="18" s="1"/>
  <c r="H75" i="18"/>
  <c r="C13" i="18"/>
  <c r="G13" i="18"/>
  <c r="B14" i="18"/>
  <c r="B16" i="18" s="1"/>
  <c r="D14" i="18"/>
  <c r="D16" i="18" s="1"/>
  <c r="G14" i="18"/>
  <c r="G16" i="18" s="1"/>
  <c r="A18" i="18"/>
  <c r="A19" i="18" s="1"/>
  <c r="D20" i="18"/>
  <c r="G20" i="18"/>
  <c r="B23" i="18"/>
  <c r="B25" i="18" s="1"/>
  <c r="A24" i="18"/>
  <c r="C28" i="18"/>
  <c r="G28" i="18"/>
  <c r="C31" i="18"/>
  <c r="D30" i="18"/>
  <c r="G30" i="18"/>
  <c r="G31" i="18" s="1"/>
  <c r="A33" i="18"/>
  <c r="A34" i="18" s="1"/>
  <c r="B35" i="18"/>
  <c r="B37" i="18" s="1"/>
  <c r="D35" i="18"/>
  <c r="D37" i="18" s="1"/>
  <c r="G35" i="18"/>
  <c r="G37" i="18" s="1"/>
  <c r="A41" i="18"/>
  <c r="A43" i="18" s="1"/>
  <c r="G41" i="18"/>
  <c r="G43" i="18" s="1"/>
  <c r="B44" i="18"/>
  <c r="D44" i="18"/>
  <c r="D46" i="18" s="1"/>
  <c r="G44" i="18"/>
  <c r="G46" i="18" s="1"/>
  <c r="A45" i="18"/>
  <c r="A47" i="18"/>
  <c r="C52" i="18"/>
  <c r="G52" i="18"/>
  <c r="A53" i="18"/>
  <c r="C58" i="18"/>
  <c r="G58" i="18"/>
  <c r="A59" i="18"/>
  <c r="A61" i="18" s="1"/>
  <c r="B67" i="18"/>
  <c r="D67" i="18"/>
  <c r="A69" i="18"/>
  <c r="A70" i="18" s="1"/>
  <c r="A71" i="18"/>
  <c r="A73" i="18" s="1"/>
  <c r="G71" i="18"/>
  <c r="G73" i="18" s="1"/>
  <c r="C44" i="19"/>
  <c r="G44" i="19"/>
  <c r="C45" i="19"/>
  <c r="G45" i="19"/>
  <c r="B46" i="19"/>
  <c r="B47" i="19" s="1"/>
  <c r="D46" i="19"/>
  <c r="D47" i="19" s="1"/>
  <c r="A8" i="19"/>
  <c r="A12" i="19"/>
  <c r="A16" i="19"/>
  <c r="A46" i="19" s="1"/>
  <c r="A20" i="19"/>
  <c r="A24" i="19"/>
  <c r="A28" i="19"/>
  <c r="A32" i="19"/>
  <c r="A36" i="19"/>
  <c r="A39" i="19"/>
  <c r="A42" i="19"/>
  <c r="D68" i="20"/>
  <c r="C6" i="20"/>
  <c r="A6" i="20" s="1"/>
  <c r="I69" i="20"/>
  <c r="B70" i="20"/>
  <c r="F68" i="20"/>
  <c r="H68" i="20"/>
  <c r="H69" i="20"/>
  <c r="C10" i="20"/>
  <c r="A10" i="20" s="1"/>
  <c r="B14" i="20"/>
  <c r="B68" i="20" s="1"/>
  <c r="G16" i="20"/>
  <c r="G70" i="20" s="1"/>
  <c r="C18" i="20"/>
  <c r="A18" i="20" s="1"/>
  <c r="A19" i="20"/>
  <c r="C20" i="20"/>
  <c r="A20" i="20" s="1"/>
  <c r="A21" i="20"/>
  <c r="G21" i="20"/>
  <c r="A22" i="20"/>
  <c r="A33" i="20"/>
  <c r="D39" i="20"/>
  <c r="A52" i="20"/>
  <c r="A56" i="20"/>
  <c r="A57" i="20"/>
  <c r="B66" i="20"/>
  <c r="C11" i="21"/>
  <c r="G11" i="21"/>
  <c r="A7" i="21"/>
  <c r="A11" i="21" s="1"/>
  <c r="A17" i="21"/>
  <c r="A18" i="21" s="1"/>
  <c r="B28" i="21"/>
  <c r="D28" i="21"/>
  <c r="A25" i="21"/>
  <c r="A28" i="21" s="1"/>
  <c r="C45" i="21"/>
  <c r="G45" i="21"/>
  <c r="A36" i="21"/>
  <c r="A40" i="21"/>
  <c r="A44" i="21"/>
  <c r="B56" i="21"/>
  <c r="D56" i="21"/>
  <c r="A62" i="21"/>
  <c r="A64" i="21" s="1"/>
  <c r="C64" i="21"/>
  <c r="G64" i="21"/>
  <c r="A70" i="21"/>
  <c r="C80" i="21"/>
  <c r="G80" i="21"/>
  <c r="A73" i="21"/>
  <c r="A77" i="21"/>
  <c r="B94" i="21"/>
  <c r="D94" i="21"/>
  <c r="A87" i="21"/>
  <c r="A94" i="21" s="1"/>
  <c r="A91" i="21"/>
  <c r="C102" i="21"/>
  <c r="G102" i="21"/>
  <c r="A108" i="21"/>
  <c r="A111" i="21" s="1"/>
  <c r="C111" i="21"/>
  <c r="G111" i="21"/>
  <c r="B121" i="21"/>
  <c r="D121" i="21"/>
  <c r="A118" i="21"/>
  <c r="A121" i="21" s="1"/>
  <c r="A135" i="21"/>
  <c r="C140" i="21"/>
  <c r="G140" i="21"/>
  <c r="A138" i="21"/>
  <c r="B149" i="21"/>
  <c r="D149" i="21"/>
  <c r="A147" i="21"/>
  <c r="A149" i="21" s="1"/>
  <c r="B162" i="21"/>
  <c r="D162" i="21"/>
  <c r="A157" i="21"/>
  <c r="A162" i="21" s="1"/>
  <c r="B172" i="21"/>
  <c r="D172" i="21"/>
  <c r="A178" i="21"/>
  <c r="A180" i="21" s="1"/>
  <c r="C180" i="21"/>
  <c r="G180" i="21"/>
  <c r="A186" i="21"/>
  <c r="A188" i="21" s="1"/>
  <c r="C188" i="21"/>
  <c r="G188" i="21"/>
  <c r="A194" i="21"/>
  <c r="A195" i="21" s="1"/>
  <c r="B205" i="21"/>
  <c r="D205" i="21"/>
  <c r="A202" i="21"/>
  <c r="A205" i="21" s="1"/>
  <c r="B255" i="21"/>
  <c r="D255" i="21"/>
  <c r="A212" i="21"/>
  <c r="A255" i="21" s="1"/>
  <c r="A216" i="21"/>
  <c r="A220" i="21"/>
  <c r="A224" i="21"/>
  <c r="A228" i="21"/>
  <c r="A232" i="21"/>
  <c r="A236" i="21"/>
  <c r="A240" i="21"/>
  <c r="A244" i="21"/>
  <c r="A248" i="21"/>
  <c r="A252" i="21"/>
  <c r="A268" i="21"/>
  <c r="A283" i="21"/>
  <c r="C62" i="22"/>
  <c r="G7" i="22"/>
  <c r="A9" i="22"/>
  <c r="A63" i="22" s="1"/>
  <c r="G13" i="22"/>
  <c r="H62" i="22"/>
  <c r="C16" i="22"/>
  <c r="G17" i="22"/>
  <c r="G49" i="22"/>
  <c r="A95" i="22"/>
  <c r="A125" i="22" s="1"/>
  <c r="A101" i="22"/>
  <c r="A102" i="22" s="1"/>
  <c r="C136" i="22"/>
  <c r="G136" i="22"/>
  <c r="A137" i="22"/>
  <c r="C142" i="22"/>
  <c r="G142" i="22"/>
  <c r="A143" i="22"/>
  <c r="A185" i="22" s="1"/>
  <c r="G148" i="22"/>
  <c r="A149" i="22"/>
  <c r="A155" i="22"/>
  <c r="A167" i="22"/>
  <c r="A179" i="22"/>
  <c r="A196" i="22"/>
  <c r="A197" i="22" s="1"/>
  <c r="B200" i="22"/>
  <c r="A198" i="22"/>
  <c r="A200" i="22" s="1"/>
  <c r="A202" i="22"/>
  <c r="A203" i="22" s="1"/>
  <c r="A204" i="22"/>
  <c r="A206" i="22" s="1"/>
  <c r="A208" i="22"/>
  <c r="A209" i="22" s="1"/>
  <c r="A210" i="22"/>
  <c r="A212" i="22" s="1"/>
  <c r="A214" i="22"/>
  <c r="A215" i="22" s="1"/>
  <c r="A216" i="22"/>
  <c r="A218" i="22" s="1"/>
  <c r="A220" i="22"/>
  <c r="A221" i="22" s="1"/>
  <c r="A222" i="22"/>
  <c r="A224" i="22" s="1"/>
  <c r="A226" i="22"/>
  <c r="A227" i="22" s="1"/>
  <c r="A228" i="22"/>
  <c r="A230" i="22" s="1"/>
  <c r="A259" i="22"/>
  <c r="A290" i="22"/>
  <c r="A292" i="22" s="1"/>
  <c r="A294" i="22"/>
  <c r="A295" i="22" s="1"/>
  <c r="B298" i="22"/>
  <c r="A296" i="22"/>
  <c r="A298" i="22" s="1"/>
  <c r="A300" i="22"/>
  <c r="A301" i="22" s="1"/>
  <c r="B304" i="22"/>
  <c r="A302" i="22"/>
  <c r="A304" i="22" s="1"/>
  <c r="A306" i="22"/>
  <c r="A307" i="22" s="1"/>
  <c r="B310" i="22"/>
  <c r="A308" i="22"/>
  <c r="A310" i="22" s="1"/>
  <c r="A312" i="22"/>
  <c r="A313" i="22" s="1"/>
  <c r="A318" i="22"/>
  <c r="A324" i="22"/>
  <c r="A398" i="22"/>
  <c r="A400" i="22" s="1"/>
  <c r="A402" i="22"/>
  <c r="A404" i="22"/>
  <c r="A406" i="22" s="1"/>
  <c r="C406" i="22"/>
  <c r="G406" i="22"/>
  <c r="A407" i="22"/>
  <c r="A409" i="22" s="1"/>
  <c r="C412" i="22"/>
  <c r="G412" i="22"/>
  <c r="A413" i="22"/>
  <c r="A415" i="22" s="1"/>
  <c r="A419" i="22"/>
  <c r="A421" i="22" s="1"/>
  <c r="G424" i="22"/>
  <c r="A425" i="22"/>
  <c r="A427" i="22" s="1"/>
  <c r="C430" i="22"/>
  <c r="G430" i="22"/>
  <c r="A431" i="22"/>
  <c r="A433" i="22" s="1"/>
  <c r="A437" i="22"/>
  <c r="A439" i="22" s="1"/>
  <c r="B458" i="22"/>
  <c r="B530" i="22" s="1"/>
  <c r="A456" i="22"/>
  <c r="A458" i="22" s="1"/>
  <c r="A460" i="22"/>
  <c r="B464" i="22"/>
  <c r="A462" i="22"/>
  <c r="A464" i="22" s="1"/>
  <c r="A466" i="22"/>
  <c r="B470" i="22"/>
  <c r="A468" i="22"/>
  <c r="A470" i="22" s="1"/>
  <c r="A472" i="22"/>
  <c r="B476" i="22"/>
  <c r="A474" i="22"/>
  <c r="A476" i="22" s="1"/>
  <c r="A478" i="22"/>
  <c r="B482" i="22"/>
  <c r="A480" i="22"/>
  <c r="A482" i="22" s="1"/>
  <c r="A484" i="22"/>
  <c r="B488" i="22"/>
  <c r="A486" i="22"/>
  <c r="A488" i="22" s="1"/>
  <c r="A490" i="22"/>
  <c r="B494" i="22"/>
  <c r="A492" i="22"/>
  <c r="A494" i="22" s="1"/>
  <c r="A496" i="22"/>
  <c r="B500" i="22"/>
  <c r="D500" i="22"/>
  <c r="C500" i="22"/>
  <c r="G499" i="22"/>
  <c r="A499" i="22" s="1"/>
  <c r="C503" i="22"/>
  <c r="G503" i="22"/>
  <c r="C504" i="22"/>
  <c r="C506" i="22" s="1"/>
  <c r="G504" i="22"/>
  <c r="A507" i="22"/>
  <c r="A509" i="22" s="1"/>
  <c r="A513" i="22"/>
  <c r="A515" i="22" s="1"/>
  <c r="A555" i="22"/>
  <c r="A563" i="22"/>
  <c r="B567" i="22"/>
  <c r="B570" i="22"/>
  <c r="B573" i="22"/>
  <c r="D573" i="22"/>
  <c r="A575" i="22"/>
  <c r="B579" i="22"/>
  <c r="D579" i="22"/>
  <c r="A581" i="22"/>
  <c r="B585" i="22"/>
  <c r="B588" i="22"/>
  <c r="D588" i="22"/>
  <c r="A590" i="22"/>
  <c r="C599" i="22"/>
  <c r="C647" i="22" s="1"/>
  <c r="G599" i="22"/>
  <c r="A600" i="22"/>
  <c r="G648" i="22"/>
  <c r="A602" i="22"/>
  <c r="A604" i="22" s="1"/>
  <c r="C607" i="22"/>
  <c r="G607" i="22"/>
  <c r="A608" i="22"/>
  <c r="A610" i="22" s="1"/>
  <c r="C610" i="22"/>
  <c r="G610" i="22"/>
  <c r="A611" i="22"/>
  <c r="A613" i="22" s="1"/>
  <c r="C613" i="22"/>
  <c r="G613" i="22"/>
  <c r="G614" i="22"/>
  <c r="A617" i="22"/>
  <c r="A619" i="22" s="1"/>
  <c r="C619" i="22"/>
  <c r="G619" i="22"/>
  <c r="B622" i="22"/>
  <c r="D622" i="22"/>
  <c r="A624" i="22"/>
  <c r="B628" i="22"/>
  <c r="D628" i="22"/>
  <c r="G627" i="22"/>
  <c r="A627" i="22" s="1"/>
  <c r="A717" i="22"/>
  <c r="B721" i="22"/>
  <c r="D721" i="22"/>
  <c r="A723" i="22"/>
  <c r="A729" i="22" s="1"/>
  <c r="B727" i="22"/>
  <c r="D727" i="22"/>
  <c r="C735" i="22"/>
  <c r="G735" i="22"/>
  <c r="A735" i="22" s="1"/>
  <c r="A736" i="22"/>
  <c r="D737" i="22"/>
  <c r="D764" i="22" s="1"/>
  <c r="A738" i="22"/>
  <c r="A740" i="22" s="1"/>
  <c r="C743" i="22"/>
  <c r="G743" i="22"/>
  <c r="A744" i="22"/>
  <c r="A746" i="22" s="1"/>
  <c r="C749" i="22"/>
  <c r="G749" i="22"/>
  <c r="A750" i="22"/>
  <c r="A752" i="22" s="1"/>
  <c r="A754" i="22"/>
  <c r="C758" i="22"/>
  <c r="G758" i="22"/>
  <c r="A759" i="22"/>
  <c r="A761" i="22" s="1"/>
  <c r="C769" i="22"/>
  <c r="G769" i="22"/>
  <c r="A770" i="22"/>
  <c r="D771" i="22"/>
  <c r="C772" i="22"/>
  <c r="C774" i="22" s="1"/>
  <c r="G772" i="22"/>
  <c r="A775" i="22"/>
  <c r="C780" i="22"/>
  <c r="G780" i="22"/>
  <c r="C781" i="22"/>
  <c r="C783" i="22" s="1"/>
  <c r="G781" i="22"/>
  <c r="A782" i="22"/>
  <c r="C786" i="22"/>
  <c r="G786" i="22"/>
  <c r="A787" i="22"/>
  <c r="C797" i="22"/>
  <c r="G797" i="22"/>
  <c r="A798" i="22"/>
  <c r="C800" i="22"/>
  <c r="C802" i="22" s="1"/>
  <c r="G800" i="22"/>
  <c r="A803" i="22"/>
  <c r="A807" i="22"/>
  <c r="C811" i="22"/>
  <c r="G811" i="22"/>
  <c r="A812" i="22"/>
  <c r="A847" i="22"/>
  <c r="C852" i="22"/>
  <c r="G852" i="22"/>
  <c r="A853" i="22"/>
  <c r="G858" i="22"/>
  <c r="A859" i="22"/>
  <c r="A891" i="22"/>
  <c r="A897" i="22"/>
  <c r="B903" i="22"/>
  <c r="D903" i="22"/>
  <c r="A937" i="22"/>
  <c r="A940" i="22" s="1"/>
  <c r="A969" i="22"/>
  <c r="A5" i="23"/>
  <c r="A8" i="23"/>
  <c r="A12" i="23"/>
  <c r="A16" i="23"/>
  <c r="A20" i="23"/>
  <c r="A24" i="23"/>
  <c r="A28" i="23"/>
  <c r="A32" i="23"/>
  <c r="A72" i="23"/>
  <c r="G100" i="23"/>
  <c r="A76" i="23"/>
  <c r="A100" i="23" s="1"/>
  <c r="A110" i="23"/>
  <c r="A155" i="23" s="1"/>
  <c r="A118" i="23"/>
  <c r="A157" i="23" s="1"/>
  <c r="A129" i="23"/>
  <c r="A156" i="23" s="1"/>
  <c r="A134" i="23"/>
  <c r="A138" i="23"/>
  <c r="A142" i="23"/>
  <c r="A146" i="23"/>
  <c r="A150" i="23"/>
  <c r="A167" i="23"/>
  <c r="A171" i="23"/>
  <c r="A201" i="23" s="1"/>
  <c r="A175" i="23"/>
  <c r="A202" i="23" s="1"/>
  <c r="A179" i="23"/>
  <c r="A200" i="23" s="1"/>
  <c r="A203" i="23" s="1"/>
  <c r="A183" i="23"/>
  <c r="A212" i="23"/>
  <c r="A216" i="23"/>
  <c r="A228" i="23" s="1"/>
  <c r="A220" i="23"/>
  <c r="A229" i="23" s="1"/>
  <c r="A224" i="23"/>
  <c r="A227" i="23" s="1"/>
  <c r="A265" i="23"/>
  <c r="A306" i="23"/>
  <c r="A323" i="23"/>
  <c r="A318" i="23"/>
  <c r="A324" i="23" s="1"/>
  <c r="A319" i="23"/>
  <c r="A341" i="23"/>
  <c r="A368" i="23"/>
  <c r="A30" i="15"/>
  <c r="G26" i="16"/>
  <c r="A49" i="18"/>
  <c r="A55" i="18"/>
  <c r="H26" i="16"/>
  <c r="A7" i="17"/>
  <c r="C7" i="17"/>
  <c r="C79" i="17" s="1"/>
  <c r="G7" i="17"/>
  <c r="G79" i="17" s="1"/>
  <c r="A74" i="17"/>
  <c r="A76" i="17" s="1"/>
  <c r="B78" i="17"/>
  <c r="B5" i="18"/>
  <c r="D5" i="18"/>
  <c r="G5" i="18"/>
  <c r="A6" i="18"/>
  <c r="C8" i="18"/>
  <c r="C10" i="18" s="1"/>
  <c r="G9" i="18"/>
  <c r="H10" i="18"/>
  <c r="H76" i="18" s="1"/>
  <c r="A11" i="18"/>
  <c r="A13" i="18" s="1"/>
  <c r="A14" i="18"/>
  <c r="A16" i="18" s="1"/>
  <c r="A20" i="18"/>
  <c r="B21" i="18"/>
  <c r="A21" i="18" s="1"/>
  <c r="D21" i="18"/>
  <c r="D75" i="18" s="1"/>
  <c r="G21" i="18"/>
  <c r="G22" i="18" s="1"/>
  <c r="F22" i="18"/>
  <c r="A23" i="18"/>
  <c r="A25" i="18" s="1"/>
  <c r="G23" i="18"/>
  <c r="G25" i="18" s="1"/>
  <c r="A26" i="18"/>
  <c r="A28" i="18" s="1"/>
  <c r="B29" i="18"/>
  <c r="D29" i="18"/>
  <c r="D31" i="18" s="1"/>
  <c r="B30" i="18"/>
  <c r="A30" i="18" s="1"/>
  <c r="A35" i="18"/>
  <c r="A37" i="18" s="1"/>
  <c r="A50" i="18"/>
  <c r="A52" i="18" s="1"/>
  <c r="A56" i="18"/>
  <c r="A58" i="18" s="1"/>
  <c r="A62" i="18"/>
  <c r="A64" i="18" s="1"/>
  <c r="G62" i="18"/>
  <c r="G64" i="18" s="1"/>
  <c r="A65" i="18"/>
  <c r="A67" i="18" s="1"/>
  <c r="E75" i="18"/>
  <c r="A5" i="19"/>
  <c r="A44" i="19" s="1"/>
  <c r="D6" i="20"/>
  <c r="G6" i="20"/>
  <c r="G69" i="20" s="1"/>
  <c r="C8" i="20"/>
  <c r="F71" i="20"/>
  <c r="B9" i="20"/>
  <c r="A9" i="20" s="1"/>
  <c r="D9" i="20"/>
  <c r="D10" i="20"/>
  <c r="D70" i="20" s="1"/>
  <c r="A14" i="20"/>
  <c r="C16" i="20"/>
  <c r="A16" i="20" s="1"/>
  <c r="A42" i="20"/>
  <c r="A80" i="21"/>
  <c r="A140" i="21"/>
  <c r="A270" i="21"/>
  <c r="A285" i="21"/>
  <c r="A37" i="22"/>
  <c r="A49" i="22"/>
  <c r="A52" i="22"/>
  <c r="A58" i="22"/>
  <c r="A77" i="22"/>
  <c r="A139" i="22"/>
  <c r="A145" i="22"/>
  <c r="A151" i="22"/>
  <c r="A157" i="22"/>
  <c r="A163" i="22"/>
  <c r="A169" i="22"/>
  <c r="A175" i="22"/>
  <c r="A181" i="22"/>
  <c r="A261" i="22"/>
  <c r="A267" i="22"/>
  <c r="A274" i="22"/>
  <c r="A258" i="22"/>
  <c r="C9" i="16"/>
  <c r="C16" i="16"/>
  <c r="A16" i="16" s="1"/>
  <c r="C17" i="16"/>
  <c r="A17" i="16" s="1"/>
  <c r="B7" i="17"/>
  <c r="B79" i="17" s="1"/>
  <c r="D7" i="17"/>
  <c r="D79" i="17" s="1"/>
  <c r="C7" i="18"/>
  <c r="C76" i="18" s="1"/>
  <c r="E7" i="18"/>
  <c r="E76" i="18" s="1"/>
  <c r="I7" i="18"/>
  <c r="I76" i="18" s="1"/>
  <c r="F31" i="18"/>
  <c r="A38" i="18"/>
  <c r="A40" i="18" s="1"/>
  <c r="A6" i="19"/>
  <c r="A45" i="19" s="1"/>
  <c r="C68" i="20"/>
  <c r="G68" i="20"/>
  <c r="I71" i="20"/>
  <c r="E71" i="20"/>
  <c r="A83" i="22"/>
  <c r="A26" i="20"/>
  <c r="C27" i="20"/>
  <c r="C69" i="20" s="1"/>
  <c r="A29" i="20"/>
  <c r="A32" i="20"/>
  <c r="C34" i="20"/>
  <c r="A35" i="20"/>
  <c r="A38" i="20"/>
  <c r="B39" i="20"/>
  <c r="A39" i="20" s="1"/>
  <c r="A41" i="20"/>
  <c r="A44" i="20"/>
  <c r="A47" i="20"/>
  <c r="C48" i="20"/>
  <c r="A59" i="20"/>
  <c r="A66" i="20"/>
  <c r="D11" i="21"/>
  <c r="A100" i="21"/>
  <c r="A102" i="21" s="1"/>
  <c r="D7" i="22"/>
  <c r="D13" i="22"/>
  <c r="A13" i="22" s="1"/>
  <c r="H16" i="22"/>
  <c r="B16" i="22" s="1"/>
  <c r="I19" i="22"/>
  <c r="C19" i="22" s="1"/>
  <c r="D22" i="22"/>
  <c r="A22" i="22" s="1"/>
  <c r="D34" i="22"/>
  <c r="A34" i="22" s="1"/>
  <c r="D40" i="22"/>
  <c r="A40" i="22" s="1"/>
  <c r="A47" i="22"/>
  <c r="H49" i="22"/>
  <c r="B49" i="22" s="1"/>
  <c r="A50" i="22"/>
  <c r="A56" i="22"/>
  <c r="A70" i="22"/>
  <c r="A85" i="22" s="1"/>
  <c r="B71" i="22"/>
  <c r="B86" i="22" s="1"/>
  <c r="D71" i="22"/>
  <c r="D86" i="22" s="1"/>
  <c r="A72" i="22"/>
  <c r="A84" i="22" s="1"/>
  <c r="I77" i="22"/>
  <c r="C77" i="22" s="1"/>
  <c r="C86" i="22" s="1"/>
  <c r="A91" i="22"/>
  <c r="C93" i="22"/>
  <c r="C126" i="22" s="1"/>
  <c r="G93" i="22"/>
  <c r="G126" i="22" s="1"/>
  <c r="A97" i="22"/>
  <c r="A99" i="22" s="1"/>
  <c r="A103" i="22"/>
  <c r="A105" i="22" s="1"/>
  <c r="A109" i="22"/>
  <c r="A111" i="22" s="1"/>
  <c r="A115" i="22"/>
  <c r="A117" i="22" s="1"/>
  <c r="A121" i="22"/>
  <c r="A123" i="22" s="1"/>
  <c r="B124" i="22"/>
  <c r="D124" i="22"/>
  <c r="A133" i="22"/>
  <c r="A187" i="22" s="1"/>
  <c r="C133" i="22"/>
  <c r="C187" i="22" s="1"/>
  <c r="G133" i="22"/>
  <c r="G187" i="22" s="1"/>
  <c r="D136" i="22"/>
  <c r="D142" i="22"/>
  <c r="D148" i="22"/>
  <c r="D154" i="22"/>
  <c r="D160" i="22"/>
  <c r="D166" i="22"/>
  <c r="D172" i="22"/>
  <c r="D178" i="22"/>
  <c r="D184" i="22"/>
  <c r="D186" i="22"/>
  <c r="B194" i="22"/>
  <c r="B251" i="22" s="1"/>
  <c r="D194" i="22"/>
  <c r="D200" i="22"/>
  <c r="D206" i="22"/>
  <c r="D212" i="22"/>
  <c r="D218" i="22"/>
  <c r="D224" i="22"/>
  <c r="D230" i="22"/>
  <c r="D236" i="22"/>
  <c r="D242" i="22"/>
  <c r="D248" i="22"/>
  <c r="C249" i="22"/>
  <c r="G249" i="22"/>
  <c r="B258" i="22"/>
  <c r="B276" i="22" s="1"/>
  <c r="D258" i="22"/>
  <c r="D264" i="22"/>
  <c r="D270" i="22"/>
  <c r="D274" i="22"/>
  <c r="C283" i="22"/>
  <c r="C355" i="22" s="1"/>
  <c r="G283" i="22"/>
  <c r="G355" i="22" s="1"/>
  <c r="D286" i="22"/>
  <c r="D292" i="22"/>
  <c r="D298" i="22"/>
  <c r="D304" i="22"/>
  <c r="D310" i="22"/>
  <c r="A777" i="22"/>
  <c r="A673" i="22"/>
  <c r="A675" i="22" s="1"/>
  <c r="G675" i="22"/>
  <c r="A682" i="22"/>
  <c r="A684" i="22" s="1"/>
  <c r="G684" i="22"/>
  <c r="A34" i="21"/>
  <c r="A45" i="21" s="1"/>
  <c r="A51" i="21"/>
  <c r="A56" i="21" s="1"/>
  <c r="A5" i="22"/>
  <c r="C7" i="22"/>
  <c r="C64" i="22" s="1"/>
  <c r="G26" i="22"/>
  <c r="G29" i="22"/>
  <c r="G71" i="22"/>
  <c r="B133" i="22"/>
  <c r="B187" i="22" s="1"/>
  <c r="D133" i="22"/>
  <c r="D187" i="22" s="1"/>
  <c r="A192" i="22"/>
  <c r="C258" i="22"/>
  <c r="C276" i="22" s="1"/>
  <c r="G258" i="22"/>
  <c r="G276" i="22" s="1"/>
  <c r="B353" i="22"/>
  <c r="D353" i="22"/>
  <c r="A282" i="22"/>
  <c r="A354" i="22" s="1"/>
  <c r="C354" i="22"/>
  <c r="G354" i="22"/>
  <c r="B283" i="22"/>
  <c r="B355" i="22" s="1"/>
  <c r="D283" i="22"/>
  <c r="F355" i="22"/>
  <c r="H355" i="22"/>
  <c r="D313" i="22"/>
  <c r="A319" i="22"/>
  <c r="A325" i="22"/>
  <c r="A331" i="22"/>
  <c r="A337" i="22"/>
  <c r="A343" i="22"/>
  <c r="A349" i="22"/>
  <c r="A367" i="22"/>
  <c r="A373" i="22"/>
  <c r="A379" i="22"/>
  <c r="A385" i="22"/>
  <c r="A391" i="22"/>
  <c r="A397" i="22"/>
  <c r="A403" i="22"/>
  <c r="A461" i="22"/>
  <c r="A467" i="22"/>
  <c r="A473" i="22"/>
  <c r="A479" i="22"/>
  <c r="A485" i="22"/>
  <c r="A491" i="22"/>
  <c r="A497" i="22"/>
  <c r="A564" i="22"/>
  <c r="A576" i="22"/>
  <c r="A582" i="22"/>
  <c r="A591" i="22"/>
  <c r="A625" i="22"/>
  <c r="A718" i="22"/>
  <c r="A724" i="22"/>
  <c r="A1035" i="22"/>
  <c r="A977" i="22"/>
  <c r="A1037" i="22" s="1"/>
  <c r="A314" i="22"/>
  <c r="A316" i="22" s="1"/>
  <c r="A320" i="22"/>
  <c r="A322" i="22" s="1"/>
  <c r="A326" i="22"/>
  <c r="A328" i="22" s="1"/>
  <c r="A332" i="22"/>
  <c r="A334" i="22" s="1"/>
  <c r="A338" i="22"/>
  <c r="A340" i="22" s="1"/>
  <c r="A344" i="22"/>
  <c r="A346" i="22" s="1"/>
  <c r="C361" i="22"/>
  <c r="C448" i="22" s="1"/>
  <c r="G361" i="22"/>
  <c r="G448" i="22" s="1"/>
  <c r="D370" i="22"/>
  <c r="D376" i="22"/>
  <c r="D382" i="22"/>
  <c r="D388" i="22"/>
  <c r="D394" i="22"/>
  <c r="D400" i="22"/>
  <c r="D412" i="22"/>
  <c r="D418" i="22"/>
  <c r="D424" i="22"/>
  <c r="D430" i="22"/>
  <c r="D436" i="22"/>
  <c r="D442" i="22"/>
  <c r="B446" i="22"/>
  <c r="D446" i="22"/>
  <c r="C455" i="22"/>
  <c r="C530" i="22" s="1"/>
  <c r="G455" i="22"/>
  <c r="D458" i="22"/>
  <c r="D464" i="22"/>
  <c r="D470" i="22"/>
  <c r="D476" i="22"/>
  <c r="D482" i="22"/>
  <c r="D488" i="22"/>
  <c r="D494" i="22"/>
  <c r="D503" i="22"/>
  <c r="D512" i="22"/>
  <c r="D518" i="22"/>
  <c r="D524" i="22"/>
  <c r="B528" i="22"/>
  <c r="D528" i="22"/>
  <c r="C535" i="22"/>
  <c r="G535" i="22"/>
  <c r="A536" i="22"/>
  <c r="A593" i="22" s="1"/>
  <c r="B537" i="22"/>
  <c r="B594" i="22" s="1"/>
  <c r="D537" i="22"/>
  <c r="D594" i="22" s="1"/>
  <c r="C538" i="22"/>
  <c r="C540" i="22" s="1"/>
  <c r="G538" i="22"/>
  <c r="A541" i="22"/>
  <c r="A543" i="22" s="1"/>
  <c r="A550" i="22"/>
  <c r="A552" i="22" s="1"/>
  <c r="A556" i="22"/>
  <c r="A558" i="22" s="1"/>
  <c r="H558" i="22"/>
  <c r="H594" i="22" s="1"/>
  <c r="A559" i="22"/>
  <c r="A561" i="22" s="1"/>
  <c r="C565" i="22"/>
  <c r="C567" i="22" s="1"/>
  <c r="G565" i="22"/>
  <c r="C568" i="22"/>
  <c r="C570" i="22" s="1"/>
  <c r="G568" i="22"/>
  <c r="A571" i="22"/>
  <c r="A573" i="22" s="1"/>
  <c r="A577" i="22"/>
  <c r="A579" i="22" s="1"/>
  <c r="C583" i="22"/>
  <c r="C585" i="22" s="1"/>
  <c r="G583" i="22"/>
  <c r="A586" i="22"/>
  <c r="A588" i="22" s="1"/>
  <c r="I592" i="22"/>
  <c r="C601" i="22"/>
  <c r="C649" i="22" s="1"/>
  <c r="G601" i="22"/>
  <c r="I601" i="22"/>
  <c r="I649" i="22" s="1"/>
  <c r="A605" i="22"/>
  <c r="A607" i="22" s="1"/>
  <c r="A620" i="22"/>
  <c r="A622" i="22" s="1"/>
  <c r="A626" i="22"/>
  <c r="A628" i="22" s="1"/>
  <c r="H628" i="22"/>
  <c r="A635" i="22"/>
  <c r="A637" i="22" s="1"/>
  <c r="A641" i="22"/>
  <c r="A643" i="22" s="1"/>
  <c r="I672" i="22"/>
  <c r="I675" i="22"/>
  <c r="D678" i="22"/>
  <c r="I684" i="22"/>
  <c r="D687" i="22"/>
  <c r="D693" i="22"/>
  <c r="D699" i="22"/>
  <c r="B703" i="22"/>
  <c r="D703" i="22"/>
  <c r="A710" i="22"/>
  <c r="C712" i="22"/>
  <c r="C730" i="22" s="1"/>
  <c r="G712" i="22"/>
  <c r="A719" i="22"/>
  <c r="A721" i="22" s="1"/>
  <c r="G725" i="22"/>
  <c r="I728" i="22"/>
  <c r="A737" i="22"/>
  <c r="C737" i="22"/>
  <c r="G737" i="22"/>
  <c r="I737" i="22"/>
  <c r="I764" i="22" s="1"/>
  <c r="A741" i="22"/>
  <c r="A743" i="22" s="1"/>
  <c r="A747" i="22"/>
  <c r="A749" i="22" s="1"/>
  <c r="C753" i="22"/>
  <c r="C755" i="22" s="1"/>
  <c r="G753" i="22"/>
  <c r="G762" i="22" s="1"/>
  <c r="A756" i="22"/>
  <c r="A758" i="22" s="1"/>
  <c r="C771" i="22"/>
  <c r="C792" i="22" s="1"/>
  <c r="G771" i="22"/>
  <c r="I771" i="22"/>
  <c r="I792" i="22" s="1"/>
  <c r="A778" i="22"/>
  <c r="A780" i="22" s="1"/>
  <c r="B783" i="22"/>
  <c r="D783" i="22"/>
  <c r="A789" i="22"/>
  <c r="A805" i="22"/>
  <c r="A814" i="22"/>
  <c r="A820" i="22"/>
  <c r="I839" i="22"/>
  <c r="A849" i="22"/>
  <c r="A855" i="22"/>
  <c r="A861" i="22"/>
  <c r="A867" i="22"/>
  <c r="A873" i="22"/>
  <c r="A879" i="22"/>
  <c r="A885" i="22"/>
  <c r="A806" i="22"/>
  <c r="A808" i="22" s="1"/>
  <c r="G808" i="22"/>
  <c r="A846" i="22"/>
  <c r="A360" i="22"/>
  <c r="A447" i="22" s="1"/>
  <c r="A454" i="22"/>
  <c r="A529" i="22" s="1"/>
  <c r="A498" i="22"/>
  <c r="A500" i="22" s="1"/>
  <c r="H500" i="22"/>
  <c r="H530" i="22" s="1"/>
  <c r="I506" i="22"/>
  <c r="I530" i="22" s="1"/>
  <c r="B601" i="22"/>
  <c r="B649" i="22" s="1"/>
  <c r="D601" i="22"/>
  <c r="D649" i="22" s="1"/>
  <c r="H616" i="22"/>
  <c r="H649" i="22" s="1"/>
  <c r="C670" i="22"/>
  <c r="G670" i="22"/>
  <c r="A671" i="22"/>
  <c r="A704" i="22" s="1"/>
  <c r="C673" i="22"/>
  <c r="C675" i="22" s="1"/>
  <c r="C682" i="22"/>
  <c r="C684" i="22" s="1"/>
  <c r="B712" i="22"/>
  <c r="B730" i="22" s="1"/>
  <c r="D712" i="22"/>
  <c r="D730" i="22" s="1"/>
  <c r="H715" i="22"/>
  <c r="H730" i="22" s="1"/>
  <c r="A791" i="22"/>
  <c r="B792" i="22"/>
  <c r="D786" i="22"/>
  <c r="D792" i="22" s="1"/>
  <c r="B799" i="22"/>
  <c r="B823" i="22" s="1"/>
  <c r="D799" i="22"/>
  <c r="I808" i="22"/>
  <c r="D811" i="22"/>
  <c r="D817" i="22"/>
  <c r="A830" i="22"/>
  <c r="A839" i="22" s="1"/>
  <c r="C830" i="22"/>
  <c r="C839" i="22" s="1"/>
  <c r="G830" i="22"/>
  <c r="G839" i="22" s="1"/>
  <c r="D833" i="22"/>
  <c r="I837" i="22"/>
  <c r="D838" i="22"/>
  <c r="B846" i="22"/>
  <c r="B912" i="22" s="1"/>
  <c r="D846" i="22"/>
  <c r="D852" i="22"/>
  <c r="D858" i="22"/>
  <c r="D864" i="22"/>
  <c r="D870" i="22"/>
  <c r="D876" i="22"/>
  <c r="D882" i="22"/>
  <c r="D888" i="22"/>
  <c r="D894" i="22"/>
  <c r="A901" i="22"/>
  <c r="A903" i="22" s="1"/>
  <c r="D910" i="22"/>
  <c r="A917" i="22"/>
  <c r="C919" i="22"/>
  <c r="C931" i="22" s="1"/>
  <c r="G919" i="22"/>
  <c r="G923" i="22"/>
  <c r="H925" i="22"/>
  <c r="H931" i="22" s="1"/>
  <c r="A926" i="22"/>
  <c r="A928" i="22" s="1"/>
  <c r="B929" i="22"/>
  <c r="D929" i="22"/>
  <c r="A936" i="22"/>
  <c r="A939" i="22" s="1"/>
  <c r="A938" i="22"/>
  <c r="A941" i="22" s="1"/>
  <c r="A946" i="22"/>
  <c r="A949" i="22" s="1"/>
  <c r="A948" i="22"/>
  <c r="A951" i="22" s="1"/>
  <c r="A956" i="22"/>
  <c r="A968" i="22" s="1"/>
  <c r="A958" i="22"/>
  <c r="A970" i="22" s="1"/>
  <c r="B977" i="22"/>
  <c r="D977" i="22"/>
  <c r="D1037" i="22" s="1"/>
  <c r="B983" i="22"/>
  <c r="B989" i="22"/>
  <c r="B995" i="22"/>
  <c r="B1001" i="22"/>
  <c r="B1007" i="22"/>
  <c r="B1013" i="22"/>
  <c r="B1019" i="22"/>
  <c r="B1025" i="22"/>
  <c r="B1031" i="22"/>
  <c r="B1035" i="22"/>
  <c r="A38" i="23"/>
  <c r="A40" i="23"/>
  <c r="I101" i="23"/>
  <c r="I353" i="23"/>
  <c r="C799" i="22"/>
  <c r="G799" i="22"/>
  <c r="I799" i="22"/>
  <c r="I823" i="22" s="1"/>
  <c r="C806" i="22"/>
  <c r="C808" i="22" s="1"/>
  <c r="B830" i="22"/>
  <c r="B839" i="22" s="1"/>
  <c r="D830" i="22"/>
  <c r="D839" i="22" s="1"/>
  <c r="C846" i="22"/>
  <c r="C912" i="22" s="1"/>
  <c r="G846" i="22"/>
  <c r="G912" i="22" s="1"/>
  <c r="C977" i="22"/>
  <c r="C1037" i="22" s="1"/>
  <c r="G977" i="22"/>
  <c r="G1037" i="22" s="1"/>
  <c r="A6" i="23"/>
  <c r="A39" i="23" s="1"/>
  <c r="D40" i="23"/>
  <c r="D41" i="23" s="1"/>
  <c r="D65" i="23"/>
  <c r="D284" i="23"/>
  <c r="A282" i="23"/>
  <c r="C284" i="23"/>
  <c r="I284" i="23"/>
  <c r="C308" i="23"/>
  <c r="G308" i="23"/>
  <c r="I308" i="23"/>
  <c r="A352" i="23"/>
  <c r="G352" i="23"/>
  <c r="D99" i="23"/>
  <c r="D101" i="23" s="1"/>
  <c r="H99" i="23"/>
  <c r="H101" i="23" s="1"/>
  <c r="B156" i="23"/>
  <c r="B158" i="23" s="1"/>
  <c r="B201" i="23"/>
  <c r="B203" i="23" s="1"/>
  <c r="B228" i="23"/>
  <c r="B230" i="23" s="1"/>
  <c r="H283" i="23"/>
  <c r="B283" i="23" s="1"/>
  <c r="B284" i="23" s="1"/>
  <c r="H306" i="23"/>
  <c r="H308" i="23" s="1"/>
  <c r="B324" i="23"/>
  <c r="B326" i="23" s="1"/>
  <c r="H324" i="23"/>
  <c r="H326" i="23" s="1"/>
  <c r="B339" i="23"/>
  <c r="B341" i="23" s="1"/>
  <c r="C349" i="23"/>
  <c r="A349" i="23" s="1"/>
  <c r="G349" i="23"/>
  <c r="C350" i="23"/>
  <c r="C353" i="23" s="1"/>
  <c r="G350" i="23"/>
  <c r="G353" i="23" s="1"/>
  <c r="B351" i="23"/>
  <c r="A351" i="23" s="1"/>
  <c r="C78" i="23"/>
  <c r="C99" i="23" s="1"/>
  <c r="C101" i="23" s="1"/>
  <c r="G78" i="23"/>
  <c r="A78" i="23" s="1"/>
  <c r="A99" i="23" s="1"/>
  <c r="A237" i="23"/>
  <c r="A264" i="23" s="1"/>
  <c r="A266" i="23" s="1"/>
  <c r="A290" i="23"/>
  <c r="A305" i="23" s="1"/>
  <c r="A292" i="23"/>
  <c r="A307" i="23" s="1"/>
  <c r="A316" i="23"/>
  <c r="A325" i="23" s="1"/>
  <c r="A360" i="23"/>
  <c r="A369" i="23" s="1"/>
  <c r="A371" i="23" s="1"/>
  <c r="A230" i="23" l="1"/>
  <c r="A158" i="23"/>
  <c r="A326" i="23"/>
  <c r="D705" i="22"/>
  <c r="G71" i="20"/>
  <c r="C26" i="16"/>
  <c r="G821" i="22"/>
  <c r="A797" i="22"/>
  <c r="G783" i="22"/>
  <c r="A781" i="22"/>
  <c r="A783" i="22" s="1"/>
  <c r="C790" i="22"/>
  <c r="G616" i="22"/>
  <c r="G649" i="22" s="1"/>
  <c r="A614" i="22"/>
  <c r="A616" i="22" s="1"/>
  <c r="G647" i="22"/>
  <c r="A599" i="22"/>
  <c r="A601" i="22" s="1"/>
  <c r="G506" i="22"/>
  <c r="A504" i="22"/>
  <c r="A506" i="22" s="1"/>
  <c r="A446" i="22"/>
  <c r="A250" i="22"/>
  <c r="G47" i="19"/>
  <c r="G529" i="22"/>
  <c r="C528" i="22"/>
  <c r="A96" i="22"/>
  <c r="G63" i="22"/>
  <c r="A9" i="18"/>
  <c r="A101" i="23"/>
  <c r="A350" i="23"/>
  <c r="A353" i="23" s="1"/>
  <c r="C823" i="22"/>
  <c r="D530" i="22"/>
  <c r="D448" i="22"/>
  <c r="B64" i="22"/>
  <c r="A276" i="22"/>
  <c r="F76" i="18"/>
  <c r="G75" i="18"/>
  <c r="A79" i="17"/>
  <c r="G802" i="22"/>
  <c r="G823" i="22" s="1"/>
  <c r="A800" i="22"/>
  <c r="A802" i="22" s="1"/>
  <c r="A822" i="22"/>
  <c r="G774" i="22"/>
  <c r="G792" i="22" s="1"/>
  <c r="A772" i="22"/>
  <c r="A774" i="22" s="1"/>
  <c r="G790" i="22"/>
  <c r="A769" i="22"/>
  <c r="A763" i="22"/>
  <c r="A648" i="22"/>
  <c r="G19" i="22"/>
  <c r="A19" i="22" s="1"/>
  <c r="A17" i="22"/>
  <c r="H71" i="20"/>
  <c r="C47" i="19"/>
  <c r="B46" i="18"/>
  <c r="A44" i="18"/>
  <c r="A46" i="18" s="1"/>
  <c r="A78" i="17"/>
  <c r="B26" i="16"/>
  <c r="A281" i="23"/>
  <c r="A284" i="23" s="1"/>
  <c r="G628" i="22"/>
  <c r="G500" i="22"/>
  <c r="G530" i="22" s="1"/>
  <c r="G528" i="22"/>
  <c r="G925" i="22"/>
  <c r="A923" i="22"/>
  <c r="A925" i="22" s="1"/>
  <c r="G703" i="22"/>
  <c r="A670" i="22"/>
  <c r="G672" i="22"/>
  <c r="G705" i="22" s="1"/>
  <c r="G727" i="22"/>
  <c r="A725" i="22"/>
  <c r="A727" i="22" s="1"/>
  <c r="A712" i="22"/>
  <c r="A730" i="22" s="1"/>
  <c r="G585" i="22"/>
  <c r="A583" i="22"/>
  <c r="A585" i="22" s="1"/>
  <c r="G570" i="22"/>
  <c r="A568" i="22"/>
  <c r="A570" i="22" s="1"/>
  <c r="G567" i="22"/>
  <c r="A565" i="22"/>
  <c r="A567" i="22" s="1"/>
  <c r="G537" i="22"/>
  <c r="G592" i="22"/>
  <c r="A535" i="22"/>
  <c r="A194" i="22"/>
  <c r="A251" i="22" s="1"/>
  <c r="A249" i="22"/>
  <c r="A29" i="22"/>
  <c r="G31" i="22"/>
  <c r="A31" i="22" s="1"/>
  <c r="D74" i="18"/>
  <c r="D7" i="18"/>
  <c r="G99" i="23"/>
  <c r="G101" i="23" s="1"/>
  <c r="D912" i="22"/>
  <c r="A912" i="22"/>
  <c r="G730" i="22"/>
  <c r="A361" i="22"/>
  <c r="A448" i="22" s="1"/>
  <c r="G728" i="22"/>
  <c r="A647" i="22"/>
  <c r="A353" i="22"/>
  <c r="D276" i="22"/>
  <c r="D64" i="22"/>
  <c r="I86" i="22"/>
  <c r="C70" i="20"/>
  <c r="I64" i="22"/>
  <c r="A48" i="20"/>
  <c r="A27" i="20"/>
  <c r="B69" i="20"/>
  <c r="B71" i="20" s="1"/>
  <c r="A75" i="18"/>
  <c r="B22" i="18"/>
  <c r="C74" i="18"/>
  <c r="A9" i="16"/>
  <c r="A26" i="16" s="1"/>
  <c r="B75" i="18"/>
  <c r="A929" i="22"/>
  <c r="A919" i="22"/>
  <c r="C703" i="22"/>
  <c r="C672" i="22"/>
  <c r="C705" i="22" s="1"/>
  <c r="G755" i="22"/>
  <c r="G764" i="22" s="1"/>
  <c r="A753" i="22"/>
  <c r="A755" i="22" s="1"/>
  <c r="A764" i="22" s="1"/>
  <c r="G540" i="22"/>
  <c r="A538" i="22"/>
  <c r="A540" i="22" s="1"/>
  <c r="C537" i="22"/>
  <c r="C594" i="22" s="1"/>
  <c r="C592" i="22"/>
  <c r="G86" i="22"/>
  <c r="A71" i="22"/>
  <c r="A86" i="22" s="1"/>
  <c r="A26" i="22"/>
  <c r="G28" i="22"/>
  <c r="A124" i="22"/>
  <c r="A93" i="22"/>
  <c r="A126" i="22" s="1"/>
  <c r="B31" i="18"/>
  <c r="A29" i="18"/>
  <c r="A31" i="18" s="1"/>
  <c r="G74" i="18"/>
  <c r="G7" i="18"/>
  <c r="A5" i="18"/>
  <c r="B74" i="18"/>
  <c r="B7" i="18"/>
  <c r="B76" i="18" s="1"/>
  <c r="A308" i="23"/>
  <c r="B353" i="23"/>
  <c r="H284" i="23"/>
  <c r="A41" i="23"/>
  <c r="B1037" i="22"/>
  <c r="G931" i="22"/>
  <c r="D823" i="22"/>
  <c r="A910" i="22"/>
  <c r="G929" i="22"/>
  <c r="C821" i="22"/>
  <c r="C764" i="22"/>
  <c r="I705" i="22"/>
  <c r="A649" i="22"/>
  <c r="A455" i="22"/>
  <c r="A530" i="22" s="1"/>
  <c r="A528" i="22"/>
  <c r="D355" i="22"/>
  <c r="A62" i="22"/>
  <c r="C762" i="22"/>
  <c r="A283" i="22"/>
  <c r="A355" i="22" s="1"/>
  <c r="D251" i="22"/>
  <c r="G62" i="22"/>
  <c r="H64" i="22"/>
  <c r="C71" i="20"/>
  <c r="A34" i="20"/>
  <c r="A70" i="20" s="1"/>
  <c r="A8" i="20"/>
  <c r="A68" i="20" s="1"/>
  <c r="D69" i="20"/>
  <c r="D71" i="20" s="1"/>
  <c r="A47" i="19"/>
  <c r="A22" i="18"/>
  <c r="A8" i="18"/>
  <c r="A10" i="18" s="1"/>
  <c r="A7" i="22"/>
  <c r="D22" i="18"/>
  <c r="G10" i="18"/>
  <c r="A77" i="17"/>
  <c r="A69" i="20" l="1"/>
  <c r="D76" i="18"/>
  <c r="G594" i="22"/>
  <c r="A728" i="22"/>
  <c r="A771" i="22"/>
  <c r="A792" i="22" s="1"/>
  <c r="A790" i="22"/>
  <c r="A821" i="22"/>
  <c r="A799" i="22"/>
  <c r="A823" i="22" s="1"/>
  <c r="A28" i="22"/>
  <c r="G64" i="22"/>
  <c r="A537" i="22"/>
  <c r="A594" i="22" s="1"/>
  <c r="A592" i="22"/>
  <c r="A703" i="22"/>
  <c r="A672" i="22"/>
  <c r="A705" i="22" s="1"/>
  <c r="A74" i="18"/>
  <c r="A7" i="18"/>
  <c r="A76" i="18" s="1"/>
  <c r="A71" i="20"/>
  <c r="G76" i="18"/>
  <c r="A931" i="22"/>
  <c r="A64" i="22"/>
  <c r="A762" i="22"/>
  <c r="E27" i="7" l="1"/>
  <c r="D27" i="7"/>
  <c r="C27" i="7"/>
  <c r="B27" i="7"/>
  <c r="A27" i="7"/>
  <c r="B24" i="7"/>
  <c r="A24" i="7"/>
  <c r="E21" i="7"/>
  <c r="D21" i="7"/>
  <c r="C21" i="7"/>
  <c r="B21" i="7"/>
  <c r="A21" i="7"/>
  <c r="E18" i="7"/>
  <c r="D18" i="7"/>
  <c r="C18" i="7"/>
  <c r="B18" i="7"/>
  <c r="A18" i="7"/>
  <c r="B15" i="7"/>
  <c r="A15" i="7"/>
  <c r="B12" i="7"/>
  <c r="A12" i="7"/>
  <c r="B9" i="7"/>
  <c r="A9" i="7"/>
  <c r="A6" i="7"/>
  <c r="B6" i="7"/>
  <c r="C6" i="7"/>
  <c r="D6" i="7"/>
  <c r="C23" i="7" l="1"/>
  <c r="C22" i="7"/>
  <c r="C24" i="7" s="1"/>
  <c r="D23" i="7"/>
  <c r="D22" i="7"/>
  <c r="D24" i="7" s="1"/>
  <c r="E23" i="7"/>
  <c r="E22" i="7"/>
  <c r="E24" i="7" s="1"/>
  <c r="C14" i="7"/>
  <c r="C13" i="7"/>
  <c r="C15" i="7" s="1"/>
  <c r="D14" i="7"/>
  <c r="D13" i="7"/>
  <c r="D15" i="7" s="1"/>
  <c r="E14" i="7"/>
  <c r="E13" i="7"/>
  <c r="E15" i="7" s="1"/>
  <c r="C11" i="7"/>
  <c r="C12" i="7" s="1"/>
  <c r="D11" i="7"/>
  <c r="D10" i="7"/>
  <c r="E11" i="7"/>
  <c r="E10" i="7"/>
  <c r="C8" i="7"/>
  <c r="C7" i="7"/>
  <c r="D7" i="7"/>
  <c r="D9" i="7" s="1"/>
  <c r="E8" i="7"/>
  <c r="E7" i="7"/>
  <c r="E9" i="7" s="1"/>
  <c r="C9" i="7" l="1"/>
  <c r="E12" i="7"/>
  <c r="D12" i="7"/>
  <c r="D88" i="8"/>
  <c r="D86" i="8"/>
  <c r="D85" i="8"/>
  <c r="E5" i="9" l="1"/>
  <c r="E8" i="9"/>
  <c r="E7" i="9"/>
  <c r="B80" i="13" l="1"/>
  <c r="C80" i="13"/>
  <c r="D80" i="13"/>
  <c r="F80" i="13"/>
  <c r="G80" i="13"/>
  <c r="H80" i="13"/>
  <c r="J80" i="13"/>
  <c r="K80" i="13"/>
  <c r="B81" i="13"/>
  <c r="C81" i="13"/>
  <c r="D81" i="13"/>
  <c r="F81" i="13"/>
  <c r="G81" i="13"/>
  <c r="H81" i="13"/>
  <c r="J81" i="13"/>
  <c r="K81" i="13"/>
  <c r="L81" i="13"/>
  <c r="B65" i="13"/>
  <c r="B86" i="13" s="1"/>
  <c r="C65" i="13"/>
  <c r="D65" i="13"/>
  <c r="F65" i="13"/>
  <c r="G65" i="13"/>
  <c r="H65" i="13"/>
  <c r="J65" i="13"/>
  <c r="K65" i="13"/>
  <c r="B66" i="13"/>
  <c r="B87" i="13" s="1"/>
  <c r="C66" i="13"/>
  <c r="D66" i="13"/>
  <c r="F66" i="13"/>
  <c r="G66" i="13"/>
  <c r="H66" i="13"/>
  <c r="H87" i="13" s="1"/>
  <c r="J66" i="13"/>
  <c r="J87" i="13" s="1"/>
  <c r="K66" i="13"/>
  <c r="L66" i="13"/>
  <c r="L87" i="13" s="1"/>
  <c r="C86" i="13"/>
  <c r="D86" i="13"/>
  <c r="F86" i="13"/>
  <c r="G86" i="13"/>
  <c r="H86" i="13"/>
  <c r="J86" i="13"/>
  <c r="K86" i="13"/>
  <c r="C87" i="13"/>
  <c r="D87" i="13"/>
  <c r="F87" i="13"/>
  <c r="G87" i="13"/>
  <c r="K87" i="13"/>
  <c r="B7" i="13"/>
  <c r="C7" i="13"/>
  <c r="D7" i="13"/>
  <c r="F7" i="13"/>
  <c r="G7" i="13"/>
  <c r="H7" i="13"/>
  <c r="J7" i="13"/>
  <c r="K7" i="13"/>
  <c r="A11" i="13"/>
  <c r="E11" i="13"/>
  <c r="I11" i="13"/>
  <c r="B10" i="13"/>
  <c r="C10" i="13"/>
  <c r="D10" i="13"/>
  <c r="F10" i="13"/>
  <c r="G10" i="13"/>
  <c r="H10" i="13"/>
  <c r="J10" i="13"/>
  <c r="K10" i="13"/>
  <c r="L10" i="13"/>
  <c r="B19" i="13"/>
  <c r="C19" i="13"/>
  <c r="D19" i="13"/>
  <c r="F19" i="13"/>
  <c r="G19" i="13"/>
  <c r="H19" i="13"/>
  <c r="J19" i="13"/>
  <c r="K19" i="13"/>
  <c r="L19" i="13"/>
  <c r="B22" i="13"/>
  <c r="C22" i="13"/>
  <c r="D22" i="13"/>
  <c r="F22" i="13"/>
  <c r="G22" i="13"/>
  <c r="H22" i="13"/>
  <c r="J22" i="13"/>
  <c r="K22" i="13"/>
  <c r="L22" i="13"/>
  <c r="B25" i="13"/>
  <c r="C25" i="13"/>
  <c r="D25" i="13"/>
  <c r="F25" i="13"/>
  <c r="G25" i="13"/>
  <c r="H25" i="13"/>
  <c r="J25" i="13"/>
  <c r="K25" i="13"/>
  <c r="L25" i="13"/>
  <c r="B28" i="13"/>
  <c r="C28" i="13"/>
  <c r="D28" i="13"/>
  <c r="F28" i="13"/>
  <c r="G28" i="13"/>
  <c r="H28" i="13"/>
  <c r="J28" i="13"/>
  <c r="K28" i="13"/>
  <c r="L28" i="13"/>
  <c r="B31" i="13"/>
  <c r="C31" i="13"/>
  <c r="D31" i="13"/>
  <c r="F31" i="13"/>
  <c r="G31" i="13"/>
  <c r="H31" i="13"/>
  <c r="J31" i="13"/>
  <c r="K31" i="13"/>
  <c r="L31" i="13"/>
  <c r="B34" i="13"/>
  <c r="C34" i="13"/>
  <c r="D34" i="13"/>
  <c r="F34" i="13"/>
  <c r="G34" i="13"/>
  <c r="H34" i="13"/>
  <c r="J34" i="13"/>
  <c r="K34" i="13"/>
  <c r="L34" i="13"/>
  <c r="B37" i="13"/>
  <c r="C37" i="13"/>
  <c r="D37" i="13"/>
  <c r="F37" i="13"/>
  <c r="G37" i="13"/>
  <c r="H37" i="13"/>
  <c r="J37" i="13"/>
  <c r="K37" i="13"/>
  <c r="L37" i="13"/>
  <c r="B40" i="13"/>
  <c r="C40" i="13"/>
  <c r="D40" i="13"/>
  <c r="F40" i="13"/>
  <c r="G40" i="13"/>
  <c r="H40" i="13"/>
  <c r="J40" i="13"/>
  <c r="K40" i="13"/>
  <c r="L40" i="13"/>
  <c r="B43" i="13"/>
  <c r="C43" i="13"/>
  <c r="D43" i="13"/>
  <c r="F43" i="13"/>
  <c r="G43" i="13"/>
  <c r="H43" i="13"/>
  <c r="J43" i="13"/>
  <c r="K43" i="13"/>
  <c r="L43" i="13"/>
  <c r="B46" i="13"/>
  <c r="C46" i="13"/>
  <c r="D46" i="13"/>
  <c r="F46" i="13"/>
  <c r="G46" i="13"/>
  <c r="H46" i="13"/>
  <c r="J46" i="13"/>
  <c r="K46" i="13"/>
  <c r="L46" i="13"/>
  <c r="B49" i="13"/>
  <c r="C49" i="13"/>
  <c r="D49" i="13"/>
  <c r="F49" i="13"/>
  <c r="G49" i="13"/>
  <c r="H49" i="13"/>
  <c r="J49" i="13"/>
  <c r="K49" i="13"/>
  <c r="L49" i="13"/>
  <c r="B52" i="13"/>
  <c r="C52" i="13"/>
  <c r="D52" i="13"/>
  <c r="F52" i="13"/>
  <c r="G52" i="13"/>
  <c r="H52" i="13"/>
  <c r="J52" i="13"/>
  <c r="K52" i="13"/>
  <c r="L52" i="13"/>
  <c r="B55" i="13"/>
  <c r="C55" i="13"/>
  <c r="D55" i="13"/>
  <c r="F55" i="13"/>
  <c r="G55" i="13"/>
  <c r="H55" i="13"/>
  <c r="J55" i="13"/>
  <c r="K55" i="13"/>
  <c r="L55" i="13"/>
  <c r="B58" i="13"/>
  <c r="C58" i="13"/>
  <c r="D58" i="13"/>
  <c r="F58" i="13"/>
  <c r="G58" i="13"/>
  <c r="H58" i="13"/>
  <c r="J58" i="13"/>
  <c r="K58" i="13"/>
  <c r="L58" i="13"/>
  <c r="B61" i="13"/>
  <c r="C61" i="13"/>
  <c r="D61" i="13"/>
  <c r="F61" i="13"/>
  <c r="G61" i="13"/>
  <c r="H61" i="13"/>
  <c r="J61" i="13"/>
  <c r="K61" i="13"/>
  <c r="L61" i="13"/>
  <c r="B64" i="13"/>
  <c r="C64" i="13"/>
  <c r="D64" i="13"/>
  <c r="F64" i="13"/>
  <c r="G64" i="13"/>
  <c r="H64" i="13"/>
  <c r="J64" i="13"/>
  <c r="K64" i="13"/>
  <c r="L64" i="13"/>
  <c r="B70" i="13"/>
  <c r="C70" i="13"/>
  <c r="D70" i="13"/>
  <c r="F70" i="13"/>
  <c r="G70" i="13"/>
  <c r="H70" i="13"/>
  <c r="J70" i="13"/>
  <c r="K70" i="13"/>
  <c r="L70" i="13"/>
  <c r="B73" i="13"/>
  <c r="C73" i="13"/>
  <c r="D73" i="13"/>
  <c r="F73" i="13"/>
  <c r="G73" i="13"/>
  <c r="H73" i="13"/>
  <c r="J73" i="13"/>
  <c r="K73" i="13"/>
  <c r="L73" i="13"/>
  <c r="B76" i="13"/>
  <c r="C76" i="13"/>
  <c r="D76" i="13"/>
  <c r="F76" i="13"/>
  <c r="G76" i="13"/>
  <c r="H76" i="13"/>
  <c r="J76" i="13"/>
  <c r="K76" i="13"/>
  <c r="L76" i="13"/>
  <c r="B79" i="13"/>
  <c r="B82" i="13" s="1"/>
  <c r="C79" i="13"/>
  <c r="D79" i="13"/>
  <c r="F79" i="13"/>
  <c r="G79" i="13"/>
  <c r="H79" i="13"/>
  <c r="J79" i="13"/>
  <c r="K79" i="13"/>
  <c r="L79" i="13"/>
  <c r="B85" i="13"/>
  <c r="C85" i="13"/>
  <c r="D85" i="13"/>
  <c r="F85" i="13"/>
  <c r="G85" i="13"/>
  <c r="H85" i="13"/>
  <c r="J85" i="13"/>
  <c r="K85" i="13"/>
  <c r="L85" i="13"/>
  <c r="A17" i="13"/>
  <c r="E17" i="13"/>
  <c r="I17" i="13"/>
  <c r="A14" i="13"/>
  <c r="E14" i="13"/>
  <c r="I14" i="13"/>
  <c r="L13" i="13"/>
  <c r="K13" i="13"/>
  <c r="J13" i="13"/>
  <c r="H13" i="13"/>
  <c r="G13" i="13"/>
  <c r="F13" i="13"/>
  <c r="D13" i="13"/>
  <c r="C13" i="13"/>
  <c r="B13" i="13"/>
  <c r="L82" i="13" l="1"/>
  <c r="J82" i="13"/>
  <c r="G82" i="13"/>
  <c r="D82" i="13"/>
  <c r="K82" i="13"/>
  <c r="H82" i="13"/>
  <c r="F82" i="13"/>
  <c r="C82" i="13"/>
  <c r="K16" i="13"/>
  <c r="K67" i="13" s="1"/>
  <c r="K88" i="13" s="1"/>
  <c r="L7" i="13" l="1"/>
  <c r="L16" i="13"/>
  <c r="L65" i="13"/>
  <c r="L80" i="13"/>
  <c r="L67" i="13" l="1"/>
  <c r="L88" i="13" s="1"/>
  <c r="L86" i="13"/>
  <c r="B10" i="14" l="1"/>
  <c r="C10" i="14"/>
  <c r="E10" i="14"/>
  <c r="F10" i="14"/>
  <c r="H10" i="14"/>
  <c r="F63" i="9" l="1"/>
  <c r="E63" i="9"/>
  <c r="D63" i="9"/>
  <c r="C63" i="9"/>
  <c r="B63" i="9"/>
  <c r="F60" i="9"/>
  <c r="E60" i="9"/>
  <c r="D60" i="9"/>
  <c r="C60" i="9"/>
  <c r="B60" i="9"/>
  <c r="F57" i="9"/>
  <c r="E57" i="9"/>
  <c r="D57" i="9"/>
  <c r="C57" i="9"/>
  <c r="B57" i="9"/>
  <c r="F54" i="9"/>
  <c r="E54" i="9"/>
  <c r="D54" i="9"/>
  <c r="C54" i="9"/>
  <c r="B54" i="9"/>
  <c r="F51" i="9"/>
  <c r="E51" i="9"/>
  <c r="D51" i="9"/>
  <c r="C51" i="9"/>
  <c r="B51" i="9"/>
  <c r="F48" i="9"/>
  <c r="E48" i="9"/>
  <c r="D48" i="9"/>
  <c r="C48" i="9"/>
  <c r="B48" i="9"/>
  <c r="F45" i="9"/>
  <c r="E45" i="9"/>
  <c r="D45" i="9"/>
  <c r="C45" i="9"/>
  <c r="B45" i="9"/>
  <c r="F42" i="9"/>
  <c r="E42" i="9"/>
  <c r="D42" i="9"/>
  <c r="C42" i="9"/>
  <c r="B42" i="9"/>
  <c r="F39" i="9"/>
  <c r="E39" i="9"/>
  <c r="D39" i="9"/>
  <c r="C39" i="9"/>
  <c r="B39" i="9"/>
  <c r="F36" i="9"/>
  <c r="E36" i="9"/>
  <c r="D36" i="9"/>
  <c r="C36" i="9"/>
  <c r="B36" i="9"/>
  <c r="F33" i="9"/>
  <c r="E33" i="9"/>
  <c r="D33" i="9"/>
  <c r="C33" i="9"/>
  <c r="B33" i="9"/>
  <c r="F30" i="9"/>
  <c r="E30" i="9"/>
  <c r="D30" i="9"/>
  <c r="C30" i="9"/>
  <c r="B30" i="9"/>
  <c r="F27" i="9"/>
  <c r="E27" i="9"/>
  <c r="D27" i="9"/>
  <c r="C27" i="9"/>
  <c r="B27" i="9"/>
  <c r="F24" i="9"/>
  <c r="E24" i="9"/>
  <c r="D24" i="9"/>
  <c r="C24" i="9"/>
  <c r="B24" i="9"/>
  <c r="F21" i="9"/>
  <c r="E21" i="9"/>
  <c r="D21" i="9"/>
  <c r="C21" i="9"/>
  <c r="B21" i="9"/>
  <c r="F18" i="9"/>
  <c r="E18" i="9"/>
  <c r="D18" i="9"/>
  <c r="C18" i="9"/>
  <c r="B18" i="9"/>
  <c r="F15" i="9"/>
  <c r="E15" i="9"/>
  <c r="D15" i="9"/>
  <c r="C15" i="9"/>
  <c r="B15" i="9"/>
  <c r="F12" i="9"/>
  <c r="E12" i="9"/>
  <c r="D12" i="9"/>
  <c r="C12" i="9"/>
  <c r="B12" i="9"/>
  <c r="F9" i="9"/>
  <c r="E9" i="9"/>
  <c r="D9" i="9"/>
  <c r="C9" i="9"/>
  <c r="B9" i="9"/>
  <c r="B6" i="9"/>
  <c r="C6" i="9"/>
  <c r="D6" i="9"/>
  <c r="E6" i="9"/>
  <c r="F6" i="9"/>
  <c r="I21" i="14"/>
  <c r="H21" i="14"/>
  <c r="F21" i="14"/>
  <c r="E21" i="14"/>
  <c r="C21" i="14"/>
  <c r="B21" i="14"/>
  <c r="I20" i="14"/>
  <c r="H20" i="14"/>
  <c r="F20" i="14"/>
  <c r="E20" i="14"/>
  <c r="C20" i="14"/>
  <c r="B20" i="14"/>
  <c r="I19" i="14"/>
  <c r="H19" i="14"/>
  <c r="F19" i="14"/>
  <c r="E19" i="14"/>
  <c r="C19" i="14"/>
  <c r="B19" i="14"/>
  <c r="G18" i="14"/>
  <c r="D18" i="14"/>
  <c r="A18" i="14"/>
  <c r="G17" i="14"/>
  <c r="D17" i="14"/>
  <c r="A17" i="14"/>
  <c r="I16" i="14"/>
  <c r="H16" i="14"/>
  <c r="F16" i="14"/>
  <c r="E16" i="14"/>
  <c r="C16" i="14"/>
  <c r="B16" i="14"/>
  <c r="G15" i="14"/>
  <c r="D15" i="14"/>
  <c r="A15" i="14"/>
  <c r="G14" i="14"/>
  <c r="D14" i="14"/>
  <c r="A14" i="14"/>
  <c r="I13" i="14"/>
  <c r="H13" i="14"/>
  <c r="F13" i="14"/>
  <c r="E13" i="14"/>
  <c r="C13" i="14"/>
  <c r="B13" i="14"/>
  <c r="G12" i="14"/>
  <c r="D12" i="14"/>
  <c r="A12" i="14"/>
  <c r="G11" i="14"/>
  <c r="D11" i="14"/>
  <c r="D13" i="14" s="1"/>
  <c r="A11" i="14"/>
  <c r="I10" i="14"/>
  <c r="G9" i="14"/>
  <c r="D9" i="14"/>
  <c r="A9" i="14"/>
  <c r="G8" i="14"/>
  <c r="G10" i="14" s="1"/>
  <c r="D8" i="14"/>
  <c r="A8" i="14"/>
  <c r="A10" i="14" s="1"/>
  <c r="I7" i="14"/>
  <c r="H7" i="14"/>
  <c r="F7" i="14"/>
  <c r="E7" i="14"/>
  <c r="C7" i="14"/>
  <c r="B7" i="14"/>
  <c r="A7" i="14" s="1"/>
  <c r="G6" i="14"/>
  <c r="D6" i="14"/>
  <c r="A6" i="14"/>
  <c r="G5" i="14"/>
  <c r="D5" i="14"/>
  <c r="A5" i="14"/>
  <c r="I84" i="13"/>
  <c r="E84" i="13"/>
  <c r="A84" i="13"/>
  <c r="I83" i="13"/>
  <c r="I85" i="13" s="1"/>
  <c r="E83" i="13"/>
  <c r="A83" i="13"/>
  <c r="A85" i="13" s="1"/>
  <c r="I78" i="13"/>
  <c r="E78" i="13"/>
  <c r="A78" i="13"/>
  <c r="I77" i="13"/>
  <c r="I79" i="13" s="1"/>
  <c r="E77" i="13"/>
  <c r="A77" i="13"/>
  <c r="I75" i="13"/>
  <c r="E75" i="13"/>
  <c r="A75" i="13"/>
  <c r="I74" i="13"/>
  <c r="I76" i="13" s="1"/>
  <c r="E74" i="13"/>
  <c r="A74" i="13"/>
  <c r="A76" i="13" s="1"/>
  <c r="I72" i="13"/>
  <c r="E72" i="13"/>
  <c r="A72" i="13"/>
  <c r="I71" i="13"/>
  <c r="I73" i="13" s="1"/>
  <c r="E71" i="13"/>
  <c r="A71" i="13"/>
  <c r="A73" i="13" s="1"/>
  <c r="I69" i="13"/>
  <c r="I81" i="13" s="1"/>
  <c r="E69" i="13"/>
  <c r="E81" i="13" s="1"/>
  <c r="A69" i="13"/>
  <c r="I68" i="13"/>
  <c r="E68" i="13"/>
  <c r="A68" i="13"/>
  <c r="A70" i="13" s="1"/>
  <c r="I63" i="13"/>
  <c r="E63" i="13"/>
  <c r="A63" i="13"/>
  <c r="I62" i="13"/>
  <c r="I64" i="13" s="1"/>
  <c r="E62" i="13"/>
  <c r="A62" i="13"/>
  <c r="A64" i="13" s="1"/>
  <c r="I60" i="13"/>
  <c r="E60" i="13"/>
  <c r="A60" i="13"/>
  <c r="I59" i="13"/>
  <c r="I61" i="13" s="1"/>
  <c r="E59" i="13"/>
  <c r="A59" i="13"/>
  <c r="A61" i="13" s="1"/>
  <c r="I57" i="13"/>
  <c r="E57" i="13"/>
  <c r="A57" i="13"/>
  <c r="I56" i="13"/>
  <c r="I58" i="13" s="1"/>
  <c r="E56" i="13"/>
  <c r="A56" i="13"/>
  <c r="A58" i="13" s="1"/>
  <c r="I54" i="13"/>
  <c r="E54" i="13"/>
  <c r="A54" i="13"/>
  <c r="I53" i="13"/>
  <c r="I55" i="13" s="1"/>
  <c r="E53" i="13"/>
  <c r="A53" i="13"/>
  <c r="A55" i="13" s="1"/>
  <c r="I51" i="13"/>
  <c r="E51" i="13"/>
  <c r="A51" i="13"/>
  <c r="I50" i="13"/>
  <c r="I52" i="13" s="1"/>
  <c r="E50" i="13"/>
  <c r="A50" i="13"/>
  <c r="A52" i="13" s="1"/>
  <c r="I48" i="13"/>
  <c r="E48" i="13"/>
  <c r="A48" i="13"/>
  <c r="I47" i="13"/>
  <c r="I49" i="13" s="1"/>
  <c r="E47" i="13"/>
  <c r="A47" i="13"/>
  <c r="A49" i="13" s="1"/>
  <c r="I45" i="13"/>
  <c r="E45" i="13"/>
  <c r="A45" i="13"/>
  <c r="I44" i="13"/>
  <c r="I46" i="13" s="1"/>
  <c r="E44" i="13"/>
  <c r="A44" i="13"/>
  <c r="A46" i="13" s="1"/>
  <c r="I42" i="13"/>
  <c r="E42" i="13"/>
  <c r="A42" i="13"/>
  <c r="I41" i="13"/>
  <c r="I43" i="13" s="1"/>
  <c r="E41" i="13"/>
  <c r="A41" i="13"/>
  <c r="A43" i="13" s="1"/>
  <c r="I39" i="13"/>
  <c r="E39" i="13"/>
  <c r="A39" i="13"/>
  <c r="I38" i="13"/>
  <c r="I40" i="13" s="1"/>
  <c r="E38" i="13"/>
  <c r="A38" i="13"/>
  <c r="A40" i="13" s="1"/>
  <c r="I36" i="13"/>
  <c r="E36" i="13"/>
  <c r="A36" i="13"/>
  <c r="I35" i="13"/>
  <c r="I37" i="13" s="1"/>
  <c r="E35" i="13"/>
  <c r="A35" i="13"/>
  <c r="A37" i="13" s="1"/>
  <c r="I33" i="13"/>
  <c r="E33" i="13"/>
  <c r="A33" i="13"/>
  <c r="I32" i="13"/>
  <c r="I34" i="13" s="1"/>
  <c r="E32" i="13"/>
  <c r="A32" i="13"/>
  <c r="I30" i="13"/>
  <c r="E30" i="13"/>
  <c r="A30" i="13"/>
  <c r="I29" i="13"/>
  <c r="I31" i="13" s="1"/>
  <c r="E29" i="13"/>
  <c r="A29" i="13"/>
  <c r="A31" i="13" s="1"/>
  <c r="I27" i="13"/>
  <c r="E27" i="13"/>
  <c r="A27" i="13"/>
  <c r="I26" i="13"/>
  <c r="I28" i="13" s="1"/>
  <c r="E26" i="13"/>
  <c r="A26" i="13"/>
  <c r="I24" i="13"/>
  <c r="E24" i="13"/>
  <c r="A24" i="13"/>
  <c r="I23" i="13"/>
  <c r="I25" i="13" s="1"/>
  <c r="E23" i="13"/>
  <c r="A23" i="13"/>
  <c r="I21" i="13"/>
  <c r="E21" i="13"/>
  <c r="A21" i="13"/>
  <c r="I20" i="13"/>
  <c r="I22" i="13" s="1"/>
  <c r="E20" i="13"/>
  <c r="A20" i="13"/>
  <c r="I18" i="13"/>
  <c r="I19" i="13" s="1"/>
  <c r="E18" i="13"/>
  <c r="E19" i="13" s="1"/>
  <c r="A18" i="13"/>
  <c r="A19" i="13" s="1"/>
  <c r="J16" i="13"/>
  <c r="J67" i="13" s="1"/>
  <c r="J88" i="13" s="1"/>
  <c r="H16" i="13"/>
  <c r="H67" i="13" s="1"/>
  <c r="H88" i="13" s="1"/>
  <c r="G16" i="13"/>
  <c r="G67" i="13" s="1"/>
  <c r="G88" i="13" s="1"/>
  <c r="F16" i="13"/>
  <c r="F67" i="13" s="1"/>
  <c r="F88" i="13" s="1"/>
  <c r="D16" i="13"/>
  <c r="D67" i="13" s="1"/>
  <c r="D88" i="13" s="1"/>
  <c r="C16" i="13"/>
  <c r="C67" i="13" s="1"/>
  <c r="C88" i="13" s="1"/>
  <c r="B16" i="13"/>
  <c r="B67" i="13" s="1"/>
  <c r="B88" i="13" s="1"/>
  <c r="I15" i="13"/>
  <c r="E15" i="13"/>
  <c r="A15" i="13"/>
  <c r="I12" i="13"/>
  <c r="I13" i="13" s="1"/>
  <c r="E12" i="13"/>
  <c r="E13" i="13" s="1"/>
  <c r="A12" i="13"/>
  <c r="A13" i="13" s="1"/>
  <c r="I9" i="13"/>
  <c r="E9" i="13"/>
  <c r="A9" i="13"/>
  <c r="I8" i="13"/>
  <c r="I10" i="13" s="1"/>
  <c r="E8" i="13"/>
  <c r="A8" i="13"/>
  <c r="I6" i="13"/>
  <c r="E6" i="13"/>
  <c r="E66" i="13" s="1"/>
  <c r="E87" i="13" s="1"/>
  <c r="A6" i="13"/>
  <c r="I5" i="13"/>
  <c r="E5" i="13"/>
  <c r="A5" i="13"/>
  <c r="L78" i="12"/>
  <c r="K78" i="12"/>
  <c r="J78" i="12"/>
  <c r="H78" i="12"/>
  <c r="G78" i="12"/>
  <c r="F78" i="12"/>
  <c r="D78" i="12"/>
  <c r="C78" i="12"/>
  <c r="B78" i="12"/>
  <c r="L77" i="12"/>
  <c r="K77" i="12"/>
  <c r="J77" i="12"/>
  <c r="H77" i="12"/>
  <c r="G77" i="12"/>
  <c r="F77" i="12"/>
  <c r="D77" i="12"/>
  <c r="D79" i="12" s="1"/>
  <c r="C77" i="12"/>
  <c r="B77" i="12"/>
  <c r="B79" i="12" s="1"/>
  <c r="L76" i="12"/>
  <c r="K76" i="12"/>
  <c r="J76" i="12"/>
  <c r="H76" i="12"/>
  <c r="G76" i="12"/>
  <c r="F76" i="12"/>
  <c r="D76" i="12"/>
  <c r="C76" i="12"/>
  <c r="B76" i="12"/>
  <c r="I75" i="12"/>
  <c r="E75" i="12"/>
  <c r="A75" i="12"/>
  <c r="I74" i="12"/>
  <c r="E74" i="12"/>
  <c r="E76" i="12" s="1"/>
  <c r="A74" i="12"/>
  <c r="L73" i="12"/>
  <c r="K73" i="12"/>
  <c r="J73" i="12"/>
  <c r="H73" i="12"/>
  <c r="G73" i="12"/>
  <c r="F73" i="12"/>
  <c r="D73" i="12"/>
  <c r="C73" i="12"/>
  <c r="B73" i="12"/>
  <c r="I72" i="12"/>
  <c r="E72" i="12"/>
  <c r="E73" i="12" s="1"/>
  <c r="A72" i="12"/>
  <c r="I71" i="12"/>
  <c r="I73" i="12" s="1"/>
  <c r="E71" i="12"/>
  <c r="A71" i="12"/>
  <c r="A73" i="12" s="1"/>
  <c r="L70" i="12"/>
  <c r="K70" i="12"/>
  <c r="J70" i="12"/>
  <c r="H70" i="12"/>
  <c r="G70" i="12"/>
  <c r="F70" i="12"/>
  <c r="D70" i="12"/>
  <c r="C70" i="12"/>
  <c r="B70" i="12"/>
  <c r="I69" i="12"/>
  <c r="E69" i="12"/>
  <c r="A69" i="12"/>
  <c r="I68" i="12"/>
  <c r="E68" i="12"/>
  <c r="A68" i="12"/>
  <c r="L67" i="12"/>
  <c r="K67" i="12"/>
  <c r="J67" i="12"/>
  <c r="H67" i="12"/>
  <c r="G67" i="12"/>
  <c r="F67" i="12"/>
  <c r="D67" i="12"/>
  <c r="C67" i="12"/>
  <c r="B67" i="12"/>
  <c r="I66" i="12"/>
  <c r="E66" i="12"/>
  <c r="A66" i="12"/>
  <c r="I65" i="12"/>
  <c r="I67" i="12" s="1"/>
  <c r="E65" i="12"/>
  <c r="A65" i="12"/>
  <c r="A67" i="12" s="1"/>
  <c r="L64" i="12"/>
  <c r="K64" i="12"/>
  <c r="J64" i="12"/>
  <c r="H64" i="12"/>
  <c r="G64" i="12"/>
  <c r="F64" i="12"/>
  <c r="D64" i="12"/>
  <c r="C64" i="12"/>
  <c r="B64" i="12"/>
  <c r="I63" i="12"/>
  <c r="E63" i="12"/>
  <c r="A63" i="12"/>
  <c r="I62" i="12"/>
  <c r="E62" i="12"/>
  <c r="A62" i="12"/>
  <c r="L61" i="12"/>
  <c r="K61" i="12"/>
  <c r="J61" i="12"/>
  <c r="H61" i="12"/>
  <c r="G61" i="12"/>
  <c r="F61" i="12"/>
  <c r="D61" i="12"/>
  <c r="C61" i="12"/>
  <c r="B61" i="12"/>
  <c r="I60" i="12"/>
  <c r="E60" i="12"/>
  <c r="E61" i="12" s="1"/>
  <c r="A60" i="12"/>
  <c r="I59" i="12"/>
  <c r="I61" i="12" s="1"/>
  <c r="E59" i="12"/>
  <c r="A59" i="12"/>
  <c r="A61" i="12" s="1"/>
  <c r="L58" i="12"/>
  <c r="K58" i="12"/>
  <c r="J58" i="12"/>
  <c r="H58" i="12"/>
  <c r="G58" i="12"/>
  <c r="F58" i="12"/>
  <c r="D58" i="12"/>
  <c r="C58" i="12"/>
  <c r="B58" i="12"/>
  <c r="I57" i="12"/>
  <c r="E57" i="12"/>
  <c r="A57" i="12"/>
  <c r="I56" i="12"/>
  <c r="E56" i="12"/>
  <c r="A56" i="12"/>
  <c r="L55" i="12"/>
  <c r="K55" i="12"/>
  <c r="J55" i="12"/>
  <c r="H55" i="12"/>
  <c r="G55" i="12"/>
  <c r="F55" i="12"/>
  <c r="D55" i="12"/>
  <c r="C55" i="12"/>
  <c r="B55" i="12"/>
  <c r="I54" i="12"/>
  <c r="E54" i="12"/>
  <c r="A54" i="12"/>
  <c r="I53" i="12"/>
  <c r="I55" i="12" s="1"/>
  <c r="E53" i="12"/>
  <c r="A53" i="12"/>
  <c r="A55" i="12" s="1"/>
  <c r="L52" i="12"/>
  <c r="K52" i="12"/>
  <c r="J52" i="12"/>
  <c r="H52" i="12"/>
  <c r="G52" i="12"/>
  <c r="F52" i="12"/>
  <c r="D52" i="12"/>
  <c r="C52" i="12"/>
  <c r="B52" i="12"/>
  <c r="I51" i="12"/>
  <c r="E51" i="12"/>
  <c r="A51" i="12"/>
  <c r="I50" i="12"/>
  <c r="E50" i="12"/>
  <c r="A50" i="12"/>
  <c r="L49" i="12"/>
  <c r="K49" i="12"/>
  <c r="J49" i="12"/>
  <c r="H49" i="12"/>
  <c r="G49" i="12"/>
  <c r="F49" i="12"/>
  <c r="D49" i="12"/>
  <c r="C49" i="12"/>
  <c r="B49" i="12"/>
  <c r="I48" i="12"/>
  <c r="E48" i="12"/>
  <c r="A48" i="12"/>
  <c r="I47" i="12"/>
  <c r="I49" i="12" s="1"/>
  <c r="E47" i="12"/>
  <c r="A47" i="12"/>
  <c r="A49" i="12" s="1"/>
  <c r="L46" i="12"/>
  <c r="K46" i="12"/>
  <c r="J46" i="12"/>
  <c r="H46" i="12"/>
  <c r="G46" i="12"/>
  <c r="F46" i="12"/>
  <c r="D46" i="12"/>
  <c r="C46" i="12"/>
  <c r="B46" i="12"/>
  <c r="I45" i="12"/>
  <c r="E45" i="12"/>
  <c r="A45" i="12"/>
  <c r="I44" i="12"/>
  <c r="E44" i="12"/>
  <c r="A44" i="12"/>
  <c r="L43" i="12"/>
  <c r="K43" i="12"/>
  <c r="J43" i="12"/>
  <c r="H43" i="12"/>
  <c r="G43" i="12"/>
  <c r="F43" i="12"/>
  <c r="D43" i="12"/>
  <c r="C43" i="12"/>
  <c r="B43" i="12"/>
  <c r="I42" i="12"/>
  <c r="E42" i="12"/>
  <c r="A42" i="12"/>
  <c r="I41" i="12"/>
  <c r="E41" i="12"/>
  <c r="A41" i="12"/>
  <c r="L40" i="12"/>
  <c r="K40" i="12"/>
  <c r="J40" i="12"/>
  <c r="H40" i="12"/>
  <c r="G40" i="12"/>
  <c r="F40" i="12"/>
  <c r="D40" i="12"/>
  <c r="C40" i="12"/>
  <c r="B40" i="12"/>
  <c r="I39" i="12"/>
  <c r="E39" i="12"/>
  <c r="A39" i="12"/>
  <c r="I38" i="12"/>
  <c r="E38" i="12"/>
  <c r="A38" i="12"/>
  <c r="L37" i="12"/>
  <c r="K37" i="12"/>
  <c r="J37" i="12"/>
  <c r="H37" i="12"/>
  <c r="G37" i="12"/>
  <c r="F37" i="12"/>
  <c r="D37" i="12"/>
  <c r="C37" i="12"/>
  <c r="B37" i="12"/>
  <c r="I36" i="12"/>
  <c r="E36" i="12"/>
  <c r="A36" i="12"/>
  <c r="I35" i="12"/>
  <c r="E35" i="12"/>
  <c r="A35" i="12"/>
  <c r="A37" i="12" s="1"/>
  <c r="L34" i="12"/>
  <c r="K34" i="12"/>
  <c r="J34" i="12"/>
  <c r="H34" i="12"/>
  <c r="G34" i="12"/>
  <c r="F34" i="12"/>
  <c r="D34" i="12"/>
  <c r="C34" i="12"/>
  <c r="B34" i="12"/>
  <c r="I33" i="12"/>
  <c r="E33" i="12"/>
  <c r="A33" i="12"/>
  <c r="I32" i="12"/>
  <c r="E32" i="12"/>
  <c r="A32" i="12"/>
  <c r="L31" i="12"/>
  <c r="K31" i="12"/>
  <c r="J31" i="12"/>
  <c r="H31" i="12"/>
  <c r="G31" i="12"/>
  <c r="F31" i="12"/>
  <c r="D31" i="12"/>
  <c r="C31" i="12"/>
  <c r="B31" i="12"/>
  <c r="I30" i="12"/>
  <c r="E30" i="12"/>
  <c r="A30" i="12"/>
  <c r="I29" i="12"/>
  <c r="E29" i="12"/>
  <c r="A29" i="12"/>
  <c r="L28" i="12"/>
  <c r="K28" i="12"/>
  <c r="J28" i="12"/>
  <c r="H28" i="12"/>
  <c r="G28" i="12"/>
  <c r="F28" i="12"/>
  <c r="D28" i="12"/>
  <c r="C28" i="12"/>
  <c r="B28" i="12"/>
  <c r="I27" i="12"/>
  <c r="E27" i="12"/>
  <c r="A27" i="12"/>
  <c r="I26" i="12"/>
  <c r="E26" i="12"/>
  <c r="A26" i="12"/>
  <c r="L25" i="12"/>
  <c r="K25" i="12"/>
  <c r="J25" i="12"/>
  <c r="H25" i="12"/>
  <c r="G25" i="12"/>
  <c r="F25" i="12"/>
  <c r="D25" i="12"/>
  <c r="C25" i="12"/>
  <c r="B25" i="12"/>
  <c r="I24" i="12"/>
  <c r="E24" i="12"/>
  <c r="A24" i="12"/>
  <c r="I23" i="12"/>
  <c r="E23" i="12"/>
  <c r="A23" i="12"/>
  <c r="L22" i="12"/>
  <c r="K22" i="12"/>
  <c r="J22" i="12"/>
  <c r="H22" i="12"/>
  <c r="G22" i="12"/>
  <c r="F22" i="12"/>
  <c r="D22" i="12"/>
  <c r="C22" i="12"/>
  <c r="B22" i="12"/>
  <c r="I21" i="12"/>
  <c r="E21" i="12"/>
  <c r="A21" i="12"/>
  <c r="I20" i="12"/>
  <c r="E20" i="12"/>
  <c r="A20" i="12"/>
  <c r="L19" i="12"/>
  <c r="K19" i="12"/>
  <c r="J19" i="12"/>
  <c r="H19" i="12"/>
  <c r="G19" i="12"/>
  <c r="F19" i="12"/>
  <c r="D19" i="12"/>
  <c r="C19" i="12"/>
  <c r="B19" i="12"/>
  <c r="I18" i="12"/>
  <c r="E18" i="12"/>
  <c r="A18" i="12"/>
  <c r="I17" i="12"/>
  <c r="I19" i="12" s="1"/>
  <c r="E17" i="12"/>
  <c r="A17" i="12"/>
  <c r="L16" i="12"/>
  <c r="K16" i="12"/>
  <c r="J16" i="12"/>
  <c r="H16" i="12"/>
  <c r="G16" i="12"/>
  <c r="F16" i="12"/>
  <c r="D16" i="12"/>
  <c r="C16" i="12"/>
  <c r="B16" i="12"/>
  <c r="I15" i="12"/>
  <c r="E15" i="12"/>
  <c r="A15" i="12"/>
  <c r="I14" i="12"/>
  <c r="E14" i="12"/>
  <c r="A14" i="12"/>
  <c r="L13" i="12"/>
  <c r="K13" i="12"/>
  <c r="J13" i="12"/>
  <c r="H13" i="12"/>
  <c r="G13" i="12"/>
  <c r="F13" i="12"/>
  <c r="D13" i="12"/>
  <c r="C13" i="12"/>
  <c r="B13" i="12"/>
  <c r="I12" i="12"/>
  <c r="E12" i="12"/>
  <c r="E13" i="12" s="1"/>
  <c r="A12" i="12"/>
  <c r="I11" i="12"/>
  <c r="E11" i="12"/>
  <c r="A11" i="12"/>
  <c r="L10" i="12"/>
  <c r="K10" i="12"/>
  <c r="J10" i="12"/>
  <c r="H10" i="12"/>
  <c r="G10" i="12"/>
  <c r="F10" i="12"/>
  <c r="D10" i="12"/>
  <c r="C10" i="12"/>
  <c r="B10" i="12"/>
  <c r="I9" i="12"/>
  <c r="E9" i="12"/>
  <c r="A9" i="12"/>
  <c r="I8" i="12"/>
  <c r="E8" i="12"/>
  <c r="A8" i="12"/>
  <c r="L7" i="12"/>
  <c r="K7" i="12"/>
  <c r="J7" i="12"/>
  <c r="H7" i="12"/>
  <c r="G7" i="12"/>
  <c r="F7" i="12"/>
  <c r="D7" i="12"/>
  <c r="C7" i="12"/>
  <c r="B7" i="12"/>
  <c r="I6" i="12"/>
  <c r="E6" i="12"/>
  <c r="A6" i="12"/>
  <c r="I5" i="12"/>
  <c r="E5" i="12"/>
  <c r="A5" i="12"/>
  <c r="G21" i="11"/>
  <c r="F21" i="11"/>
  <c r="D21" i="11"/>
  <c r="C21" i="11"/>
  <c r="G20" i="11"/>
  <c r="F20" i="11"/>
  <c r="D20" i="11"/>
  <c r="C20" i="11"/>
  <c r="G19" i="11"/>
  <c r="F19" i="11"/>
  <c r="D19" i="11"/>
  <c r="C19" i="11"/>
  <c r="E18" i="11"/>
  <c r="B18" i="11"/>
  <c r="E17" i="11"/>
  <c r="E19" i="11" s="1"/>
  <c r="B17" i="11"/>
  <c r="B19" i="11" s="1"/>
  <c r="G16" i="11"/>
  <c r="F16" i="11"/>
  <c r="D16" i="11"/>
  <c r="C16" i="11"/>
  <c r="E15" i="11"/>
  <c r="B15" i="11"/>
  <c r="E14" i="11"/>
  <c r="E16" i="11" s="1"/>
  <c r="B14" i="11"/>
  <c r="B16" i="11" s="1"/>
  <c r="G13" i="11"/>
  <c r="F13" i="11"/>
  <c r="D13" i="11"/>
  <c r="C13" i="11"/>
  <c r="E12" i="11"/>
  <c r="B12" i="11"/>
  <c r="E11" i="11"/>
  <c r="E13" i="11" s="1"/>
  <c r="B11" i="11"/>
  <c r="B13" i="11" s="1"/>
  <c r="G10" i="11"/>
  <c r="F10" i="11"/>
  <c r="D10" i="11"/>
  <c r="C10" i="11"/>
  <c r="E9" i="11"/>
  <c r="B9" i="11"/>
  <c r="E8" i="11"/>
  <c r="E10" i="11" s="1"/>
  <c r="B8" i="11"/>
  <c r="B10" i="11" s="1"/>
  <c r="G7" i="11"/>
  <c r="G22" i="11" s="1"/>
  <c r="F7" i="11"/>
  <c r="F22" i="11" s="1"/>
  <c r="D7" i="11"/>
  <c r="D22" i="11" s="1"/>
  <c r="C7" i="11"/>
  <c r="C22" i="11" s="1"/>
  <c r="E6" i="11"/>
  <c r="E21" i="11" s="1"/>
  <c r="B6" i="11"/>
  <c r="B21" i="11" s="1"/>
  <c r="E5" i="11"/>
  <c r="E20" i="11" s="1"/>
  <c r="B5" i="11"/>
  <c r="B20" i="11" s="1"/>
  <c r="F85" i="10"/>
  <c r="E85" i="10"/>
  <c r="C85" i="10"/>
  <c r="B85" i="10"/>
  <c r="D84" i="10"/>
  <c r="A84" i="10"/>
  <c r="D83" i="10"/>
  <c r="D85" i="10" s="1"/>
  <c r="A83" i="10"/>
  <c r="A85" i="10" s="1"/>
  <c r="F81" i="10"/>
  <c r="E81" i="10"/>
  <c r="C81" i="10"/>
  <c r="B81" i="10"/>
  <c r="F80" i="10"/>
  <c r="E80" i="10"/>
  <c r="C80" i="10"/>
  <c r="B80" i="10"/>
  <c r="F79" i="10"/>
  <c r="E79" i="10"/>
  <c r="C79" i="10"/>
  <c r="B79" i="10"/>
  <c r="D78" i="10"/>
  <c r="A78" i="10"/>
  <c r="D77" i="10"/>
  <c r="D79" i="10" s="1"/>
  <c r="A77" i="10"/>
  <c r="A79" i="10" s="1"/>
  <c r="F76" i="10"/>
  <c r="E76" i="10"/>
  <c r="C76" i="10"/>
  <c r="B76" i="10"/>
  <c r="D75" i="10"/>
  <c r="A75" i="10"/>
  <c r="D74" i="10"/>
  <c r="D76" i="10" s="1"/>
  <c r="A74" i="10"/>
  <c r="A76" i="10" s="1"/>
  <c r="F73" i="10"/>
  <c r="E73" i="10"/>
  <c r="C73" i="10"/>
  <c r="B73" i="10"/>
  <c r="D72" i="10"/>
  <c r="A72" i="10"/>
  <c r="D71" i="10"/>
  <c r="D73" i="10" s="1"/>
  <c r="A71" i="10"/>
  <c r="A73" i="10" s="1"/>
  <c r="F70" i="10"/>
  <c r="F82" i="10" s="1"/>
  <c r="E70" i="10"/>
  <c r="E82" i="10" s="1"/>
  <c r="C70" i="10"/>
  <c r="C82" i="10" s="1"/>
  <c r="B70" i="10"/>
  <c r="B82" i="10" s="1"/>
  <c r="D69" i="10"/>
  <c r="D81" i="10" s="1"/>
  <c r="A69" i="10"/>
  <c r="A81" i="10" s="1"/>
  <c r="D68" i="10"/>
  <c r="D80" i="10" s="1"/>
  <c r="A68" i="10"/>
  <c r="A80" i="10" s="1"/>
  <c r="F66" i="10"/>
  <c r="F87" i="10" s="1"/>
  <c r="E66" i="10"/>
  <c r="E87" i="10" s="1"/>
  <c r="C66" i="10"/>
  <c r="C87" i="10" s="1"/>
  <c r="B66" i="10"/>
  <c r="B87" i="10" s="1"/>
  <c r="F65" i="10"/>
  <c r="F86" i="10" s="1"/>
  <c r="E65" i="10"/>
  <c r="E86" i="10" s="1"/>
  <c r="C65" i="10"/>
  <c r="C86" i="10" s="1"/>
  <c r="B65" i="10"/>
  <c r="B86" i="10" s="1"/>
  <c r="F64" i="10"/>
  <c r="E64" i="10"/>
  <c r="C64" i="10"/>
  <c r="B64" i="10"/>
  <c r="D63" i="10"/>
  <c r="A63" i="10"/>
  <c r="D62" i="10"/>
  <c r="D64" i="10" s="1"/>
  <c r="A62" i="10"/>
  <c r="A64" i="10" s="1"/>
  <c r="F61" i="10"/>
  <c r="E61" i="10"/>
  <c r="C61" i="10"/>
  <c r="B61" i="10"/>
  <c r="D60" i="10"/>
  <c r="A60" i="10"/>
  <c r="D59" i="10"/>
  <c r="D61" i="10" s="1"/>
  <c r="A59" i="10"/>
  <c r="A61" i="10" s="1"/>
  <c r="F58" i="10"/>
  <c r="E58" i="10"/>
  <c r="C58" i="10"/>
  <c r="B58" i="10"/>
  <c r="D57" i="10"/>
  <c r="A57" i="10"/>
  <c r="D56" i="10"/>
  <c r="D58" i="10" s="1"/>
  <c r="A56" i="10"/>
  <c r="A58" i="10" s="1"/>
  <c r="F55" i="10"/>
  <c r="E55" i="10"/>
  <c r="C55" i="10"/>
  <c r="B55" i="10"/>
  <c r="D54" i="10"/>
  <c r="A54" i="10"/>
  <c r="D53" i="10"/>
  <c r="D55" i="10" s="1"/>
  <c r="A53" i="10"/>
  <c r="A55" i="10" s="1"/>
  <c r="F52" i="10"/>
  <c r="E52" i="10"/>
  <c r="C52" i="10"/>
  <c r="B52" i="10"/>
  <c r="D51" i="10"/>
  <c r="A51" i="10"/>
  <c r="D50" i="10"/>
  <c r="D52" i="10" s="1"/>
  <c r="A50" i="10"/>
  <c r="A52" i="10" s="1"/>
  <c r="F49" i="10"/>
  <c r="E49" i="10"/>
  <c r="C49" i="10"/>
  <c r="B49" i="10"/>
  <c r="D48" i="10"/>
  <c r="A48" i="10"/>
  <c r="D47" i="10"/>
  <c r="D49" i="10" s="1"/>
  <c r="A47" i="10"/>
  <c r="A49" i="10" s="1"/>
  <c r="F46" i="10"/>
  <c r="E46" i="10"/>
  <c r="C46" i="10"/>
  <c r="B46" i="10"/>
  <c r="D45" i="10"/>
  <c r="A45" i="10"/>
  <c r="D44" i="10"/>
  <c r="D46" i="10" s="1"/>
  <c r="A44" i="10"/>
  <c r="A46" i="10" s="1"/>
  <c r="F43" i="10"/>
  <c r="E43" i="10"/>
  <c r="C43" i="10"/>
  <c r="B43" i="10"/>
  <c r="D42" i="10"/>
  <c r="A42" i="10"/>
  <c r="D41" i="10"/>
  <c r="D43" i="10" s="1"/>
  <c r="A41" i="10"/>
  <c r="A43" i="10" s="1"/>
  <c r="F40" i="10"/>
  <c r="E40" i="10"/>
  <c r="C40" i="10"/>
  <c r="B40" i="10"/>
  <c r="D39" i="10"/>
  <c r="A39" i="10"/>
  <c r="D38" i="10"/>
  <c r="D40" i="10" s="1"/>
  <c r="A38" i="10"/>
  <c r="A40" i="10" s="1"/>
  <c r="F37" i="10"/>
  <c r="E37" i="10"/>
  <c r="C37" i="10"/>
  <c r="B37" i="10"/>
  <c r="D36" i="10"/>
  <c r="A36" i="10"/>
  <c r="D35" i="10"/>
  <c r="D37" i="10" s="1"/>
  <c r="A35" i="10"/>
  <c r="A37" i="10" s="1"/>
  <c r="F34" i="10"/>
  <c r="E34" i="10"/>
  <c r="C34" i="10"/>
  <c r="B34" i="10"/>
  <c r="D33" i="10"/>
  <c r="A33" i="10"/>
  <c r="D32" i="10"/>
  <c r="D34" i="10" s="1"/>
  <c r="A32" i="10"/>
  <c r="A34" i="10" s="1"/>
  <c r="F31" i="10"/>
  <c r="E31" i="10"/>
  <c r="C31" i="10"/>
  <c r="B31" i="10"/>
  <c r="D30" i="10"/>
  <c r="A30" i="10"/>
  <c r="D29" i="10"/>
  <c r="D31" i="10" s="1"/>
  <c r="A29" i="10"/>
  <c r="A31" i="10" s="1"/>
  <c r="F28" i="10"/>
  <c r="E28" i="10"/>
  <c r="C28" i="10"/>
  <c r="B28" i="10"/>
  <c r="D27" i="10"/>
  <c r="A27" i="10"/>
  <c r="D26" i="10"/>
  <c r="D28" i="10" s="1"/>
  <c r="A26" i="10"/>
  <c r="A28" i="10" s="1"/>
  <c r="F25" i="10"/>
  <c r="E25" i="10"/>
  <c r="C25" i="10"/>
  <c r="B25" i="10"/>
  <c r="D24" i="10"/>
  <c r="A24" i="10"/>
  <c r="D23" i="10"/>
  <c r="D25" i="10" s="1"/>
  <c r="A23" i="10"/>
  <c r="A25" i="10" s="1"/>
  <c r="F22" i="10"/>
  <c r="E22" i="10"/>
  <c r="C22" i="10"/>
  <c r="B22" i="10"/>
  <c r="D21" i="10"/>
  <c r="A21" i="10"/>
  <c r="D20" i="10"/>
  <c r="D22" i="10" s="1"/>
  <c r="A20" i="10"/>
  <c r="A22" i="10" s="1"/>
  <c r="F19" i="10"/>
  <c r="E19" i="10"/>
  <c r="C19" i="10"/>
  <c r="B19" i="10"/>
  <c r="D18" i="10"/>
  <c r="A18" i="10"/>
  <c r="D17" i="10"/>
  <c r="D19" i="10" s="1"/>
  <c r="A17" i="10"/>
  <c r="A19" i="10" s="1"/>
  <c r="F16" i="10"/>
  <c r="E16" i="10"/>
  <c r="C16" i="10"/>
  <c r="B16" i="10"/>
  <c r="D15" i="10"/>
  <c r="A15" i="10"/>
  <c r="D14" i="10"/>
  <c r="D16" i="10" s="1"/>
  <c r="A14" i="10"/>
  <c r="A16" i="10" s="1"/>
  <c r="F13" i="10"/>
  <c r="E13" i="10"/>
  <c r="C13" i="10"/>
  <c r="B13" i="10"/>
  <c r="D12" i="10"/>
  <c r="A12" i="10"/>
  <c r="D11" i="10"/>
  <c r="D13" i="10" s="1"/>
  <c r="A11" i="10"/>
  <c r="A13" i="10" s="1"/>
  <c r="F10" i="10"/>
  <c r="E10" i="10"/>
  <c r="C10" i="10"/>
  <c r="B10" i="10"/>
  <c r="D9" i="10"/>
  <c r="A9" i="10"/>
  <c r="D8" i="10"/>
  <c r="D10" i="10" s="1"/>
  <c r="A8" i="10"/>
  <c r="A10" i="10" s="1"/>
  <c r="F7" i="10"/>
  <c r="F67" i="10" s="1"/>
  <c r="F88" i="10" s="1"/>
  <c r="E7" i="10"/>
  <c r="E67" i="10" s="1"/>
  <c r="E88" i="10" s="1"/>
  <c r="C7" i="10"/>
  <c r="C67" i="10" s="1"/>
  <c r="C88" i="10" s="1"/>
  <c r="B7" i="10"/>
  <c r="B67" i="10" s="1"/>
  <c r="B88" i="10" s="1"/>
  <c r="D6" i="10"/>
  <c r="D66" i="10" s="1"/>
  <c r="D87" i="10" s="1"/>
  <c r="A6" i="10"/>
  <c r="A66" i="10" s="1"/>
  <c r="A87" i="10" s="1"/>
  <c r="D5" i="10"/>
  <c r="D65" i="10" s="1"/>
  <c r="D86" i="10" s="1"/>
  <c r="A5" i="10"/>
  <c r="A65" i="10" s="1"/>
  <c r="A86" i="10" s="1"/>
  <c r="E66" i="9"/>
  <c r="C66" i="9"/>
  <c r="F65" i="9"/>
  <c r="E65" i="9"/>
  <c r="D65" i="9"/>
  <c r="C65" i="9"/>
  <c r="B65" i="9"/>
  <c r="F64" i="9"/>
  <c r="E64" i="9"/>
  <c r="D64" i="9"/>
  <c r="C64" i="9"/>
  <c r="B64" i="9"/>
  <c r="E122" i="8"/>
  <c r="D122" i="8"/>
  <c r="C122" i="8"/>
  <c r="B122" i="8"/>
  <c r="A122" i="8"/>
  <c r="E121" i="8"/>
  <c r="D121" i="8"/>
  <c r="C121" i="8"/>
  <c r="B121" i="8"/>
  <c r="A121" i="8"/>
  <c r="E120" i="8"/>
  <c r="D120" i="8"/>
  <c r="C120" i="8"/>
  <c r="B120" i="8"/>
  <c r="A120" i="8"/>
  <c r="E117" i="8"/>
  <c r="D117" i="8"/>
  <c r="C117" i="8"/>
  <c r="B117" i="8"/>
  <c r="A117" i="8"/>
  <c r="E114" i="8"/>
  <c r="D114" i="8"/>
  <c r="C114" i="8"/>
  <c r="B114" i="8"/>
  <c r="A114" i="8"/>
  <c r="E111" i="8"/>
  <c r="D111" i="8"/>
  <c r="C111" i="8"/>
  <c r="B111" i="8"/>
  <c r="A111" i="8"/>
  <c r="E108" i="8"/>
  <c r="D108" i="8"/>
  <c r="C108" i="8"/>
  <c r="B108" i="8"/>
  <c r="A108" i="8"/>
  <c r="E105" i="8"/>
  <c r="D105" i="8"/>
  <c r="C105" i="8"/>
  <c r="B105" i="8"/>
  <c r="A105" i="8"/>
  <c r="E102" i="8"/>
  <c r="D102" i="8"/>
  <c r="C102" i="8"/>
  <c r="B102" i="8"/>
  <c r="A102" i="8"/>
  <c r="E99" i="8"/>
  <c r="D99" i="8"/>
  <c r="C99" i="8"/>
  <c r="B99" i="8"/>
  <c r="A99" i="8"/>
  <c r="E96" i="8"/>
  <c r="D96" i="8"/>
  <c r="C96" i="8"/>
  <c r="B96" i="8"/>
  <c r="A96" i="8"/>
  <c r="E93" i="8"/>
  <c r="D93" i="8"/>
  <c r="C93" i="8"/>
  <c r="B93" i="8"/>
  <c r="A93" i="8"/>
  <c r="E90" i="8"/>
  <c r="D90" i="8"/>
  <c r="C90" i="8"/>
  <c r="B90" i="8"/>
  <c r="A90" i="8"/>
  <c r="E87" i="8"/>
  <c r="D87" i="8"/>
  <c r="C87" i="8"/>
  <c r="B87" i="8"/>
  <c r="A87" i="8"/>
  <c r="E84" i="8"/>
  <c r="D84" i="8"/>
  <c r="C84" i="8"/>
  <c r="B84" i="8"/>
  <c r="A84" i="8"/>
  <c r="E81" i="8"/>
  <c r="D81" i="8"/>
  <c r="C81" i="8"/>
  <c r="B81" i="8"/>
  <c r="A81" i="8"/>
  <c r="E78" i="8"/>
  <c r="D78" i="8"/>
  <c r="C78" i="8"/>
  <c r="B78" i="8"/>
  <c r="A78" i="8"/>
  <c r="E75" i="8"/>
  <c r="D75" i="8"/>
  <c r="C75" i="8"/>
  <c r="B75" i="8"/>
  <c r="A75" i="8"/>
  <c r="E72" i="8"/>
  <c r="D72" i="8"/>
  <c r="C72" i="8"/>
  <c r="B72" i="8"/>
  <c r="A72" i="8"/>
  <c r="E69" i="8"/>
  <c r="D69" i="8"/>
  <c r="C69" i="8"/>
  <c r="B69" i="8"/>
  <c r="A69" i="8"/>
  <c r="E66" i="8"/>
  <c r="D66" i="8"/>
  <c r="C66" i="8"/>
  <c r="B66" i="8"/>
  <c r="A66" i="8"/>
  <c r="E63" i="8"/>
  <c r="D63" i="8"/>
  <c r="C63" i="8"/>
  <c r="B63" i="8"/>
  <c r="A63" i="8"/>
  <c r="E60" i="8"/>
  <c r="D60" i="8"/>
  <c r="C60" i="8"/>
  <c r="B60" i="8"/>
  <c r="A60" i="8"/>
  <c r="E57" i="8"/>
  <c r="D57" i="8"/>
  <c r="C57" i="8"/>
  <c r="B57" i="8"/>
  <c r="A57" i="8"/>
  <c r="E54" i="8"/>
  <c r="D54" i="8"/>
  <c r="C54" i="8"/>
  <c r="B54" i="8"/>
  <c r="A54" i="8"/>
  <c r="E51" i="8"/>
  <c r="D51" i="8"/>
  <c r="C51" i="8"/>
  <c r="B51" i="8"/>
  <c r="A51" i="8"/>
  <c r="E48" i="8"/>
  <c r="D48" i="8"/>
  <c r="C48" i="8"/>
  <c r="B48" i="8"/>
  <c r="A48" i="8"/>
  <c r="E45" i="8"/>
  <c r="D45" i="8"/>
  <c r="C45" i="8"/>
  <c r="B45" i="8"/>
  <c r="A45" i="8"/>
  <c r="E42" i="8"/>
  <c r="D42" i="8"/>
  <c r="C42" i="8"/>
  <c r="B42" i="8"/>
  <c r="A42" i="8"/>
  <c r="E39" i="8"/>
  <c r="D39" i="8"/>
  <c r="C39" i="8"/>
  <c r="B39" i="8"/>
  <c r="A39" i="8"/>
  <c r="E36" i="8"/>
  <c r="D36" i="8"/>
  <c r="C36" i="8"/>
  <c r="B36" i="8"/>
  <c r="A36" i="8"/>
  <c r="E33" i="8"/>
  <c r="D33" i="8"/>
  <c r="C33" i="8"/>
  <c r="B33" i="8"/>
  <c r="A33" i="8"/>
  <c r="E30" i="8"/>
  <c r="D30" i="8"/>
  <c r="C30" i="8"/>
  <c r="B30" i="8"/>
  <c r="A30" i="8"/>
  <c r="E27" i="8"/>
  <c r="D27" i="8"/>
  <c r="C27" i="8"/>
  <c r="B27" i="8"/>
  <c r="A27" i="8"/>
  <c r="E24" i="8"/>
  <c r="D24" i="8"/>
  <c r="C24" i="8"/>
  <c r="B24" i="8"/>
  <c r="A24" i="8"/>
  <c r="E21" i="8"/>
  <c r="D21" i="8"/>
  <c r="C21" i="8"/>
  <c r="B21" i="8"/>
  <c r="A21" i="8"/>
  <c r="E18" i="8"/>
  <c r="D18" i="8"/>
  <c r="C18" i="8"/>
  <c r="B18" i="8"/>
  <c r="A18" i="8"/>
  <c r="E15" i="8"/>
  <c r="D15" i="8"/>
  <c r="C15" i="8"/>
  <c r="B15" i="8"/>
  <c r="A15" i="8"/>
  <c r="E12" i="8"/>
  <c r="D12" i="8"/>
  <c r="C12" i="8"/>
  <c r="B12" i="8"/>
  <c r="A12" i="8"/>
  <c r="E9" i="8"/>
  <c r="D9" i="8"/>
  <c r="C9" i="8"/>
  <c r="B9" i="8"/>
  <c r="A9" i="8"/>
  <c r="E6" i="8"/>
  <c r="D6" i="8"/>
  <c r="C6" i="8"/>
  <c r="B6" i="8"/>
  <c r="B123" i="8" s="1"/>
  <c r="A6" i="8"/>
  <c r="E29" i="7"/>
  <c r="D29" i="7"/>
  <c r="C29" i="7"/>
  <c r="B29" i="7"/>
  <c r="A29" i="7"/>
  <c r="E28" i="7"/>
  <c r="D28" i="7"/>
  <c r="C28" i="7"/>
  <c r="B28" i="7"/>
  <c r="A28" i="7"/>
  <c r="E6" i="7"/>
  <c r="B30" i="7"/>
  <c r="J27" i="6"/>
  <c r="I27" i="6"/>
  <c r="G27" i="6"/>
  <c r="F27" i="6"/>
  <c r="D27" i="6"/>
  <c r="C27" i="6"/>
  <c r="J26" i="6"/>
  <c r="I26" i="6"/>
  <c r="G26" i="6"/>
  <c r="F26" i="6"/>
  <c r="D26" i="6"/>
  <c r="C26" i="6"/>
  <c r="J25" i="6"/>
  <c r="I25" i="6"/>
  <c r="G25" i="6"/>
  <c r="F25" i="6"/>
  <c r="D25" i="6"/>
  <c r="C25" i="6"/>
  <c r="H24" i="6"/>
  <c r="E24" i="6"/>
  <c r="B24" i="6"/>
  <c r="H23" i="6"/>
  <c r="E23" i="6"/>
  <c r="E25" i="6" s="1"/>
  <c r="B23" i="6"/>
  <c r="J22" i="6"/>
  <c r="I22" i="6"/>
  <c r="G22" i="6"/>
  <c r="F22" i="6"/>
  <c r="D22" i="6"/>
  <c r="C22" i="6"/>
  <c r="H21" i="6"/>
  <c r="E21" i="6"/>
  <c r="B21" i="6"/>
  <c r="H20" i="6"/>
  <c r="E20" i="6"/>
  <c r="E22" i="6" s="1"/>
  <c r="B20" i="6"/>
  <c r="J19" i="6"/>
  <c r="I19" i="6"/>
  <c r="G19" i="6"/>
  <c r="F19" i="6"/>
  <c r="D19" i="6"/>
  <c r="C19" i="6"/>
  <c r="H18" i="6"/>
  <c r="E18" i="6"/>
  <c r="B18" i="6"/>
  <c r="H17" i="6"/>
  <c r="E17" i="6"/>
  <c r="E19" i="6" s="1"/>
  <c r="B17" i="6"/>
  <c r="J16" i="6"/>
  <c r="I16" i="6"/>
  <c r="G16" i="6"/>
  <c r="F16" i="6"/>
  <c r="D16" i="6"/>
  <c r="C16" i="6"/>
  <c r="H15" i="6"/>
  <c r="E15" i="6"/>
  <c r="B15" i="6"/>
  <c r="H14" i="6"/>
  <c r="E14" i="6"/>
  <c r="E16" i="6" s="1"/>
  <c r="B14" i="6"/>
  <c r="J13" i="6"/>
  <c r="I13" i="6"/>
  <c r="G13" i="6"/>
  <c r="F13" i="6"/>
  <c r="D13" i="6"/>
  <c r="C13" i="6"/>
  <c r="H12" i="6"/>
  <c r="E12" i="6"/>
  <c r="B12" i="6"/>
  <c r="H11" i="6"/>
  <c r="E11" i="6"/>
  <c r="E13" i="6" s="1"/>
  <c r="B11" i="6"/>
  <c r="J10" i="6"/>
  <c r="I10" i="6"/>
  <c r="G10" i="6"/>
  <c r="F10" i="6"/>
  <c r="D10" i="6"/>
  <c r="C10" i="6"/>
  <c r="H9" i="6"/>
  <c r="E9" i="6"/>
  <c r="B9" i="6"/>
  <c r="H8" i="6"/>
  <c r="E8" i="6"/>
  <c r="E10" i="6" s="1"/>
  <c r="B8" i="6"/>
  <c r="J7" i="6"/>
  <c r="J28" i="6" s="1"/>
  <c r="I7" i="6"/>
  <c r="I28" i="6" s="1"/>
  <c r="G7" i="6"/>
  <c r="G28" i="6" s="1"/>
  <c r="F7" i="6"/>
  <c r="F28" i="6" s="1"/>
  <c r="D7" i="6"/>
  <c r="D28" i="6" s="1"/>
  <c r="C7" i="6"/>
  <c r="C28" i="6" s="1"/>
  <c r="H6" i="6"/>
  <c r="H27" i="6" s="1"/>
  <c r="E6" i="6"/>
  <c r="E27" i="6" s="1"/>
  <c r="B6" i="6"/>
  <c r="B27" i="6" s="1"/>
  <c r="H5" i="6"/>
  <c r="E5" i="6"/>
  <c r="E26" i="6" s="1"/>
  <c r="B5" i="6"/>
  <c r="J36" i="5"/>
  <c r="I36" i="5"/>
  <c r="G36" i="5"/>
  <c r="F36" i="5"/>
  <c r="D36" i="5"/>
  <c r="C36" i="5"/>
  <c r="J35" i="5"/>
  <c r="I35" i="5"/>
  <c r="G35" i="5"/>
  <c r="F35" i="5"/>
  <c r="D35" i="5"/>
  <c r="C35" i="5"/>
  <c r="J34" i="5"/>
  <c r="I34" i="5"/>
  <c r="G34" i="5"/>
  <c r="F34" i="5"/>
  <c r="D34" i="5"/>
  <c r="C34" i="5"/>
  <c r="H33" i="5"/>
  <c r="E33" i="5"/>
  <c r="B33" i="5"/>
  <c r="H32" i="5"/>
  <c r="E32" i="5"/>
  <c r="E34" i="5" s="1"/>
  <c r="B32" i="5"/>
  <c r="J31" i="5"/>
  <c r="I31" i="5"/>
  <c r="G31" i="5"/>
  <c r="F31" i="5"/>
  <c r="D31" i="5"/>
  <c r="C31" i="5"/>
  <c r="H30" i="5"/>
  <c r="E30" i="5"/>
  <c r="B30" i="5"/>
  <c r="H29" i="5"/>
  <c r="E29" i="5"/>
  <c r="E31" i="5" s="1"/>
  <c r="B29" i="5"/>
  <c r="J28" i="5"/>
  <c r="I28" i="5"/>
  <c r="G28" i="5"/>
  <c r="F28" i="5"/>
  <c r="D28" i="5"/>
  <c r="C28" i="5"/>
  <c r="H27" i="5"/>
  <c r="E27" i="5"/>
  <c r="B27" i="5"/>
  <c r="H26" i="5"/>
  <c r="E26" i="5"/>
  <c r="E28" i="5" s="1"/>
  <c r="B26" i="5"/>
  <c r="J25" i="5"/>
  <c r="I25" i="5"/>
  <c r="G25" i="5"/>
  <c r="F25" i="5"/>
  <c r="D25" i="5"/>
  <c r="C25" i="5"/>
  <c r="H24" i="5"/>
  <c r="E24" i="5"/>
  <c r="B24" i="5"/>
  <c r="H23" i="5"/>
  <c r="E23" i="5"/>
  <c r="E25" i="5" s="1"/>
  <c r="B23" i="5"/>
  <c r="J22" i="5"/>
  <c r="I22" i="5"/>
  <c r="G22" i="5"/>
  <c r="F22" i="5"/>
  <c r="D22" i="5"/>
  <c r="C22" i="5"/>
  <c r="H21" i="5"/>
  <c r="E21" i="5"/>
  <c r="B21" i="5"/>
  <c r="H20" i="5"/>
  <c r="E20" i="5"/>
  <c r="E22" i="5" s="1"/>
  <c r="B20" i="5"/>
  <c r="J19" i="5"/>
  <c r="I19" i="5"/>
  <c r="G19" i="5"/>
  <c r="F19" i="5"/>
  <c r="D19" i="5"/>
  <c r="C19" i="5"/>
  <c r="H18" i="5"/>
  <c r="E18" i="5"/>
  <c r="B18" i="5"/>
  <c r="H17" i="5"/>
  <c r="E17" i="5"/>
  <c r="E19" i="5" s="1"/>
  <c r="B17" i="5"/>
  <c r="J16" i="5"/>
  <c r="I16" i="5"/>
  <c r="G16" i="5"/>
  <c r="F16" i="5"/>
  <c r="D16" i="5"/>
  <c r="C16" i="5"/>
  <c r="H15" i="5"/>
  <c r="E15" i="5"/>
  <c r="B15" i="5"/>
  <c r="H14" i="5"/>
  <c r="E14" i="5"/>
  <c r="E16" i="5" s="1"/>
  <c r="B14" i="5"/>
  <c r="J13" i="5"/>
  <c r="I13" i="5"/>
  <c r="G13" i="5"/>
  <c r="F13" i="5"/>
  <c r="D13" i="5"/>
  <c r="C13" i="5"/>
  <c r="H12" i="5"/>
  <c r="E12" i="5"/>
  <c r="B12" i="5"/>
  <c r="H11" i="5"/>
  <c r="E11" i="5"/>
  <c r="E13" i="5" s="1"/>
  <c r="B11" i="5"/>
  <c r="J10" i="5"/>
  <c r="I10" i="5"/>
  <c r="G10" i="5"/>
  <c r="F10" i="5"/>
  <c r="D10" i="5"/>
  <c r="C10" i="5"/>
  <c r="H9" i="5"/>
  <c r="E9" i="5"/>
  <c r="B9" i="5"/>
  <c r="H8" i="5"/>
  <c r="E8" i="5"/>
  <c r="E10" i="5" s="1"/>
  <c r="B8" i="5"/>
  <c r="J7" i="5"/>
  <c r="J37" i="5" s="1"/>
  <c r="I7" i="5"/>
  <c r="I37" i="5" s="1"/>
  <c r="G7" i="5"/>
  <c r="G37" i="5" s="1"/>
  <c r="F7" i="5"/>
  <c r="F37" i="5" s="1"/>
  <c r="D7" i="5"/>
  <c r="D37" i="5" s="1"/>
  <c r="C7" i="5"/>
  <c r="C37" i="5" s="1"/>
  <c r="H6" i="5"/>
  <c r="H36" i="5" s="1"/>
  <c r="E6" i="5"/>
  <c r="E36" i="5" s="1"/>
  <c r="B6" i="5"/>
  <c r="B36" i="5" s="1"/>
  <c r="H5" i="5"/>
  <c r="H35" i="5" s="1"/>
  <c r="E5" i="5"/>
  <c r="E35" i="5" s="1"/>
  <c r="B5" i="5"/>
  <c r="B35" i="5" s="1"/>
  <c r="J93" i="4"/>
  <c r="I93" i="4"/>
  <c r="G93" i="4"/>
  <c r="F93" i="4"/>
  <c r="D93" i="4"/>
  <c r="C93" i="4"/>
  <c r="J92" i="4"/>
  <c r="I92" i="4"/>
  <c r="G92" i="4"/>
  <c r="F92" i="4"/>
  <c r="D92" i="4"/>
  <c r="C92" i="4"/>
  <c r="J90" i="4"/>
  <c r="I90" i="4"/>
  <c r="G90" i="4"/>
  <c r="F90" i="4"/>
  <c r="D90" i="4"/>
  <c r="C90" i="4"/>
  <c r="J89" i="4"/>
  <c r="I89" i="4"/>
  <c r="G89" i="4"/>
  <c r="F89" i="4"/>
  <c r="D89" i="4"/>
  <c r="C89" i="4"/>
  <c r="J88" i="4"/>
  <c r="I88" i="4"/>
  <c r="G88" i="4"/>
  <c r="F88" i="4"/>
  <c r="D88" i="4"/>
  <c r="C88" i="4"/>
  <c r="H87" i="4"/>
  <c r="E87" i="4"/>
  <c r="B87" i="4"/>
  <c r="H86" i="4"/>
  <c r="E86" i="4"/>
  <c r="E88" i="4" s="1"/>
  <c r="B86" i="4"/>
  <c r="J85" i="4"/>
  <c r="J91" i="4" s="1"/>
  <c r="I85" i="4"/>
  <c r="I91" i="4" s="1"/>
  <c r="G85" i="4"/>
  <c r="G91" i="4" s="1"/>
  <c r="F85" i="4"/>
  <c r="F91" i="4" s="1"/>
  <c r="D85" i="4"/>
  <c r="D91" i="4" s="1"/>
  <c r="C85" i="4"/>
  <c r="C91" i="4" s="1"/>
  <c r="H84" i="4"/>
  <c r="H90" i="4" s="1"/>
  <c r="E84" i="4"/>
  <c r="E90" i="4" s="1"/>
  <c r="B84" i="4"/>
  <c r="B90" i="4" s="1"/>
  <c r="H83" i="4"/>
  <c r="H89" i="4" s="1"/>
  <c r="E83" i="4"/>
  <c r="E89" i="4" s="1"/>
  <c r="B83" i="4"/>
  <c r="B89" i="4" s="1"/>
  <c r="J81" i="4"/>
  <c r="I81" i="4"/>
  <c r="G81" i="4"/>
  <c r="F81" i="4"/>
  <c r="D81" i="4"/>
  <c r="C81" i="4"/>
  <c r="J80" i="4"/>
  <c r="I80" i="4"/>
  <c r="G80" i="4"/>
  <c r="F80" i="4"/>
  <c r="D80" i="4"/>
  <c r="C80" i="4"/>
  <c r="J79" i="4"/>
  <c r="I79" i="4"/>
  <c r="G79" i="4"/>
  <c r="F79" i="4"/>
  <c r="D79" i="4"/>
  <c r="C79" i="4"/>
  <c r="H78" i="4"/>
  <c r="E78" i="4"/>
  <c r="B78" i="4"/>
  <c r="H77" i="4"/>
  <c r="E77" i="4"/>
  <c r="E79" i="4" s="1"/>
  <c r="B77" i="4"/>
  <c r="J76" i="4"/>
  <c r="I76" i="4"/>
  <c r="G76" i="4"/>
  <c r="F76" i="4"/>
  <c r="D76" i="4"/>
  <c r="C76" i="4"/>
  <c r="H75" i="4"/>
  <c r="E75" i="4"/>
  <c r="B75" i="4"/>
  <c r="H74" i="4"/>
  <c r="E74" i="4"/>
  <c r="E76" i="4" s="1"/>
  <c r="B74" i="4"/>
  <c r="J73" i="4"/>
  <c r="I73" i="4"/>
  <c r="G73" i="4"/>
  <c r="F73" i="4"/>
  <c r="D73" i="4"/>
  <c r="C73" i="4"/>
  <c r="H72" i="4"/>
  <c r="E72" i="4"/>
  <c r="B72" i="4"/>
  <c r="H71" i="4"/>
  <c r="E71" i="4"/>
  <c r="E73" i="4" s="1"/>
  <c r="B71" i="4"/>
  <c r="J70" i="4"/>
  <c r="I70" i="4"/>
  <c r="G70" i="4"/>
  <c r="F70" i="4"/>
  <c r="D70" i="4"/>
  <c r="C70" i="4"/>
  <c r="H69" i="4"/>
  <c r="E69" i="4"/>
  <c r="B69" i="4"/>
  <c r="H68" i="4"/>
  <c r="E68" i="4"/>
  <c r="E70" i="4" s="1"/>
  <c r="B68" i="4"/>
  <c r="J67" i="4"/>
  <c r="J82" i="4" s="1"/>
  <c r="I67" i="4"/>
  <c r="I82" i="4" s="1"/>
  <c r="G67" i="4"/>
  <c r="G82" i="4" s="1"/>
  <c r="F67" i="4"/>
  <c r="F82" i="4" s="1"/>
  <c r="D67" i="4"/>
  <c r="D82" i="4" s="1"/>
  <c r="C67" i="4"/>
  <c r="C82" i="4" s="1"/>
  <c r="H66" i="4"/>
  <c r="H81" i="4" s="1"/>
  <c r="E66" i="4"/>
  <c r="E81" i="4" s="1"/>
  <c r="B66" i="4"/>
  <c r="B81" i="4" s="1"/>
  <c r="H65" i="4"/>
  <c r="E65" i="4"/>
  <c r="E80" i="4" s="1"/>
  <c r="B65" i="4"/>
  <c r="J63" i="4"/>
  <c r="I63" i="4"/>
  <c r="G63" i="4"/>
  <c r="F63" i="4"/>
  <c r="D63" i="4"/>
  <c r="C63" i="4"/>
  <c r="J62" i="4"/>
  <c r="I62" i="4"/>
  <c r="G62" i="4"/>
  <c r="F62" i="4"/>
  <c r="D62" i="4"/>
  <c r="C62" i="4"/>
  <c r="J61" i="4"/>
  <c r="I61" i="4"/>
  <c r="G61" i="4"/>
  <c r="F61" i="4"/>
  <c r="D61" i="4"/>
  <c r="C61" i="4"/>
  <c r="H60" i="4"/>
  <c r="E60" i="4"/>
  <c r="B60" i="4"/>
  <c r="H59" i="4"/>
  <c r="E59" i="4"/>
  <c r="E61" i="4" s="1"/>
  <c r="B59" i="4"/>
  <c r="J58" i="4"/>
  <c r="I58" i="4"/>
  <c r="G58" i="4"/>
  <c r="F58" i="4"/>
  <c r="D58" i="4"/>
  <c r="C58" i="4"/>
  <c r="H57" i="4"/>
  <c r="E57" i="4"/>
  <c r="B57" i="4"/>
  <c r="H56" i="4"/>
  <c r="E56" i="4"/>
  <c r="E58" i="4" s="1"/>
  <c r="B56" i="4"/>
  <c r="J55" i="4"/>
  <c r="I55" i="4"/>
  <c r="I64" i="4" s="1"/>
  <c r="G55" i="4"/>
  <c r="G64" i="4" s="1"/>
  <c r="F55" i="4"/>
  <c r="D55" i="4"/>
  <c r="C55" i="4"/>
  <c r="C64" i="4" s="1"/>
  <c r="H54" i="4"/>
  <c r="H63" i="4" s="1"/>
  <c r="E54" i="4"/>
  <c r="B54" i="4"/>
  <c r="B63" i="4" s="1"/>
  <c r="H53" i="4"/>
  <c r="E53" i="4"/>
  <c r="E62" i="4" s="1"/>
  <c r="B53" i="4"/>
  <c r="J51" i="4"/>
  <c r="I51" i="4"/>
  <c r="G51" i="4"/>
  <c r="F51" i="4"/>
  <c r="D51" i="4"/>
  <c r="C51" i="4"/>
  <c r="J50" i="4"/>
  <c r="I50" i="4"/>
  <c r="G50" i="4"/>
  <c r="F50" i="4"/>
  <c r="D50" i="4"/>
  <c r="C50" i="4"/>
  <c r="J49" i="4"/>
  <c r="I49" i="4"/>
  <c r="G49" i="4"/>
  <c r="F49" i="4"/>
  <c r="D49" i="4"/>
  <c r="C49" i="4"/>
  <c r="H48" i="4"/>
  <c r="E48" i="4"/>
  <c r="B48" i="4"/>
  <c r="H47" i="4"/>
  <c r="E47" i="4"/>
  <c r="E49" i="4" s="1"/>
  <c r="B47" i="4"/>
  <c r="J46" i="4"/>
  <c r="I46" i="4"/>
  <c r="G46" i="4"/>
  <c r="F46" i="4"/>
  <c r="D46" i="4"/>
  <c r="C46" i="4"/>
  <c r="H45" i="4"/>
  <c r="E45" i="4"/>
  <c r="B45" i="4"/>
  <c r="H44" i="4"/>
  <c r="E44" i="4"/>
  <c r="E46" i="4" s="1"/>
  <c r="B44" i="4"/>
  <c r="J43" i="4"/>
  <c r="I43" i="4"/>
  <c r="G43" i="4"/>
  <c r="F43" i="4"/>
  <c r="D43" i="4"/>
  <c r="C43" i="4"/>
  <c r="H42" i="4"/>
  <c r="E42" i="4"/>
  <c r="B42" i="4"/>
  <c r="H41" i="4"/>
  <c r="E41" i="4"/>
  <c r="B41" i="4"/>
  <c r="J40" i="4"/>
  <c r="I40" i="4"/>
  <c r="G40" i="4"/>
  <c r="F40" i="4"/>
  <c r="D40" i="4"/>
  <c r="C40" i="4"/>
  <c r="H39" i="4"/>
  <c r="E39" i="4"/>
  <c r="B39" i="4"/>
  <c r="H38" i="4"/>
  <c r="E38" i="4"/>
  <c r="B38" i="4"/>
  <c r="J37" i="4"/>
  <c r="I37" i="4"/>
  <c r="G37" i="4"/>
  <c r="F37" i="4"/>
  <c r="D37" i="4"/>
  <c r="C37" i="4"/>
  <c r="H36" i="4"/>
  <c r="E36" i="4"/>
  <c r="B36" i="4"/>
  <c r="H35" i="4"/>
  <c r="E35" i="4"/>
  <c r="B35" i="4"/>
  <c r="J34" i="4"/>
  <c r="I34" i="4"/>
  <c r="G34" i="4"/>
  <c r="F34" i="4"/>
  <c r="D34" i="4"/>
  <c r="C34" i="4"/>
  <c r="H33" i="4"/>
  <c r="E33" i="4"/>
  <c r="B33" i="4"/>
  <c r="H32" i="4"/>
  <c r="E32" i="4"/>
  <c r="B32" i="4"/>
  <c r="J31" i="4"/>
  <c r="I31" i="4"/>
  <c r="G31" i="4"/>
  <c r="F31" i="4"/>
  <c r="D31" i="4"/>
  <c r="C31" i="4"/>
  <c r="H30" i="4"/>
  <c r="E30" i="4"/>
  <c r="B30" i="4"/>
  <c r="H29" i="4"/>
  <c r="E29" i="4"/>
  <c r="B29" i="4"/>
  <c r="J28" i="4"/>
  <c r="I28" i="4"/>
  <c r="G28" i="4"/>
  <c r="F28" i="4"/>
  <c r="D28" i="4"/>
  <c r="C28" i="4"/>
  <c r="H27" i="4"/>
  <c r="E27" i="4"/>
  <c r="B27" i="4"/>
  <c r="H26" i="4"/>
  <c r="E26" i="4"/>
  <c r="B26" i="4"/>
  <c r="J25" i="4"/>
  <c r="I25" i="4"/>
  <c r="G25" i="4"/>
  <c r="F25" i="4"/>
  <c r="D25" i="4"/>
  <c r="C25" i="4"/>
  <c r="H24" i="4"/>
  <c r="E24" i="4"/>
  <c r="B24" i="4"/>
  <c r="H23" i="4"/>
  <c r="E23" i="4"/>
  <c r="B23" i="4"/>
  <c r="J22" i="4"/>
  <c r="I22" i="4"/>
  <c r="G22" i="4"/>
  <c r="F22" i="4"/>
  <c r="D22" i="4"/>
  <c r="C22" i="4"/>
  <c r="H21" i="4"/>
  <c r="E21" i="4"/>
  <c r="B21" i="4"/>
  <c r="H20" i="4"/>
  <c r="E20" i="4"/>
  <c r="B20" i="4"/>
  <c r="J19" i="4"/>
  <c r="I19" i="4"/>
  <c r="G19" i="4"/>
  <c r="F19" i="4"/>
  <c r="D19" i="4"/>
  <c r="C19" i="4"/>
  <c r="H18" i="4"/>
  <c r="E18" i="4"/>
  <c r="B18" i="4"/>
  <c r="H17" i="4"/>
  <c r="E17" i="4"/>
  <c r="B17" i="4"/>
  <c r="J16" i="4"/>
  <c r="I16" i="4"/>
  <c r="G16" i="4"/>
  <c r="F16" i="4"/>
  <c r="D16" i="4"/>
  <c r="C16" i="4"/>
  <c r="H15" i="4"/>
  <c r="E15" i="4"/>
  <c r="B15" i="4"/>
  <c r="H14" i="4"/>
  <c r="E14" i="4"/>
  <c r="B14" i="4"/>
  <c r="J13" i="4"/>
  <c r="I13" i="4"/>
  <c r="G13" i="4"/>
  <c r="F13" i="4"/>
  <c r="D13" i="4"/>
  <c r="C13" i="4"/>
  <c r="H12" i="4"/>
  <c r="E12" i="4"/>
  <c r="B12" i="4"/>
  <c r="H11" i="4"/>
  <c r="E11" i="4"/>
  <c r="B11" i="4"/>
  <c r="J10" i="4"/>
  <c r="I10" i="4"/>
  <c r="G10" i="4"/>
  <c r="F10" i="4"/>
  <c r="D10" i="4"/>
  <c r="C10" i="4"/>
  <c r="H9" i="4"/>
  <c r="E9" i="4"/>
  <c r="B9" i="4"/>
  <c r="H8" i="4"/>
  <c r="E8" i="4"/>
  <c r="B8" i="4"/>
  <c r="J7" i="4"/>
  <c r="J94" i="4" s="1"/>
  <c r="I7" i="4"/>
  <c r="I94" i="4" s="1"/>
  <c r="G7" i="4"/>
  <c r="G94" i="4" s="1"/>
  <c r="F7" i="4"/>
  <c r="F94" i="4" s="1"/>
  <c r="D7" i="4"/>
  <c r="D94" i="4" s="1"/>
  <c r="C7" i="4"/>
  <c r="C94" i="4" s="1"/>
  <c r="H6" i="4"/>
  <c r="H93" i="4" s="1"/>
  <c r="E6" i="4"/>
  <c r="E93" i="4" s="1"/>
  <c r="B6" i="4"/>
  <c r="B93" i="4" s="1"/>
  <c r="H5" i="4"/>
  <c r="E5" i="4"/>
  <c r="E92" i="4" s="1"/>
  <c r="B5" i="4"/>
  <c r="E19" i="12" l="1"/>
  <c r="I7" i="13"/>
  <c r="I65" i="13"/>
  <c r="I80" i="13"/>
  <c r="I70" i="13"/>
  <c r="I82" i="13" s="1"/>
  <c r="E7" i="13"/>
  <c r="E65" i="13"/>
  <c r="E80" i="13"/>
  <c r="E70" i="13"/>
  <c r="B7" i="4"/>
  <c r="H7" i="4"/>
  <c r="B10" i="4"/>
  <c r="H10" i="4"/>
  <c r="B13" i="4"/>
  <c r="H13" i="4"/>
  <c r="B16" i="4"/>
  <c r="H16" i="4"/>
  <c r="B19" i="4"/>
  <c r="H19" i="4"/>
  <c r="B22" i="4"/>
  <c r="H22" i="4"/>
  <c r="B25" i="4"/>
  <c r="H25" i="4"/>
  <c r="B28" i="4"/>
  <c r="H28" i="4"/>
  <c r="B31" i="4"/>
  <c r="H31" i="4"/>
  <c r="B34" i="4"/>
  <c r="H34" i="4"/>
  <c r="B37" i="4"/>
  <c r="H37" i="4"/>
  <c r="B40" i="4"/>
  <c r="H40" i="4"/>
  <c r="B43" i="4"/>
  <c r="H43" i="4"/>
  <c r="B46" i="4"/>
  <c r="H46" i="4"/>
  <c r="B49" i="4"/>
  <c r="H49" i="4"/>
  <c r="B55" i="4"/>
  <c r="H55" i="4"/>
  <c r="B61" i="4"/>
  <c r="H61" i="4"/>
  <c r="B67" i="4"/>
  <c r="H67" i="4"/>
  <c r="B73" i="4"/>
  <c r="H73" i="4"/>
  <c r="B76" i="4"/>
  <c r="H76" i="4"/>
  <c r="B79" i="4"/>
  <c r="H79" i="4"/>
  <c r="B88" i="4"/>
  <c r="H88" i="4"/>
  <c r="H79" i="12"/>
  <c r="K79" i="12"/>
  <c r="I66" i="13"/>
  <c r="I87" i="13" s="1"/>
  <c r="E10" i="13"/>
  <c r="E22" i="13"/>
  <c r="E25" i="13"/>
  <c r="E28" i="13"/>
  <c r="E31" i="13"/>
  <c r="E34" i="13"/>
  <c r="E37" i="13"/>
  <c r="E40" i="13"/>
  <c r="E43" i="13"/>
  <c r="E46" i="13"/>
  <c r="E49" i="13"/>
  <c r="E52" i="13"/>
  <c r="E55" i="13"/>
  <c r="E58" i="13"/>
  <c r="E61" i="13"/>
  <c r="E64" i="13"/>
  <c r="E73" i="13"/>
  <c r="E76" i="13"/>
  <c r="E79" i="13"/>
  <c r="A81" i="13"/>
  <c r="E85" i="13"/>
  <c r="C22" i="14"/>
  <c r="A13" i="14"/>
  <c r="A19" i="14"/>
  <c r="D30" i="7"/>
  <c r="D123" i="8"/>
  <c r="A43" i="12"/>
  <c r="A31" i="12"/>
  <c r="A25" i="12"/>
  <c r="A19" i="12"/>
  <c r="A13" i="12"/>
  <c r="C79" i="12"/>
  <c r="A77" i="12"/>
  <c r="E67" i="12"/>
  <c r="E55" i="12"/>
  <c r="E49" i="12"/>
  <c r="E43" i="12"/>
  <c r="E37" i="12"/>
  <c r="E31" i="12"/>
  <c r="E25" i="12"/>
  <c r="F79" i="12"/>
  <c r="E78" i="12"/>
  <c r="G79" i="12"/>
  <c r="J79" i="12"/>
  <c r="I43" i="12"/>
  <c r="I37" i="12"/>
  <c r="I31" i="12"/>
  <c r="I25" i="12"/>
  <c r="I13" i="12"/>
  <c r="I77" i="12"/>
  <c r="L79" i="12"/>
  <c r="A80" i="13"/>
  <c r="A79" i="13"/>
  <c r="A82" i="13" s="1"/>
  <c r="A28" i="13"/>
  <c r="A25" i="13"/>
  <c r="A22" i="13"/>
  <c r="A10" i="13"/>
  <c r="A65" i="13"/>
  <c r="A86" i="13" s="1"/>
  <c r="A7" i="13"/>
  <c r="A66" i="13"/>
  <c r="A87" i="13" s="1"/>
  <c r="A34" i="13"/>
  <c r="B62" i="4"/>
  <c r="H62" i="4"/>
  <c r="E63" i="4"/>
  <c r="F64" i="4"/>
  <c r="B80" i="4"/>
  <c r="H80" i="4"/>
  <c r="B10" i="5"/>
  <c r="H10" i="5"/>
  <c r="B13" i="5"/>
  <c r="H13" i="5"/>
  <c r="B16" i="5"/>
  <c r="H16" i="5"/>
  <c r="B19" i="5"/>
  <c r="H19" i="5"/>
  <c r="B22" i="5"/>
  <c r="H22" i="5"/>
  <c r="B25" i="5"/>
  <c r="H25" i="5"/>
  <c r="B28" i="5"/>
  <c r="H28" i="5"/>
  <c r="B31" i="5"/>
  <c r="H31" i="5"/>
  <c r="B34" i="5"/>
  <c r="H34" i="5"/>
  <c r="B7" i="6"/>
  <c r="H7" i="6"/>
  <c r="B10" i="6"/>
  <c r="H10" i="6"/>
  <c r="B13" i="6"/>
  <c r="H13" i="6"/>
  <c r="B16" i="6"/>
  <c r="H16" i="6"/>
  <c r="B19" i="6"/>
  <c r="H19" i="6"/>
  <c r="B22" i="6"/>
  <c r="H22" i="6"/>
  <c r="B25" i="6"/>
  <c r="H25" i="6"/>
  <c r="A30" i="7"/>
  <c r="C30" i="7"/>
  <c r="E30" i="7"/>
  <c r="C123" i="8"/>
  <c r="E123" i="8"/>
  <c r="E77" i="12"/>
  <c r="A78" i="12"/>
  <c r="I78" i="12"/>
  <c r="A10" i="12"/>
  <c r="I10" i="12"/>
  <c r="E10" i="12"/>
  <c r="A16" i="12"/>
  <c r="I16" i="12"/>
  <c r="E16" i="12"/>
  <c r="A22" i="12"/>
  <c r="I22" i="12"/>
  <c r="E22" i="12"/>
  <c r="A28" i="12"/>
  <c r="I28" i="12"/>
  <c r="E28" i="12"/>
  <c r="A34" i="12"/>
  <c r="I34" i="12"/>
  <c r="E34" i="12"/>
  <c r="A40" i="12"/>
  <c r="I40" i="12"/>
  <c r="E40" i="12"/>
  <c r="A46" i="12"/>
  <c r="I46" i="12"/>
  <c r="E46" i="12"/>
  <c r="A52" i="12"/>
  <c r="I52" i="12"/>
  <c r="E52" i="12"/>
  <c r="A58" i="12"/>
  <c r="I58" i="12"/>
  <c r="E58" i="12"/>
  <c r="A64" i="12"/>
  <c r="I64" i="12"/>
  <c r="E64" i="12"/>
  <c r="A70" i="12"/>
  <c r="I70" i="12"/>
  <c r="E70" i="12"/>
  <c r="A76" i="12"/>
  <c r="I76" i="12"/>
  <c r="A16" i="13"/>
  <c r="I16" i="13"/>
  <c r="E16" i="13"/>
  <c r="I22" i="14"/>
  <c r="D10" i="14"/>
  <c r="G13" i="14"/>
  <c r="D16" i="14"/>
  <c r="E10" i="4"/>
  <c r="E13" i="4"/>
  <c r="E16" i="4"/>
  <c r="E19" i="4"/>
  <c r="E22" i="4"/>
  <c r="E25" i="4"/>
  <c r="E28" i="4"/>
  <c r="E31" i="4"/>
  <c r="E34" i="4"/>
  <c r="E37" i="4"/>
  <c r="E40" i="4"/>
  <c r="E43" i="4"/>
  <c r="D64" i="4"/>
  <c r="J64" i="4"/>
  <c r="B66" i="9"/>
  <c r="D66" i="9"/>
  <c r="F66" i="9"/>
  <c r="B22" i="14"/>
  <c r="A16" i="14"/>
  <c r="A21" i="14"/>
  <c r="A22" i="14"/>
  <c r="A20" i="14"/>
  <c r="E22" i="14"/>
  <c r="D19" i="14"/>
  <c r="F22" i="14"/>
  <c r="D21" i="14"/>
  <c r="D20" i="14"/>
  <c r="H22" i="14"/>
  <c r="G19" i="14"/>
  <c r="G16" i="14"/>
  <c r="G21" i="14"/>
  <c r="G7" i="14"/>
  <c r="A123" i="8"/>
  <c r="D7" i="14"/>
  <c r="G20" i="14"/>
  <c r="A7" i="12"/>
  <c r="E7" i="12"/>
  <c r="I7" i="12"/>
  <c r="E7" i="11"/>
  <c r="E22" i="11" s="1"/>
  <c r="B7" i="11"/>
  <c r="B22" i="11" s="1"/>
  <c r="D7" i="10"/>
  <c r="D67" i="10" s="1"/>
  <c r="D70" i="10"/>
  <c r="D82" i="10" s="1"/>
  <c r="A7" i="10"/>
  <c r="A67" i="10" s="1"/>
  <c r="A88" i="10" s="1"/>
  <c r="A70" i="10"/>
  <c r="A82" i="10" s="1"/>
  <c r="E7" i="6"/>
  <c r="E28" i="6" s="1"/>
  <c r="B26" i="6"/>
  <c r="H26" i="6"/>
  <c r="B7" i="5"/>
  <c r="B37" i="5" s="1"/>
  <c r="H7" i="5"/>
  <c r="H37" i="5" s="1"/>
  <c r="E7" i="5"/>
  <c r="E37" i="5" s="1"/>
  <c r="B52" i="4"/>
  <c r="H52" i="4"/>
  <c r="E7" i="4"/>
  <c r="B50" i="4"/>
  <c r="H50" i="4"/>
  <c r="E51" i="4"/>
  <c r="D52" i="4"/>
  <c r="F52" i="4"/>
  <c r="J52" i="4"/>
  <c r="E55" i="4"/>
  <c r="E64" i="4" s="1"/>
  <c r="B58" i="4"/>
  <c r="H58" i="4"/>
  <c r="H64" i="4" s="1"/>
  <c r="E67" i="4"/>
  <c r="E82" i="4" s="1"/>
  <c r="B70" i="4"/>
  <c r="B82" i="4" s="1"/>
  <c r="H70" i="4"/>
  <c r="H82" i="4" s="1"/>
  <c r="E85" i="4"/>
  <c r="E91" i="4" s="1"/>
  <c r="B92" i="4"/>
  <c r="H92" i="4"/>
  <c r="E50" i="4"/>
  <c r="B51" i="4"/>
  <c r="H51" i="4"/>
  <c r="C52" i="4"/>
  <c r="G52" i="4"/>
  <c r="I52" i="4"/>
  <c r="B85" i="4"/>
  <c r="B91" i="4" s="1"/>
  <c r="H85" i="4"/>
  <c r="H91" i="4" s="1"/>
  <c r="E67" i="13" l="1"/>
  <c r="I67" i="13"/>
  <c r="I88" i="13" s="1"/>
  <c r="E82" i="13"/>
  <c r="E86" i="13"/>
  <c r="I86" i="13"/>
  <c r="A79" i="12"/>
  <c r="E79" i="12"/>
  <c r="I79" i="12"/>
  <c r="A67" i="13"/>
  <c r="A88" i="13" s="1"/>
  <c r="B28" i="6"/>
  <c r="B94" i="4"/>
  <c r="H28" i="6"/>
  <c r="D22" i="14"/>
  <c r="G22" i="14"/>
  <c r="D88" i="10"/>
  <c r="E94" i="4"/>
  <c r="E52" i="4"/>
  <c r="B64" i="4"/>
  <c r="H94" i="4"/>
  <c r="E88" i="13" l="1"/>
</calcChain>
</file>

<file path=xl/sharedStrings.xml><?xml version="1.0" encoding="utf-8"?>
<sst xmlns="http://schemas.openxmlformats.org/spreadsheetml/2006/main" count="20733" uniqueCount="873">
  <si>
    <t>خلاصة إحصائية عن الدارسين في الخارج حسب الملحقية الثقافية لعام 1428 - 1429 هـ</t>
  </si>
  <si>
    <t>جدول (1-11)</t>
  </si>
  <si>
    <t>خريجو العام السابق</t>
  </si>
  <si>
    <t>المقيدون</t>
  </si>
  <si>
    <t>المستجدون</t>
  </si>
  <si>
    <t>المجموع</t>
  </si>
  <si>
    <t>على حسابهم الخاص</t>
  </si>
  <si>
    <t>مبتعثون</t>
  </si>
  <si>
    <t>الجنس</t>
  </si>
  <si>
    <t xml:space="preserve">الملحقية الثقافية </t>
  </si>
  <si>
    <t>ذكر</t>
  </si>
  <si>
    <t>أنثى</t>
  </si>
  <si>
    <t>الملحقية الثقافية السعودية في الجزائر</t>
  </si>
  <si>
    <t xml:space="preserve">جملة </t>
  </si>
  <si>
    <t>الملحقية الثقافية السعودية في قطر</t>
  </si>
  <si>
    <t>الملحقية الثقافية السعودية في الكويت</t>
  </si>
  <si>
    <t>الملحقية الثقافية السعودية في سوريا</t>
  </si>
  <si>
    <t>الملحقية الثقافية السعودية في عمان</t>
  </si>
  <si>
    <t>الملحقية الثقافية السعودية في موريتانيا</t>
  </si>
  <si>
    <t>الملحقية الثقافية السعودية في الامارات</t>
  </si>
  <si>
    <t>الملحقية الثقافية السعودية في المغرب</t>
  </si>
  <si>
    <t>الملحقية الثقافية السعودية في تونس</t>
  </si>
  <si>
    <t>الملحقية الثقافية السعودية في البحرين</t>
  </si>
  <si>
    <t>الملحقية الثقافية السعودية في مصر</t>
  </si>
  <si>
    <t>الملحقية الثقافية السعودية في السودان</t>
  </si>
  <si>
    <t>الملحقية الثقافية السعودية في الأردن</t>
  </si>
  <si>
    <t>الملحقية الثقافية السعودية  في لبنان</t>
  </si>
  <si>
    <t>الملحقية الثقافية السعودية في اليمن</t>
  </si>
  <si>
    <t xml:space="preserve">ذكر </t>
  </si>
  <si>
    <t xml:space="preserve">أنثى </t>
  </si>
  <si>
    <t>مجموع الأقطار العربية</t>
  </si>
  <si>
    <t>الملحقية الثقافية السعودية في تركيا</t>
  </si>
  <si>
    <t>الملحقية الثقافية السعودية في باكستان</t>
  </si>
  <si>
    <t>الملحقية الثقافية السعودية في أستراليا</t>
  </si>
  <si>
    <t>مجموع الأقطار الأخرى</t>
  </si>
  <si>
    <t>الملحقية الثقافية السعودية في المانيا</t>
  </si>
  <si>
    <t>الملحقية الثقافية السعودية في النمسا</t>
  </si>
  <si>
    <t>الملحقية الثقافية السعودية في بريطانيا</t>
  </si>
  <si>
    <t>الملحقية الثقافية السعودية في فرنسا</t>
  </si>
  <si>
    <t>الملحقية الثقافية السعودية في إيطاليا</t>
  </si>
  <si>
    <t>مجموع الأقطار الأوروبية</t>
  </si>
  <si>
    <t>الملحقية الثقافية السعودية في أمريكا</t>
  </si>
  <si>
    <t>الملحقية الثقافية السعودية في كندا</t>
  </si>
  <si>
    <t>مجموع الأقطار الأمريكية</t>
  </si>
  <si>
    <t xml:space="preserve">الإجمالي العام </t>
  </si>
  <si>
    <t>خلاصة إحصائية عن الدارسين في الخارج حسب مجال الدراسة لعام 1428 - 1429 هـ</t>
  </si>
  <si>
    <t>جدول (1-10)</t>
  </si>
  <si>
    <t xml:space="preserve">مجال الدراسة </t>
  </si>
  <si>
    <t>علوم إنسانية</t>
  </si>
  <si>
    <t>تربية وتعليم</t>
  </si>
  <si>
    <t>علوم اجتماعية</t>
  </si>
  <si>
    <t>علوم طبيعية</t>
  </si>
  <si>
    <t>علوم هندسية</t>
  </si>
  <si>
    <t>علوم طبية</t>
  </si>
  <si>
    <t>علوم زراعية</t>
  </si>
  <si>
    <t>قانون</t>
  </si>
  <si>
    <t>فنون جميلة</t>
  </si>
  <si>
    <t>أخرى</t>
  </si>
  <si>
    <t>خلاصة إحصائية عن الدارسين في الخارج حسب مستوى الدراسة لعام 1428 - 1429 هـ</t>
  </si>
  <si>
    <t>جدول (1-9)</t>
  </si>
  <si>
    <t xml:space="preserve">مستوى الدراسة </t>
  </si>
  <si>
    <t>دكتوراه</t>
  </si>
  <si>
    <t>ماجستير</t>
  </si>
  <si>
    <t>زمالة</t>
  </si>
  <si>
    <t>دبلوم عالي</t>
  </si>
  <si>
    <t>بكالوريوس</t>
  </si>
  <si>
    <t>دبلوم متوسط</t>
  </si>
  <si>
    <t>خلاصة إحصائية عن مراكز خدمة المجتمع لعام 1428 - 1429 هـ</t>
  </si>
  <si>
    <t>جدول (1-8)</t>
  </si>
  <si>
    <t>الإداريون والفنيون</t>
  </si>
  <si>
    <t>أعضاء هيئة التدريس</t>
  </si>
  <si>
    <t>مركز خدمة المجتمع</t>
  </si>
  <si>
    <t>الجهة</t>
  </si>
  <si>
    <t>كلية خدمة المجتمع والتعليم المستمر</t>
  </si>
  <si>
    <t>جامعة أم القرى</t>
  </si>
  <si>
    <t>عمادة خدمة المجتمع والتعليم المستمر</t>
  </si>
  <si>
    <t>جامعة الامام محمد بن سعود الاسلامية</t>
  </si>
  <si>
    <t>كلية الدراسات التطبيقية وخدمة المجتمع</t>
  </si>
  <si>
    <t>جامعة الملك سعود</t>
  </si>
  <si>
    <t>جامعة الملك عبدالعزيز</t>
  </si>
  <si>
    <t>جامعة الملك فيصل</t>
  </si>
  <si>
    <t>جامعة الملك خالد</t>
  </si>
  <si>
    <t>جامعة طيبة</t>
  </si>
  <si>
    <t>جامعة الطائف</t>
  </si>
  <si>
    <t>خلاصة إحصائية عن كليات المجتمع لعام 1428 - 1429 هـ</t>
  </si>
  <si>
    <t>جدول (1-7)</t>
  </si>
  <si>
    <t>كلية المجتمع</t>
  </si>
  <si>
    <t>كلية المجتمع بمكة المكرمة</t>
  </si>
  <si>
    <t>كلية المجتمع بالخرج</t>
  </si>
  <si>
    <t>كلية المجتمع بشقراء</t>
  </si>
  <si>
    <t>كلية المجتمع بالرياض</t>
  </si>
  <si>
    <t>كلية المجتمع بالأفلاج (ليلى)</t>
  </si>
  <si>
    <t>كلية المجتمع بالمجمعة</t>
  </si>
  <si>
    <t>كلية المجتمع بحريملاء</t>
  </si>
  <si>
    <t>كلية المجتمع بالدوادمي</t>
  </si>
  <si>
    <t>كلية المجتمع بجدة</t>
  </si>
  <si>
    <t>كلية المجتمع للبنات ـ برابغ</t>
  </si>
  <si>
    <t>كلية المجتمع بحفر الباطن</t>
  </si>
  <si>
    <t>جامعة الملك فهد للبترول والمعادن</t>
  </si>
  <si>
    <t>كلية المجتمع بالدمام</t>
  </si>
  <si>
    <t>كلية المجتمع للبنات بالقطيف</t>
  </si>
  <si>
    <t>كلية المجتمع للبنات بالأحساء</t>
  </si>
  <si>
    <t>كلية المجتمع ببيشة</t>
  </si>
  <si>
    <t>كلية المجتمع بخميس مشيط</t>
  </si>
  <si>
    <t>كلية المجتمع للبنات بأبها</t>
  </si>
  <si>
    <t>كلية المجتمع بالنماص</t>
  </si>
  <si>
    <t>كلية المجتمع بمحايل عسير</t>
  </si>
  <si>
    <t>كلية المجتمع ببريدة</t>
  </si>
  <si>
    <t>جامعة القصيم</t>
  </si>
  <si>
    <t xml:space="preserve">كلية المجتمع بعنيزة </t>
  </si>
  <si>
    <t>كلية المجتمع بعقلة الصقور</t>
  </si>
  <si>
    <t>كلية المجتمع بالحناكية</t>
  </si>
  <si>
    <t>كلية المجتمع بالمدينة المنورة</t>
  </si>
  <si>
    <t>كلية المجتمع برنية</t>
  </si>
  <si>
    <t>كلية المجتمع بجازان</t>
  </si>
  <si>
    <t>جامعة جازان</t>
  </si>
  <si>
    <t>كلية المجتمع بأبي عريش</t>
  </si>
  <si>
    <t>كلية المجتمع بحائل</t>
  </si>
  <si>
    <t>جامعة حائل</t>
  </si>
  <si>
    <t>كلية المجتمع بالقريات</t>
  </si>
  <si>
    <t>جامعة الجوف</t>
  </si>
  <si>
    <t xml:space="preserve">كلية المجتمع للبنات بسكاكا </t>
  </si>
  <si>
    <t xml:space="preserve">كلية المجتمع للبنات بطبرجل </t>
  </si>
  <si>
    <t>كلية المجتمع بتبوك</t>
  </si>
  <si>
    <t>جامعة تبوك</t>
  </si>
  <si>
    <t>كلية المجتمع بالباحة</t>
  </si>
  <si>
    <t>جامعة الباحة</t>
  </si>
  <si>
    <t>كلية المجتمع للبنات بالمندق</t>
  </si>
  <si>
    <t>كلية المجتمع بنات</t>
  </si>
  <si>
    <t>جامعة نجران</t>
  </si>
  <si>
    <t>كلية المجتمع بضرماء</t>
  </si>
  <si>
    <t>جامعة الأميرة نورة بنت عبدالرحمن</t>
  </si>
  <si>
    <t>كلية المجتمع للبنات بعرعر</t>
  </si>
  <si>
    <t>جامعة الحدود الشمالية</t>
  </si>
  <si>
    <t>كلية المجتمع برفحاء</t>
  </si>
  <si>
    <t>خلاصة إحصائية عن التعليم العالي الأهلي لعام   1428 - 1429 هـ</t>
  </si>
  <si>
    <t>جدول (1-6)</t>
  </si>
  <si>
    <t>التعليم العالي الأهلي</t>
  </si>
  <si>
    <t>جامعة الأمير سلطان الأهلية بالرياض</t>
  </si>
  <si>
    <t>الجامعة العربية المفتوحة</t>
  </si>
  <si>
    <t>جامعة الأمير محمد بن فهد الأهلية بالدمام</t>
  </si>
  <si>
    <t>جامعة عفت الأهلية</t>
  </si>
  <si>
    <t>جامعة اليمامة الأهلية</t>
  </si>
  <si>
    <t>جامعة الفيصل</t>
  </si>
  <si>
    <t>كلية دار الحكمة الأهلية بجدة</t>
  </si>
  <si>
    <t>كلية الأمير سلطان للسياحة والإدارة بأبها</t>
  </si>
  <si>
    <t>كلية الباحة الأهلية للعلوم</t>
  </si>
  <si>
    <t>كلية إدارة الأعمال الأهلية بجدة</t>
  </si>
  <si>
    <t>كلية الدكتور سليمان فقيه للعلوم والتمريض الأهلية</t>
  </si>
  <si>
    <t>كلية طب الأسنان والصيدلة الأهلية بالرياض</t>
  </si>
  <si>
    <t>كلية ابن سينا الأهلية للعلوم الطبية بجدة</t>
  </si>
  <si>
    <t>كليات القصيم الأهلية</t>
  </si>
  <si>
    <t>كلية الأمير فهد بن سلطان الأهلية بتبوك</t>
  </si>
  <si>
    <t>كلية الأمير سلطان للسياحة والإدارة الأهلية بجدة</t>
  </si>
  <si>
    <t>كلية البترجي الأهلية بجدة</t>
  </si>
  <si>
    <t>كلية سعد الأهلية بالخبر</t>
  </si>
  <si>
    <t>كلية الريادة للعلوم الصحية الأهلية</t>
  </si>
  <si>
    <t>كلية المانع الأهلية للعلوم الطبية بالخبر</t>
  </si>
  <si>
    <t>خلاصة إحصائية عن أعضاء هيئة التدريس والإداريين والفنيين حسب الجهة لعام 1428 - 1429 هـ</t>
  </si>
  <si>
    <t>جدول (1-5)</t>
  </si>
  <si>
    <t>الكليات</t>
  </si>
  <si>
    <t xml:space="preserve">الجهة </t>
  </si>
  <si>
    <t>غير سعودي</t>
  </si>
  <si>
    <t>سعودي</t>
  </si>
  <si>
    <t>الجامعة الاسلامية</t>
  </si>
  <si>
    <t>جامعة الملك سعود بن عبد العزيز للعلوم الصحية</t>
  </si>
  <si>
    <t xml:space="preserve">جامعة الحدود الشمالية </t>
  </si>
  <si>
    <t>إجمالي الجامعات</t>
  </si>
  <si>
    <t>الكليات التقنية</t>
  </si>
  <si>
    <t>كلية الأمير سلطان العسكرية للعلوم الصحية بالظهران</t>
  </si>
  <si>
    <t>كليات الجبيل و ينبع</t>
  </si>
  <si>
    <t>معهد الادارة العامة</t>
  </si>
  <si>
    <t>إجمالي الجهات الأخرى</t>
  </si>
  <si>
    <t>التعليم العالي الاهلي</t>
  </si>
  <si>
    <t>خلاصة إحصائية عن أعضاء هيئة التدريس والإداريين والفنيين حسب المؤهل العلمي لعام   1428 - 1429 هـ</t>
  </si>
  <si>
    <t>جدول (1-4)</t>
  </si>
  <si>
    <t xml:space="preserve"> المؤهل العلمي </t>
  </si>
  <si>
    <t>اخرى</t>
  </si>
  <si>
    <t xml:space="preserve"> خلاصة إحصائية عن الطلبة حسب مجال الدراسة لعام   1428 - 1429 هـ</t>
  </si>
  <si>
    <t>جدول (1-3)</t>
  </si>
  <si>
    <t xml:space="preserve"> مجال الدراسة</t>
  </si>
  <si>
    <t>دراسات عليا</t>
  </si>
  <si>
    <t>البرامج الرئيسية</t>
  </si>
  <si>
    <t>الدراسات الإسلامية</t>
  </si>
  <si>
    <t>تدريب معلمين</t>
  </si>
  <si>
    <t>علوم التربية</t>
  </si>
  <si>
    <t>الفنون</t>
  </si>
  <si>
    <t>الدراسات الإنسانية</t>
  </si>
  <si>
    <t>العلوم الاجتماعية والسلوكية</t>
  </si>
  <si>
    <t>الصحافة والاعلام</t>
  </si>
  <si>
    <t>الأعمال التجارية والإدارة</t>
  </si>
  <si>
    <t>القانون</t>
  </si>
  <si>
    <t>علوم الحياة</t>
  </si>
  <si>
    <t>العلوم الفيزيائية</t>
  </si>
  <si>
    <t>الرياضيات والإحصاء</t>
  </si>
  <si>
    <t>المعلوماتية</t>
  </si>
  <si>
    <t>الهندسة والصناعات الهندسية</t>
  </si>
  <si>
    <t>الصناعات الإنتاجية والتحويلية</t>
  </si>
  <si>
    <t>الهندسة المعمارية والبناء</t>
  </si>
  <si>
    <t>الزراعة والحراجة وصيد الأسماك</t>
  </si>
  <si>
    <t>الطب البيطري</t>
  </si>
  <si>
    <t>الصحة</t>
  </si>
  <si>
    <t>الخدمات الاجتماعية</t>
  </si>
  <si>
    <t>الخدمات الشخصية</t>
  </si>
  <si>
    <t>حماية البيئة</t>
  </si>
  <si>
    <t xml:space="preserve"> خلاصة إحصائية عن الطلبة حسب الجهة  1428 - 1429 هـ</t>
  </si>
  <si>
    <t>جدول (1-2)</t>
  </si>
  <si>
    <t>خلاصة إحصائية عن الطلبة حسب مستوى الدراسة لعام 1428 - 1429 هـ</t>
  </si>
  <si>
    <t>جدول (1-1)</t>
  </si>
  <si>
    <t>مستوى</t>
  </si>
  <si>
    <t>الدراسة</t>
  </si>
  <si>
    <t xml:space="preserve">إجمالي </t>
  </si>
  <si>
    <t>كلية المجتمع بنين</t>
  </si>
  <si>
    <t>عمادة التعليم الموازي والمستمر</t>
  </si>
  <si>
    <t>الطلبة المستجدون في مرحلة الدبلوم المتوسط حسب الجهة عام  1428 - 1429 هـ</t>
  </si>
  <si>
    <t>جدول (2-1)</t>
  </si>
  <si>
    <t>جملة</t>
  </si>
  <si>
    <t>الطلبة المستجدون في مرحلة دبلوم متوسط حسب مجال الدراسة عام  1428 - 1429 هـ</t>
  </si>
  <si>
    <t>جدول (2-2)</t>
  </si>
  <si>
    <t>الطلبة المستجدون في مرحلة البكالوريوس حسب الجهة عام  1428 - 1429 هـ</t>
  </si>
  <si>
    <t>جدول (2-3)</t>
  </si>
  <si>
    <t xml:space="preserve">منتظم 
</t>
  </si>
  <si>
    <t xml:space="preserve">منتسب 
</t>
  </si>
  <si>
    <t xml:space="preserve">جامعة الأميرة نورة بنت عبدالرحمن </t>
  </si>
  <si>
    <t xml:space="preserve">منتظم </t>
  </si>
  <si>
    <t xml:space="preserve">منتسب </t>
  </si>
  <si>
    <t>الطلبة المستجدون في مرحلة البكالوريوس حسب مجال الدراسة  1428 - 1429 هـ</t>
  </si>
  <si>
    <t>جدول (2-4)</t>
  </si>
  <si>
    <t>مجال الدراسة</t>
  </si>
  <si>
    <t>الطلبة المستجدون في مرحلة  الدراسات العليا حسب الجهة   1428 - 1429 هـ</t>
  </si>
  <si>
    <t>جدول (2-5)</t>
  </si>
  <si>
    <t xml:space="preserve">دكتوراه </t>
  </si>
  <si>
    <t xml:space="preserve">المجموع </t>
  </si>
  <si>
    <t xml:space="preserve">إجمالي الدراسات العليا </t>
  </si>
  <si>
    <t>الطلبة المستجدون في مرحلة الدراسات العليا حسب مجال الدراسة عام  1428 - 1429 هـ</t>
  </si>
  <si>
    <t>جدول (2-6)</t>
  </si>
  <si>
    <t>الطلبة المستجدون في مرحلة الدبلوم المتوسط حسب الجهة والكلية عام  1428 - 1429 هـ</t>
  </si>
  <si>
    <t>جدول (2-7)</t>
  </si>
  <si>
    <t>معهد تعليم اللغة العربية لغير الناطقين بها</t>
  </si>
  <si>
    <t>المعلمين بمكة المكرمة</t>
  </si>
  <si>
    <t>كلية العلوم الصحية للبنات بمكة المكرمة</t>
  </si>
  <si>
    <t xml:space="preserve">كلية العلوم الصحية للبنين بمكة المكرمة </t>
  </si>
  <si>
    <t>معهد تعليم اللغة العربية بالرياض</t>
  </si>
  <si>
    <t>كلية التربية البدنية بالرياض</t>
  </si>
  <si>
    <t>كلية طب الأسنان</t>
  </si>
  <si>
    <t xml:space="preserve">معهد اللغة العربية </t>
  </si>
  <si>
    <t>برنامج السنة التحضيرية</t>
  </si>
  <si>
    <t>كلية المعلمين</t>
  </si>
  <si>
    <t>كلية اعداد المعلمين بجدة</t>
  </si>
  <si>
    <t>كلية العلوم الصحية بجدة</t>
  </si>
  <si>
    <t>كلية المعلمين با لأحساء</t>
  </si>
  <si>
    <t>كلية العلوم الصحية للبنات - الدمام</t>
  </si>
  <si>
    <t>كلية العلوم الصحية للبنات - حفرالباطن</t>
  </si>
  <si>
    <t>كلية العلوم الصحية للبنات - الاحساء</t>
  </si>
  <si>
    <t>كلية العلوم الصحية المتوسطة للبنات.القطيف</t>
  </si>
  <si>
    <t>كلية العلوم الصحية للبنين.الأحساء</t>
  </si>
  <si>
    <t>كلية العلوم الصحية المتوسطة للبنين. الدمام</t>
  </si>
  <si>
    <t>كلية المعلمين بأبها</t>
  </si>
  <si>
    <t>خدمة المجتمع للبنات بأبها</t>
  </si>
  <si>
    <t>كلية العلوم الصحية للبنين - أبها</t>
  </si>
  <si>
    <t>المجتمع بالنماص</t>
  </si>
  <si>
    <t>كلية المعلمين بالطائف</t>
  </si>
  <si>
    <t>الكليات الصحية</t>
  </si>
  <si>
    <t>كلية الطب</t>
  </si>
  <si>
    <t>كلية العلوم الطبية التطبيقية</t>
  </si>
  <si>
    <t>كلية المعلمين بـجازان</t>
  </si>
  <si>
    <t>كلية العلوم الصحية للبنين</t>
  </si>
  <si>
    <t>المعهد الصحي للبنات</t>
  </si>
  <si>
    <t>كلية علوم وهندسة الحاسب الآلي</t>
  </si>
  <si>
    <t xml:space="preserve">العلوم الصحية </t>
  </si>
  <si>
    <t>التربية للبنبن بسكاكا</t>
  </si>
  <si>
    <t>كلية العلوم الصحية للبنات بالقريات</t>
  </si>
  <si>
    <t>كلية العلوم الصحيه للبنين بسكاكا</t>
  </si>
  <si>
    <t>كلية العلوم الصحية للبنات بسكاكا</t>
  </si>
  <si>
    <t xml:space="preserve">العلوم الصحية للبنين </t>
  </si>
  <si>
    <t>المعهد الصحي للبنات بالوجة</t>
  </si>
  <si>
    <t xml:space="preserve">الكلية الصحية للبنات </t>
  </si>
  <si>
    <t>كلية المجتمع - بنين</t>
  </si>
  <si>
    <t>كلية المعلمين بعرعر</t>
  </si>
  <si>
    <t>كلية العلوم الصحية للبنات بعرعر</t>
  </si>
  <si>
    <t>الكلية التقنية بالرياض</t>
  </si>
  <si>
    <t>الكلية التقنية بالمدينة المنورة</t>
  </si>
  <si>
    <t>الكلية التقنية ببريدة</t>
  </si>
  <si>
    <t>الكلية التقنية بالباحة</t>
  </si>
  <si>
    <t>الكلية التقنية بالاحساء</t>
  </si>
  <si>
    <t>الكلية التقنية بالدمام</t>
  </si>
  <si>
    <t>الكلية التقنية بحائل</t>
  </si>
  <si>
    <t>الكلية التقنية بجدة</t>
  </si>
  <si>
    <t>الكلية التقنية بابها</t>
  </si>
  <si>
    <t>الكلية التقنية بمكة المكرمة</t>
  </si>
  <si>
    <t>كلية الاتصالات والالكترونيات بجدة</t>
  </si>
  <si>
    <t>كلية الاتصالات والمعلومات  بالرياض</t>
  </si>
  <si>
    <t>الكلية التقنية بالرس</t>
  </si>
  <si>
    <t>الكلية التقنية بتبوك</t>
  </si>
  <si>
    <t>الكلية التقنية بجازان</t>
  </si>
  <si>
    <t>الكلية التقنية بنجران</t>
  </si>
  <si>
    <t>الكلية التقنية الزراعية ببريدة</t>
  </si>
  <si>
    <t>الكلية التقنية ببيشة</t>
  </si>
  <si>
    <t>الكلية التقنية بعرعر</t>
  </si>
  <si>
    <t>الكلية التقنية بالخرج</t>
  </si>
  <si>
    <t>الكلية التقنية بالدوادمي</t>
  </si>
  <si>
    <t>الكلية التقنية بالطائف</t>
  </si>
  <si>
    <t>الكلية التقنية بالقنفذة</t>
  </si>
  <si>
    <t>الكلية التقنية بالجوف</t>
  </si>
  <si>
    <t>الكلية التقنية بالمجمعة</t>
  </si>
  <si>
    <t>الكلية التقنية بوادي الدواسر</t>
  </si>
  <si>
    <t>الكلية التقنية بالزلفي</t>
  </si>
  <si>
    <t>الكلية التقنية بحفر الباطن</t>
  </si>
  <si>
    <t>كلية التقنية بخميس مشيط</t>
  </si>
  <si>
    <t>كلية التقنية بالقريات</t>
  </si>
  <si>
    <t>كلية التقنية بعنيزة</t>
  </si>
  <si>
    <t>كلية التقنية بينبع</t>
  </si>
  <si>
    <t>كلية السياحة والفندقة بالمدينة المنورة</t>
  </si>
  <si>
    <t>الكلية التقنية بالقطيف</t>
  </si>
  <si>
    <t xml:space="preserve">الكلية التقنية بالقويعية </t>
  </si>
  <si>
    <t>المعهد العالي التقني للبنات بالأحساء</t>
  </si>
  <si>
    <t>المعهد العالي التقني للبنات بريدة</t>
  </si>
  <si>
    <t>المعهد العالي التقني للبنات بالباحة</t>
  </si>
  <si>
    <t>المعهد العالي التقني للبنات بالرياض</t>
  </si>
  <si>
    <t>المعهد العالي التقني للبنات بالمدينة المنورة</t>
  </si>
  <si>
    <t>المعهد العالي التقني للبنات بتبوك</t>
  </si>
  <si>
    <t xml:space="preserve">المعهد العالي التقني للبنات بجدة </t>
  </si>
  <si>
    <t xml:space="preserve">المعهد العالي التقني للبنات بحائل </t>
  </si>
  <si>
    <t>المعهد العالي التقني للبنات بنجران</t>
  </si>
  <si>
    <t>كلية الأمير سلطان العسكرية للعلوم الصحية</t>
  </si>
  <si>
    <t>كلية الجبيل الصناعية</t>
  </si>
  <si>
    <t>كلية ينبع الصناعية</t>
  </si>
  <si>
    <t>الطلبة المستجدون في مرحلة البكالوريوس حسب الجهة والكلية عام  1428 - 1429 هـ</t>
  </si>
  <si>
    <t>جدول (2-8)</t>
  </si>
  <si>
    <t>كلية المعلمين بالقنفذة</t>
  </si>
  <si>
    <t>كلية الشريعة والدراسات الإسلامية</t>
  </si>
  <si>
    <t xml:space="preserve">كلية التربية بمكة المكرمة </t>
  </si>
  <si>
    <t>كلية اللغة العربية وآدابها</t>
  </si>
  <si>
    <t>كلية العلوم الاجتماعية</t>
  </si>
  <si>
    <t xml:space="preserve">كلية الهندسة والعمارة الإسلامية </t>
  </si>
  <si>
    <t>كلية العلوم التطبيقية</t>
  </si>
  <si>
    <t>كلية الدعوة وأصول الدين</t>
  </si>
  <si>
    <t>كلية الصيدلة</t>
  </si>
  <si>
    <t>كلية الحاسب الآلي ونظم المعلومات</t>
  </si>
  <si>
    <t>كلية التربية للإقتصاد المنزلي بمكة المكرمة</t>
  </si>
  <si>
    <t>التربية للبنات الأقسام العلمية بمكة المكرمة</t>
  </si>
  <si>
    <t>التربية للبنات بالقنفذة</t>
  </si>
  <si>
    <t>الكلية الجامعية للبنات بالليث</t>
  </si>
  <si>
    <t>كلية المعلمين بمكة المكرمة</t>
  </si>
  <si>
    <t>كلية التربية لإعداد المعلمات بمكة المكرمة</t>
  </si>
  <si>
    <t>التربية للبنات الأقسام الأدبية بمكة المكرمة</t>
  </si>
  <si>
    <t>كلية القرآن الكريم والدراسات الاسلامية</t>
  </si>
  <si>
    <t>كلية الحديث الشريف والدراسات الاسلامية</t>
  </si>
  <si>
    <t>كلية الشريعة</t>
  </si>
  <si>
    <t>كلية الدعوة و اصول الدين</t>
  </si>
  <si>
    <t>كلية اللغة العربية</t>
  </si>
  <si>
    <t>كلية الشريعة والدراسات الإسلامية بالإحساء</t>
  </si>
  <si>
    <t>كلية الدعوة والاعلام</t>
  </si>
  <si>
    <t>كلية اصول الدين</t>
  </si>
  <si>
    <t>كلية اللغات والترجمة</t>
  </si>
  <si>
    <t>كلية علوم الحاسب الآلي والمعلومات</t>
  </si>
  <si>
    <t xml:space="preserve">كلية اللغة العربية </t>
  </si>
  <si>
    <t>كلية العلوم الإجتماعية</t>
  </si>
  <si>
    <t>كلية الاقتصاد والعلوم الادارية</t>
  </si>
  <si>
    <t>كلية العلوم</t>
  </si>
  <si>
    <t>كلية علوم الأغذية و الزراعة</t>
  </si>
  <si>
    <t>البرنامج الموحد للكليات الصحية</t>
  </si>
  <si>
    <t>كلية المعلمين بالرياض</t>
  </si>
  <si>
    <t>كلية الآداب</t>
  </si>
  <si>
    <t xml:space="preserve">كلية التربية </t>
  </si>
  <si>
    <t xml:space="preserve">كلية العلوم </t>
  </si>
  <si>
    <t>كلية إدارة الأعمال</t>
  </si>
  <si>
    <t>كلية التمريض</t>
  </si>
  <si>
    <t>كلية السياحة والآثار</t>
  </si>
  <si>
    <t>كلية العلوم الطبية التطبيقية بالخرج</t>
  </si>
  <si>
    <t xml:space="preserve">كلية الهندسة بالخرج </t>
  </si>
  <si>
    <t>كلية العلوم بالخرج</t>
  </si>
  <si>
    <t>كلية ادارة الاعمال بالخرج</t>
  </si>
  <si>
    <t>كلية الآداب بوادي الدواسر</t>
  </si>
  <si>
    <t>كلية العلوم بوادي الدواسر</t>
  </si>
  <si>
    <t>كلية الآداب والعلوم الإنسانية</t>
  </si>
  <si>
    <t>كلية طب الاسنان</t>
  </si>
  <si>
    <t>كلية الهندسة</t>
  </si>
  <si>
    <t>كلية الاقتصاد والإدارة</t>
  </si>
  <si>
    <t>كلية الأرصاد والبيئة وزراعة المناطق الجافة</t>
  </si>
  <si>
    <t>أقسام الاقتصاد المنزلي</t>
  </si>
  <si>
    <t>كلية الحاسبات وتقنية المعلومات</t>
  </si>
  <si>
    <t>السنة التحضيرية للعلوم الطبيعية</t>
  </si>
  <si>
    <t>التربية للبنات الأقسام العلمية بجده</t>
  </si>
  <si>
    <t>التربية للإقتصاد المنزلي والتربية الفنيه للبنات بجده</t>
  </si>
  <si>
    <t>كلية التربية  للاعداد المعلمات بجدة</t>
  </si>
  <si>
    <t>كلية التربية للبنات الاقسام الادبية بجدة</t>
  </si>
  <si>
    <t xml:space="preserve">كلية تصاميم البيئة </t>
  </si>
  <si>
    <t>كلية العلوم الهندسية</t>
  </si>
  <si>
    <t>كلية الهندسة التطبيقية</t>
  </si>
  <si>
    <t>كلية الادارة الصناعية</t>
  </si>
  <si>
    <t>كلية علوم وهندسة الحاسب الالي</t>
  </si>
  <si>
    <t xml:space="preserve">السنة التحضيرية </t>
  </si>
  <si>
    <t>كلية الطب البيطري والثروة الحيوانية بالأحساء</t>
  </si>
  <si>
    <t>كلية العلوم الزراعية والأغذية بالأحساء</t>
  </si>
  <si>
    <t>كلية المعلمين بالدمام</t>
  </si>
  <si>
    <t>كلية التربية بالأحساء</t>
  </si>
  <si>
    <t>كلية العلوم الإدارية والتخطيط بالأحساء</t>
  </si>
  <si>
    <t>كلية الطب بالأحساء</t>
  </si>
  <si>
    <t>كلية العلوم بالأحساء</t>
  </si>
  <si>
    <t>كلية علوم الحاسب وتقنية المعلومات بالأحساء</t>
  </si>
  <si>
    <t>كلية العمارة والتخطيط بالدمام</t>
  </si>
  <si>
    <t>كلية الطب بالدمام</t>
  </si>
  <si>
    <t>كلية طب الأسنان بالدمام</t>
  </si>
  <si>
    <t>كلية العلوم الطبية التطبيقية بالدمام</t>
  </si>
  <si>
    <t>كلية التمريض بالدمام</t>
  </si>
  <si>
    <t>كلية الصيدلة الإكلينيكية بالأحساء</t>
  </si>
  <si>
    <t>كلية التربية للبنات - الاقسام الادبية بالأحساء</t>
  </si>
  <si>
    <t>كلية التربية للبنات بالجبيل</t>
  </si>
  <si>
    <t>كلية التربية للبنات بالخفجي</t>
  </si>
  <si>
    <t>كلية التربية للبنات ـ الاقسام الآدبية بحفر الباطن</t>
  </si>
  <si>
    <t>كلية الاداب بالدمام</t>
  </si>
  <si>
    <t>كلية التربية للبنات ـ الأقسام العلمية بحفر الباطن</t>
  </si>
  <si>
    <t>كلية العلوم للبنات بالدمام</t>
  </si>
  <si>
    <t>كلية التربية للبنات ـ بالنعيرية</t>
  </si>
  <si>
    <t>كلية التربية للبنات - الاقسام العلمية بالأحساء</t>
  </si>
  <si>
    <t>كلية علوم الحاسب الآلي</t>
  </si>
  <si>
    <t>كلية المعلمين في بيشة</t>
  </si>
  <si>
    <t>كلية اللغة العربية والعلوم الإجتماعية والإدارية</t>
  </si>
  <si>
    <t>كلية الشريعة وأصول الدين</t>
  </si>
  <si>
    <t>كلية التربية لإعداد المعلمات بخميس مشيط</t>
  </si>
  <si>
    <t>كلية التربية للبنات الأقسام العلمية بأبها</t>
  </si>
  <si>
    <t>كلية التربية للبنات الأقسام الأدبية بأبها</t>
  </si>
  <si>
    <t>كلية التربية للبنات الأقسام العلمية ببيشة</t>
  </si>
  <si>
    <t>كلية التربية للبنات الأقسام الأدبية ببيشة</t>
  </si>
  <si>
    <t>كلية التربية للبنات بظهران الجنوب</t>
  </si>
  <si>
    <t>كلية التربية للمعلمات بمحايل عسير</t>
  </si>
  <si>
    <t xml:space="preserve">كلية التربية للمعلمات بالنماص </t>
  </si>
  <si>
    <t>المعهد الصحي للبنات ببيشة</t>
  </si>
  <si>
    <t>كلية التربية للمعلمات ببلقرن</t>
  </si>
  <si>
    <t>كلية العلوم الصحية بمحايل عسير</t>
  </si>
  <si>
    <t>كلية التربية للبنات بسراة عبيده</t>
  </si>
  <si>
    <t>العلوم الإنسانية</t>
  </si>
  <si>
    <t>كلية العلوم والاداب - بيشة</t>
  </si>
  <si>
    <t xml:space="preserve">التمريض - بنات بأبها </t>
  </si>
  <si>
    <t>كلية العلوم والإداب بمحايل عسير</t>
  </si>
  <si>
    <t>العلوم الصحية للبنات بابها</t>
  </si>
  <si>
    <t>كلية المعلمين بالرس</t>
  </si>
  <si>
    <t>كلية اللغة العربية والدرسات الإجتماعية</t>
  </si>
  <si>
    <t>كلية الاقتصاد والادارة</t>
  </si>
  <si>
    <t xml:space="preserve">كلية الزراعة والطب البيطري </t>
  </si>
  <si>
    <t xml:space="preserve">كلية الطب </t>
  </si>
  <si>
    <t>كلية العلوم بالزلفي</t>
  </si>
  <si>
    <t>الحاسب</t>
  </si>
  <si>
    <t>كلية التربية الأقسام العلمية ببريدة</t>
  </si>
  <si>
    <t xml:space="preserve">كلية التصاميم والاقتصاد المنزلي ببريدة </t>
  </si>
  <si>
    <t xml:space="preserve">كلية التربية لإعداد المعلمات للمرحلة الابتدائية ببريدة </t>
  </si>
  <si>
    <t>كلية التربية  بالمذنب</t>
  </si>
  <si>
    <t xml:space="preserve">كلية التربية للبنات بعنيزة </t>
  </si>
  <si>
    <t>كلية التربية الاقسام الادبية ببريدة</t>
  </si>
  <si>
    <t>كلية العلوم و الأداب للبنات الأقسام العلمية ببريدة</t>
  </si>
  <si>
    <t>كلية التربية بالرس</t>
  </si>
  <si>
    <t>كلية التربية بالبكيرية</t>
  </si>
  <si>
    <t>كلية التربية بعقلة الصقور</t>
  </si>
  <si>
    <t>كلية المعلمين بالمدينة</t>
  </si>
  <si>
    <t>كلية العلوم الإدارية والمالية</t>
  </si>
  <si>
    <t>كلية علوم وهندسة الحاسبات</t>
  </si>
  <si>
    <t>كلية التربية للبنات بمحافظة العلا</t>
  </si>
  <si>
    <t>كلية التربية لاعداد المعلمات</t>
  </si>
  <si>
    <t xml:space="preserve">كلية التربية _ الاقسام الادبية </t>
  </si>
  <si>
    <t>كلية التربية الاقسام العلمية</t>
  </si>
  <si>
    <t>كلية التربية للبنات بينبع</t>
  </si>
  <si>
    <t>كلية العلوم التطبيقية بينبع</t>
  </si>
  <si>
    <t>العلوم الصحية للبنين</t>
  </si>
  <si>
    <t>العلوم الصحية للبنات</t>
  </si>
  <si>
    <t>العلوم الصحية للبنات بينبع</t>
  </si>
  <si>
    <t xml:space="preserve">كلية التربية والعلوم الأنسانية </t>
  </si>
  <si>
    <t>عمادة الخدمات التعليمية</t>
  </si>
  <si>
    <t>المعهد الصحي بالعلا</t>
  </si>
  <si>
    <t>كلية التربية للبنات بالمدينة المنورة</t>
  </si>
  <si>
    <t>كلية الطب والعلوم الطبية</t>
  </si>
  <si>
    <t>كلية الحاسبات ونظم المعلومات</t>
  </si>
  <si>
    <t>كلية التربية للأقسام الأدبية بالطائف</t>
  </si>
  <si>
    <t>كلية التربية للأقسام العلمية بالطائف</t>
  </si>
  <si>
    <t>كلية العلوم والتربية بالخرمة</t>
  </si>
  <si>
    <t>كلية الاداب والتربية بتربة</t>
  </si>
  <si>
    <t>كلية العلوم والاداب برنية</t>
  </si>
  <si>
    <t>كلية التمريض - الرياض</t>
  </si>
  <si>
    <t>كلية التمريض - جدة</t>
  </si>
  <si>
    <t>كلية التربية ـ الأقسام الأدبية بجازان</t>
  </si>
  <si>
    <t xml:space="preserve">كلية التربية للمعلمات بفرسان </t>
  </si>
  <si>
    <t xml:space="preserve">كلية التربية للاقسام العلمية بجازان </t>
  </si>
  <si>
    <t>كلية التربية للمعلمات بصامطه</t>
  </si>
  <si>
    <t>كلية التربية للبنات بصبياء</t>
  </si>
  <si>
    <t>كلية التربية للبنات الأقسام الأدبية بحائل</t>
  </si>
  <si>
    <t xml:space="preserve">كلية التربية للبنات الأقسام العلمية </t>
  </si>
  <si>
    <t xml:space="preserve">التربية للبنين بحائل </t>
  </si>
  <si>
    <t xml:space="preserve">كلية التربية للبنات ـ بدومة الجندل </t>
  </si>
  <si>
    <t xml:space="preserve">كلية التربية للبنات ـ بالقريات </t>
  </si>
  <si>
    <t>كلية التربية للبنات بسكاكا</t>
  </si>
  <si>
    <t xml:space="preserve">الطب  بسكاكا </t>
  </si>
  <si>
    <t xml:space="preserve">كلية التربية للبنات للأقسام العلمية بتبوك </t>
  </si>
  <si>
    <t>التربية للبنات الأقسام الأدبية</t>
  </si>
  <si>
    <t>الجامعية للبنات محافظة ضباء</t>
  </si>
  <si>
    <t>كلية المعلمين بالباحة</t>
  </si>
  <si>
    <t>كلية التربية للبنات بالمخواة</t>
  </si>
  <si>
    <t>كلية إعداد المعلمات ببلجرشي</t>
  </si>
  <si>
    <t>كلية التربية للبنات الأقسام العلمية بالباحة</t>
  </si>
  <si>
    <t>كلية التربية للبنات الاقسام الأدبية بالباحة</t>
  </si>
  <si>
    <t>كلية التربية للمعلمات بنجران</t>
  </si>
  <si>
    <t>كلية التربية للبنات بشروره</t>
  </si>
  <si>
    <t>السنة التحضيرية</t>
  </si>
  <si>
    <t>كلية التربية الأقسام العلمية بالرياض</t>
  </si>
  <si>
    <t>كلية التربية الأقسام الأدبية بالرياض</t>
  </si>
  <si>
    <t>كلية التربية للاقتصاد المنزلي والتربية الفنية بالرياض</t>
  </si>
  <si>
    <t>كلية الخدمة الاجتماعية بالرياض</t>
  </si>
  <si>
    <t>كلية التربية لإعداد المعلمات بالرياض</t>
  </si>
  <si>
    <t>كلية التربية للمعلمات بالأفلاج (ليلى)</t>
  </si>
  <si>
    <t>كلية التربية للمعلمات بحوطة بني تميم</t>
  </si>
  <si>
    <t>كلية التربية للمعلمات بحريملاء</t>
  </si>
  <si>
    <t>كلية التربية للمعلمات بالقويعية</t>
  </si>
  <si>
    <t>كلية التربية للمعلمات بالزلفي</t>
  </si>
  <si>
    <t>كلية التربية للمعلمات بساجر</t>
  </si>
  <si>
    <t>كلية التربية للمعلمات بعفيف</t>
  </si>
  <si>
    <t>شعبة كلية التربية لإعداد المعلمات بالدلم</t>
  </si>
  <si>
    <t>كلية التربية بالمجمعة</t>
  </si>
  <si>
    <t>كلية التربية الأقسام الأدبية بالخرج</t>
  </si>
  <si>
    <t>كلية التربية بوادي الدواسر</t>
  </si>
  <si>
    <t>كلية التربية بشقراء</t>
  </si>
  <si>
    <t>كلية التربية للبنات بالدوادمي</t>
  </si>
  <si>
    <t>كلية الآداب بالرياض</t>
  </si>
  <si>
    <t>كلية التربية الأقسام العلمية بالخرج</t>
  </si>
  <si>
    <t>كلية التربية للمعلمات بحوطة سدير</t>
  </si>
  <si>
    <t xml:space="preserve">التربية لإعداد المعلمات بالمزاحمية </t>
  </si>
  <si>
    <t>كلية العلوم بعرعر</t>
  </si>
  <si>
    <t>كلية التربية للبنات بعرعر</t>
  </si>
  <si>
    <t xml:space="preserve">كلية التربية للبنات برفحاء </t>
  </si>
  <si>
    <t>كلية الجبيل الجامعية</t>
  </si>
  <si>
    <t>كلية ينبع الجامعية</t>
  </si>
  <si>
    <t>الطلبة المستجدون في مرحلة الدراسات العليا حسب الجهة والكلية عام 1428 - 1429 هـ</t>
  </si>
  <si>
    <t>جدول (2-9)</t>
  </si>
  <si>
    <t>المعهد العالي للأمر بالمعروف والنهي عن المنكر</t>
  </si>
  <si>
    <t>التربية الأقسام العلمية بمكة المكرمة</t>
  </si>
  <si>
    <t>التربية الأقسام الأدبية بمكة المكرمة</t>
  </si>
  <si>
    <t>المعهد العالي للقضاء بالرياض</t>
  </si>
  <si>
    <t>كلية العمارة والتخطيط</t>
  </si>
  <si>
    <t xml:space="preserve">كلية العلوم الطبية التطبيقية </t>
  </si>
  <si>
    <t xml:space="preserve">كلية الأنظمة والعلوم السياسية </t>
  </si>
  <si>
    <t>كلية علوم البحار</t>
  </si>
  <si>
    <t>كلية تصاميم البيئة</t>
  </si>
  <si>
    <t>كلية التربية</t>
  </si>
  <si>
    <t>المركز الجامعي لدراسة الطالبات بالمنسك</t>
  </si>
  <si>
    <t>الصحة العامة والمعلوماتية الصحية</t>
  </si>
  <si>
    <t>مركز الملك عبد الله العالمي للأبحاث الطبية</t>
  </si>
  <si>
    <t>الطلبة المقيدون في مرحلة الدبلوم المتوسط حسب الجهة عام 1428 - 1429 هـ</t>
  </si>
  <si>
    <t>جدول (3-1)</t>
  </si>
  <si>
    <t xml:space="preserve">الطلبة المقيدون في مرحلة الدبلوم المتوسط حسب مجال الدراسة عام 1428 - 1429 هـ </t>
  </si>
  <si>
    <t>جدول (3-2)</t>
  </si>
  <si>
    <t>الطلبة المقيدون في مرحلة البكالوريوس حسب الجهة عام 1428 - 1429 هـ</t>
  </si>
  <si>
    <t>جدول (3-3)</t>
  </si>
  <si>
    <t>الطلبة المقيدون في مرحلة البكالوريوس حسب مجال الدراسة 1428 - 1429 هـ</t>
  </si>
  <si>
    <t>جدول (3-4)</t>
  </si>
  <si>
    <t>الطلبة المقيدون في مرحلة الدراسات العليا حسب الجهة عام 1428 - 1429 هـ</t>
  </si>
  <si>
    <t>جدول (3-5)</t>
  </si>
  <si>
    <t>الطلبة المقيدون في مرحلة الدراسات العليا حسب مجال الدراسة عام 1428 - 1429 هـ</t>
  </si>
  <si>
    <t>جدول (3-6)</t>
  </si>
  <si>
    <t>الطلبة المقيدون في مرحلة الدبلوم المتوسط حسب الجهة والكلية عام 1428 - 1429 هـ</t>
  </si>
  <si>
    <t>جدول (3-7)</t>
  </si>
  <si>
    <t>كلية المعلمين بالأحساء</t>
  </si>
  <si>
    <t>المجتمع بعقلة الصقور</t>
  </si>
  <si>
    <t>الطلبة المقيدون في مرحلة البكالوريوس حسب الجهة والكلية عام  1428 - 1429 هـ</t>
  </si>
  <si>
    <t>جدول (3-8)</t>
  </si>
  <si>
    <t>التربية  الأقسام العلمية بمكة المكرمة</t>
  </si>
  <si>
    <t>التربية  الأقسام الأدبية بمكة المكرمة</t>
  </si>
  <si>
    <t xml:space="preserve">البرنامج الموحد للكليات الصحية </t>
  </si>
  <si>
    <t>العلوم بوادي الدواسر</t>
  </si>
  <si>
    <t>كلية علوم الأرض</t>
  </si>
  <si>
    <t>كلية المعلمين ببيشة</t>
  </si>
  <si>
    <t>كلية العلوم والأداب بمحايل عسير</t>
  </si>
  <si>
    <t>العلوم الطبية التطبيقية</t>
  </si>
  <si>
    <t xml:space="preserve">كلية التربية الاقسام الادبية ببريدة </t>
  </si>
  <si>
    <t>كلية العلوم والأداب للبنات الأقسام العلمية ببريدة</t>
  </si>
  <si>
    <t>كلية التربية للبنات بعنيزة</t>
  </si>
  <si>
    <t xml:space="preserve">كلية التربية الاقسام الادبية </t>
  </si>
  <si>
    <t>كلية التربية للبنات بالطائف</t>
  </si>
  <si>
    <t>كلية التربية للبنات الأقسام العلمية</t>
  </si>
  <si>
    <t>الطلبة المقيدون في مرحلة الدراسات العليا حسب الجهة والكلية عام  1428 - 1429 هـ</t>
  </si>
  <si>
    <t>جدول (3-9)</t>
  </si>
  <si>
    <t>التربية للإقتصاد المنزلي</t>
  </si>
  <si>
    <t>عمادة خدمة المجتمع والتعليم والمستمر</t>
  </si>
  <si>
    <t>الطلبة الخريجون في مرحلة الدبلوم المتوسط حسب الجهة عام  1427 - 1428 هـ</t>
  </si>
  <si>
    <t>جدول (4-1)</t>
  </si>
  <si>
    <t>الطلبة الخريجون في مرحلة الدبلوم المتوسط حسب مجال الدراسة عام 1427 - 1428 هـ</t>
  </si>
  <si>
    <t>جدول (4-2)</t>
  </si>
  <si>
    <t>الطلبة الخريجون في مرحلة البكالوريوس حسب الجهة عام 1427 - 1428 هـ</t>
  </si>
  <si>
    <t>جدول (4-3)</t>
  </si>
  <si>
    <t>الطلبة الخريجون في مرحلة البكالوريوس حسب مجال الدراسة عام 1427 - 1428 هـ</t>
  </si>
  <si>
    <t>جدول (4-4)</t>
  </si>
  <si>
    <t>الطلبة الخريجون في مرحلة الدراسات العليا حسب الجهة عام 1427 - 1428 هـ</t>
  </si>
  <si>
    <t>جدول (4-5)</t>
  </si>
  <si>
    <t>الطلبة الخريجون في مرحلة الدراسات العليا حسب مجال الدراسة عام 1427 - 1428 هـ</t>
  </si>
  <si>
    <t>جدول (4-6)</t>
  </si>
  <si>
    <t>`</t>
  </si>
  <si>
    <t>الطلبة الخريجون في مرحلة الدبلوم المتوسط حسب الجهة والكلية عام 1427 - 1428 هـ</t>
  </si>
  <si>
    <t>جدول (4-7)</t>
  </si>
  <si>
    <t>كلية  المجتمع بحريملاء</t>
  </si>
  <si>
    <t>كلية العلوم الصحيه للبنين سكاكا</t>
  </si>
  <si>
    <t>الطلبة الخريجون في مرحلة البكالوريوس حسب الجهة والكلية عام 1427 - 1428 هـ</t>
  </si>
  <si>
    <t>جدول (4-8)</t>
  </si>
  <si>
    <t>كلية التربية الأقسام العلمية بمكة المكرمة</t>
  </si>
  <si>
    <t>كلية التربية الأقسام الأدبية بمكة المكرمة</t>
  </si>
  <si>
    <t>كلية التربية والرياضة</t>
  </si>
  <si>
    <t>كلية التربية للاعداد المعلمات بجدة</t>
  </si>
  <si>
    <t>كلية التربية للبنات بالخرمة</t>
  </si>
  <si>
    <t>كلية التربية للبنات بتربة</t>
  </si>
  <si>
    <t>الطلبة الخريجون في مرحلة الدراسات العليا حسب الجهة والكلية عام 1427 - 1428 هـ</t>
  </si>
  <si>
    <t>جدول (4-9)</t>
  </si>
  <si>
    <t>هيئة التدريس حسب الجهة والمرتبة العلمية 1428 - 1429 هـ</t>
  </si>
  <si>
    <t>جدول (5-1)</t>
  </si>
  <si>
    <t>معيد</t>
  </si>
  <si>
    <t>محاضر</t>
  </si>
  <si>
    <t>أستاذ مساعد</t>
  </si>
  <si>
    <t>أستاذ مشارك</t>
  </si>
  <si>
    <t>أستاذ</t>
  </si>
  <si>
    <t>الجنسية</t>
  </si>
  <si>
    <t>الكليات والمعاهد الصحية</t>
  </si>
  <si>
    <t>هيئة التدريس حسب الجهة والكلية والمرتبة العلمية 1428 - 1429 هـ</t>
  </si>
  <si>
    <t>جدول (5-2)</t>
  </si>
  <si>
    <t xml:space="preserve">ادارة الجامعة والعمادات المساندة </t>
  </si>
  <si>
    <t>المعاهد البحثية</t>
  </si>
  <si>
    <t xml:space="preserve">كلية القران الكريم </t>
  </si>
  <si>
    <t>كلية الحديث الشريف</t>
  </si>
  <si>
    <t>الكلية الجامعية بالليث</t>
  </si>
  <si>
    <t>اعداد المعلمات بمكة المكرمة</t>
  </si>
  <si>
    <t xml:space="preserve">كلية الاداب والعلوم الادارية </t>
  </si>
  <si>
    <t xml:space="preserve">كلية العلوم الإدارية </t>
  </si>
  <si>
    <t>ادارة الجامعة والعمادات المساندة</t>
  </si>
  <si>
    <t>مستشفى الملك خالد الجامعي</t>
  </si>
  <si>
    <t xml:space="preserve">كلية الأنظمة والعلوم السياسة </t>
  </si>
  <si>
    <t>كلية التربية للبنات للاعداد المعلمات بجدة</t>
  </si>
  <si>
    <t xml:space="preserve">إدارة الجامعة والعمادات المساندة </t>
  </si>
  <si>
    <t>عمادة التطوير الأكاديمي</t>
  </si>
  <si>
    <t>كلية الدراسات المساندة والتطبيقية</t>
  </si>
  <si>
    <t>كلية الصيدلة بالأحساء</t>
  </si>
  <si>
    <t>إدارة الجامعة والعمادات المساندة</t>
  </si>
  <si>
    <t>العلوم الصحية للبنات بالنماص</t>
  </si>
  <si>
    <t>المعهد العالي للأئمة والخطباء</t>
  </si>
  <si>
    <t>كلية العلوم الصحية بالطائف</t>
  </si>
  <si>
    <t>كلية المعلمين في عرعر</t>
  </si>
  <si>
    <t>الكلية التقنية بالمدينة</t>
  </si>
  <si>
    <t>كلية الاتصالات والاكترونيات بجدة</t>
  </si>
  <si>
    <t>هيئة التدريس حسب الجهة والمؤهل العلمي 1428 - 1429 هـ</t>
  </si>
  <si>
    <t>جدول (5-3)</t>
  </si>
  <si>
    <t>هيئة التدريس حسب الجهة والكلية والمؤهل العلمي 1428 - 1429 هـ</t>
  </si>
  <si>
    <t>جدول (5-4)</t>
  </si>
  <si>
    <t xml:space="preserve">الجنسية </t>
  </si>
  <si>
    <t>سعودي أو</t>
  </si>
  <si>
    <t>الإداريون والفنيون حسب الجهة 1428 - 1429 هـ</t>
  </si>
  <si>
    <t>جدول (6-1)</t>
  </si>
  <si>
    <t>الإداريون والفنيون حسب الجهة والكلية 1428 - 1429 هـ</t>
  </si>
  <si>
    <t>جدول (6-2)</t>
  </si>
  <si>
    <t>مستشفى الملك عبدالعزيز الجامعي</t>
  </si>
  <si>
    <t>ادارات الجامعة والعمادات المساندة والمراكز</t>
  </si>
  <si>
    <t>المستشفى الجامعي</t>
  </si>
  <si>
    <t>ادارة الجامعة والعمادات</t>
  </si>
  <si>
    <t xml:space="preserve">المستشفى البيطري التعليمي - محطة التدريب والأبحاث الزراعية والبيطرية- بالأحساء </t>
  </si>
  <si>
    <t>مستشفى الملك فهد الجامعي - بالخبر</t>
  </si>
  <si>
    <t>كلية التربية للاقتصاد المنزلي ـ علمي . بريدة</t>
  </si>
  <si>
    <t>كلية التربية بعنيزة علمية</t>
  </si>
  <si>
    <t xml:space="preserve">كلية العلوم الصحية ببريدة </t>
  </si>
  <si>
    <t xml:space="preserve">كلية العلوم الصحية بعنيزة </t>
  </si>
  <si>
    <t>كلية العلوم الصحية بالبكيرية</t>
  </si>
  <si>
    <t xml:space="preserve">كلية العلوم الصحية بالرس </t>
  </si>
  <si>
    <t>كلية العمارة</t>
  </si>
  <si>
    <t>ادارة الجامعه والعمادات المساندة</t>
  </si>
  <si>
    <t>الإداريون والفنيون حسب الجهة والمؤهل العلمي 1428 - 1429 هـ</t>
  </si>
  <si>
    <t>جدول (6-3)</t>
  </si>
  <si>
    <t>جدول (6-4)</t>
  </si>
  <si>
    <t>الطلبة المستجدون الدارسون في الخارج (المبتعثون والدارسون على حسابهم الخاص) حسب مجال الدراسة ومستوى الدراسة عام 1428 - 1429 هـ</t>
  </si>
  <si>
    <t>جدول (7-1)</t>
  </si>
  <si>
    <t xml:space="preserve"> الطلبة المستجدون الدارسون في الخارج المبتعثون  حسب مجال الدراسة ومستوى الدراسة عام 1428 - 1429 هـ</t>
  </si>
  <si>
    <t>جدول (7-2)</t>
  </si>
  <si>
    <t xml:space="preserve">الطلبة المستجدون الدارسون في الخارج على حسابهم الخاص  حسب مجال الدراسة ومستوى الدراسة 1428 - 1429 هـ </t>
  </si>
  <si>
    <t>جدول (7-3)</t>
  </si>
  <si>
    <t>الطلبة المستجدون الدارسون في الخارج (المبتعثون والدارسون على حسابهم الخاص) حسب الملحقية الثقافية 1428 - 1429 هـ</t>
  </si>
  <si>
    <t>جدول (7-4)</t>
  </si>
  <si>
    <t xml:space="preserve"> الملحقية الثقافية</t>
  </si>
  <si>
    <t>الطلبة المستجدون الدارسون في الخارج المبتعثون  حسب الملحقية الثقافية ومستوى الدراسة عام 1428 - 1429 هـ</t>
  </si>
  <si>
    <t>جدول (7-5)</t>
  </si>
  <si>
    <t>الطلبة المستجدون الدارسون في الخارج على حسابهم الخاص  حسب الملحقية الثقافية ومستوى الدراسة 1428 - 1429 هـ</t>
  </si>
  <si>
    <t>جدول (7-6)</t>
  </si>
  <si>
    <t>الطلبة المستجدون الدارسون في الخارج (المبتعثون والدارسون على حسابهم الخاص) حسب الملحقية الثقافية ومجال الدراسة عام 1428 - 1429 هـ</t>
  </si>
  <si>
    <t>جدول (7-7)</t>
  </si>
  <si>
    <t xml:space="preserve">قانون   </t>
  </si>
  <si>
    <t>علوم إجتماعية</t>
  </si>
  <si>
    <t>الطلبة المستجدون الدارسون في الخارج المبتعثون  حسب الملحقية الثقافية ومجال الدراسة عام 1428 - 1429 هـ</t>
  </si>
  <si>
    <t>جدول (7-8)</t>
  </si>
  <si>
    <t>الطلبة المستجدون الدارسون في الخارج على حسابهم الخاص  حسب الملحقية الثقافية ومجال الدراسة عام 1428 - 1429 هـ</t>
  </si>
  <si>
    <t>جدول (7-9)</t>
  </si>
  <si>
    <t>الطلبة المقيدون الدارسون في الخارج (المبتعثون والدارسون على حسابهم الخاص) حسب مجال الدراسة ومستوى الدراسة عام 1428 - 1429 هـ</t>
  </si>
  <si>
    <t>جدول (8-1)</t>
  </si>
  <si>
    <t>الطلبة المقيدون الدارسون في الخارج المبتعثون  حسب مجال الدراسة ومستوى الدراسة عام 1428 - 1429 هـ</t>
  </si>
  <si>
    <t>جدول (8-2)</t>
  </si>
  <si>
    <t>الطلبة المقيدون الدارسون في الخارج على حسابهم الخاص  حسب مجال الدراسة ومستوى الدراسة عام 1428 - 1429 هـ</t>
  </si>
  <si>
    <t>جدول (8-3)</t>
  </si>
  <si>
    <t>الطلبة المقيدون الدارسون في الخارج (المبتعثون والدارسون على حسابهم الخاص) حسب الملحقية الثقافية ومستوى الدراسة عام 1428 - 1429 هـ</t>
  </si>
  <si>
    <t>جدول (8-4)</t>
  </si>
  <si>
    <t>الطلبة المقيدون الدارسون في الخارج المبتعثون  حسب الملحقية الثقافية ومستوى الدراسة عام 1428 - 1429 هـ</t>
  </si>
  <si>
    <t>جدول (8-5)</t>
  </si>
  <si>
    <t>الطلبة المقيدون الدارسون في الخارج على حسابهم الخاص  حسب الملحقية الثقافية ومستوى الدراسة عام 1428 - 1429 هـ</t>
  </si>
  <si>
    <t>جدول (8-6)</t>
  </si>
  <si>
    <t>الطلبة المقيدون الدارسون في الخارج (المبتعثون والدارسون على حسابهم الخاص) حسب الملحقية الثقافية ومجال الدراسة عام 1428 - 1429 هـ</t>
  </si>
  <si>
    <t>جدول (8-7)</t>
  </si>
  <si>
    <t>الطلبة المقيدون الدارسون في الخارج المبتعثون  حسب الملحقية الثقافية ومجال الدراسة عام 1428 - 1429 هـ</t>
  </si>
  <si>
    <t>جدول (8-8)</t>
  </si>
  <si>
    <t>الطلبة المقيدون الدارسون في الخارج على حسابهم الخاص  حسب الملحقية الثقافية ومجال الدراسة عام 1428 - 1429 هـ</t>
  </si>
  <si>
    <t>جدول (8-9)</t>
  </si>
  <si>
    <t>الطلبة الخريجون الدارسون في الخارج (المبتعثون والدارسون على حسابهم الخاص) حسب مجال الدراسة ومستوى الدراسة عام 1427 - 1428 هـ</t>
  </si>
  <si>
    <t>جدول (9-1)</t>
  </si>
  <si>
    <t>الطلبة الخريجون الدارسون في الخارج المبتعثون  حسب مجال الدراسة ومستوى الدراسة عام 1427 - 1428 هـ</t>
  </si>
  <si>
    <t>جدول (9-2)</t>
  </si>
  <si>
    <t>الطلبة الخريجون الدارسون في الخارج على حسابهم الخاص  حسب مجال الدراسة ومستوى الدراسة عام 1427 - 1428 هـ</t>
  </si>
  <si>
    <t>جدول (9-3)</t>
  </si>
  <si>
    <t>الطلبة الخريجون الدارسون في الخارج (المبتعثون والدارسون على حسابهم الخاص) حسب الملحقية الثقافية ومستوى الدراسة عام 1427 - 1428 هـ</t>
  </si>
  <si>
    <t>جدول (9-4)</t>
  </si>
  <si>
    <t>الطلبة الخريجون الدارسون في الخارج المبتعثون  حسب الملحقية الثقافية ومستوى الدراسة عام 1427 - 1428 هـ</t>
  </si>
  <si>
    <t>جدول (9-5)</t>
  </si>
  <si>
    <t>الطلبة الخريجون الدارسون في الخارج على حسابهم الخاص  حسب الملحقية الثقافية ومستوى الدراسة عام 1427 - 1428 هـ</t>
  </si>
  <si>
    <t>جدول (9-6)</t>
  </si>
  <si>
    <t>الطلبة الخريجون الدارسون في الخارج (المبتعثون والدارسون على حسابهم الخاص) حسب الملحقية الثقافية ومجال الدراسة عام 1427 - 1428 هـ</t>
  </si>
  <si>
    <t>جدول (9-7)</t>
  </si>
  <si>
    <t>الطلبة الخريجون الدارسون في الخارج المبتعثون  حسب الملحقية الثقافية ومجال الدراسة عام 1427 - 1428 هـ</t>
  </si>
  <si>
    <t>جدول (9-8)</t>
  </si>
  <si>
    <t>الطلبة الخريجون الدارسون في الخارج على حسابهم الخاص  حسب الملحقية الثقافية ومجال الدراسة عام 1427 - 1428 هـ</t>
  </si>
  <si>
    <t>جدول (9-9)</t>
  </si>
  <si>
    <t>فهرس الجداول الإحصائية</t>
  </si>
  <si>
    <t>رقم الجدول</t>
  </si>
  <si>
    <r>
      <t xml:space="preserve">                                                 </t>
    </r>
    <r>
      <rPr>
        <b/>
        <u/>
        <sz val="16"/>
        <color indexed="8"/>
        <rFont val="Arial"/>
        <family val="2"/>
      </rPr>
      <t xml:space="preserve">  أسم الجدول</t>
    </r>
  </si>
  <si>
    <t>الفصل الأول خلاصات إحصائية</t>
  </si>
  <si>
    <t>(1-1)</t>
  </si>
  <si>
    <t>(1-2)</t>
  </si>
  <si>
    <t>(1-3)</t>
  </si>
  <si>
    <t>(1-4)</t>
  </si>
  <si>
    <t>(1-5)</t>
  </si>
  <si>
    <t>(1-6)</t>
  </si>
  <si>
    <t>(1-7)</t>
  </si>
  <si>
    <t>(1-8)</t>
  </si>
  <si>
    <t>(1-9)</t>
  </si>
  <si>
    <t>(1-10)</t>
  </si>
  <si>
    <t>(1-11)</t>
  </si>
  <si>
    <t>الفصل الثاني الطلبة المستجدون</t>
  </si>
  <si>
    <t>(2-1)</t>
  </si>
  <si>
    <t>(2-2)</t>
  </si>
  <si>
    <t>(2-3)</t>
  </si>
  <si>
    <t>(2-4)</t>
  </si>
  <si>
    <t>(2-5)</t>
  </si>
  <si>
    <t>(2-6)</t>
  </si>
  <si>
    <t>(2-7)</t>
  </si>
  <si>
    <t>(2-8)</t>
  </si>
  <si>
    <t>(2-9)</t>
  </si>
  <si>
    <t>الفصل الثالث الطلبة المقيدون</t>
  </si>
  <si>
    <t>(3-1)</t>
  </si>
  <si>
    <t>(3-2)</t>
  </si>
  <si>
    <t>(3-3)</t>
  </si>
  <si>
    <t>(3-4)</t>
  </si>
  <si>
    <t>(3-5)</t>
  </si>
  <si>
    <t>(3-6)</t>
  </si>
  <si>
    <t>(3-7)</t>
  </si>
  <si>
    <t>(3-8)</t>
  </si>
  <si>
    <t>(3-9)</t>
  </si>
  <si>
    <t>الفصل الرابع الطلبة الخريجون</t>
  </si>
  <si>
    <t>(4-1)</t>
  </si>
  <si>
    <t>(4-2)</t>
  </si>
  <si>
    <t>(4-3)</t>
  </si>
  <si>
    <t>(4-4)</t>
  </si>
  <si>
    <t>(4-5)</t>
  </si>
  <si>
    <t>(4-6)</t>
  </si>
  <si>
    <t>(4-7)</t>
  </si>
  <si>
    <t>(4-8)</t>
  </si>
  <si>
    <t>(4-9)</t>
  </si>
  <si>
    <t>الفصل الخامس أعضاء هيئة التدريس</t>
  </si>
  <si>
    <t>(5-1)</t>
  </si>
  <si>
    <t>(5-2)</t>
  </si>
  <si>
    <t>(5-3)</t>
  </si>
  <si>
    <t>(5-4)</t>
  </si>
  <si>
    <t>الفصل السادس الإداريون والفنيون</t>
  </si>
  <si>
    <t>(6-1)</t>
  </si>
  <si>
    <t>(6-2)</t>
  </si>
  <si>
    <t>(6-3)</t>
  </si>
  <si>
    <t>(6-4)</t>
  </si>
  <si>
    <t>الفصل السابع الطلبة المستجدون الدارسون في الخارج</t>
  </si>
  <si>
    <t>(7-1)</t>
  </si>
  <si>
    <t>(7-2)</t>
  </si>
  <si>
    <t>(7-3)</t>
  </si>
  <si>
    <t>(7-4)</t>
  </si>
  <si>
    <t>(7-5)</t>
  </si>
  <si>
    <t>(7-6)</t>
  </si>
  <si>
    <t>(7-7)</t>
  </si>
  <si>
    <t>(7-8)</t>
  </si>
  <si>
    <t>(7-9)</t>
  </si>
  <si>
    <t>الفصل الثامن الطلبة المقيدون الدارسون في الخارج</t>
  </si>
  <si>
    <t>(8-1)</t>
  </si>
  <si>
    <t>(8-2)</t>
  </si>
  <si>
    <t>(8-3)</t>
  </si>
  <si>
    <t>(8-4)</t>
  </si>
  <si>
    <t>(8-5)</t>
  </si>
  <si>
    <t>(8-6)</t>
  </si>
  <si>
    <t>(8-7)</t>
  </si>
  <si>
    <t>(8-8)</t>
  </si>
  <si>
    <t>(8-9)</t>
  </si>
  <si>
    <t>الفصل التاسع الطلبة الخريجون الدارسون في الخارج</t>
  </si>
  <si>
    <t>(9-1)</t>
  </si>
  <si>
    <t>(9-2)</t>
  </si>
  <si>
    <t>(9-3)</t>
  </si>
  <si>
    <t>(9-4)</t>
  </si>
  <si>
    <t>(9-5)</t>
  </si>
  <si>
    <t>(9-6)</t>
  </si>
  <si>
    <t>(9-7)</t>
  </si>
  <si>
    <t>(9-8)</t>
  </si>
  <si>
    <t>(9-9)</t>
  </si>
  <si>
    <t>خلاصة إحصائية عن الطلبة حسب الجهة لعام 1428 - 1429 هـ</t>
  </si>
  <si>
    <t>خلاصة إحصائية عن الطلبة حسب مجال الدراسة لعام 1428 - 1429 هـ</t>
  </si>
  <si>
    <t>خلاصة إحصائية عن أعضاء هيئة التدريس والإداريين والفنيين حسب المؤهل العلمي لعام 1428 - 1429 هـ</t>
  </si>
  <si>
    <t>خلاصة إحصائية عن التعليم العالي الأهلي لعام 1428 - 1429 هـ</t>
  </si>
  <si>
    <t>الطلبة المستجدون في مرحلة دون البكالوريوس حسب الجهة لعام 1428 - 1429 هـ</t>
  </si>
  <si>
    <t>الطلبة المستجدون في مرحلة دون البكالوريوس حسب مجال الدراسة لعام 1428 - 1429 هـ</t>
  </si>
  <si>
    <t>الطلبة المستجدون في مرحلة البكالوريوس حسب الجهة لعام 1428 - 1429 هـ</t>
  </si>
  <si>
    <t>الطلبة المستجدون في مرحلة البكالوريوس حسب مجال الدراسة لعام 1428 - 1429 هـ</t>
  </si>
  <si>
    <t>الطلبة المستجدون في مرحلة الدراسات العليا حسب الجهة لعام 1428 - 1429 هـ</t>
  </si>
  <si>
    <t>الطلبة المستجدون في مرحلة الدراسات العليا حسب مجال الدراسة لعام 1428 - 1429 هـ</t>
  </si>
  <si>
    <t>الطلبة المستجدون في مرحلة دون البكالوريوس حسب الجهة والكلية لعام 1428 - 1429 هـ</t>
  </si>
  <si>
    <t>الطلبة المستجدون في مرحلة البكالوريوس حسب الجهة والكلية لعام 1428 - 1429 هـ</t>
  </si>
  <si>
    <t>الطلبة المستجدون في مرحلة الدراسات العليا حسب الجهة والكلية لعام 1428 - 1429 هـ</t>
  </si>
  <si>
    <t xml:space="preserve">الطلبة المقيدون في مرحلة دون البكالوريوس حسب الجهة عام 1428 - 1429 هـ </t>
  </si>
  <si>
    <t xml:space="preserve">الطلبة المقيدون في مرحلة دون البكالوريوس حسب مجال الدراسة عام 1428 - 1429 هـ </t>
  </si>
  <si>
    <t xml:space="preserve">الطلبة المقيدون في مرحلة البكالوريوس حسب الجهة عام 1428 - 1429 هـ </t>
  </si>
  <si>
    <t xml:space="preserve">الطلبة المقيدون في مرحلة البكالوريوس حسب مجال الدراسة عام 1428 - 1429 هـ </t>
  </si>
  <si>
    <t xml:space="preserve">الطلبة المقيدون في مرحلة الدراسات العليا حسب الجهة عام 1428 - 1428 هـ </t>
  </si>
  <si>
    <t xml:space="preserve">الطلبة المقيدون في مرحلة الدراسات العليا حسب مجال الدراسة عام 1428 - 1429 هـ </t>
  </si>
  <si>
    <t xml:space="preserve">الطلبة المقيدون في مرحلة دون البكالوريوس حسب الجهة والكلية عام 1428 - 1429 هـ </t>
  </si>
  <si>
    <t xml:space="preserve">الطلبة المقيدون في مرحلة البكالوريوس حسب الجهة والكلية عام 1428 - 1429 هـ </t>
  </si>
  <si>
    <t xml:space="preserve">الطلبة المقيدون في مرحلة الدراسات العليا حسب الجهة والكلية عام 1428 - 1429 هـ </t>
  </si>
  <si>
    <t>الطلبة الخريجون في مرحلة دون البكالوريوس حسب الجهة عام  1427 - 1428 هـ</t>
  </si>
  <si>
    <t>الطلبة الخريجون في مرحلة دون البكالوريوس حسب مجال الدراسة عام 1427 - 1428 هـ</t>
  </si>
  <si>
    <t>الطلبة الخريجون في مرحلة دون البكالوريوس حسب الجهة والكلية لعام 1427 - 1428 هـ</t>
  </si>
  <si>
    <t>الطلبة الخريجون في مرحلة البكالوريوس حسب الجهة والكلية لعام 1427 - 1428 هـ</t>
  </si>
  <si>
    <t>الطلبة الخريجون في مرحلة الدراسات العليا حسب الجهة والكلية لعام 1427 - 1428 هـ</t>
  </si>
  <si>
    <t>أعضاء هيئة التدريس حسب المرتبة العلمية والجهة لعام  1428 - 1429 هـ</t>
  </si>
  <si>
    <t>أعضاء هيئة التدريس حسب المرتبة العلمية والجهة والكلية لعام  1428 - 1429 هـ</t>
  </si>
  <si>
    <t>أعضاء هيئة التدريس حسب الجهة والمؤهل العلمي لعام  1428 - 1429 هـ</t>
  </si>
  <si>
    <t>أعضاء هيئة التدريس حسب الجهة والمؤهل العلمي والكلية لعام  1428 - 1429 هـ</t>
  </si>
  <si>
    <t>الإداريون والفنيون حسب الجهة لعام 1428 - 1429 هـ</t>
  </si>
  <si>
    <t>الإداريون والفنيون حسب الجهة والكلية لعام 1428 - 1429 هـ</t>
  </si>
  <si>
    <t>الإداريون والفنيون حسب الجهة والمؤهل العلمي لعام 1428 - 1429 هـ</t>
  </si>
  <si>
    <t>الإداريون والفنيون حسب الجهة والمؤهل العلمي والكلية لعام 1428 - 1429 هـ</t>
  </si>
  <si>
    <t>الطلبة المستجدون الدارسون في الخارج حسب مجال الدراسة ومستوى الدراسة عام 1428 - 1429 هـ</t>
  </si>
  <si>
    <t>الطلبة المستجدون الدارسون في الخارج المبتعثون حسب مجال الدراسة ومستوى الدراسة عام 1428 - 1429 هـ</t>
  </si>
  <si>
    <t>الطلبة المستجدون الدارسون في الخارج على حسابهم الخاص حسب مجال الدراسة ومستوى الدراسة عام 1428 - 1429 هـ</t>
  </si>
  <si>
    <t>الطلبة المستجدون الدارسون في الخارج حسب الملحقية الثقافية ومستوى الدراسة عام 1428 - 1429 هـ</t>
  </si>
  <si>
    <t>الطلبة المستجدون الدارسون في الخارج المبتعثون حسب الملحقية الثقافية ومستوى الدراسة عام 1428 - 1429 هـ</t>
  </si>
  <si>
    <t>الطلبة المستجدون الدارسون في الخارج على حسابهم الخاص حسب الملحقية الثقافية ومستوى الدراسة عام 1428 - 1429 هـ</t>
  </si>
  <si>
    <t>الطلبة المستجدون الدارسون في الخارج حسب الملحقية الثقافية ومجال الدراسة عام 1428 - 1429 هـ</t>
  </si>
  <si>
    <t>الطلبة المستجدون الدارسون في الخارج المبتعثون حسب الملحقية الثقافية ومجال الدراسة عام 1428 - 1429 هـ</t>
  </si>
  <si>
    <t>الطلبة المستجدون الدارسون في الخارج على حسابهم الخاص حسب الملحقية الثقافية ومجال الدراسة عام 1428 - 1429 هـ</t>
  </si>
  <si>
    <t>الطلبة المقيدون الدارسون في الخارج حسب مجال الدراسة ومستوى الدراسة لعام 1428 - 1429 هـ</t>
  </si>
  <si>
    <t>الطلبة المقيدون الدارسون في الخارج المبتعثون حسب مجال الدراسة ومستوى الدراسة لعام 1428 - 1429 هـ</t>
  </si>
  <si>
    <t>الطلبة المقيدون الدارسون في الخارج على حسابهم الخاص حسب مجال الدراسة ومستوى الدراسة لعام 1428 - 1429 هـ</t>
  </si>
  <si>
    <t>الطلبة المقيدون الدارسون في الخارج حسب الملحقية الثقافية ومستوى الدراسة لعام 1428 - 1429 هـ</t>
  </si>
  <si>
    <t>الطلبة المقيدون الدارسون في الخارج المبتعثون حسب الملحقية الثقافية ومستوى الدراسة لعام 1428 - 1429 هـ</t>
  </si>
  <si>
    <t>الطلبة المقيدون الدارسون في الخارج على حسابهم الخاص حسب الملحقية الثقافية ومستوى الدراسة لعام 1428 - 1429 هـ</t>
  </si>
  <si>
    <t>الطلبة المقيدون الدارسون في الخارج حسب الملحقية الثقافية ومجال الدراسة لعام 1428 - 1429 هـ</t>
  </si>
  <si>
    <t>الطلبة المقيدون الدارسون في الخارج المبتعثون حسب الملحقية الثقافية ومجال الدراسة لعام 1428 - 1429 هـ</t>
  </si>
  <si>
    <t>الطلبة المقيدون الدارسون في الخارج على حسابهم الخاص حسب الملحقية الثقافية ومجال الدراسة لعام 1428 - 1429 هـ</t>
  </si>
  <si>
    <t>الطلبة الخريجون الدارسون في الخارج حسب مجال الدراسة ومستوى الدراسة لعام 1427 - 1428 هـ</t>
  </si>
  <si>
    <t>الطلبة الخريجون الدارسون في الخارج المبتعثون حسب مجال الدراسة ومستوى الدراسة لعام 1427 - 1428 هـ</t>
  </si>
  <si>
    <t>الطلبة الخريجون الدارسون في الخارج على حسابهم الخاص حسب مجال الدراسة ومستوى الدراسة لعام 1427 - 1428 هـ</t>
  </si>
  <si>
    <t>الطلبة الخريجون الدارسون في الخارج حسب الملحقية الثقافية ومستوى الدراسة لعام 1427 - 1428 هـ</t>
  </si>
  <si>
    <t>الطلبة الخريجون الدارسون في الخارج المبتعثون حسب الملحقية الثقافية ومستوى الدراسة لعام 1427 - 1428 هـ</t>
  </si>
  <si>
    <t>الطلبة الخريجون الدارسون في الخارج على حسابهم الخاص حسب الملحقية الثقافية ومستوى الدراسة لعام 1427 - 1428 هـ</t>
  </si>
  <si>
    <t>الطلبة الخريجون الدارسون في الخارج حسب الملحقية الثقافية ومجال الدراسة لعام 1427 - 1428 هـ</t>
  </si>
  <si>
    <t>الطلبة الخريجون الدارسون في الخارج المبتعثون حسب الملحقية الثقافية ومجال الدراسة لعام 1427 - 1428 هـ</t>
  </si>
  <si>
    <t>الطلبة الخريجون الدارسون في الخارج على حسابهم الخاص حسب الملحقية الثقافية ومجال الدراسة لعام 1427 - 1428 هـ</t>
  </si>
  <si>
    <t>فهرس جداول العدد الحادي والثلاثون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</si>
</sst>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409]General"/>
  </numFmts>
  <fonts count="29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8"/>
      <color indexed="8"/>
      <name val="Arial"/>
      <family val="2"/>
    </font>
    <font>
      <sz val="11"/>
      <color theme="1"/>
      <name val="Arial"/>
      <family val="2"/>
      <charset val="178"/>
      <scheme val="minor"/>
    </font>
    <font>
      <b/>
      <sz val="20"/>
      <color theme="1"/>
      <name val="Arial"/>
      <family val="2"/>
      <scheme val="minor"/>
    </font>
    <font>
      <b/>
      <u/>
      <sz val="20"/>
      <color theme="1"/>
      <name val="Arial"/>
      <family val="2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u/>
      <sz val="16"/>
      <color indexed="8"/>
      <name val="Arial"/>
      <family val="2"/>
    </font>
    <font>
      <b/>
      <u/>
      <sz val="18"/>
      <color theme="1"/>
      <name val="Arial"/>
      <family val="2"/>
    </font>
    <font>
      <u/>
      <sz val="11"/>
      <color theme="10"/>
      <name val="Arial"/>
      <family val="2"/>
      <charset val="178"/>
    </font>
    <font>
      <b/>
      <sz val="12"/>
      <color theme="5" tint="-0.249977111117893"/>
      <name val="Arial"/>
      <family val="2"/>
    </font>
    <font>
      <b/>
      <sz val="16"/>
      <name val="Traditional Arabic"/>
      <family val="1"/>
    </font>
    <font>
      <b/>
      <sz val="16"/>
      <color theme="1"/>
      <name val="Traditional Arabic"/>
      <family val="1"/>
    </font>
    <font>
      <b/>
      <sz val="18"/>
      <color theme="1"/>
      <name val="Times New Roman"/>
      <family val="1"/>
    </font>
    <font>
      <b/>
      <sz val="15"/>
      <color theme="1"/>
      <name val="Traditional Arabic"/>
      <family val="1"/>
    </font>
    <font>
      <b/>
      <sz val="14"/>
      <color theme="1"/>
      <name val="Traditional Arabic"/>
      <family val="1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3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wrapText="1"/>
    </xf>
    <xf numFmtId="0" fontId="7" fillId="0" borderId="0">
      <alignment wrapText="1"/>
    </xf>
    <xf numFmtId="0" fontId="14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7" fillId="0" borderId="0">
      <alignment wrapText="1"/>
    </xf>
  </cellStyleXfs>
  <cellXfs count="208">
    <xf numFmtId="0" fontId="0" fillId="0" borderId="0" xfId="0"/>
    <xf numFmtId="0" fontId="3" fillId="0" borderId="0" xfId="1" applyFont="1" applyFill="1" applyBorder="1" applyAlignment="1">
      <alignment vertical="top" wrapText="1"/>
    </xf>
    <xf numFmtId="0" fontId="2" fillId="0" borderId="0" xfId="1">
      <alignment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164" fontId="4" fillId="0" borderId="1" xfId="1" applyNumberFormat="1" applyFont="1" applyFill="1" applyBorder="1" applyAlignment="1">
      <alignment horizontal="center" vertical="top" wrapText="1"/>
    </xf>
    <xf numFmtId="0" fontId="4" fillId="0" borderId="1" xfId="1" applyFont="1" applyFill="1" applyBorder="1" applyAlignment="1">
      <alignment horizontal="center" vertical="top" wrapText="1"/>
    </xf>
    <xf numFmtId="0" fontId="4" fillId="0" borderId="4" xfId="1" applyFont="1" applyFill="1" applyBorder="1" applyAlignment="1">
      <alignment horizontal="center" vertical="top" wrapText="1"/>
    </xf>
    <xf numFmtId="0" fontId="4" fillId="0" borderId="3" xfId="1" applyFont="1" applyFill="1" applyBorder="1" applyAlignment="1">
      <alignment vertical="top" wrapText="1"/>
    </xf>
    <xf numFmtId="0" fontId="4" fillId="0" borderId="2" xfId="1" applyFont="1" applyFill="1" applyBorder="1" applyAlignment="1">
      <alignment vertical="top" wrapText="1"/>
    </xf>
    <xf numFmtId="0" fontId="4" fillId="0" borderId="4" xfId="1" applyFont="1" applyFill="1" applyBorder="1" applyAlignment="1">
      <alignment horizontal="center" vertical="center" wrapText="1"/>
    </xf>
    <xf numFmtId="164" fontId="2" fillId="0" borderId="0" xfId="1" applyNumberFormat="1">
      <alignment wrapText="1"/>
    </xf>
    <xf numFmtId="0" fontId="6" fillId="0" borderId="0" xfId="1" applyFont="1" applyFill="1" applyBorder="1" applyAlignment="1">
      <alignment vertical="top" wrapText="1"/>
    </xf>
    <xf numFmtId="0" fontId="5" fillId="0" borderId="1" xfId="1" applyFont="1" applyFill="1" applyBorder="1" applyAlignment="1">
      <alignment horizontal="center" vertical="center" wrapText="1"/>
    </xf>
    <xf numFmtId="0" fontId="5" fillId="0" borderId="2" xfId="1" applyFont="1" applyFill="1" applyBorder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top" wrapText="1"/>
    </xf>
    <xf numFmtId="0" fontId="5" fillId="0" borderId="1" xfId="1" applyFont="1" applyFill="1" applyBorder="1" applyAlignment="1">
      <alignment horizontal="center" vertical="top" wrapText="1"/>
    </xf>
    <xf numFmtId="0" fontId="5" fillId="0" borderId="4" xfId="1" applyFont="1" applyFill="1" applyBorder="1" applyAlignment="1">
      <alignment horizontal="center" vertical="top" wrapText="1"/>
    </xf>
    <xf numFmtId="0" fontId="5" fillId="0" borderId="3" xfId="1" applyFont="1" applyFill="1" applyBorder="1" applyAlignment="1">
      <alignment horizontal="center" vertical="top" wrapText="1"/>
    </xf>
    <xf numFmtId="0" fontId="5" fillId="0" borderId="3" xfId="1" applyFont="1" applyFill="1" applyBorder="1" applyAlignment="1">
      <alignment vertical="top" wrapText="1"/>
    </xf>
    <xf numFmtId="0" fontId="5" fillId="0" borderId="4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5" fillId="0" borderId="5" xfId="1" applyFont="1" applyFill="1" applyBorder="1" applyAlignment="1">
      <alignment horizontal="center" vertical="top" wrapText="1"/>
    </xf>
    <xf numFmtId="0" fontId="5" fillId="0" borderId="8" xfId="1" applyFont="1" applyFill="1" applyBorder="1" applyAlignment="1">
      <alignment horizontal="center" vertical="top" wrapText="1"/>
    </xf>
    <xf numFmtId="0" fontId="5" fillId="0" borderId="9" xfId="1" applyFont="1" applyFill="1" applyBorder="1" applyAlignment="1">
      <alignment horizontal="center" vertical="center" wrapText="1"/>
    </xf>
    <xf numFmtId="0" fontId="7" fillId="0" borderId="0" xfId="1" applyFont="1">
      <alignment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0" fontId="2" fillId="0" borderId="0" xfId="1" applyAlignment="1"/>
    <xf numFmtId="0" fontId="4" fillId="0" borderId="2" xfId="1" applyFont="1" applyFill="1" applyBorder="1" applyAlignment="1">
      <alignment horizontal="center" vertical="top" wrapText="1"/>
    </xf>
    <xf numFmtId="0" fontId="3" fillId="0" borderId="2" xfId="1" applyFont="1" applyFill="1" applyBorder="1" applyAlignment="1">
      <alignment horizontal="center" vertical="top" wrapText="1"/>
    </xf>
    <xf numFmtId="164" fontId="4" fillId="0" borderId="4" xfId="1" applyNumberFormat="1" applyFont="1" applyFill="1" applyBorder="1" applyAlignment="1">
      <alignment horizontal="center" vertical="top" wrapText="1"/>
    </xf>
    <xf numFmtId="0" fontId="4" fillId="0" borderId="3" xfId="1" applyFont="1" applyFill="1" applyBorder="1" applyAlignment="1">
      <alignment horizontal="center" vertical="top" wrapText="1"/>
    </xf>
    <xf numFmtId="0" fontId="3" fillId="0" borderId="3" xfId="1" applyFont="1" applyFill="1" applyBorder="1" applyAlignment="1">
      <alignment horizontal="center" vertical="top" wrapText="1"/>
    </xf>
    <xf numFmtId="164" fontId="4" fillId="0" borderId="4" xfId="1" applyNumberFormat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top" wrapText="1"/>
    </xf>
    <xf numFmtId="164" fontId="5" fillId="0" borderId="1" xfId="1" applyNumberFormat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vertical="top" wrapText="1"/>
    </xf>
    <xf numFmtId="164" fontId="5" fillId="0" borderId="4" xfId="1" applyNumberFormat="1" applyFont="1" applyFill="1" applyBorder="1" applyAlignment="1">
      <alignment horizontal="center" vertical="center" wrapText="1"/>
    </xf>
    <xf numFmtId="0" fontId="5" fillId="0" borderId="17" xfId="1" applyFont="1" applyFill="1" applyBorder="1" applyAlignment="1">
      <alignment horizontal="center" vertical="top" wrapText="1"/>
    </xf>
    <xf numFmtId="0" fontId="5" fillId="0" borderId="16" xfId="1" applyFont="1" applyFill="1" applyBorder="1" applyAlignment="1">
      <alignment horizontal="center" vertical="top" wrapText="1"/>
    </xf>
    <xf numFmtId="0" fontId="5" fillId="0" borderId="18" xfId="1" applyFont="1" applyFill="1" applyBorder="1" applyAlignment="1">
      <alignment horizontal="center" vertical="top" wrapText="1"/>
    </xf>
    <xf numFmtId="164" fontId="5" fillId="0" borderId="16" xfId="1" applyNumberFormat="1" applyFont="1" applyFill="1" applyBorder="1" applyAlignment="1">
      <alignment horizontal="center" vertical="top" wrapText="1"/>
    </xf>
    <xf numFmtId="0" fontId="5" fillId="0" borderId="19" xfId="1" applyFont="1" applyFill="1" applyBorder="1" applyAlignment="1">
      <alignment horizontal="center" vertical="top" wrapText="1"/>
    </xf>
    <xf numFmtId="0" fontId="2" fillId="0" borderId="0" xfId="1" applyAlignment="1">
      <alignment horizontal="center" vertical="center" wrapText="1"/>
    </xf>
    <xf numFmtId="164" fontId="2" fillId="0" borderId="0" xfId="1" applyNumberFormat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7" fillId="0" borderId="0" xfId="2" applyFont="1" applyFill="1" applyBorder="1" applyAlignment="1">
      <alignment vertical="top" wrapText="1"/>
    </xf>
    <xf numFmtId="0" fontId="7" fillId="0" borderId="0" xfId="2" applyFont="1">
      <alignment wrapText="1"/>
    </xf>
    <xf numFmtId="0" fontId="8" fillId="0" borderId="2" xfId="2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center" vertical="center" wrapText="1"/>
    </xf>
    <xf numFmtId="0" fontId="8" fillId="0" borderId="3" xfId="2" applyFont="1" applyFill="1" applyBorder="1" applyAlignment="1">
      <alignment horizontal="center" vertical="center" wrapText="1"/>
    </xf>
    <xf numFmtId="164" fontId="8" fillId="0" borderId="1" xfId="2" applyNumberFormat="1" applyFont="1" applyFill="1" applyBorder="1" applyAlignment="1">
      <alignment horizontal="center" vertical="top" wrapText="1"/>
    </xf>
    <xf numFmtId="0" fontId="8" fillId="0" borderId="1" xfId="2" applyFont="1" applyFill="1" applyBorder="1" applyAlignment="1">
      <alignment horizontal="right" vertical="top" wrapText="1"/>
    </xf>
    <xf numFmtId="0" fontId="6" fillId="0" borderId="0" xfId="2" applyFont="1" applyFill="1" applyBorder="1" applyAlignment="1">
      <alignment vertical="top" wrapText="1"/>
    </xf>
    <xf numFmtId="0" fontId="7" fillId="0" borderId="0" xfId="2">
      <alignment wrapText="1"/>
    </xf>
    <xf numFmtId="0" fontId="5" fillId="0" borderId="2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center" vertical="center" wrapText="1"/>
    </xf>
    <xf numFmtId="0" fontId="5" fillId="0" borderId="3" xfId="2" applyFont="1" applyFill="1" applyBorder="1" applyAlignment="1">
      <alignment horizontal="center" vertical="center" wrapText="1"/>
    </xf>
    <xf numFmtId="164" fontId="5" fillId="0" borderId="1" xfId="2" applyNumberFormat="1" applyFont="1" applyFill="1" applyBorder="1" applyAlignment="1">
      <alignment horizontal="center" vertical="top" wrapText="1"/>
    </xf>
    <xf numFmtId="0" fontId="5" fillId="0" borderId="1" xfId="2" applyFont="1" applyFill="1" applyBorder="1" applyAlignment="1">
      <alignment horizontal="right" vertical="top" wrapText="1"/>
    </xf>
    <xf numFmtId="0" fontId="7" fillId="0" borderId="0" xfId="2" applyAlignment="1">
      <alignment horizontal="center" wrapText="1"/>
    </xf>
    <xf numFmtId="164" fontId="7" fillId="0" borderId="0" xfId="2" applyNumberFormat="1" applyAlignment="1">
      <alignment horizontal="center" wrapText="1"/>
    </xf>
    <xf numFmtId="164" fontId="9" fillId="0" borderId="0" xfId="2" applyNumberFormat="1" applyFont="1">
      <alignment wrapText="1"/>
    </xf>
    <xf numFmtId="0" fontId="5" fillId="0" borderId="1" xfId="2" applyFont="1" applyFill="1" applyBorder="1" applyAlignment="1">
      <alignment horizontal="center" vertical="top" wrapText="1"/>
    </xf>
    <xf numFmtId="0" fontId="5" fillId="0" borderId="4" xfId="2" applyFont="1" applyFill="1" applyBorder="1" applyAlignment="1">
      <alignment horizontal="right" vertical="top" wrapText="1"/>
    </xf>
    <xf numFmtId="0" fontId="5" fillId="0" borderId="3" xfId="2" applyFont="1" applyFill="1" applyBorder="1" applyAlignment="1">
      <alignment vertical="top" wrapText="1"/>
    </xf>
    <xf numFmtId="0" fontId="5" fillId="0" borderId="4" xfId="2" applyFont="1" applyFill="1" applyBorder="1" applyAlignment="1">
      <alignment horizontal="center" vertical="center" wrapText="1"/>
    </xf>
    <xf numFmtId="164" fontId="7" fillId="0" borderId="0" xfId="2" applyNumberFormat="1">
      <alignment wrapText="1"/>
    </xf>
    <xf numFmtId="0" fontId="8" fillId="0" borderId="1" xfId="2" applyFont="1" applyFill="1" applyBorder="1" applyAlignment="1">
      <alignment horizontal="center" vertical="top" wrapText="1"/>
    </xf>
    <xf numFmtId="0" fontId="8" fillId="0" borderId="4" xfId="2" applyFont="1" applyFill="1" applyBorder="1" applyAlignment="1">
      <alignment horizontal="right" vertical="top" wrapText="1"/>
    </xf>
    <xf numFmtId="0" fontId="8" fillId="0" borderId="3" xfId="2" applyFont="1" applyFill="1" applyBorder="1" applyAlignment="1">
      <alignment vertical="top" wrapText="1"/>
    </xf>
    <xf numFmtId="0" fontId="8" fillId="0" borderId="4" xfId="2" applyFont="1" applyFill="1" applyBorder="1" applyAlignment="1">
      <alignment horizontal="center" vertical="center" wrapText="1"/>
    </xf>
    <xf numFmtId="0" fontId="5" fillId="0" borderId="21" xfId="2" applyFont="1" applyFill="1" applyBorder="1" applyAlignment="1">
      <alignment horizontal="right" vertical="top" wrapText="1"/>
    </xf>
    <xf numFmtId="164" fontId="8" fillId="0" borderId="1" xfId="2" applyNumberFormat="1" applyFont="1" applyFill="1" applyBorder="1" applyAlignment="1">
      <alignment horizontal="center" vertical="center" wrapText="1"/>
    </xf>
    <xf numFmtId="0" fontId="8" fillId="0" borderId="21" xfId="2" applyFont="1" applyFill="1" applyBorder="1" applyAlignment="1">
      <alignment horizontal="right" vertical="top" wrapText="1"/>
    </xf>
    <xf numFmtId="164" fontId="9" fillId="0" borderId="0" xfId="2" applyNumberFormat="1" applyFont="1" applyAlignment="1">
      <alignment vertical="center" wrapText="1"/>
    </xf>
    <xf numFmtId="0" fontId="7" fillId="0" borderId="0" xfId="2" applyAlignment="1">
      <alignment vertical="center" wrapText="1"/>
    </xf>
    <xf numFmtId="0" fontId="10" fillId="0" borderId="0" xfId="2" applyFont="1" applyFill="1" applyBorder="1" applyAlignment="1">
      <alignment vertical="top" wrapText="1"/>
    </xf>
    <xf numFmtId="164" fontId="10" fillId="0" borderId="0" xfId="2" applyNumberFormat="1" applyFont="1">
      <alignment wrapText="1"/>
    </xf>
    <xf numFmtId="164" fontId="11" fillId="0" borderId="0" xfId="2" applyNumberFormat="1" applyFont="1">
      <alignment wrapText="1"/>
    </xf>
    <xf numFmtId="0" fontId="7" fillId="0" borderId="0" xfId="2" applyFill="1">
      <alignment wrapText="1"/>
    </xf>
    <xf numFmtId="164" fontId="7" fillId="0" borderId="0" xfId="2" applyNumberFormat="1" applyFill="1">
      <alignment wrapText="1"/>
    </xf>
    <xf numFmtId="164" fontId="5" fillId="0" borderId="22" xfId="2" applyNumberFormat="1" applyFont="1" applyFill="1" applyBorder="1" applyAlignment="1">
      <alignment horizontal="center" vertical="top" wrapText="1"/>
    </xf>
    <xf numFmtId="0" fontId="5" fillId="0" borderId="22" xfId="2" applyFont="1" applyFill="1" applyBorder="1" applyAlignment="1">
      <alignment horizontal="center" vertical="top" wrapText="1"/>
    </xf>
    <xf numFmtId="0" fontId="5" fillId="0" borderId="22" xfId="2" applyFont="1" applyFill="1" applyBorder="1" applyAlignment="1">
      <alignment horizontal="center" vertical="center" wrapText="1"/>
    </xf>
    <xf numFmtId="164" fontId="5" fillId="0" borderId="3" xfId="2" applyNumberFormat="1" applyFont="1" applyFill="1" applyBorder="1" applyAlignment="1">
      <alignment horizontal="center" vertical="top" wrapText="1"/>
    </xf>
    <xf numFmtId="0" fontId="5" fillId="0" borderId="3" xfId="2" applyFont="1" applyFill="1" applyBorder="1" applyAlignment="1">
      <alignment horizontal="center" vertical="top" wrapText="1"/>
    </xf>
    <xf numFmtId="0" fontId="12" fillId="0" borderId="1" xfId="2" applyFont="1" applyFill="1" applyBorder="1" applyAlignment="1">
      <alignment horizontal="center" vertical="center" wrapText="1"/>
    </xf>
    <xf numFmtId="164" fontId="12" fillId="0" borderId="1" xfId="2" applyNumberFormat="1" applyFont="1" applyFill="1" applyBorder="1" applyAlignment="1">
      <alignment horizontal="center" vertical="top" wrapText="1"/>
    </xf>
    <xf numFmtId="0" fontId="12" fillId="0" borderId="1" xfId="2" applyFont="1" applyFill="1" applyBorder="1" applyAlignment="1">
      <alignment horizontal="center" vertical="top" wrapText="1"/>
    </xf>
    <xf numFmtId="0" fontId="12" fillId="0" borderId="4" xfId="2" applyFont="1" applyFill="1" applyBorder="1" applyAlignment="1">
      <alignment horizontal="right" vertical="top" wrapText="1"/>
    </xf>
    <xf numFmtId="0" fontId="12" fillId="0" borderId="3" xfId="2" applyFont="1" applyFill="1" applyBorder="1" applyAlignment="1">
      <alignment vertical="top" wrapText="1"/>
    </xf>
    <xf numFmtId="0" fontId="12" fillId="0" borderId="2" xfId="2" applyFont="1" applyFill="1" applyBorder="1" applyAlignment="1">
      <alignment horizontal="center" vertical="center" wrapText="1"/>
    </xf>
    <xf numFmtId="0" fontId="12" fillId="0" borderId="4" xfId="2" applyFont="1" applyFill="1" applyBorder="1" applyAlignment="1">
      <alignment horizontal="center" vertical="center" wrapText="1"/>
    </xf>
    <xf numFmtId="0" fontId="12" fillId="0" borderId="3" xfId="2" applyFont="1" applyFill="1" applyBorder="1" applyAlignment="1">
      <alignment horizontal="center" vertical="center" wrapText="1"/>
    </xf>
    <xf numFmtId="164" fontId="5" fillId="0" borderId="0" xfId="2" applyNumberFormat="1" applyFont="1" applyFill="1" applyBorder="1" applyAlignment="1">
      <alignment horizontal="center" vertical="top" wrapText="1"/>
    </xf>
    <xf numFmtId="0" fontId="5" fillId="0" borderId="0" xfId="2" applyFont="1" applyFill="1" applyBorder="1" applyAlignment="1">
      <alignment horizontal="center" vertical="top" wrapText="1"/>
    </xf>
    <xf numFmtId="0" fontId="12" fillId="0" borderId="1" xfId="2" applyFont="1" applyFill="1" applyBorder="1" applyAlignment="1">
      <alignment horizontal="right" vertical="top" wrapText="1"/>
    </xf>
    <xf numFmtId="0" fontId="10" fillId="0" borderId="0" xfId="2" applyFont="1">
      <alignment wrapText="1"/>
    </xf>
    <xf numFmtId="0" fontId="7" fillId="0" borderId="0" xfId="2" applyBorder="1">
      <alignment wrapText="1"/>
    </xf>
    <xf numFmtId="0" fontId="7" fillId="2" borderId="0" xfId="2" applyFill="1" applyBorder="1">
      <alignment wrapText="1"/>
    </xf>
    <xf numFmtId="0" fontId="7" fillId="2" borderId="0" xfId="2" applyFill="1">
      <alignment wrapText="1"/>
    </xf>
    <xf numFmtId="0" fontId="5" fillId="2" borderId="0" xfId="2" applyFont="1" applyFill="1" applyBorder="1" applyAlignment="1">
      <alignment horizontal="right" vertical="top" wrapText="1"/>
    </xf>
    <xf numFmtId="0" fontId="8" fillId="0" borderId="0" xfId="2" applyFont="1" applyAlignment="1">
      <alignment horizontal="center" vertical="center" wrapText="1"/>
    </xf>
    <xf numFmtId="164" fontId="11" fillId="0" borderId="0" xfId="2" applyNumberFormat="1" applyFont="1" applyAlignment="1">
      <alignment horizontal="center" vertical="center" wrapText="1"/>
    </xf>
    <xf numFmtId="0" fontId="7" fillId="0" borderId="0" xfId="2" applyAlignment="1">
      <alignment horizontal="center" vertical="center" wrapText="1"/>
    </xf>
    <xf numFmtId="164" fontId="7" fillId="0" borderId="0" xfId="2" applyNumberFormat="1" applyAlignment="1">
      <alignment horizontal="center" vertical="center" wrapText="1"/>
    </xf>
    <xf numFmtId="164" fontId="11" fillId="0" borderId="0" xfId="2" applyNumberFormat="1" applyFont="1" applyAlignment="1">
      <alignment horizontal="center" wrapText="1"/>
    </xf>
    <xf numFmtId="0" fontId="12" fillId="0" borderId="21" xfId="2" applyFont="1" applyFill="1" applyBorder="1" applyAlignment="1">
      <alignment horizontal="right" vertical="top" wrapText="1"/>
    </xf>
    <xf numFmtId="164" fontId="7" fillId="0" borderId="0" xfId="2" applyNumberFormat="1" applyFont="1">
      <alignment wrapText="1"/>
    </xf>
    <xf numFmtId="164" fontId="8" fillId="0" borderId="0" xfId="2" applyNumberFormat="1" applyFont="1" applyAlignment="1">
      <alignment horizontal="center" vertical="center" wrapText="1"/>
    </xf>
    <xf numFmtId="0" fontId="5" fillId="0" borderId="3" xfId="2" applyFont="1" applyFill="1" applyBorder="1" applyAlignment="1">
      <alignment horizontal="right" vertical="center" wrapText="1"/>
    </xf>
    <xf numFmtId="164" fontId="11" fillId="2" borderId="0" xfId="2" applyNumberFormat="1" applyFont="1" applyFill="1" applyAlignment="1">
      <alignment horizontal="center" wrapText="1"/>
    </xf>
    <xf numFmtId="164" fontId="5" fillId="0" borderId="1" xfId="2" applyNumberFormat="1" applyFont="1" applyFill="1" applyBorder="1" applyAlignment="1">
      <alignment horizontal="center" vertical="center" wrapText="1"/>
    </xf>
    <xf numFmtId="0" fontId="8" fillId="0" borderId="0" xfId="2" applyFont="1">
      <alignment wrapText="1"/>
    </xf>
    <xf numFmtId="0" fontId="8" fillId="0" borderId="0" xfId="2" applyFont="1" applyAlignment="1">
      <alignment horizontal="center" wrapText="1"/>
    </xf>
    <xf numFmtId="164" fontId="12" fillId="0" borderId="0" xfId="2" applyNumberFormat="1" applyFont="1" applyAlignment="1">
      <alignment horizontal="center" vertical="center" wrapText="1"/>
    </xf>
    <xf numFmtId="0" fontId="7" fillId="0" borderId="0" xfId="2" applyFill="1" applyAlignment="1">
      <alignment horizontal="center" wrapText="1"/>
    </xf>
    <xf numFmtId="164" fontId="11" fillId="0" borderId="0" xfId="2" applyNumberFormat="1" applyFont="1" applyFill="1" applyAlignment="1">
      <alignment horizontal="center" wrapText="1"/>
    </xf>
    <xf numFmtId="164" fontId="10" fillId="0" borderId="0" xfId="2" applyNumberFormat="1" applyFont="1" applyFill="1" applyAlignment="1">
      <alignment horizontal="center" wrapText="1"/>
    </xf>
    <xf numFmtId="164" fontId="10" fillId="0" borderId="0" xfId="2" applyNumberFormat="1" applyFont="1" applyAlignment="1">
      <alignment horizontal="center" wrapText="1"/>
    </xf>
    <xf numFmtId="164" fontId="13" fillId="0" borderId="1" xfId="1" applyNumberFormat="1" applyFont="1" applyFill="1" applyBorder="1" applyAlignment="1">
      <alignment horizontal="center" vertical="top" wrapText="1"/>
    </xf>
    <xf numFmtId="0" fontId="4" fillId="0" borderId="4" xfId="1" applyFont="1" applyFill="1" applyBorder="1" applyAlignment="1">
      <alignment horizontal="right" vertical="top" wrapText="1"/>
    </xf>
    <xf numFmtId="0" fontId="4" fillId="0" borderId="1" xfId="1" applyFont="1" applyFill="1" applyBorder="1" applyAlignment="1">
      <alignment horizontal="right" vertical="top" wrapText="1"/>
    </xf>
    <xf numFmtId="0" fontId="14" fillId="0" borderId="0" xfId="3"/>
    <xf numFmtId="0" fontId="17" fillId="5" borderId="22" xfId="3" applyFont="1" applyFill="1" applyBorder="1" applyAlignment="1">
      <alignment horizontal="center" wrapText="1" readingOrder="2"/>
    </xf>
    <xf numFmtId="0" fontId="22" fillId="0" borderId="22" xfId="4" applyFont="1" applyBorder="1" applyAlignment="1" applyProtection="1">
      <alignment horizontal="center"/>
    </xf>
    <xf numFmtId="0" fontId="22" fillId="0" borderId="22" xfId="4" applyFont="1" applyBorder="1" applyAlignment="1" applyProtection="1">
      <alignment horizontal="center" wrapText="1" readingOrder="2"/>
    </xf>
    <xf numFmtId="0" fontId="22" fillId="0" borderId="22" xfId="4" applyFont="1" applyBorder="1" applyAlignment="1" applyProtection="1">
      <alignment horizontal="center" vertical="center" wrapText="1" readingOrder="2"/>
    </xf>
    <xf numFmtId="0" fontId="24" fillId="0" borderId="0" xfId="3" applyFont="1" applyAlignment="1">
      <alignment wrapText="1" readingOrder="2"/>
    </xf>
    <xf numFmtId="0" fontId="26" fillId="0" borderId="0" xfId="3" applyFont="1" applyAlignment="1">
      <alignment wrapText="1" readingOrder="2"/>
    </xf>
    <xf numFmtId="0" fontId="27" fillId="0" borderId="0" xfId="3" applyFont="1" applyAlignment="1">
      <alignment wrapText="1" readingOrder="2"/>
    </xf>
    <xf numFmtId="0" fontId="22" fillId="0" borderId="22" xfId="4" applyFont="1" applyBorder="1" applyAlignment="1" applyProtection="1">
      <alignment horizontal="center" vertical="top" wrapText="1" readingOrder="2"/>
    </xf>
    <xf numFmtId="0" fontId="1" fillId="0" borderId="0" xfId="3" applyFont="1" applyAlignment="1">
      <alignment wrapText="1"/>
    </xf>
    <xf numFmtId="0" fontId="28" fillId="0" borderId="0" xfId="3" applyFont="1" applyAlignment="1">
      <alignment horizontal="right" readingOrder="2"/>
    </xf>
    <xf numFmtId="0" fontId="23" fillId="0" borderId="22" xfId="3" applyFont="1" applyBorder="1" applyAlignment="1">
      <alignment horizontal="right" wrapText="1" readingOrder="2"/>
    </xf>
    <xf numFmtId="0" fontId="15" fillId="3" borderId="22" xfId="3" applyFont="1" applyFill="1" applyBorder="1" applyAlignment="1">
      <alignment horizontal="center"/>
    </xf>
    <xf numFmtId="0" fontId="14" fillId="3" borderId="22" xfId="3" applyFill="1" applyBorder="1" applyAlignment="1">
      <alignment horizontal="center"/>
    </xf>
    <xf numFmtId="0" fontId="16" fillId="4" borderId="22" xfId="3" applyFont="1" applyFill="1" applyBorder="1" applyAlignment="1">
      <alignment horizontal="center" readingOrder="2"/>
    </xf>
    <xf numFmtId="0" fontId="18" fillId="5" borderId="32" xfId="3" applyFont="1" applyFill="1" applyBorder="1" applyAlignment="1">
      <alignment horizontal="right" wrapText="1" readingOrder="2"/>
    </xf>
    <xf numFmtId="0" fontId="18" fillId="5" borderId="33" xfId="3" applyFont="1" applyFill="1" applyBorder="1" applyAlignment="1">
      <alignment horizontal="right" wrapText="1" readingOrder="2"/>
    </xf>
    <xf numFmtId="0" fontId="20" fillId="5" borderId="32" xfId="3" applyFont="1" applyFill="1" applyBorder="1" applyAlignment="1">
      <alignment horizontal="center" wrapText="1" readingOrder="2"/>
    </xf>
    <xf numFmtId="0" fontId="20" fillId="5" borderId="34" xfId="3" applyFont="1" applyFill="1" applyBorder="1" applyAlignment="1">
      <alignment horizontal="center" wrapText="1" readingOrder="2"/>
    </xf>
    <xf numFmtId="0" fontId="20" fillId="5" borderId="33" xfId="3" applyFont="1" applyFill="1" applyBorder="1" applyAlignment="1">
      <alignment horizontal="center" wrapText="1" readingOrder="2"/>
    </xf>
    <xf numFmtId="0" fontId="24" fillId="0" borderId="22" xfId="3" applyFont="1" applyBorder="1" applyAlignment="1">
      <alignment horizontal="justify" wrapText="1" readingOrder="2"/>
    </xf>
    <xf numFmtId="0" fontId="20" fillId="5" borderId="22" xfId="3" applyFont="1" applyFill="1" applyBorder="1" applyAlignment="1">
      <alignment horizontal="center" wrapText="1" readingOrder="2"/>
    </xf>
    <xf numFmtId="0" fontId="25" fillId="0" borderId="0" xfId="3" applyFont="1" applyAlignment="1">
      <alignment horizontal="center" wrapText="1" readingOrder="2"/>
    </xf>
    <xf numFmtId="0" fontId="20" fillId="0" borderId="0" xfId="3" applyFont="1" applyAlignment="1">
      <alignment horizontal="center" wrapText="1" readingOrder="2"/>
    </xf>
    <xf numFmtId="0" fontId="20" fillId="5" borderId="22" xfId="3" applyFont="1" applyFill="1" applyBorder="1" applyAlignment="1">
      <alignment horizontal="center" vertical="top" wrapText="1" readingOrder="2"/>
    </xf>
    <xf numFmtId="0" fontId="24" fillId="0" borderId="22" xfId="3" applyFont="1" applyBorder="1" applyAlignment="1">
      <alignment horizontal="right" wrapText="1" readingOrder="2"/>
    </xf>
    <xf numFmtId="0" fontId="26" fillId="0" borderId="22" xfId="3" applyFont="1" applyBorder="1" applyAlignment="1">
      <alignment horizontal="justify" wrapText="1" readingOrder="2"/>
    </xf>
    <xf numFmtId="0" fontId="26" fillId="0" borderId="22" xfId="3" applyFont="1" applyBorder="1" applyAlignment="1">
      <alignment horizontal="right" wrapText="1" readingOrder="2"/>
    </xf>
    <xf numFmtId="0" fontId="27" fillId="0" borderId="22" xfId="3" applyFont="1" applyBorder="1" applyAlignment="1">
      <alignment horizontal="right" wrapText="1" readingOrder="2"/>
    </xf>
    <xf numFmtId="0" fontId="5" fillId="0" borderId="0" xfId="1" applyFont="1" applyFill="1" applyBorder="1" applyAlignment="1">
      <alignment horizontal="center" vertical="top" wrapText="1"/>
    </xf>
    <xf numFmtId="0" fontId="5" fillId="0" borderId="0" xfId="1" applyFont="1" applyFill="1" applyBorder="1" applyAlignment="1">
      <alignment horizontal="left" vertical="top" wrapText="1"/>
    </xf>
    <xf numFmtId="0" fontId="5" fillId="0" borderId="16" xfId="1" applyFont="1" applyFill="1" applyBorder="1" applyAlignment="1">
      <alignment horizontal="center" vertical="top" wrapText="1"/>
    </xf>
    <xf numFmtId="0" fontId="5" fillId="0" borderId="1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top" wrapText="1"/>
    </xf>
    <xf numFmtId="0" fontId="4" fillId="0" borderId="0" xfId="1" applyFont="1" applyFill="1" applyBorder="1" applyAlignment="1">
      <alignment horizontal="left" vertical="top" wrapText="1"/>
    </xf>
    <xf numFmtId="0" fontId="4" fillId="0" borderId="1" xfId="1" applyFont="1" applyFill="1" applyBorder="1" applyAlignment="1">
      <alignment horizontal="center" vertical="center" wrapText="1"/>
    </xf>
    <xf numFmtId="0" fontId="5" fillId="0" borderId="2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0" fontId="5" fillId="0" borderId="6" xfId="1" applyFont="1" applyFill="1" applyBorder="1" applyAlignment="1">
      <alignment horizontal="center" vertical="center" wrapText="1"/>
    </xf>
    <xf numFmtId="0" fontId="5" fillId="0" borderId="7" xfId="1" applyFont="1" applyFill="1" applyBorder="1" applyAlignment="1">
      <alignment horizontal="center" vertical="center" wrapText="1"/>
    </xf>
    <xf numFmtId="0" fontId="5" fillId="0" borderId="20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 vertical="center" wrapText="1"/>
    </xf>
    <xf numFmtId="0" fontId="5" fillId="0" borderId="11" xfId="1" applyFont="1" applyFill="1" applyBorder="1" applyAlignment="1">
      <alignment horizontal="center" vertical="center" wrapText="1"/>
    </xf>
    <xf numFmtId="0" fontId="5" fillId="0" borderId="12" xfId="1" applyFont="1" applyFill="1" applyBorder="1" applyAlignment="1">
      <alignment horizontal="center" vertical="center" wrapText="1"/>
    </xf>
    <xf numFmtId="0" fontId="5" fillId="0" borderId="13" xfId="1" applyFont="1" applyFill="1" applyBorder="1" applyAlignment="1">
      <alignment horizontal="center" vertical="center" wrapText="1"/>
    </xf>
    <xf numFmtId="0" fontId="5" fillId="0" borderId="14" xfId="1" applyFont="1" applyFill="1" applyBorder="1" applyAlignment="1">
      <alignment horizontal="center" vertical="center" wrapText="1"/>
    </xf>
    <xf numFmtId="0" fontId="5" fillId="0" borderId="15" xfId="1" applyFont="1" applyFill="1" applyBorder="1" applyAlignment="1">
      <alignment horizontal="center" vertical="center" wrapText="1"/>
    </xf>
    <xf numFmtId="0" fontId="8" fillId="0" borderId="0" xfId="2" applyFont="1" applyFill="1" applyBorder="1" applyAlignment="1">
      <alignment horizontal="center" vertical="top" wrapText="1"/>
    </xf>
    <xf numFmtId="0" fontId="8" fillId="0" borderId="0" xfId="2" applyFont="1" applyFill="1" applyBorder="1" applyAlignment="1">
      <alignment horizontal="left" vertical="top" wrapText="1"/>
    </xf>
    <xf numFmtId="0" fontId="8" fillId="0" borderId="1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center" vertical="top" wrapText="1"/>
    </xf>
    <xf numFmtId="0" fontId="5" fillId="0" borderId="0" xfId="2" applyFont="1" applyFill="1" applyBorder="1" applyAlignment="1">
      <alignment horizontal="left" vertical="top" wrapText="1"/>
    </xf>
    <xf numFmtId="0" fontId="5" fillId="0" borderId="1" xfId="2" applyFont="1" applyFill="1" applyBorder="1" applyAlignment="1">
      <alignment horizontal="center" vertical="center" wrapText="1"/>
    </xf>
    <xf numFmtId="0" fontId="5" fillId="0" borderId="3" xfId="2" applyFont="1" applyFill="1" applyBorder="1" applyAlignment="1">
      <alignment horizontal="center" vertical="center" wrapText="1"/>
    </xf>
    <xf numFmtId="0" fontId="5" fillId="0" borderId="2" xfId="2" applyFont="1" applyFill="1" applyBorder="1" applyAlignment="1">
      <alignment horizontal="center" vertical="center" wrapText="1"/>
    </xf>
    <xf numFmtId="0" fontId="8" fillId="0" borderId="3" xfId="2" applyFont="1" applyFill="1" applyBorder="1" applyAlignment="1">
      <alignment horizontal="center" vertical="center" wrapText="1"/>
    </xf>
    <xf numFmtId="0" fontId="8" fillId="0" borderId="2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horizontal="center" vertical="top" wrapText="1"/>
    </xf>
    <xf numFmtId="0" fontId="8" fillId="0" borderId="1" xfId="2" applyFont="1" applyFill="1" applyBorder="1" applyAlignment="1">
      <alignment horizontal="center" vertical="top" wrapText="1"/>
    </xf>
    <xf numFmtId="0" fontId="12" fillId="0" borderId="3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5" fillId="0" borderId="23" xfId="2" applyFont="1" applyFill="1" applyBorder="1" applyAlignment="1">
      <alignment horizontal="center" vertical="center" wrapText="1"/>
    </xf>
    <xf numFmtId="0" fontId="5" fillId="0" borderId="24" xfId="2" applyFont="1" applyFill="1" applyBorder="1" applyAlignment="1">
      <alignment horizontal="center" vertical="center" wrapText="1"/>
    </xf>
    <xf numFmtId="0" fontId="5" fillId="0" borderId="25" xfId="2" applyFont="1" applyFill="1" applyBorder="1" applyAlignment="1">
      <alignment horizontal="center" vertical="center" wrapText="1"/>
    </xf>
    <xf numFmtId="0" fontId="5" fillId="0" borderId="22" xfId="2" applyFont="1" applyFill="1" applyBorder="1" applyAlignment="1">
      <alignment horizontal="center" vertical="center" wrapText="1"/>
    </xf>
    <xf numFmtId="0" fontId="12" fillId="0" borderId="0" xfId="2" applyFont="1" applyFill="1" applyBorder="1" applyAlignment="1">
      <alignment horizontal="center" vertical="top" wrapText="1"/>
    </xf>
    <xf numFmtId="0" fontId="12" fillId="0" borderId="0" xfId="2" applyFont="1" applyFill="1" applyBorder="1" applyAlignment="1">
      <alignment horizontal="left" vertical="top" wrapText="1"/>
    </xf>
    <xf numFmtId="0" fontId="5" fillId="0" borderId="26" xfId="2" applyFont="1" applyFill="1" applyBorder="1" applyAlignment="1">
      <alignment horizontal="center" vertical="center" wrapText="1"/>
    </xf>
    <xf numFmtId="0" fontId="5" fillId="0" borderId="27" xfId="2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center" vertical="center" wrapText="1"/>
    </xf>
    <xf numFmtId="0" fontId="5" fillId="0" borderId="28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top" wrapText="1"/>
    </xf>
    <xf numFmtId="0" fontId="12" fillId="0" borderId="2" xfId="2" applyFont="1" applyFill="1" applyBorder="1" applyAlignment="1">
      <alignment horizontal="center" vertical="center" wrapText="1"/>
    </xf>
    <xf numFmtId="0" fontId="5" fillId="0" borderId="9" xfId="2" applyFont="1" applyFill="1" applyBorder="1" applyAlignment="1">
      <alignment horizontal="center" vertical="center" wrapText="1"/>
    </xf>
    <xf numFmtId="0" fontId="5" fillId="0" borderId="31" xfId="2" applyFont="1" applyFill="1" applyBorder="1" applyAlignment="1">
      <alignment horizontal="center" vertical="center" wrapText="1"/>
    </xf>
    <xf numFmtId="0" fontId="5" fillId="0" borderId="29" xfId="2" applyFont="1" applyFill="1" applyBorder="1" applyAlignment="1">
      <alignment horizontal="left" vertical="top" wrapText="1"/>
    </xf>
    <xf numFmtId="0" fontId="5" fillId="0" borderId="30" xfId="2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top"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0" fontId="13" fillId="0" borderId="0" xfId="1" applyFont="1" applyFill="1" applyBorder="1" applyAlignment="1">
      <alignment horizontal="center" vertical="top" wrapText="1"/>
    </xf>
  </cellXfs>
  <cellStyles count="6">
    <cellStyle name="Hyperlink" xfId="4" builtinId="8"/>
    <cellStyle name="Normal" xfId="0" builtinId="0"/>
    <cellStyle name="Normal 2" xfId="1"/>
    <cellStyle name="Normal 2 2" xfId="2"/>
    <cellStyle name="Normal 2 3" xfId="3"/>
    <cellStyle name="Normal 3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83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8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"/>
  <sheetViews>
    <sheetView rightToLeft="1" tabSelected="1" view="pageBreakPreview" zoomScaleNormal="100" zoomScaleSheetLayoutView="100" workbookViewId="0">
      <selection activeCell="A2" sqref="A2:C3"/>
    </sheetView>
  </sheetViews>
  <sheetFormatPr defaultRowHeight="14.25" x14ac:dyDescent="0.2"/>
  <cols>
    <col min="1" max="1" width="14.375" style="126" customWidth="1"/>
    <col min="2" max="2" width="57" style="126" bestFit="1" customWidth="1"/>
    <col min="3" max="3" width="36.125" style="126" customWidth="1"/>
    <col min="4" max="256" width="9" style="126"/>
    <col min="257" max="257" width="14.375" style="126" customWidth="1"/>
    <col min="258" max="258" width="57" style="126" bestFit="1" customWidth="1"/>
    <col min="259" max="259" width="32.5" style="126" customWidth="1"/>
    <col min="260" max="512" width="9" style="126"/>
    <col min="513" max="513" width="14.375" style="126" customWidth="1"/>
    <col min="514" max="514" width="57" style="126" bestFit="1" customWidth="1"/>
    <col min="515" max="515" width="32.5" style="126" customWidth="1"/>
    <col min="516" max="768" width="9" style="126"/>
    <col min="769" max="769" width="14.375" style="126" customWidth="1"/>
    <col min="770" max="770" width="57" style="126" bestFit="1" customWidth="1"/>
    <col min="771" max="771" width="32.5" style="126" customWidth="1"/>
    <col min="772" max="1024" width="9" style="126"/>
    <col min="1025" max="1025" width="14.375" style="126" customWidth="1"/>
    <col min="1026" max="1026" width="57" style="126" bestFit="1" customWidth="1"/>
    <col min="1027" max="1027" width="32.5" style="126" customWidth="1"/>
    <col min="1028" max="1280" width="9" style="126"/>
    <col min="1281" max="1281" width="14.375" style="126" customWidth="1"/>
    <col min="1282" max="1282" width="57" style="126" bestFit="1" customWidth="1"/>
    <col min="1283" max="1283" width="32.5" style="126" customWidth="1"/>
    <col min="1284" max="1536" width="9" style="126"/>
    <col min="1537" max="1537" width="14.375" style="126" customWidth="1"/>
    <col min="1538" max="1538" width="57" style="126" bestFit="1" customWidth="1"/>
    <col min="1539" max="1539" width="32.5" style="126" customWidth="1"/>
    <col min="1540" max="1792" width="9" style="126"/>
    <col min="1793" max="1793" width="14.375" style="126" customWidth="1"/>
    <col min="1794" max="1794" width="57" style="126" bestFit="1" customWidth="1"/>
    <col min="1795" max="1795" width="32.5" style="126" customWidth="1"/>
    <col min="1796" max="2048" width="9" style="126"/>
    <col min="2049" max="2049" width="14.375" style="126" customWidth="1"/>
    <col min="2050" max="2050" width="57" style="126" bestFit="1" customWidth="1"/>
    <col min="2051" max="2051" width="32.5" style="126" customWidth="1"/>
    <col min="2052" max="2304" width="9" style="126"/>
    <col min="2305" max="2305" width="14.375" style="126" customWidth="1"/>
    <col min="2306" max="2306" width="57" style="126" bestFit="1" customWidth="1"/>
    <col min="2307" max="2307" width="32.5" style="126" customWidth="1"/>
    <col min="2308" max="2560" width="9" style="126"/>
    <col min="2561" max="2561" width="14.375" style="126" customWidth="1"/>
    <col min="2562" max="2562" width="57" style="126" bestFit="1" customWidth="1"/>
    <col min="2563" max="2563" width="32.5" style="126" customWidth="1"/>
    <col min="2564" max="2816" width="9" style="126"/>
    <col min="2817" max="2817" width="14.375" style="126" customWidth="1"/>
    <col min="2818" max="2818" width="57" style="126" bestFit="1" customWidth="1"/>
    <col min="2819" max="2819" width="32.5" style="126" customWidth="1"/>
    <col min="2820" max="3072" width="9" style="126"/>
    <col min="3073" max="3073" width="14.375" style="126" customWidth="1"/>
    <col min="3074" max="3074" width="57" style="126" bestFit="1" customWidth="1"/>
    <col min="3075" max="3075" width="32.5" style="126" customWidth="1"/>
    <col min="3076" max="3328" width="9" style="126"/>
    <col min="3329" max="3329" width="14.375" style="126" customWidth="1"/>
    <col min="3330" max="3330" width="57" style="126" bestFit="1" customWidth="1"/>
    <col min="3331" max="3331" width="32.5" style="126" customWidth="1"/>
    <col min="3332" max="3584" width="9" style="126"/>
    <col min="3585" max="3585" width="14.375" style="126" customWidth="1"/>
    <col min="3586" max="3586" width="57" style="126" bestFit="1" customWidth="1"/>
    <col min="3587" max="3587" width="32.5" style="126" customWidth="1"/>
    <col min="3588" max="3840" width="9" style="126"/>
    <col min="3841" max="3841" width="14.375" style="126" customWidth="1"/>
    <col min="3842" max="3842" width="57" style="126" bestFit="1" customWidth="1"/>
    <col min="3843" max="3843" width="32.5" style="126" customWidth="1"/>
    <col min="3844" max="4096" width="9" style="126"/>
    <col min="4097" max="4097" width="14.375" style="126" customWidth="1"/>
    <col min="4098" max="4098" width="57" style="126" bestFit="1" customWidth="1"/>
    <col min="4099" max="4099" width="32.5" style="126" customWidth="1"/>
    <col min="4100" max="4352" width="9" style="126"/>
    <col min="4353" max="4353" width="14.375" style="126" customWidth="1"/>
    <col min="4354" max="4354" width="57" style="126" bestFit="1" customWidth="1"/>
    <col min="4355" max="4355" width="32.5" style="126" customWidth="1"/>
    <col min="4356" max="4608" width="9" style="126"/>
    <col min="4609" max="4609" width="14.375" style="126" customWidth="1"/>
    <col min="4610" max="4610" width="57" style="126" bestFit="1" customWidth="1"/>
    <col min="4611" max="4611" width="32.5" style="126" customWidth="1"/>
    <col min="4612" max="4864" width="9" style="126"/>
    <col min="4865" max="4865" width="14.375" style="126" customWidth="1"/>
    <col min="4866" max="4866" width="57" style="126" bestFit="1" customWidth="1"/>
    <col min="4867" max="4867" width="32.5" style="126" customWidth="1"/>
    <col min="4868" max="5120" width="9" style="126"/>
    <col min="5121" max="5121" width="14.375" style="126" customWidth="1"/>
    <col min="5122" max="5122" width="57" style="126" bestFit="1" customWidth="1"/>
    <col min="5123" max="5123" width="32.5" style="126" customWidth="1"/>
    <col min="5124" max="5376" width="9" style="126"/>
    <col min="5377" max="5377" width="14.375" style="126" customWidth="1"/>
    <col min="5378" max="5378" width="57" style="126" bestFit="1" customWidth="1"/>
    <col min="5379" max="5379" width="32.5" style="126" customWidth="1"/>
    <col min="5380" max="5632" width="9" style="126"/>
    <col min="5633" max="5633" width="14.375" style="126" customWidth="1"/>
    <col min="5634" max="5634" width="57" style="126" bestFit="1" customWidth="1"/>
    <col min="5635" max="5635" width="32.5" style="126" customWidth="1"/>
    <col min="5636" max="5888" width="9" style="126"/>
    <col min="5889" max="5889" width="14.375" style="126" customWidth="1"/>
    <col min="5890" max="5890" width="57" style="126" bestFit="1" customWidth="1"/>
    <col min="5891" max="5891" width="32.5" style="126" customWidth="1"/>
    <col min="5892" max="6144" width="9" style="126"/>
    <col min="6145" max="6145" width="14.375" style="126" customWidth="1"/>
    <col min="6146" max="6146" width="57" style="126" bestFit="1" customWidth="1"/>
    <col min="6147" max="6147" width="32.5" style="126" customWidth="1"/>
    <col min="6148" max="6400" width="9" style="126"/>
    <col min="6401" max="6401" width="14.375" style="126" customWidth="1"/>
    <col min="6402" max="6402" width="57" style="126" bestFit="1" customWidth="1"/>
    <col min="6403" max="6403" width="32.5" style="126" customWidth="1"/>
    <col min="6404" max="6656" width="9" style="126"/>
    <col min="6657" max="6657" width="14.375" style="126" customWidth="1"/>
    <col min="6658" max="6658" width="57" style="126" bestFit="1" customWidth="1"/>
    <col min="6659" max="6659" width="32.5" style="126" customWidth="1"/>
    <col min="6660" max="6912" width="9" style="126"/>
    <col min="6913" max="6913" width="14.375" style="126" customWidth="1"/>
    <col min="6914" max="6914" width="57" style="126" bestFit="1" customWidth="1"/>
    <col min="6915" max="6915" width="32.5" style="126" customWidth="1"/>
    <col min="6916" max="7168" width="9" style="126"/>
    <col min="7169" max="7169" width="14.375" style="126" customWidth="1"/>
    <col min="7170" max="7170" width="57" style="126" bestFit="1" customWidth="1"/>
    <col min="7171" max="7171" width="32.5" style="126" customWidth="1"/>
    <col min="7172" max="7424" width="9" style="126"/>
    <col min="7425" max="7425" width="14.375" style="126" customWidth="1"/>
    <col min="7426" max="7426" width="57" style="126" bestFit="1" customWidth="1"/>
    <col min="7427" max="7427" width="32.5" style="126" customWidth="1"/>
    <col min="7428" max="7680" width="9" style="126"/>
    <col min="7681" max="7681" width="14.375" style="126" customWidth="1"/>
    <col min="7682" max="7682" width="57" style="126" bestFit="1" customWidth="1"/>
    <col min="7683" max="7683" width="32.5" style="126" customWidth="1"/>
    <col min="7684" max="7936" width="9" style="126"/>
    <col min="7937" max="7937" width="14.375" style="126" customWidth="1"/>
    <col min="7938" max="7938" width="57" style="126" bestFit="1" customWidth="1"/>
    <col min="7939" max="7939" width="32.5" style="126" customWidth="1"/>
    <col min="7940" max="8192" width="9" style="126"/>
    <col min="8193" max="8193" width="14.375" style="126" customWidth="1"/>
    <col min="8194" max="8194" width="57" style="126" bestFit="1" customWidth="1"/>
    <col min="8195" max="8195" width="32.5" style="126" customWidth="1"/>
    <col min="8196" max="8448" width="9" style="126"/>
    <col min="8449" max="8449" width="14.375" style="126" customWidth="1"/>
    <col min="8450" max="8450" width="57" style="126" bestFit="1" customWidth="1"/>
    <col min="8451" max="8451" width="32.5" style="126" customWidth="1"/>
    <col min="8452" max="8704" width="9" style="126"/>
    <col min="8705" max="8705" width="14.375" style="126" customWidth="1"/>
    <col min="8706" max="8706" width="57" style="126" bestFit="1" customWidth="1"/>
    <col min="8707" max="8707" width="32.5" style="126" customWidth="1"/>
    <col min="8708" max="8960" width="9" style="126"/>
    <col min="8961" max="8961" width="14.375" style="126" customWidth="1"/>
    <col min="8962" max="8962" width="57" style="126" bestFit="1" customWidth="1"/>
    <col min="8963" max="8963" width="32.5" style="126" customWidth="1"/>
    <col min="8964" max="9216" width="9" style="126"/>
    <col min="9217" max="9217" width="14.375" style="126" customWidth="1"/>
    <col min="9218" max="9218" width="57" style="126" bestFit="1" customWidth="1"/>
    <col min="9219" max="9219" width="32.5" style="126" customWidth="1"/>
    <col min="9220" max="9472" width="9" style="126"/>
    <col min="9473" max="9473" width="14.375" style="126" customWidth="1"/>
    <col min="9474" max="9474" width="57" style="126" bestFit="1" customWidth="1"/>
    <col min="9475" max="9475" width="32.5" style="126" customWidth="1"/>
    <col min="9476" max="9728" width="9" style="126"/>
    <col min="9729" max="9729" width="14.375" style="126" customWidth="1"/>
    <col min="9730" max="9730" width="57" style="126" bestFit="1" customWidth="1"/>
    <col min="9731" max="9731" width="32.5" style="126" customWidth="1"/>
    <col min="9732" max="9984" width="9" style="126"/>
    <col min="9985" max="9985" width="14.375" style="126" customWidth="1"/>
    <col min="9986" max="9986" width="57" style="126" bestFit="1" customWidth="1"/>
    <col min="9987" max="9987" width="32.5" style="126" customWidth="1"/>
    <col min="9988" max="10240" width="9" style="126"/>
    <col min="10241" max="10241" width="14.375" style="126" customWidth="1"/>
    <col min="10242" max="10242" width="57" style="126" bestFit="1" customWidth="1"/>
    <col min="10243" max="10243" width="32.5" style="126" customWidth="1"/>
    <col min="10244" max="10496" width="9" style="126"/>
    <col min="10497" max="10497" width="14.375" style="126" customWidth="1"/>
    <col min="10498" max="10498" width="57" style="126" bestFit="1" customWidth="1"/>
    <col min="10499" max="10499" width="32.5" style="126" customWidth="1"/>
    <col min="10500" max="10752" width="9" style="126"/>
    <col min="10753" max="10753" width="14.375" style="126" customWidth="1"/>
    <col min="10754" max="10754" width="57" style="126" bestFit="1" customWidth="1"/>
    <col min="10755" max="10755" width="32.5" style="126" customWidth="1"/>
    <col min="10756" max="11008" width="9" style="126"/>
    <col min="11009" max="11009" width="14.375" style="126" customWidth="1"/>
    <col min="11010" max="11010" width="57" style="126" bestFit="1" customWidth="1"/>
    <col min="11011" max="11011" width="32.5" style="126" customWidth="1"/>
    <col min="11012" max="11264" width="9" style="126"/>
    <col min="11265" max="11265" width="14.375" style="126" customWidth="1"/>
    <col min="11266" max="11266" width="57" style="126" bestFit="1" customWidth="1"/>
    <col min="11267" max="11267" width="32.5" style="126" customWidth="1"/>
    <col min="11268" max="11520" width="9" style="126"/>
    <col min="11521" max="11521" width="14.375" style="126" customWidth="1"/>
    <col min="11522" max="11522" width="57" style="126" bestFit="1" customWidth="1"/>
    <col min="11523" max="11523" width="32.5" style="126" customWidth="1"/>
    <col min="11524" max="11776" width="9" style="126"/>
    <col min="11777" max="11777" width="14.375" style="126" customWidth="1"/>
    <col min="11778" max="11778" width="57" style="126" bestFit="1" customWidth="1"/>
    <col min="11779" max="11779" width="32.5" style="126" customWidth="1"/>
    <col min="11780" max="12032" width="9" style="126"/>
    <col min="12033" max="12033" width="14.375" style="126" customWidth="1"/>
    <col min="12034" max="12034" width="57" style="126" bestFit="1" customWidth="1"/>
    <col min="12035" max="12035" width="32.5" style="126" customWidth="1"/>
    <col min="12036" max="12288" width="9" style="126"/>
    <col min="12289" max="12289" width="14.375" style="126" customWidth="1"/>
    <col min="12290" max="12290" width="57" style="126" bestFit="1" customWidth="1"/>
    <col min="12291" max="12291" width="32.5" style="126" customWidth="1"/>
    <col min="12292" max="12544" width="9" style="126"/>
    <col min="12545" max="12545" width="14.375" style="126" customWidth="1"/>
    <col min="12546" max="12546" width="57" style="126" bestFit="1" customWidth="1"/>
    <col min="12547" max="12547" width="32.5" style="126" customWidth="1"/>
    <col min="12548" max="12800" width="9" style="126"/>
    <col min="12801" max="12801" width="14.375" style="126" customWidth="1"/>
    <col min="12802" max="12802" width="57" style="126" bestFit="1" customWidth="1"/>
    <col min="12803" max="12803" width="32.5" style="126" customWidth="1"/>
    <col min="12804" max="13056" width="9" style="126"/>
    <col min="13057" max="13057" width="14.375" style="126" customWidth="1"/>
    <col min="13058" max="13058" width="57" style="126" bestFit="1" customWidth="1"/>
    <col min="13059" max="13059" width="32.5" style="126" customWidth="1"/>
    <col min="13060" max="13312" width="9" style="126"/>
    <col min="13313" max="13313" width="14.375" style="126" customWidth="1"/>
    <col min="13314" max="13314" width="57" style="126" bestFit="1" customWidth="1"/>
    <col min="13315" max="13315" width="32.5" style="126" customWidth="1"/>
    <col min="13316" max="13568" width="9" style="126"/>
    <col min="13569" max="13569" width="14.375" style="126" customWidth="1"/>
    <col min="13570" max="13570" width="57" style="126" bestFit="1" customWidth="1"/>
    <col min="13571" max="13571" width="32.5" style="126" customWidth="1"/>
    <col min="13572" max="13824" width="9" style="126"/>
    <col min="13825" max="13825" width="14.375" style="126" customWidth="1"/>
    <col min="13826" max="13826" width="57" style="126" bestFit="1" customWidth="1"/>
    <col min="13827" max="13827" width="32.5" style="126" customWidth="1"/>
    <col min="13828" max="14080" width="9" style="126"/>
    <col min="14081" max="14081" width="14.375" style="126" customWidth="1"/>
    <col min="14082" max="14082" width="57" style="126" bestFit="1" customWidth="1"/>
    <col min="14083" max="14083" width="32.5" style="126" customWidth="1"/>
    <col min="14084" max="14336" width="9" style="126"/>
    <col min="14337" max="14337" width="14.375" style="126" customWidth="1"/>
    <col min="14338" max="14338" width="57" style="126" bestFit="1" customWidth="1"/>
    <col min="14339" max="14339" width="32.5" style="126" customWidth="1"/>
    <col min="14340" max="14592" width="9" style="126"/>
    <col min="14593" max="14593" width="14.375" style="126" customWidth="1"/>
    <col min="14594" max="14594" width="57" style="126" bestFit="1" customWidth="1"/>
    <col min="14595" max="14595" width="32.5" style="126" customWidth="1"/>
    <col min="14596" max="14848" width="9" style="126"/>
    <col min="14849" max="14849" width="14.375" style="126" customWidth="1"/>
    <col min="14850" max="14850" width="57" style="126" bestFit="1" customWidth="1"/>
    <col min="14851" max="14851" width="32.5" style="126" customWidth="1"/>
    <col min="14852" max="15104" width="9" style="126"/>
    <col min="15105" max="15105" width="14.375" style="126" customWidth="1"/>
    <col min="15106" max="15106" width="57" style="126" bestFit="1" customWidth="1"/>
    <col min="15107" max="15107" width="32.5" style="126" customWidth="1"/>
    <col min="15108" max="15360" width="9" style="126"/>
    <col min="15361" max="15361" width="14.375" style="126" customWidth="1"/>
    <col min="15362" max="15362" width="57" style="126" bestFit="1" customWidth="1"/>
    <col min="15363" max="15363" width="32.5" style="126" customWidth="1"/>
    <col min="15364" max="15616" width="9" style="126"/>
    <col min="15617" max="15617" width="14.375" style="126" customWidth="1"/>
    <col min="15618" max="15618" width="57" style="126" bestFit="1" customWidth="1"/>
    <col min="15619" max="15619" width="32.5" style="126" customWidth="1"/>
    <col min="15620" max="15872" width="9" style="126"/>
    <col min="15873" max="15873" width="14.375" style="126" customWidth="1"/>
    <col min="15874" max="15874" width="57" style="126" bestFit="1" customWidth="1"/>
    <col min="15875" max="15875" width="32.5" style="126" customWidth="1"/>
    <col min="15876" max="16128" width="9" style="126"/>
    <col min="16129" max="16129" width="14.375" style="126" customWidth="1"/>
    <col min="16130" max="16130" width="57" style="126" bestFit="1" customWidth="1"/>
    <col min="16131" max="16131" width="32.5" style="126" customWidth="1"/>
    <col min="16132" max="16384" width="9" style="126"/>
  </cols>
  <sheetData>
    <row r="1" spans="1:3" ht="30" customHeight="1" x14ac:dyDescent="0.4">
      <c r="A1" s="138" t="s">
        <v>872</v>
      </c>
      <c r="B1" s="139"/>
      <c r="C1" s="139"/>
    </row>
    <row r="2" spans="1:3" ht="26.25" customHeight="1" x14ac:dyDescent="0.2">
      <c r="A2" s="140" t="s">
        <v>725</v>
      </c>
      <c r="B2" s="140"/>
      <c r="C2" s="140"/>
    </row>
    <row r="3" spans="1:3" ht="23.25" customHeight="1" x14ac:dyDescent="0.2">
      <c r="A3" s="140"/>
      <c r="B3" s="140"/>
      <c r="C3" s="140"/>
    </row>
    <row r="4" spans="1:3" ht="20.25" x14ac:dyDescent="0.3">
      <c r="A4" s="127" t="s">
        <v>726</v>
      </c>
      <c r="B4" s="141" t="s">
        <v>727</v>
      </c>
      <c r="C4" s="142"/>
    </row>
    <row r="5" spans="1:3" ht="23.25" x14ac:dyDescent="0.35">
      <c r="A5" s="143" t="s">
        <v>728</v>
      </c>
      <c r="B5" s="144"/>
      <c r="C5" s="145"/>
    </row>
    <row r="6" spans="1:3" ht="24.75" x14ac:dyDescent="0.6">
      <c r="A6" s="128" t="s">
        <v>729</v>
      </c>
      <c r="B6" s="137" t="s">
        <v>207</v>
      </c>
      <c r="C6" s="137"/>
    </row>
    <row r="7" spans="1:3" ht="24.75" x14ac:dyDescent="0.6">
      <c r="A7" s="129" t="s">
        <v>730</v>
      </c>
      <c r="B7" s="137" t="s">
        <v>810</v>
      </c>
      <c r="C7" s="137"/>
    </row>
    <row r="8" spans="1:3" ht="24.75" x14ac:dyDescent="0.6">
      <c r="A8" s="129" t="s">
        <v>731</v>
      </c>
      <c r="B8" s="137" t="s">
        <v>811</v>
      </c>
      <c r="C8" s="137"/>
    </row>
    <row r="9" spans="1:3" ht="24.75" x14ac:dyDescent="0.6">
      <c r="A9" s="129" t="s">
        <v>732</v>
      </c>
      <c r="B9" s="137" t="s">
        <v>812</v>
      </c>
      <c r="C9" s="137"/>
    </row>
    <row r="10" spans="1:3" ht="24.75" x14ac:dyDescent="0.6">
      <c r="A10" s="129" t="s">
        <v>733</v>
      </c>
      <c r="B10" s="137" t="s">
        <v>158</v>
      </c>
      <c r="C10" s="137"/>
    </row>
    <row r="11" spans="1:3" ht="24.75" x14ac:dyDescent="0.6">
      <c r="A11" s="129" t="s">
        <v>734</v>
      </c>
      <c r="B11" s="137" t="s">
        <v>813</v>
      </c>
      <c r="C11" s="137"/>
    </row>
    <row r="12" spans="1:3" ht="24.75" x14ac:dyDescent="0.6">
      <c r="A12" s="129" t="s">
        <v>735</v>
      </c>
      <c r="B12" s="137" t="s">
        <v>84</v>
      </c>
      <c r="C12" s="137"/>
    </row>
    <row r="13" spans="1:3" ht="24.75" x14ac:dyDescent="0.6">
      <c r="A13" s="129" t="s">
        <v>736</v>
      </c>
      <c r="B13" s="137" t="s">
        <v>67</v>
      </c>
      <c r="C13" s="137"/>
    </row>
    <row r="14" spans="1:3" ht="24.75" x14ac:dyDescent="0.6">
      <c r="A14" s="129" t="s">
        <v>737</v>
      </c>
      <c r="B14" s="137" t="s">
        <v>58</v>
      </c>
      <c r="C14" s="137"/>
    </row>
    <row r="15" spans="1:3" ht="24.75" x14ac:dyDescent="0.6">
      <c r="A15" s="129" t="s">
        <v>738</v>
      </c>
      <c r="B15" s="137" t="s">
        <v>45</v>
      </c>
      <c r="C15" s="137"/>
    </row>
    <row r="16" spans="1:3" ht="24.75" x14ac:dyDescent="0.6">
      <c r="A16" s="129" t="s">
        <v>739</v>
      </c>
      <c r="B16" s="137" t="s">
        <v>0</v>
      </c>
      <c r="C16" s="137"/>
    </row>
    <row r="17" spans="1:3" ht="23.25" x14ac:dyDescent="0.35">
      <c r="A17" s="147" t="s">
        <v>740</v>
      </c>
      <c r="B17" s="147"/>
      <c r="C17" s="147"/>
    </row>
    <row r="18" spans="1:3" ht="24.75" x14ac:dyDescent="0.6">
      <c r="A18" s="129" t="s">
        <v>741</v>
      </c>
      <c r="B18" s="146" t="s">
        <v>814</v>
      </c>
      <c r="C18" s="146"/>
    </row>
    <row r="19" spans="1:3" ht="24.75" x14ac:dyDescent="0.6">
      <c r="A19" s="129" t="s">
        <v>742</v>
      </c>
      <c r="B19" s="146" t="s">
        <v>815</v>
      </c>
      <c r="C19" s="146"/>
    </row>
    <row r="20" spans="1:3" ht="24.75" x14ac:dyDescent="0.6">
      <c r="A20" s="129" t="s">
        <v>743</v>
      </c>
      <c r="B20" s="146" t="s">
        <v>816</v>
      </c>
      <c r="C20" s="146"/>
    </row>
    <row r="21" spans="1:3" ht="24.75" x14ac:dyDescent="0.6">
      <c r="A21" s="129" t="s">
        <v>744</v>
      </c>
      <c r="B21" s="146" t="s">
        <v>817</v>
      </c>
      <c r="C21" s="146"/>
    </row>
    <row r="22" spans="1:3" ht="24.75" x14ac:dyDescent="0.6">
      <c r="A22" s="129" t="s">
        <v>745</v>
      </c>
      <c r="B22" s="146" t="s">
        <v>818</v>
      </c>
      <c r="C22" s="146"/>
    </row>
    <row r="23" spans="1:3" ht="24.75" x14ac:dyDescent="0.6">
      <c r="A23" s="129" t="s">
        <v>746</v>
      </c>
      <c r="B23" s="146" t="s">
        <v>819</v>
      </c>
      <c r="C23" s="146"/>
    </row>
    <row r="24" spans="1:3" ht="24.75" x14ac:dyDescent="0.6">
      <c r="A24" s="129" t="s">
        <v>747</v>
      </c>
      <c r="B24" s="146" t="s">
        <v>820</v>
      </c>
      <c r="C24" s="146"/>
    </row>
    <row r="25" spans="1:3" ht="24.75" x14ac:dyDescent="0.6">
      <c r="A25" s="129" t="s">
        <v>748</v>
      </c>
      <c r="B25" s="146" t="s">
        <v>821</v>
      </c>
      <c r="C25" s="146"/>
    </row>
    <row r="26" spans="1:3" ht="24.75" x14ac:dyDescent="0.6">
      <c r="A26" s="129" t="s">
        <v>749</v>
      </c>
      <c r="B26" s="146" t="s">
        <v>822</v>
      </c>
      <c r="C26" s="146"/>
    </row>
    <row r="27" spans="1:3" ht="23.25" x14ac:dyDescent="0.35">
      <c r="A27" s="147" t="s">
        <v>750</v>
      </c>
      <c r="B27" s="147"/>
      <c r="C27" s="147"/>
    </row>
    <row r="28" spans="1:3" ht="24.75" x14ac:dyDescent="0.6">
      <c r="A28" s="129" t="s">
        <v>751</v>
      </c>
      <c r="B28" s="146" t="s">
        <v>823</v>
      </c>
      <c r="C28" s="146"/>
    </row>
    <row r="29" spans="1:3" ht="24.75" x14ac:dyDescent="0.6">
      <c r="A29" s="129" t="s">
        <v>752</v>
      </c>
      <c r="B29" s="146" t="s">
        <v>824</v>
      </c>
      <c r="C29" s="146"/>
    </row>
    <row r="30" spans="1:3" ht="24.75" x14ac:dyDescent="0.6">
      <c r="A30" s="129" t="s">
        <v>753</v>
      </c>
      <c r="B30" s="146" t="s">
        <v>825</v>
      </c>
      <c r="C30" s="146"/>
    </row>
    <row r="31" spans="1:3" ht="24.75" x14ac:dyDescent="0.6">
      <c r="A31" s="129" t="s">
        <v>754</v>
      </c>
      <c r="B31" s="146" t="s">
        <v>826</v>
      </c>
      <c r="C31" s="146"/>
    </row>
    <row r="32" spans="1:3" ht="24.75" x14ac:dyDescent="0.6">
      <c r="A32" s="129" t="s">
        <v>755</v>
      </c>
      <c r="B32" s="146" t="s">
        <v>827</v>
      </c>
      <c r="C32" s="146"/>
    </row>
    <row r="33" spans="1:8" ht="24.75" x14ac:dyDescent="0.6">
      <c r="A33" s="129" t="s">
        <v>756</v>
      </c>
      <c r="B33" s="146" t="s">
        <v>828</v>
      </c>
      <c r="C33" s="146"/>
    </row>
    <row r="34" spans="1:8" ht="24.75" x14ac:dyDescent="0.6">
      <c r="A34" s="129" t="s">
        <v>757</v>
      </c>
      <c r="B34" s="146" t="s">
        <v>829</v>
      </c>
      <c r="C34" s="146"/>
    </row>
    <row r="35" spans="1:8" ht="24.75" x14ac:dyDescent="0.6">
      <c r="A35" s="129" t="s">
        <v>758</v>
      </c>
      <c r="B35" s="146" t="s">
        <v>830</v>
      </c>
      <c r="C35" s="146"/>
    </row>
    <row r="36" spans="1:8" ht="24.75" x14ac:dyDescent="0.6">
      <c r="A36" s="129" t="s">
        <v>759</v>
      </c>
      <c r="B36" s="146" t="s">
        <v>831</v>
      </c>
      <c r="C36" s="146"/>
    </row>
    <row r="37" spans="1:8" ht="23.25" x14ac:dyDescent="0.35">
      <c r="A37" s="147" t="s">
        <v>760</v>
      </c>
      <c r="B37" s="147"/>
      <c r="C37" s="147"/>
    </row>
    <row r="38" spans="1:8" ht="24.75" x14ac:dyDescent="0.6">
      <c r="A38" s="129" t="s">
        <v>761</v>
      </c>
      <c r="B38" s="146" t="s">
        <v>832</v>
      </c>
      <c r="C38" s="146"/>
    </row>
    <row r="39" spans="1:8" ht="24.75" x14ac:dyDescent="0.6">
      <c r="A39" s="129" t="s">
        <v>762</v>
      </c>
      <c r="B39" s="146" t="s">
        <v>833</v>
      </c>
      <c r="C39" s="146"/>
    </row>
    <row r="40" spans="1:8" ht="24.75" x14ac:dyDescent="0.6">
      <c r="A40" s="129" t="s">
        <v>763</v>
      </c>
      <c r="B40" s="146" t="s">
        <v>584</v>
      </c>
      <c r="C40" s="146"/>
    </row>
    <row r="41" spans="1:8" ht="24.75" x14ac:dyDescent="0.6">
      <c r="A41" s="129" t="s">
        <v>764</v>
      </c>
      <c r="B41" s="146" t="s">
        <v>586</v>
      </c>
      <c r="C41" s="146"/>
    </row>
    <row r="42" spans="1:8" ht="24.75" x14ac:dyDescent="0.6">
      <c r="A42" s="129" t="s">
        <v>765</v>
      </c>
      <c r="B42" s="146" t="s">
        <v>588</v>
      </c>
      <c r="C42" s="146"/>
    </row>
    <row r="43" spans="1:8" ht="24.75" x14ac:dyDescent="0.6">
      <c r="A43" s="129" t="s">
        <v>766</v>
      </c>
      <c r="B43" s="146" t="s">
        <v>590</v>
      </c>
      <c r="C43" s="146"/>
    </row>
    <row r="44" spans="1:8" ht="24.75" x14ac:dyDescent="0.6">
      <c r="A44" s="129" t="s">
        <v>767</v>
      </c>
      <c r="B44" s="146" t="s">
        <v>834</v>
      </c>
      <c r="C44" s="146"/>
    </row>
    <row r="45" spans="1:8" ht="24.75" x14ac:dyDescent="0.6">
      <c r="A45" s="129" t="s">
        <v>768</v>
      </c>
      <c r="B45" s="146" t="s">
        <v>835</v>
      </c>
      <c r="C45" s="146"/>
    </row>
    <row r="46" spans="1:8" ht="24.75" x14ac:dyDescent="0.6">
      <c r="A46" s="129" t="s">
        <v>769</v>
      </c>
      <c r="B46" s="146" t="s">
        <v>836</v>
      </c>
      <c r="C46" s="146"/>
    </row>
    <row r="47" spans="1:8" ht="23.25" x14ac:dyDescent="0.35">
      <c r="A47" s="147" t="s">
        <v>770</v>
      </c>
      <c r="B47" s="147"/>
      <c r="C47" s="147"/>
      <c r="D47" s="149"/>
      <c r="E47" s="149"/>
      <c r="F47" s="148"/>
      <c r="G47" s="148"/>
      <c r="H47" s="148"/>
    </row>
    <row r="48" spans="1:8" ht="24.75" x14ac:dyDescent="0.6">
      <c r="A48" s="130" t="s">
        <v>771</v>
      </c>
      <c r="B48" s="151" t="s">
        <v>837</v>
      </c>
      <c r="C48" s="151"/>
      <c r="D48" s="131"/>
      <c r="E48" s="131"/>
      <c r="G48" s="131"/>
      <c r="H48" s="131"/>
    </row>
    <row r="49" spans="1:8" ht="24.75" x14ac:dyDescent="0.6">
      <c r="A49" s="130" t="s">
        <v>772</v>
      </c>
      <c r="B49" s="151" t="s">
        <v>838</v>
      </c>
      <c r="C49" s="151"/>
      <c r="D49" s="131"/>
      <c r="E49" s="131"/>
      <c r="G49" s="131"/>
      <c r="H49" s="131"/>
    </row>
    <row r="50" spans="1:8" ht="24.75" x14ac:dyDescent="0.6">
      <c r="A50" s="130" t="s">
        <v>773</v>
      </c>
      <c r="B50" s="151" t="s">
        <v>839</v>
      </c>
      <c r="C50" s="151"/>
      <c r="D50" s="131"/>
      <c r="E50" s="131"/>
      <c r="G50" s="131"/>
      <c r="H50" s="131"/>
    </row>
    <row r="51" spans="1:8" ht="24.75" x14ac:dyDescent="0.6">
      <c r="A51" s="130" t="s">
        <v>774</v>
      </c>
      <c r="B51" s="151" t="s">
        <v>840</v>
      </c>
      <c r="C51" s="151"/>
      <c r="D51" s="131"/>
      <c r="E51" s="131"/>
      <c r="G51" s="131"/>
      <c r="H51" s="131"/>
    </row>
    <row r="52" spans="1:8" ht="23.25" customHeight="1" x14ac:dyDescent="0.35">
      <c r="A52" s="147" t="s">
        <v>775</v>
      </c>
      <c r="B52" s="147"/>
      <c r="C52" s="147"/>
      <c r="D52" s="149"/>
      <c r="E52" s="149"/>
      <c r="F52" s="148"/>
      <c r="G52" s="148"/>
      <c r="H52" s="148"/>
    </row>
    <row r="53" spans="1:8" ht="24.75" x14ac:dyDescent="0.6">
      <c r="A53" s="130" t="s">
        <v>776</v>
      </c>
      <c r="B53" s="151" t="s">
        <v>841</v>
      </c>
      <c r="C53" s="151"/>
      <c r="D53" s="131"/>
      <c r="E53" s="131"/>
      <c r="G53" s="131"/>
      <c r="H53" s="131"/>
    </row>
    <row r="54" spans="1:8" ht="24.75" x14ac:dyDescent="0.6">
      <c r="A54" s="130" t="s">
        <v>777</v>
      </c>
      <c r="B54" s="151" t="s">
        <v>842</v>
      </c>
      <c r="C54" s="151"/>
      <c r="D54" s="131"/>
      <c r="E54" s="131"/>
      <c r="G54" s="131"/>
      <c r="H54" s="131"/>
    </row>
    <row r="55" spans="1:8" ht="24.75" x14ac:dyDescent="0.6">
      <c r="A55" s="130" t="s">
        <v>778</v>
      </c>
      <c r="B55" s="151" t="s">
        <v>843</v>
      </c>
      <c r="C55" s="151"/>
      <c r="D55" s="131"/>
      <c r="E55" s="131"/>
      <c r="G55" s="131"/>
      <c r="H55" s="131"/>
    </row>
    <row r="56" spans="1:8" ht="24.75" x14ac:dyDescent="0.6">
      <c r="A56" s="130" t="s">
        <v>779</v>
      </c>
      <c r="B56" s="151" t="s">
        <v>844</v>
      </c>
      <c r="C56" s="151"/>
      <c r="D56" s="131"/>
      <c r="E56" s="131"/>
      <c r="G56" s="131"/>
      <c r="H56" s="131"/>
    </row>
    <row r="57" spans="1:8" ht="23.25" x14ac:dyDescent="0.35">
      <c r="A57" s="150" t="s">
        <v>780</v>
      </c>
      <c r="B57" s="150"/>
      <c r="C57" s="150"/>
      <c r="D57" s="149"/>
      <c r="E57" s="149"/>
      <c r="F57" s="148"/>
      <c r="G57" s="148"/>
    </row>
    <row r="58" spans="1:8" ht="24.75" x14ac:dyDescent="0.6">
      <c r="A58" s="130" t="s">
        <v>781</v>
      </c>
      <c r="B58" s="151" t="s">
        <v>845</v>
      </c>
      <c r="C58" s="151"/>
      <c r="D58" s="131"/>
      <c r="E58" s="131"/>
      <c r="G58" s="131"/>
    </row>
    <row r="59" spans="1:8" ht="24.75" x14ac:dyDescent="0.6">
      <c r="A59" s="130" t="s">
        <v>782</v>
      </c>
      <c r="B59" s="153" t="s">
        <v>846</v>
      </c>
      <c r="C59" s="153"/>
      <c r="D59" s="132"/>
      <c r="E59" s="132"/>
      <c r="G59" s="131"/>
    </row>
    <row r="60" spans="1:8" ht="24.75" x14ac:dyDescent="0.6">
      <c r="A60" s="130" t="s">
        <v>783</v>
      </c>
      <c r="B60" s="153" t="s">
        <v>847</v>
      </c>
      <c r="C60" s="153"/>
      <c r="D60" s="132"/>
      <c r="E60" s="132"/>
      <c r="G60" s="131"/>
    </row>
    <row r="61" spans="1:8" ht="24.75" x14ac:dyDescent="0.6">
      <c r="A61" s="130" t="s">
        <v>784</v>
      </c>
      <c r="B61" s="151" t="s">
        <v>848</v>
      </c>
      <c r="C61" s="151"/>
      <c r="D61" s="131"/>
      <c r="E61" s="131"/>
      <c r="G61" s="131"/>
    </row>
    <row r="62" spans="1:8" ht="24.75" x14ac:dyDescent="0.6">
      <c r="A62" s="130" t="s">
        <v>785</v>
      </c>
      <c r="B62" s="154" t="s">
        <v>849</v>
      </c>
      <c r="C62" s="154"/>
      <c r="D62" s="133"/>
      <c r="E62" s="133"/>
      <c r="G62" s="131"/>
    </row>
    <row r="63" spans="1:8" ht="24.75" x14ac:dyDescent="0.6">
      <c r="A63" s="130" t="s">
        <v>786</v>
      </c>
      <c r="B63" s="153" t="s">
        <v>850</v>
      </c>
      <c r="C63" s="153"/>
      <c r="D63" s="132"/>
      <c r="E63" s="132"/>
      <c r="G63" s="131"/>
    </row>
    <row r="64" spans="1:8" ht="24.75" x14ac:dyDescent="0.6">
      <c r="A64" s="130" t="s">
        <v>787</v>
      </c>
      <c r="B64" s="151" t="s">
        <v>851</v>
      </c>
      <c r="C64" s="151"/>
      <c r="D64" s="131"/>
      <c r="E64" s="131"/>
      <c r="G64" s="131"/>
    </row>
    <row r="65" spans="1:7" ht="24.75" x14ac:dyDescent="0.6">
      <c r="A65" s="130" t="s">
        <v>788</v>
      </c>
      <c r="B65" s="153" t="s">
        <v>852</v>
      </c>
      <c r="C65" s="153"/>
      <c r="D65" s="132"/>
      <c r="E65" s="132"/>
      <c r="G65" s="131"/>
    </row>
    <row r="66" spans="1:7" ht="24.75" x14ac:dyDescent="0.6">
      <c r="A66" s="130" t="s">
        <v>789</v>
      </c>
      <c r="B66" s="153" t="s">
        <v>853</v>
      </c>
      <c r="C66" s="153"/>
      <c r="D66" s="132"/>
      <c r="E66" s="132"/>
      <c r="G66" s="131"/>
    </row>
    <row r="67" spans="1:7" ht="23.25" x14ac:dyDescent="0.2">
      <c r="A67" s="150" t="s">
        <v>790</v>
      </c>
      <c r="B67" s="150"/>
      <c r="C67" s="150"/>
    </row>
    <row r="68" spans="1:7" ht="24.75" x14ac:dyDescent="0.6">
      <c r="A68" s="134" t="s">
        <v>791</v>
      </c>
      <c r="B68" s="146" t="s">
        <v>854</v>
      </c>
      <c r="C68" s="146"/>
    </row>
    <row r="69" spans="1:7" ht="24.75" x14ac:dyDescent="0.6">
      <c r="A69" s="134" t="s">
        <v>792</v>
      </c>
      <c r="B69" s="152" t="s">
        <v>855</v>
      </c>
      <c r="C69" s="152"/>
    </row>
    <row r="70" spans="1:7" ht="24.75" x14ac:dyDescent="0.6">
      <c r="A70" s="134" t="s">
        <v>793</v>
      </c>
      <c r="B70" s="152" t="s">
        <v>856</v>
      </c>
      <c r="C70" s="152"/>
    </row>
    <row r="71" spans="1:7" ht="24.75" x14ac:dyDescent="0.6">
      <c r="A71" s="134" t="s">
        <v>794</v>
      </c>
      <c r="B71" s="146" t="s">
        <v>857</v>
      </c>
      <c r="C71" s="146"/>
    </row>
    <row r="72" spans="1:7" ht="24.75" x14ac:dyDescent="0.6">
      <c r="A72" s="134" t="s">
        <v>795</v>
      </c>
      <c r="B72" s="152" t="s">
        <v>858</v>
      </c>
      <c r="C72" s="152"/>
    </row>
    <row r="73" spans="1:7" ht="24.75" x14ac:dyDescent="0.6">
      <c r="A73" s="134" t="s">
        <v>796</v>
      </c>
      <c r="B73" s="152" t="s">
        <v>859</v>
      </c>
      <c r="C73" s="152"/>
    </row>
    <row r="74" spans="1:7" ht="24.75" x14ac:dyDescent="0.6">
      <c r="A74" s="134" t="s">
        <v>797</v>
      </c>
      <c r="B74" s="146" t="s">
        <v>860</v>
      </c>
      <c r="C74" s="146"/>
    </row>
    <row r="75" spans="1:7" ht="24.75" x14ac:dyDescent="0.6">
      <c r="A75" s="134" t="s">
        <v>798</v>
      </c>
      <c r="B75" s="152" t="s">
        <v>861</v>
      </c>
      <c r="C75" s="152"/>
    </row>
    <row r="76" spans="1:7" ht="24.75" x14ac:dyDescent="0.6">
      <c r="A76" s="134" t="s">
        <v>799</v>
      </c>
      <c r="B76" s="152" t="s">
        <v>862</v>
      </c>
      <c r="C76" s="152"/>
    </row>
    <row r="77" spans="1:7" ht="23.25" x14ac:dyDescent="0.2">
      <c r="A77" s="150" t="s">
        <v>800</v>
      </c>
      <c r="B77" s="150"/>
      <c r="C77" s="150"/>
    </row>
    <row r="78" spans="1:7" ht="24.75" x14ac:dyDescent="0.6">
      <c r="A78" s="134" t="s">
        <v>801</v>
      </c>
      <c r="B78" s="146" t="s">
        <v>863</v>
      </c>
      <c r="C78" s="146"/>
    </row>
    <row r="79" spans="1:7" ht="24.75" x14ac:dyDescent="0.6">
      <c r="A79" s="134" t="s">
        <v>802</v>
      </c>
      <c r="B79" s="152" t="s">
        <v>864</v>
      </c>
      <c r="C79" s="152"/>
    </row>
    <row r="80" spans="1:7" ht="24.75" x14ac:dyDescent="0.6">
      <c r="A80" s="134" t="s">
        <v>803</v>
      </c>
      <c r="B80" s="152" t="s">
        <v>865</v>
      </c>
      <c r="C80" s="152"/>
    </row>
    <row r="81" spans="1:3" ht="24.75" x14ac:dyDescent="0.6">
      <c r="A81" s="134" t="s">
        <v>804</v>
      </c>
      <c r="B81" s="146" t="s">
        <v>866</v>
      </c>
      <c r="C81" s="146"/>
    </row>
    <row r="82" spans="1:3" ht="24.75" x14ac:dyDescent="0.6">
      <c r="A82" s="134" t="s">
        <v>805</v>
      </c>
      <c r="B82" s="152" t="s">
        <v>867</v>
      </c>
      <c r="C82" s="152"/>
    </row>
    <row r="83" spans="1:3" ht="24.75" x14ac:dyDescent="0.6">
      <c r="A83" s="134" t="s">
        <v>806</v>
      </c>
      <c r="B83" s="152" t="s">
        <v>868</v>
      </c>
      <c r="C83" s="152"/>
    </row>
    <row r="84" spans="1:3" ht="24.75" x14ac:dyDescent="0.6">
      <c r="A84" s="134" t="s">
        <v>807</v>
      </c>
      <c r="B84" s="146" t="s">
        <v>869</v>
      </c>
      <c r="C84" s="146"/>
    </row>
    <row r="85" spans="1:3" ht="24.75" x14ac:dyDescent="0.6">
      <c r="A85" s="134" t="s">
        <v>808</v>
      </c>
      <c r="B85" s="152" t="s">
        <v>870</v>
      </c>
      <c r="C85" s="152"/>
    </row>
    <row r="86" spans="1:3" ht="24.75" x14ac:dyDescent="0.6">
      <c r="A86" s="134" t="s">
        <v>809</v>
      </c>
      <c r="B86" s="152" t="s">
        <v>871</v>
      </c>
      <c r="C86" s="152"/>
    </row>
    <row r="87" spans="1:3" x14ac:dyDescent="0.2">
      <c r="A87" s="135"/>
      <c r="B87" s="135"/>
      <c r="C87" s="135"/>
    </row>
    <row r="88" spans="1:3" x14ac:dyDescent="0.2">
      <c r="A88" s="136"/>
    </row>
  </sheetData>
  <mergeCells count="91">
    <mergeCell ref="B82:C82"/>
    <mergeCell ref="B83:C83"/>
    <mergeCell ref="B84:C84"/>
    <mergeCell ref="B85:C85"/>
    <mergeCell ref="B86:C86"/>
    <mergeCell ref="B81:C81"/>
    <mergeCell ref="B70:C70"/>
    <mergeCell ref="B71:C71"/>
    <mergeCell ref="B72:C72"/>
    <mergeCell ref="B73:C73"/>
    <mergeCell ref="B74:C74"/>
    <mergeCell ref="B75:C75"/>
    <mergeCell ref="B76:C76"/>
    <mergeCell ref="A77:C77"/>
    <mergeCell ref="B78:C78"/>
    <mergeCell ref="B79:C79"/>
    <mergeCell ref="B80:C80"/>
    <mergeCell ref="B69:C69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A67:C67"/>
    <mergeCell ref="B68:C68"/>
    <mergeCell ref="A57:C57"/>
    <mergeCell ref="D57:E57"/>
    <mergeCell ref="F57:G57"/>
    <mergeCell ref="B48:C48"/>
    <mergeCell ref="B49:C49"/>
    <mergeCell ref="B50:C50"/>
    <mergeCell ref="B51:C51"/>
    <mergeCell ref="A52:C52"/>
    <mergeCell ref="D52:E52"/>
    <mergeCell ref="F52:H52"/>
    <mergeCell ref="B53:C53"/>
    <mergeCell ref="B54:C54"/>
    <mergeCell ref="B55:C55"/>
    <mergeCell ref="B56:C56"/>
    <mergeCell ref="F47:H4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A47:C47"/>
    <mergeCell ref="D47:E47"/>
    <mergeCell ref="A37:C37"/>
    <mergeCell ref="B26:C26"/>
    <mergeCell ref="A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25:C25"/>
    <mergeCell ref="B14:C14"/>
    <mergeCell ref="B15:C15"/>
    <mergeCell ref="B16:C16"/>
    <mergeCell ref="A17:C17"/>
    <mergeCell ref="B18:C18"/>
    <mergeCell ref="B19:C19"/>
    <mergeCell ref="B20:C20"/>
    <mergeCell ref="B21:C21"/>
    <mergeCell ref="B22:C22"/>
    <mergeCell ref="B23:C23"/>
    <mergeCell ref="B24:C24"/>
    <mergeCell ref="B13:C13"/>
    <mergeCell ref="A1:C1"/>
    <mergeCell ref="A2:C3"/>
    <mergeCell ref="B4:C4"/>
    <mergeCell ref="A5:C5"/>
    <mergeCell ref="B6:C6"/>
    <mergeCell ref="B7:C7"/>
    <mergeCell ref="B8:C8"/>
    <mergeCell ref="B9:C9"/>
    <mergeCell ref="B10:C10"/>
    <mergeCell ref="B11:C11"/>
    <mergeCell ref="B12:C12"/>
  </mergeCells>
  <hyperlinks>
    <hyperlink ref="A6" location="'1-1'!A1" display="(1-1)"/>
    <hyperlink ref="A7" location="'1-2'!A1" display="(1-2)"/>
    <hyperlink ref="A8" location="'1-3'!A1" display="(1-3)"/>
    <hyperlink ref="A9" location="'1-4'!A1" display="(1-4)"/>
    <hyperlink ref="A10" location="'1-5'!A1" display="(1-5)"/>
    <hyperlink ref="A11" location="'1-6'!A1" display="(1-6)"/>
    <hyperlink ref="A12" location="'1-7'!A1" display="(1-7)"/>
    <hyperlink ref="A13" location="'1-8'!A1" display="(1-8)"/>
    <hyperlink ref="A14" location="'1-9'!A1" display="(1-9)"/>
    <hyperlink ref="A15" location="'1-10'!A1" display="(1-10)"/>
    <hyperlink ref="A16" location="'1-11'!A1" display="(1-11)"/>
    <hyperlink ref="A18" location="'2-1'!A1" display="(2-1)"/>
    <hyperlink ref="A19" location="'2-2'!A1" display="(2-2)"/>
    <hyperlink ref="A20" location="'2-3'!A1" display="(2-3)"/>
    <hyperlink ref="A21" location="'2-4'!A1" display="(2-4)"/>
    <hyperlink ref="A22" location="'2-5'!A1" display="(2-5)"/>
    <hyperlink ref="A23" location="'2-6'!A1" display="(2-6)"/>
    <hyperlink ref="A24" location="'2-7'!A1" display="(2-7)"/>
    <hyperlink ref="A25" location="'2-8'!A1" display="(2-8)"/>
    <hyperlink ref="A26" location="'2-9'!A1" display="(2-9)"/>
    <hyperlink ref="A28" location="'3-1'!A1" display="(3-1)"/>
    <hyperlink ref="A29" location="'3-2'!A1" display="(3-2)"/>
    <hyperlink ref="A30" location="'3-3'!A1" display="(3-3)"/>
    <hyperlink ref="A31" location="'3-4'!A1" display="(3-4)"/>
    <hyperlink ref="A32" location="'3-5'!A1" display="(3-5)"/>
    <hyperlink ref="A33" location="'3-6'!A1" display="(3-6)"/>
    <hyperlink ref="A34" location="'3-7'!A1" display="(3-7)"/>
    <hyperlink ref="A35" location="'3-8'!A1" display="(3-8)"/>
    <hyperlink ref="A36" location="'3-9'!A1" display="(3-9)"/>
    <hyperlink ref="A38" location="'4-1'!A1" display="(4-1)"/>
    <hyperlink ref="A39" location="'4-2'!A1" display="(4-2)"/>
    <hyperlink ref="A40" location="'4-3'!A1" display="(4-3)"/>
    <hyperlink ref="A41" location="'4-4'!A1" display="(4-4)"/>
    <hyperlink ref="A42" location="'4-5'!A1" display="(4-5)"/>
    <hyperlink ref="A43" location="'4-6'!A1" display="(4-6)"/>
    <hyperlink ref="A44" location="'4-7'!A1" display="(4-7)"/>
    <hyperlink ref="A45" location="'4-8'!A1" display="(4-8)"/>
    <hyperlink ref="A46" location="'4-9'!A1" display="(4-9)"/>
    <hyperlink ref="A48" location="'5-1'!A1" display="(5-1)"/>
    <hyperlink ref="A49" location="'5-2'!A1" display="(5-2)"/>
    <hyperlink ref="A50" location="'5-3'!A1" display="(5-3)"/>
    <hyperlink ref="A51" location="'5-4'!A1" display="(5-4)"/>
    <hyperlink ref="A53" location="'6-1'!A1" display="(6-1)"/>
    <hyperlink ref="A54" location="'6-2'!A1" display="(6-2)"/>
    <hyperlink ref="A55" location="'6-3'!A1" display="(6-3)"/>
    <hyperlink ref="A56" location="'6-4'!A1" display="(6-4)"/>
    <hyperlink ref="A58" location="'7-1'!A1" display="(7-1)"/>
    <hyperlink ref="A59" location="'7-2'!A1" display="(7-2)"/>
    <hyperlink ref="A60" location="'7-3'!A1" display="(7-3)"/>
    <hyperlink ref="A61" location="'7-4'!A1" display="(7-4)"/>
    <hyperlink ref="A62" location="'7-5'!A1" display="(7-5)"/>
    <hyperlink ref="A63" location="'7-6'!A1" display="(7-6)"/>
    <hyperlink ref="A64" location="'7-7'!A1" display="(7-7)"/>
    <hyperlink ref="A65" location="'7-8'!A1" display="(7-8)"/>
    <hyperlink ref="A66" location="'7-9'!A1" display="(7-9)"/>
    <hyperlink ref="A68" location="'8-1'!A1" display="(8-1)"/>
    <hyperlink ref="A69" location="'8-2'!A1" display="(8-2)"/>
    <hyperlink ref="A70" location="'8-3'!A1" display="(8-3)"/>
    <hyperlink ref="A71" location="'8-4'!A1" display="(8-4)"/>
    <hyperlink ref="A72" location="'8-5'!A1" display="(8-5)"/>
    <hyperlink ref="A73" location="'8-6'!A1" display="(8-6)"/>
    <hyperlink ref="A74" location="'8-7'!A1" display="(8-7)"/>
    <hyperlink ref="A75" location="'8-8'!A1" display="(8-8)"/>
    <hyperlink ref="A76" location="'8-9'!A1" display="(8-9)"/>
    <hyperlink ref="A78" location="'9-1'!A1" display="(9-1)"/>
    <hyperlink ref="A79" location="'9-2'!A1" display="(9-2)"/>
    <hyperlink ref="A80" location="'9-3'!A1" display="(9-3)"/>
    <hyperlink ref="A81" location="'9-4'!A1" display="(9-4)"/>
    <hyperlink ref="A82" location="'9-5'!A1" display="(9-5)"/>
    <hyperlink ref="A83" location="'9-6'!A1" display="(9-6)"/>
    <hyperlink ref="A84" location="'9-7'!A1" display="(9-7)"/>
    <hyperlink ref="A85" location="'9-8'!A1" display="(9-8)"/>
    <hyperlink ref="A86" location="'9-9'!A1" display="(9-9)"/>
  </hyperlinks>
  <pageMargins left="0.7" right="0.7" top="0.75" bottom="0.75" header="0.3" footer="0.3"/>
  <pageSetup paperSize="9" scale="75" orientation="portrait" r:id="rId1"/>
  <rowBreaks count="2" manualBreakCount="2">
    <brk id="36" max="16383" man="1"/>
    <brk id="66" max="2" man="1"/>
  </rowBreaks>
  <colBreaks count="1" manualBreakCount="1">
    <brk id="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6"/>
  <sheetViews>
    <sheetView showGridLines="0" workbookViewId="0">
      <selection sqref="A1:K1"/>
    </sheetView>
  </sheetViews>
  <sheetFormatPr defaultRowHeight="12.75" x14ac:dyDescent="0.2"/>
  <cols>
    <col min="1" max="9" width="9.125" style="2"/>
    <col min="10" max="10" width="5.75" style="2" customWidth="1"/>
    <col min="11" max="11" width="11" style="2" customWidth="1"/>
    <col min="12" max="265" width="9.125" style="2"/>
    <col min="266" max="266" width="5.75" style="2" customWidth="1"/>
    <col min="267" max="267" width="11" style="2" customWidth="1"/>
    <col min="268" max="521" width="9.125" style="2"/>
    <col min="522" max="522" width="5.75" style="2" customWidth="1"/>
    <col min="523" max="523" width="11" style="2" customWidth="1"/>
    <col min="524" max="777" width="9.125" style="2"/>
    <col min="778" max="778" width="5.75" style="2" customWidth="1"/>
    <col min="779" max="779" width="11" style="2" customWidth="1"/>
    <col min="780" max="1033" width="9.125" style="2"/>
    <col min="1034" max="1034" width="5.75" style="2" customWidth="1"/>
    <col min="1035" max="1035" width="11" style="2" customWidth="1"/>
    <col min="1036" max="1289" width="9.125" style="2"/>
    <col min="1290" max="1290" width="5.75" style="2" customWidth="1"/>
    <col min="1291" max="1291" width="11" style="2" customWidth="1"/>
    <col min="1292" max="1545" width="9.125" style="2"/>
    <col min="1546" max="1546" width="5.75" style="2" customWidth="1"/>
    <col min="1547" max="1547" width="11" style="2" customWidth="1"/>
    <col min="1548" max="1801" width="9.125" style="2"/>
    <col min="1802" max="1802" width="5.75" style="2" customWidth="1"/>
    <col min="1803" max="1803" width="11" style="2" customWidth="1"/>
    <col min="1804" max="2057" width="9.125" style="2"/>
    <col min="2058" max="2058" width="5.75" style="2" customWidth="1"/>
    <col min="2059" max="2059" width="11" style="2" customWidth="1"/>
    <col min="2060" max="2313" width="9.125" style="2"/>
    <col min="2314" max="2314" width="5.75" style="2" customWidth="1"/>
    <col min="2315" max="2315" width="11" style="2" customWidth="1"/>
    <col min="2316" max="2569" width="9.125" style="2"/>
    <col min="2570" max="2570" width="5.75" style="2" customWidth="1"/>
    <col min="2571" max="2571" width="11" style="2" customWidth="1"/>
    <col min="2572" max="2825" width="9.125" style="2"/>
    <col min="2826" max="2826" width="5.75" style="2" customWidth="1"/>
    <col min="2827" max="2827" width="11" style="2" customWidth="1"/>
    <col min="2828" max="3081" width="9.125" style="2"/>
    <col min="3082" max="3082" width="5.75" style="2" customWidth="1"/>
    <col min="3083" max="3083" width="11" style="2" customWidth="1"/>
    <col min="3084" max="3337" width="9.125" style="2"/>
    <col min="3338" max="3338" width="5.75" style="2" customWidth="1"/>
    <col min="3339" max="3339" width="11" style="2" customWidth="1"/>
    <col min="3340" max="3593" width="9.125" style="2"/>
    <col min="3594" max="3594" width="5.75" style="2" customWidth="1"/>
    <col min="3595" max="3595" width="11" style="2" customWidth="1"/>
    <col min="3596" max="3849" width="9.125" style="2"/>
    <col min="3850" max="3850" width="5.75" style="2" customWidth="1"/>
    <col min="3851" max="3851" width="11" style="2" customWidth="1"/>
    <col min="3852" max="4105" width="9.125" style="2"/>
    <col min="4106" max="4106" width="5.75" style="2" customWidth="1"/>
    <col min="4107" max="4107" width="11" style="2" customWidth="1"/>
    <col min="4108" max="4361" width="9.125" style="2"/>
    <col min="4362" max="4362" width="5.75" style="2" customWidth="1"/>
    <col min="4363" max="4363" width="11" style="2" customWidth="1"/>
    <col min="4364" max="4617" width="9.125" style="2"/>
    <col min="4618" max="4618" width="5.75" style="2" customWidth="1"/>
    <col min="4619" max="4619" width="11" style="2" customWidth="1"/>
    <col min="4620" max="4873" width="9.125" style="2"/>
    <col min="4874" max="4874" width="5.75" style="2" customWidth="1"/>
    <col min="4875" max="4875" width="11" style="2" customWidth="1"/>
    <col min="4876" max="5129" width="9.125" style="2"/>
    <col min="5130" max="5130" width="5.75" style="2" customWidth="1"/>
    <col min="5131" max="5131" width="11" style="2" customWidth="1"/>
    <col min="5132" max="5385" width="9.125" style="2"/>
    <col min="5386" max="5386" width="5.75" style="2" customWidth="1"/>
    <col min="5387" max="5387" width="11" style="2" customWidth="1"/>
    <col min="5388" max="5641" width="9.125" style="2"/>
    <col min="5642" max="5642" width="5.75" style="2" customWidth="1"/>
    <col min="5643" max="5643" width="11" style="2" customWidth="1"/>
    <col min="5644" max="5897" width="9.125" style="2"/>
    <col min="5898" max="5898" width="5.75" style="2" customWidth="1"/>
    <col min="5899" max="5899" width="11" style="2" customWidth="1"/>
    <col min="5900" max="6153" width="9.125" style="2"/>
    <col min="6154" max="6154" width="5.75" style="2" customWidth="1"/>
    <col min="6155" max="6155" width="11" style="2" customWidth="1"/>
    <col min="6156" max="6409" width="9.125" style="2"/>
    <col min="6410" max="6410" width="5.75" style="2" customWidth="1"/>
    <col min="6411" max="6411" width="11" style="2" customWidth="1"/>
    <col min="6412" max="6665" width="9.125" style="2"/>
    <col min="6666" max="6666" width="5.75" style="2" customWidth="1"/>
    <col min="6667" max="6667" width="11" style="2" customWidth="1"/>
    <col min="6668" max="6921" width="9.125" style="2"/>
    <col min="6922" max="6922" width="5.75" style="2" customWidth="1"/>
    <col min="6923" max="6923" width="11" style="2" customWidth="1"/>
    <col min="6924" max="7177" width="9.125" style="2"/>
    <col min="7178" max="7178" width="5.75" style="2" customWidth="1"/>
    <col min="7179" max="7179" width="11" style="2" customWidth="1"/>
    <col min="7180" max="7433" width="9.125" style="2"/>
    <col min="7434" max="7434" width="5.75" style="2" customWidth="1"/>
    <col min="7435" max="7435" width="11" style="2" customWidth="1"/>
    <col min="7436" max="7689" width="9.125" style="2"/>
    <col min="7690" max="7690" width="5.75" style="2" customWidth="1"/>
    <col min="7691" max="7691" width="11" style="2" customWidth="1"/>
    <col min="7692" max="7945" width="9.125" style="2"/>
    <col min="7946" max="7946" width="5.75" style="2" customWidth="1"/>
    <col min="7947" max="7947" width="11" style="2" customWidth="1"/>
    <col min="7948" max="8201" width="9.125" style="2"/>
    <col min="8202" max="8202" width="5.75" style="2" customWidth="1"/>
    <col min="8203" max="8203" width="11" style="2" customWidth="1"/>
    <col min="8204" max="8457" width="9.125" style="2"/>
    <col min="8458" max="8458" width="5.75" style="2" customWidth="1"/>
    <col min="8459" max="8459" width="11" style="2" customWidth="1"/>
    <col min="8460" max="8713" width="9.125" style="2"/>
    <col min="8714" max="8714" width="5.75" style="2" customWidth="1"/>
    <col min="8715" max="8715" width="11" style="2" customWidth="1"/>
    <col min="8716" max="8969" width="9.125" style="2"/>
    <col min="8970" max="8970" width="5.75" style="2" customWidth="1"/>
    <col min="8971" max="8971" width="11" style="2" customWidth="1"/>
    <col min="8972" max="9225" width="9.125" style="2"/>
    <col min="9226" max="9226" width="5.75" style="2" customWidth="1"/>
    <col min="9227" max="9227" width="11" style="2" customWidth="1"/>
    <col min="9228" max="9481" width="9.125" style="2"/>
    <col min="9482" max="9482" width="5.75" style="2" customWidth="1"/>
    <col min="9483" max="9483" width="11" style="2" customWidth="1"/>
    <col min="9484" max="9737" width="9.125" style="2"/>
    <col min="9738" max="9738" width="5.75" style="2" customWidth="1"/>
    <col min="9739" max="9739" width="11" style="2" customWidth="1"/>
    <col min="9740" max="9993" width="9.125" style="2"/>
    <col min="9994" max="9994" width="5.75" style="2" customWidth="1"/>
    <col min="9995" max="9995" width="11" style="2" customWidth="1"/>
    <col min="9996" max="10249" width="9.125" style="2"/>
    <col min="10250" max="10250" width="5.75" style="2" customWidth="1"/>
    <col min="10251" max="10251" width="11" style="2" customWidth="1"/>
    <col min="10252" max="10505" width="9.125" style="2"/>
    <col min="10506" max="10506" width="5.75" style="2" customWidth="1"/>
    <col min="10507" max="10507" width="11" style="2" customWidth="1"/>
    <col min="10508" max="10761" width="9.125" style="2"/>
    <col min="10762" max="10762" width="5.75" style="2" customWidth="1"/>
    <col min="10763" max="10763" width="11" style="2" customWidth="1"/>
    <col min="10764" max="11017" width="9.125" style="2"/>
    <col min="11018" max="11018" width="5.75" style="2" customWidth="1"/>
    <col min="11019" max="11019" width="11" style="2" customWidth="1"/>
    <col min="11020" max="11273" width="9.125" style="2"/>
    <col min="11274" max="11274" width="5.75" style="2" customWidth="1"/>
    <col min="11275" max="11275" width="11" style="2" customWidth="1"/>
    <col min="11276" max="11529" width="9.125" style="2"/>
    <col min="11530" max="11530" width="5.75" style="2" customWidth="1"/>
    <col min="11531" max="11531" width="11" style="2" customWidth="1"/>
    <col min="11532" max="11785" width="9.125" style="2"/>
    <col min="11786" max="11786" width="5.75" style="2" customWidth="1"/>
    <col min="11787" max="11787" width="11" style="2" customWidth="1"/>
    <col min="11788" max="12041" width="9.125" style="2"/>
    <col min="12042" max="12042" width="5.75" style="2" customWidth="1"/>
    <col min="12043" max="12043" width="11" style="2" customWidth="1"/>
    <col min="12044" max="12297" width="9.125" style="2"/>
    <col min="12298" max="12298" width="5.75" style="2" customWidth="1"/>
    <col min="12299" max="12299" width="11" style="2" customWidth="1"/>
    <col min="12300" max="12553" width="9.125" style="2"/>
    <col min="12554" max="12554" width="5.75" style="2" customWidth="1"/>
    <col min="12555" max="12555" width="11" style="2" customWidth="1"/>
    <col min="12556" max="12809" width="9.125" style="2"/>
    <col min="12810" max="12810" width="5.75" style="2" customWidth="1"/>
    <col min="12811" max="12811" width="11" style="2" customWidth="1"/>
    <col min="12812" max="13065" width="9.125" style="2"/>
    <col min="13066" max="13066" width="5.75" style="2" customWidth="1"/>
    <col min="13067" max="13067" width="11" style="2" customWidth="1"/>
    <col min="13068" max="13321" width="9.125" style="2"/>
    <col min="13322" max="13322" width="5.75" style="2" customWidth="1"/>
    <col min="13323" max="13323" width="11" style="2" customWidth="1"/>
    <col min="13324" max="13577" width="9.125" style="2"/>
    <col min="13578" max="13578" width="5.75" style="2" customWidth="1"/>
    <col min="13579" max="13579" width="11" style="2" customWidth="1"/>
    <col min="13580" max="13833" width="9.125" style="2"/>
    <col min="13834" max="13834" width="5.75" style="2" customWidth="1"/>
    <col min="13835" max="13835" width="11" style="2" customWidth="1"/>
    <col min="13836" max="14089" width="9.125" style="2"/>
    <col min="14090" max="14090" width="5.75" style="2" customWidth="1"/>
    <col min="14091" max="14091" width="11" style="2" customWidth="1"/>
    <col min="14092" max="14345" width="9.125" style="2"/>
    <col min="14346" max="14346" width="5.75" style="2" customWidth="1"/>
    <col min="14347" max="14347" width="11" style="2" customWidth="1"/>
    <col min="14348" max="14601" width="9.125" style="2"/>
    <col min="14602" max="14602" width="5.75" style="2" customWidth="1"/>
    <col min="14603" max="14603" width="11" style="2" customWidth="1"/>
    <col min="14604" max="14857" width="9.125" style="2"/>
    <col min="14858" max="14858" width="5.75" style="2" customWidth="1"/>
    <col min="14859" max="14859" width="11" style="2" customWidth="1"/>
    <col min="14860" max="15113" width="9.125" style="2"/>
    <col min="15114" max="15114" width="5.75" style="2" customWidth="1"/>
    <col min="15115" max="15115" width="11" style="2" customWidth="1"/>
    <col min="15116" max="15369" width="9.125" style="2"/>
    <col min="15370" max="15370" width="5.75" style="2" customWidth="1"/>
    <col min="15371" max="15371" width="11" style="2" customWidth="1"/>
    <col min="15372" max="15625" width="9.125" style="2"/>
    <col min="15626" max="15626" width="5.75" style="2" customWidth="1"/>
    <col min="15627" max="15627" width="11" style="2" customWidth="1"/>
    <col min="15628" max="15881" width="9.125" style="2"/>
    <col min="15882" max="15882" width="5.75" style="2" customWidth="1"/>
    <col min="15883" max="15883" width="11" style="2" customWidth="1"/>
    <col min="15884" max="16137" width="9.125" style="2"/>
    <col min="16138" max="16138" width="5.75" style="2" customWidth="1"/>
    <col min="16139" max="16139" width="11" style="2" customWidth="1"/>
    <col min="16140" max="16384" width="9.125" style="2"/>
  </cols>
  <sheetData>
    <row r="1" spans="1:11" ht="12.75" customHeight="1" x14ac:dyDescent="0.2">
      <c r="A1" s="155" t="s">
        <v>207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</row>
    <row r="2" spans="1:11" ht="12.75" customHeight="1" x14ac:dyDescent="0.2">
      <c r="A2" s="156" t="s">
        <v>208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</row>
    <row r="3" spans="1:11" x14ac:dyDescent="0.2">
      <c r="A3" s="157" t="s">
        <v>2</v>
      </c>
      <c r="B3" s="157"/>
      <c r="C3" s="157"/>
      <c r="D3" s="157" t="s">
        <v>3</v>
      </c>
      <c r="E3" s="157"/>
      <c r="F3" s="157"/>
      <c r="G3" s="157" t="s">
        <v>4</v>
      </c>
      <c r="H3" s="157"/>
      <c r="I3" s="157"/>
      <c r="J3" s="40" t="s">
        <v>8</v>
      </c>
      <c r="K3" s="40" t="s">
        <v>209</v>
      </c>
    </row>
    <row r="4" spans="1:11" x14ac:dyDescent="0.2">
      <c r="A4" s="41" t="s">
        <v>5</v>
      </c>
      <c r="B4" s="41" t="s">
        <v>162</v>
      </c>
      <c r="C4" s="41" t="s">
        <v>163</v>
      </c>
      <c r="D4" s="41" t="s">
        <v>5</v>
      </c>
      <c r="E4" s="41" t="s">
        <v>162</v>
      </c>
      <c r="F4" s="41" t="s">
        <v>163</v>
      </c>
      <c r="G4" s="41" t="s">
        <v>5</v>
      </c>
      <c r="H4" s="41" t="s">
        <v>162</v>
      </c>
      <c r="I4" s="36" t="s">
        <v>163</v>
      </c>
      <c r="J4" s="42"/>
      <c r="K4" s="42" t="s">
        <v>210</v>
      </c>
    </row>
    <row r="5" spans="1:11" x14ac:dyDescent="0.2">
      <c r="A5" s="43">
        <f>SUM(B5:C5)</f>
        <v>19320</v>
      </c>
      <c r="B5" s="43">
        <v>630</v>
      </c>
      <c r="C5" s="43">
        <v>18690</v>
      </c>
      <c r="D5" s="43">
        <f>SUM(E5:F5)</f>
        <v>94666</v>
      </c>
      <c r="E5" s="43">
        <v>2383</v>
      </c>
      <c r="F5" s="43">
        <v>92283</v>
      </c>
      <c r="G5" s="43">
        <f>SUM(H5:I5)</f>
        <v>46480</v>
      </c>
      <c r="H5" s="43">
        <v>704</v>
      </c>
      <c r="I5" s="43">
        <v>45776</v>
      </c>
      <c r="J5" s="41" t="s">
        <v>10</v>
      </c>
      <c r="K5" s="44"/>
    </row>
    <row r="6" spans="1:11" x14ac:dyDescent="0.2">
      <c r="A6" s="43">
        <f t="shared" ref="A6:A19" si="0">SUM(B6:C6)</f>
        <v>6154</v>
      </c>
      <c r="B6" s="43">
        <v>198</v>
      </c>
      <c r="C6" s="43">
        <v>5956</v>
      </c>
      <c r="D6" s="43">
        <f t="shared" ref="D6:D18" si="1">SUM(E6:F6)</f>
        <v>25509</v>
      </c>
      <c r="E6" s="43">
        <v>479</v>
      </c>
      <c r="F6" s="43">
        <v>25030</v>
      </c>
      <c r="G6" s="43">
        <f>SUM(H6:I6)</f>
        <v>12673</v>
      </c>
      <c r="H6" s="43">
        <v>192</v>
      </c>
      <c r="I6" s="43">
        <v>12481</v>
      </c>
      <c r="J6" s="41" t="s">
        <v>11</v>
      </c>
      <c r="K6" s="44" t="s">
        <v>66</v>
      </c>
    </row>
    <row r="7" spans="1:11" x14ac:dyDescent="0.2">
      <c r="A7" s="43">
        <f t="shared" si="0"/>
        <v>25474</v>
      </c>
      <c r="B7" s="43">
        <f t="shared" ref="B7:H7" si="2">SUM(B5:B6)</f>
        <v>828</v>
      </c>
      <c r="C7" s="43">
        <f t="shared" si="2"/>
        <v>24646</v>
      </c>
      <c r="D7" s="43">
        <f t="shared" si="2"/>
        <v>120175</v>
      </c>
      <c r="E7" s="43">
        <f t="shared" si="2"/>
        <v>2862</v>
      </c>
      <c r="F7" s="43">
        <f t="shared" si="2"/>
        <v>117313</v>
      </c>
      <c r="G7" s="43">
        <f t="shared" si="2"/>
        <v>59153</v>
      </c>
      <c r="H7" s="43">
        <f t="shared" si="2"/>
        <v>896</v>
      </c>
      <c r="I7" s="43">
        <f>SUM(I5:I6)</f>
        <v>58257</v>
      </c>
      <c r="J7" s="41" t="s">
        <v>13</v>
      </c>
      <c r="K7" s="42"/>
    </row>
    <row r="8" spans="1:11" x14ac:dyDescent="0.2">
      <c r="A8" s="43">
        <f t="shared" si="0"/>
        <v>25460</v>
      </c>
      <c r="B8" s="43">
        <v>1584</v>
      </c>
      <c r="C8" s="43">
        <v>23876</v>
      </c>
      <c r="D8" s="43">
        <f t="shared" si="1"/>
        <v>219317</v>
      </c>
      <c r="E8" s="43">
        <v>7918</v>
      </c>
      <c r="F8" s="43">
        <v>211399</v>
      </c>
      <c r="G8" s="43">
        <f>SUM(H8:I8)</f>
        <v>79798</v>
      </c>
      <c r="H8" s="43">
        <v>3110</v>
      </c>
      <c r="I8" s="43">
        <v>76688</v>
      </c>
      <c r="J8" s="41" t="s">
        <v>10</v>
      </c>
      <c r="K8" s="44"/>
    </row>
    <row r="9" spans="1:11" x14ac:dyDescent="0.2">
      <c r="A9" s="43">
        <f t="shared" si="0"/>
        <v>57159</v>
      </c>
      <c r="B9" s="43">
        <v>857</v>
      </c>
      <c r="C9" s="43">
        <v>56302</v>
      </c>
      <c r="D9" s="43">
        <f t="shared" si="1"/>
        <v>360026</v>
      </c>
      <c r="E9" s="43">
        <v>6541</v>
      </c>
      <c r="F9" s="43">
        <v>353485</v>
      </c>
      <c r="G9" s="43">
        <f>SUM(H9:I9)</f>
        <v>108593</v>
      </c>
      <c r="H9" s="43">
        <v>2067</v>
      </c>
      <c r="I9" s="43">
        <v>106526</v>
      </c>
      <c r="J9" s="41" t="s">
        <v>11</v>
      </c>
      <c r="K9" s="44" t="s">
        <v>65</v>
      </c>
    </row>
    <row r="10" spans="1:11" x14ac:dyDescent="0.2">
      <c r="A10" s="43">
        <f t="shared" ref="A10:I10" si="3">SUM(A8:A9)</f>
        <v>82619</v>
      </c>
      <c r="B10" s="43">
        <f t="shared" si="3"/>
        <v>2441</v>
      </c>
      <c r="C10" s="43">
        <f t="shared" si="3"/>
        <v>80178</v>
      </c>
      <c r="D10" s="43">
        <f t="shared" si="3"/>
        <v>579343</v>
      </c>
      <c r="E10" s="43">
        <f t="shared" si="3"/>
        <v>14459</v>
      </c>
      <c r="F10" s="43">
        <f t="shared" si="3"/>
        <v>564884</v>
      </c>
      <c r="G10" s="43">
        <f t="shared" si="3"/>
        <v>188391</v>
      </c>
      <c r="H10" s="43">
        <f t="shared" si="3"/>
        <v>5177</v>
      </c>
      <c r="I10" s="43">
        <f t="shared" si="3"/>
        <v>183214</v>
      </c>
      <c r="J10" s="41" t="s">
        <v>13</v>
      </c>
      <c r="K10" s="42"/>
    </row>
    <row r="11" spans="1:11" x14ac:dyDescent="0.2">
      <c r="A11" s="43">
        <f t="shared" si="0"/>
        <v>1375</v>
      </c>
      <c r="B11" s="43">
        <v>192</v>
      </c>
      <c r="C11" s="43">
        <v>1183</v>
      </c>
      <c r="D11" s="43">
        <f t="shared" si="1"/>
        <v>1260</v>
      </c>
      <c r="E11" s="43">
        <v>146</v>
      </c>
      <c r="F11" s="43">
        <v>1114</v>
      </c>
      <c r="G11" s="43">
        <f>SUM(H11:I11)</f>
        <v>1773</v>
      </c>
      <c r="H11" s="43">
        <v>100</v>
      </c>
      <c r="I11" s="43">
        <v>1673</v>
      </c>
      <c r="J11" s="41" t="s">
        <v>10</v>
      </c>
      <c r="K11" s="44"/>
    </row>
    <row r="12" spans="1:11" x14ac:dyDescent="0.2">
      <c r="A12" s="43">
        <f t="shared" si="0"/>
        <v>344</v>
      </c>
      <c r="B12" s="43">
        <v>7</v>
      </c>
      <c r="C12" s="43">
        <v>337</v>
      </c>
      <c r="D12" s="43">
        <f t="shared" si="1"/>
        <v>363</v>
      </c>
      <c r="E12" s="43">
        <v>1</v>
      </c>
      <c r="F12" s="43">
        <v>362</v>
      </c>
      <c r="G12" s="43">
        <f>SUM(H12:I12)</f>
        <v>327</v>
      </c>
      <c r="H12" s="43">
        <v>2</v>
      </c>
      <c r="I12" s="43">
        <v>325</v>
      </c>
      <c r="J12" s="41" t="s">
        <v>11</v>
      </c>
      <c r="K12" s="44" t="s">
        <v>64</v>
      </c>
    </row>
    <row r="13" spans="1:11" x14ac:dyDescent="0.2">
      <c r="A13" s="43">
        <f t="shared" si="0"/>
        <v>1719</v>
      </c>
      <c r="B13" s="43">
        <f t="shared" ref="B13:I13" si="4">SUM(B11:B12)</f>
        <v>199</v>
      </c>
      <c r="C13" s="43">
        <f t="shared" si="4"/>
        <v>1520</v>
      </c>
      <c r="D13" s="43">
        <f t="shared" si="4"/>
        <v>1623</v>
      </c>
      <c r="E13" s="43">
        <f t="shared" si="4"/>
        <v>147</v>
      </c>
      <c r="F13" s="43">
        <f t="shared" si="4"/>
        <v>1476</v>
      </c>
      <c r="G13" s="43">
        <f t="shared" si="4"/>
        <v>2100</v>
      </c>
      <c r="H13" s="43">
        <f t="shared" si="4"/>
        <v>102</v>
      </c>
      <c r="I13" s="43">
        <f t="shared" si="4"/>
        <v>1998</v>
      </c>
      <c r="J13" s="41" t="s">
        <v>13</v>
      </c>
      <c r="K13" s="42"/>
    </row>
    <row r="14" spans="1:11" x14ac:dyDescent="0.2">
      <c r="A14" s="43">
        <f t="shared" si="0"/>
        <v>1381</v>
      </c>
      <c r="B14" s="43">
        <v>171</v>
      </c>
      <c r="C14" s="43">
        <v>1210</v>
      </c>
      <c r="D14" s="43">
        <f t="shared" si="1"/>
        <v>7237</v>
      </c>
      <c r="E14" s="43">
        <v>714</v>
      </c>
      <c r="F14" s="43">
        <v>6523</v>
      </c>
      <c r="G14" s="43">
        <f>SUM(H14:I14)</f>
        <v>3226</v>
      </c>
      <c r="H14" s="43">
        <v>317</v>
      </c>
      <c r="I14" s="43">
        <v>2909</v>
      </c>
      <c r="J14" s="41" t="s">
        <v>10</v>
      </c>
      <c r="K14" s="44"/>
    </row>
    <row r="15" spans="1:11" x14ac:dyDescent="0.2">
      <c r="A15" s="43">
        <f t="shared" si="0"/>
        <v>594</v>
      </c>
      <c r="B15" s="43">
        <v>25</v>
      </c>
      <c r="C15" s="43">
        <v>569</v>
      </c>
      <c r="D15" s="43">
        <f t="shared" si="1"/>
        <v>4229</v>
      </c>
      <c r="E15" s="43">
        <v>142</v>
      </c>
      <c r="F15" s="43">
        <v>4087</v>
      </c>
      <c r="G15" s="43">
        <f>SUM(H15:I15)</f>
        <v>1929</v>
      </c>
      <c r="H15" s="43">
        <v>79</v>
      </c>
      <c r="I15" s="43">
        <v>1850</v>
      </c>
      <c r="J15" s="41" t="s">
        <v>11</v>
      </c>
      <c r="K15" s="44" t="s">
        <v>62</v>
      </c>
    </row>
    <row r="16" spans="1:11" x14ac:dyDescent="0.2">
      <c r="A16" s="43">
        <f t="shared" si="0"/>
        <v>1975</v>
      </c>
      <c r="B16" s="43">
        <f t="shared" ref="B16:I16" si="5">SUM(B14:B15)</f>
        <v>196</v>
      </c>
      <c r="C16" s="43">
        <f t="shared" si="5"/>
        <v>1779</v>
      </c>
      <c r="D16" s="43">
        <f t="shared" si="5"/>
        <v>11466</v>
      </c>
      <c r="E16" s="43">
        <f t="shared" si="5"/>
        <v>856</v>
      </c>
      <c r="F16" s="43">
        <f t="shared" si="5"/>
        <v>10610</v>
      </c>
      <c r="G16" s="43">
        <f t="shared" si="5"/>
        <v>5155</v>
      </c>
      <c r="H16" s="43">
        <f t="shared" si="5"/>
        <v>396</v>
      </c>
      <c r="I16" s="43">
        <f t="shared" si="5"/>
        <v>4759</v>
      </c>
      <c r="J16" s="41" t="s">
        <v>13</v>
      </c>
      <c r="K16" s="42"/>
    </row>
    <row r="17" spans="1:11" x14ac:dyDescent="0.2">
      <c r="A17" s="43">
        <f t="shared" si="0"/>
        <v>262</v>
      </c>
      <c r="B17" s="43">
        <v>29</v>
      </c>
      <c r="C17" s="43">
        <v>233</v>
      </c>
      <c r="D17" s="43">
        <f t="shared" si="1"/>
        <v>1423</v>
      </c>
      <c r="E17" s="43">
        <v>268</v>
      </c>
      <c r="F17" s="43">
        <v>1155</v>
      </c>
      <c r="G17" s="43">
        <f>SUM(H17:I17)</f>
        <v>616</v>
      </c>
      <c r="H17" s="43">
        <v>24</v>
      </c>
      <c r="I17" s="43">
        <v>592</v>
      </c>
      <c r="J17" s="41" t="s">
        <v>10</v>
      </c>
      <c r="K17" s="44"/>
    </row>
    <row r="18" spans="1:11" x14ac:dyDescent="0.2">
      <c r="A18" s="43">
        <f t="shared" si="0"/>
        <v>83</v>
      </c>
      <c r="B18" s="43">
        <v>0</v>
      </c>
      <c r="C18" s="43">
        <v>83</v>
      </c>
      <c r="D18" s="43">
        <f t="shared" si="1"/>
        <v>847</v>
      </c>
      <c r="E18" s="43">
        <v>133</v>
      </c>
      <c r="F18" s="43">
        <v>714</v>
      </c>
      <c r="G18" s="43">
        <f>SUM(H18:I18)</f>
        <v>206</v>
      </c>
      <c r="H18" s="43">
        <v>3</v>
      </c>
      <c r="I18" s="43">
        <v>203</v>
      </c>
      <c r="J18" s="41" t="s">
        <v>11</v>
      </c>
      <c r="K18" s="44" t="s">
        <v>61</v>
      </c>
    </row>
    <row r="19" spans="1:11" x14ac:dyDescent="0.2">
      <c r="A19" s="43">
        <f t="shared" si="0"/>
        <v>345</v>
      </c>
      <c r="B19" s="43">
        <f t="shared" ref="B19:I19" si="6">SUM(B17:B18)</f>
        <v>29</v>
      </c>
      <c r="C19" s="43">
        <f t="shared" si="6"/>
        <v>316</v>
      </c>
      <c r="D19" s="43">
        <f t="shared" si="6"/>
        <v>2270</v>
      </c>
      <c r="E19" s="43">
        <f t="shared" si="6"/>
        <v>401</v>
      </c>
      <c r="F19" s="43">
        <f t="shared" si="6"/>
        <v>1869</v>
      </c>
      <c r="G19" s="43">
        <f t="shared" si="6"/>
        <v>822</v>
      </c>
      <c r="H19" s="43">
        <f t="shared" si="6"/>
        <v>27</v>
      </c>
      <c r="I19" s="43">
        <f t="shared" si="6"/>
        <v>795</v>
      </c>
      <c r="J19" s="41" t="s">
        <v>13</v>
      </c>
      <c r="K19" s="42"/>
    </row>
    <row r="20" spans="1:11" x14ac:dyDescent="0.2">
      <c r="A20" s="43">
        <f t="shared" ref="A20:I22" si="7">A5+A8+A11+A14+A17</f>
        <v>47798</v>
      </c>
      <c r="B20" s="43">
        <f t="shared" si="7"/>
        <v>2606</v>
      </c>
      <c r="C20" s="43">
        <f t="shared" si="7"/>
        <v>45192</v>
      </c>
      <c r="D20" s="43">
        <f t="shared" si="7"/>
        <v>323903</v>
      </c>
      <c r="E20" s="43">
        <f t="shared" si="7"/>
        <v>11429</v>
      </c>
      <c r="F20" s="43">
        <f t="shared" si="7"/>
        <v>312474</v>
      </c>
      <c r="G20" s="43">
        <f t="shared" si="7"/>
        <v>131893</v>
      </c>
      <c r="H20" s="43">
        <f t="shared" si="7"/>
        <v>4255</v>
      </c>
      <c r="I20" s="43">
        <f>I5+I8+I11+I14+I17</f>
        <v>127638</v>
      </c>
      <c r="J20" s="41" t="s">
        <v>28</v>
      </c>
      <c r="K20" s="40"/>
    </row>
    <row r="21" spans="1:11" x14ac:dyDescent="0.2">
      <c r="A21" s="43">
        <f t="shared" si="7"/>
        <v>64334</v>
      </c>
      <c r="B21" s="43">
        <f t="shared" si="7"/>
        <v>1087</v>
      </c>
      <c r="C21" s="43">
        <f t="shared" si="7"/>
        <v>63247</v>
      </c>
      <c r="D21" s="43">
        <f t="shared" si="7"/>
        <v>390974</v>
      </c>
      <c r="E21" s="43">
        <f t="shared" si="7"/>
        <v>7296</v>
      </c>
      <c r="F21" s="43">
        <f t="shared" si="7"/>
        <v>383678</v>
      </c>
      <c r="G21" s="43">
        <f t="shared" si="7"/>
        <v>123728</v>
      </c>
      <c r="H21" s="43">
        <f t="shared" si="7"/>
        <v>2343</v>
      </c>
      <c r="I21" s="43">
        <f t="shared" si="7"/>
        <v>121385</v>
      </c>
      <c r="J21" s="41" t="s">
        <v>29</v>
      </c>
      <c r="K21" s="44" t="s">
        <v>211</v>
      </c>
    </row>
    <row r="22" spans="1:11" x14ac:dyDescent="0.2">
      <c r="A22" s="43">
        <f t="shared" si="7"/>
        <v>112132</v>
      </c>
      <c r="B22" s="43">
        <f t="shared" si="7"/>
        <v>3693</v>
      </c>
      <c r="C22" s="43">
        <f t="shared" si="7"/>
        <v>108439</v>
      </c>
      <c r="D22" s="43">
        <f t="shared" si="7"/>
        <v>714877</v>
      </c>
      <c r="E22" s="43">
        <f t="shared" si="7"/>
        <v>18725</v>
      </c>
      <c r="F22" s="43">
        <f t="shared" si="7"/>
        <v>696152</v>
      </c>
      <c r="G22" s="43">
        <f t="shared" si="7"/>
        <v>255621</v>
      </c>
      <c r="H22" s="43">
        <f t="shared" si="7"/>
        <v>6598</v>
      </c>
      <c r="I22" s="43">
        <f>I7+I10+I13+I16+I19</f>
        <v>249023</v>
      </c>
      <c r="J22" s="41" t="s">
        <v>13</v>
      </c>
      <c r="K22" s="42"/>
    </row>
    <row r="26" spans="1:11" x14ac:dyDescent="0.2">
      <c r="G26" s="12"/>
    </row>
  </sheetData>
  <mergeCells count="5">
    <mergeCell ref="A1:K1"/>
    <mergeCell ref="A2:K2"/>
    <mergeCell ref="A3:C3"/>
    <mergeCell ref="D3:F3"/>
    <mergeCell ref="G3:I3"/>
  </mergeCells>
  <pageMargins left="1" right="1" top="1" bottom="1" header="1" footer="1"/>
  <pageSetup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92"/>
  <sheetViews>
    <sheetView showGridLines="0" zoomScale="80" zoomScaleNormal="80" workbookViewId="0">
      <selection sqref="A1:O1"/>
    </sheetView>
  </sheetViews>
  <sheetFormatPr defaultRowHeight="12.75" customHeight="1" x14ac:dyDescent="0.2"/>
  <cols>
    <col min="1" max="1" width="7" style="2" bestFit="1" customWidth="1"/>
    <col min="2" max="2" width="8.625" style="2" bestFit="1" customWidth="1"/>
    <col min="3" max="3" width="8" style="2" bestFit="1" customWidth="1"/>
    <col min="4" max="4" width="9" style="2" bestFit="1" customWidth="1"/>
    <col min="5" max="5" width="7" style="2" bestFit="1" customWidth="1"/>
    <col min="6" max="6" width="8.625" style="2" bestFit="1" customWidth="1"/>
    <col min="7" max="7" width="8" style="2" bestFit="1" customWidth="1"/>
    <col min="8" max="8" width="9" style="2" bestFit="1" customWidth="1"/>
    <col min="9" max="9" width="7" style="2" bestFit="1" customWidth="1"/>
    <col min="10" max="10" width="8.625" style="2" bestFit="1" customWidth="1"/>
    <col min="11" max="11" width="8" style="2" bestFit="1" customWidth="1"/>
    <col min="12" max="12" width="9" style="2" bestFit="1" customWidth="1"/>
    <col min="13" max="14" width="5.125" style="2" bestFit="1" customWidth="1"/>
    <col min="15" max="15" width="30" style="2" bestFit="1" customWidth="1"/>
    <col min="16" max="16" width="7" style="2" customWidth="1"/>
    <col min="17" max="17" width="6.375" style="2" customWidth="1"/>
    <col min="18" max="18" width="19.25" style="2" customWidth="1"/>
    <col min="19" max="256" width="9.125" style="2"/>
    <col min="257" max="257" width="7" style="2" bestFit="1" customWidth="1"/>
    <col min="258" max="258" width="8.625" style="2" bestFit="1" customWidth="1"/>
    <col min="259" max="259" width="8" style="2" bestFit="1" customWidth="1"/>
    <col min="260" max="260" width="9" style="2" bestFit="1" customWidth="1"/>
    <col min="261" max="261" width="7" style="2" bestFit="1" customWidth="1"/>
    <col min="262" max="262" width="8.625" style="2" bestFit="1" customWidth="1"/>
    <col min="263" max="263" width="8" style="2" bestFit="1" customWidth="1"/>
    <col min="264" max="264" width="9" style="2" bestFit="1" customWidth="1"/>
    <col min="265" max="265" width="7" style="2" bestFit="1" customWidth="1"/>
    <col min="266" max="266" width="8.625" style="2" bestFit="1" customWidth="1"/>
    <col min="267" max="267" width="8" style="2" bestFit="1" customWidth="1"/>
    <col min="268" max="268" width="9" style="2" bestFit="1" customWidth="1"/>
    <col min="269" max="270" width="5.125" style="2" bestFit="1" customWidth="1"/>
    <col min="271" max="271" width="34.25" style="2" customWidth="1"/>
    <col min="272" max="512" width="9.125" style="2"/>
    <col min="513" max="513" width="7" style="2" bestFit="1" customWidth="1"/>
    <col min="514" max="514" width="8.625" style="2" bestFit="1" customWidth="1"/>
    <col min="515" max="515" width="8" style="2" bestFit="1" customWidth="1"/>
    <col min="516" max="516" width="9" style="2" bestFit="1" customWidth="1"/>
    <col min="517" max="517" width="7" style="2" bestFit="1" customWidth="1"/>
    <col min="518" max="518" width="8.625" style="2" bestFit="1" customWidth="1"/>
    <col min="519" max="519" width="8" style="2" bestFit="1" customWidth="1"/>
    <col min="520" max="520" width="9" style="2" bestFit="1" customWidth="1"/>
    <col min="521" max="521" width="7" style="2" bestFit="1" customWidth="1"/>
    <col min="522" max="522" width="8.625" style="2" bestFit="1" customWidth="1"/>
    <col min="523" max="523" width="8" style="2" bestFit="1" customWidth="1"/>
    <col min="524" max="524" width="9" style="2" bestFit="1" customWidth="1"/>
    <col min="525" max="526" width="5.125" style="2" bestFit="1" customWidth="1"/>
    <col min="527" max="527" width="34.25" style="2" customWidth="1"/>
    <col min="528" max="768" width="9.125" style="2"/>
    <col min="769" max="769" width="7" style="2" bestFit="1" customWidth="1"/>
    <col min="770" max="770" width="8.625" style="2" bestFit="1" customWidth="1"/>
    <col min="771" max="771" width="8" style="2" bestFit="1" customWidth="1"/>
    <col min="772" max="772" width="9" style="2" bestFit="1" customWidth="1"/>
    <col min="773" max="773" width="7" style="2" bestFit="1" customWidth="1"/>
    <col min="774" max="774" width="8.625" style="2" bestFit="1" customWidth="1"/>
    <col min="775" max="775" width="8" style="2" bestFit="1" customWidth="1"/>
    <col min="776" max="776" width="9" style="2" bestFit="1" customWidth="1"/>
    <col min="777" max="777" width="7" style="2" bestFit="1" customWidth="1"/>
    <col min="778" max="778" width="8.625" style="2" bestFit="1" customWidth="1"/>
    <col min="779" max="779" width="8" style="2" bestFit="1" customWidth="1"/>
    <col min="780" max="780" width="9" style="2" bestFit="1" customWidth="1"/>
    <col min="781" max="782" width="5.125" style="2" bestFit="1" customWidth="1"/>
    <col min="783" max="783" width="34.25" style="2" customWidth="1"/>
    <col min="784" max="1024" width="9.125" style="2"/>
    <col min="1025" max="1025" width="7" style="2" bestFit="1" customWidth="1"/>
    <col min="1026" max="1026" width="8.625" style="2" bestFit="1" customWidth="1"/>
    <col min="1027" max="1027" width="8" style="2" bestFit="1" customWidth="1"/>
    <col min="1028" max="1028" width="9" style="2" bestFit="1" customWidth="1"/>
    <col min="1029" max="1029" width="7" style="2" bestFit="1" customWidth="1"/>
    <col min="1030" max="1030" width="8.625" style="2" bestFit="1" customWidth="1"/>
    <col min="1031" max="1031" width="8" style="2" bestFit="1" customWidth="1"/>
    <col min="1032" max="1032" width="9" style="2" bestFit="1" customWidth="1"/>
    <col min="1033" max="1033" width="7" style="2" bestFit="1" customWidth="1"/>
    <col min="1034" max="1034" width="8.625" style="2" bestFit="1" customWidth="1"/>
    <col min="1035" max="1035" width="8" style="2" bestFit="1" customWidth="1"/>
    <col min="1036" max="1036" width="9" style="2" bestFit="1" customWidth="1"/>
    <col min="1037" max="1038" width="5.125" style="2" bestFit="1" customWidth="1"/>
    <col min="1039" max="1039" width="34.25" style="2" customWidth="1"/>
    <col min="1040" max="1280" width="9.125" style="2"/>
    <col min="1281" max="1281" width="7" style="2" bestFit="1" customWidth="1"/>
    <col min="1282" max="1282" width="8.625" style="2" bestFit="1" customWidth="1"/>
    <col min="1283" max="1283" width="8" style="2" bestFit="1" customWidth="1"/>
    <col min="1284" max="1284" width="9" style="2" bestFit="1" customWidth="1"/>
    <col min="1285" max="1285" width="7" style="2" bestFit="1" customWidth="1"/>
    <col min="1286" max="1286" width="8.625" style="2" bestFit="1" customWidth="1"/>
    <col min="1287" max="1287" width="8" style="2" bestFit="1" customWidth="1"/>
    <col min="1288" max="1288" width="9" style="2" bestFit="1" customWidth="1"/>
    <col min="1289" max="1289" width="7" style="2" bestFit="1" customWidth="1"/>
    <col min="1290" max="1290" width="8.625" style="2" bestFit="1" customWidth="1"/>
    <col min="1291" max="1291" width="8" style="2" bestFit="1" customWidth="1"/>
    <col min="1292" max="1292" width="9" style="2" bestFit="1" customWidth="1"/>
    <col min="1293" max="1294" width="5.125" style="2" bestFit="1" customWidth="1"/>
    <col min="1295" max="1295" width="34.25" style="2" customWidth="1"/>
    <col min="1296" max="1536" width="9.125" style="2"/>
    <col min="1537" max="1537" width="7" style="2" bestFit="1" customWidth="1"/>
    <col min="1538" max="1538" width="8.625" style="2" bestFit="1" customWidth="1"/>
    <col min="1539" max="1539" width="8" style="2" bestFit="1" customWidth="1"/>
    <col min="1540" max="1540" width="9" style="2" bestFit="1" customWidth="1"/>
    <col min="1541" max="1541" width="7" style="2" bestFit="1" customWidth="1"/>
    <col min="1542" max="1542" width="8.625" style="2" bestFit="1" customWidth="1"/>
    <col min="1543" max="1543" width="8" style="2" bestFit="1" customWidth="1"/>
    <col min="1544" max="1544" width="9" style="2" bestFit="1" customWidth="1"/>
    <col min="1545" max="1545" width="7" style="2" bestFit="1" customWidth="1"/>
    <col min="1546" max="1546" width="8.625" style="2" bestFit="1" customWidth="1"/>
    <col min="1547" max="1547" width="8" style="2" bestFit="1" customWidth="1"/>
    <col min="1548" max="1548" width="9" style="2" bestFit="1" customWidth="1"/>
    <col min="1549" max="1550" width="5.125" style="2" bestFit="1" customWidth="1"/>
    <col min="1551" max="1551" width="34.25" style="2" customWidth="1"/>
    <col min="1552" max="1792" width="9.125" style="2"/>
    <col min="1793" max="1793" width="7" style="2" bestFit="1" customWidth="1"/>
    <col min="1794" max="1794" width="8.625" style="2" bestFit="1" customWidth="1"/>
    <col min="1795" max="1795" width="8" style="2" bestFit="1" customWidth="1"/>
    <col min="1796" max="1796" width="9" style="2" bestFit="1" customWidth="1"/>
    <col min="1797" max="1797" width="7" style="2" bestFit="1" customWidth="1"/>
    <col min="1798" max="1798" width="8.625" style="2" bestFit="1" customWidth="1"/>
    <col min="1799" max="1799" width="8" style="2" bestFit="1" customWidth="1"/>
    <col min="1800" max="1800" width="9" style="2" bestFit="1" customWidth="1"/>
    <col min="1801" max="1801" width="7" style="2" bestFit="1" customWidth="1"/>
    <col min="1802" max="1802" width="8.625" style="2" bestFit="1" customWidth="1"/>
    <col min="1803" max="1803" width="8" style="2" bestFit="1" customWidth="1"/>
    <col min="1804" max="1804" width="9" style="2" bestFit="1" customWidth="1"/>
    <col min="1805" max="1806" width="5.125" style="2" bestFit="1" customWidth="1"/>
    <col min="1807" max="1807" width="34.25" style="2" customWidth="1"/>
    <col min="1808" max="2048" width="9.125" style="2"/>
    <col min="2049" max="2049" width="7" style="2" bestFit="1" customWidth="1"/>
    <col min="2050" max="2050" width="8.625" style="2" bestFit="1" customWidth="1"/>
    <col min="2051" max="2051" width="8" style="2" bestFit="1" customWidth="1"/>
    <col min="2052" max="2052" width="9" style="2" bestFit="1" customWidth="1"/>
    <col min="2053" max="2053" width="7" style="2" bestFit="1" customWidth="1"/>
    <col min="2054" max="2054" width="8.625" style="2" bestFit="1" customWidth="1"/>
    <col min="2055" max="2055" width="8" style="2" bestFit="1" customWidth="1"/>
    <col min="2056" max="2056" width="9" style="2" bestFit="1" customWidth="1"/>
    <col min="2057" max="2057" width="7" style="2" bestFit="1" customWidth="1"/>
    <col min="2058" max="2058" width="8.625" style="2" bestFit="1" customWidth="1"/>
    <col min="2059" max="2059" width="8" style="2" bestFit="1" customWidth="1"/>
    <col min="2060" max="2060" width="9" style="2" bestFit="1" customWidth="1"/>
    <col min="2061" max="2062" width="5.125" style="2" bestFit="1" customWidth="1"/>
    <col min="2063" max="2063" width="34.25" style="2" customWidth="1"/>
    <col min="2064" max="2304" width="9.125" style="2"/>
    <col min="2305" max="2305" width="7" style="2" bestFit="1" customWidth="1"/>
    <col min="2306" max="2306" width="8.625" style="2" bestFit="1" customWidth="1"/>
    <col min="2307" max="2307" width="8" style="2" bestFit="1" customWidth="1"/>
    <col min="2308" max="2308" width="9" style="2" bestFit="1" customWidth="1"/>
    <col min="2309" max="2309" width="7" style="2" bestFit="1" customWidth="1"/>
    <col min="2310" max="2310" width="8.625" style="2" bestFit="1" customWidth="1"/>
    <col min="2311" max="2311" width="8" style="2" bestFit="1" customWidth="1"/>
    <col min="2312" max="2312" width="9" style="2" bestFit="1" customWidth="1"/>
    <col min="2313" max="2313" width="7" style="2" bestFit="1" customWidth="1"/>
    <col min="2314" max="2314" width="8.625" style="2" bestFit="1" customWidth="1"/>
    <col min="2315" max="2315" width="8" style="2" bestFit="1" customWidth="1"/>
    <col min="2316" max="2316" width="9" style="2" bestFit="1" customWidth="1"/>
    <col min="2317" max="2318" width="5.125" style="2" bestFit="1" customWidth="1"/>
    <col min="2319" max="2319" width="34.25" style="2" customWidth="1"/>
    <col min="2320" max="2560" width="9.125" style="2"/>
    <col min="2561" max="2561" width="7" style="2" bestFit="1" customWidth="1"/>
    <col min="2562" max="2562" width="8.625" style="2" bestFit="1" customWidth="1"/>
    <col min="2563" max="2563" width="8" style="2" bestFit="1" customWidth="1"/>
    <col min="2564" max="2564" width="9" style="2" bestFit="1" customWidth="1"/>
    <col min="2565" max="2565" width="7" style="2" bestFit="1" customWidth="1"/>
    <col min="2566" max="2566" width="8.625" style="2" bestFit="1" customWidth="1"/>
    <col min="2567" max="2567" width="8" style="2" bestFit="1" customWidth="1"/>
    <col min="2568" max="2568" width="9" style="2" bestFit="1" customWidth="1"/>
    <col min="2569" max="2569" width="7" style="2" bestFit="1" customWidth="1"/>
    <col min="2570" max="2570" width="8.625" style="2" bestFit="1" customWidth="1"/>
    <col min="2571" max="2571" width="8" style="2" bestFit="1" customWidth="1"/>
    <col min="2572" max="2572" width="9" style="2" bestFit="1" customWidth="1"/>
    <col min="2573" max="2574" width="5.125" style="2" bestFit="1" customWidth="1"/>
    <col min="2575" max="2575" width="34.25" style="2" customWidth="1"/>
    <col min="2576" max="2816" width="9.125" style="2"/>
    <col min="2817" max="2817" width="7" style="2" bestFit="1" customWidth="1"/>
    <col min="2818" max="2818" width="8.625" style="2" bestFit="1" customWidth="1"/>
    <col min="2819" max="2819" width="8" style="2" bestFit="1" customWidth="1"/>
    <col min="2820" max="2820" width="9" style="2" bestFit="1" customWidth="1"/>
    <col min="2821" max="2821" width="7" style="2" bestFit="1" customWidth="1"/>
    <col min="2822" max="2822" width="8.625" style="2" bestFit="1" customWidth="1"/>
    <col min="2823" max="2823" width="8" style="2" bestFit="1" customWidth="1"/>
    <col min="2824" max="2824" width="9" style="2" bestFit="1" customWidth="1"/>
    <col min="2825" max="2825" width="7" style="2" bestFit="1" customWidth="1"/>
    <col min="2826" max="2826" width="8.625" style="2" bestFit="1" customWidth="1"/>
    <col min="2827" max="2827" width="8" style="2" bestFit="1" customWidth="1"/>
    <col min="2828" max="2828" width="9" style="2" bestFit="1" customWidth="1"/>
    <col min="2829" max="2830" width="5.125" style="2" bestFit="1" customWidth="1"/>
    <col min="2831" max="2831" width="34.25" style="2" customWidth="1"/>
    <col min="2832" max="3072" width="9.125" style="2"/>
    <col min="3073" max="3073" width="7" style="2" bestFit="1" customWidth="1"/>
    <col min="3074" max="3074" width="8.625" style="2" bestFit="1" customWidth="1"/>
    <col min="3075" max="3075" width="8" style="2" bestFit="1" customWidth="1"/>
    <col min="3076" max="3076" width="9" style="2" bestFit="1" customWidth="1"/>
    <col min="3077" max="3077" width="7" style="2" bestFit="1" customWidth="1"/>
    <col min="3078" max="3078" width="8.625" style="2" bestFit="1" customWidth="1"/>
    <col min="3079" max="3079" width="8" style="2" bestFit="1" customWidth="1"/>
    <col min="3080" max="3080" width="9" style="2" bestFit="1" customWidth="1"/>
    <col min="3081" max="3081" width="7" style="2" bestFit="1" customWidth="1"/>
    <col min="3082" max="3082" width="8.625" style="2" bestFit="1" customWidth="1"/>
    <col min="3083" max="3083" width="8" style="2" bestFit="1" customWidth="1"/>
    <col min="3084" max="3084" width="9" style="2" bestFit="1" customWidth="1"/>
    <col min="3085" max="3086" width="5.125" style="2" bestFit="1" customWidth="1"/>
    <col min="3087" max="3087" width="34.25" style="2" customWidth="1"/>
    <col min="3088" max="3328" width="9.125" style="2"/>
    <col min="3329" max="3329" width="7" style="2" bestFit="1" customWidth="1"/>
    <col min="3330" max="3330" width="8.625" style="2" bestFit="1" customWidth="1"/>
    <col min="3331" max="3331" width="8" style="2" bestFit="1" customWidth="1"/>
    <col min="3332" max="3332" width="9" style="2" bestFit="1" customWidth="1"/>
    <col min="3333" max="3333" width="7" style="2" bestFit="1" customWidth="1"/>
    <col min="3334" max="3334" width="8.625" style="2" bestFit="1" customWidth="1"/>
    <col min="3335" max="3335" width="8" style="2" bestFit="1" customWidth="1"/>
    <col min="3336" max="3336" width="9" style="2" bestFit="1" customWidth="1"/>
    <col min="3337" max="3337" width="7" style="2" bestFit="1" customWidth="1"/>
    <col min="3338" max="3338" width="8.625" style="2" bestFit="1" customWidth="1"/>
    <col min="3339" max="3339" width="8" style="2" bestFit="1" customWidth="1"/>
    <col min="3340" max="3340" width="9" style="2" bestFit="1" customWidth="1"/>
    <col min="3341" max="3342" width="5.125" style="2" bestFit="1" customWidth="1"/>
    <col min="3343" max="3343" width="34.25" style="2" customWidth="1"/>
    <col min="3344" max="3584" width="9.125" style="2"/>
    <col min="3585" max="3585" width="7" style="2" bestFit="1" customWidth="1"/>
    <col min="3586" max="3586" width="8.625" style="2" bestFit="1" customWidth="1"/>
    <col min="3587" max="3587" width="8" style="2" bestFit="1" customWidth="1"/>
    <col min="3588" max="3588" width="9" style="2" bestFit="1" customWidth="1"/>
    <col min="3589" max="3589" width="7" style="2" bestFit="1" customWidth="1"/>
    <col min="3590" max="3590" width="8.625" style="2" bestFit="1" customWidth="1"/>
    <col min="3591" max="3591" width="8" style="2" bestFit="1" customWidth="1"/>
    <col min="3592" max="3592" width="9" style="2" bestFit="1" customWidth="1"/>
    <col min="3593" max="3593" width="7" style="2" bestFit="1" customWidth="1"/>
    <col min="3594" max="3594" width="8.625" style="2" bestFit="1" customWidth="1"/>
    <col min="3595" max="3595" width="8" style="2" bestFit="1" customWidth="1"/>
    <col min="3596" max="3596" width="9" style="2" bestFit="1" customWidth="1"/>
    <col min="3597" max="3598" width="5.125" style="2" bestFit="1" customWidth="1"/>
    <col min="3599" max="3599" width="34.25" style="2" customWidth="1"/>
    <col min="3600" max="3840" width="9.125" style="2"/>
    <col min="3841" max="3841" width="7" style="2" bestFit="1" customWidth="1"/>
    <col min="3842" max="3842" width="8.625" style="2" bestFit="1" customWidth="1"/>
    <col min="3843" max="3843" width="8" style="2" bestFit="1" customWidth="1"/>
    <col min="3844" max="3844" width="9" style="2" bestFit="1" customWidth="1"/>
    <col min="3845" max="3845" width="7" style="2" bestFit="1" customWidth="1"/>
    <col min="3846" max="3846" width="8.625" style="2" bestFit="1" customWidth="1"/>
    <col min="3847" max="3847" width="8" style="2" bestFit="1" customWidth="1"/>
    <col min="3848" max="3848" width="9" style="2" bestFit="1" customWidth="1"/>
    <col min="3849" max="3849" width="7" style="2" bestFit="1" customWidth="1"/>
    <col min="3850" max="3850" width="8.625" style="2" bestFit="1" customWidth="1"/>
    <col min="3851" max="3851" width="8" style="2" bestFit="1" customWidth="1"/>
    <col min="3852" max="3852" width="9" style="2" bestFit="1" customWidth="1"/>
    <col min="3853" max="3854" width="5.125" style="2" bestFit="1" customWidth="1"/>
    <col min="3855" max="3855" width="34.25" style="2" customWidth="1"/>
    <col min="3856" max="4096" width="9.125" style="2"/>
    <col min="4097" max="4097" width="7" style="2" bestFit="1" customWidth="1"/>
    <col min="4098" max="4098" width="8.625" style="2" bestFit="1" customWidth="1"/>
    <col min="4099" max="4099" width="8" style="2" bestFit="1" customWidth="1"/>
    <col min="4100" max="4100" width="9" style="2" bestFit="1" customWidth="1"/>
    <col min="4101" max="4101" width="7" style="2" bestFit="1" customWidth="1"/>
    <col min="4102" max="4102" width="8.625" style="2" bestFit="1" customWidth="1"/>
    <col min="4103" max="4103" width="8" style="2" bestFit="1" customWidth="1"/>
    <col min="4104" max="4104" width="9" style="2" bestFit="1" customWidth="1"/>
    <col min="4105" max="4105" width="7" style="2" bestFit="1" customWidth="1"/>
    <col min="4106" max="4106" width="8.625" style="2" bestFit="1" customWidth="1"/>
    <col min="4107" max="4107" width="8" style="2" bestFit="1" customWidth="1"/>
    <col min="4108" max="4108" width="9" style="2" bestFit="1" customWidth="1"/>
    <col min="4109" max="4110" width="5.125" style="2" bestFit="1" customWidth="1"/>
    <col min="4111" max="4111" width="34.25" style="2" customWidth="1"/>
    <col min="4112" max="4352" width="9.125" style="2"/>
    <col min="4353" max="4353" width="7" style="2" bestFit="1" customWidth="1"/>
    <col min="4354" max="4354" width="8.625" style="2" bestFit="1" customWidth="1"/>
    <col min="4355" max="4355" width="8" style="2" bestFit="1" customWidth="1"/>
    <col min="4356" max="4356" width="9" style="2" bestFit="1" customWidth="1"/>
    <col min="4357" max="4357" width="7" style="2" bestFit="1" customWidth="1"/>
    <col min="4358" max="4358" width="8.625" style="2" bestFit="1" customWidth="1"/>
    <col min="4359" max="4359" width="8" style="2" bestFit="1" customWidth="1"/>
    <col min="4360" max="4360" width="9" style="2" bestFit="1" customWidth="1"/>
    <col min="4361" max="4361" width="7" style="2" bestFit="1" customWidth="1"/>
    <col min="4362" max="4362" width="8.625" style="2" bestFit="1" customWidth="1"/>
    <col min="4363" max="4363" width="8" style="2" bestFit="1" customWidth="1"/>
    <col min="4364" max="4364" width="9" style="2" bestFit="1" customWidth="1"/>
    <col min="4365" max="4366" width="5.125" style="2" bestFit="1" customWidth="1"/>
    <col min="4367" max="4367" width="34.25" style="2" customWidth="1"/>
    <col min="4368" max="4608" width="9.125" style="2"/>
    <col min="4609" max="4609" width="7" style="2" bestFit="1" customWidth="1"/>
    <col min="4610" max="4610" width="8.625" style="2" bestFit="1" customWidth="1"/>
    <col min="4611" max="4611" width="8" style="2" bestFit="1" customWidth="1"/>
    <col min="4612" max="4612" width="9" style="2" bestFit="1" customWidth="1"/>
    <col min="4613" max="4613" width="7" style="2" bestFit="1" customWidth="1"/>
    <col min="4614" max="4614" width="8.625" style="2" bestFit="1" customWidth="1"/>
    <col min="4615" max="4615" width="8" style="2" bestFit="1" customWidth="1"/>
    <col min="4616" max="4616" width="9" style="2" bestFit="1" customWidth="1"/>
    <col min="4617" max="4617" width="7" style="2" bestFit="1" customWidth="1"/>
    <col min="4618" max="4618" width="8.625" style="2" bestFit="1" customWidth="1"/>
    <col min="4619" max="4619" width="8" style="2" bestFit="1" customWidth="1"/>
    <col min="4620" max="4620" width="9" style="2" bestFit="1" customWidth="1"/>
    <col min="4621" max="4622" width="5.125" style="2" bestFit="1" customWidth="1"/>
    <col min="4623" max="4623" width="34.25" style="2" customWidth="1"/>
    <col min="4624" max="4864" width="9.125" style="2"/>
    <col min="4865" max="4865" width="7" style="2" bestFit="1" customWidth="1"/>
    <col min="4866" max="4866" width="8.625" style="2" bestFit="1" customWidth="1"/>
    <col min="4867" max="4867" width="8" style="2" bestFit="1" customWidth="1"/>
    <col min="4868" max="4868" width="9" style="2" bestFit="1" customWidth="1"/>
    <col min="4869" max="4869" width="7" style="2" bestFit="1" customWidth="1"/>
    <col min="4870" max="4870" width="8.625" style="2" bestFit="1" customWidth="1"/>
    <col min="4871" max="4871" width="8" style="2" bestFit="1" customWidth="1"/>
    <col min="4872" max="4872" width="9" style="2" bestFit="1" customWidth="1"/>
    <col min="4873" max="4873" width="7" style="2" bestFit="1" customWidth="1"/>
    <col min="4874" max="4874" width="8.625" style="2" bestFit="1" customWidth="1"/>
    <col min="4875" max="4875" width="8" style="2" bestFit="1" customWidth="1"/>
    <col min="4876" max="4876" width="9" style="2" bestFit="1" customWidth="1"/>
    <col min="4877" max="4878" width="5.125" style="2" bestFit="1" customWidth="1"/>
    <col min="4879" max="4879" width="34.25" style="2" customWidth="1"/>
    <col min="4880" max="5120" width="9.125" style="2"/>
    <col min="5121" max="5121" width="7" style="2" bestFit="1" customWidth="1"/>
    <col min="5122" max="5122" width="8.625" style="2" bestFit="1" customWidth="1"/>
    <col min="5123" max="5123" width="8" style="2" bestFit="1" customWidth="1"/>
    <col min="5124" max="5124" width="9" style="2" bestFit="1" customWidth="1"/>
    <col min="5125" max="5125" width="7" style="2" bestFit="1" customWidth="1"/>
    <col min="5126" max="5126" width="8.625" style="2" bestFit="1" customWidth="1"/>
    <col min="5127" max="5127" width="8" style="2" bestFit="1" customWidth="1"/>
    <col min="5128" max="5128" width="9" style="2" bestFit="1" customWidth="1"/>
    <col min="5129" max="5129" width="7" style="2" bestFit="1" customWidth="1"/>
    <col min="5130" max="5130" width="8.625" style="2" bestFit="1" customWidth="1"/>
    <col min="5131" max="5131" width="8" style="2" bestFit="1" customWidth="1"/>
    <col min="5132" max="5132" width="9" style="2" bestFit="1" customWidth="1"/>
    <col min="5133" max="5134" width="5.125" style="2" bestFit="1" customWidth="1"/>
    <col min="5135" max="5135" width="34.25" style="2" customWidth="1"/>
    <col min="5136" max="5376" width="9.125" style="2"/>
    <col min="5377" max="5377" width="7" style="2" bestFit="1" customWidth="1"/>
    <col min="5378" max="5378" width="8.625" style="2" bestFit="1" customWidth="1"/>
    <col min="5379" max="5379" width="8" style="2" bestFit="1" customWidth="1"/>
    <col min="5380" max="5380" width="9" style="2" bestFit="1" customWidth="1"/>
    <col min="5381" max="5381" width="7" style="2" bestFit="1" customWidth="1"/>
    <col min="5382" max="5382" width="8.625" style="2" bestFit="1" customWidth="1"/>
    <col min="5383" max="5383" width="8" style="2" bestFit="1" customWidth="1"/>
    <col min="5384" max="5384" width="9" style="2" bestFit="1" customWidth="1"/>
    <col min="5385" max="5385" width="7" style="2" bestFit="1" customWidth="1"/>
    <col min="5386" max="5386" width="8.625" style="2" bestFit="1" customWidth="1"/>
    <col min="5387" max="5387" width="8" style="2" bestFit="1" customWidth="1"/>
    <col min="5388" max="5388" width="9" style="2" bestFit="1" customWidth="1"/>
    <col min="5389" max="5390" width="5.125" style="2" bestFit="1" customWidth="1"/>
    <col min="5391" max="5391" width="34.25" style="2" customWidth="1"/>
    <col min="5392" max="5632" width="9.125" style="2"/>
    <col min="5633" max="5633" width="7" style="2" bestFit="1" customWidth="1"/>
    <col min="5634" max="5634" width="8.625" style="2" bestFit="1" customWidth="1"/>
    <col min="5635" max="5635" width="8" style="2" bestFit="1" customWidth="1"/>
    <col min="5636" max="5636" width="9" style="2" bestFit="1" customWidth="1"/>
    <col min="5637" max="5637" width="7" style="2" bestFit="1" customWidth="1"/>
    <col min="5638" max="5638" width="8.625" style="2" bestFit="1" customWidth="1"/>
    <col min="5639" max="5639" width="8" style="2" bestFit="1" customWidth="1"/>
    <col min="5640" max="5640" width="9" style="2" bestFit="1" customWidth="1"/>
    <col min="5641" max="5641" width="7" style="2" bestFit="1" customWidth="1"/>
    <col min="5642" max="5642" width="8.625" style="2" bestFit="1" customWidth="1"/>
    <col min="5643" max="5643" width="8" style="2" bestFit="1" customWidth="1"/>
    <col min="5644" max="5644" width="9" style="2" bestFit="1" customWidth="1"/>
    <col min="5645" max="5646" width="5.125" style="2" bestFit="1" customWidth="1"/>
    <col min="5647" max="5647" width="34.25" style="2" customWidth="1"/>
    <col min="5648" max="5888" width="9.125" style="2"/>
    <col min="5889" max="5889" width="7" style="2" bestFit="1" customWidth="1"/>
    <col min="5890" max="5890" width="8.625" style="2" bestFit="1" customWidth="1"/>
    <col min="5891" max="5891" width="8" style="2" bestFit="1" customWidth="1"/>
    <col min="5892" max="5892" width="9" style="2" bestFit="1" customWidth="1"/>
    <col min="5893" max="5893" width="7" style="2" bestFit="1" customWidth="1"/>
    <col min="5894" max="5894" width="8.625" style="2" bestFit="1" customWidth="1"/>
    <col min="5895" max="5895" width="8" style="2" bestFit="1" customWidth="1"/>
    <col min="5896" max="5896" width="9" style="2" bestFit="1" customWidth="1"/>
    <col min="5897" max="5897" width="7" style="2" bestFit="1" customWidth="1"/>
    <col min="5898" max="5898" width="8.625" style="2" bestFit="1" customWidth="1"/>
    <col min="5899" max="5899" width="8" style="2" bestFit="1" customWidth="1"/>
    <col min="5900" max="5900" width="9" style="2" bestFit="1" customWidth="1"/>
    <col min="5901" max="5902" width="5.125" style="2" bestFit="1" customWidth="1"/>
    <col min="5903" max="5903" width="34.25" style="2" customWidth="1"/>
    <col min="5904" max="6144" width="9.125" style="2"/>
    <col min="6145" max="6145" width="7" style="2" bestFit="1" customWidth="1"/>
    <col min="6146" max="6146" width="8.625" style="2" bestFit="1" customWidth="1"/>
    <col min="6147" max="6147" width="8" style="2" bestFit="1" customWidth="1"/>
    <col min="6148" max="6148" width="9" style="2" bestFit="1" customWidth="1"/>
    <col min="6149" max="6149" width="7" style="2" bestFit="1" customWidth="1"/>
    <col min="6150" max="6150" width="8.625" style="2" bestFit="1" customWidth="1"/>
    <col min="6151" max="6151" width="8" style="2" bestFit="1" customWidth="1"/>
    <col min="6152" max="6152" width="9" style="2" bestFit="1" customWidth="1"/>
    <col min="6153" max="6153" width="7" style="2" bestFit="1" customWidth="1"/>
    <col min="6154" max="6154" width="8.625" style="2" bestFit="1" customWidth="1"/>
    <col min="6155" max="6155" width="8" style="2" bestFit="1" customWidth="1"/>
    <col min="6156" max="6156" width="9" style="2" bestFit="1" customWidth="1"/>
    <col min="6157" max="6158" width="5.125" style="2" bestFit="1" customWidth="1"/>
    <col min="6159" max="6159" width="34.25" style="2" customWidth="1"/>
    <col min="6160" max="6400" width="9.125" style="2"/>
    <col min="6401" max="6401" width="7" style="2" bestFit="1" customWidth="1"/>
    <col min="6402" max="6402" width="8.625" style="2" bestFit="1" customWidth="1"/>
    <col min="6403" max="6403" width="8" style="2" bestFit="1" customWidth="1"/>
    <col min="6404" max="6404" width="9" style="2" bestFit="1" customWidth="1"/>
    <col min="6405" max="6405" width="7" style="2" bestFit="1" customWidth="1"/>
    <col min="6406" max="6406" width="8.625" style="2" bestFit="1" customWidth="1"/>
    <col min="6407" max="6407" width="8" style="2" bestFit="1" customWidth="1"/>
    <col min="6408" max="6408" width="9" style="2" bestFit="1" customWidth="1"/>
    <col min="6409" max="6409" width="7" style="2" bestFit="1" customWidth="1"/>
    <col min="6410" max="6410" width="8.625" style="2" bestFit="1" customWidth="1"/>
    <col min="6411" max="6411" width="8" style="2" bestFit="1" customWidth="1"/>
    <col min="6412" max="6412" width="9" style="2" bestFit="1" customWidth="1"/>
    <col min="6413" max="6414" width="5.125" style="2" bestFit="1" customWidth="1"/>
    <col min="6415" max="6415" width="34.25" style="2" customWidth="1"/>
    <col min="6416" max="6656" width="9.125" style="2"/>
    <col min="6657" max="6657" width="7" style="2" bestFit="1" customWidth="1"/>
    <col min="6658" max="6658" width="8.625" style="2" bestFit="1" customWidth="1"/>
    <col min="6659" max="6659" width="8" style="2" bestFit="1" customWidth="1"/>
    <col min="6660" max="6660" width="9" style="2" bestFit="1" customWidth="1"/>
    <col min="6661" max="6661" width="7" style="2" bestFit="1" customWidth="1"/>
    <col min="6662" max="6662" width="8.625" style="2" bestFit="1" customWidth="1"/>
    <col min="6663" max="6663" width="8" style="2" bestFit="1" customWidth="1"/>
    <col min="6664" max="6664" width="9" style="2" bestFit="1" customWidth="1"/>
    <col min="6665" max="6665" width="7" style="2" bestFit="1" customWidth="1"/>
    <col min="6666" max="6666" width="8.625" style="2" bestFit="1" customWidth="1"/>
    <col min="6667" max="6667" width="8" style="2" bestFit="1" customWidth="1"/>
    <col min="6668" max="6668" width="9" style="2" bestFit="1" customWidth="1"/>
    <col min="6669" max="6670" width="5.125" style="2" bestFit="1" customWidth="1"/>
    <col min="6671" max="6671" width="34.25" style="2" customWidth="1"/>
    <col min="6672" max="6912" width="9.125" style="2"/>
    <col min="6913" max="6913" width="7" style="2" bestFit="1" customWidth="1"/>
    <col min="6914" max="6914" width="8.625" style="2" bestFit="1" customWidth="1"/>
    <col min="6915" max="6915" width="8" style="2" bestFit="1" customWidth="1"/>
    <col min="6916" max="6916" width="9" style="2" bestFit="1" customWidth="1"/>
    <col min="6917" max="6917" width="7" style="2" bestFit="1" customWidth="1"/>
    <col min="6918" max="6918" width="8.625" style="2" bestFit="1" customWidth="1"/>
    <col min="6919" max="6919" width="8" style="2" bestFit="1" customWidth="1"/>
    <col min="6920" max="6920" width="9" style="2" bestFit="1" customWidth="1"/>
    <col min="6921" max="6921" width="7" style="2" bestFit="1" customWidth="1"/>
    <col min="6922" max="6922" width="8.625" style="2" bestFit="1" customWidth="1"/>
    <col min="6923" max="6923" width="8" style="2" bestFit="1" customWidth="1"/>
    <col min="6924" max="6924" width="9" style="2" bestFit="1" customWidth="1"/>
    <col min="6925" max="6926" width="5.125" style="2" bestFit="1" customWidth="1"/>
    <col min="6927" max="6927" width="34.25" style="2" customWidth="1"/>
    <col min="6928" max="7168" width="9.125" style="2"/>
    <col min="7169" max="7169" width="7" style="2" bestFit="1" customWidth="1"/>
    <col min="7170" max="7170" width="8.625" style="2" bestFit="1" customWidth="1"/>
    <col min="7171" max="7171" width="8" style="2" bestFit="1" customWidth="1"/>
    <col min="7172" max="7172" width="9" style="2" bestFit="1" customWidth="1"/>
    <col min="7173" max="7173" width="7" style="2" bestFit="1" customWidth="1"/>
    <col min="7174" max="7174" width="8.625" style="2" bestFit="1" customWidth="1"/>
    <col min="7175" max="7175" width="8" style="2" bestFit="1" customWidth="1"/>
    <col min="7176" max="7176" width="9" style="2" bestFit="1" customWidth="1"/>
    <col min="7177" max="7177" width="7" style="2" bestFit="1" customWidth="1"/>
    <col min="7178" max="7178" width="8.625" style="2" bestFit="1" customWidth="1"/>
    <col min="7179" max="7179" width="8" style="2" bestFit="1" customWidth="1"/>
    <col min="7180" max="7180" width="9" style="2" bestFit="1" customWidth="1"/>
    <col min="7181" max="7182" width="5.125" style="2" bestFit="1" customWidth="1"/>
    <col min="7183" max="7183" width="34.25" style="2" customWidth="1"/>
    <col min="7184" max="7424" width="9.125" style="2"/>
    <col min="7425" max="7425" width="7" style="2" bestFit="1" customWidth="1"/>
    <col min="7426" max="7426" width="8.625" style="2" bestFit="1" customWidth="1"/>
    <col min="7427" max="7427" width="8" style="2" bestFit="1" customWidth="1"/>
    <col min="7428" max="7428" width="9" style="2" bestFit="1" customWidth="1"/>
    <col min="7429" max="7429" width="7" style="2" bestFit="1" customWidth="1"/>
    <col min="7430" max="7430" width="8.625" style="2" bestFit="1" customWidth="1"/>
    <col min="7431" max="7431" width="8" style="2" bestFit="1" customWidth="1"/>
    <col min="7432" max="7432" width="9" style="2" bestFit="1" customWidth="1"/>
    <col min="7433" max="7433" width="7" style="2" bestFit="1" customWidth="1"/>
    <col min="7434" max="7434" width="8.625" style="2" bestFit="1" customWidth="1"/>
    <col min="7435" max="7435" width="8" style="2" bestFit="1" customWidth="1"/>
    <col min="7436" max="7436" width="9" style="2" bestFit="1" customWidth="1"/>
    <col min="7437" max="7438" width="5.125" style="2" bestFit="1" customWidth="1"/>
    <col min="7439" max="7439" width="34.25" style="2" customWidth="1"/>
    <col min="7440" max="7680" width="9.125" style="2"/>
    <col min="7681" max="7681" width="7" style="2" bestFit="1" customWidth="1"/>
    <col min="7682" max="7682" width="8.625" style="2" bestFit="1" customWidth="1"/>
    <col min="7683" max="7683" width="8" style="2" bestFit="1" customWidth="1"/>
    <col min="7684" max="7684" width="9" style="2" bestFit="1" customWidth="1"/>
    <col min="7685" max="7685" width="7" style="2" bestFit="1" customWidth="1"/>
    <col min="7686" max="7686" width="8.625" style="2" bestFit="1" customWidth="1"/>
    <col min="7687" max="7687" width="8" style="2" bestFit="1" customWidth="1"/>
    <col min="7688" max="7688" width="9" style="2" bestFit="1" customWidth="1"/>
    <col min="7689" max="7689" width="7" style="2" bestFit="1" customWidth="1"/>
    <col min="7690" max="7690" width="8.625" style="2" bestFit="1" customWidth="1"/>
    <col min="7691" max="7691" width="8" style="2" bestFit="1" customWidth="1"/>
    <col min="7692" max="7692" width="9" style="2" bestFit="1" customWidth="1"/>
    <col min="7693" max="7694" width="5.125" style="2" bestFit="1" customWidth="1"/>
    <col min="7695" max="7695" width="34.25" style="2" customWidth="1"/>
    <col min="7696" max="7936" width="9.125" style="2"/>
    <col min="7937" max="7937" width="7" style="2" bestFit="1" customWidth="1"/>
    <col min="7938" max="7938" width="8.625" style="2" bestFit="1" customWidth="1"/>
    <col min="7939" max="7939" width="8" style="2" bestFit="1" customWidth="1"/>
    <col min="7940" max="7940" width="9" style="2" bestFit="1" customWidth="1"/>
    <col min="7941" max="7941" width="7" style="2" bestFit="1" customWidth="1"/>
    <col min="7942" max="7942" width="8.625" style="2" bestFit="1" customWidth="1"/>
    <col min="7943" max="7943" width="8" style="2" bestFit="1" customWidth="1"/>
    <col min="7944" max="7944" width="9" style="2" bestFit="1" customWidth="1"/>
    <col min="7945" max="7945" width="7" style="2" bestFit="1" customWidth="1"/>
    <col min="7946" max="7946" width="8.625" style="2" bestFit="1" customWidth="1"/>
    <col min="7947" max="7947" width="8" style="2" bestFit="1" customWidth="1"/>
    <col min="7948" max="7948" width="9" style="2" bestFit="1" customWidth="1"/>
    <col min="7949" max="7950" width="5.125" style="2" bestFit="1" customWidth="1"/>
    <col min="7951" max="7951" width="34.25" style="2" customWidth="1"/>
    <col min="7952" max="8192" width="9.125" style="2"/>
    <col min="8193" max="8193" width="7" style="2" bestFit="1" customWidth="1"/>
    <col min="8194" max="8194" width="8.625" style="2" bestFit="1" customWidth="1"/>
    <col min="8195" max="8195" width="8" style="2" bestFit="1" customWidth="1"/>
    <col min="8196" max="8196" width="9" style="2" bestFit="1" customWidth="1"/>
    <col min="8197" max="8197" width="7" style="2" bestFit="1" customWidth="1"/>
    <col min="8198" max="8198" width="8.625" style="2" bestFit="1" customWidth="1"/>
    <col min="8199" max="8199" width="8" style="2" bestFit="1" customWidth="1"/>
    <col min="8200" max="8200" width="9" style="2" bestFit="1" customWidth="1"/>
    <col min="8201" max="8201" width="7" style="2" bestFit="1" customWidth="1"/>
    <col min="8202" max="8202" width="8.625" style="2" bestFit="1" customWidth="1"/>
    <col min="8203" max="8203" width="8" style="2" bestFit="1" customWidth="1"/>
    <col min="8204" max="8204" width="9" style="2" bestFit="1" customWidth="1"/>
    <col min="8205" max="8206" width="5.125" style="2" bestFit="1" customWidth="1"/>
    <col min="8207" max="8207" width="34.25" style="2" customWidth="1"/>
    <col min="8208" max="8448" width="9.125" style="2"/>
    <col min="8449" max="8449" width="7" style="2" bestFit="1" customWidth="1"/>
    <col min="8450" max="8450" width="8.625" style="2" bestFit="1" customWidth="1"/>
    <col min="8451" max="8451" width="8" style="2" bestFit="1" customWidth="1"/>
    <col min="8452" max="8452" width="9" style="2" bestFit="1" customWidth="1"/>
    <col min="8453" max="8453" width="7" style="2" bestFit="1" customWidth="1"/>
    <col min="8454" max="8454" width="8.625" style="2" bestFit="1" customWidth="1"/>
    <col min="8455" max="8455" width="8" style="2" bestFit="1" customWidth="1"/>
    <col min="8456" max="8456" width="9" style="2" bestFit="1" customWidth="1"/>
    <col min="8457" max="8457" width="7" style="2" bestFit="1" customWidth="1"/>
    <col min="8458" max="8458" width="8.625" style="2" bestFit="1" customWidth="1"/>
    <col min="8459" max="8459" width="8" style="2" bestFit="1" customWidth="1"/>
    <col min="8460" max="8460" width="9" style="2" bestFit="1" customWidth="1"/>
    <col min="8461" max="8462" width="5.125" style="2" bestFit="1" customWidth="1"/>
    <col min="8463" max="8463" width="34.25" style="2" customWidth="1"/>
    <col min="8464" max="8704" width="9.125" style="2"/>
    <col min="8705" max="8705" width="7" style="2" bestFit="1" customWidth="1"/>
    <col min="8706" max="8706" width="8.625" style="2" bestFit="1" customWidth="1"/>
    <col min="8707" max="8707" width="8" style="2" bestFit="1" customWidth="1"/>
    <col min="8708" max="8708" width="9" style="2" bestFit="1" customWidth="1"/>
    <col min="8709" max="8709" width="7" style="2" bestFit="1" customWidth="1"/>
    <col min="8710" max="8710" width="8.625" style="2" bestFit="1" customWidth="1"/>
    <col min="8711" max="8711" width="8" style="2" bestFit="1" customWidth="1"/>
    <col min="8712" max="8712" width="9" style="2" bestFit="1" customWidth="1"/>
    <col min="8713" max="8713" width="7" style="2" bestFit="1" customWidth="1"/>
    <col min="8714" max="8714" width="8.625" style="2" bestFit="1" customWidth="1"/>
    <col min="8715" max="8715" width="8" style="2" bestFit="1" customWidth="1"/>
    <col min="8716" max="8716" width="9" style="2" bestFit="1" customWidth="1"/>
    <col min="8717" max="8718" width="5.125" style="2" bestFit="1" customWidth="1"/>
    <col min="8719" max="8719" width="34.25" style="2" customWidth="1"/>
    <col min="8720" max="8960" width="9.125" style="2"/>
    <col min="8961" max="8961" width="7" style="2" bestFit="1" customWidth="1"/>
    <col min="8962" max="8962" width="8.625" style="2" bestFit="1" customWidth="1"/>
    <col min="8963" max="8963" width="8" style="2" bestFit="1" customWidth="1"/>
    <col min="8964" max="8964" width="9" style="2" bestFit="1" customWidth="1"/>
    <col min="8965" max="8965" width="7" style="2" bestFit="1" customWidth="1"/>
    <col min="8966" max="8966" width="8.625" style="2" bestFit="1" customWidth="1"/>
    <col min="8967" max="8967" width="8" style="2" bestFit="1" customWidth="1"/>
    <col min="8968" max="8968" width="9" style="2" bestFit="1" customWidth="1"/>
    <col min="8969" max="8969" width="7" style="2" bestFit="1" customWidth="1"/>
    <col min="8970" max="8970" width="8.625" style="2" bestFit="1" customWidth="1"/>
    <col min="8971" max="8971" width="8" style="2" bestFit="1" customWidth="1"/>
    <col min="8972" max="8972" width="9" style="2" bestFit="1" customWidth="1"/>
    <col min="8973" max="8974" width="5.125" style="2" bestFit="1" customWidth="1"/>
    <col min="8975" max="8975" width="34.25" style="2" customWidth="1"/>
    <col min="8976" max="9216" width="9.125" style="2"/>
    <col min="9217" max="9217" width="7" style="2" bestFit="1" customWidth="1"/>
    <col min="9218" max="9218" width="8.625" style="2" bestFit="1" customWidth="1"/>
    <col min="9219" max="9219" width="8" style="2" bestFit="1" customWidth="1"/>
    <col min="9220" max="9220" width="9" style="2" bestFit="1" customWidth="1"/>
    <col min="9221" max="9221" width="7" style="2" bestFit="1" customWidth="1"/>
    <col min="9222" max="9222" width="8.625" style="2" bestFit="1" customWidth="1"/>
    <col min="9223" max="9223" width="8" style="2" bestFit="1" customWidth="1"/>
    <col min="9224" max="9224" width="9" style="2" bestFit="1" customWidth="1"/>
    <col min="9225" max="9225" width="7" style="2" bestFit="1" customWidth="1"/>
    <col min="9226" max="9226" width="8.625" style="2" bestFit="1" customWidth="1"/>
    <col min="9227" max="9227" width="8" style="2" bestFit="1" customWidth="1"/>
    <col min="9228" max="9228" width="9" style="2" bestFit="1" customWidth="1"/>
    <col min="9229" max="9230" width="5.125" style="2" bestFit="1" customWidth="1"/>
    <col min="9231" max="9231" width="34.25" style="2" customWidth="1"/>
    <col min="9232" max="9472" width="9.125" style="2"/>
    <col min="9473" max="9473" width="7" style="2" bestFit="1" customWidth="1"/>
    <col min="9474" max="9474" width="8.625" style="2" bestFit="1" customWidth="1"/>
    <col min="9475" max="9475" width="8" style="2" bestFit="1" customWidth="1"/>
    <col min="9476" max="9476" width="9" style="2" bestFit="1" customWidth="1"/>
    <col min="9477" max="9477" width="7" style="2" bestFit="1" customWidth="1"/>
    <col min="9478" max="9478" width="8.625" style="2" bestFit="1" customWidth="1"/>
    <col min="9479" max="9479" width="8" style="2" bestFit="1" customWidth="1"/>
    <col min="9480" max="9480" width="9" style="2" bestFit="1" customWidth="1"/>
    <col min="9481" max="9481" width="7" style="2" bestFit="1" customWidth="1"/>
    <col min="9482" max="9482" width="8.625" style="2" bestFit="1" customWidth="1"/>
    <col min="9483" max="9483" width="8" style="2" bestFit="1" customWidth="1"/>
    <col min="9484" max="9484" width="9" style="2" bestFit="1" customWidth="1"/>
    <col min="9485" max="9486" width="5.125" style="2" bestFit="1" customWidth="1"/>
    <col min="9487" max="9487" width="34.25" style="2" customWidth="1"/>
    <col min="9488" max="9728" width="9.125" style="2"/>
    <col min="9729" max="9729" width="7" style="2" bestFit="1" customWidth="1"/>
    <col min="9730" max="9730" width="8.625" style="2" bestFit="1" customWidth="1"/>
    <col min="9731" max="9731" width="8" style="2" bestFit="1" customWidth="1"/>
    <col min="9732" max="9732" width="9" style="2" bestFit="1" customWidth="1"/>
    <col min="9733" max="9733" width="7" style="2" bestFit="1" customWidth="1"/>
    <col min="9734" max="9734" width="8.625" style="2" bestFit="1" customWidth="1"/>
    <col min="9735" max="9735" width="8" style="2" bestFit="1" customWidth="1"/>
    <col min="9736" max="9736" width="9" style="2" bestFit="1" customWidth="1"/>
    <col min="9737" max="9737" width="7" style="2" bestFit="1" customWidth="1"/>
    <col min="9738" max="9738" width="8.625" style="2" bestFit="1" customWidth="1"/>
    <col min="9739" max="9739" width="8" style="2" bestFit="1" customWidth="1"/>
    <col min="9740" max="9740" width="9" style="2" bestFit="1" customWidth="1"/>
    <col min="9741" max="9742" width="5.125" style="2" bestFit="1" customWidth="1"/>
    <col min="9743" max="9743" width="34.25" style="2" customWidth="1"/>
    <col min="9744" max="9984" width="9.125" style="2"/>
    <col min="9985" max="9985" width="7" style="2" bestFit="1" customWidth="1"/>
    <col min="9986" max="9986" width="8.625" style="2" bestFit="1" customWidth="1"/>
    <col min="9987" max="9987" width="8" style="2" bestFit="1" customWidth="1"/>
    <col min="9988" max="9988" width="9" style="2" bestFit="1" customWidth="1"/>
    <col min="9989" max="9989" width="7" style="2" bestFit="1" customWidth="1"/>
    <col min="9990" max="9990" width="8.625" style="2" bestFit="1" customWidth="1"/>
    <col min="9991" max="9991" width="8" style="2" bestFit="1" customWidth="1"/>
    <col min="9992" max="9992" width="9" style="2" bestFit="1" customWidth="1"/>
    <col min="9993" max="9993" width="7" style="2" bestFit="1" customWidth="1"/>
    <col min="9994" max="9994" width="8.625" style="2" bestFit="1" customWidth="1"/>
    <col min="9995" max="9995" width="8" style="2" bestFit="1" customWidth="1"/>
    <col min="9996" max="9996" width="9" style="2" bestFit="1" customWidth="1"/>
    <col min="9997" max="9998" width="5.125" style="2" bestFit="1" customWidth="1"/>
    <col min="9999" max="9999" width="34.25" style="2" customWidth="1"/>
    <col min="10000" max="10240" width="9.125" style="2"/>
    <col min="10241" max="10241" width="7" style="2" bestFit="1" customWidth="1"/>
    <col min="10242" max="10242" width="8.625" style="2" bestFit="1" customWidth="1"/>
    <col min="10243" max="10243" width="8" style="2" bestFit="1" customWidth="1"/>
    <col min="10244" max="10244" width="9" style="2" bestFit="1" customWidth="1"/>
    <col min="10245" max="10245" width="7" style="2" bestFit="1" customWidth="1"/>
    <col min="10246" max="10246" width="8.625" style="2" bestFit="1" customWidth="1"/>
    <col min="10247" max="10247" width="8" style="2" bestFit="1" customWidth="1"/>
    <col min="10248" max="10248" width="9" style="2" bestFit="1" customWidth="1"/>
    <col min="10249" max="10249" width="7" style="2" bestFit="1" customWidth="1"/>
    <col min="10250" max="10250" width="8.625" style="2" bestFit="1" customWidth="1"/>
    <col min="10251" max="10251" width="8" style="2" bestFit="1" customWidth="1"/>
    <col min="10252" max="10252" width="9" style="2" bestFit="1" customWidth="1"/>
    <col min="10253" max="10254" width="5.125" style="2" bestFit="1" customWidth="1"/>
    <col min="10255" max="10255" width="34.25" style="2" customWidth="1"/>
    <col min="10256" max="10496" width="9.125" style="2"/>
    <col min="10497" max="10497" width="7" style="2" bestFit="1" customWidth="1"/>
    <col min="10498" max="10498" width="8.625" style="2" bestFit="1" customWidth="1"/>
    <col min="10499" max="10499" width="8" style="2" bestFit="1" customWidth="1"/>
    <col min="10500" max="10500" width="9" style="2" bestFit="1" customWidth="1"/>
    <col min="10501" max="10501" width="7" style="2" bestFit="1" customWidth="1"/>
    <col min="10502" max="10502" width="8.625" style="2" bestFit="1" customWidth="1"/>
    <col min="10503" max="10503" width="8" style="2" bestFit="1" customWidth="1"/>
    <col min="10504" max="10504" width="9" style="2" bestFit="1" customWidth="1"/>
    <col min="10505" max="10505" width="7" style="2" bestFit="1" customWidth="1"/>
    <col min="10506" max="10506" width="8.625" style="2" bestFit="1" customWidth="1"/>
    <col min="10507" max="10507" width="8" style="2" bestFit="1" customWidth="1"/>
    <col min="10508" max="10508" width="9" style="2" bestFit="1" customWidth="1"/>
    <col min="10509" max="10510" width="5.125" style="2" bestFit="1" customWidth="1"/>
    <col min="10511" max="10511" width="34.25" style="2" customWidth="1"/>
    <col min="10512" max="10752" width="9.125" style="2"/>
    <col min="10753" max="10753" width="7" style="2" bestFit="1" customWidth="1"/>
    <col min="10754" max="10754" width="8.625" style="2" bestFit="1" customWidth="1"/>
    <col min="10755" max="10755" width="8" style="2" bestFit="1" customWidth="1"/>
    <col min="10756" max="10756" width="9" style="2" bestFit="1" customWidth="1"/>
    <col min="10757" max="10757" width="7" style="2" bestFit="1" customWidth="1"/>
    <col min="10758" max="10758" width="8.625" style="2" bestFit="1" customWidth="1"/>
    <col min="10759" max="10759" width="8" style="2" bestFit="1" customWidth="1"/>
    <col min="10760" max="10760" width="9" style="2" bestFit="1" customWidth="1"/>
    <col min="10761" max="10761" width="7" style="2" bestFit="1" customWidth="1"/>
    <col min="10762" max="10762" width="8.625" style="2" bestFit="1" customWidth="1"/>
    <col min="10763" max="10763" width="8" style="2" bestFit="1" customWidth="1"/>
    <col min="10764" max="10764" width="9" style="2" bestFit="1" customWidth="1"/>
    <col min="10765" max="10766" width="5.125" style="2" bestFit="1" customWidth="1"/>
    <col min="10767" max="10767" width="34.25" style="2" customWidth="1"/>
    <col min="10768" max="11008" width="9.125" style="2"/>
    <col min="11009" max="11009" width="7" style="2" bestFit="1" customWidth="1"/>
    <col min="11010" max="11010" width="8.625" style="2" bestFit="1" customWidth="1"/>
    <col min="11011" max="11011" width="8" style="2" bestFit="1" customWidth="1"/>
    <col min="11012" max="11012" width="9" style="2" bestFit="1" customWidth="1"/>
    <col min="11013" max="11013" width="7" style="2" bestFit="1" customWidth="1"/>
    <col min="11014" max="11014" width="8.625" style="2" bestFit="1" customWidth="1"/>
    <col min="11015" max="11015" width="8" style="2" bestFit="1" customWidth="1"/>
    <col min="11016" max="11016" width="9" style="2" bestFit="1" customWidth="1"/>
    <col min="11017" max="11017" width="7" style="2" bestFit="1" customWidth="1"/>
    <col min="11018" max="11018" width="8.625" style="2" bestFit="1" customWidth="1"/>
    <col min="11019" max="11019" width="8" style="2" bestFit="1" customWidth="1"/>
    <col min="11020" max="11020" width="9" style="2" bestFit="1" customWidth="1"/>
    <col min="11021" max="11022" width="5.125" style="2" bestFit="1" customWidth="1"/>
    <col min="11023" max="11023" width="34.25" style="2" customWidth="1"/>
    <col min="11024" max="11264" width="9.125" style="2"/>
    <col min="11265" max="11265" width="7" style="2" bestFit="1" customWidth="1"/>
    <col min="11266" max="11266" width="8.625" style="2" bestFit="1" customWidth="1"/>
    <col min="11267" max="11267" width="8" style="2" bestFit="1" customWidth="1"/>
    <col min="11268" max="11268" width="9" style="2" bestFit="1" customWidth="1"/>
    <col min="11269" max="11269" width="7" style="2" bestFit="1" customWidth="1"/>
    <col min="11270" max="11270" width="8.625" style="2" bestFit="1" customWidth="1"/>
    <col min="11271" max="11271" width="8" style="2" bestFit="1" customWidth="1"/>
    <col min="11272" max="11272" width="9" style="2" bestFit="1" customWidth="1"/>
    <col min="11273" max="11273" width="7" style="2" bestFit="1" customWidth="1"/>
    <col min="11274" max="11274" width="8.625" style="2" bestFit="1" customWidth="1"/>
    <col min="11275" max="11275" width="8" style="2" bestFit="1" customWidth="1"/>
    <col min="11276" max="11276" width="9" style="2" bestFit="1" customWidth="1"/>
    <col min="11277" max="11278" width="5.125" style="2" bestFit="1" customWidth="1"/>
    <col min="11279" max="11279" width="34.25" style="2" customWidth="1"/>
    <col min="11280" max="11520" width="9.125" style="2"/>
    <col min="11521" max="11521" width="7" style="2" bestFit="1" customWidth="1"/>
    <col min="11522" max="11522" width="8.625" style="2" bestFit="1" customWidth="1"/>
    <col min="11523" max="11523" width="8" style="2" bestFit="1" customWidth="1"/>
    <col min="11524" max="11524" width="9" style="2" bestFit="1" customWidth="1"/>
    <col min="11525" max="11525" width="7" style="2" bestFit="1" customWidth="1"/>
    <col min="11526" max="11526" width="8.625" style="2" bestFit="1" customWidth="1"/>
    <col min="11527" max="11527" width="8" style="2" bestFit="1" customWidth="1"/>
    <col min="11528" max="11528" width="9" style="2" bestFit="1" customWidth="1"/>
    <col min="11529" max="11529" width="7" style="2" bestFit="1" customWidth="1"/>
    <col min="11530" max="11530" width="8.625" style="2" bestFit="1" customWidth="1"/>
    <col min="11531" max="11531" width="8" style="2" bestFit="1" customWidth="1"/>
    <col min="11532" max="11532" width="9" style="2" bestFit="1" customWidth="1"/>
    <col min="11533" max="11534" width="5.125" style="2" bestFit="1" customWidth="1"/>
    <col min="11535" max="11535" width="34.25" style="2" customWidth="1"/>
    <col min="11536" max="11776" width="9.125" style="2"/>
    <col min="11777" max="11777" width="7" style="2" bestFit="1" customWidth="1"/>
    <col min="11778" max="11778" width="8.625" style="2" bestFit="1" customWidth="1"/>
    <col min="11779" max="11779" width="8" style="2" bestFit="1" customWidth="1"/>
    <col min="11780" max="11780" width="9" style="2" bestFit="1" customWidth="1"/>
    <col min="11781" max="11781" width="7" style="2" bestFit="1" customWidth="1"/>
    <col min="11782" max="11782" width="8.625" style="2" bestFit="1" customWidth="1"/>
    <col min="11783" max="11783" width="8" style="2" bestFit="1" customWidth="1"/>
    <col min="11784" max="11784" width="9" style="2" bestFit="1" customWidth="1"/>
    <col min="11785" max="11785" width="7" style="2" bestFit="1" customWidth="1"/>
    <col min="11786" max="11786" width="8.625" style="2" bestFit="1" customWidth="1"/>
    <col min="11787" max="11787" width="8" style="2" bestFit="1" customWidth="1"/>
    <col min="11788" max="11788" width="9" style="2" bestFit="1" customWidth="1"/>
    <col min="11789" max="11790" width="5.125" style="2" bestFit="1" customWidth="1"/>
    <col min="11791" max="11791" width="34.25" style="2" customWidth="1"/>
    <col min="11792" max="12032" width="9.125" style="2"/>
    <col min="12033" max="12033" width="7" style="2" bestFit="1" customWidth="1"/>
    <col min="12034" max="12034" width="8.625" style="2" bestFit="1" customWidth="1"/>
    <col min="12035" max="12035" width="8" style="2" bestFit="1" customWidth="1"/>
    <col min="12036" max="12036" width="9" style="2" bestFit="1" customWidth="1"/>
    <col min="12037" max="12037" width="7" style="2" bestFit="1" customWidth="1"/>
    <col min="12038" max="12038" width="8.625" style="2" bestFit="1" customWidth="1"/>
    <col min="12039" max="12039" width="8" style="2" bestFit="1" customWidth="1"/>
    <col min="12040" max="12040" width="9" style="2" bestFit="1" customWidth="1"/>
    <col min="12041" max="12041" width="7" style="2" bestFit="1" customWidth="1"/>
    <col min="12042" max="12042" width="8.625" style="2" bestFit="1" customWidth="1"/>
    <col min="12043" max="12043" width="8" style="2" bestFit="1" customWidth="1"/>
    <col min="12044" max="12044" width="9" style="2" bestFit="1" customWidth="1"/>
    <col min="12045" max="12046" width="5.125" style="2" bestFit="1" customWidth="1"/>
    <col min="12047" max="12047" width="34.25" style="2" customWidth="1"/>
    <col min="12048" max="12288" width="9.125" style="2"/>
    <col min="12289" max="12289" width="7" style="2" bestFit="1" customWidth="1"/>
    <col min="12290" max="12290" width="8.625" style="2" bestFit="1" customWidth="1"/>
    <col min="12291" max="12291" width="8" style="2" bestFit="1" customWidth="1"/>
    <col min="12292" max="12292" width="9" style="2" bestFit="1" customWidth="1"/>
    <col min="12293" max="12293" width="7" style="2" bestFit="1" customWidth="1"/>
    <col min="12294" max="12294" width="8.625" style="2" bestFit="1" customWidth="1"/>
    <col min="12295" max="12295" width="8" style="2" bestFit="1" customWidth="1"/>
    <col min="12296" max="12296" width="9" style="2" bestFit="1" customWidth="1"/>
    <col min="12297" max="12297" width="7" style="2" bestFit="1" customWidth="1"/>
    <col min="12298" max="12298" width="8.625" style="2" bestFit="1" customWidth="1"/>
    <col min="12299" max="12299" width="8" style="2" bestFit="1" customWidth="1"/>
    <col min="12300" max="12300" width="9" style="2" bestFit="1" customWidth="1"/>
    <col min="12301" max="12302" width="5.125" style="2" bestFit="1" customWidth="1"/>
    <col min="12303" max="12303" width="34.25" style="2" customWidth="1"/>
    <col min="12304" max="12544" width="9.125" style="2"/>
    <col min="12545" max="12545" width="7" style="2" bestFit="1" customWidth="1"/>
    <col min="12546" max="12546" width="8.625" style="2" bestFit="1" customWidth="1"/>
    <col min="12547" max="12547" width="8" style="2" bestFit="1" customWidth="1"/>
    <col min="12548" max="12548" width="9" style="2" bestFit="1" customWidth="1"/>
    <col min="12549" max="12549" width="7" style="2" bestFit="1" customWidth="1"/>
    <col min="12550" max="12550" width="8.625" style="2" bestFit="1" customWidth="1"/>
    <col min="12551" max="12551" width="8" style="2" bestFit="1" customWidth="1"/>
    <col min="12552" max="12552" width="9" style="2" bestFit="1" customWidth="1"/>
    <col min="12553" max="12553" width="7" style="2" bestFit="1" customWidth="1"/>
    <col min="12554" max="12554" width="8.625" style="2" bestFit="1" customWidth="1"/>
    <col min="12555" max="12555" width="8" style="2" bestFit="1" customWidth="1"/>
    <col min="12556" max="12556" width="9" style="2" bestFit="1" customWidth="1"/>
    <col min="12557" max="12558" width="5.125" style="2" bestFit="1" customWidth="1"/>
    <col min="12559" max="12559" width="34.25" style="2" customWidth="1"/>
    <col min="12560" max="12800" width="9.125" style="2"/>
    <col min="12801" max="12801" width="7" style="2" bestFit="1" customWidth="1"/>
    <col min="12802" max="12802" width="8.625" style="2" bestFit="1" customWidth="1"/>
    <col min="12803" max="12803" width="8" style="2" bestFit="1" customWidth="1"/>
    <col min="12804" max="12804" width="9" style="2" bestFit="1" customWidth="1"/>
    <col min="12805" max="12805" width="7" style="2" bestFit="1" customWidth="1"/>
    <col min="12806" max="12806" width="8.625" style="2" bestFit="1" customWidth="1"/>
    <col min="12807" max="12807" width="8" style="2" bestFit="1" customWidth="1"/>
    <col min="12808" max="12808" width="9" style="2" bestFit="1" customWidth="1"/>
    <col min="12809" max="12809" width="7" style="2" bestFit="1" customWidth="1"/>
    <col min="12810" max="12810" width="8.625" style="2" bestFit="1" customWidth="1"/>
    <col min="12811" max="12811" width="8" style="2" bestFit="1" customWidth="1"/>
    <col min="12812" max="12812" width="9" style="2" bestFit="1" customWidth="1"/>
    <col min="12813" max="12814" width="5.125" style="2" bestFit="1" customWidth="1"/>
    <col min="12815" max="12815" width="34.25" style="2" customWidth="1"/>
    <col min="12816" max="13056" width="9.125" style="2"/>
    <col min="13057" max="13057" width="7" style="2" bestFit="1" customWidth="1"/>
    <col min="13058" max="13058" width="8.625" style="2" bestFit="1" customWidth="1"/>
    <col min="13059" max="13059" width="8" style="2" bestFit="1" customWidth="1"/>
    <col min="13060" max="13060" width="9" style="2" bestFit="1" customWidth="1"/>
    <col min="13061" max="13061" width="7" style="2" bestFit="1" customWidth="1"/>
    <col min="13062" max="13062" width="8.625" style="2" bestFit="1" customWidth="1"/>
    <col min="13063" max="13063" width="8" style="2" bestFit="1" customWidth="1"/>
    <col min="13064" max="13064" width="9" style="2" bestFit="1" customWidth="1"/>
    <col min="13065" max="13065" width="7" style="2" bestFit="1" customWidth="1"/>
    <col min="13066" max="13066" width="8.625" style="2" bestFit="1" customWidth="1"/>
    <col min="13067" max="13067" width="8" style="2" bestFit="1" customWidth="1"/>
    <col min="13068" max="13068" width="9" style="2" bestFit="1" customWidth="1"/>
    <col min="13069" max="13070" width="5.125" style="2" bestFit="1" customWidth="1"/>
    <col min="13071" max="13071" width="34.25" style="2" customWidth="1"/>
    <col min="13072" max="13312" width="9.125" style="2"/>
    <col min="13313" max="13313" width="7" style="2" bestFit="1" customWidth="1"/>
    <col min="13314" max="13314" width="8.625" style="2" bestFit="1" customWidth="1"/>
    <col min="13315" max="13315" width="8" style="2" bestFit="1" customWidth="1"/>
    <col min="13316" max="13316" width="9" style="2" bestFit="1" customWidth="1"/>
    <col min="13317" max="13317" width="7" style="2" bestFit="1" customWidth="1"/>
    <col min="13318" max="13318" width="8.625" style="2" bestFit="1" customWidth="1"/>
    <col min="13319" max="13319" width="8" style="2" bestFit="1" customWidth="1"/>
    <col min="13320" max="13320" width="9" style="2" bestFit="1" customWidth="1"/>
    <col min="13321" max="13321" width="7" style="2" bestFit="1" customWidth="1"/>
    <col min="13322" max="13322" width="8.625" style="2" bestFit="1" customWidth="1"/>
    <col min="13323" max="13323" width="8" style="2" bestFit="1" customWidth="1"/>
    <col min="13324" max="13324" width="9" style="2" bestFit="1" customWidth="1"/>
    <col min="13325" max="13326" width="5.125" style="2" bestFit="1" customWidth="1"/>
    <col min="13327" max="13327" width="34.25" style="2" customWidth="1"/>
    <col min="13328" max="13568" width="9.125" style="2"/>
    <col min="13569" max="13569" width="7" style="2" bestFit="1" customWidth="1"/>
    <col min="13570" max="13570" width="8.625" style="2" bestFit="1" customWidth="1"/>
    <col min="13571" max="13571" width="8" style="2" bestFit="1" customWidth="1"/>
    <col min="13572" max="13572" width="9" style="2" bestFit="1" customWidth="1"/>
    <col min="13573" max="13573" width="7" style="2" bestFit="1" customWidth="1"/>
    <col min="13574" max="13574" width="8.625" style="2" bestFit="1" customWidth="1"/>
    <col min="13575" max="13575" width="8" style="2" bestFit="1" customWidth="1"/>
    <col min="13576" max="13576" width="9" style="2" bestFit="1" customWidth="1"/>
    <col min="13577" max="13577" width="7" style="2" bestFit="1" customWidth="1"/>
    <col min="13578" max="13578" width="8.625" style="2" bestFit="1" customWidth="1"/>
    <col min="13579" max="13579" width="8" style="2" bestFit="1" customWidth="1"/>
    <col min="13580" max="13580" width="9" style="2" bestFit="1" customWidth="1"/>
    <col min="13581" max="13582" width="5.125" style="2" bestFit="1" customWidth="1"/>
    <col min="13583" max="13583" width="34.25" style="2" customWidth="1"/>
    <col min="13584" max="13824" width="9.125" style="2"/>
    <col min="13825" max="13825" width="7" style="2" bestFit="1" customWidth="1"/>
    <col min="13826" max="13826" width="8.625" style="2" bestFit="1" customWidth="1"/>
    <col min="13827" max="13827" width="8" style="2" bestFit="1" customWidth="1"/>
    <col min="13828" max="13828" width="9" style="2" bestFit="1" customWidth="1"/>
    <col min="13829" max="13829" width="7" style="2" bestFit="1" customWidth="1"/>
    <col min="13830" max="13830" width="8.625" style="2" bestFit="1" customWidth="1"/>
    <col min="13831" max="13831" width="8" style="2" bestFit="1" customWidth="1"/>
    <col min="13832" max="13832" width="9" style="2" bestFit="1" customWidth="1"/>
    <col min="13833" max="13833" width="7" style="2" bestFit="1" customWidth="1"/>
    <col min="13834" max="13834" width="8.625" style="2" bestFit="1" customWidth="1"/>
    <col min="13835" max="13835" width="8" style="2" bestFit="1" customWidth="1"/>
    <col min="13836" max="13836" width="9" style="2" bestFit="1" customWidth="1"/>
    <col min="13837" max="13838" width="5.125" style="2" bestFit="1" customWidth="1"/>
    <col min="13839" max="13839" width="34.25" style="2" customWidth="1"/>
    <col min="13840" max="14080" width="9.125" style="2"/>
    <col min="14081" max="14081" width="7" style="2" bestFit="1" customWidth="1"/>
    <col min="14082" max="14082" width="8.625" style="2" bestFit="1" customWidth="1"/>
    <col min="14083" max="14083" width="8" style="2" bestFit="1" customWidth="1"/>
    <col min="14084" max="14084" width="9" style="2" bestFit="1" customWidth="1"/>
    <col min="14085" max="14085" width="7" style="2" bestFit="1" customWidth="1"/>
    <col min="14086" max="14086" width="8.625" style="2" bestFit="1" customWidth="1"/>
    <col min="14087" max="14087" width="8" style="2" bestFit="1" customWidth="1"/>
    <col min="14088" max="14088" width="9" style="2" bestFit="1" customWidth="1"/>
    <col min="14089" max="14089" width="7" style="2" bestFit="1" customWidth="1"/>
    <col min="14090" max="14090" width="8.625" style="2" bestFit="1" customWidth="1"/>
    <col min="14091" max="14091" width="8" style="2" bestFit="1" customWidth="1"/>
    <col min="14092" max="14092" width="9" style="2" bestFit="1" customWidth="1"/>
    <col min="14093" max="14094" width="5.125" style="2" bestFit="1" customWidth="1"/>
    <col min="14095" max="14095" width="34.25" style="2" customWidth="1"/>
    <col min="14096" max="14336" width="9.125" style="2"/>
    <col min="14337" max="14337" width="7" style="2" bestFit="1" customWidth="1"/>
    <col min="14338" max="14338" width="8.625" style="2" bestFit="1" customWidth="1"/>
    <col min="14339" max="14339" width="8" style="2" bestFit="1" customWidth="1"/>
    <col min="14340" max="14340" width="9" style="2" bestFit="1" customWidth="1"/>
    <col min="14341" max="14341" width="7" style="2" bestFit="1" customWidth="1"/>
    <col min="14342" max="14342" width="8.625" style="2" bestFit="1" customWidth="1"/>
    <col min="14343" max="14343" width="8" style="2" bestFit="1" customWidth="1"/>
    <col min="14344" max="14344" width="9" style="2" bestFit="1" customWidth="1"/>
    <col min="14345" max="14345" width="7" style="2" bestFit="1" customWidth="1"/>
    <col min="14346" max="14346" width="8.625" style="2" bestFit="1" customWidth="1"/>
    <col min="14347" max="14347" width="8" style="2" bestFit="1" customWidth="1"/>
    <col min="14348" max="14348" width="9" style="2" bestFit="1" customWidth="1"/>
    <col min="14349" max="14350" width="5.125" style="2" bestFit="1" customWidth="1"/>
    <col min="14351" max="14351" width="34.25" style="2" customWidth="1"/>
    <col min="14352" max="14592" width="9.125" style="2"/>
    <col min="14593" max="14593" width="7" style="2" bestFit="1" customWidth="1"/>
    <col min="14594" max="14594" width="8.625" style="2" bestFit="1" customWidth="1"/>
    <col min="14595" max="14595" width="8" style="2" bestFit="1" customWidth="1"/>
    <col min="14596" max="14596" width="9" style="2" bestFit="1" customWidth="1"/>
    <col min="14597" max="14597" width="7" style="2" bestFit="1" customWidth="1"/>
    <col min="14598" max="14598" width="8.625" style="2" bestFit="1" customWidth="1"/>
    <col min="14599" max="14599" width="8" style="2" bestFit="1" customWidth="1"/>
    <col min="14600" max="14600" width="9" style="2" bestFit="1" customWidth="1"/>
    <col min="14601" max="14601" width="7" style="2" bestFit="1" customWidth="1"/>
    <col min="14602" max="14602" width="8.625" style="2" bestFit="1" customWidth="1"/>
    <col min="14603" max="14603" width="8" style="2" bestFit="1" customWidth="1"/>
    <col min="14604" max="14604" width="9" style="2" bestFit="1" customWidth="1"/>
    <col min="14605" max="14606" width="5.125" style="2" bestFit="1" customWidth="1"/>
    <col min="14607" max="14607" width="34.25" style="2" customWidth="1"/>
    <col min="14608" max="14848" width="9.125" style="2"/>
    <col min="14849" max="14849" width="7" style="2" bestFit="1" customWidth="1"/>
    <col min="14850" max="14850" width="8.625" style="2" bestFit="1" customWidth="1"/>
    <col min="14851" max="14851" width="8" style="2" bestFit="1" customWidth="1"/>
    <col min="14852" max="14852" width="9" style="2" bestFit="1" customWidth="1"/>
    <col min="14853" max="14853" width="7" style="2" bestFit="1" customWidth="1"/>
    <col min="14854" max="14854" width="8.625" style="2" bestFit="1" customWidth="1"/>
    <col min="14855" max="14855" width="8" style="2" bestFit="1" customWidth="1"/>
    <col min="14856" max="14856" width="9" style="2" bestFit="1" customWidth="1"/>
    <col min="14857" max="14857" width="7" style="2" bestFit="1" customWidth="1"/>
    <col min="14858" max="14858" width="8.625" style="2" bestFit="1" customWidth="1"/>
    <col min="14859" max="14859" width="8" style="2" bestFit="1" customWidth="1"/>
    <col min="14860" max="14860" width="9" style="2" bestFit="1" customWidth="1"/>
    <col min="14861" max="14862" width="5.125" style="2" bestFit="1" customWidth="1"/>
    <col min="14863" max="14863" width="34.25" style="2" customWidth="1"/>
    <col min="14864" max="15104" width="9.125" style="2"/>
    <col min="15105" max="15105" width="7" style="2" bestFit="1" customWidth="1"/>
    <col min="15106" max="15106" width="8.625" style="2" bestFit="1" customWidth="1"/>
    <col min="15107" max="15107" width="8" style="2" bestFit="1" customWidth="1"/>
    <col min="15108" max="15108" width="9" style="2" bestFit="1" customWidth="1"/>
    <col min="15109" max="15109" width="7" style="2" bestFit="1" customWidth="1"/>
    <col min="15110" max="15110" width="8.625" style="2" bestFit="1" customWidth="1"/>
    <col min="15111" max="15111" width="8" style="2" bestFit="1" customWidth="1"/>
    <col min="15112" max="15112" width="9" style="2" bestFit="1" customWidth="1"/>
    <col min="15113" max="15113" width="7" style="2" bestFit="1" customWidth="1"/>
    <col min="15114" max="15114" width="8.625" style="2" bestFit="1" customWidth="1"/>
    <col min="15115" max="15115" width="8" style="2" bestFit="1" customWidth="1"/>
    <col min="15116" max="15116" width="9" style="2" bestFit="1" customWidth="1"/>
    <col min="15117" max="15118" width="5.125" style="2" bestFit="1" customWidth="1"/>
    <col min="15119" max="15119" width="34.25" style="2" customWidth="1"/>
    <col min="15120" max="15360" width="9.125" style="2"/>
    <col min="15361" max="15361" width="7" style="2" bestFit="1" customWidth="1"/>
    <col min="15362" max="15362" width="8.625" style="2" bestFit="1" customWidth="1"/>
    <col min="15363" max="15363" width="8" style="2" bestFit="1" customWidth="1"/>
    <col min="15364" max="15364" width="9" style="2" bestFit="1" customWidth="1"/>
    <col min="15365" max="15365" width="7" style="2" bestFit="1" customWidth="1"/>
    <col min="15366" max="15366" width="8.625" style="2" bestFit="1" customWidth="1"/>
    <col min="15367" max="15367" width="8" style="2" bestFit="1" customWidth="1"/>
    <col min="15368" max="15368" width="9" style="2" bestFit="1" customWidth="1"/>
    <col min="15369" max="15369" width="7" style="2" bestFit="1" customWidth="1"/>
    <col min="15370" max="15370" width="8.625" style="2" bestFit="1" customWidth="1"/>
    <col min="15371" max="15371" width="8" style="2" bestFit="1" customWidth="1"/>
    <col min="15372" max="15372" width="9" style="2" bestFit="1" customWidth="1"/>
    <col min="15373" max="15374" width="5.125" style="2" bestFit="1" customWidth="1"/>
    <col min="15375" max="15375" width="34.25" style="2" customWidth="1"/>
    <col min="15376" max="15616" width="9.125" style="2"/>
    <col min="15617" max="15617" width="7" style="2" bestFit="1" customWidth="1"/>
    <col min="15618" max="15618" width="8.625" style="2" bestFit="1" customWidth="1"/>
    <col min="15619" max="15619" width="8" style="2" bestFit="1" customWidth="1"/>
    <col min="15620" max="15620" width="9" style="2" bestFit="1" customWidth="1"/>
    <col min="15621" max="15621" width="7" style="2" bestFit="1" customWidth="1"/>
    <col min="15622" max="15622" width="8.625" style="2" bestFit="1" customWidth="1"/>
    <col min="15623" max="15623" width="8" style="2" bestFit="1" customWidth="1"/>
    <col min="15624" max="15624" width="9" style="2" bestFit="1" customWidth="1"/>
    <col min="15625" max="15625" width="7" style="2" bestFit="1" customWidth="1"/>
    <col min="15626" max="15626" width="8.625" style="2" bestFit="1" customWidth="1"/>
    <col min="15627" max="15627" width="8" style="2" bestFit="1" customWidth="1"/>
    <col min="15628" max="15628" width="9" style="2" bestFit="1" customWidth="1"/>
    <col min="15629" max="15630" width="5.125" style="2" bestFit="1" customWidth="1"/>
    <col min="15631" max="15631" width="34.25" style="2" customWidth="1"/>
    <col min="15632" max="15872" width="9.125" style="2"/>
    <col min="15873" max="15873" width="7" style="2" bestFit="1" customWidth="1"/>
    <col min="15874" max="15874" width="8.625" style="2" bestFit="1" customWidth="1"/>
    <col min="15875" max="15875" width="8" style="2" bestFit="1" customWidth="1"/>
    <col min="15876" max="15876" width="9" style="2" bestFit="1" customWidth="1"/>
    <col min="15877" max="15877" width="7" style="2" bestFit="1" customWidth="1"/>
    <col min="15878" max="15878" width="8.625" style="2" bestFit="1" customWidth="1"/>
    <col min="15879" max="15879" width="8" style="2" bestFit="1" customWidth="1"/>
    <col min="15880" max="15880" width="9" style="2" bestFit="1" customWidth="1"/>
    <col min="15881" max="15881" width="7" style="2" bestFit="1" customWidth="1"/>
    <col min="15882" max="15882" width="8.625" style="2" bestFit="1" customWidth="1"/>
    <col min="15883" max="15883" width="8" style="2" bestFit="1" customWidth="1"/>
    <col min="15884" max="15884" width="9" style="2" bestFit="1" customWidth="1"/>
    <col min="15885" max="15886" width="5.125" style="2" bestFit="1" customWidth="1"/>
    <col min="15887" max="15887" width="34.25" style="2" customWidth="1"/>
    <col min="15888" max="16128" width="9.125" style="2"/>
    <col min="16129" max="16129" width="7" style="2" bestFit="1" customWidth="1"/>
    <col min="16130" max="16130" width="8.625" style="2" bestFit="1" customWidth="1"/>
    <col min="16131" max="16131" width="8" style="2" bestFit="1" customWidth="1"/>
    <col min="16132" max="16132" width="9" style="2" bestFit="1" customWidth="1"/>
    <col min="16133" max="16133" width="7" style="2" bestFit="1" customWidth="1"/>
    <col min="16134" max="16134" width="8.625" style="2" bestFit="1" customWidth="1"/>
    <col min="16135" max="16135" width="8" style="2" bestFit="1" customWidth="1"/>
    <col min="16136" max="16136" width="9" style="2" bestFit="1" customWidth="1"/>
    <col min="16137" max="16137" width="7" style="2" bestFit="1" customWidth="1"/>
    <col min="16138" max="16138" width="8.625" style="2" bestFit="1" customWidth="1"/>
    <col min="16139" max="16139" width="8" style="2" bestFit="1" customWidth="1"/>
    <col min="16140" max="16140" width="9" style="2" bestFit="1" customWidth="1"/>
    <col min="16141" max="16142" width="5.125" style="2" bestFit="1" customWidth="1"/>
    <col min="16143" max="16143" width="34.25" style="2" customWidth="1"/>
    <col min="16144" max="16384" width="9.125" style="2"/>
  </cols>
  <sheetData>
    <row r="1" spans="1:15" ht="12.75" customHeight="1" x14ac:dyDescent="0.2">
      <c r="A1" s="155" t="s">
        <v>205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</row>
    <row r="2" spans="1:15" ht="12.75" customHeight="1" thickBot="1" x14ac:dyDescent="0.25">
      <c r="A2" s="156" t="s">
        <v>206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</row>
    <row r="3" spans="1:15" ht="12.75" customHeight="1" thickBot="1" x14ac:dyDescent="0.25">
      <c r="A3" s="158" t="s">
        <v>2</v>
      </c>
      <c r="B3" s="158"/>
      <c r="C3" s="158"/>
      <c r="D3" s="158"/>
      <c r="E3" s="158" t="s">
        <v>3</v>
      </c>
      <c r="F3" s="158"/>
      <c r="G3" s="158"/>
      <c r="H3" s="158"/>
      <c r="I3" s="158" t="s">
        <v>4</v>
      </c>
      <c r="J3" s="158"/>
      <c r="K3" s="158"/>
      <c r="L3" s="158"/>
      <c r="M3" s="15" t="s">
        <v>8</v>
      </c>
      <c r="N3" s="15" t="s">
        <v>160</v>
      </c>
      <c r="O3" s="15" t="s">
        <v>72</v>
      </c>
    </row>
    <row r="4" spans="1:15" ht="12.75" customHeight="1" thickBot="1" x14ac:dyDescent="0.25">
      <c r="A4" s="14" t="s">
        <v>5</v>
      </c>
      <c r="B4" s="14" t="s">
        <v>181</v>
      </c>
      <c r="C4" s="14" t="s">
        <v>65</v>
      </c>
      <c r="D4" s="14" t="s">
        <v>66</v>
      </c>
      <c r="E4" s="14" t="s">
        <v>5</v>
      </c>
      <c r="F4" s="14" t="s">
        <v>181</v>
      </c>
      <c r="G4" s="14" t="s">
        <v>65</v>
      </c>
      <c r="H4" s="14" t="s">
        <v>66</v>
      </c>
      <c r="I4" s="14" t="s">
        <v>5</v>
      </c>
      <c r="J4" s="14" t="s">
        <v>181</v>
      </c>
      <c r="K4" s="14" t="s">
        <v>65</v>
      </c>
      <c r="L4" s="14" t="s">
        <v>66</v>
      </c>
      <c r="M4" s="28"/>
      <c r="N4" s="28"/>
      <c r="O4" s="28"/>
    </row>
    <row r="5" spans="1:15" ht="12.75" customHeight="1" thickBot="1" x14ac:dyDescent="0.25">
      <c r="A5" s="37">
        <f>D5+C5+B5</f>
        <v>3731</v>
      </c>
      <c r="B5" s="37">
        <v>713</v>
      </c>
      <c r="C5" s="37">
        <v>2439</v>
      </c>
      <c r="D5" s="37">
        <v>579</v>
      </c>
      <c r="E5" s="37">
        <f>H5+G5+F5</f>
        <v>21953</v>
      </c>
      <c r="F5" s="37">
        <v>1225</v>
      </c>
      <c r="G5" s="37">
        <v>18984</v>
      </c>
      <c r="H5" s="37">
        <v>1744</v>
      </c>
      <c r="I5" s="37">
        <f>L5+K5+J5</f>
        <v>8805</v>
      </c>
      <c r="J5" s="37">
        <v>925</v>
      </c>
      <c r="K5" s="37">
        <v>7064</v>
      </c>
      <c r="L5" s="37">
        <v>816</v>
      </c>
      <c r="M5" s="14" t="s">
        <v>28</v>
      </c>
      <c r="N5" s="38"/>
      <c r="O5" s="38"/>
    </row>
    <row r="6" spans="1:15" ht="12.75" customHeight="1" thickBot="1" x14ac:dyDescent="0.25">
      <c r="A6" s="37">
        <f t="shared" ref="A6:A69" si="0">D6+C6+B6</f>
        <v>5366</v>
      </c>
      <c r="B6" s="37">
        <v>169</v>
      </c>
      <c r="C6" s="37">
        <v>5000</v>
      </c>
      <c r="D6" s="37">
        <v>197</v>
      </c>
      <c r="E6" s="37">
        <f t="shared" ref="E6:E69" si="1">H6+G6+F6</f>
        <v>28241</v>
      </c>
      <c r="F6" s="37">
        <v>952</v>
      </c>
      <c r="G6" s="37">
        <v>26637</v>
      </c>
      <c r="H6" s="37">
        <v>652</v>
      </c>
      <c r="I6" s="37">
        <f>L6+K6+J6</f>
        <v>10278</v>
      </c>
      <c r="J6" s="37">
        <v>383</v>
      </c>
      <c r="K6" s="37">
        <v>9633</v>
      </c>
      <c r="L6" s="37">
        <v>262</v>
      </c>
      <c r="M6" s="14" t="s">
        <v>29</v>
      </c>
      <c r="N6" s="39">
        <v>28</v>
      </c>
      <c r="O6" s="27" t="s">
        <v>74</v>
      </c>
    </row>
    <row r="7" spans="1:15" ht="12.75" customHeight="1" thickBot="1" x14ac:dyDescent="0.25">
      <c r="A7" s="37">
        <f t="shared" ref="A7:J7" si="2">SUM(A5:A6)</f>
        <v>9097</v>
      </c>
      <c r="B7" s="37">
        <f t="shared" si="2"/>
        <v>882</v>
      </c>
      <c r="C7" s="37">
        <f t="shared" si="2"/>
        <v>7439</v>
      </c>
      <c r="D7" s="37">
        <f t="shared" si="2"/>
        <v>776</v>
      </c>
      <c r="E7" s="37">
        <f t="shared" si="2"/>
        <v>50194</v>
      </c>
      <c r="F7" s="37">
        <f t="shared" si="2"/>
        <v>2177</v>
      </c>
      <c r="G7" s="37">
        <f t="shared" si="2"/>
        <v>45621</v>
      </c>
      <c r="H7" s="37">
        <f t="shared" si="2"/>
        <v>2396</v>
      </c>
      <c r="I7" s="37">
        <f t="shared" si="2"/>
        <v>19083</v>
      </c>
      <c r="J7" s="37">
        <f t="shared" si="2"/>
        <v>1308</v>
      </c>
      <c r="K7" s="37">
        <f>SUM(K5:K6)</f>
        <v>16697</v>
      </c>
      <c r="L7" s="37">
        <f>SUM(L5:L6)</f>
        <v>1078</v>
      </c>
      <c r="M7" s="14" t="s">
        <v>13</v>
      </c>
      <c r="N7" s="28"/>
      <c r="O7" s="28"/>
    </row>
    <row r="8" spans="1:15" ht="12.75" customHeight="1" thickBot="1" x14ac:dyDescent="0.25">
      <c r="A8" s="37">
        <f t="shared" si="0"/>
        <v>1110</v>
      </c>
      <c r="B8" s="37">
        <v>345</v>
      </c>
      <c r="C8" s="37">
        <v>765</v>
      </c>
      <c r="D8" s="37">
        <v>0</v>
      </c>
      <c r="E8" s="37">
        <f t="shared" si="1"/>
        <v>7117</v>
      </c>
      <c r="F8" s="37">
        <v>569</v>
      </c>
      <c r="G8" s="37">
        <v>5927</v>
      </c>
      <c r="H8" s="37">
        <v>621</v>
      </c>
      <c r="I8" s="37">
        <f>L8+K8+J8</f>
        <v>3170</v>
      </c>
      <c r="J8" s="37">
        <v>533</v>
      </c>
      <c r="K8" s="37">
        <v>2338</v>
      </c>
      <c r="L8" s="37">
        <v>299</v>
      </c>
      <c r="M8" s="14" t="s">
        <v>28</v>
      </c>
      <c r="N8" s="38"/>
      <c r="O8" s="38"/>
    </row>
    <row r="9" spans="1:15" ht="12.75" customHeight="1" thickBot="1" x14ac:dyDescent="0.25">
      <c r="A9" s="37">
        <f t="shared" si="0"/>
        <v>0</v>
      </c>
      <c r="B9" s="37">
        <v>0</v>
      </c>
      <c r="C9" s="37">
        <v>0</v>
      </c>
      <c r="D9" s="37">
        <v>0</v>
      </c>
      <c r="E9" s="37">
        <f t="shared" si="1"/>
        <v>0</v>
      </c>
      <c r="F9" s="37">
        <v>0</v>
      </c>
      <c r="G9" s="37">
        <v>0</v>
      </c>
      <c r="H9" s="37">
        <v>0</v>
      </c>
      <c r="I9" s="37">
        <f>L9+K9+J9</f>
        <v>0</v>
      </c>
      <c r="J9" s="37">
        <v>0</v>
      </c>
      <c r="K9" s="37">
        <v>0</v>
      </c>
      <c r="L9" s="37">
        <v>0</v>
      </c>
      <c r="M9" s="14" t="s">
        <v>29</v>
      </c>
      <c r="N9" s="39">
        <v>6</v>
      </c>
      <c r="O9" s="27" t="s">
        <v>164</v>
      </c>
    </row>
    <row r="10" spans="1:15" ht="12.75" customHeight="1" thickBot="1" x14ac:dyDescent="0.25">
      <c r="A10" s="37">
        <f t="shared" ref="A10:J10" si="3">SUM(A8:A9)</f>
        <v>1110</v>
      </c>
      <c r="B10" s="37">
        <f t="shared" si="3"/>
        <v>345</v>
      </c>
      <c r="C10" s="37">
        <f t="shared" si="3"/>
        <v>765</v>
      </c>
      <c r="D10" s="37">
        <f t="shared" si="3"/>
        <v>0</v>
      </c>
      <c r="E10" s="37">
        <f t="shared" si="3"/>
        <v>7117</v>
      </c>
      <c r="F10" s="37">
        <f t="shared" si="3"/>
        <v>569</v>
      </c>
      <c r="G10" s="37">
        <f t="shared" si="3"/>
        <v>5927</v>
      </c>
      <c r="H10" s="37">
        <f t="shared" si="3"/>
        <v>621</v>
      </c>
      <c r="I10" s="37">
        <f t="shared" si="3"/>
        <v>3170</v>
      </c>
      <c r="J10" s="37">
        <f t="shared" si="3"/>
        <v>533</v>
      </c>
      <c r="K10" s="37">
        <f>SUM(K8:K9)</f>
        <v>2338</v>
      </c>
      <c r="L10" s="37">
        <f>SUM(L8:L9)</f>
        <v>299</v>
      </c>
      <c r="M10" s="14" t="s">
        <v>13</v>
      </c>
      <c r="N10" s="28"/>
      <c r="O10" s="28"/>
    </row>
    <row r="11" spans="1:15" ht="12.75" customHeight="1" thickBot="1" x14ac:dyDescent="0.25">
      <c r="A11" s="37">
        <f t="shared" si="0"/>
        <v>3039</v>
      </c>
      <c r="B11" s="37">
        <v>557</v>
      </c>
      <c r="C11" s="37">
        <v>1953</v>
      </c>
      <c r="D11" s="37">
        <v>529</v>
      </c>
      <c r="E11" s="37">
        <f t="shared" si="1"/>
        <v>23263</v>
      </c>
      <c r="F11" s="37">
        <v>1681</v>
      </c>
      <c r="G11" s="37">
        <v>20921</v>
      </c>
      <c r="H11" s="37">
        <v>661</v>
      </c>
      <c r="I11" s="37">
        <f>L11+K11+J11</f>
        <v>10386</v>
      </c>
      <c r="J11" s="37">
        <v>1109</v>
      </c>
      <c r="K11" s="37">
        <v>8807</v>
      </c>
      <c r="L11" s="37">
        <v>470</v>
      </c>
      <c r="M11" s="14" t="s">
        <v>28</v>
      </c>
      <c r="N11" s="38"/>
      <c r="O11" s="38"/>
    </row>
    <row r="12" spans="1:15" ht="12.75" customHeight="1" thickBot="1" x14ac:dyDescent="0.25">
      <c r="A12" s="37">
        <f t="shared" si="0"/>
        <v>1761</v>
      </c>
      <c r="B12" s="37">
        <v>149</v>
      </c>
      <c r="C12" s="37">
        <v>1593</v>
      </c>
      <c r="D12" s="37">
        <v>19</v>
      </c>
      <c r="E12" s="37">
        <f t="shared" si="1"/>
        <v>14038</v>
      </c>
      <c r="F12" s="37">
        <v>800</v>
      </c>
      <c r="G12" s="37">
        <v>13237</v>
      </c>
      <c r="H12" s="37">
        <v>1</v>
      </c>
      <c r="I12" s="37">
        <f>L12+K12+J12</f>
        <v>5611</v>
      </c>
      <c r="J12" s="37">
        <v>617</v>
      </c>
      <c r="K12" s="37">
        <v>4994</v>
      </c>
      <c r="L12" s="37">
        <v>0</v>
      </c>
      <c r="M12" s="14" t="s">
        <v>29</v>
      </c>
      <c r="N12" s="39">
        <v>15</v>
      </c>
      <c r="O12" s="27" t="s">
        <v>76</v>
      </c>
    </row>
    <row r="13" spans="1:15" ht="12.75" customHeight="1" thickBot="1" x14ac:dyDescent="0.25">
      <c r="A13" s="37">
        <f t="shared" ref="A13:J13" si="4">SUM(A11:A12)</f>
        <v>4800</v>
      </c>
      <c r="B13" s="37">
        <f t="shared" si="4"/>
        <v>706</v>
      </c>
      <c r="C13" s="37">
        <f t="shared" si="4"/>
        <v>3546</v>
      </c>
      <c r="D13" s="37">
        <f t="shared" si="4"/>
        <v>548</v>
      </c>
      <c r="E13" s="37">
        <f t="shared" si="4"/>
        <v>37301</v>
      </c>
      <c r="F13" s="37">
        <f t="shared" si="4"/>
        <v>2481</v>
      </c>
      <c r="G13" s="37">
        <f t="shared" si="4"/>
        <v>34158</v>
      </c>
      <c r="H13" s="37">
        <f t="shared" si="4"/>
        <v>662</v>
      </c>
      <c r="I13" s="37">
        <f t="shared" si="4"/>
        <v>15997</v>
      </c>
      <c r="J13" s="37">
        <f t="shared" si="4"/>
        <v>1726</v>
      </c>
      <c r="K13" s="37">
        <f>SUM(K11:K12)</f>
        <v>13801</v>
      </c>
      <c r="L13" s="37">
        <f>SUM(L11:L12)</f>
        <v>470</v>
      </c>
      <c r="M13" s="14" t="s">
        <v>13</v>
      </c>
      <c r="N13" s="28"/>
      <c r="O13" s="28"/>
    </row>
    <row r="14" spans="1:15" ht="12.75" customHeight="1" thickBot="1" x14ac:dyDescent="0.25">
      <c r="A14" s="37">
        <f t="shared" si="0"/>
        <v>6438</v>
      </c>
      <c r="B14" s="37">
        <v>417</v>
      </c>
      <c r="C14" s="37">
        <v>4934</v>
      </c>
      <c r="D14" s="37">
        <v>1087</v>
      </c>
      <c r="E14" s="37">
        <f t="shared" si="1"/>
        <v>42693</v>
      </c>
      <c r="F14" s="37">
        <v>3480</v>
      </c>
      <c r="G14" s="37">
        <v>31741</v>
      </c>
      <c r="H14" s="37">
        <v>7472</v>
      </c>
      <c r="I14" s="37">
        <f>L14+K14+J14</f>
        <v>13105</v>
      </c>
      <c r="J14" s="37">
        <v>964</v>
      </c>
      <c r="K14" s="37">
        <v>6999</v>
      </c>
      <c r="L14" s="37">
        <v>5142</v>
      </c>
      <c r="M14" s="14" t="s">
        <v>28</v>
      </c>
      <c r="N14" s="38"/>
      <c r="O14" s="38"/>
    </row>
    <row r="15" spans="1:15" ht="12.75" customHeight="1" thickBot="1" x14ac:dyDescent="0.25">
      <c r="A15" s="37">
        <f t="shared" si="0"/>
        <v>4535</v>
      </c>
      <c r="B15" s="37">
        <v>241</v>
      </c>
      <c r="C15" s="37">
        <v>3943</v>
      </c>
      <c r="D15" s="37">
        <v>351</v>
      </c>
      <c r="E15" s="37">
        <f t="shared" si="1"/>
        <v>29034</v>
      </c>
      <c r="F15" s="37">
        <v>2041</v>
      </c>
      <c r="G15" s="37">
        <v>22566</v>
      </c>
      <c r="H15" s="37">
        <v>4427</v>
      </c>
      <c r="I15" s="37">
        <f>L15+K15+J15</f>
        <v>7925</v>
      </c>
      <c r="J15" s="37">
        <v>613</v>
      </c>
      <c r="K15" s="37">
        <v>5054</v>
      </c>
      <c r="L15" s="37">
        <v>2258</v>
      </c>
      <c r="M15" s="14" t="s">
        <v>29</v>
      </c>
      <c r="N15" s="39">
        <v>33</v>
      </c>
      <c r="O15" s="27" t="s">
        <v>78</v>
      </c>
    </row>
    <row r="16" spans="1:15" ht="12.75" customHeight="1" thickBot="1" x14ac:dyDescent="0.25">
      <c r="A16" s="37">
        <f t="shared" ref="A16:J16" si="5">SUM(A14:A15)</f>
        <v>10973</v>
      </c>
      <c r="B16" s="37">
        <f t="shared" si="5"/>
        <v>658</v>
      </c>
      <c r="C16" s="37">
        <f t="shared" si="5"/>
        <v>8877</v>
      </c>
      <c r="D16" s="37">
        <f t="shared" si="5"/>
        <v>1438</v>
      </c>
      <c r="E16" s="37">
        <f t="shared" si="5"/>
        <v>71727</v>
      </c>
      <c r="F16" s="37">
        <f t="shared" si="5"/>
        <v>5521</v>
      </c>
      <c r="G16" s="37">
        <f t="shared" si="5"/>
        <v>54307</v>
      </c>
      <c r="H16" s="37">
        <f t="shared" si="5"/>
        <v>11899</v>
      </c>
      <c r="I16" s="37">
        <f t="shared" si="5"/>
        <v>21030</v>
      </c>
      <c r="J16" s="37">
        <f t="shared" si="5"/>
        <v>1577</v>
      </c>
      <c r="K16" s="37">
        <f>SUM(K14:K15)</f>
        <v>12053</v>
      </c>
      <c r="L16" s="37">
        <f>SUM(L14:L15)</f>
        <v>7400</v>
      </c>
      <c r="M16" s="14" t="s">
        <v>13</v>
      </c>
      <c r="N16" s="28"/>
      <c r="O16" s="28"/>
    </row>
    <row r="17" spans="1:15" ht="12.75" customHeight="1" thickBot="1" x14ac:dyDescent="0.25">
      <c r="A17" s="37">
        <f t="shared" si="0"/>
        <v>4645</v>
      </c>
      <c r="B17" s="37">
        <v>302</v>
      </c>
      <c r="C17" s="37">
        <v>4005</v>
      </c>
      <c r="D17" s="37">
        <v>338</v>
      </c>
      <c r="E17" s="37">
        <f t="shared" si="1"/>
        <v>47419</v>
      </c>
      <c r="F17" s="37">
        <v>970</v>
      </c>
      <c r="G17" s="37">
        <v>44694</v>
      </c>
      <c r="H17" s="37">
        <v>1755</v>
      </c>
      <c r="I17" s="37">
        <f>L17+K17+J17</f>
        <v>19661</v>
      </c>
      <c r="J17" s="37">
        <v>456</v>
      </c>
      <c r="K17" s="37">
        <v>17803</v>
      </c>
      <c r="L17" s="37">
        <v>1402</v>
      </c>
      <c r="M17" s="14" t="s">
        <v>28</v>
      </c>
      <c r="N17" s="38"/>
      <c r="O17" s="38"/>
    </row>
    <row r="18" spans="1:15" ht="12.75" customHeight="1" thickBot="1" x14ac:dyDescent="0.25">
      <c r="A18" s="37">
        <f t="shared" si="0"/>
        <v>7199</v>
      </c>
      <c r="B18" s="37">
        <v>246</v>
      </c>
      <c r="C18" s="37">
        <v>6767</v>
      </c>
      <c r="D18" s="37">
        <v>186</v>
      </c>
      <c r="E18" s="37">
        <f t="shared" si="1"/>
        <v>48268</v>
      </c>
      <c r="F18" s="37">
        <v>1026</v>
      </c>
      <c r="G18" s="37">
        <v>46826</v>
      </c>
      <c r="H18" s="37">
        <v>416</v>
      </c>
      <c r="I18" s="37">
        <f>L18+K18+J18</f>
        <v>13564</v>
      </c>
      <c r="J18" s="37">
        <v>522</v>
      </c>
      <c r="K18" s="37">
        <v>12583</v>
      </c>
      <c r="L18" s="37">
        <v>459</v>
      </c>
      <c r="M18" s="14" t="s">
        <v>29</v>
      </c>
      <c r="N18" s="39">
        <v>24</v>
      </c>
      <c r="O18" s="27" t="s">
        <v>79</v>
      </c>
    </row>
    <row r="19" spans="1:15" ht="12.75" customHeight="1" thickBot="1" x14ac:dyDescent="0.25">
      <c r="A19" s="37">
        <f t="shared" ref="A19:J19" si="6">SUM(A17:A18)</f>
        <v>11844</v>
      </c>
      <c r="B19" s="37">
        <f t="shared" si="6"/>
        <v>548</v>
      </c>
      <c r="C19" s="37">
        <f t="shared" si="6"/>
        <v>10772</v>
      </c>
      <c r="D19" s="37">
        <f t="shared" si="6"/>
        <v>524</v>
      </c>
      <c r="E19" s="37">
        <f t="shared" si="6"/>
        <v>95687</v>
      </c>
      <c r="F19" s="37">
        <f t="shared" si="6"/>
        <v>1996</v>
      </c>
      <c r="G19" s="37">
        <f t="shared" si="6"/>
        <v>91520</v>
      </c>
      <c r="H19" s="37">
        <f t="shared" si="6"/>
        <v>2171</v>
      </c>
      <c r="I19" s="37">
        <f t="shared" si="6"/>
        <v>33225</v>
      </c>
      <c r="J19" s="37">
        <f t="shared" si="6"/>
        <v>978</v>
      </c>
      <c r="K19" s="37">
        <f>SUM(K17:K18)</f>
        <v>30386</v>
      </c>
      <c r="L19" s="37">
        <f>SUM(L17:L18)</f>
        <v>1861</v>
      </c>
      <c r="M19" s="14" t="s">
        <v>13</v>
      </c>
      <c r="N19" s="28"/>
      <c r="O19" s="28"/>
    </row>
    <row r="20" spans="1:15" ht="12.75" customHeight="1" thickBot="1" x14ac:dyDescent="0.25">
      <c r="A20" s="37">
        <f t="shared" si="0"/>
        <v>1232</v>
      </c>
      <c r="B20" s="37">
        <v>138</v>
      </c>
      <c r="C20" s="37">
        <v>960</v>
      </c>
      <c r="D20" s="37">
        <v>134</v>
      </c>
      <c r="E20" s="37">
        <f t="shared" si="1"/>
        <v>8737</v>
      </c>
      <c r="F20" s="37">
        <v>804</v>
      </c>
      <c r="G20" s="37">
        <v>6522</v>
      </c>
      <c r="H20" s="37">
        <v>1411</v>
      </c>
      <c r="I20" s="37">
        <f>L20+K20+J20</f>
        <v>3845</v>
      </c>
      <c r="J20" s="37">
        <v>183</v>
      </c>
      <c r="K20" s="37">
        <v>2734</v>
      </c>
      <c r="L20" s="37">
        <v>928</v>
      </c>
      <c r="M20" s="14" t="s">
        <v>28</v>
      </c>
      <c r="N20" s="38"/>
      <c r="O20" s="38"/>
    </row>
    <row r="21" spans="1:15" ht="12.75" customHeight="1" thickBot="1" x14ac:dyDescent="0.25">
      <c r="A21" s="37">
        <f t="shared" si="0"/>
        <v>0</v>
      </c>
      <c r="B21" s="37">
        <v>0</v>
      </c>
      <c r="C21" s="37">
        <v>0</v>
      </c>
      <c r="D21" s="37">
        <v>0</v>
      </c>
      <c r="E21" s="37">
        <f t="shared" si="1"/>
        <v>0</v>
      </c>
      <c r="F21" s="37">
        <v>0</v>
      </c>
      <c r="G21" s="37">
        <v>0</v>
      </c>
      <c r="H21" s="37">
        <v>0</v>
      </c>
      <c r="I21" s="37">
        <f>L21+K21+J21</f>
        <v>0</v>
      </c>
      <c r="J21" s="37">
        <v>0</v>
      </c>
      <c r="K21" s="37">
        <v>0</v>
      </c>
      <c r="L21" s="37">
        <v>0</v>
      </c>
      <c r="M21" s="14" t="s">
        <v>29</v>
      </c>
      <c r="N21" s="39">
        <v>9</v>
      </c>
      <c r="O21" s="27" t="s">
        <v>98</v>
      </c>
    </row>
    <row r="22" spans="1:15" ht="12.75" customHeight="1" thickBot="1" x14ac:dyDescent="0.25">
      <c r="A22" s="37">
        <f t="shared" ref="A22:J22" si="7">SUM(A20:A21)</f>
        <v>1232</v>
      </c>
      <c r="B22" s="37">
        <f t="shared" si="7"/>
        <v>138</v>
      </c>
      <c r="C22" s="37">
        <f t="shared" si="7"/>
        <v>960</v>
      </c>
      <c r="D22" s="37">
        <f t="shared" si="7"/>
        <v>134</v>
      </c>
      <c r="E22" s="37">
        <f t="shared" si="7"/>
        <v>8737</v>
      </c>
      <c r="F22" s="37">
        <f t="shared" si="7"/>
        <v>804</v>
      </c>
      <c r="G22" s="37">
        <f t="shared" si="7"/>
        <v>6522</v>
      </c>
      <c r="H22" s="37">
        <f t="shared" si="7"/>
        <v>1411</v>
      </c>
      <c r="I22" s="37">
        <f t="shared" si="7"/>
        <v>3845</v>
      </c>
      <c r="J22" s="37">
        <f t="shared" si="7"/>
        <v>183</v>
      </c>
      <c r="K22" s="37">
        <f>SUM(K20:K21)</f>
        <v>2734</v>
      </c>
      <c r="L22" s="37">
        <f>SUM(L20:L21)</f>
        <v>928</v>
      </c>
      <c r="M22" s="14" t="s">
        <v>13</v>
      </c>
      <c r="N22" s="28"/>
      <c r="O22" s="28"/>
    </row>
    <row r="23" spans="1:15" ht="12.75" customHeight="1" thickBot="1" x14ac:dyDescent="0.25">
      <c r="A23" s="37">
        <f t="shared" si="0"/>
        <v>1984</v>
      </c>
      <c r="B23" s="37">
        <v>14</v>
      </c>
      <c r="C23" s="37">
        <v>1462</v>
      </c>
      <c r="D23" s="37">
        <v>508</v>
      </c>
      <c r="E23" s="37">
        <f t="shared" si="1"/>
        <v>12260</v>
      </c>
      <c r="F23" s="37">
        <v>273</v>
      </c>
      <c r="G23" s="37">
        <v>10605</v>
      </c>
      <c r="H23" s="37">
        <v>1382</v>
      </c>
      <c r="I23" s="37">
        <f>L23+K23+J23</f>
        <v>3240</v>
      </c>
      <c r="J23" s="37">
        <v>37</v>
      </c>
      <c r="K23" s="37">
        <v>2631</v>
      </c>
      <c r="L23" s="37">
        <v>572</v>
      </c>
      <c r="M23" s="14" t="s">
        <v>28</v>
      </c>
      <c r="N23" s="38"/>
      <c r="O23" s="38"/>
    </row>
    <row r="24" spans="1:15" ht="12.75" customHeight="1" thickBot="1" x14ac:dyDescent="0.25">
      <c r="A24" s="37">
        <f t="shared" si="0"/>
        <v>8445</v>
      </c>
      <c r="B24" s="37">
        <v>40</v>
      </c>
      <c r="C24" s="37">
        <v>7034</v>
      </c>
      <c r="D24" s="37">
        <v>1371</v>
      </c>
      <c r="E24" s="37">
        <f t="shared" si="1"/>
        <v>45517</v>
      </c>
      <c r="F24" s="37">
        <v>279</v>
      </c>
      <c r="G24" s="37">
        <v>41052</v>
      </c>
      <c r="H24" s="37">
        <v>4186</v>
      </c>
      <c r="I24" s="37">
        <f>L24+K24+J24</f>
        <v>12987</v>
      </c>
      <c r="J24" s="37">
        <v>52</v>
      </c>
      <c r="K24" s="37">
        <v>11095</v>
      </c>
      <c r="L24" s="37">
        <v>1840</v>
      </c>
      <c r="M24" s="14" t="s">
        <v>29</v>
      </c>
      <c r="N24" s="39">
        <v>33</v>
      </c>
      <c r="O24" s="27" t="s">
        <v>80</v>
      </c>
    </row>
    <row r="25" spans="1:15" ht="12.75" customHeight="1" thickBot="1" x14ac:dyDescent="0.25">
      <c r="A25" s="37">
        <f t="shared" ref="A25:J25" si="8">SUM(A23:A24)</f>
        <v>10429</v>
      </c>
      <c r="B25" s="37">
        <f t="shared" si="8"/>
        <v>54</v>
      </c>
      <c r="C25" s="37">
        <f t="shared" si="8"/>
        <v>8496</v>
      </c>
      <c r="D25" s="37">
        <f t="shared" si="8"/>
        <v>1879</v>
      </c>
      <c r="E25" s="37">
        <f t="shared" si="8"/>
        <v>57777</v>
      </c>
      <c r="F25" s="37">
        <f t="shared" si="8"/>
        <v>552</v>
      </c>
      <c r="G25" s="37">
        <f t="shared" si="8"/>
        <v>51657</v>
      </c>
      <c r="H25" s="37">
        <f t="shared" si="8"/>
        <v>5568</v>
      </c>
      <c r="I25" s="37">
        <f t="shared" si="8"/>
        <v>16227</v>
      </c>
      <c r="J25" s="37">
        <f t="shared" si="8"/>
        <v>89</v>
      </c>
      <c r="K25" s="37">
        <f>SUM(K23:K24)</f>
        <v>13726</v>
      </c>
      <c r="L25" s="37">
        <f>SUM(L23:L24)</f>
        <v>2412</v>
      </c>
      <c r="M25" s="14" t="s">
        <v>13</v>
      </c>
      <c r="N25" s="28"/>
      <c r="O25" s="28"/>
    </row>
    <row r="26" spans="1:15" ht="12.75" customHeight="1" thickBot="1" x14ac:dyDescent="0.25">
      <c r="A26" s="37">
        <f t="shared" si="0"/>
        <v>2895</v>
      </c>
      <c r="B26" s="37">
        <v>247</v>
      </c>
      <c r="C26" s="37">
        <v>2095</v>
      </c>
      <c r="D26" s="37">
        <v>553</v>
      </c>
      <c r="E26" s="37">
        <f t="shared" si="1"/>
        <v>12759</v>
      </c>
      <c r="F26" s="37">
        <v>30</v>
      </c>
      <c r="G26" s="37">
        <v>11267</v>
      </c>
      <c r="H26" s="37">
        <v>1462</v>
      </c>
      <c r="I26" s="37">
        <f>L26+K26+J26</f>
        <v>6535</v>
      </c>
      <c r="J26" s="37">
        <v>943</v>
      </c>
      <c r="K26" s="37">
        <v>4466</v>
      </c>
      <c r="L26" s="37">
        <v>1126</v>
      </c>
      <c r="M26" s="14" t="s">
        <v>28</v>
      </c>
      <c r="N26" s="38"/>
      <c r="O26" s="38"/>
    </row>
    <row r="27" spans="1:15" ht="12.75" customHeight="1" thickBot="1" x14ac:dyDescent="0.25">
      <c r="A27" s="37">
        <f t="shared" si="0"/>
        <v>5133</v>
      </c>
      <c r="B27" s="37">
        <v>160</v>
      </c>
      <c r="C27" s="37">
        <v>4522</v>
      </c>
      <c r="D27" s="37">
        <v>451</v>
      </c>
      <c r="E27" s="37">
        <f t="shared" si="1"/>
        <v>34780</v>
      </c>
      <c r="F27" s="37">
        <v>120</v>
      </c>
      <c r="G27" s="37">
        <v>32330</v>
      </c>
      <c r="H27" s="37">
        <v>2330</v>
      </c>
      <c r="I27" s="37">
        <f>L27+K27+J27</f>
        <v>9980</v>
      </c>
      <c r="J27" s="37">
        <v>176</v>
      </c>
      <c r="K27" s="37">
        <v>8717</v>
      </c>
      <c r="L27" s="37">
        <v>1087</v>
      </c>
      <c r="M27" s="14" t="s">
        <v>29</v>
      </c>
      <c r="N27" s="39">
        <v>38</v>
      </c>
      <c r="O27" s="27" t="s">
        <v>81</v>
      </c>
    </row>
    <row r="28" spans="1:15" ht="12.75" customHeight="1" thickBot="1" x14ac:dyDescent="0.25">
      <c r="A28" s="37">
        <f t="shared" ref="A28:J28" si="9">SUM(A26:A27)</f>
        <v>8028</v>
      </c>
      <c r="B28" s="37">
        <f t="shared" si="9"/>
        <v>407</v>
      </c>
      <c r="C28" s="37">
        <f t="shared" si="9"/>
        <v>6617</v>
      </c>
      <c r="D28" s="37">
        <f t="shared" si="9"/>
        <v>1004</v>
      </c>
      <c r="E28" s="37">
        <f t="shared" si="9"/>
        <v>47539</v>
      </c>
      <c r="F28" s="37">
        <f t="shared" si="9"/>
        <v>150</v>
      </c>
      <c r="G28" s="37">
        <f t="shared" si="9"/>
        <v>43597</v>
      </c>
      <c r="H28" s="37">
        <f t="shared" si="9"/>
        <v>3792</v>
      </c>
      <c r="I28" s="37">
        <f t="shared" si="9"/>
        <v>16515</v>
      </c>
      <c r="J28" s="37">
        <f t="shared" si="9"/>
        <v>1119</v>
      </c>
      <c r="K28" s="37">
        <f>SUM(K26:K27)</f>
        <v>13183</v>
      </c>
      <c r="L28" s="37">
        <f>SUM(L26:L27)</f>
        <v>2213</v>
      </c>
      <c r="M28" s="14" t="s">
        <v>13</v>
      </c>
      <c r="N28" s="28"/>
      <c r="O28" s="28"/>
    </row>
    <row r="29" spans="1:15" ht="12.75" customHeight="1" thickBot="1" x14ac:dyDescent="0.25">
      <c r="A29" s="37">
        <f t="shared" si="0"/>
        <v>1696</v>
      </c>
      <c r="B29" s="37">
        <v>0</v>
      </c>
      <c r="C29" s="37">
        <v>1696</v>
      </c>
      <c r="D29" s="37">
        <v>0</v>
      </c>
      <c r="E29" s="37">
        <f t="shared" si="1"/>
        <v>16610</v>
      </c>
      <c r="F29" s="37">
        <v>326</v>
      </c>
      <c r="G29" s="37">
        <v>15331</v>
      </c>
      <c r="H29" s="37">
        <v>953</v>
      </c>
      <c r="I29" s="37">
        <f>L29+K29+J29</f>
        <v>6045</v>
      </c>
      <c r="J29" s="37">
        <v>186</v>
      </c>
      <c r="K29" s="37">
        <v>5318</v>
      </c>
      <c r="L29" s="37">
        <v>541</v>
      </c>
      <c r="M29" s="14" t="s">
        <v>28</v>
      </c>
      <c r="N29" s="38"/>
      <c r="O29" s="38"/>
    </row>
    <row r="30" spans="1:15" ht="12.75" customHeight="1" thickBot="1" x14ac:dyDescent="0.25">
      <c r="A30" s="37">
        <f t="shared" si="0"/>
        <v>2179</v>
      </c>
      <c r="B30" s="37">
        <v>0</v>
      </c>
      <c r="C30" s="37">
        <v>2023</v>
      </c>
      <c r="D30" s="37">
        <v>156</v>
      </c>
      <c r="E30" s="37">
        <f t="shared" si="1"/>
        <v>23064</v>
      </c>
      <c r="F30" s="37">
        <v>44</v>
      </c>
      <c r="G30" s="37">
        <v>22864</v>
      </c>
      <c r="H30" s="37">
        <v>156</v>
      </c>
      <c r="I30" s="37">
        <f>L30+K30+J30</f>
        <v>4921</v>
      </c>
      <c r="J30" s="37">
        <v>31</v>
      </c>
      <c r="K30" s="37">
        <v>4890</v>
      </c>
      <c r="L30" s="37">
        <v>0</v>
      </c>
      <c r="M30" s="14" t="s">
        <v>29</v>
      </c>
      <c r="N30" s="39">
        <v>29</v>
      </c>
      <c r="O30" s="27" t="s">
        <v>108</v>
      </c>
    </row>
    <row r="31" spans="1:15" ht="12.75" customHeight="1" thickBot="1" x14ac:dyDescent="0.25">
      <c r="A31" s="37">
        <f t="shared" ref="A31:J31" si="10">SUM(A29:A30)</f>
        <v>3875</v>
      </c>
      <c r="B31" s="37">
        <f t="shared" si="10"/>
        <v>0</v>
      </c>
      <c r="C31" s="37">
        <f t="shared" si="10"/>
        <v>3719</v>
      </c>
      <c r="D31" s="37">
        <f t="shared" si="10"/>
        <v>156</v>
      </c>
      <c r="E31" s="37">
        <f t="shared" si="10"/>
        <v>39674</v>
      </c>
      <c r="F31" s="37">
        <f t="shared" si="10"/>
        <v>370</v>
      </c>
      <c r="G31" s="37">
        <f t="shared" si="10"/>
        <v>38195</v>
      </c>
      <c r="H31" s="37">
        <f t="shared" si="10"/>
        <v>1109</v>
      </c>
      <c r="I31" s="37">
        <f t="shared" si="10"/>
        <v>10966</v>
      </c>
      <c r="J31" s="37">
        <f t="shared" si="10"/>
        <v>217</v>
      </c>
      <c r="K31" s="37">
        <f>SUM(K29:K30)</f>
        <v>10208</v>
      </c>
      <c r="L31" s="37">
        <f>SUM(L29:L30)</f>
        <v>541</v>
      </c>
      <c r="M31" s="14" t="s">
        <v>13</v>
      </c>
      <c r="N31" s="28"/>
      <c r="O31" s="28"/>
    </row>
    <row r="32" spans="1:15" ht="12.75" customHeight="1" thickBot="1" x14ac:dyDescent="0.25">
      <c r="A32" s="37">
        <f t="shared" si="0"/>
        <v>1328</v>
      </c>
      <c r="B32" s="37">
        <v>0</v>
      </c>
      <c r="C32" s="37">
        <v>897</v>
      </c>
      <c r="D32" s="37">
        <v>431</v>
      </c>
      <c r="E32" s="37">
        <f t="shared" si="1"/>
        <v>10304</v>
      </c>
      <c r="F32" s="37">
        <v>0</v>
      </c>
      <c r="G32" s="37">
        <v>9313</v>
      </c>
      <c r="H32" s="37">
        <v>991</v>
      </c>
      <c r="I32" s="37">
        <f>L32+K32+J32</f>
        <v>2428</v>
      </c>
      <c r="J32" s="37">
        <v>0</v>
      </c>
      <c r="K32" s="37">
        <v>1994</v>
      </c>
      <c r="L32" s="37">
        <v>434</v>
      </c>
      <c r="M32" s="14" t="s">
        <v>28</v>
      </c>
      <c r="N32" s="38"/>
      <c r="O32" s="38"/>
    </row>
    <row r="33" spans="1:15" ht="12.75" customHeight="1" thickBot="1" x14ac:dyDescent="0.25">
      <c r="A33" s="37">
        <f t="shared" si="0"/>
        <v>4451</v>
      </c>
      <c r="B33" s="37">
        <v>0</v>
      </c>
      <c r="C33" s="37">
        <v>3966</v>
      </c>
      <c r="D33" s="37">
        <v>485</v>
      </c>
      <c r="E33" s="37">
        <f t="shared" si="1"/>
        <v>24629</v>
      </c>
      <c r="F33" s="37">
        <v>0</v>
      </c>
      <c r="G33" s="37">
        <v>22907</v>
      </c>
      <c r="H33" s="37">
        <v>1722</v>
      </c>
      <c r="I33" s="37">
        <f>L33+K33+J33</f>
        <v>5970</v>
      </c>
      <c r="J33" s="37">
        <v>0</v>
      </c>
      <c r="K33" s="37">
        <v>5522</v>
      </c>
      <c r="L33" s="37">
        <v>448</v>
      </c>
      <c r="M33" s="14" t="s">
        <v>29</v>
      </c>
      <c r="N33" s="39">
        <v>26</v>
      </c>
      <c r="O33" s="27" t="s">
        <v>82</v>
      </c>
    </row>
    <row r="34" spans="1:15" ht="12.75" customHeight="1" thickBot="1" x14ac:dyDescent="0.25">
      <c r="A34" s="37">
        <f t="shared" ref="A34:J34" si="11">SUM(A32:A33)</f>
        <v>5779</v>
      </c>
      <c r="B34" s="37">
        <f t="shared" si="11"/>
        <v>0</v>
      </c>
      <c r="C34" s="37">
        <f t="shared" si="11"/>
        <v>4863</v>
      </c>
      <c r="D34" s="37">
        <f t="shared" si="11"/>
        <v>916</v>
      </c>
      <c r="E34" s="37">
        <f t="shared" si="11"/>
        <v>34933</v>
      </c>
      <c r="F34" s="37">
        <f t="shared" si="11"/>
        <v>0</v>
      </c>
      <c r="G34" s="37">
        <f t="shared" si="11"/>
        <v>32220</v>
      </c>
      <c r="H34" s="37">
        <f t="shared" si="11"/>
        <v>2713</v>
      </c>
      <c r="I34" s="37">
        <f t="shared" si="11"/>
        <v>8398</v>
      </c>
      <c r="J34" s="37">
        <f t="shared" si="11"/>
        <v>0</v>
      </c>
      <c r="K34" s="37">
        <f>SUM(K32:K33)</f>
        <v>7516</v>
      </c>
      <c r="L34" s="37">
        <f>SUM(L32:L33)</f>
        <v>882</v>
      </c>
      <c r="M34" s="14" t="s">
        <v>13</v>
      </c>
      <c r="N34" s="28"/>
      <c r="O34" s="28"/>
    </row>
    <row r="35" spans="1:15" ht="12.75" customHeight="1" thickBot="1" x14ac:dyDescent="0.25">
      <c r="A35" s="37">
        <f t="shared" si="0"/>
        <v>828</v>
      </c>
      <c r="B35" s="37">
        <v>0</v>
      </c>
      <c r="C35" s="37">
        <v>722</v>
      </c>
      <c r="D35" s="37">
        <v>106</v>
      </c>
      <c r="E35" s="37">
        <f t="shared" si="1"/>
        <v>8698</v>
      </c>
      <c r="F35" s="37">
        <v>22</v>
      </c>
      <c r="G35" s="37">
        <v>7999</v>
      </c>
      <c r="H35" s="37">
        <v>677</v>
      </c>
      <c r="I35" s="37">
        <f>L35+K35+J35</f>
        <v>3020</v>
      </c>
      <c r="J35" s="37">
        <v>47</v>
      </c>
      <c r="K35" s="37">
        <v>2718</v>
      </c>
      <c r="L35" s="37">
        <v>255</v>
      </c>
      <c r="M35" s="14" t="s">
        <v>28</v>
      </c>
      <c r="N35" s="38"/>
      <c r="O35" s="38"/>
    </row>
    <row r="36" spans="1:15" ht="12.75" customHeight="1" thickBot="1" x14ac:dyDescent="0.25">
      <c r="A36" s="37">
        <f t="shared" si="0"/>
        <v>3000</v>
      </c>
      <c r="B36" s="37">
        <v>0</v>
      </c>
      <c r="C36" s="37">
        <v>2843</v>
      </c>
      <c r="D36" s="37">
        <v>157</v>
      </c>
      <c r="E36" s="37">
        <f t="shared" si="1"/>
        <v>18414</v>
      </c>
      <c r="F36" s="37">
        <v>21</v>
      </c>
      <c r="G36" s="37">
        <v>17604</v>
      </c>
      <c r="H36" s="37">
        <v>789</v>
      </c>
      <c r="I36" s="37">
        <f>L36+K36+J36</f>
        <v>5331</v>
      </c>
      <c r="J36" s="37">
        <v>30</v>
      </c>
      <c r="K36" s="37">
        <v>4835</v>
      </c>
      <c r="L36" s="37">
        <v>466</v>
      </c>
      <c r="M36" s="14" t="s">
        <v>29</v>
      </c>
      <c r="N36" s="39">
        <v>18</v>
      </c>
      <c r="O36" s="27" t="s">
        <v>83</v>
      </c>
    </row>
    <row r="37" spans="1:15" ht="12.75" customHeight="1" thickBot="1" x14ac:dyDescent="0.25">
      <c r="A37" s="37">
        <f t="shared" ref="A37:J37" si="12">SUM(A35:A36)</f>
        <v>3828</v>
      </c>
      <c r="B37" s="37">
        <f t="shared" si="12"/>
        <v>0</v>
      </c>
      <c r="C37" s="37">
        <f t="shared" si="12"/>
        <v>3565</v>
      </c>
      <c r="D37" s="37">
        <f t="shared" si="12"/>
        <v>263</v>
      </c>
      <c r="E37" s="37">
        <f t="shared" si="12"/>
        <v>27112</v>
      </c>
      <c r="F37" s="37">
        <f t="shared" si="12"/>
        <v>43</v>
      </c>
      <c r="G37" s="37">
        <f t="shared" si="12"/>
        <v>25603</v>
      </c>
      <c r="H37" s="37">
        <f t="shared" si="12"/>
        <v>1466</v>
      </c>
      <c r="I37" s="37">
        <f t="shared" si="12"/>
        <v>8351</v>
      </c>
      <c r="J37" s="37">
        <f t="shared" si="12"/>
        <v>77</v>
      </c>
      <c r="K37" s="37">
        <f>SUM(K35:K36)</f>
        <v>7553</v>
      </c>
      <c r="L37" s="37">
        <f>SUM(L35:L36)</f>
        <v>721</v>
      </c>
      <c r="M37" s="14" t="s">
        <v>13</v>
      </c>
      <c r="N37" s="28"/>
      <c r="O37" s="28"/>
    </row>
    <row r="38" spans="1:15" ht="12.75" customHeight="1" thickBot="1" x14ac:dyDescent="0.25">
      <c r="A38" s="37">
        <f t="shared" si="0"/>
        <v>8</v>
      </c>
      <c r="B38" s="37">
        <v>8</v>
      </c>
      <c r="C38" s="37">
        <v>0</v>
      </c>
      <c r="D38" s="37">
        <v>0</v>
      </c>
      <c r="E38" s="37">
        <f t="shared" si="1"/>
        <v>286</v>
      </c>
      <c r="F38" s="37">
        <v>30</v>
      </c>
      <c r="G38" s="37">
        <v>154</v>
      </c>
      <c r="H38" s="37">
        <v>102</v>
      </c>
      <c r="I38" s="37">
        <f>L38+K38+J38</f>
        <v>166</v>
      </c>
      <c r="J38" s="37">
        <v>23</v>
      </c>
      <c r="K38" s="37">
        <v>43</v>
      </c>
      <c r="L38" s="37">
        <v>100</v>
      </c>
      <c r="M38" s="14" t="s">
        <v>28</v>
      </c>
      <c r="N38" s="38"/>
      <c r="O38" s="38"/>
    </row>
    <row r="39" spans="1:15" ht="12.75" customHeight="1" thickBot="1" x14ac:dyDescent="0.25">
      <c r="A39" s="37">
        <f t="shared" si="0"/>
        <v>72</v>
      </c>
      <c r="B39" s="37">
        <v>16</v>
      </c>
      <c r="C39" s="37">
        <v>56</v>
      </c>
      <c r="D39" s="37">
        <v>0</v>
      </c>
      <c r="E39" s="37">
        <f t="shared" si="1"/>
        <v>667</v>
      </c>
      <c r="F39" s="37">
        <v>22</v>
      </c>
      <c r="G39" s="37">
        <v>645</v>
      </c>
      <c r="H39" s="37">
        <v>0</v>
      </c>
      <c r="I39" s="37">
        <f>L39+K39+J39</f>
        <v>166</v>
      </c>
      <c r="J39" s="37">
        <v>29</v>
      </c>
      <c r="K39" s="37">
        <v>137</v>
      </c>
      <c r="L39" s="37">
        <v>0</v>
      </c>
      <c r="M39" s="14" t="s">
        <v>29</v>
      </c>
      <c r="N39" s="39">
        <v>6</v>
      </c>
      <c r="O39" s="27" t="s">
        <v>165</v>
      </c>
    </row>
    <row r="40" spans="1:15" ht="12.75" customHeight="1" thickBot="1" x14ac:dyDescent="0.25">
      <c r="A40" s="37">
        <f t="shared" ref="A40:J40" si="13">SUM(A38:A39)</f>
        <v>80</v>
      </c>
      <c r="B40" s="37">
        <f t="shared" si="13"/>
        <v>24</v>
      </c>
      <c r="C40" s="37">
        <f t="shared" si="13"/>
        <v>56</v>
      </c>
      <c r="D40" s="37">
        <f t="shared" si="13"/>
        <v>0</v>
      </c>
      <c r="E40" s="37">
        <f t="shared" si="13"/>
        <v>953</v>
      </c>
      <c r="F40" s="37">
        <f t="shared" si="13"/>
        <v>52</v>
      </c>
      <c r="G40" s="37">
        <f t="shared" si="13"/>
        <v>799</v>
      </c>
      <c r="H40" s="37">
        <f t="shared" si="13"/>
        <v>102</v>
      </c>
      <c r="I40" s="37">
        <f t="shared" si="13"/>
        <v>332</v>
      </c>
      <c r="J40" s="37">
        <f t="shared" si="13"/>
        <v>52</v>
      </c>
      <c r="K40" s="37">
        <f>SUM(K38:K39)</f>
        <v>180</v>
      </c>
      <c r="L40" s="37">
        <f>SUM(L38:L39)</f>
        <v>100</v>
      </c>
      <c r="M40" s="14" t="s">
        <v>13</v>
      </c>
      <c r="N40" s="28"/>
      <c r="O40" s="28"/>
    </row>
    <row r="41" spans="1:15" ht="12.75" customHeight="1" thickBot="1" x14ac:dyDescent="0.25">
      <c r="A41" s="37">
        <f t="shared" si="0"/>
        <v>1255</v>
      </c>
      <c r="B41" s="37">
        <v>0</v>
      </c>
      <c r="C41" s="37">
        <v>745</v>
      </c>
      <c r="D41" s="37">
        <v>510</v>
      </c>
      <c r="E41" s="37">
        <f t="shared" si="1"/>
        <v>6830</v>
      </c>
      <c r="F41" s="37">
        <v>0</v>
      </c>
      <c r="G41" s="37">
        <v>5376</v>
      </c>
      <c r="H41" s="37">
        <v>1454</v>
      </c>
      <c r="I41" s="37">
        <f>L41+K41+J41</f>
        <v>2540</v>
      </c>
      <c r="J41" s="37">
        <v>0</v>
      </c>
      <c r="K41" s="37">
        <v>1756</v>
      </c>
      <c r="L41" s="37">
        <v>784</v>
      </c>
      <c r="M41" s="14" t="s">
        <v>28</v>
      </c>
      <c r="N41" s="38"/>
      <c r="O41" s="38"/>
    </row>
    <row r="42" spans="1:15" ht="12.75" customHeight="1" thickBot="1" x14ac:dyDescent="0.25">
      <c r="A42" s="37">
        <f t="shared" si="0"/>
        <v>3451</v>
      </c>
      <c r="B42" s="37">
        <v>0</v>
      </c>
      <c r="C42" s="37">
        <v>2702</v>
      </c>
      <c r="D42" s="37">
        <v>749</v>
      </c>
      <c r="E42" s="37">
        <f t="shared" si="1"/>
        <v>16703</v>
      </c>
      <c r="F42" s="37">
        <v>0</v>
      </c>
      <c r="G42" s="37">
        <v>15546</v>
      </c>
      <c r="H42" s="37">
        <v>1157</v>
      </c>
      <c r="I42" s="37">
        <f>L42+K42+J42</f>
        <v>2933</v>
      </c>
      <c r="J42" s="37">
        <v>0</v>
      </c>
      <c r="K42" s="37">
        <v>2570</v>
      </c>
      <c r="L42" s="37">
        <v>363</v>
      </c>
      <c r="M42" s="14" t="s">
        <v>29</v>
      </c>
      <c r="N42" s="39">
        <v>15</v>
      </c>
      <c r="O42" s="27" t="s">
        <v>115</v>
      </c>
    </row>
    <row r="43" spans="1:15" ht="12.75" customHeight="1" thickBot="1" x14ac:dyDescent="0.25">
      <c r="A43" s="37">
        <f t="shared" ref="A43:J43" si="14">SUM(A41:A42)</f>
        <v>4706</v>
      </c>
      <c r="B43" s="37">
        <f t="shared" si="14"/>
        <v>0</v>
      </c>
      <c r="C43" s="37">
        <f t="shared" si="14"/>
        <v>3447</v>
      </c>
      <c r="D43" s="37">
        <f t="shared" si="14"/>
        <v>1259</v>
      </c>
      <c r="E43" s="37">
        <f t="shared" si="14"/>
        <v>23533</v>
      </c>
      <c r="F43" s="37">
        <f t="shared" si="14"/>
        <v>0</v>
      </c>
      <c r="G43" s="37">
        <f t="shared" si="14"/>
        <v>20922</v>
      </c>
      <c r="H43" s="37">
        <f t="shared" si="14"/>
        <v>2611</v>
      </c>
      <c r="I43" s="37">
        <f t="shared" si="14"/>
        <v>5473</v>
      </c>
      <c r="J43" s="37">
        <f t="shared" si="14"/>
        <v>0</v>
      </c>
      <c r="K43" s="37">
        <f>SUM(K41:K42)</f>
        <v>4326</v>
      </c>
      <c r="L43" s="37">
        <f>SUM(L41:L42)</f>
        <v>1147</v>
      </c>
      <c r="M43" s="14" t="s">
        <v>13</v>
      </c>
      <c r="N43" s="28"/>
      <c r="O43" s="28"/>
    </row>
    <row r="44" spans="1:15" ht="12.75" customHeight="1" thickBot="1" x14ac:dyDescent="0.25">
      <c r="A44" s="37">
        <f t="shared" si="0"/>
        <v>786</v>
      </c>
      <c r="B44" s="37">
        <v>0</v>
      </c>
      <c r="C44" s="37">
        <v>668</v>
      </c>
      <c r="D44" s="37">
        <v>118</v>
      </c>
      <c r="E44" s="37">
        <f t="shared" si="1"/>
        <v>4375</v>
      </c>
      <c r="F44" s="37">
        <v>0</v>
      </c>
      <c r="G44" s="37">
        <v>3857</v>
      </c>
      <c r="H44" s="37">
        <v>518</v>
      </c>
      <c r="I44" s="37">
        <f>L44+K44+J44</f>
        <v>1514</v>
      </c>
      <c r="J44" s="37">
        <v>0</v>
      </c>
      <c r="K44" s="37">
        <v>1308</v>
      </c>
      <c r="L44" s="37">
        <v>206</v>
      </c>
      <c r="M44" s="14" t="s">
        <v>28</v>
      </c>
      <c r="N44" s="38"/>
      <c r="O44" s="38"/>
    </row>
    <row r="45" spans="1:15" ht="12.75" customHeight="1" thickBot="1" x14ac:dyDescent="0.25">
      <c r="A45" s="37">
        <f t="shared" si="0"/>
        <v>1977</v>
      </c>
      <c r="B45" s="37">
        <v>0</v>
      </c>
      <c r="C45" s="37">
        <v>1815</v>
      </c>
      <c r="D45" s="37">
        <v>162</v>
      </c>
      <c r="E45" s="37">
        <f t="shared" si="1"/>
        <v>12175</v>
      </c>
      <c r="F45" s="37">
        <v>0</v>
      </c>
      <c r="G45" s="37">
        <v>11290</v>
      </c>
      <c r="H45" s="37">
        <v>885</v>
      </c>
      <c r="I45" s="37">
        <f>L45+K45+J45</f>
        <v>3916</v>
      </c>
      <c r="J45" s="37">
        <v>0</v>
      </c>
      <c r="K45" s="37">
        <v>3398</v>
      </c>
      <c r="L45" s="37">
        <v>518</v>
      </c>
      <c r="M45" s="14" t="s">
        <v>29</v>
      </c>
      <c r="N45" s="39">
        <v>8</v>
      </c>
      <c r="O45" s="27" t="s">
        <v>118</v>
      </c>
    </row>
    <row r="46" spans="1:15" ht="12.75" customHeight="1" thickBot="1" x14ac:dyDescent="0.25">
      <c r="A46" s="37">
        <f t="shared" ref="A46:J46" si="15">SUM(A44:A45)</f>
        <v>2763</v>
      </c>
      <c r="B46" s="37">
        <f t="shared" si="15"/>
        <v>0</v>
      </c>
      <c r="C46" s="37">
        <f t="shared" si="15"/>
        <v>2483</v>
      </c>
      <c r="D46" s="37">
        <f t="shared" si="15"/>
        <v>280</v>
      </c>
      <c r="E46" s="37">
        <f t="shared" si="15"/>
        <v>16550</v>
      </c>
      <c r="F46" s="37">
        <f t="shared" si="15"/>
        <v>0</v>
      </c>
      <c r="G46" s="37">
        <f t="shared" si="15"/>
        <v>15147</v>
      </c>
      <c r="H46" s="37">
        <f t="shared" si="15"/>
        <v>1403</v>
      </c>
      <c r="I46" s="37">
        <f t="shared" si="15"/>
        <v>5430</v>
      </c>
      <c r="J46" s="37">
        <f t="shared" si="15"/>
        <v>0</v>
      </c>
      <c r="K46" s="37">
        <f>SUM(K44:K45)</f>
        <v>4706</v>
      </c>
      <c r="L46" s="37">
        <f>SUM(L44:L45)</f>
        <v>724</v>
      </c>
      <c r="M46" s="14" t="s">
        <v>13</v>
      </c>
      <c r="N46" s="28"/>
      <c r="O46" s="28"/>
    </row>
    <row r="47" spans="1:15" ht="12.75" customHeight="1" thickBot="1" x14ac:dyDescent="0.25">
      <c r="A47" s="37">
        <f t="shared" si="0"/>
        <v>759</v>
      </c>
      <c r="B47" s="37">
        <v>0</v>
      </c>
      <c r="C47" s="37">
        <v>376</v>
      </c>
      <c r="D47" s="37">
        <v>383</v>
      </c>
      <c r="E47" s="37">
        <f t="shared" si="1"/>
        <v>11337</v>
      </c>
      <c r="F47" s="37">
        <v>0</v>
      </c>
      <c r="G47" s="37">
        <v>7861</v>
      </c>
      <c r="H47" s="37">
        <v>3476</v>
      </c>
      <c r="I47" s="37">
        <f>L47+K47+J47</f>
        <v>3096</v>
      </c>
      <c r="J47" s="37">
        <v>0</v>
      </c>
      <c r="K47" s="37">
        <v>2423</v>
      </c>
      <c r="L47" s="37">
        <v>673</v>
      </c>
      <c r="M47" s="14" t="s">
        <v>28</v>
      </c>
      <c r="N47" s="38"/>
      <c r="O47" s="38"/>
    </row>
    <row r="48" spans="1:15" ht="12.75" customHeight="1" thickBot="1" x14ac:dyDescent="0.25">
      <c r="A48" s="37">
        <f t="shared" si="0"/>
        <v>1573</v>
      </c>
      <c r="B48" s="37">
        <v>0</v>
      </c>
      <c r="C48" s="37">
        <v>1219</v>
      </c>
      <c r="D48" s="37">
        <v>354</v>
      </c>
      <c r="E48" s="37">
        <f t="shared" si="1"/>
        <v>8435</v>
      </c>
      <c r="F48" s="37">
        <v>0</v>
      </c>
      <c r="G48" s="37">
        <v>7655</v>
      </c>
      <c r="H48" s="37">
        <v>780</v>
      </c>
      <c r="I48" s="37">
        <f>L48+K48+J48</f>
        <v>3265</v>
      </c>
      <c r="J48" s="37">
        <v>0</v>
      </c>
      <c r="K48" s="37">
        <v>2909</v>
      </c>
      <c r="L48" s="37">
        <v>356</v>
      </c>
      <c r="M48" s="14" t="s">
        <v>29</v>
      </c>
      <c r="N48" s="39">
        <v>14</v>
      </c>
      <c r="O48" s="27" t="s">
        <v>120</v>
      </c>
    </row>
    <row r="49" spans="1:15" ht="12.75" customHeight="1" thickBot="1" x14ac:dyDescent="0.25">
      <c r="A49" s="37">
        <f t="shared" ref="A49:J49" si="16">SUM(A47:A48)</f>
        <v>2332</v>
      </c>
      <c r="B49" s="37">
        <f t="shared" si="16"/>
        <v>0</v>
      </c>
      <c r="C49" s="37">
        <f t="shared" si="16"/>
        <v>1595</v>
      </c>
      <c r="D49" s="37">
        <f t="shared" si="16"/>
        <v>737</v>
      </c>
      <c r="E49" s="37">
        <f t="shared" si="16"/>
        <v>19772</v>
      </c>
      <c r="F49" s="37">
        <f t="shared" si="16"/>
        <v>0</v>
      </c>
      <c r="G49" s="37">
        <f t="shared" si="16"/>
        <v>15516</v>
      </c>
      <c r="H49" s="37">
        <f t="shared" si="16"/>
        <v>4256</v>
      </c>
      <c r="I49" s="37">
        <f t="shared" si="16"/>
        <v>6361</v>
      </c>
      <c r="J49" s="37">
        <f t="shared" si="16"/>
        <v>0</v>
      </c>
      <c r="K49" s="37">
        <f>SUM(K47:K48)</f>
        <v>5332</v>
      </c>
      <c r="L49" s="37">
        <f>SUM(L47:L48)</f>
        <v>1029</v>
      </c>
      <c r="M49" s="14" t="s">
        <v>13</v>
      </c>
      <c r="N49" s="28"/>
      <c r="O49" s="28"/>
    </row>
    <row r="50" spans="1:15" ht="12.75" customHeight="1" thickBot="1" x14ac:dyDescent="0.25">
      <c r="A50" s="37">
        <f t="shared" si="0"/>
        <v>847</v>
      </c>
      <c r="B50" s="37">
        <v>0</v>
      </c>
      <c r="C50" s="37">
        <v>531</v>
      </c>
      <c r="D50" s="37">
        <v>316</v>
      </c>
      <c r="E50" s="37">
        <f t="shared" si="1"/>
        <v>3459</v>
      </c>
      <c r="F50" s="37">
        <v>0</v>
      </c>
      <c r="G50" s="37">
        <v>2792</v>
      </c>
      <c r="H50" s="37">
        <v>667</v>
      </c>
      <c r="I50" s="37">
        <f>L50+K50+J50</f>
        <v>1792</v>
      </c>
      <c r="J50" s="37">
        <v>0</v>
      </c>
      <c r="K50" s="37">
        <v>1262</v>
      </c>
      <c r="L50" s="37">
        <v>530</v>
      </c>
      <c r="M50" s="14" t="s">
        <v>28</v>
      </c>
      <c r="N50" s="38"/>
      <c r="O50" s="38"/>
    </row>
    <row r="51" spans="1:15" ht="12.75" customHeight="1" thickBot="1" x14ac:dyDescent="0.25">
      <c r="A51" s="37">
        <f t="shared" si="0"/>
        <v>2333</v>
      </c>
      <c r="B51" s="37">
        <v>0</v>
      </c>
      <c r="C51" s="37">
        <v>1874</v>
      </c>
      <c r="D51" s="37">
        <v>459</v>
      </c>
      <c r="E51" s="37">
        <f t="shared" si="1"/>
        <v>10077</v>
      </c>
      <c r="F51" s="37">
        <v>0</v>
      </c>
      <c r="G51" s="37">
        <v>8825</v>
      </c>
      <c r="H51" s="37">
        <v>1252</v>
      </c>
      <c r="I51" s="37">
        <f>L51+K51+J51</f>
        <v>3001</v>
      </c>
      <c r="J51" s="37">
        <v>0</v>
      </c>
      <c r="K51" s="37">
        <v>2266</v>
      </c>
      <c r="L51" s="37">
        <v>735</v>
      </c>
      <c r="M51" s="14" t="s">
        <v>29</v>
      </c>
      <c r="N51" s="39">
        <v>11</v>
      </c>
      <c r="O51" s="27" t="s">
        <v>124</v>
      </c>
    </row>
    <row r="52" spans="1:15" ht="12.75" customHeight="1" thickBot="1" x14ac:dyDescent="0.25">
      <c r="A52" s="37">
        <f t="shared" ref="A52:J52" si="17">SUM(A50:A51)</f>
        <v>3180</v>
      </c>
      <c r="B52" s="37">
        <f t="shared" si="17"/>
        <v>0</v>
      </c>
      <c r="C52" s="37">
        <f t="shared" si="17"/>
        <v>2405</v>
      </c>
      <c r="D52" s="37">
        <f t="shared" si="17"/>
        <v>775</v>
      </c>
      <c r="E52" s="37">
        <f t="shared" si="17"/>
        <v>13536</v>
      </c>
      <c r="F52" s="37">
        <f t="shared" si="17"/>
        <v>0</v>
      </c>
      <c r="G52" s="37">
        <f t="shared" si="17"/>
        <v>11617</v>
      </c>
      <c r="H52" s="37">
        <f t="shared" si="17"/>
        <v>1919</v>
      </c>
      <c r="I52" s="37">
        <f t="shared" si="17"/>
        <v>4793</v>
      </c>
      <c r="J52" s="37">
        <f t="shared" si="17"/>
        <v>0</v>
      </c>
      <c r="K52" s="37">
        <f>SUM(K50:K51)</f>
        <v>3528</v>
      </c>
      <c r="L52" s="37">
        <f>SUM(L50:L51)</f>
        <v>1265</v>
      </c>
      <c r="M52" s="14" t="s">
        <v>13</v>
      </c>
      <c r="N52" s="28"/>
      <c r="O52" s="28"/>
    </row>
    <row r="53" spans="1:15" ht="12.75" customHeight="1" thickBot="1" x14ac:dyDescent="0.25">
      <c r="A53" s="37">
        <f t="shared" si="0"/>
        <v>489</v>
      </c>
      <c r="B53" s="37">
        <v>0</v>
      </c>
      <c r="C53" s="37">
        <v>363</v>
      </c>
      <c r="D53" s="37">
        <v>126</v>
      </c>
      <c r="E53" s="37">
        <f t="shared" si="1"/>
        <v>3181</v>
      </c>
      <c r="F53" s="37">
        <v>0</v>
      </c>
      <c r="G53" s="37">
        <v>2514</v>
      </c>
      <c r="H53" s="37">
        <v>667</v>
      </c>
      <c r="I53" s="37">
        <f>L53+K53+J53</f>
        <v>2830</v>
      </c>
      <c r="J53" s="37">
        <v>0</v>
      </c>
      <c r="K53" s="37">
        <v>2182</v>
      </c>
      <c r="L53" s="37">
        <v>648</v>
      </c>
      <c r="M53" s="14" t="s">
        <v>28</v>
      </c>
      <c r="N53" s="38"/>
      <c r="O53" s="38"/>
    </row>
    <row r="54" spans="1:15" ht="12.75" customHeight="1" thickBot="1" x14ac:dyDescent="0.25">
      <c r="A54" s="37">
        <f t="shared" si="0"/>
        <v>1930</v>
      </c>
      <c r="B54" s="37">
        <v>0</v>
      </c>
      <c r="C54" s="37">
        <v>1796</v>
      </c>
      <c r="D54" s="37">
        <v>134</v>
      </c>
      <c r="E54" s="37">
        <f t="shared" si="1"/>
        <v>9042</v>
      </c>
      <c r="F54" s="37">
        <v>0</v>
      </c>
      <c r="G54" s="37">
        <v>8975</v>
      </c>
      <c r="H54" s="37">
        <v>67</v>
      </c>
      <c r="I54" s="37">
        <f>L54+K54+J54</f>
        <v>3619</v>
      </c>
      <c r="J54" s="37">
        <v>0</v>
      </c>
      <c r="K54" s="37">
        <v>3586</v>
      </c>
      <c r="L54" s="37">
        <v>33</v>
      </c>
      <c r="M54" s="14" t="s">
        <v>29</v>
      </c>
      <c r="N54" s="39">
        <v>10</v>
      </c>
      <c r="O54" s="27" t="s">
        <v>126</v>
      </c>
    </row>
    <row r="55" spans="1:15" ht="12.75" customHeight="1" thickBot="1" x14ac:dyDescent="0.25">
      <c r="A55" s="37">
        <f t="shared" ref="A55:J55" si="18">SUM(A53:A54)</f>
        <v>2419</v>
      </c>
      <c r="B55" s="37">
        <f t="shared" si="18"/>
        <v>0</v>
      </c>
      <c r="C55" s="37">
        <f t="shared" si="18"/>
        <v>2159</v>
      </c>
      <c r="D55" s="37">
        <f t="shared" si="18"/>
        <v>260</v>
      </c>
      <c r="E55" s="37">
        <f t="shared" si="18"/>
        <v>12223</v>
      </c>
      <c r="F55" s="37">
        <f t="shared" si="18"/>
        <v>0</v>
      </c>
      <c r="G55" s="37">
        <f t="shared" si="18"/>
        <v>11489</v>
      </c>
      <c r="H55" s="37">
        <f t="shared" si="18"/>
        <v>734</v>
      </c>
      <c r="I55" s="37">
        <f t="shared" si="18"/>
        <v>6449</v>
      </c>
      <c r="J55" s="37">
        <f t="shared" si="18"/>
        <v>0</v>
      </c>
      <c r="K55" s="37">
        <f>SUM(K53:K54)</f>
        <v>5768</v>
      </c>
      <c r="L55" s="37">
        <f>SUM(L53:L54)</f>
        <v>681</v>
      </c>
      <c r="M55" s="14" t="s">
        <v>13</v>
      </c>
      <c r="N55" s="28"/>
      <c r="O55" s="28"/>
    </row>
    <row r="56" spans="1:15" ht="12.75" customHeight="1" thickBot="1" x14ac:dyDescent="0.25">
      <c r="A56" s="37">
        <f t="shared" si="0"/>
        <v>110</v>
      </c>
      <c r="B56" s="37">
        <v>0</v>
      </c>
      <c r="C56" s="37">
        <v>0</v>
      </c>
      <c r="D56" s="37">
        <v>110</v>
      </c>
      <c r="E56" s="37">
        <f t="shared" si="1"/>
        <v>1305</v>
      </c>
      <c r="F56" s="37">
        <v>0</v>
      </c>
      <c r="G56" s="37">
        <v>626</v>
      </c>
      <c r="H56" s="37">
        <v>679</v>
      </c>
      <c r="I56" s="37">
        <f>L56+K56+J56</f>
        <v>1150</v>
      </c>
      <c r="J56" s="37">
        <v>0</v>
      </c>
      <c r="K56" s="37">
        <v>799</v>
      </c>
      <c r="L56" s="37">
        <v>351</v>
      </c>
      <c r="M56" s="14" t="s">
        <v>28</v>
      </c>
      <c r="N56" s="38"/>
      <c r="O56" s="38"/>
    </row>
    <row r="57" spans="1:15" ht="12.75" customHeight="1" thickBot="1" x14ac:dyDescent="0.25">
      <c r="A57" s="37">
        <f t="shared" si="0"/>
        <v>1016</v>
      </c>
      <c r="B57" s="37">
        <v>0</v>
      </c>
      <c r="C57" s="37">
        <v>772</v>
      </c>
      <c r="D57" s="37">
        <v>244</v>
      </c>
      <c r="E57" s="37">
        <f t="shared" si="1"/>
        <v>6767</v>
      </c>
      <c r="F57" s="37">
        <v>0</v>
      </c>
      <c r="G57" s="37">
        <v>5971</v>
      </c>
      <c r="H57" s="37">
        <v>796</v>
      </c>
      <c r="I57" s="37">
        <f>L57+K57+J57</f>
        <v>2206</v>
      </c>
      <c r="J57" s="37">
        <v>0</v>
      </c>
      <c r="K57" s="37">
        <v>1902</v>
      </c>
      <c r="L57" s="37">
        <v>304</v>
      </c>
      <c r="M57" s="14" t="s">
        <v>29</v>
      </c>
      <c r="N57" s="39">
        <v>5</v>
      </c>
      <c r="O57" s="27" t="s">
        <v>129</v>
      </c>
    </row>
    <row r="58" spans="1:15" ht="12.75" customHeight="1" thickBot="1" x14ac:dyDescent="0.25">
      <c r="A58" s="37">
        <f t="shared" ref="A58:J58" si="19">SUM(A56:A57)</f>
        <v>1126</v>
      </c>
      <c r="B58" s="37">
        <f t="shared" si="19"/>
        <v>0</v>
      </c>
      <c r="C58" s="37">
        <f t="shared" si="19"/>
        <v>772</v>
      </c>
      <c r="D58" s="37">
        <f t="shared" si="19"/>
        <v>354</v>
      </c>
      <c r="E58" s="37">
        <f t="shared" si="19"/>
        <v>8072</v>
      </c>
      <c r="F58" s="37">
        <f t="shared" si="19"/>
        <v>0</v>
      </c>
      <c r="G58" s="37">
        <f t="shared" si="19"/>
        <v>6597</v>
      </c>
      <c r="H58" s="37">
        <f t="shared" si="19"/>
        <v>1475</v>
      </c>
      <c r="I58" s="37">
        <f t="shared" si="19"/>
        <v>3356</v>
      </c>
      <c r="J58" s="37">
        <f t="shared" si="19"/>
        <v>0</v>
      </c>
      <c r="K58" s="37">
        <f>SUM(K56:K57)</f>
        <v>2701</v>
      </c>
      <c r="L58" s="37">
        <f>SUM(L56:L57)</f>
        <v>655</v>
      </c>
      <c r="M58" s="14" t="s">
        <v>13</v>
      </c>
      <c r="N58" s="28"/>
      <c r="O58" s="28"/>
    </row>
    <row r="59" spans="1:15" ht="12.75" customHeight="1" thickBot="1" x14ac:dyDescent="0.25">
      <c r="A59" s="37">
        <f t="shared" si="0"/>
        <v>0</v>
      </c>
      <c r="B59" s="37">
        <v>0</v>
      </c>
      <c r="C59" s="37">
        <v>0</v>
      </c>
      <c r="D59" s="37">
        <v>0</v>
      </c>
      <c r="E59" s="37">
        <f t="shared" si="1"/>
        <v>0</v>
      </c>
      <c r="F59" s="37">
        <v>0</v>
      </c>
      <c r="G59" s="37">
        <v>0</v>
      </c>
      <c r="H59" s="37">
        <v>0</v>
      </c>
      <c r="I59" s="37">
        <f>L59+K59+J59</f>
        <v>0</v>
      </c>
      <c r="J59" s="37">
        <v>0</v>
      </c>
      <c r="K59" s="37">
        <v>0</v>
      </c>
      <c r="L59" s="37">
        <v>0</v>
      </c>
      <c r="M59" s="14" t="s">
        <v>28</v>
      </c>
      <c r="N59" s="38"/>
      <c r="O59" s="38"/>
    </row>
    <row r="60" spans="1:15" ht="12.75" customHeight="1" thickBot="1" x14ac:dyDescent="0.25">
      <c r="A60" s="37">
        <f t="shared" si="0"/>
        <v>8328</v>
      </c>
      <c r="B60" s="37">
        <v>0</v>
      </c>
      <c r="C60" s="37">
        <v>7926</v>
      </c>
      <c r="D60" s="37">
        <v>402</v>
      </c>
      <c r="E60" s="37">
        <f t="shared" si="1"/>
        <v>43069</v>
      </c>
      <c r="F60" s="37">
        <v>0</v>
      </c>
      <c r="G60" s="37">
        <v>41098</v>
      </c>
      <c r="H60" s="37">
        <v>1971</v>
      </c>
      <c r="I60" s="37">
        <f>L60+K60+J60</f>
        <v>19339</v>
      </c>
      <c r="J60" s="37">
        <v>0</v>
      </c>
      <c r="K60" s="37">
        <v>18520</v>
      </c>
      <c r="L60" s="37">
        <v>819</v>
      </c>
      <c r="M60" s="14" t="s">
        <v>29</v>
      </c>
      <c r="N60" s="39">
        <v>23</v>
      </c>
      <c r="O60" s="27" t="s">
        <v>131</v>
      </c>
    </row>
    <row r="61" spans="1:15" ht="12.75" customHeight="1" thickBot="1" x14ac:dyDescent="0.25">
      <c r="A61" s="37">
        <f t="shared" ref="A61:J61" si="20">SUM(A59:A60)</f>
        <v>8328</v>
      </c>
      <c r="B61" s="37">
        <f t="shared" si="20"/>
        <v>0</v>
      </c>
      <c r="C61" s="37">
        <f t="shared" si="20"/>
        <v>7926</v>
      </c>
      <c r="D61" s="37">
        <f t="shared" si="20"/>
        <v>402</v>
      </c>
      <c r="E61" s="37">
        <f t="shared" si="20"/>
        <v>43069</v>
      </c>
      <c r="F61" s="37">
        <f t="shared" si="20"/>
        <v>0</v>
      </c>
      <c r="G61" s="37">
        <f t="shared" si="20"/>
        <v>41098</v>
      </c>
      <c r="H61" s="37">
        <f t="shared" si="20"/>
        <v>1971</v>
      </c>
      <c r="I61" s="37">
        <f t="shared" si="20"/>
        <v>19339</v>
      </c>
      <c r="J61" s="37">
        <f t="shared" si="20"/>
        <v>0</v>
      </c>
      <c r="K61" s="37">
        <f>SUM(K59:K60)</f>
        <v>18520</v>
      </c>
      <c r="L61" s="37">
        <f>SUM(L59:L60)</f>
        <v>819</v>
      </c>
      <c r="M61" s="14" t="s">
        <v>13</v>
      </c>
      <c r="N61" s="28"/>
      <c r="O61" s="28"/>
    </row>
    <row r="62" spans="1:15" ht="12.75" customHeight="1" thickBot="1" x14ac:dyDescent="0.25">
      <c r="A62" s="37">
        <f t="shared" si="0"/>
        <v>298</v>
      </c>
      <c r="B62" s="37">
        <v>0</v>
      </c>
      <c r="C62" s="37">
        <v>192</v>
      </c>
      <c r="D62" s="37">
        <v>106</v>
      </c>
      <c r="E62" s="37">
        <f t="shared" si="1"/>
        <v>1410</v>
      </c>
      <c r="F62" s="37">
        <v>0</v>
      </c>
      <c r="G62" s="37">
        <v>1225</v>
      </c>
      <c r="H62" s="37">
        <v>185</v>
      </c>
      <c r="I62" s="37">
        <f>L62+K62+J62</f>
        <v>554</v>
      </c>
      <c r="J62" s="37">
        <v>0</v>
      </c>
      <c r="K62" s="37">
        <v>458</v>
      </c>
      <c r="L62" s="37">
        <v>96</v>
      </c>
      <c r="M62" s="14" t="s">
        <v>28</v>
      </c>
      <c r="N62" s="38"/>
      <c r="O62" s="38"/>
    </row>
    <row r="63" spans="1:15" ht="12.75" customHeight="1" thickBot="1" x14ac:dyDescent="0.25">
      <c r="A63" s="37">
        <f t="shared" si="0"/>
        <v>1045</v>
      </c>
      <c r="B63" s="37">
        <v>0</v>
      </c>
      <c r="C63" s="37">
        <v>951</v>
      </c>
      <c r="D63" s="37">
        <v>94</v>
      </c>
      <c r="E63" s="37">
        <f t="shared" si="1"/>
        <v>3714</v>
      </c>
      <c r="F63" s="37">
        <v>0</v>
      </c>
      <c r="G63" s="37">
        <v>3435</v>
      </c>
      <c r="H63" s="37">
        <v>279</v>
      </c>
      <c r="I63" s="37">
        <f>L63+K63+J63</f>
        <v>1701</v>
      </c>
      <c r="J63" s="37">
        <v>0</v>
      </c>
      <c r="K63" s="37">
        <v>1398</v>
      </c>
      <c r="L63" s="37">
        <v>303</v>
      </c>
      <c r="M63" s="14" t="s">
        <v>29</v>
      </c>
      <c r="N63" s="39">
        <v>7</v>
      </c>
      <c r="O63" s="27" t="s">
        <v>133</v>
      </c>
    </row>
    <row r="64" spans="1:15" ht="12.75" customHeight="1" thickBot="1" x14ac:dyDescent="0.25">
      <c r="A64" s="37">
        <f t="shared" ref="A64:J64" si="21">SUM(A62:A63)</f>
        <v>1343</v>
      </c>
      <c r="B64" s="37">
        <f t="shared" si="21"/>
        <v>0</v>
      </c>
      <c r="C64" s="37">
        <f t="shared" si="21"/>
        <v>1143</v>
      </c>
      <c r="D64" s="37">
        <f t="shared" si="21"/>
        <v>200</v>
      </c>
      <c r="E64" s="37">
        <f t="shared" si="21"/>
        <v>5124</v>
      </c>
      <c r="F64" s="37">
        <f t="shared" si="21"/>
        <v>0</v>
      </c>
      <c r="G64" s="37">
        <f t="shared" si="21"/>
        <v>4660</v>
      </c>
      <c r="H64" s="37">
        <f t="shared" si="21"/>
        <v>464</v>
      </c>
      <c r="I64" s="37">
        <f t="shared" si="21"/>
        <v>2255</v>
      </c>
      <c r="J64" s="37">
        <f t="shared" si="21"/>
        <v>0</v>
      </c>
      <c r="K64" s="37">
        <f>SUM(K62:K63)</f>
        <v>1856</v>
      </c>
      <c r="L64" s="37">
        <f>SUM(L62:L63)</f>
        <v>399</v>
      </c>
      <c r="M64" s="14" t="s">
        <v>13</v>
      </c>
      <c r="N64" s="28"/>
      <c r="O64" s="28"/>
    </row>
    <row r="65" spans="1:15" ht="12.75" customHeight="1" thickBot="1" x14ac:dyDescent="0.25">
      <c r="A65" s="37">
        <f t="shared" ref="A65:K65" si="22">A5+A8+A11+A14+A17+A20+A23+A26+A29+A32+A35+A38+A41+A44+A47+A50+A53+A56+A59+A62</f>
        <v>33478</v>
      </c>
      <c r="B65" s="37">
        <f t="shared" si="22"/>
        <v>2741</v>
      </c>
      <c r="C65" s="37">
        <f t="shared" si="22"/>
        <v>24803</v>
      </c>
      <c r="D65" s="37">
        <f t="shared" si="22"/>
        <v>5934</v>
      </c>
      <c r="E65" s="37">
        <f t="shared" si="22"/>
        <v>243996</v>
      </c>
      <c r="F65" s="37">
        <f t="shared" si="22"/>
        <v>9410</v>
      </c>
      <c r="G65" s="37">
        <f t="shared" si="22"/>
        <v>207709</v>
      </c>
      <c r="H65" s="37">
        <f t="shared" si="22"/>
        <v>26877</v>
      </c>
      <c r="I65" s="37">
        <f t="shared" si="22"/>
        <v>93882</v>
      </c>
      <c r="J65" s="37">
        <f t="shared" si="22"/>
        <v>5406</v>
      </c>
      <c r="K65" s="37">
        <f t="shared" si="22"/>
        <v>73103</v>
      </c>
      <c r="L65" s="37">
        <f>L5+L8+L11+L14+L17+L20+L23+L26+L29+L32+L35+L38+L41+L44+L47+L50+L53+L56+L59+L62</f>
        <v>15373</v>
      </c>
      <c r="M65" s="14" t="s">
        <v>28</v>
      </c>
      <c r="N65" s="15"/>
      <c r="O65" s="15"/>
    </row>
    <row r="66" spans="1:15" ht="12.75" customHeight="1" thickBot="1" x14ac:dyDescent="0.25">
      <c r="A66" s="37">
        <f t="shared" ref="A66:K66" si="23">A6+A9+A12+A15+A18+A21+A24+A27+A30+A33+A36+A39+A42+A45+A48+A51+A54+A57+A60+A63</f>
        <v>63794</v>
      </c>
      <c r="B66" s="37">
        <f t="shared" si="23"/>
        <v>1021</v>
      </c>
      <c r="C66" s="37">
        <f t="shared" si="23"/>
        <v>56802</v>
      </c>
      <c r="D66" s="37">
        <f t="shared" si="23"/>
        <v>5971</v>
      </c>
      <c r="E66" s="37">
        <f t="shared" si="23"/>
        <v>376634</v>
      </c>
      <c r="F66" s="37">
        <f t="shared" si="23"/>
        <v>5305</v>
      </c>
      <c r="G66" s="37">
        <f t="shared" si="23"/>
        <v>349463</v>
      </c>
      <c r="H66" s="37">
        <f t="shared" si="23"/>
        <v>21866</v>
      </c>
      <c r="I66" s="37">
        <f t="shared" si="23"/>
        <v>116713</v>
      </c>
      <c r="J66" s="37">
        <f t="shared" si="23"/>
        <v>2453</v>
      </c>
      <c r="K66" s="37">
        <f t="shared" si="23"/>
        <v>104009</v>
      </c>
      <c r="L66" s="37">
        <f t="shared" ref="L66" si="24">L6+L9+L12+L15+L18+L21+L24+L27+L30+L33+L36+L39+L42+L45+L48+L51+L54+L57+L60+L63</f>
        <v>10251</v>
      </c>
      <c r="M66" s="14" t="s">
        <v>29</v>
      </c>
      <c r="N66" s="39">
        <v>358</v>
      </c>
      <c r="O66" s="27" t="s">
        <v>167</v>
      </c>
    </row>
    <row r="67" spans="1:15" ht="12.75" customHeight="1" thickBot="1" x14ac:dyDescent="0.25">
      <c r="A67" s="37">
        <f t="shared" ref="A67:K67" si="25">A7+A10+A13+A16+A19+A22+A25+A28+A31+A34+A37+A40+A43+A46+A49+A52+A55+A58+A61+A64</f>
        <v>97272</v>
      </c>
      <c r="B67" s="37">
        <f t="shared" si="25"/>
        <v>3762</v>
      </c>
      <c r="C67" s="37">
        <f t="shared" si="25"/>
        <v>81605</v>
      </c>
      <c r="D67" s="37">
        <f t="shared" si="25"/>
        <v>11905</v>
      </c>
      <c r="E67" s="37">
        <f t="shared" si="25"/>
        <v>620630</v>
      </c>
      <c r="F67" s="37">
        <f t="shared" si="25"/>
        <v>14715</v>
      </c>
      <c r="G67" s="37">
        <f t="shared" si="25"/>
        <v>557172</v>
      </c>
      <c r="H67" s="37">
        <f t="shared" si="25"/>
        <v>48743</v>
      </c>
      <c r="I67" s="37">
        <f t="shared" si="25"/>
        <v>210595</v>
      </c>
      <c r="J67" s="37">
        <f t="shared" si="25"/>
        <v>7859</v>
      </c>
      <c r="K67" s="37">
        <f t="shared" si="25"/>
        <v>177112</v>
      </c>
      <c r="L67" s="37">
        <f t="shared" ref="L67" si="26">L7+L10+L13+L16+L19+L22+L25+L28+L31+L34+L37+L40+L43+L46+L49+L52+L55+L58+L61+L64</f>
        <v>25624</v>
      </c>
      <c r="M67" s="14" t="s">
        <v>13</v>
      </c>
      <c r="N67" s="28"/>
      <c r="O67" s="28"/>
    </row>
    <row r="68" spans="1:15" ht="12.75" customHeight="1" thickBot="1" x14ac:dyDescent="0.25">
      <c r="A68" s="37">
        <f t="shared" si="0"/>
        <v>12426</v>
      </c>
      <c r="B68" s="37">
        <v>0</v>
      </c>
      <c r="C68" s="37">
        <v>305</v>
      </c>
      <c r="D68" s="37">
        <v>12121</v>
      </c>
      <c r="E68" s="37">
        <f t="shared" si="1"/>
        <v>61543</v>
      </c>
      <c r="F68" s="37">
        <v>0</v>
      </c>
      <c r="G68" s="37">
        <v>1037</v>
      </c>
      <c r="H68" s="37">
        <v>60506</v>
      </c>
      <c r="I68" s="37">
        <f>L68+K68+J68</f>
        <v>25822</v>
      </c>
      <c r="J68" s="37">
        <v>0</v>
      </c>
      <c r="K68" s="37">
        <v>724</v>
      </c>
      <c r="L68" s="37">
        <v>25098</v>
      </c>
      <c r="M68" s="14" t="s">
        <v>28</v>
      </c>
      <c r="N68" s="38"/>
      <c r="O68" s="38"/>
    </row>
    <row r="69" spans="1:15" ht="12.75" customHeight="1" thickBot="1" x14ac:dyDescent="0.25">
      <c r="A69" s="37">
        <f t="shared" si="0"/>
        <v>0</v>
      </c>
      <c r="B69" s="37">
        <v>0</v>
      </c>
      <c r="C69" s="37">
        <v>0</v>
      </c>
      <c r="D69" s="37">
        <v>0</v>
      </c>
      <c r="E69" s="37">
        <f t="shared" si="1"/>
        <v>3031</v>
      </c>
      <c r="F69" s="37">
        <v>0</v>
      </c>
      <c r="G69" s="37">
        <v>0</v>
      </c>
      <c r="H69" s="37">
        <v>3031</v>
      </c>
      <c r="I69" s="37">
        <f>L69+K69+J69</f>
        <v>2111</v>
      </c>
      <c r="J69" s="37">
        <v>0</v>
      </c>
      <c r="K69" s="37">
        <v>0</v>
      </c>
      <c r="L69" s="37">
        <v>2111</v>
      </c>
      <c r="M69" s="14" t="s">
        <v>29</v>
      </c>
      <c r="N69" s="39">
        <v>44</v>
      </c>
      <c r="O69" s="27" t="s">
        <v>168</v>
      </c>
    </row>
    <row r="70" spans="1:15" ht="12.75" customHeight="1" thickBot="1" x14ac:dyDescent="0.25">
      <c r="A70" s="37">
        <f t="shared" ref="A70:J70" si="27">SUM(A68:A69)</f>
        <v>12426</v>
      </c>
      <c r="B70" s="37">
        <f t="shared" si="27"/>
        <v>0</v>
      </c>
      <c r="C70" s="37">
        <f t="shared" si="27"/>
        <v>305</v>
      </c>
      <c r="D70" s="37">
        <f t="shared" si="27"/>
        <v>12121</v>
      </c>
      <c r="E70" s="37">
        <f t="shared" si="27"/>
        <v>64574</v>
      </c>
      <c r="F70" s="37">
        <f t="shared" si="27"/>
        <v>0</v>
      </c>
      <c r="G70" s="37">
        <f t="shared" si="27"/>
        <v>1037</v>
      </c>
      <c r="H70" s="37">
        <f t="shared" si="27"/>
        <v>63537</v>
      </c>
      <c r="I70" s="37">
        <f t="shared" si="27"/>
        <v>27933</v>
      </c>
      <c r="J70" s="37">
        <f t="shared" si="27"/>
        <v>0</v>
      </c>
      <c r="K70" s="37">
        <f>SUM(K68:K69)</f>
        <v>724</v>
      </c>
      <c r="L70" s="37">
        <f>SUM(L68:L69)</f>
        <v>27209</v>
      </c>
      <c r="M70" s="14" t="s">
        <v>13</v>
      </c>
      <c r="N70" s="28"/>
      <c r="O70" s="28"/>
    </row>
    <row r="71" spans="1:15" ht="12.75" customHeight="1" thickBot="1" x14ac:dyDescent="0.25">
      <c r="A71" s="37">
        <f t="shared" ref="A71:A84" si="28">D71+C71+B71</f>
        <v>42</v>
      </c>
      <c r="B71" s="37">
        <v>0</v>
      </c>
      <c r="C71" s="37">
        <v>0</v>
      </c>
      <c r="D71" s="37">
        <v>42</v>
      </c>
      <c r="E71" s="37">
        <f t="shared" ref="E71:E84" si="29">H71+G71+F71</f>
        <v>152</v>
      </c>
      <c r="F71" s="37">
        <v>0</v>
      </c>
      <c r="G71" s="37">
        <v>42</v>
      </c>
      <c r="H71" s="37">
        <v>110</v>
      </c>
      <c r="I71" s="37">
        <f>L71+K71+J71</f>
        <v>132</v>
      </c>
      <c r="J71" s="37">
        <v>0</v>
      </c>
      <c r="K71" s="37">
        <v>39</v>
      </c>
      <c r="L71" s="37">
        <v>93</v>
      </c>
      <c r="M71" s="14" t="s">
        <v>28</v>
      </c>
      <c r="N71" s="38"/>
      <c r="O71" s="38"/>
    </row>
    <row r="72" spans="1:15" ht="12.75" customHeight="1" thickBot="1" x14ac:dyDescent="0.25">
      <c r="A72" s="37">
        <f t="shared" si="28"/>
        <v>24</v>
      </c>
      <c r="B72" s="37">
        <v>0</v>
      </c>
      <c r="C72" s="37">
        <v>0</v>
      </c>
      <c r="D72" s="37">
        <v>24</v>
      </c>
      <c r="E72" s="37">
        <f t="shared" si="29"/>
        <v>165</v>
      </c>
      <c r="F72" s="37">
        <v>0</v>
      </c>
      <c r="G72" s="37">
        <v>72</v>
      </c>
      <c r="H72" s="37">
        <v>93</v>
      </c>
      <c r="I72" s="37">
        <f>L72+K72+J72</f>
        <v>96</v>
      </c>
      <c r="J72" s="37">
        <v>0</v>
      </c>
      <c r="K72" s="37">
        <v>42</v>
      </c>
      <c r="L72" s="37">
        <v>54</v>
      </c>
      <c r="M72" s="14" t="s">
        <v>29</v>
      </c>
      <c r="N72" s="39">
        <v>1</v>
      </c>
      <c r="O72" s="27" t="s">
        <v>169</v>
      </c>
    </row>
    <row r="73" spans="1:15" ht="12.75" customHeight="1" thickBot="1" x14ac:dyDescent="0.25">
      <c r="A73" s="37">
        <f t="shared" ref="A73:J73" si="30">SUM(A71:A72)</f>
        <v>66</v>
      </c>
      <c r="B73" s="37">
        <f t="shared" si="30"/>
        <v>0</v>
      </c>
      <c r="C73" s="37">
        <f t="shared" si="30"/>
        <v>0</v>
      </c>
      <c r="D73" s="37">
        <f t="shared" si="30"/>
        <v>66</v>
      </c>
      <c r="E73" s="37">
        <f t="shared" si="30"/>
        <v>317</v>
      </c>
      <c r="F73" s="37">
        <f t="shared" si="30"/>
        <v>0</v>
      </c>
      <c r="G73" s="37">
        <f t="shared" si="30"/>
        <v>114</v>
      </c>
      <c r="H73" s="37">
        <f t="shared" si="30"/>
        <v>203</v>
      </c>
      <c r="I73" s="37">
        <f t="shared" si="30"/>
        <v>228</v>
      </c>
      <c r="J73" s="37">
        <f t="shared" si="30"/>
        <v>0</v>
      </c>
      <c r="K73" s="37">
        <f>SUM(K71:K72)</f>
        <v>81</v>
      </c>
      <c r="L73" s="37">
        <f>SUM(L71:L72)</f>
        <v>147</v>
      </c>
      <c r="M73" s="14" t="s">
        <v>13</v>
      </c>
      <c r="N73" s="28"/>
      <c r="O73" s="28"/>
    </row>
    <row r="74" spans="1:15" ht="12.75" customHeight="1" thickBot="1" x14ac:dyDescent="0.25">
      <c r="A74" s="37">
        <f t="shared" si="28"/>
        <v>476</v>
      </c>
      <c r="B74" s="37">
        <v>0</v>
      </c>
      <c r="C74" s="37">
        <v>103</v>
      </c>
      <c r="D74" s="37">
        <v>373</v>
      </c>
      <c r="E74" s="37">
        <f t="shared" si="29"/>
        <v>5816</v>
      </c>
      <c r="F74" s="37">
        <v>0</v>
      </c>
      <c r="G74" s="37">
        <v>1064</v>
      </c>
      <c r="H74" s="37">
        <v>4752</v>
      </c>
      <c r="I74" s="37">
        <f>L74+K74+J74</f>
        <v>4842</v>
      </c>
      <c r="J74" s="37">
        <v>0</v>
      </c>
      <c r="K74" s="37">
        <v>897</v>
      </c>
      <c r="L74" s="37">
        <v>3945</v>
      </c>
      <c r="M74" s="14" t="s">
        <v>28</v>
      </c>
      <c r="N74" s="38"/>
      <c r="O74" s="38"/>
    </row>
    <row r="75" spans="1:15" ht="12.75" customHeight="1" thickBot="1" x14ac:dyDescent="0.25">
      <c r="A75" s="37">
        <f t="shared" si="28"/>
        <v>0</v>
      </c>
      <c r="B75" s="37">
        <v>0</v>
      </c>
      <c r="C75" s="37">
        <v>0</v>
      </c>
      <c r="D75" s="37">
        <v>0</v>
      </c>
      <c r="E75" s="37">
        <f t="shared" si="29"/>
        <v>1051</v>
      </c>
      <c r="F75" s="37">
        <v>0</v>
      </c>
      <c r="G75" s="37">
        <v>1051</v>
      </c>
      <c r="H75" s="37">
        <v>0</v>
      </c>
      <c r="I75" s="37">
        <f>L75+K75+J75</f>
        <v>773</v>
      </c>
      <c r="J75" s="37">
        <v>0</v>
      </c>
      <c r="K75" s="37">
        <v>773</v>
      </c>
      <c r="L75" s="37">
        <v>0</v>
      </c>
      <c r="M75" s="14" t="s">
        <v>29</v>
      </c>
      <c r="N75" s="39">
        <v>4</v>
      </c>
      <c r="O75" s="27" t="s">
        <v>170</v>
      </c>
    </row>
    <row r="76" spans="1:15" ht="12.75" customHeight="1" thickBot="1" x14ac:dyDescent="0.25">
      <c r="A76" s="37">
        <f t="shared" ref="A76:J76" si="31">SUM(A74:A75)</f>
        <v>476</v>
      </c>
      <c r="B76" s="37">
        <f t="shared" si="31"/>
        <v>0</v>
      </c>
      <c r="C76" s="37">
        <f t="shared" si="31"/>
        <v>103</v>
      </c>
      <c r="D76" s="37">
        <f t="shared" si="31"/>
        <v>373</v>
      </c>
      <c r="E76" s="37">
        <f t="shared" si="31"/>
        <v>6867</v>
      </c>
      <c r="F76" s="37">
        <f t="shared" si="31"/>
        <v>0</v>
      </c>
      <c r="G76" s="37">
        <f t="shared" si="31"/>
        <v>2115</v>
      </c>
      <c r="H76" s="37">
        <f t="shared" si="31"/>
        <v>4752</v>
      </c>
      <c r="I76" s="37">
        <f t="shared" si="31"/>
        <v>5615</v>
      </c>
      <c r="J76" s="37">
        <f t="shared" si="31"/>
        <v>0</v>
      </c>
      <c r="K76" s="37">
        <f>SUM(K74:K75)</f>
        <v>1670</v>
      </c>
      <c r="L76" s="37">
        <f>SUM(L74:L75)</f>
        <v>3945</v>
      </c>
      <c r="M76" s="14" t="s">
        <v>13</v>
      </c>
      <c r="N76" s="28"/>
      <c r="O76" s="28"/>
    </row>
    <row r="77" spans="1:15" ht="12.75" customHeight="1" thickBot="1" x14ac:dyDescent="0.25">
      <c r="A77" s="37">
        <f t="shared" si="28"/>
        <v>1106</v>
      </c>
      <c r="B77" s="37">
        <v>277</v>
      </c>
      <c r="C77" s="37">
        <v>0</v>
      </c>
      <c r="D77" s="37">
        <v>829</v>
      </c>
      <c r="E77" s="37">
        <f t="shared" si="29"/>
        <v>2576</v>
      </c>
      <c r="F77" s="37">
        <v>397</v>
      </c>
      <c r="G77" s="37">
        <v>0</v>
      </c>
      <c r="H77" s="37">
        <v>2179</v>
      </c>
      <c r="I77" s="37">
        <f>L77+K77+J77</f>
        <v>1930</v>
      </c>
      <c r="J77" s="37">
        <v>170</v>
      </c>
      <c r="K77" s="37">
        <v>0</v>
      </c>
      <c r="L77" s="37">
        <v>1760</v>
      </c>
      <c r="M77" s="14" t="s">
        <v>28</v>
      </c>
      <c r="N77" s="38"/>
      <c r="O77" s="38"/>
    </row>
    <row r="78" spans="1:15" ht="12.75" customHeight="1" thickBot="1" x14ac:dyDescent="0.25">
      <c r="A78" s="37">
        <f t="shared" si="28"/>
        <v>147</v>
      </c>
      <c r="B78" s="37">
        <v>0</v>
      </c>
      <c r="C78" s="37">
        <v>0</v>
      </c>
      <c r="D78" s="37">
        <v>147</v>
      </c>
      <c r="E78" s="37">
        <f t="shared" si="29"/>
        <v>336</v>
      </c>
      <c r="F78" s="37">
        <v>0</v>
      </c>
      <c r="G78" s="37">
        <v>0</v>
      </c>
      <c r="H78" s="37">
        <v>336</v>
      </c>
      <c r="I78" s="37">
        <f>L78+K78+J78</f>
        <v>184</v>
      </c>
      <c r="J78" s="37">
        <v>0</v>
      </c>
      <c r="K78" s="37">
        <v>0</v>
      </c>
      <c r="L78" s="37">
        <v>184</v>
      </c>
      <c r="M78" s="14" t="s">
        <v>29</v>
      </c>
      <c r="N78" s="39">
        <v>1</v>
      </c>
      <c r="O78" s="27" t="s">
        <v>171</v>
      </c>
    </row>
    <row r="79" spans="1:15" ht="12.75" customHeight="1" thickBot="1" x14ac:dyDescent="0.25">
      <c r="A79" s="37">
        <f t="shared" ref="A79:J79" si="32">SUM(A77:A78)</f>
        <v>1253</v>
      </c>
      <c r="B79" s="37">
        <f t="shared" si="32"/>
        <v>277</v>
      </c>
      <c r="C79" s="37">
        <f t="shared" si="32"/>
        <v>0</v>
      </c>
      <c r="D79" s="37">
        <f t="shared" si="32"/>
        <v>976</v>
      </c>
      <c r="E79" s="37">
        <f t="shared" si="32"/>
        <v>2912</v>
      </c>
      <c r="F79" s="37">
        <f t="shared" si="32"/>
        <v>397</v>
      </c>
      <c r="G79" s="37">
        <f t="shared" si="32"/>
        <v>0</v>
      </c>
      <c r="H79" s="37">
        <f t="shared" si="32"/>
        <v>2515</v>
      </c>
      <c r="I79" s="37">
        <f t="shared" si="32"/>
        <v>2114</v>
      </c>
      <c r="J79" s="37">
        <f t="shared" si="32"/>
        <v>170</v>
      </c>
      <c r="K79" s="37">
        <f>SUM(K77:K78)</f>
        <v>0</v>
      </c>
      <c r="L79" s="37">
        <f>SUM(L77:L78)</f>
        <v>1944</v>
      </c>
      <c r="M79" s="14" t="s">
        <v>13</v>
      </c>
      <c r="N79" s="28"/>
      <c r="O79" s="28"/>
    </row>
    <row r="80" spans="1:15" ht="12.75" customHeight="1" thickBot="1" x14ac:dyDescent="0.25">
      <c r="A80" s="37">
        <f t="shared" ref="A80:K80" si="33">A68+A71+A74+A77</f>
        <v>14050</v>
      </c>
      <c r="B80" s="37">
        <f t="shared" si="33"/>
        <v>277</v>
      </c>
      <c r="C80" s="37">
        <f t="shared" si="33"/>
        <v>408</v>
      </c>
      <c r="D80" s="37">
        <f t="shared" si="33"/>
        <v>13365</v>
      </c>
      <c r="E80" s="37">
        <f t="shared" si="33"/>
        <v>70087</v>
      </c>
      <c r="F80" s="37">
        <f t="shared" si="33"/>
        <v>397</v>
      </c>
      <c r="G80" s="37">
        <f t="shared" si="33"/>
        <v>2143</v>
      </c>
      <c r="H80" s="37">
        <f t="shared" si="33"/>
        <v>67547</v>
      </c>
      <c r="I80" s="37">
        <f t="shared" si="33"/>
        <v>32726</v>
      </c>
      <c r="J80" s="37">
        <f t="shared" si="33"/>
        <v>170</v>
      </c>
      <c r="K80" s="37">
        <f t="shared" si="33"/>
        <v>1660</v>
      </c>
      <c r="L80" s="37">
        <f>L68+L71+L74+L77</f>
        <v>30896</v>
      </c>
      <c r="M80" s="14" t="s">
        <v>28</v>
      </c>
      <c r="N80" s="15"/>
      <c r="O80" s="15"/>
    </row>
    <row r="81" spans="1:15" ht="12.75" customHeight="1" thickBot="1" x14ac:dyDescent="0.25">
      <c r="A81" s="37">
        <f t="shared" ref="A81:K81" si="34">A69+A72+A75+A78</f>
        <v>171</v>
      </c>
      <c r="B81" s="37">
        <f t="shared" si="34"/>
        <v>0</v>
      </c>
      <c r="C81" s="37">
        <f t="shared" si="34"/>
        <v>0</v>
      </c>
      <c r="D81" s="37">
        <f t="shared" si="34"/>
        <v>171</v>
      </c>
      <c r="E81" s="37">
        <f t="shared" si="34"/>
        <v>4583</v>
      </c>
      <c r="F81" s="37">
        <f t="shared" si="34"/>
        <v>0</v>
      </c>
      <c r="G81" s="37">
        <f t="shared" si="34"/>
        <v>1123</v>
      </c>
      <c r="H81" s="37">
        <f t="shared" si="34"/>
        <v>3460</v>
      </c>
      <c r="I81" s="37">
        <f t="shared" si="34"/>
        <v>3164</v>
      </c>
      <c r="J81" s="37">
        <f t="shared" si="34"/>
        <v>0</v>
      </c>
      <c r="K81" s="37">
        <f t="shared" si="34"/>
        <v>815</v>
      </c>
      <c r="L81" s="37">
        <f t="shared" ref="L81" si="35">L69+L72+L75+L78</f>
        <v>2349</v>
      </c>
      <c r="M81" s="14" t="s">
        <v>29</v>
      </c>
      <c r="N81" s="39">
        <v>50</v>
      </c>
      <c r="O81" s="27" t="s">
        <v>172</v>
      </c>
    </row>
    <row r="82" spans="1:15" ht="12.75" customHeight="1" thickBot="1" x14ac:dyDescent="0.25">
      <c r="A82" s="37">
        <f t="shared" ref="A82:K82" si="36">A70+A73+A76+A79</f>
        <v>14221</v>
      </c>
      <c r="B82" s="37">
        <f t="shared" si="36"/>
        <v>277</v>
      </c>
      <c r="C82" s="37">
        <f t="shared" si="36"/>
        <v>408</v>
      </c>
      <c r="D82" s="37">
        <f t="shared" si="36"/>
        <v>13536</v>
      </c>
      <c r="E82" s="37">
        <f t="shared" si="36"/>
        <v>74670</v>
      </c>
      <c r="F82" s="37">
        <f t="shared" si="36"/>
        <v>397</v>
      </c>
      <c r="G82" s="37">
        <f t="shared" si="36"/>
        <v>3266</v>
      </c>
      <c r="H82" s="37">
        <f t="shared" si="36"/>
        <v>71007</v>
      </c>
      <c r="I82" s="37">
        <f t="shared" si="36"/>
        <v>35890</v>
      </c>
      <c r="J82" s="37">
        <f t="shared" si="36"/>
        <v>170</v>
      </c>
      <c r="K82" s="37">
        <f t="shared" si="36"/>
        <v>2475</v>
      </c>
      <c r="L82" s="37">
        <f t="shared" ref="L82" si="37">L70+L73+L76+L79</f>
        <v>33245</v>
      </c>
      <c r="M82" s="14" t="s">
        <v>13</v>
      </c>
      <c r="N82" s="28"/>
      <c r="O82" s="28"/>
    </row>
    <row r="83" spans="1:15" ht="12.75" customHeight="1" thickBot="1" x14ac:dyDescent="0.25">
      <c r="A83" s="37">
        <f t="shared" si="28"/>
        <v>270</v>
      </c>
      <c r="B83" s="37">
        <v>0</v>
      </c>
      <c r="C83" s="37">
        <v>249</v>
      </c>
      <c r="D83" s="37">
        <v>21</v>
      </c>
      <c r="E83" s="37">
        <f t="shared" si="29"/>
        <v>9820</v>
      </c>
      <c r="F83" s="37">
        <v>113</v>
      </c>
      <c r="G83" s="37">
        <v>9465</v>
      </c>
      <c r="H83" s="37">
        <v>242</v>
      </c>
      <c r="I83" s="37">
        <f>L83+K83+J83</f>
        <v>5285</v>
      </c>
      <c r="J83" s="37">
        <v>39</v>
      </c>
      <c r="K83" s="37">
        <v>5035</v>
      </c>
      <c r="L83" s="37">
        <v>211</v>
      </c>
      <c r="M83" s="14" t="s">
        <v>28</v>
      </c>
      <c r="N83" s="38"/>
      <c r="O83" s="38"/>
    </row>
    <row r="84" spans="1:15" ht="12.75" customHeight="1" thickBot="1" x14ac:dyDescent="0.25">
      <c r="A84" s="37">
        <f t="shared" si="28"/>
        <v>369</v>
      </c>
      <c r="B84" s="37">
        <v>0</v>
      </c>
      <c r="C84" s="37">
        <v>357</v>
      </c>
      <c r="D84" s="37">
        <v>12</v>
      </c>
      <c r="E84" s="37">
        <f t="shared" si="29"/>
        <v>9757</v>
      </c>
      <c r="F84" s="37">
        <v>134</v>
      </c>
      <c r="G84" s="37">
        <v>9440</v>
      </c>
      <c r="H84" s="37">
        <v>183</v>
      </c>
      <c r="I84" s="37">
        <f>L84+K84+J84</f>
        <v>3851</v>
      </c>
      <c r="J84" s="37">
        <v>9</v>
      </c>
      <c r="K84" s="37">
        <v>3769</v>
      </c>
      <c r="L84" s="37">
        <v>73</v>
      </c>
      <c r="M84" s="14" t="s">
        <v>29</v>
      </c>
      <c r="N84" s="39">
        <v>24</v>
      </c>
      <c r="O84" s="27" t="s">
        <v>173</v>
      </c>
    </row>
    <row r="85" spans="1:15" ht="12.75" customHeight="1" thickBot="1" x14ac:dyDescent="0.25">
      <c r="A85" s="37">
        <f t="shared" ref="A85:J85" si="38">SUM(A83:A84)</f>
        <v>639</v>
      </c>
      <c r="B85" s="37">
        <f t="shared" si="38"/>
        <v>0</v>
      </c>
      <c r="C85" s="37">
        <f t="shared" si="38"/>
        <v>606</v>
      </c>
      <c r="D85" s="37">
        <f t="shared" si="38"/>
        <v>33</v>
      </c>
      <c r="E85" s="37">
        <f t="shared" si="38"/>
        <v>19577</v>
      </c>
      <c r="F85" s="37">
        <f t="shared" si="38"/>
        <v>247</v>
      </c>
      <c r="G85" s="37">
        <f t="shared" si="38"/>
        <v>18905</v>
      </c>
      <c r="H85" s="37">
        <f t="shared" si="38"/>
        <v>425</v>
      </c>
      <c r="I85" s="37">
        <f t="shared" si="38"/>
        <v>9136</v>
      </c>
      <c r="J85" s="37">
        <f t="shared" si="38"/>
        <v>48</v>
      </c>
      <c r="K85" s="37">
        <f>SUM(K83:K84)</f>
        <v>8804</v>
      </c>
      <c r="L85" s="37">
        <f>SUM(L83:L84)</f>
        <v>284</v>
      </c>
      <c r="M85" s="14" t="s">
        <v>13</v>
      </c>
      <c r="N85" s="28"/>
      <c r="O85" s="28"/>
    </row>
    <row r="86" spans="1:15" ht="12.75" customHeight="1" thickBot="1" x14ac:dyDescent="0.25">
      <c r="A86" s="37">
        <f t="shared" ref="A86:K88" si="39">A65+A80+A83</f>
        <v>47798</v>
      </c>
      <c r="B86" s="37">
        <f t="shared" si="39"/>
        <v>3018</v>
      </c>
      <c r="C86" s="37">
        <f t="shared" si="39"/>
        <v>25460</v>
      </c>
      <c r="D86" s="37">
        <f t="shared" si="39"/>
        <v>19320</v>
      </c>
      <c r="E86" s="37">
        <f t="shared" si="39"/>
        <v>323903</v>
      </c>
      <c r="F86" s="37">
        <f t="shared" si="39"/>
        <v>9920</v>
      </c>
      <c r="G86" s="37">
        <f t="shared" si="39"/>
        <v>219317</v>
      </c>
      <c r="H86" s="37">
        <f t="shared" si="39"/>
        <v>94666</v>
      </c>
      <c r="I86" s="37">
        <f t="shared" si="39"/>
        <v>131893</v>
      </c>
      <c r="J86" s="37">
        <f t="shared" si="39"/>
        <v>5615</v>
      </c>
      <c r="K86" s="37">
        <f t="shared" si="39"/>
        <v>79798</v>
      </c>
      <c r="L86" s="37">
        <f t="shared" ref="L86" si="40">L65+L80+L83</f>
        <v>46480</v>
      </c>
      <c r="M86" s="14" t="s">
        <v>28</v>
      </c>
      <c r="N86" s="15"/>
      <c r="O86" s="15"/>
    </row>
    <row r="87" spans="1:15" ht="12.75" customHeight="1" thickBot="1" x14ac:dyDescent="0.25">
      <c r="A87" s="37">
        <f t="shared" si="39"/>
        <v>64334</v>
      </c>
      <c r="B87" s="37">
        <f t="shared" si="39"/>
        <v>1021</v>
      </c>
      <c r="C87" s="37">
        <f t="shared" si="39"/>
        <v>57159</v>
      </c>
      <c r="D87" s="37">
        <f t="shared" si="39"/>
        <v>6154</v>
      </c>
      <c r="E87" s="37">
        <f t="shared" si="39"/>
        <v>390974</v>
      </c>
      <c r="F87" s="37">
        <f t="shared" si="39"/>
        <v>5439</v>
      </c>
      <c r="G87" s="37">
        <f t="shared" si="39"/>
        <v>360026</v>
      </c>
      <c r="H87" s="37">
        <f t="shared" si="39"/>
        <v>25509</v>
      </c>
      <c r="I87" s="37">
        <f t="shared" si="39"/>
        <v>123728</v>
      </c>
      <c r="J87" s="37">
        <f t="shared" si="39"/>
        <v>2462</v>
      </c>
      <c r="K87" s="37">
        <f t="shared" si="39"/>
        <v>108593</v>
      </c>
      <c r="L87" s="37">
        <f t="shared" ref="L87" si="41">L66+L81+L84</f>
        <v>12673</v>
      </c>
      <c r="M87" s="14" t="s">
        <v>29</v>
      </c>
      <c r="N87" s="39">
        <v>432</v>
      </c>
      <c r="O87" s="27" t="s">
        <v>44</v>
      </c>
    </row>
    <row r="88" spans="1:15" ht="12.75" customHeight="1" thickBot="1" x14ac:dyDescent="0.25">
      <c r="A88" s="37">
        <f t="shared" si="39"/>
        <v>112132</v>
      </c>
      <c r="B88" s="37">
        <f t="shared" si="39"/>
        <v>4039</v>
      </c>
      <c r="C88" s="37">
        <f t="shared" si="39"/>
        <v>82619</v>
      </c>
      <c r="D88" s="37">
        <f t="shared" si="39"/>
        <v>25474</v>
      </c>
      <c r="E88" s="37">
        <f t="shared" si="39"/>
        <v>714877</v>
      </c>
      <c r="F88" s="37">
        <f t="shared" si="39"/>
        <v>15359</v>
      </c>
      <c r="G88" s="37">
        <f t="shared" si="39"/>
        <v>579343</v>
      </c>
      <c r="H88" s="37">
        <f t="shared" si="39"/>
        <v>120175</v>
      </c>
      <c r="I88" s="37">
        <f t="shared" si="39"/>
        <v>255621</v>
      </c>
      <c r="J88" s="37">
        <f t="shared" si="39"/>
        <v>8077</v>
      </c>
      <c r="K88" s="37">
        <f t="shared" si="39"/>
        <v>188391</v>
      </c>
      <c r="L88" s="37">
        <f t="shared" ref="L88" si="42">L67+L82+L85</f>
        <v>59153</v>
      </c>
      <c r="M88" s="14" t="s">
        <v>13</v>
      </c>
      <c r="N88" s="28"/>
      <c r="O88" s="28"/>
    </row>
    <row r="92" spans="1:15" ht="12.75" customHeight="1" x14ac:dyDescent="0.2">
      <c r="C92" s="12"/>
    </row>
  </sheetData>
  <mergeCells count="5">
    <mergeCell ref="A1:O1"/>
    <mergeCell ref="A2:O2"/>
    <mergeCell ref="A3:D3"/>
    <mergeCell ref="E3:H3"/>
    <mergeCell ref="I3:L3"/>
  </mergeCells>
  <pageMargins left="7.874015748031496E-2" right="7.874015748031496E-2" top="7.874015748031496E-2" bottom="7.874015748031496E-2" header="7.874015748031496E-2" footer="7.874015748031496E-2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85"/>
  <sheetViews>
    <sheetView showGridLines="0" zoomScale="80" zoomScaleNormal="80" workbookViewId="0">
      <selection sqref="A1:N1"/>
    </sheetView>
  </sheetViews>
  <sheetFormatPr defaultRowHeight="12.75" x14ac:dyDescent="0.2"/>
  <cols>
    <col min="1" max="12" width="8.375" style="2" customWidth="1"/>
    <col min="13" max="13" width="6.125" style="2" customWidth="1"/>
    <col min="14" max="14" width="27.375" style="2" customWidth="1"/>
    <col min="15" max="15" width="2.75" style="2" customWidth="1"/>
    <col min="16" max="256" width="9.125" style="2"/>
    <col min="257" max="268" width="8.375" style="2" customWidth="1"/>
    <col min="269" max="269" width="6.125" style="2" customWidth="1"/>
    <col min="270" max="270" width="27.375" style="2" customWidth="1"/>
    <col min="271" max="271" width="2.75" style="2" customWidth="1"/>
    <col min="272" max="512" width="9.125" style="2"/>
    <col min="513" max="524" width="8.375" style="2" customWidth="1"/>
    <col min="525" max="525" width="6.125" style="2" customWidth="1"/>
    <col min="526" max="526" width="27.375" style="2" customWidth="1"/>
    <col min="527" max="527" width="2.75" style="2" customWidth="1"/>
    <col min="528" max="768" width="9.125" style="2"/>
    <col min="769" max="780" width="8.375" style="2" customWidth="1"/>
    <col min="781" max="781" width="6.125" style="2" customWidth="1"/>
    <col min="782" max="782" width="27.375" style="2" customWidth="1"/>
    <col min="783" max="783" width="2.75" style="2" customWidth="1"/>
    <col min="784" max="1024" width="9.125" style="2"/>
    <col min="1025" max="1036" width="8.375" style="2" customWidth="1"/>
    <col min="1037" max="1037" width="6.125" style="2" customWidth="1"/>
    <col min="1038" max="1038" width="27.375" style="2" customWidth="1"/>
    <col min="1039" max="1039" width="2.75" style="2" customWidth="1"/>
    <col min="1040" max="1280" width="9.125" style="2"/>
    <col min="1281" max="1292" width="8.375" style="2" customWidth="1"/>
    <col min="1293" max="1293" width="6.125" style="2" customWidth="1"/>
    <col min="1294" max="1294" width="27.375" style="2" customWidth="1"/>
    <col min="1295" max="1295" width="2.75" style="2" customWidth="1"/>
    <col min="1296" max="1536" width="9.125" style="2"/>
    <col min="1537" max="1548" width="8.375" style="2" customWidth="1"/>
    <col min="1549" max="1549" width="6.125" style="2" customWidth="1"/>
    <col min="1550" max="1550" width="27.375" style="2" customWidth="1"/>
    <col min="1551" max="1551" width="2.75" style="2" customWidth="1"/>
    <col min="1552" max="1792" width="9.125" style="2"/>
    <col min="1793" max="1804" width="8.375" style="2" customWidth="1"/>
    <col min="1805" max="1805" width="6.125" style="2" customWidth="1"/>
    <col min="1806" max="1806" width="27.375" style="2" customWidth="1"/>
    <col min="1807" max="1807" width="2.75" style="2" customWidth="1"/>
    <col min="1808" max="2048" width="9.125" style="2"/>
    <col min="2049" max="2060" width="8.375" style="2" customWidth="1"/>
    <col min="2061" max="2061" width="6.125" style="2" customWidth="1"/>
    <col min="2062" max="2062" width="27.375" style="2" customWidth="1"/>
    <col min="2063" max="2063" width="2.75" style="2" customWidth="1"/>
    <col min="2064" max="2304" width="9.125" style="2"/>
    <col min="2305" max="2316" width="8.375" style="2" customWidth="1"/>
    <col min="2317" max="2317" width="6.125" style="2" customWidth="1"/>
    <col min="2318" max="2318" width="27.375" style="2" customWidth="1"/>
    <col min="2319" max="2319" width="2.75" style="2" customWidth="1"/>
    <col min="2320" max="2560" width="9.125" style="2"/>
    <col min="2561" max="2572" width="8.375" style="2" customWidth="1"/>
    <col min="2573" max="2573" width="6.125" style="2" customWidth="1"/>
    <col min="2574" max="2574" width="27.375" style="2" customWidth="1"/>
    <col min="2575" max="2575" width="2.75" style="2" customWidth="1"/>
    <col min="2576" max="2816" width="9.125" style="2"/>
    <col min="2817" max="2828" width="8.375" style="2" customWidth="1"/>
    <col min="2829" max="2829" width="6.125" style="2" customWidth="1"/>
    <col min="2830" max="2830" width="27.375" style="2" customWidth="1"/>
    <col min="2831" max="2831" width="2.75" style="2" customWidth="1"/>
    <col min="2832" max="3072" width="9.125" style="2"/>
    <col min="3073" max="3084" width="8.375" style="2" customWidth="1"/>
    <col min="3085" max="3085" width="6.125" style="2" customWidth="1"/>
    <col min="3086" max="3086" width="27.375" style="2" customWidth="1"/>
    <col min="3087" max="3087" width="2.75" style="2" customWidth="1"/>
    <col min="3088" max="3328" width="9.125" style="2"/>
    <col min="3329" max="3340" width="8.375" style="2" customWidth="1"/>
    <col min="3341" max="3341" width="6.125" style="2" customWidth="1"/>
    <col min="3342" max="3342" width="27.375" style="2" customWidth="1"/>
    <col min="3343" max="3343" width="2.75" style="2" customWidth="1"/>
    <col min="3344" max="3584" width="9.125" style="2"/>
    <col min="3585" max="3596" width="8.375" style="2" customWidth="1"/>
    <col min="3597" max="3597" width="6.125" style="2" customWidth="1"/>
    <col min="3598" max="3598" width="27.375" style="2" customWidth="1"/>
    <col min="3599" max="3599" width="2.75" style="2" customWidth="1"/>
    <col min="3600" max="3840" width="9.125" style="2"/>
    <col min="3841" max="3852" width="8.375" style="2" customWidth="1"/>
    <col min="3853" max="3853" width="6.125" style="2" customWidth="1"/>
    <col min="3854" max="3854" width="27.375" style="2" customWidth="1"/>
    <col min="3855" max="3855" width="2.75" style="2" customWidth="1"/>
    <col min="3856" max="4096" width="9.125" style="2"/>
    <col min="4097" max="4108" width="8.375" style="2" customWidth="1"/>
    <col min="4109" max="4109" width="6.125" style="2" customWidth="1"/>
    <col min="4110" max="4110" width="27.375" style="2" customWidth="1"/>
    <col min="4111" max="4111" width="2.75" style="2" customWidth="1"/>
    <col min="4112" max="4352" width="9.125" style="2"/>
    <col min="4353" max="4364" width="8.375" style="2" customWidth="1"/>
    <col min="4365" max="4365" width="6.125" style="2" customWidth="1"/>
    <col min="4366" max="4366" width="27.375" style="2" customWidth="1"/>
    <col min="4367" max="4367" width="2.75" style="2" customWidth="1"/>
    <col min="4368" max="4608" width="9.125" style="2"/>
    <col min="4609" max="4620" width="8.375" style="2" customWidth="1"/>
    <col min="4621" max="4621" width="6.125" style="2" customWidth="1"/>
    <col min="4622" max="4622" width="27.375" style="2" customWidth="1"/>
    <col min="4623" max="4623" width="2.75" style="2" customWidth="1"/>
    <col min="4624" max="4864" width="9.125" style="2"/>
    <col min="4865" max="4876" width="8.375" style="2" customWidth="1"/>
    <col min="4877" max="4877" width="6.125" style="2" customWidth="1"/>
    <col min="4878" max="4878" width="27.375" style="2" customWidth="1"/>
    <col min="4879" max="4879" width="2.75" style="2" customWidth="1"/>
    <col min="4880" max="5120" width="9.125" style="2"/>
    <col min="5121" max="5132" width="8.375" style="2" customWidth="1"/>
    <col min="5133" max="5133" width="6.125" style="2" customWidth="1"/>
    <col min="5134" max="5134" width="27.375" style="2" customWidth="1"/>
    <col min="5135" max="5135" width="2.75" style="2" customWidth="1"/>
    <col min="5136" max="5376" width="9.125" style="2"/>
    <col min="5377" max="5388" width="8.375" style="2" customWidth="1"/>
    <col min="5389" max="5389" width="6.125" style="2" customWidth="1"/>
    <col min="5390" max="5390" width="27.375" style="2" customWidth="1"/>
    <col min="5391" max="5391" width="2.75" style="2" customWidth="1"/>
    <col min="5392" max="5632" width="9.125" style="2"/>
    <col min="5633" max="5644" width="8.375" style="2" customWidth="1"/>
    <col min="5645" max="5645" width="6.125" style="2" customWidth="1"/>
    <col min="5646" max="5646" width="27.375" style="2" customWidth="1"/>
    <col min="5647" max="5647" width="2.75" style="2" customWidth="1"/>
    <col min="5648" max="5888" width="9.125" style="2"/>
    <col min="5889" max="5900" width="8.375" style="2" customWidth="1"/>
    <col min="5901" max="5901" width="6.125" style="2" customWidth="1"/>
    <col min="5902" max="5902" width="27.375" style="2" customWidth="1"/>
    <col min="5903" max="5903" width="2.75" style="2" customWidth="1"/>
    <col min="5904" max="6144" width="9.125" style="2"/>
    <col min="6145" max="6156" width="8.375" style="2" customWidth="1"/>
    <col min="6157" max="6157" width="6.125" style="2" customWidth="1"/>
    <col min="6158" max="6158" width="27.375" style="2" customWidth="1"/>
    <col min="6159" max="6159" width="2.75" style="2" customWidth="1"/>
    <col min="6160" max="6400" width="9.125" style="2"/>
    <col min="6401" max="6412" width="8.375" style="2" customWidth="1"/>
    <col min="6413" max="6413" width="6.125" style="2" customWidth="1"/>
    <col min="6414" max="6414" width="27.375" style="2" customWidth="1"/>
    <col min="6415" max="6415" width="2.75" style="2" customWidth="1"/>
    <col min="6416" max="6656" width="9.125" style="2"/>
    <col min="6657" max="6668" width="8.375" style="2" customWidth="1"/>
    <col min="6669" max="6669" width="6.125" style="2" customWidth="1"/>
    <col min="6670" max="6670" width="27.375" style="2" customWidth="1"/>
    <col min="6671" max="6671" width="2.75" style="2" customWidth="1"/>
    <col min="6672" max="6912" width="9.125" style="2"/>
    <col min="6913" max="6924" width="8.375" style="2" customWidth="1"/>
    <col min="6925" max="6925" width="6.125" style="2" customWidth="1"/>
    <col min="6926" max="6926" width="27.375" style="2" customWidth="1"/>
    <col min="6927" max="6927" width="2.75" style="2" customWidth="1"/>
    <col min="6928" max="7168" width="9.125" style="2"/>
    <col min="7169" max="7180" width="8.375" style="2" customWidth="1"/>
    <col min="7181" max="7181" width="6.125" style="2" customWidth="1"/>
    <col min="7182" max="7182" width="27.375" style="2" customWidth="1"/>
    <col min="7183" max="7183" width="2.75" style="2" customWidth="1"/>
    <col min="7184" max="7424" width="9.125" style="2"/>
    <col min="7425" max="7436" width="8.375" style="2" customWidth="1"/>
    <col min="7437" max="7437" width="6.125" style="2" customWidth="1"/>
    <col min="7438" max="7438" width="27.375" style="2" customWidth="1"/>
    <col min="7439" max="7439" width="2.75" style="2" customWidth="1"/>
    <col min="7440" max="7680" width="9.125" style="2"/>
    <col min="7681" max="7692" width="8.375" style="2" customWidth="1"/>
    <col min="7693" max="7693" width="6.125" style="2" customWidth="1"/>
    <col min="7694" max="7694" width="27.375" style="2" customWidth="1"/>
    <col min="7695" max="7695" width="2.75" style="2" customWidth="1"/>
    <col min="7696" max="7936" width="9.125" style="2"/>
    <col min="7937" max="7948" width="8.375" style="2" customWidth="1"/>
    <col min="7949" max="7949" width="6.125" style="2" customWidth="1"/>
    <col min="7950" max="7950" width="27.375" style="2" customWidth="1"/>
    <col min="7951" max="7951" width="2.75" style="2" customWidth="1"/>
    <col min="7952" max="8192" width="9.125" style="2"/>
    <col min="8193" max="8204" width="8.375" style="2" customWidth="1"/>
    <col min="8205" max="8205" width="6.125" style="2" customWidth="1"/>
    <col min="8206" max="8206" width="27.375" style="2" customWidth="1"/>
    <col min="8207" max="8207" width="2.75" style="2" customWidth="1"/>
    <col min="8208" max="8448" width="9.125" style="2"/>
    <col min="8449" max="8460" width="8.375" style="2" customWidth="1"/>
    <col min="8461" max="8461" width="6.125" style="2" customWidth="1"/>
    <col min="8462" max="8462" width="27.375" style="2" customWidth="1"/>
    <col min="8463" max="8463" width="2.75" style="2" customWidth="1"/>
    <col min="8464" max="8704" width="9.125" style="2"/>
    <col min="8705" max="8716" width="8.375" style="2" customWidth="1"/>
    <col min="8717" max="8717" width="6.125" style="2" customWidth="1"/>
    <col min="8718" max="8718" width="27.375" style="2" customWidth="1"/>
    <col min="8719" max="8719" width="2.75" style="2" customWidth="1"/>
    <col min="8720" max="8960" width="9.125" style="2"/>
    <col min="8961" max="8972" width="8.375" style="2" customWidth="1"/>
    <col min="8973" max="8973" width="6.125" style="2" customWidth="1"/>
    <col min="8974" max="8974" width="27.375" style="2" customWidth="1"/>
    <col min="8975" max="8975" width="2.75" style="2" customWidth="1"/>
    <col min="8976" max="9216" width="9.125" style="2"/>
    <col min="9217" max="9228" width="8.375" style="2" customWidth="1"/>
    <col min="9229" max="9229" width="6.125" style="2" customWidth="1"/>
    <col min="9230" max="9230" width="27.375" style="2" customWidth="1"/>
    <col min="9231" max="9231" width="2.75" style="2" customWidth="1"/>
    <col min="9232" max="9472" width="9.125" style="2"/>
    <col min="9473" max="9484" width="8.375" style="2" customWidth="1"/>
    <col min="9485" max="9485" width="6.125" style="2" customWidth="1"/>
    <col min="9486" max="9486" width="27.375" style="2" customWidth="1"/>
    <col min="9487" max="9487" width="2.75" style="2" customWidth="1"/>
    <col min="9488" max="9728" width="9.125" style="2"/>
    <col min="9729" max="9740" width="8.375" style="2" customWidth="1"/>
    <col min="9741" max="9741" width="6.125" style="2" customWidth="1"/>
    <col min="9742" max="9742" width="27.375" style="2" customWidth="1"/>
    <col min="9743" max="9743" width="2.75" style="2" customWidth="1"/>
    <col min="9744" max="9984" width="9.125" style="2"/>
    <col min="9985" max="9996" width="8.375" style="2" customWidth="1"/>
    <col min="9997" max="9997" width="6.125" style="2" customWidth="1"/>
    <col min="9998" max="9998" width="27.375" style="2" customWidth="1"/>
    <col min="9999" max="9999" width="2.75" style="2" customWidth="1"/>
    <col min="10000" max="10240" width="9.125" style="2"/>
    <col min="10241" max="10252" width="8.375" style="2" customWidth="1"/>
    <col min="10253" max="10253" width="6.125" style="2" customWidth="1"/>
    <col min="10254" max="10254" width="27.375" style="2" customWidth="1"/>
    <col min="10255" max="10255" width="2.75" style="2" customWidth="1"/>
    <col min="10256" max="10496" width="9.125" style="2"/>
    <col min="10497" max="10508" width="8.375" style="2" customWidth="1"/>
    <col min="10509" max="10509" width="6.125" style="2" customWidth="1"/>
    <col min="10510" max="10510" width="27.375" style="2" customWidth="1"/>
    <col min="10511" max="10511" width="2.75" style="2" customWidth="1"/>
    <col min="10512" max="10752" width="9.125" style="2"/>
    <col min="10753" max="10764" width="8.375" style="2" customWidth="1"/>
    <col min="10765" max="10765" width="6.125" style="2" customWidth="1"/>
    <col min="10766" max="10766" width="27.375" style="2" customWidth="1"/>
    <col min="10767" max="10767" width="2.75" style="2" customWidth="1"/>
    <col min="10768" max="11008" width="9.125" style="2"/>
    <col min="11009" max="11020" width="8.375" style="2" customWidth="1"/>
    <col min="11021" max="11021" width="6.125" style="2" customWidth="1"/>
    <col min="11022" max="11022" width="27.375" style="2" customWidth="1"/>
    <col min="11023" max="11023" width="2.75" style="2" customWidth="1"/>
    <col min="11024" max="11264" width="9.125" style="2"/>
    <col min="11265" max="11276" width="8.375" style="2" customWidth="1"/>
    <col min="11277" max="11277" width="6.125" style="2" customWidth="1"/>
    <col min="11278" max="11278" width="27.375" style="2" customWidth="1"/>
    <col min="11279" max="11279" width="2.75" style="2" customWidth="1"/>
    <col min="11280" max="11520" width="9.125" style="2"/>
    <col min="11521" max="11532" width="8.375" style="2" customWidth="1"/>
    <col min="11533" max="11533" width="6.125" style="2" customWidth="1"/>
    <col min="11534" max="11534" width="27.375" style="2" customWidth="1"/>
    <col min="11535" max="11535" width="2.75" style="2" customWidth="1"/>
    <col min="11536" max="11776" width="9.125" style="2"/>
    <col min="11777" max="11788" width="8.375" style="2" customWidth="1"/>
    <col min="11789" max="11789" width="6.125" style="2" customWidth="1"/>
    <col min="11790" max="11790" width="27.375" style="2" customWidth="1"/>
    <col min="11791" max="11791" width="2.75" style="2" customWidth="1"/>
    <col min="11792" max="12032" width="9.125" style="2"/>
    <col min="12033" max="12044" width="8.375" style="2" customWidth="1"/>
    <col min="12045" max="12045" width="6.125" style="2" customWidth="1"/>
    <col min="12046" max="12046" width="27.375" style="2" customWidth="1"/>
    <col min="12047" max="12047" width="2.75" style="2" customWidth="1"/>
    <col min="12048" max="12288" width="9.125" style="2"/>
    <col min="12289" max="12300" width="8.375" style="2" customWidth="1"/>
    <col min="12301" max="12301" width="6.125" style="2" customWidth="1"/>
    <col min="12302" max="12302" width="27.375" style="2" customWidth="1"/>
    <col min="12303" max="12303" width="2.75" style="2" customWidth="1"/>
    <col min="12304" max="12544" width="9.125" style="2"/>
    <col min="12545" max="12556" width="8.375" style="2" customWidth="1"/>
    <col min="12557" max="12557" width="6.125" style="2" customWidth="1"/>
    <col min="12558" max="12558" width="27.375" style="2" customWidth="1"/>
    <col min="12559" max="12559" width="2.75" style="2" customWidth="1"/>
    <col min="12560" max="12800" width="9.125" style="2"/>
    <col min="12801" max="12812" width="8.375" style="2" customWidth="1"/>
    <col min="12813" max="12813" width="6.125" style="2" customWidth="1"/>
    <col min="12814" max="12814" width="27.375" style="2" customWidth="1"/>
    <col min="12815" max="12815" width="2.75" style="2" customWidth="1"/>
    <col min="12816" max="13056" width="9.125" style="2"/>
    <col min="13057" max="13068" width="8.375" style="2" customWidth="1"/>
    <col min="13069" max="13069" width="6.125" style="2" customWidth="1"/>
    <col min="13070" max="13070" width="27.375" style="2" customWidth="1"/>
    <col min="13071" max="13071" width="2.75" style="2" customWidth="1"/>
    <col min="13072" max="13312" width="9.125" style="2"/>
    <col min="13313" max="13324" width="8.375" style="2" customWidth="1"/>
    <col min="13325" max="13325" width="6.125" style="2" customWidth="1"/>
    <col min="13326" max="13326" width="27.375" style="2" customWidth="1"/>
    <col min="13327" max="13327" width="2.75" style="2" customWidth="1"/>
    <col min="13328" max="13568" width="9.125" style="2"/>
    <col min="13569" max="13580" width="8.375" style="2" customWidth="1"/>
    <col min="13581" max="13581" width="6.125" style="2" customWidth="1"/>
    <col min="13582" max="13582" width="27.375" style="2" customWidth="1"/>
    <col min="13583" max="13583" width="2.75" style="2" customWidth="1"/>
    <col min="13584" max="13824" width="9.125" style="2"/>
    <col min="13825" max="13836" width="8.375" style="2" customWidth="1"/>
    <col min="13837" max="13837" width="6.125" style="2" customWidth="1"/>
    <col min="13838" max="13838" width="27.375" style="2" customWidth="1"/>
    <col min="13839" max="13839" width="2.75" style="2" customWidth="1"/>
    <col min="13840" max="14080" width="9.125" style="2"/>
    <col min="14081" max="14092" width="8.375" style="2" customWidth="1"/>
    <col min="14093" max="14093" width="6.125" style="2" customWidth="1"/>
    <col min="14094" max="14094" width="27.375" style="2" customWidth="1"/>
    <col min="14095" max="14095" width="2.75" style="2" customWidth="1"/>
    <col min="14096" max="14336" width="9.125" style="2"/>
    <col min="14337" max="14348" width="8.375" style="2" customWidth="1"/>
    <col min="14349" max="14349" width="6.125" style="2" customWidth="1"/>
    <col min="14350" max="14350" width="27.375" style="2" customWidth="1"/>
    <col min="14351" max="14351" width="2.75" style="2" customWidth="1"/>
    <col min="14352" max="14592" width="9.125" style="2"/>
    <col min="14593" max="14604" width="8.375" style="2" customWidth="1"/>
    <col min="14605" max="14605" width="6.125" style="2" customWidth="1"/>
    <col min="14606" max="14606" width="27.375" style="2" customWidth="1"/>
    <col min="14607" max="14607" width="2.75" style="2" customWidth="1"/>
    <col min="14608" max="14848" width="9.125" style="2"/>
    <col min="14849" max="14860" width="8.375" style="2" customWidth="1"/>
    <col min="14861" max="14861" width="6.125" style="2" customWidth="1"/>
    <col min="14862" max="14862" width="27.375" style="2" customWidth="1"/>
    <col min="14863" max="14863" width="2.75" style="2" customWidth="1"/>
    <col min="14864" max="15104" width="9.125" style="2"/>
    <col min="15105" max="15116" width="8.375" style="2" customWidth="1"/>
    <col min="15117" max="15117" width="6.125" style="2" customWidth="1"/>
    <col min="15118" max="15118" width="27.375" style="2" customWidth="1"/>
    <col min="15119" max="15119" width="2.75" style="2" customWidth="1"/>
    <col min="15120" max="15360" width="9.125" style="2"/>
    <col min="15361" max="15372" width="8.375" style="2" customWidth="1"/>
    <col min="15373" max="15373" width="6.125" style="2" customWidth="1"/>
    <col min="15374" max="15374" width="27.375" style="2" customWidth="1"/>
    <col min="15375" max="15375" width="2.75" style="2" customWidth="1"/>
    <col min="15376" max="15616" width="9.125" style="2"/>
    <col min="15617" max="15628" width="8.375" style="2" customWidth="1"/>
    <col min="15629" max="15629" width="6.125" style="2" customWidth="1"/>
    <col min="15630" max="15630" width="27.375" style="2" customWidth="1"/>
    <col min="15631" max="15631" width="2.75" style="2" customWidth="1"/>
    <col min="15632" max="15872" width="9.125" style="2"/>
    <col min="15873" max="15884" width="8.375" style="2" customWidth="1"/>
    <col min="15885" max="15885" width="6.125" style="2" customWidth="1"/>
    <col min="15886" max="15886" width="27.375" style="2" customWidth="1"/>
    <col min="15887" max="15887" width="2.75" style="2" customWidth="1"/>
    <col min="15888" max="16128" width="9.125" style="2"/>
    <col min="16129" max="16140" width="8.375" style="2" customWidth="1"/>
    <col min="16141" max="16141" width="6.125" style="2" customWidth="1"/>
    <col min="16142" max="16142" width="27.375" style="2" customWidth="1"/>
    <col min="16143" max="16143" width="2.75" style="2" customWidth="1"/>
    <col min="16144" max="16384" width="9.125" style="2"/>
  </cols>
  <sheetData>
    <row r="1" spans="1:15" ht="20.100000000000001" customHeight="1" x14ac:dyDescent="0.2">
      <c r="A1" s="155" t="s">
        <v>178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36"/>
    </row>
    <row r="2" spans="1:15" ht="20.100000000000001" customHeight="1" thickBot="1" x14ac:dyDescent="0.25">
      <c r="A2" s="156" t="s">
        <v>179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36"/>
    </row>
    <row r="3" spans="1:15" ht="13.5" thickBot="1" x14ac:dyDescent="0.25">
      <c r="A3" s="158" t="s">
        <v>2</v>
      </c>
      <c r="B3" s="158"/>
      <c r="C3" s="158"/>
      <c r="D3" s="158"/>
      <c r="E3" s="158" t="s">
        <v>3</v>
      </c>
      <c r="F3" s="158"/>
      <c r="G3" s="158"/>
      <c r="H3" s="158"/>
      <c r="I3" s="158" t="s">
        <v>4</v>
      </c>
      <c r="J3" s="158"/>
      <c r="K3" s="158"/>
      <c r="L3" s="158"/>
      <c r="M3" s="15" t="s">
        <v>8</v>
      </c>
      <c r="N3" s="15" t="s">
        <v>180</v>
      </c>
      <c r="O3" s="36"/>
    </row>
    <row r="4" spans="1:15" ht="13.5" thickBot="1" x14ac:dyDescent="0.25">
      <c r="A4" s="14" t="s">
        <v>5</v>
      </c>
      <c r="B4" s="14" t="s">
        <v>181</v>
      </c>
      <c r="C4" s="14" t="s">
        <v>65</v>
      </c>
      <c r="D4" s="14" t="s">
        <v>66</v>
      </c>
      <c r="E4" s="14" t="s">
        <v>5</v>
      </c>
      <c r="F4" s="14" t="s">
        <v>181</v>
      </c>
      <c r="G4" s="14" t="s">
        <v>65</v>
      </c>
      <c r="H4" s="14" t="s">
        <v>66</v>
      </c>
      <c r="I4" s="14" t="s">
        <v>5</v>
      </c>
      <c r="J4" s="14" t="s">
        <v>181</v>
      </c>
      <c r="K4" s="14" t="s">
        <v>65</v>
      </c>
      <c r="L4" s="14" t="s">
        <v>66</v>
      </c>
      <c r="M4" s="28"/>
      <c r="N4" s="28"/>
      <c r="O4" s="36"/>
    </row>
    <row r="5" spans="1:15" ht="13.5" thickBot="1" x14ac:dyDescent="0.25">
      <c r="A5" s="37">
        <f>D5+C5+B5</f>
        <v>896</v>
      </c>
      <c r="B5" s="37">
        <v>11</v>
      </c>
      <c r="C5" s="37">
        <v>694</v>
      </c>
      <c r="D5" s="37">
        <v>191</v>
      </c>
      <c r="E5" s="37">
        <f>H5+G5+F5</f>
        <v>17394</v>
      </c>
      <c r="F5" s="37">
        <v>54</v>
      </c>
      <c r="G5" s="37">
        <v>11631</v>
      </c>
      <c r="H5" s="37">
        <v>5709</v>
      </c>
      <c r="I5" s="37">
        <f>L5+K5+J5</f>
        <v>7932</v>
      </c>
      <c r="J5" s="37">
        <v>114</v>
      </c>
      <c r="K5" s="37">
        <v>4991</v>
      </c>
      <c r="L5" s="37">
        <v>2827</v>
      </c>
      <c r="M5" s="14" t="s">
        <v>10</v>
      </c>
      <c r="N5" s="27"/>
      <c r="O5" s="36"/>
    </row>
    <row r="6" spans="1:15" ht="13.5" thickBot="1" x14ac:dyDescent="0.25">
      <c r="A6" s="37">
        <f t="shared" ref="A6:A69" si="0">D6+C6+B6</f>
        <v>1274</v>
      </c>
      <c r="B6" s="37">
        <v>3</v>
      </c>
      <c r="C6" s="37">
        <v>1152</v>
      </c>
      <c r="D6" s="37">
        <v>119</v>
      </c>
      <c r="E6" s="37">
        <f t="shared" ref="E6:E69" si="1">H6+G6+F6</f>
        <v>8127</v>
      </c>
      <c r="F6" s="37">
        <v>19</v>
      </c>
      <c r="G6" s="37">
        <v>6930</v>
      </c>
      <c r="H6" s="37">
        <v>1178</v>
      </c>
      <c r="I6" s="37">
        <f t="shared" ref="I6:I69" si="2">L6+K6+J6</f>
        <v>4154</v>
      </c>
      <c r="J6" s="37">
        <v>3</v>
      </c>
      <c r="K6" s="37">
        <v>3227</v>
      </c>
      <c r="L6" s="37">
        <v>924</v>
      </c>
      <c r="M6" s="14" t="s">
        <v>11</v>
      </c>
      <c r="N6" s="27" t="s">
        <v>182</v>
      </c>
      <c r="O6" s="36"/>
    </row>
    <row r="7" spans="1:15" ht="13.5" thickBot="1" x14ac:dyDescent="0.25">
      <c r="A7" s="37">
        <f t="shared" ref="A7:K7" si="3">SUM(A5:A6)</f>
        <v>2170</v>
      </c>
      <c r="B7" s="37">
        <f t="shared" si="3"/>
        <v>14</v>
      </c>
      <c r="C7" s="37">
        <f t="shared" si="3"/>
        <v>1846</v>
      </c>
      <c r="D7" s="37">
        <f t="shared" si="3"/>
        <v>310</v>
      </c>
      <c r="E7" s="37">
        <f t="shared" si="3"/>
        <v>25521</v>
      </c>
      <c r="F7" s="37">
        <f t="shared" si="3"/>
        <v>73</v>
      </c>
      <c r="G7" s="37">
        <f t="shared" si="3"/>
        <v>18561</v>
      </c>
      <c r="H7" s="37">
        <f t="shared" si="3"/>
        <v>6887</v>
      </c>
      <c r="I7" s="37">
        <f t="shared" si="3"/>
        <v>12086</v>
      </c>
      <c r="J7" s="37">
        <f t="shared" si="3"/>
        <v>117</v>
      </c>
      <c r="K7" s="37">
        <f t="shared" si="3"/>
        <v>8218</v>
      </c>
      <c r="L7" s="37">
        <f>SUM(L5:L6)</f>
        <v>3751</v>
      </c>
      <c r="M7" s="14" t="s">
        <v>13</v>
      </c>
      <c r="N7" s="28"/>
      <c r="O7" s="36"/>
    </row>
    <row r="8" spans="1:15" ht="13.5" thickBot="1" x14ac:dyDescent="0.25">
      <c r="A8" s="37">
        <f t="shared" si="0"/>
        <v>6480</v>
      </c>
      <c r="B8" s="37">
        <v>469</v>
      </c>
      <c r="C8" s="37">
        <v>2940</v>
      </c>
      <c r="D8" s="37">
        <v>3071</v>
      </c>
      <c r="E8" s="37">
        <f t="shared" si="1"/>
        <v>31477</v>
      </c>
      <c r="F8" s="37">
        <v>1036</v>
      </c>
      <c r="G8" s="37">
        <v>22728</v>
      </c>
      <c r="H8" s="37">
        <v>7713</v>
      </c>
      <c r="I8" s="37">
        <f t="shared" si="2"/>
        <v>18919</v>
      </c>
      <c r="J8" s="37">
        <v>806</v>
      </c>
      <c r="K8" s="37">
        <v>8853</v>
      </c>
      <c r="L8" s="37">
        <v>9260</v>
      </c>
      <c r="M8" s="14" t="s">
        <v>10</v>
      </c>
      <c r="N8" s="27"/>
      <c r="O8" s="36"/>
    </row>
    <row r="9" spans="1:15" ht="13.5" thickBot="1" x14ac:dyDescent="0.25">
      <c r="A9" s="37">
        <f t="shared" si="0"/>
        <v>8576</v>
      </c>
      <c r="B9" s="37">
        <v>102</v>
      </c>
      <c r="C9" s="37">
        <v>8474</v>
      </c>
      <c r="D9" s="37">
        <v>0</v>
      </c>
      <c r="E9" s="37">
        <f t="shared" si="1"/>
        <v>31707</v>
      </c>
      <c r="F9" s="37">
        <v>224</v>
      </c>
      <c r="G9" s="37">
        <v>31483</v>
      </c>
      <c r="H9" s="37">
        <v>0</v>
      </c>
      <c r="I9" s="37">
        <f t="shared" si="2"/>
        <v>19865</v>
      </c>
      <c r="J9" s="37">
        <v>202</v>
      </c>
      <c r="K9" s="37">
        <v>18482</v>
      </c>
      <c r="L9" s="37">
        <v>1181</v>
      </c>
      <c r="M9" s="14" t="s">
        <v>11</v>
      </c>
      <c r="N9" s="27" t="s">
        <v>183</v>
      </c>
      <c r="O9" s="36"/>
    </row>
    <row r="10" spans="1:15" ht="13.5" thickBot="1" x14ac:dyDescent="0.25">
      <c r="A10" s="37">
        <f t="shared" ref="A10:L10" si="4">SUM(A8:A9)</f>
        <v>15056</v>
      </c>
      <c r="B10" s="37">
        <f t="shared" si="4"/>
        <v>571</v>
      </c>
      <c r="C10" s="37">
        <f t="shared" si="4"/>
        <v>11414</v>
      </c>
      <c r="D10" s="37">
        <f t="shared" si="4"/>
        <v>3071</v>
      </c>
      <c r="E10" s="37">
        <f t="shared" si="4"/>
        <v>63184</v>
      </c>
      <c r="F10" s="37">
        <f t="shared" si="4"/>
        <v>1260</v>
      </c>
      <c r="G10" s="37">
        <f t="shared" si="4"/>
        <v>54211</v>
      </c>
      <c r="H10" s="37">
        <f t="shared" si="4"/>
        <v>7713</v>
      </c>
      <c r="I10" s="37">
        <f t="shared" si="4"/>
        <v>38784</v>
      </c>
      <c r="J10" s="37">
        <f t="shared" si="4"/>
        <v>1008</v>
      </c>
      <c r="K10" s="37">
        <f t="shared" si="4"/>
        <v>27335</v>
      </c>
      <c r="L10" s="37">
        <f t="shared" si="4"/>
        <v>10441</v>
      </c>
      <c r="M10" s="14" t="s">
        <v>13</v>
      </c>
      <c r="N10" s="28"/>
      <c r="O10" s="36"/>
    </row>
    <row r="11" spans="1:15" ht="13.5" thickBot="1" x14ac:dyDescent="0.25">
      <c r="A11" s="37">
        <f t="shared" si="0"/>
        <v>1675</v>
      </c>
      <c r="B11" s="37">
        <v>48</v>
      </c>
      <c r="C11" s="37">
        <v>1461</v>
      </c>
      <c r="D11" s="37">
        <v>166</v>
      </c>
      <c r="E11" s="37">
        <f t="shared" si="1"/>
        <v>6251</v>
      </c>
      <c r="F11" s="37">
        <v>8</v>
      </c>
      <c r="G11" s="37">
        <v>5897</v>
      </c>
      <c r="H11" s="37">
        <v>346</v>
      </c>
      <c r="I11" s="37">
        <f t="shared" si="2"/>
        <v>2957</v>
      </c>
      <c r="J11" s="37">
        <v>1</v>
      </c>
      <c r="K11" s="37">
        <v>2287</v>
      </c>
      <c r="L11" s="37">
        <v>669</v>
      </c>
      <c r="M11" s="14" t="s">
        <v>10</v>
      </c>
      <c r="N11" s="27"/>
      <c r="O11" s="36"/>
    </row>
    <row r="12" spans="1:15" ht="13.5" thickBot="1" x14ac:dyDescent="0.25">
      <c r="A12" s="37">
        <f t="shared" si="0"/>
        <v>1271</v>
      </c>
      <c r="B12" s="37">
        <v>1</v>
      </c>
      <c r="C12" s="37">
        <v>1270</v>
      </c>
      <c r="D12" s="37">
        <v>0</v>
      </c>
      <c r="E12" s="37">
        <f t="shared" si="1"/>
        <v>5957</v>
      </c>
      <c r="F12" s="37">
        <v>0</v>
      </c>
      <c r="G12" s="37">
        <v>5957</v>
      </c>
      <c r="H12" s="37">
        <v>0</v>
      </c>
      <c r="I12" s="37">
        <f t="shared" si="2"/>
        <v>4390</v>
      </c>
      <c r="J12" s="37">
        <v>1</v>
      </c>
      <c r="K12" s="37">
        <v>4184</v>
      </c>
      <c r="L12" s="37">
        <v>205</v>
      </c>
      <c r="M12" s="14" t="s">
        <v>11</v>
      </c>
      <c r="N12" s="27" t="s">
        <v>184</v>
      </c>
      <c r="O12" s="36"/>
    </row>
    <row r="13" spans="1:15" ht="13.5" thickBot="1" x14ac:dyDescent="0.25">
      <c r="A13" s="37">
        <f t="shared" ref="A13:L13" si="5">SUM(A11:A12)</f>
        <v>2946</v>
      </c>
      <c r="B13" s="37">
        <f t="shared" si="5"/>
        <v>49</v>
      </c>
      <c r="C13" s="37">
        <f t="shared" si="5"/>
        <v>2731</v>
      </c>
      <c r="D13" s="37">
        <f t="shared" si="5"/>
        <v>166</v>
      </c>
      <c r="E13" s="37">
        <f t="shared" si="5"/>
        <v>12208</v>
      </c>
      <c r="F13" s="37">
        <f t="shared" si="5"/>
        <v>8</v>
      </c>
      <c r="G13" s="37">
        <f t="shared" si="5"/>
        <v>11854</v>
      </c>
      <c r="H13" s="37">
        <f t="shared" si="5"/>
        <v>346</v>
      </c>
      <c r="I13" s="37">
        <f t="shared" si="5"/>
        <v>7347</v>
      </c>
      <c r="J13" s="37">
        <f t="shared" si="5"/>
        <v>2</v>
      </c>
      <c r="K13" s="37">
        <f t="shared" si="5"/>
        <v>6471</v>
      </c>
      <c r="L13" s="37">
        <f t="shared" si="5"/>
        <v>874</v>
      </c>
      <c r="M13" s="14" t="s">
        <v>13</v>
      </c>
      <c r="N13" s="28"/>
      <c r="O13" s="36"/>
    </row>
    <row r="14" spans="1:15" ht="13.5" thickBot="1" x14ac:dyDescent="0.25">
      <c r="A14" s="37">
        <f t="shared" si="0"/>
        <v>5911</v>
      </c>
      <c r="B14" s="37">
        <v>1025</v>
      </c>
      <c r="C14" s="37">
        <v>3836</v>
      </c>
      <c r="D14" s="37">
        <v>1050</v>
      </c>
      <c r="E14" s="37">
        <f t="shared" si="1"/>
        <v>22501</v>
      </c>
      <c r="F14" s="37">
        <v>2904</v>
      </c>
      <c r="G14" s="37">
        <v>15519</v>
      </c>
      <c r="H14" s="37">
        <v>4078</v>
      </c>
      <c r="I14" s="37">
        <f t="shared" si="2"/>
        <v>7861</v>
      </c>
      <c r="J14" s="37">
        <v>1473</v>
      </c>
      <c r="K14" s="37">
        <v>4739</v>
      </c>
      <c r="L14" s="37">
        <v>1649</v>
      </c>
      <c r="M14" s="14" t="s">
        <v>10</v>
      </c>
      <c r="N14" s="27"/>
      <c r="O14" s="36"/>
    </row>
    <row r="15" spans="1:15" ht="13.5" thickBot="1" x14ac:dyDescent="0.25">
      <c r="A15" s="37">
        <f t="shared" si="0"/>
        <v>10590</v>
      </c>
      <c r="B15" s="37">
        <v>311</v>
      </c>
      <c r="C15" s="37">
        <v>9738</v>
      </c>
      <c r="D15" s="37">
        <v>541</v>
      </c>
      <c r="E15" s="37">
        <f t="shared" si="1"/>
        <v>66853</v>
      </c>
      <c r="F15" s="37">
        <v>2103</v>
      </c>
      <c r="G15" s="37">
        <v>63720</v>
      </c>
      <c r="H15" s="37">
        <v>1030</v>
      </c>
      <c r="I15" s="37">
        <f t="shared" si="2"/>
        <v>18871</v>
      </c>
      <c r="J15" s="37">
        <v>725</v>
      </c>
      <c r="K15" s="37">
        <v>17638</v>
      </c>
      <c r="L15" s="37">
        <v>508</v>
      </c>
      <c r="M15" s="14" t="s">
        <v>11</v>
      </c>
      <c r="N15" s="27" t="s">
        <v>185</v>
      </c>
      <c r="O15" s="36"/>
    </row>
    <row r="16" spans="1:15" ht="13.5" thickBot="1" x14ac:dyDescent="0.25">
      <c r="A16" s="37">
        <f t="shared" ref="A16:L16" si="6">SUM(A14:A15)</f>
        <v>16501</v>
      </c>
      <c r="B16" s="37">
        <f t="shared" si="6"/>
        <v>1336</v>
      </c>
      <c r="C16" s="37">
        <f t="shared" si="6"/>
        <v>13574</v>
      </c>
      <c r="D16" s="37">
        <f t="shared" si="6"/>
        <v>1591</v>
      </c>
      <c r="E16" s="37">
        <f t="shared" si="6"/>
        <v>89354</v>
      </c>
      <c r="F16" s="37">
        <f t="shared" si="6"/>
        <v>5007</v>
      </c>
      <c r="G16" s="37">
        <f t="shared" si="6"/>
        <v>79239</v>
      </c>
      <c r="H16" s="37">
        <f t="shared" si="6"/>
        <v>5108</v>
      </c>
      <c r="I16" s="37">
        <f t="shared" si="6"/>
        <v>26732</v>
      </c>
      <c r="J16" s="37">
        <f t="shared" si="6"/>
        <v>2198</v>
      </c>
      <c r="K16" s="37">
        <f t="shared" si="6"/>
        <v>22377</v>
      </c>
      <c r="L16" s="37">
        <f t="shared" si="6"/>
        <v>2157</v>
      </c>
      <c r="M16" s="14" t="s">
        <v>13</v>
      </c>
      <c r="N16" s="28"/>
      <c r="O16" s="36"/>
    </row>
    <row r="17" spans="1:15" ht="13.5" thickBot="1" x14ac:dyDescent="0.25">
      <c r="A17" s="37">
        <f t="shared" si="0"/>
        <v>242</v>
      </c>
      <c r="B17" s="37">
        <v>21</v>
      </c>
      <c r="C17" s="37">
        <v>78</v>
      </c>
      <c r="D17" s="37">
        <v>143</v>
      </c>
      <c r="E17" s="37">
        <f t="shared" si="1"/>
        <v>2434</v>
      </c>
      <c r="F17" s="37">
        <v>46</v>
      </c>
      <c r="G17" s="37">
        <v>455</v>
      </c>
      <c r="H17" s="37">
        <v>1933</v>
      </c>
      <c r="I17" s="37">
        <f t="shared" si="2"/>
        <v>1577</v>
      </c>
      <c r="J17" s="37">
        <v>17</v>
      </c>
      <c r="K17" s="37">
        <v>0</v>
      </c>
      <c r="L17" s="37">
        <v>1560</v>
      </c>
      <c r="M17" s="14" t="s">
        <v>10</v>
      </c>
      <c r="N17" s="27"/>
      <c r="O17" s="36"/>
    </row>
    <row r="18" spans="1:15" ht="13.5" thickBot="1" x14ac:dyDescent="0.25">
      <c r="A18" s="37">
        <f t="shared" si="0"/>
        <v>232</v>
      </c>
      <c r="B18" s="37">
        <v>3</v>
      </c>
      <c r="C18" s="37">
        <v>229</v>
      </c>
      <c r="D18" s="37">
        <v>0</v>
      </c>
      <c r="E18" s="37">
        <f t="shared" si="1"/>
        <v>1473</v>
      </c>
      <c r="F18" s="37">
        <v>14</v>
      </c>
      <c r="G18" s="37">
        <v>1302</v>
      </c>
      <c r="H18" s="37">
        <v>157</v>
      </c>
      <c r="I18" s="37">
        <f t="shared" si="2"/>
        <v>149</v>
      </c>
      <c r="J18" s="37">
        <v>0</v>
      </c>
      <c r="K18" s="37">
        <v>149</v>
      </c>
      <c r="L18" s="37">
        <v>0</v>
      </c>
      <c r="M18" s="14" t="s">
        <v>11</v>
      </c>
      <c r="N18" s="27" t="s">
        <v>186</v>
      </c>
      <c r="O18" s="36"/>
    </row>
    <row r="19" spans="1:15" ht="13.5" thickBot="1" x14ac:dyDescent="0.25">
      <c r="A19" s="37">
        <f t="shared" ref="A19:L19" si="7">SUM(A17:A18)</f>
        <v>474</v>
      </c>
      <c r="B19" s="37">
        <f t="shared" si="7"/>
        <v>24</v>
      </c>
      <c r="C19" s="37">
        <f t="shared" si="7"/>
        <v>307</v>
      </c>
      <c r="D19" s="37">
        <f t="shared" si="7"/>
        <v>143</v>
      </c>
      <c r="E19" s="37">
        <f t="shared" si="7"/>
        <v>3907</v>
      </c>
      <c r="F19" s="37">
        <f t="shared" si="7"/>
        <v>60</v>
      </c>
      <c r="G19" s="37">
        <f t="shared" si="7"/>
        <v>1757</v>
      </c>
      <c r="H19" s="37">
        <f t="shared" si="7"/>
        <v>2090</v>
      </c>
      <c r="I19" s="37">
        <f t="shared" si="7"/>
        <v>1726</v>
      </c>
      <c r="J19" s="37">
        <f t="shared" si="7"/>
        <v>17</v>
      </c>
      <c r="K19" s="37">
        <f t="shared" si="7"/>
        <v>149</v>
      </c>
      <c r="L19" s="37">
        <f t="shared" si="7"/>
        <v>1560</v>
      </c>
      <c r="M19" s="14" t="s">
        <v>13</v>
      </c>
      <c r="N19" s="28"/>
      <c r="O19" s="36"/>
    </row>
    <row r="20" spans="1:15" ht="13.5" thickBot="1" x14ac:dyDescent="0.25">
      <c r="A20" s="37">
        <f t="shared" si="0"/>
        <v>6159</v>
      </c>
      <c r="B20" s="37">
        <v>223</v>
      </c>
      <c r="C20" s="37">
        <v>3563</v>
      </c>
      <c r="D20" s="37">
        <v>2373</v>
      </c>
      <c r="E20" s="37">
        <f t="shared" si="1"/>
        <v>47297</v>
      </c>
      <c r="F20" s="37">
        <v>1340</v>
      </c>
      <c r="G20" s="37">
        <v>39124</v>
      </c>
      <c r="H20" s="37">
        <v>6833</v>
      </c>
      <c r="I20" s="37">
        <f t="shared" si="2"/>
        <v>14465</v>
      </c>
      <c r="J20" s="37">
        <v>346</v>
      </c>
      <c r="K20" s="37">
        <v>12690</v>
      </c>
      <c r="L20" s="37">
        <v>1429</v>
      </c>
      <c r="M20" s="14" t="s">
        <v>10</v>
      </c>
      <c r="N20" s="27"/>
      <c r="O20" s="36"/>
    </row>
    <row r="21" spans="1:15" ht="13.5" thickBot="1" x14ac:dyDescent="0.25">
      <c r="A21" s="37">
        <f t="shared" si="0"/>
        <v>11883</v>
      </c>
      <c r="B21" s="37">
        <v>110</v>
      </c>
      <c r="C21" s="37">
        <v>10737</v>
      </c>
      <c r="D21" s="37">
        <v>1036</v>
      </c>
      <c r="E21" s="37">
        <f t="shared" si="1"/>
        <v>92358</v>
      </c>
      <c r="F21" s="37">
        <v>760</v>
      </c>
      <c r="G21" s="37">
        <v>89623</v>
      </c>
      <c r="H21" s="37">
        <v>1975</v>
      </c>
      <c r="I21" s="37">
        <f t="shared" si="2"/>
        <v>17504</v>
      </c>
      <c r="J21" s="37">
        <v>221</v>
      </c>
      <c r="K21" s="37">
        <v>16225</v>
      </c>
      <c r="L21" s="37">
        <v>1058</v>
      </c>
      <c r="M21" s="14" t="s">
        <v>11</v>
      </c>
      <c r="N21" s="27" t="s">
        <v>187</v>
      </c>
      <c r="O21" s="36"/>
    </row>
    <row r="22" spans="1:15" ht="13.5" thickBot="1" x14ac:dyDescent="0.25">
      <c r="A22" s="37">
        <f t="shared" ref="A22:L22" si="8">SUM(A20:A21)</f>
        <v>18042</v>
      </c>
      <c r="B22" s="37">
        <f t="shared" si="8"/>
        <v>333</v>
      </c>
      <c r="C22" s="37">
        <f t="shared" si="8"/>
        <v>14300</v>
      </c>
      <c r="D22" s="37">
        <f t="shared" si="8"/>
        <v>3409</v>
      </c>
      <c r="E22" s="37">
        <f t="shared" si="8"/>
        <v>139655</v>
      </c>
      <c r="F22" s="37">
        <f t="shared" si="8"/>
        <v>2100</v>
      </c>
      <c r="G22" s="37">
        <f t="shared" si="8"/>
        <v>128747</v>
      </c>
      <c r="H22" s="37">
        <f t="shared" si="8"/>
        <v>8808</v>
      </c>
      <c r="I22" s="37">
        <f t="shared" si="8"/>
        <v>31969</v>
      </c>
      <c r="J22" s="37">
        <f t="shared" si="8"/>
        <v>567</v>
      </c>
      <c r="K22" s="37">
        <f t="shared" si="8"/>
        <v>28915</v>
      </c>
      <c r="L22" s="37">
        <f t="shared" si="8"/>
        <v>2487</v>
      </c>
      <c r="M22" s="14" t="s">
        <v>13</v>
      </c>
      <c r="N22" s="28"/>
      <c r="O22" s="36"/>
    </row>
    <row r="23" spans="1:15" ht="13.5" thickBot="1" x14ac:dyDescent="0.25">
      <c r="A23" s="37">
        <f t="shared" si="0"/>
        <v>1319</v>
      </c>
      <c r="B23" s="37">
        <v>150</v>
      </c>
      <c r="C23" s="37">
        <v>453</v>
      </c>
      <c r="D23" s="37">
        <v>716</v>
      </c>
      <c r="E23" s="37">
        <f t="shared" si="1"/>
        <v>4870</v>
      </c>
      <c r="F23" s="37">
        <v>412</v>
      </c>
      <c r="G23" s="37">
        <v>3022</v>
      </c>
      <c r="H23" s="37">
        <v>1436</v>
      </c>
      <c r="I23" s="37">
        <f t="shared" si="2"/>
        <v>4381</v>
      </c>
      <c r="J23" s="37">
        <v>1216</v>
      </c>
      <c r="K23" s="37">
        <v>2046</v>
      </c>
      <c r="L23" s="37">
        <v>1119</v>
      </c>
      <c r="M23" s="14" t="s">
        <v>10</v>
      </c>
      <c r="N23" s="27"/>
      <c r="O23" s="36"/>
    </row>
    <row r="24" spans="1:15" ht="13.5" thickBot="1" x14ac:dyDescent="0.25">
      <c r="A24" s="37">
        <f t="shared" si="0"/>
        <v>5555</v>
      </c>
      <c r="B24" s="37">
        <v>46</v>
      </c>
      <c r="C24" s="37">
        <v>5417</v>
      </c>
      <c r="D24" s="37">
        <v>92</v>
      </c>
      <c r="E24" s="37">
        <f t="shared" si="1"/>
        <v>31991</v>
      </c>
      <c r="F24" s="37">
        <v>322</v>
      </c>
      <c r="G24" s="37">
        <v>29970</v>
      </c>
      <c r="H24" s="37">
        <v>1699</v>
      </c>
      <c r="I24" s="37">
        <f t="shared" si="2"/>
        <v>12922</v>
      </c>
      <c r="J24" s="37">
        <v>500</v>
      </c>
      <c r="K24" s="37">
        <v>11272</v>
      </c>
      <c r="L24" s="37">
        <v>1150</v>
      </c>
      <c r="M24" s="14" t="s">
        <v>11</v>
      </c>
      <c r="N24" s="27" t="s">
        <v>188</v>
      </c>
      <c r="O24" s="36"/>
    </row>
    <row r="25" spans="1:15" ht="13.5" thickBot="1" x14ac:dyDescent="0.25">
      <c r="A25" s="37">
        <f t="shared" ref="A25:L25" si="9">SUM(A23:A24)</f>
        <v>6874</v>
      </c>
      <c r="B25" s="37">
        <f t="shared" si="9"/>
        <v>196</v>
      </c>
      <c r="C25" s="37">
        <f t="shared" si="9"/>
        <v>5870</v>
      </c>
      <c r="D25" s="37">
        <f t="shared" si="9"/>
        <v>808</v>
      </c>
      <c r="E25" s="37">
        <f t="shared" si="9"/>
        <v>36861</v>
      </c>
      <c r="F25" s="37">
        <f t="shared" si="9"/>
        <v>734</v>
      </c>
      <c r="G25" s="37">
        <f t="shared" si="9"/>
        <v>32992</v>
      </c>
      <c r="H25" s="37">
        <f t="shared" si="9"/>
        <v>3135</v>
      </c>
      <c r="I25" s="37">
        <f t="shared" si="9"/>
        <v>17303</v>
      </c>
      <c r="J25" s="37">
        <f t="shared" si="9"/>
        <v>1716</v>
      </c>
      <c r="K25" s="37">
        <f t="shared" si="9"/>
        <v>13318</v>
      </c>
      <c r="L25" s="37">
        <f t="shared" si="9"/>
        <v>2269</v>
      </c>
      <c r="M25" s="14" t="s">
        <v>13</v>
      </c>
      <c r="N25" s="28"/>
      <c r="O25" s="36"/>
    </row>
    <row r="26" spans="1:15" ht="13.5" thickBot="1" x14ac:dyDescent="0.25">
      <c r="A26" s="37">
        <f t="shared" si="0"/>
        <v>547</v>
      </c>
      <c r="B26" s="37">
        <v>74</v>
      </c>
      <c r="C26" s="37">
        <v>412</v>
      </c>
      <c r="D26" s="37">
        <v>61</v>
      </c>
      <c r="E26" s="37">
        <f t="shared" si="1"/>
        <v>7386</v>
      </c>
      <c r="F26" s="37">
        <v>343</v>
      </c>
      <c r="G26" s="37">
        <v>6484</v>
      </c>
      <c r="H26" s="37">
        <v>559</v>
      </c>
      <c r="I26" s="37">
        <f t="shared" si="2"/>
        <v>2621</v>
      </c>
      <c r="J26" s="37">
        <v>232</v>
      </c>
      <c r="K26" s="37">
        <v>2255</v>
      </c>
      <c r="L26" s="37">
        <v>134</v>
      </c>
      <c r="M26" s="14" t="s">
        <v>10</v>
      </c>
      <c r="N26" s="27"/>
      <c r="O26" s="36"/>
    </row>
    <row r="27" spans="1:15" ht="13.5" thickBot="1" x14ac:dyDescent="0.25">
      <c r="A27" s="37">
        <f t="shared" si="0"/>
        <v>1050</v>
      </c>
      <c r="B27" s="37">
        <v>19</v>
      </c>
      <c r="C27" s="37">
        <v>978</v>
      </c>
      <c r="D27" s="37">
        <v>53</v>
      </c>
      <c r="E27" s="37">
        <f t="shared" si="1"/>
        <v>8399</v>
      </c>
      <c r="F27" s="37">
        <v>136</v>
      </c>
      <c r="G27" s="37">
        <v>8096</v>
      </c>
      <c r="H27" s="37">
        <v>167</v>
      </c>
      <c r="I27" s="37">
        <f t="shared" si="2"/>
        <v>2519</v>
      </c>
      <c r="J27" s="37">
        <v>34</v>
      </c>
      <c r="K27" s="37">
        <v>2485</v>
      </c>
      <c r="L27" s="37">
        <v>0</v>
      </c>
      <c r="M27" s="14" t="s">
        <v>11</v>
      </c>
      <c r="N27" s="27" t="s">
        <v>189</v>
      </c>
      <c r="O27" s="36"/>
    </row>
    <row r="28" spans="1:15" ht="13.5" thickBot="1" x14ac:dyDescent="0.25">
      <c r="A28" s="37">
        <f t="shared" ref="A28:L28" si="10">SUM(A26:A27)</f>
        <v>1597</v>
      </c>
      <c r="B28" s="37">
        <f t="shared" si="10"/>
        <v>93</v>
      </c>
      <c r="C28" s="37">
        <f t="shared" si="10"/>
        <v>1390</v>
      </c>
      <c r="D28" s="37">
        <f t="shared" si="10"/>
        <v>114</v>
      </c>
      <c r="E28" s="37">
        <f t="shared" si="10"/>
        <v>15785</v>
      </c>
      <c r="F28" s="37">
        <f t="shared" si="10"/>
        <v>479</v>
      </c>
      <c r="G28" s="37">
        <f t="shared" si="10"/>
        <v>14580</v>
      </c>
      <c r="H28" s="37">
        <f t="shared" si="10"/>
        <v>726</v>
      </c>
      <c r="I28" s="37">
        <f t="shared" si="10"/>
        <v>5140</v>
      </c>
      <c r="J28" s="37">
        <f t="shared" si="10"/>
        <v>266</v>
      </c>
      <c r="K28" s="37">
        <f t="shared" si="10"/>
        <v>4740</v>
      </c>
      <c r="L28" s="37">
        <f t="shared" si="10"/>
        <v>134</v>
      </c>
      <c r="M28" s="14" t="s">
        <v>13</v>
      </c>
      <c r="N28" s="28"/>
      <c r="O28" s="36"/>
    </row>
    <row r="29" spans="1:15" ht="13.5" thickBot="1" x14ac:dyDescent="0.25">
      <c r="A29" s="37">
        <f t="shared" si="0"/>
        <v>5750</v>
      </c>
      <c r="B29" s="37">
        <v>307</v>
      </c>
      <c r="C29" s="37">
        <v>2688</v>
      </c>
      <c r="D29" s="37">
        <v>2755</v>
      </c>
      <c r="E29" s="37">
        <f t="shared" si="1"/>
        <v>66360</v>
      </c>
      <c r="F29" s="37">
        <v>1201</v>
      </c>
      <c r="G29" s="37">
        <v>40964</v>
      </c>
      <c r="H29" s="37">
        <v>24195</v>
      </c>
      <c r="I29" s="37">
        <f t="shared" si="2"/>
        <v>21329</v>
      </c>
      <c r="J29" s="37">
        <v>307</v>
      </c>
      <c r="K29" s="37">
        <v>13741</v>
      </c>
      <c r="L29" s="37">
        <v>7281</v>
      </c>
      <c r="M29" s="14" t="s">
        <v>10</v>
      </c>
      <c r="N29" s="27"/>
      <c r="O29" s="36"/>
    </row>
    <row r="30" spans="1:15" ht="13.5" thickBot="1" x14ac:dyDescent="0.25">
      <c r="A30" s="37">
        <f t="shared" si="0"/>
        <v>3133</v>
      </c>
      <c r="B30" s="37">
        <v>167</v>
      </c>
      <c r="C30" s="37">
        <v>2638</v>
      </c>
      <c r="D30" s="37">
        <v>328</v>
      </c>
      <c r="E30" s="37">
        <f t="shared" si="1"/>
        <v>32052</v>
      </c>
      <c r="F30" s="37">
        <v>579</v>
      </c>
      <c r="G30" s="37">
        <v>27895</v>
      </c>
      <c r="H30" s="37">
        <v>3578</v>
      </c>
      <c r="I30" s="37">
        <f t="shared" si="2"/>
        <v>7590</v>
      </c>
      <c r="J30" s="37">
        <v>137</v>
      </c>
      <c r="K30" s="37">
        <v>6314</v>
      </c>
      <c r="L30" s="37">
        <v>1139</v>
      </c>
      <c r="M30" s="14" t="s">
        <v>11</v>
      </c>
      <c r="N30" s="27" t="s">
        <v>190</v>
      </c>
      <c r="O30" s="36"/>
    </row>
    <row r="31" spans="1:15" ht="13.5" thickBot="1" x14ac:dyDescent="0.25">
      <c r="A31" s="37">
        <f t="shared" ref="A31:L31" si="11">SUM(A29:A30)</f>
        <v>8883</v>
      </c>
      <c r="B31" s="37">
        <f t="shared" si="11"/>
        <v>474</v>
      </c>
      <c r="C31" s="37">
        <f t="shared" si="11"/>
        <v>5326</v>
      </c>
      <c r="D31" s="37">
        <f t="shared" si="11"/>
        <v>3083</v>
      </c>
      <c r="E31" s="37">
        <f t="shared" si="11"/>
        <v>98412</v>
      </c>
      <c r="F31" s="37">
        <f t="shared" si="11"/>
        <v>1780</v>
      </c>
      <c r="G31" s="37">
        <f t="shared" si="11"/>
        <v>68859</v>
      </c>
      <c r="H31" s="37">
        <f t="shared" si="11"/>
        <v>27773</v>
      </c>
      <c r="I31" s="37">
        <f t="shared" si="11"/>
        <v>28919</v>
      </c>
      <c r="J31" s="37">
        <f t="shared" si="11"/>
        <v>444</v>
      </c>
      <c r="K31" s="37">
        <f t="shared" si="11"/>
        <v>20055</v>
      </c>
      <c r="L31" s="37">
        <f t="shared" si="11"/>
        <v>8420</v>
      </c>
      <c r="M31" s="14" t="s">
        <v>13</v>
      </c>
      <c r="N31" s="28"/>
      <c r="O31" s="36"/>
    </row>
    <row r="32" spans="1:15" ht="13.5" thickBot="1" x14ac:dyDescent="0.25">
      <c r="A32" s="37">
        <f t="shared" si="0"/>
        <v>236</v>
      </c>
      <c r="B32" s="37">
        <v>161</v>
      </c>
      <c r="C32" s="37">
        <v>0</v>
      </c>
      <c r="D32" s="37">
        <v>75</v>
      </c>
      <c r="E32" s="37">
        <f t="shared" si="1"/>
        <v>384</v>
      </c>
      <c r="F32" s="37">
        <v>129</v>
      </c>
      <c r="G32" s="37">
        <v>0</v>
      </c>
      <c r="H32" s="37">
        <v>255</v>
      </c>
      <c r="I32" s="37">
        <f t="shared" si="2"/>
        <v>506</v>
      </c>
      <c r="J32" s="37">
        <v>50</v>
      </c>
      <c r="K32" s="37">
        <v>0</v>
      </c>
      <c r="L32" s="37">
        <v>456</v>
      </c>
      <c r="M32" s="14" t="s">
        <v>10</v>
      </c>
      <c r="N32" s="27"/>
      <c r="O32" s="36"/>
    </row>
    <row r="33" spans="1:15" ht="13.5" thickBot="1" x14ac:dyDescent="0.25">
      <c r="A33" s="37">
        <f t="shared" si="0"/>
        <v>159</v>
      </c>
      <c r="B33" s="37">
        <v>0</v>
      </c>
      <c r="C33" s="37">
        <v>159</v>
      </c>
      <c r="D33" s="37">
        <v>0</v>
      </c>
      <c r="E33" s="37">
        <f t="shared" si="1"/>
        <v>675</v>
      </c>
      <c r="F33" s="37">
        <v>0</v>
      </c>
      <c r="G33" s="37">
        <v>675</v>
      </c>
      <c r="H33" s="37">
        <v>0</v>
      </c>
      <c r="I33" s="37">
        <f t="shared" si="2"/>
        <v>182</v>
      </c>
      <c r="J33" s="37">
        <v>0</v>
      </c>
      <c r="K33" s="37">
        <v>182</v>
      </c>
      <c r="L33" s="37">
        <v>0</v>
      </c>
      <c r="M33" s="14" t="s">
        <v>11</v>
      </c>
      <c r="N33" s="27" t="s">
        <v>191</v>
      </c>
      <c r="O33" s="36"/>
    </row>
    <row r="34" spans="1:15" ht="13.5" thickBot="1" x14ac:dyDescent="0.25">
      <c r="A34" s="37">
        <f t="shared" ref="A34:L34" si="12">SUM(A32:A33)</f>
        <v>395</v>
      </c>
      <c r="B34" s="37">
        <f t="shared" si="12"/>
        <v>161</v>
      </c>
      <c r="C34" s="37">
        <f t="shared" si="12"/>
        <v>159</v>
      </c>
      <c r="D34" s="37">
        <f t="shared" si="12"/>
        <v>75</v>
      </c>
      <c r="E34" s="37">
        <f t="shared" si="12"/>
        <v>1059</v>
      </c>
      <c r="F34" s="37">
        <f t="shared" si="12"/>
        <v>129</v>
      </c>
      <c r="G34" s="37">
        <f t="shared" si="12"/>
        <v>675</v>
      </c>
      <c r="H34" s="37">
        <f t="shared" si="12"/>
        <v>255</v>
      </c>
      <c r="I34" s="37">
        <f t="shared" si="12"/>
        <v>688</v>
      </c>
      <c r="J34" s="37">
        <f t="shared" si="12"/>
        <v>50</v>
      </c>
      <c r="K34" s="37">
        <f t="shared" si="12"/>
        <v>182</v>
      </c>
      <c r="L34" s="37">
        <f t="shared" si="12"/>
        <v>456</v>
      </c>
      <c r="M34" s="14" t="s">
        <v>13</v>
      </c>
      <c r="N34" s="28"/>
      <c r="O34" s="36"/>
    </row>
    <row r="35" spans="1:15" ht="13.5" thickBot="1" x14ac:dyDescent="0.25">
      <c r="A35" s="37">
        <f t="shared" si="0"/>
        <v>1457</v>
      </c>
      <c r="B35" s="37">
        <v>75</v>
      </c>
      <c r="C35" s="37">
        <v>1293</v>
      </c>
      <c r="D35" s="37">
        <v>89</v>
      </c>
      <c r="E35" s="37">
        <f t="shared" si="1"/>
        <v>10782</v>
      </c>
      <c r="F35" s="37">
        <v>103</v>
      </c>
      <c r="G35" s="37">
        <v>9926</v>
      </c>
      <c r="H35" s="37">
        <v>753</v>
      </c>
      <c r="I35" s="37">
        <f t="shared" si="2"/>
        <v>5868</v>
      </c>
      <c r="J35" s="37">
        <v>73</v>
      </c>
      <c r="K35" s="37">
        <v>5236</v>
      </c>
      <c r="L35" s="37">
        <v>559</v>
      </c>
      <c r="M35" s="14" t="s">
        <v>10</v>
      </c>
      <c r="N35" s="27"/>
      <c r="O35" s="36"/>
    </row>
    <row r="36" spans="1:15" ht="13.5" thickBot="1" x14ac:dyDescent="0.25">
      <c r="A36" s="37">
        <f t="shared" si="0"/>
        <v>4244</v>
      </c>
      <c r="B36" s="37">
        <v>53</v>
      </c>
      <c r="C36" s="37">
        <v>3882</v>
      </c>
      <c r="D36" s="37">
        <v>309</v>
      </c>
      <c r="E36" s="37">
        <f t="shared" si="1"/>
        <v>21513</v>
      </c>
      <c r="F36" s="37">
        <v>215</v>
      </c>
      <c r="G36" s="37">
        <v>19993</v>
      </c>
      <c r="H36" s="37">
        <v>1305</v>
      </c>
      <c r="I36" s="37">
        <f t="shared" si="2"/>
        <v>6638</v>
      </c>
      <c r="J36" s="37">
        <v>51</v>
      </c>
      <c r="K36" s="37">
        <v>5910</v>
      </c>
      <c r="L36" s="37">
        <v>677</v>
      </c>
      <c r="M36" s="14" t="s">
        <v>11</v>
      </c>
      <c r="N36" s="27" t="s">
        <v>192</v>
      </c>
      <c r="O36" s="36"/>
    </row>
    <row r="37" spans="1:15" ht="13.5" thickBot="1" x14ac:dyDescent="0.25">
      <c r="A37" s="37">
        <f t="shared" ref="A37:L37" si="13">SUM(A35:A36)</f>
        <v>5701</v>
      </c>
      <c r="B37" s="37">
        <f t="shared" si="13"/>
        <v>128</v>
      </c>
      <c r="C37" s="37">
        <f t="shared" si="13"/>
        <v>5175</v>
      </c>
      <c r="D37" s="37">
        <f t="shared" si="13"/>
        <v>398</v>
      </c>
      <c r="E37" s="37">
        <f t="shared" si="13"/>
        <v>32295</v>
      </c>
      <c r="F37" s="37">
        <f t="shared" si="13"/>
        <v>318</v>
      </c>
      <c r="G37" s="37">
        <f t="shared" si="13"/>
        <v>29919</v>
      </c>
      <c r="H37" s="37">
        <f t="shared" si="13"/>
        <v>2058</v>
      </c>
      <c r="I37" s="37">
        <f t="shared" si="13"/>
        <v>12506</v>
      </c>
      <c r="J37" s="37">
        <f t="shared" si="13"/>
        <v>124</v>
      </c>
      <c r="K37" s="37">
        <f t="shared" si="13"/>
        <v>11146</v>
      </c>
      <c r="L37" s="37">
        <f t="shared" si="13"/>
        <v>1236</v>
      </c>
      <c r="M37" s="14" t="s">
        <v>13</v>
      </c>
      <c r="N37" s="28"/>
      <c r="O37" s="36"/>
    </row>
    <row r="38" spans="1:15" ht="13.5" thickBot="1" x14ac:dyDescent="0.25">
      <c r="A38" s="37">
        <f t="shared" si="0"/>
        <v>1134</v>
      </c>
      <c r="B38" s="37">
        <v>45</v>
      </c>
      <c r="C38" s="37">
        <v>1004</v>
      </c>
      <c r="D38" s="37">
        <v>85</v>
      </c>
      <c r="E38" s="37">
        <f t="shared" si="1"/>
        <v>8850</v>
      </c>
      <c r="F38" s="37">
        <v>146</v>
      </c>
      <c r="G38" s="37">
        <v>7757</v>
      </c>
      <c r="H38" s="37">
        <v>947</v>
      </c>
      <c r="I38" s="37">
        <f t="shared" si="2"/>
        <v>2802</v>
      </c>
      <c r="J38" s="37">
        <v>152</v>
      </c>
      <c r="K38" s="37">
        <v>2053</v>
      </c>
      <c r="L38" s="37">
        <v>597</v>
      </c>
      <c r="M38" s="14" t="s">
        <v>10</v>
      </c>
      <c r="N38" s="27"/>
      <c r="O38" s="36"/>
    </row>
    <row r="39" spans="1:15" ht="13.5" thickBot="1" x14ac:dyDescent="0.25">
      <c r="A39" s="37">
        <f t="shared" si="0"/>
        <v>3494</v>
      </c>
      <c r="B39" s="37">
        <v>20</v>
      </c>
      <c r="C39" s="37">
        <v>3474</v>
      </c>
      <c r="D39" s="37">
        <v>0</v>
      </c>
      <c r="E39" s="37">
        <f t="shared" si="1"/>
        <v>20272</v>
      </c>
      <c r="F39" s="37">
        <v>46</v>
      </c>
      <c r="G39" s="37">
        <v>19919</v>
      </c>
      <c r="H39" s="37">
        <v>307</v>
      </c>
      <c r="I39" s="37">
        <f t="shared" si="2"/>
        <v>6336</v>
      </c>
      <c r="J39" s="37">
        <v>78</v>
      </c>
      <c r="K39" s="37">
        <v>6258</v>
      </c>
      <c r="L39" s="37">
        <v>0</v>
      </c>
      <c r="M39" s="14" t="s">
        <v>11</v>
      </c>
      <c r="N39" s="27" t="s">
        <v>193</v>
      </c>
      <c r="O39" s="36"/>
    </row>
    <row r="40" spans="1:15" ht="13.5" thickBot="1" x14ac:dyDescent="0.25">
      <c r="A40" s="37">
        <f t="shared" ref="A40:L40" si="14">SUM(A38:A39)</f>
        <v>4628</v>
      </c>
      <c r="B40" s="37">
        <f t="shared" si="14"/>
        <v>65</v>
      </c>
      <c r="C40" s="37">
        <f t="shared" si="14"/>
        <v>4478</v>
      </c>
      <c r="D40" s="37">
        <f t="shared" si="14"/>
        <v>85</v>
      </c>
      <c r="E40" s="37">
        <f t="shared" si="14"/>
        <v>29122</v>
      </c>
      <c r="F40" s="37">
        <f t="shared" si="14"/>
        <v>192</v>
      </c>
      <c r="G40" s="37">
        <f t="shared" si="14"/>
        <v>27676</v>
      </c>
      <c r="H40" s="37">
        <f t="shared" si="14"/>
        <v>1254</v>
      </c>
      <c r="I40" s="37">
        <f t="shared" si="14"/>
        <v>9138</v>
      </c>
      <c r="J40" s="37">
        <f t="shared" si="14"/>
        <v>230</v>
      </c>
      <c r="K40" s="37">
        <f t="shared" si="14"/>
        <v>8311</v>
      </c>
      <c r="L40" s="37">
        <f t="shared" si="14"/>
        <v>597</v>
      </c>
      <c r="M40" s="14" t="s">
        <v>13</v>
      </c>
      <c r="N40" s="28"/>
      <c r="O40" s="36"/>
    </row>
    <row r="41" spans="1:15" ht="13.5" thickBot="1" x14ac:dyDescent="0.25">
      <c r="A41" s="37">
        <f t="shared" si="0"/>
        <v>964</v>
      </c>
      <c r="B41" s="37">
        <v>23</v>
      </c>
      <c r="C41" s="37">
        <v>941</v>
      </c>
      <c r="D41" s="37">
        <v>0</v>
      </c>
      <c r="E41" s="37">
        <f t="shared" si="1"/>
        <v>3904</v>
      </c>
      <c r="F41" s="37">
        <v>42</v>
      </c>
      <c r="G41" s="37">
        <v>3839</v>
      </c>
      <c r="H41" s="37">
        <v>23</v>
      </c>
      <c r="I41" s="37">
        <f t="shared" si="2"/>
        <v>1334</v>
      </c>
      <c r="J41" s="37">
        <v>34</v>
      </c>
      <c r="K41" s="37">
        <v>1265</v>
      </c>
      <c r="L41" s="37">
        <v>35</v>
      </c>
      <c r="M41" s="14" t="s">
        <v>10</v>
      </c>
      <c r="N41" s="27"/>
      <c r="O41" s="36"/>
    </row>
    <row r="42" spans="1:15" ht="13.5" thickBot="1" x14ac:dyDescent="0.25">
      <c r="A42" s="37">
        <f t="shared" si="0"/>
        <v>3836</v>
      </c>
      <c r="B42" s="37">
        <v>27</v>
      </c>
      <c r="C42" s="37">
        <v>3809</v>
      </c>
      <c r="D42" s="37">
        <v>0</v>
      </c>
      <c r="E42" s="37">
        <f t="shared" si="1"/>
        <v>17408</v>
      </c>
      <c r="F42" s="37">
        <v>60</v>
      </c>
      <c r="G42" s="37">
        <v>17258</v>
      </c>
      <c r="H42" s="37">
        <v>90</v>
      </c>
      <c r="I42" s="37">
        <f t="shared" si="2"/>
        <v>5750</v>
      </c>
      <c r="J42" s="37">
        <v>65</v>
      </c>
      <c r="K42" s="37">
        <v>5685</v>
      </c>
      <c r="L42" s="37">
        <v>0</v>
      </c>
      <c r="M42" s="14" t="s">
        <v>11</v>
      </c>
      <c r="N42" s="27" t="s">
        <v>194</v>
      </c>
      <c r="O42" s="36"/>
    </row>
    <row r="43" spans="1:15" ht="13.5" thickBot="1" x14ac:dyDescent="0.25">
      <c r="A43" s="37">
        <f t="shared" ref="A43:L43" si="15">SUM(A41:A42)</f>
        <v>4800</v>
      </c>
      <c r="B43" s="37">
        <f t="shared" si="15"/>
        <v>50</v>
      </c>
      <c r="C43" s="37">
        <f t="shared" si="15"/>
        <v>4750</v>
      </c>
      <c r="D43" s="37">
        <f t="shared" si="15"/>
        <v>0</v>
      </c>
      <c r="E43" s="37">
        <f t="shared" si="15"/>
        <v>21312</v>
      </c>
      <c r="F43" s="37">
        <f t="shared" si="15"/>
        <v>102</v>
      </c>
      <c r="G43" s="37">
        <f t="shared" si="15"/>
        <v>21097</v>
      </c>
      <c r="H43" s="37">
        <f t="shared" si="15"/>
        <v>113</v>
      </c>
      <c r="I43" s="37">
        <f t="shared" si="15"/>
        <v>7084</v>
      </c>
      <c r="J43" s="37">
        <f t="shared" si="15"/>
        <v>99</v>
      </c>
      <c r="K43" s="37">
        <f t="shared" si="15"/>
        <v>6950</v>
      </c>
      <c r="L43" s="37">
        <f t="shared" si="15"/>
        <v>35</v>
      </c>
      <c r="M43" s="14" t="s">
        <v>13</v>
      </c>
      <c r="N43" s="28"/>
      <c r="O43" s="36"/>
    </row>
    <row r="44" spans="1:15" ht="13.5" thickBot="1" x14ac:dyDescent="0.25">
      <c r="A44" s="37">
        <f t="shared" si="0"/>
        <v>4219</v>
      </c>
      <c r="B44" s="37">
        <v>55</v>
      </c>
      <c r="C44" s="37">
        <v>1764</v>
      </c>
      <c r="D44" s="37">
        <v>2400</v>
      </c>
      <c r="E44" s="37">
        <f t="shared" si="1"/>
        <v>27260</v>
      </c>
      <c r="F44" s="37">
        <v>404</v>
      </c>
      <c r="G44" s="37">
        <v>13656</v>
      </c>
      <c r="H44" s="37">
        <v>13200</v>
      </c>
      <c r="I44" s="37">
        <f t="shared" si="2"/>
        <v>9446</v>
      </c>
      <c r="J44" s="37">
        <v>68</v>
      </c>
      <c r="K44" s="37">
        <v>5087</v>
      </c>
      <c r="L44" s="37">
        <v>4291</v>
      </c>
      <c r="M44" s="14" t="s">
        <v>10</v>
      </c>
      <c r="N44" s="27"/>
      <c r="O44" s="36"/>
    </row>
    <row r="45" spans="1:15" ht="13.5" thickBot="1" x14ac:dyDescent="0.25">
      <c r="A45" s="37">
        <f t="shared" si="0"/>
        <v>4178</v>
      </c>
      <c r="B45" s="37">
        <v>8</v>
      </c>
      <c r="C45" s="37">
        <v>1725</v>
      </c>
      <c r="D45" s="37">
        <v>2445</v>
      </c>
      <c r="E45" s="37">
        <f t="shared" si="1"/>
        <v>20638</v>
      </c>
      <c r="F45" s="37">
        <v>148</v>
      </c>
      <c r="G45" s="37">
        <v>11711</v>
      </c>
      <c r="H45" s="37">
        <v>8779</v>
      </c>
      <c r="I45" s="37">
        <f t="shared" si="2"/>
        <v>6011</v>
      </c>
      <c r="J45" s="37">
        <v>43</v>
      </c>
      <c r="K45" s="37">
        <v>3003</v>
      </c>
      <c r="L45" s="37">
        <v>2965</v>
      </c>
      <c r="M45" s="14" t="s">
        <v>11</v>
      </c>
      <c r="N45" s="27" t="s">
        <v>195</v>
      </c>
      <c r="O45" s="36"/>
    </row>
    <row r="46" spans="1:15" ht="13.5" thickBot="1" x14ac:dyDescent="0.25">
      <c r="A46" s="37">
        <f t="shared" ref="A46:L46" si="16">SUM(A44:A45)</f>
        <v>8397</v>
      </c>
      <c r="B46" s="37">
        <f t="shared" si="16"/>
        <v>63</v>
      </c>
      <c r="C46" s="37">
        <f t="shared" si="16"/>
        <v>3489</v>
      </c>
      <c r="D46" s="37">
        <f t="shared" si="16"/>
        <v>4845</v>
      </c>
      <c r="E46" s="37">
        <f t="shared" si="16"/>
        <v>47898</v>
      </c>
      <c r="F46" s="37">
        <f t="shared" si="16"/>
        <v>552</v>
      </c>
      <c r="G46" s="37">
        <f t="shared" si="16"/>
        <v>25367</v>
      </c>
      <c r="H46" s="37">
        <f t="shared" si="16"/>
        <v>21979</v>
      </c>
      <c r="I46" s="37">
        <f t="shared" si="16"/>
        <v>15457</v>
      </c>
      <c r="J46" s="37">
        <f t="shared" si="16"/>
        <v>111</v>
      </c>
      <c r="K46" s="37">
        <f t="shared" si="16"/>
        <v>8090</v>
      </c>
      <c r="L46" s="37">
        <f t="shared" si="16"/>
        <v>7256</v>
      </c>
      <c r="M46" s="14" t="s">
        <v>13</v>
      </c>
      <c r="N46" s="28"/>
      <c r="O46" s="36"/>
    </row>
    <row r="47" spans="1:15" ht="13.5" thickBot="1" x14ac:dyDescent="0.25">
      <c r="A47" s="37">
        <f t="shared" si="0"/>
        <v>4291</v>
      </c>
      <c r="B47" s="37">
        <v>140</v>
      </c>
      <c r="C47" s="37">
        <v>1165</v>
      </c>
      <c r="D47" s="37">
        <v>2986</v>
      </c>
      <c r="E47" s="37">
        <f t="shared" si="1"/>
        <v>25426</v>
      </c>
      <c r="F47" s="37">
        <v>708</v>
      </c>
      <c r="G47" s="37">
        <v>11047</v>
      </c>
      <c r="H47" s="37">
        <v>13671</v>
      </c>
      <c r="I47" s="37">
        <f t="shared" si="2"/>
        <v>16974</v>
      </c>
      <c r="J47" s="37">
        <v>335</v>
      </c>
      <c r="K47" s="37">
        <v>5217</v>
      </c>
      <c r="L47" s="37">
        <v>11422</v>
      </c>
      <c r="M47" s="14" t="s">
        <v>10</v>
      </c>
      <c r="N47" s="27"/>
      <c r="O47" s="36"/>
    </row>
    <row r="48" spans="1:15" ht="13.5" thickBot="1" x14ac:dyDescent="0.25">
      <c r="A48" s="37">
        <f t="shared" si="0"/>
        <v>0</v>
      </c>
      <c r="B48" s="37">
        <v>0</v>
      </c>
      <c r="C48" s="37">
        <v>0</v>
      </c>
      <c r="D48" s="37">
        <v>0</v>
      </c>
      <c r="E48" s="37">
        <f t="shared" si="1"/>
        <v>1667</v>
      </c>
      <c r="F48" s="37">
        <v>0</v>
      </c>
      <c r="G48" s="37">
        <v>703</v>
      </c>
      <c r="H48" s="37">
        <v>964</v>
      </c>
      <c r="I48" s="37">
        <f t="shared" si="2"/>
        <v>815</v>
      </c>
      <c r="J48" s="37">
        <v>0</v>
      </c>
      <c r="K48" s="37">
        <v>126</v>
      </c>
      <c r="L48" s="37">
        <v>689</v>
      </c>
      <c r="M48" s="14" t="s">
        <v>11</v>
      </c>
      <c r="N48" s="27" t="s">
        <v>196</v>
      </c>
      <c r="O48" s="36"/>
    </row>
    <row r="49" spans="1:15" ht="13.5" thickBot="1" x14ac:dyDescent="0.25">
      <c r="A49" s="37">
        <f t="shared" ref="A49:L49" si="17">SUM(A47:A48)</f>
        <v>4291</v>
      </c>
      <c r="B49" s="37">
        <f t="shared" si="17"/>
        <v>140</v>
      </c>
      <c r="C49" s="37">
        <f t="shared" si="17"/>
        <v>1165</v>
      </c>
      <c r="D49" s="37">
        <f t="shared" si="17"/>
        <v>2986</v>
      </c>
      <c r="E49" s="37">
        <f t="shared" si="17"/>
        <v>27093</v>
      </c>
      <c r="F49" s="37">
        <f t="shared" si="17"/>
        <v>708</v>
      </c>
      <c r="G49" s="37">
        <f t="shared" si="17"/>
        <v>11750</v>
      </c>
      <c r="H49" s="37">
        <f t="shared" si="17"/>
        <v>14635</v>
      </c>
      <c r="I49" s="37">
        <f t="shared" si="17"/>
        <v>17789</v>
      </c>
      <c r="J49" s="37">
        <f t="shared" si="17"/>
        <v>335</v>
      </c>
      <c r="K49" s="37">
        <f t="shared" si="17"/>
        <v>5343</v>
      </c>
      <c r="L49" s="37">
        <f t="shared" si="17"/>
        <v>12111</v>
      </c>
      <c r="M49" s="14" t="s">
        <v>13</v>
      </c>
      <c r="N49" s="28"/>
      <c r="O49" s="36"/>
    </row>
    <row r="50" spans="1:15" ht="13.5" thickBot="1" x14ac:dyDescent="0.25">
      <c r="A50" s="37">
        <f t="shared" si="0"/>
        <v>262</v>
      </c>
      <c r="B50" s="37">
        <v>0</v>
      </c>
      <c r="C50" s="37">
        <v>21</v>
      </c>
      <c r="D50" s="37">
        <v>241</v>
      </c>
      <c r="E50" s="37">
        <f t="shared" si="1"/>
        <v>1120</v>
      </c>
      <c r="F50" s="37">
        <v>6</v>
      </c>
      <c r="G50" s="37">
        <v>190</v>
      </c>
      <c r="H50" s="37">
        <v>924</v>
      </c>
      <c r="I50" s="37">
        <f t="shared" si="2"/>
        <v>938</v>
      </c>
      <c r="J50" s="37">
        <v>0</v>
      </c>
      <c r="K50" s="37">
        <v>429</v>
      </c>
      <c r="L50" s="37">
        <v>509</v>
      </c>
      <c r="M50" s="14" t="s">
        <v>10</v>
      </c>
      <c r="N50" s="27"/>
      <c r="O50" s="36"/>
    </row>
    <row r="51" spans="1:15" ht="13.5" thickBot="1" x14ac:dyDescent="0.25">
      <c r="A51" s="37">
        <f t="shared" si="0"/>
        <v>311</v>
      </c>
      <c r="B51" s="37">
        <v>0</v>
      </c>
      <c r="C51" s="37">
        <v>311</v>
      </c>
      <c r="D51" s="37">
        <v>0</v>
      </c>
      <c r="E51" s="37">
        <f t="shared" si="1"/>
        <v>1696</v>
      </c>
      <c r="F51" s="37">
        <v>30</v>
      </c>
      <c r="G51" s="37">
        <v>1492</v>
      </c>
      <c r="H51" s="37">
        <v>174</v>
      </c>
      <c r="I51" s="37">
        <f t="shared" si="2"/>
        <v>422</v>
      </c>
      <c r="J51" s="37">
        <v>0</v>
      </c>
      <c r="K51" s="37">
        <v>422</v>
      </c>
      <c r="L51" s="37">
        <v>0</v>
      </c>
      <c r="M51" s="14" t="s">
        <v>11</v>
      </c>
      <c r="N51" s="27" t="s">
        <v>197</v>
      </c>
      <c r="O51" s="36"/>
    </row>
    <row r="52" spans="1:15" ht="13.5" thickBot="1" x14ac:dyDescent="0.25">
      <c r="A52" s="37">
        <f t="shared" ref="A52:L52" si="18">SUM(A50:A51)</f>
        <v>573</v>
      </c>
      <c r="B52" s="37">
        <f t="shared" si="18"/>
        <v>0</v>
      </c>
      <c r="C52" s="37">
        <f t="shared" si="18"/>
        <v>332</v>
      </c>
      <c r="D52" s="37">
        <f t="shared" si="18"/>
        <v>241</v>
      </c>
      <c r="E52" s="37">
        <f t="shared" si="18"/>
        <v>2816</v>
      </c>
      <c r="F52" s="37">
        <f t="shared" si="18"/>
        <v>36</v>
      </c>
      <c r="G52" s="37">
        <f t="shared" si="18"/>
        <v>1682</v>
      </c>
      <c r="H52" s="37">
        <f t="shared" si="18"/>
        <v>1098</v>
      </c>
      <c r="I52" s="37">
        <f t="shared" si="18"/>
        <v>1360</v>
      </c>
      <c r="J52" s="37">
        <f t="shared" si="18"/>
        <v>0</v>
      </c>
      <c r="K52" s="37">
        <f t="shared" si="18"/>
        <v>851</v>
      </c>
      <c r="L52" s="37">
        <f t="shared" si="18"/>
        <v>509</v>
      </c>
      <c r="M52" s="14" t="s">
        <v>13</v>
      </c>
      <c r="N52" s="28"/>
      <c r="O52" s="36"/>
    </row>
    <row r="53" spans="1:15" ht="13.5" thickBot="1" x14ac:dyDescent="0.25">
      <c r="A53" s="37">
        <f t="shared" si="0"/>
        <v>1073</v>
      </c>
      <c r="B53" s="37">
        <v>47</v>
      </c>
      <c r="C53" s="37">
        <v>766</v>
      </c>
      <c r="D53" s="37">
        <v>260</v>
      </c>
      <c r="E53" s="37">
        <f t="shared" si="1"/>
        <v>9237</v>
      </c>
      <c r="F53" s="37">
        <v>346</v>
      </c>
      <c r="G53" s="37">
        <v>5946</v>
      </c>
      <c r="H53" s="37">
        <v>2945</v>
      </c>
      <c r="I53" s="37">
        <f t="shared" si="2"/>
        <v>2095</v>
      </c>
      <c r="J53" s="37">
        <v>41</v>
      </c>
      <c r="K53" s="37">
        <v>1126</v>
      </c>
      <c r="L53" s="37">
        <v>928</v>
      </c>
      <c r="M53" s="14" t="s">
        <v>10</v>
      </c>
      <c r="N53" s="27"/>
      <c r="O53" s="36"/>
    </row>
    <row r="54" spans="1:15" ht="13.5" thickBot="1" x14ac:dyDescent="0.25">
      <c r="A54" s="37">
        <f t="shared" si="0"/>
        <v>47</v>
      </c>
      <c r="B54" s="37">
        <v>0</v>
      </c>
      <c r="C54" s="37">
        <v>47</v>
      </c>
      <c r="D54" s="37">
        <v>0</v>
      </c>
      <c r="E54" s="37">
        <f t="shared" si="1"/>
        <v>244</v>
      </c>
      <c r="F54" s="37">
        <v>18</v>
      </c>
      <c r="G54" s="37">
        <v>226</v>
      </c>
      <c r="H54" s="37">
        <v>0</v>
      </c>
      <c r="I54" s="37">
        <f t="shared" si="2"/>
        <v>82</v>
      </c>
      <c r="J54" s="37">
        <v>0</v>
      </c>
      <c r="K54" s="37">
        <v>82</v>
      </c>
      <c r="L54" s="37">
        <v>0</v>
      </c>
      <c r="M54" s="14" t="s">
        <v>11</v>
      </c>
      <c r="N54" s="27" t="s">
        <v>198</v>
      </c>
      <c r="O54" s="36"/>
    </row>
    <row r="55" spans="1:15" ht="13.5" thickBot="1" x14ac:dyDescent="0.25">
      <c r="A55" s="37">
        <f t="shared" ref="A55:L55" si="19">SUM(A53:A54)</f>
        <v>1120</v>
      </c>
      <c r="B55" s="37">
        <f t="shared" si="19"/>
        <v>47</v>
      </c>
      <c r="C55" s="37">
        <f t="shared" si="19"/>
        <v>813</v>
      </c>
      <c r="D55" s="37">
        <f t="shared" si="19"/>
        <v>260</v>
      </c>
      <c r="E55" s="37">
        <f t="shared" si="19"/>
        <v>9481</v>
      </c>
      <c r="F55" s="37">
        <f t="shared" si="19"/>
        <v>364</v>
      </c>
      <c r="G55" s="37">
        <f t="shared" si="19"/>
        <v>6172</v>
      </c>
      <c r="H55" s="37">
        <f t="shared" si="19"/>
        <v>2945</v>
      </c>
      <c r="I55" s="37">
        <f t="shared" si="19"/>
        <v>2177</v>
      </c>
      <c r="J55" s="37">
        <f t="shared" si="19"/>
        <v>41</v>
      </c>
      <c r="K55" s="37">
        <f t="shared" si="19"/>
        <v>1208</v>
      </c>
      <c r="L55" s="37">
        <f t="shared" si="19"/>
        <v>928</v>
      </c>
      <c r="M55" s="14" t="s">
        <v>13</v>
      </c>
      <c r="N55" s="28"/>
      <c r="O55" s="36"/>
    </row>
    <row r="56" spans="1:15" ht="13.5" thickBot="1" x14ac:dyDescent="0.25">
      <c r="A56" s="37">
        <f t="shared" si="0"/>
        <v>485</v>
      </c>
      <c r="B56" s="37">
        <v>29</v>
      </c>
      <c r="C56" s="37">
        <v>270</v>
      </c>
      <c r="D56" s="37">
        <v>186</v>
      </c>
      <c r="E56" s="37">
        <f t="shared" si="1"/>
        <v>2894</v>
      </c>
      <c r="F56" s="37">
        <v>194</v>
      </c>
      <c r="G56" s="37">
        <v>2661</v>
      </c>
      <c r="H56" s="37">
        <v>39</v>
      </c>
      <c r="I56" s="37">
        <f t="shared" si="2"/>
        <v>834</v>
      </c>
      <c r="J56" s="37">
        <v>52</v>
      </c>
      <c r="K56" s="37">
        <v>782</v>
      </c>
      <c r="L56" s="37">
        <v>0</v>
      </c>
      <c r="M56" s="14" t="s">
        <v>10</v>
      </c>
      <c r="N56" s="27"/>
      <c r="O56" s="36"/>
    </row>
    <row r="57" spans="1:15" ht="13.5" thickBot="1" x14ac:dyDescent="0.25">
      <c r="A57" s="37">
        <f t="shared" si="0"/>
        <v>64</v>
      </c>
      <c r="B57" s="37">
        <v>2</v>
      </c>
      <c r="C57" s="37">
        <v>62</v>
      </c>
      <c r="D57" s="37">
        <v>0</v>
      </c>
      <c r="E57" s="37">
        <f t="shared" si="1"/>
        <v>21</v>
      </c>
      <c r="F57" s="37">
        <v>3</v>
      </c>
      <c r="G57" s="37">
        <v>18</v>
      </c>
      <c r="H57" s="37">
        <v>0</v>
      </c>
      <c r="I57" s="37">
        <f t="shared" si="2"/>
        <v>0</v>
      </c>
      <c r="J57" s="37">
        <v>0</v>
      </c>
      <c r="K57" s="37">
        <v>0</v>
      </c>
      <c r="L57" s="37">
        <v>0</v>
      </c>
      <c r="M57" s="14" t="s">
        <v>11</v>
      </c>
      <c r="N57" s="27" t="s">
        <v>199</v>
      </c>
      <c r="O57" s="36"/>
    </row>
    <row r="58" spans="1:15" ht="13.5" thickBot="1" x14ac:dyDescent="0.25">
      <c r="A58" s="37">
        <f t="shared" ref="A58:L58" si="20">SUM(A56:A57)</f>
        <v>549</v>
      </c>
      <c r="B58" s="37">
        <f t="shared" si="20"/>
        <v>31</v>
      </c>
      <c r="C58" s="37">
        <f t="shared" si="20"/>
        <v>332</v>
      </c>
      <c r="D58" s="37">
        <f t="shared" si="20"/>
        <v>186</v>
      </c>
      <c r="E58" s="37">
        <f t="shared" si="20"/>
        <v>2915</v>
      </c>
      <c r="F58" s="37">
        <f t="shared" si="20"/>
        <v>197</v>
      </c>
      <c r="G58" s="37">
        <f t="shared" si="20"/>
        <v>2679</v>
      </c>
      <c r="H58" s="37">
        <f t="shared" si="20"/>
        <v>39</v>
      </c>
      <c r="I58" s="37">
        <f t="shared" si="20"/>
        <v>834</v>
      </c>
      <c r="J58" s="37">
        <f t="shared" si="20"/>
        <v>52</v>
      </c>
      <c r="K58" s="37">
        <f t="shared" si="20"/>
        <v>782</v>
      </c>
      <c r="L58" s="37">
        <f t="shared" si="20"/>
        <v>0</v>
      </c>
      <c r="M58" s="14" t="s">
        <v>13</v>
      </c>
      <c r="N58" s="28"/>
      <c r="O58" s="36"/>
    </row>
    <row r="59" spans="1:15" ht="13.5" thickBot="1" x14ac:dyDescent="0.25">
      <c r="A59" s="37">
        <f t="shared" si="0"/>
        <v>54</v>
      </c>
      <c r="B59" s="37">
        <v>0</v>
      </c>
      <c r="C59" s="37">
        <v>54</v>
      </c>
      <c r="D59" s="37">
        <v>0</v>
      </c>
      <c r="E59" s="37">
        <f t="shared" si="1"/>
        <v>398</v>
      </c>
      <c r="F59" s="37">
        <v>29</v>
      </c>
      <c r="G59" s="37">
        <v>369</v>
      </c>
      <c r="H59" s="37">
        <v>0</v>
      </c>
      <c r="I59" s="37">
        <f t="shared" si="2"/>
        <v>204</v>
      </c>
      <c r="J59" s="37">
        <v>8</v>
      </c>
      <c r="K59" s="37">
        <v>196</v>
      </c>
      <c r="L59" s="37">
        <v>0</v>
      </c>
      <c r="M59" s="14" t="s">
        <v>10</v>
      </c>
      <c r="N59" s="27"/>
      <c r="O59" s="36"/>
    </row>
    <row r="60" spans="1:15" ht="13.5" thickBot="1" x14ac:dyDescent="0.25">
      <c r="A60" s="37">
        <f t="shared" si="0"/>
        <v>0</v>
      </c>
      <c r="B60" s="37">
        <v>0</v>
      </c>
      <c r="C60" s="37">
        <v>0</v>
      </c>
      <c r="D60" s="37">
        <v>0</v>
      </c>
      <c r="E60" s="37">
        <f t="shared" si="1"/>
        <v>0</v>
      </c>
      <c r="F60" s="37">
        <v>0</v>
      </c>
      <c r="G60" s="37">
        <v>0</v>
      </c>
      <c r="H60" s="37">
        <v>0</v>
      </c>
      <c r="I60" s="37">
        <f t="shared" si="2"/>
        <v>0</v>
      </c>
      <c r="J60" s="37">
        <v>0</v>
      </c>
      <c r="K60" s="37">
        <v>0</v>
      </c>
      <c r="L60" s="37">
        <v>0</v>
      </c>
      <c r="M60" s="14" t="s">
        <v>11</v>
      </c>
      <c r="N60" s="27" t="s">
        <v>200</v>
      </c>
      <c r="O60" s="36"/>
    </row>
    <row r="61" spans="1:15" ht="13.5" thickBot="1" x14ac:dyDescent="0.25">
      <c r="A61" s="37">
        <f t="shared" ref="A61:L61" si="21">SUM(A59:A60)</f>
        <v>54</v>
      </c>
      <c r="B61" s="37">
        <f t="shared" si="21"/>
        <v>0</v>
      </c>
      <c r="C61" s="37">
        <f t="shared" si="21"/>
        <v>54</v>
      </c>
      <c r="D61" s="37">
        <f t="shared" si="21"/>
        <v>0</v>
      </c>
      <c r="E61" s="37">
        <f t="shared" si="21"/>
        <v>398</v>
      </c>
      <c r="F61" s="37">
        <f t="shared" si="21"/>
        <v>29</v>
      </c>
      <c r="G61" s="37">
        <f t="shared" si="21"/>
        <v>369</v>
      </c>
      <c r="H61" s="37">
        <f t="shared" si="21"/>
        <v>0</v>
      </c>
      <c r="I61" s="37">
        <f t="shared" si="21"/>
        <v>204</v>
      </c>
      <c r="J61" s="37">
        <f t="shared" si="21"/>
        <v>8</v>
      </c>
      <c r="K61" s="37">
        <f t="shared" si="21"/>
        <v>196</v>
      </c>
      <c r="L61" s="37">
        <f t="shared" si="21"/>
        <v>0</v>
      </c>
      <c r="M61" s="14" t="s">
        <v>13</v>
      </c>
      <c r="N61" s="28"/>
      <c r="O61" s="36"/>
    </row>
    <row r="62" spans="1:15" ht="13.5" thickBot="1" x14ac:dyDescent="0.25">
      <c r="A62" s="37">
        <f t="shared" si="0"/>
        <v>4075</v>
      </c>
      <c r="B62" s="37">
        <v>88</v>
      </c>
      <c r="C62" s="37">
        <v>1808</v>
      </c>
      <c r="D62" s="37">
        <v>2179</v>
      </c>
      <c r="E62" s="37">
        <f t="shared" si="1"/>
        <v>23758</v>
      </c>
      <c r="F62" s="37">
        <v>359</v>
      </c>
      <c r="G62" s="37">
        <v>15262</v>
      </c>
      <c r="H62" s="37">
        <v>8137</v>
      </c>
      <c r="I62" s="37">
        <f t="shared" si="2"/>
        <v>6250</v>
      </c>
      <c r="J62" s="37">
        <v>67</v>
      </c>
      <c r="K62" s="37">
        <v>4792</v>
      </c>
      <c r="L62" s="37">
        <v>1391</v>
      </c>
      <c r="M62" s="14" t="s">
        <v>10</v>
      </c>
      <c r="N62" s="27"/>
      <c r="O62" s="36"/>
    </row>
    <row r="63" spans="1:15" ht="13.5" thickBot="1" x14ac:dyDescent="0.25">
      <c r="A63" s="37">
        <f t="shared" si="0"/>
        <v>3353</v>
      </c>
      <c r="B63" s="37">
        <v>56</v>
      </c>
      <c r="C63" s="37">
        <v>2066</v>
      </c>
      <c r="D63" s="37">
        <v>1231</v>
      </c>
      <c r="E63" s="37">
        <f t="shared" si="1"/>
        <v>20726</v>
      </c>
      <c r="F63" s="37">
        <v>495</v>
      </c>
      <c r="G63" s="37">
        <v>16239</v>
      </c>
      <c r="H63" s="37">
        <v>3992</v>
      </c>
      <c r="I63" s="37">
        <f t="shared" si="2"/>
        <v>6681</v>
      </c>
      <c r="J63" s="37">
        <v>84</v>
      </c>
      <c r="K63" s="37">
        <v>4420</v>
      </c>
      <c r="L63" s="37">
        <v>2177</v>
      </c>
      <c r="M63" s="14" t="s">
        <v>11</v>
      </c>
      <c r="N63" s="27" t="s">
        <v>201</v>
      </c>
      <c r="O63" s="36"/>
    </row>
    <row r="64" spans="1:15" ht="13.5" thickBot="1" x14ac:dyDescent="0.25">
      <c r="A64" s="37">
        <f t="shared" ref="A64:L64" si="22">SUM(A62:A63)</f>
        <v>7428</v>
      </c>
      <c r="B64" s="37">
        <f t="shared" si="22"/>
        <v>144</v>
      </c>
      <c r="C64" s="37">
        <f t="shared" si="22"/>
        <v>3874</v>
      </c>
      <c r="D64" s="37">
        <f t="shared" si="22"/>
        <v>3410</v>
      </c>
      <c r="E64" s="37">
        <f t="shared" si="22"/>
        <v>44484</v>
      </c>
      <c r="F64" s="37">
        <f t="shared" si="22"/>
        <v>854</v>
      </c>
      <c r="G64" s="37">
        <f t="shared" si="22"/>
        <v>31501</v>
      </c>
      <c r="H64" s="37">
        <f t="shared" si="22"/>
        <v>12129</v>
      </c>
      <c r="I64" s="37">
        <f t="shared" si="22"/>
        <v>12931</v>
      </c>
      <c r="J64" s="37">
        <f t="shared" si="22"/>
        <v>151</v>
      </c>
      <c r="K64" s="37">
        <f t="shared" si="22"/>
        <v>9212</v>
      </c>
      <c r="L64" s="37">
        <f t="shared" si="22"/>
        <v>3568</v>
      </c>
      <c r="M64" s="14" t="s">
        <v>13</v>
      </c>
      <c r="N64" s="28"/>
      <c r="O64" s="36"/>
    </row>
    <row r="65" spans="1:15" ht="13.5" thickBot="1" x14ac:dyDescent="0.25">
      <c r="A65" s="37">
        <f t="shared" si="0"/>
        <v>491</v>
      </c>
      <c r="B65" s="37">
        <v>27</v>
      </c>
      <c r="C65" s="37">
        <v>228</v>
      </c>
      <c r="D65" s="37">
        <v>236</v>
      </c>
      <c r="E65" s="37">
        <f t="shared" si="1"/>
        <v>2718</v>
      </c>
      <c r="F65" s="37">
        <v>74</v>
      </c>
      <c r="G65" s="37">
        <v>2163</v>
      </c>
      <c r="H65" s="37">
        <v>481</v>
      </c>
      <c r="I65" s="37">
        <f t="shared" si="2"/>
        <v>865</v>
      </c>
      <c r="J65" s="37">
        <v>42</v>
      </c>
      <c r="K65" s="37">
        <v>778</v>
      </c>
      <c r="L65" s="37">
        <v>45</v>
      </c>
      <c r="M65" s="14" t="s">
        <v>10</v>
      </c>
      <c r="N65" s="27"/>
      <c r="O65" s="36"/>
    </row>
    <row r="66" spans="1:15" ht="13.5" thickBot="1" x14ac:dyDescent="0.25">
      <c r="A66" s="37">
        <f t="shared" si="0"/>
        <v>1084</v>
      </c>
      <c r="B66" s="37">
        <v>93</v>
      </c>
      <c r="C66" s="37">
        <v>991</v>
      </c>
      <c r="D66" s="37">
        <v>0</v>
      </c>
      <c r="E66" s="37">
        <f t="shared" si="1"/>
        <v>6713</v>
      </c>
      <c r="F66" s="37">
        <v>246</v>
      </c>
      <c r="G66" s="37">
        <v>6467</v>
      </c>
      <c r="H66" s="37">
        <v>0</v>
      </c>
      <c r="I66" s="37">
        <f t="shared" si="2"/>
        <v>1524</v>
      </c>
      <c r="J66" s="37">
        <v>121</v>
      </c>
      <c r="K66" s="37">
        <v>1403</v>
      </c>
      <c r="L66" s="37">
        <v>0</v>
      </c>
      <c r="M66" s="14" t="s">
        <v>11</v>
      </c>
      <c r="N66" s="27" t="s">
        <v>202</v>
      </c>
      <c r="O66" s="36"/>
    </row>
    <row r="67" spans="1:15" ht="13.5" thickBot="1" x14ac:dyDescent="0.25">
      <c r="A67" s="37">
        <f t="shared" ref="A67:L67" si="23">SUM(A65:A66)</f>
        <v>1575</v>
      </c>
      <c r="B67" s="37">
        <f t="shared" si="23"/>
        <v>120</v>
      </c>
      <c r="C67" s="37">
        <f t="shared" si="23"/>
        <v>1219</v>
      </c>
      <c r="D67" s="37">
        <f t="shared" si="23"/>
        <v>236</v>
      </c>
      <c r="E67" s="37">
        <f t="shared" si="23"/>
        <v>9431</v>
      </c>
      <c r="F67" s="37">
        <f t="shared" si="23"/>
        <v>320</v>
      </c>
      <c r="G67" s="37">
        <f t="shared" si="23"/>
        <v>8630</v>
      </c>
      <c r="H67" s="37">
        <f t="shared" si="23"/>
        <v>481</v>
      </c>
      <c r="I67" s="37">
        <f t="shared" si="23"/>
        <v>2389</v>
      </c>
      <c r="J67" s="37">
        <f t="shared" si="23"/>
        <v>163</v>
      </c>
      <c r="K67" s="37">
        <f t="shared" si="23"/>
        <v>2181</v>
      </c>
      <c r="L67" s="37">
        <f t="shared" si="23"/>
        <v>45</v>
      </c>
      <c r="M67" s="14" t="s">
        <v>13</v>
      </c>
      <c r="N67" s="28"/>
      <c r="O67" s="36"/>
    </row>
    <row r="68" spans="1:15" ht="13.5" thickBot="1" x14ac:dyDescent="0.25">
      <c r="A68" s="37">
        <f t="shared" si="0"/>
        <v>70</v>
      </c>
      <c r="B68" s="37">
        <v>0</v>
      </c>
      <c r="C68" s="37">
        <v>13</v>
      </c>
      <c r="D68" s="37">
        <v>57</v>
      </c>
      <c r="E68" s="37">
        <f t="shared" si="1"/>
        <v>0</v>
      </c>
      <c r="F68" s="37">
        <v>0</v>
      </c>
      <c r="G68" s="37">
        <v>0</v>
      </c>
      <c r="H68" s="37">
        <v>0</v>
      </c>
      <c r="I68" s="37">
        <f t="shared" si="2"/>
        <v>98</v>
      </c>
      <c r="J68" s="37">
        <v>0</v>
      </c>
      <c r="K68" s="37">
        <v>98</v>
      </c>
      <c r="L68" s="37">
        <v>0</v>
      </c>
      <c r="M68" s="14" t="s">
        <v>10</v>
      </c>
      <c r="N68" s="27"/>
      <c r="O68" s="36"/>
    </row>
    <row r="69" spans="1:15" ht="13.5" thickBot="1" x14ac:dyDescent="0.25">
      <c r="A69" s="37">
        <f t="shared" si="0"/>
        <v>0</v>
      </c>
      <c r="B69" s="37">
        <v>0</v>
      </c>
      <c r="C69" s="37">
        <v>0</v>
      </c>
      <c r="D69" s="37">
        <v>0</v>
      </c>
      <c r="E69" s="37">
        <f t="shared" si="1"/>
        <v>114</v>
      </c>
      <c r="F69" s="37">
        <v>0</v>
      </c>
      <c r="G69" s="37">
        <v>0</v>
      </c>
      <c r="H69" s="37">
        <v>114</v>
      </c>
      <c r="I69" s="37">
        <f t="shared" si="2"/>
        <v>0</v>
      </c>
      <c r="J69" s="37">
        <v>0</v>
      </c>
      <c r="K69" s="37">
        <v>0</v>
      </c>
      <c r="L69" s="37">
        <v>0</v>
      </c>
      <c r="M69" s="14" t="s">
        <v>11</v>
      </c>
      <c r="N69" s="27" t="s">
        <v>203</v>
      </c>
      <c r="O69" s="36"/>
    </row>
    <row r="70" spans="1:15" ht="13.5" thickBot="1" x14ac:dyDescent="0.25">
      <c r="A70" s="37">
        <f t="shared" ref="A70:L70" si="24">SUM(A68:A69)</f>
        <v>70</v>
      </c>
      <c r="B70" s="37">
        <f t="shared" si="24"/>
        <v>0</v>
      </c>
      <c r="C70" s="37">
        <f t="shared" si="24"/>
        <v>13</v>
      </c>
      <c r="D70" s="37">
        <f t="shared" si="24"/>
        <v>57</v>
      </c>
      <c r="E70" s="37">
        <f t="shared" si="24"/>
        <v>114</v>
      </c>
      <c r="F70" s="37">
        <f t="shared" si="24"/>
        <v>0</v>
      </c>
      <c r="G70" s="37">
        <f t="shared" si="24"/>
        <v>0</v>
      </c>
      <c r="H70" s="37">
        <f t="shared" si="24"/>
        <v>114</v>
      </c>
      <c r="I70" s="37">
        <f t="shared" si="24"/>
        <v>98</v>
      </c>
      <c r="J70" s="37">
        <f t="shared" si="24"/>
        <v>0</v>
      </c>
      <c r="K70" s="37">
        <f t="shared" si="24"/>
        <v>98</v>
      </c>
      <c r="L70" s="37">
        <f t="shared" si="24"/>
        <v>0</v>
      </c>
      <c r="M70" s="14" t="s">
        <v>13</v>
      </c>
      <c r="N70" s="28"/>
      <c r="O70" s="36"/>
    </row>
    <row r="71" spans="1:15" ht="13.5" thickBot="1" x14ac:dyDescent="0.25">
      <c r="A71" s="37">
        <f t="shared" ref="A71:A75" si="25">D71+C71+B71</f>
        <v>0</v>
      </c>
      <c r="B71" s="37">
        <v>0</v>
      </c>
      <c r="C71" s="37">
        <v>0</v>
      </c>
      <c r="D71" s="37">
        <v>0</v>
      </c>
      <c r="E71" s="37">
        <f t="shared" ref="E71:E75" si="26">H71+G71+F71</f>
        <v>370</v>
      </c>
      <c r="F71" s="37">
        <v>0</v>
      </c>
      <c r="G71" s="37">
        <v>0</v>
      </c>
      <c r="H71" s="37">
        <v>370</v>
      </c>
      <c r="I71" s="37">
        <f t="shared" ref="I71:I75" si="27">L71+K71+J71</f>
        <v>83</v>
      </c>
      <c r="J71" s="37">
        <v>0</v>
      </c>
      <c r="K71" s="37">
        <v>0</v>
      </c>
      <c r="L71" s="37">
        <v>83</v>
      </c>
      <c r="M71" s="14" t="s">
        <v>10</v>
      </c>
      <c r="N71" s="27"/>
      <c r="O71" s="36"/>
    </row>
    <row r="72" spans="1:15" ht="13.5" thickBot="1" x14ac:dyDescent="0.25">
      <c r="A72" s="37">
        <f t="shared" si="25"/>
        <v>0</v>
      </c>
      <c r="B72" s="37">
        <v>0</v>
      </c>
      <c r="C72" s="37">
        <v>0</v>
      </c>
      <c r="D72" s="37">
        <v>0</v>
      </c>
      <c r="E72" s="37">
        <f t="shared" si="26"/>
        <v>0</v>
      </c>
      <c r="F72" s="37">
        <v>0</v>
      </c>
      <c r="G72" s="37">
        <v>0</v>
      </c>
      <c r="H72" s="37">
        <v>0</v>
      </c>
      <c r="I72" s="37">
        <f t="shared" si="27"/>
        <v>0</v>
      </c>
      <c r="J72" s="37">
        <v>0</v>
      </c>
      <c r="K72" s="37">
        <v>0</v>
      </c>
      <c r="L72" s="37">
        <v>0</v>
      </c>
      <c r="M72" s="14" t="s">
        <v>11</v>
      </c>
      <c r="N72" s="27" t="s">
        <v>204</v>
      </c>
      <c r="O72" s="36"/>
    </row>
    <row r="73" spans="1:15" ht="13.5" thickBot="1" x14ac:dyDescent="0.25">
      <c r="A73" s="37">
        <f t="shared" ref="A73:L73" si="28">SUM(A71:A72)</f>
        <v>0</v>
      </c>
      <c r="B73" s="37">
        <f t="shared" si="28"/>
        <v>0</v>
      </c>
      <c r="C73" s="37">
        <f t="shared" si="28"/>
        <v>0</v>
      </c>
      <c r="D73" s="37">
        <f t="shared" si="28"/>
        <v>0</v>
      </c>
      <c r="E73" s="37">
        <f t="shared" si="28"/>
        <v>370</v>
      </c>
      <c r="F73" s="37">
        <f t="shared" si="28"/>
        <v>0</v>
      </c>
      <c r="G73" s="37">
        <f t="shared" si="28"/>
        <v>0</v>
      </c>
      <c r="H73" s="37">
        <f t="shared" si="28"/>
        <v>370</v>
      </c>
      <c r="I73" s="37">
        <f t="shared" si="28"/>
        <v>83</v>
      </c>
      <c r="J73" s="37">
        <f t="shared" si="28"/>
        <v>0</v>
      </c>
      <c r="K73" s="37">
        <f t="shared" si="28"/>
        <v>0</v>
      </c>
      <c r="L73" s="37">
        <f t="shared" si="28"/>
        <v>83</v>
      </c>
      <c r="M73" s="14" t="s">
        <v>13</v>
      </c>
      <c r="N73" s="28"/>
      <c r="O73" s="36"/>
    </row>
    <row r="74" spans="1:15" ht="13.5" thickBot="1" x14ac:dyDescent="0.25">
      <c r="A74" s="37">
        <f t="shared" si="25"/>
        <v>8</v>
      </c>
      <c r="B74" s="37">
        <v>0</v>
      </c>
      <c r="C74" s="37">
        <v>8</v>
      </c>
      <c r="D74" s="37">
        <v>0</v>
      </c>
      <c r="E74" s="37">
        <f t="shared" si="26"/>
        <v>832</v>
      </c>
      <c r="F74" s="37">
        <v>36</v>
      </c>
      <c r="G74" s="37">
        <v>677</v>
      </c>
      <c r="H74" s="37">
        <v>119</v>
      </c>
      <c r="I74" s="37">
        <f t="shared" si="27"/>
        <v>1554</v>
      </c>
      <c r="J74" s="37">
        <v>181</v>
      </c>
      <c r="K74" s="37">
        <v>1137</v>
      </c>
      <c r="L74" s="37">
        <v>236</v>
      </c>
      <c r="M74" s="14" t="s">
        <v>10</v>
      </c>
      <c r="N74" s="27"/>
      <c r="O74" s="36"/>
    </row>
    <row r="75" spans="1:15" ht="13.5" thickBot="1" x14ac:dyDescent="0.25">
      <c r="A75" s="37">
        <f t="shared" si="25"/>
        <v>0</v>
      </c>
      <c r="B75" s="37">
        <v>0</v>
      </c>
      <c r="C75" s="37">
        <v>0</v>
      </c>
      <c r="D75" s="37">
        <v>0</v>
      </c>
      <c r="E75" s="37">
        <f t="shared" si="26"/>
        <v>370</v>
      </c>
      <c r="F75" s="37">
        <v>21</v>
      </c>
      <c r="G75" s="37">
        <v>349</v>
      </c>
      <c r="H75" s="37">
        <v>0</v>
      </c>
      <c r="I75" s="37">
        <f t="shared" si="27"/>
        <v>1323</v>
      </c>
      <c r="J75" s="37">
        <v>197</v>
      </c>
      <c r="K75" s="37">
        <v>1126</v>
      </c>
      <c r="L75" s="37">
        <v>0</v>
      </c>
      <c r="M75" s="14" t="s">
        <v>11</v>
      </c>
      <c r="N75" s="27" t="s">
        <v>57</v>
      </c>
      <c r="O75" s="36"/>
    </row>
    <row r="76" spans="1:15" ht="13.5" thickBot="1" x14ac:dyDescent="0.25">
      <c r="A76" s="37">
        <f t="shared" ref="A76:L76" si="29">SUM(A74:A75)</f>
        <v>8</v>
      </c>
      <c r="B76" s="37">
        <f t="shared" si="29"/>
        <v>0</v>
      </c>
      <c r="C76" s="37">
        <f t="shared" si="29"/>
        <v>8</v>
      </c>
      <c r="D76" s="37">
        <f t="shared" si="29"/>
        <v>0</v>
      </c>
      <c r="E76" s="37">
        <f t="shared" si="29"/>
        <v>1202</v>
      </c>
      <c r="F76" s="37">
        <f t="shared" si="29"/>
        <v>57</v>
      </c>
      <c r="G76" s="37">
        <f t="shared" si="29"/>
        <v>1026</v>
      </c>
      <c r="H76" s="37">
        <f t="shared" si="29"/>
        <v>119</v>
      </c>
      <c r="I76" s="37">
        <f t="shared" si="29"/>
        <v>2877</v>
      </c>
      <c r="J76" s="37">
        <f t="shared" si="29"/>
        <v>378</v>
      </c>
      <c r="K76" s="37">
        <f t="shared" si="29"/>
        <v>2263</v>
      </c>
      <c r="L76" s="37">
        <f t="shared" si="29"/>
        <v>236</v>
      </c>
      <c r="M76" s="14" t="s">
        <v>13</v>
      </c>
      <c r="N76" s="28"/>
      <c r="O76" s="36"/>
    </row>
    <row r="77" spans="1:15" ht="13.5" thickBot="1" x14ac:dyDescent="0.25">
      <c r="A77" s="37">
        <f t="shared" ref="A77:K78" si="30">A5+A8+A11+A14+A17+A20+A23+A26+A29+A32+A35+A38+A41+A44+A47+A50+A53+A56+A59+A62+A65+A68+A71+A74</f>
        <v>47798</v>
      </c>
      <c r="B77" s="37">
        <f t="shared" si="30"/>
        <v>3018</v>
      </c>
      <c r="C77" s="37">
        <f t="shared" si="30"/>
        <v>25460</v>
      </c>
      <c r="D77" s="37">
        <f t="shared" si="30"/>
        <v>19320</v>
      </c>
      <c r="E77" s="37">
        <f t="shared" si="30"/>
        <v>323903</v>
      </c>
      <c r="F77" s="37">
        <f t="shared" si="30"/>
        <v>9920</v>
      </c>
      <c r="G77" s="37">
        <f t="shared" si="30"/>
        <v>219317</v>
      </c>
      <c r="H77" s="37">
        <f t="shared" si="30"/>
        <v>94666</v>
      </c>
      <c r="I77" s="37">
        <f t="shared" si="30"/>
        <v>131893</v>
      </c>
      <c r="J77" s="37">
        <f t="shared" si="30"/>
        <v>5615</v>
      </c>
      <c r="K77" s="37">
        <f t="shared" si="30"/>
        <v>79798</v>
      </c>
      <c r="L77" s="37">
        <f>L5+L8+L11+L14+L17+L20+L23+L26+L29+L32+L35+L38+L41+L44+L47+L50+L53+L56+L59+L62+L65+L68+L71+L74</f>
        <v>46480</v>
      </c>
      <c r="M77" s="14" t="s">
        <v>28</v>
      </c>
      <c r="N77" s="15"/>
      <c r="O77" s="36"/>
    </row>
    <row r="78" spans="1:15" ht="13.5" thickBot="1" x14ac:dyDescent="0.25">
      <c r="A78" s="37">
        <f t="shared" si="30"/>
        <v>64334</v>
      </c>
      <c r="B78" s="37">
        <f>B6+B9+B12+B15+B18+B21+B24+B27+B30+B33+B36+B39+B42+B45+B48+B51+B54+B57+B60+B63+B66+B69+B72+B75</f>
        <v>1021</v>
      </c>
      <c r="C78" s="37">
        <f t="shared" si="30"/>
        <v>57159</v>
      </c>
      <c r="D78" s="37">
        <f t="shared" si="30"/>
        <v>6154</v>
      </c>
      <c r="E78" s="37">
        <f t="shared" si="30"/>
        <v>390974</v>
      </c>
      <c r="F78" s="37">
        <f t="shared" si="30"/>
        <v>5439</v>
      </c>
      <c r="G78" s="37">
        <f t="shared" si="30"/>
        <v>360026</v>
      </c>
      <c r="H78" s="37">
        <f t="shared" si="30"/>
        <v>25509</v>
      </c>
      <c r="I78" s="37">
        <f t="shared" si="30"/>
        <v>123728</v>
      </c>
      <c r="J78" s="37">
        <f t="shared" si="30"/>
        <v>2462</v>
      </c>
      <c r="K78" s="37">
        <f t="shared" si="30"/>
        <v>108593</v>
      </c>
      <c r="L78" s="37">
        <f>L6+L9+L12+L15+L18+L21+L24+L27+L30+L33+L36+L39+L42+L45+L48+L51+L54+L57+L60+L63+L66+L69+L72+L75</f>
        <v>12673</v>
      </c>
      <c r="M78" s="14" t="s">
        <v>29</v>
      </c>
      <c r="N78" s="27" t="s">
        <v>44</v>
      </c>
      <c r="O78" s="36"/>
    </row>
    <row r="79" spans="1:15" ht="13.5" thickBot="1" x14ac:dyDescent="0.25">
      <c r="A79" s="37">
        <f t="shared" ref="A79:L79" si="31">SUM(A77:A78)</f>
        <v>112132</v>
      </c>
      <c r="B79" s="37">
        <f t="shared" si="31"/>
        <v>4039</v>
      </c>
      <c r="C79" s="37">
        <f t="shared" si="31"/>
        <v>82619</v>
      </c>
      <c r="D79" s="37">
        <f t="shared" si="31"/>
        <v>25474</v>
      </c>
      <c r="E79" s="37">
        <f t="shared" si="31"/>
        <v>714877</v>
      </c>
      <c r="F79" s="37">
        <f t="shared" si="31"/>
        <v>15359</v>
      </c>
      <c r="G79" s="37">
        <f t="shared" si="31"/>
        <v>579343</v>
      </c>
      <c r="H79" s="37">
        <f t="shared" si="31"/>
        <v>120175</v>
      </c>
      <c r="I79" s="37">
        <f t="shared" si="31"/>
        <v>255621</v>
      </c>
      <c r="J79" s="37">
        <f t="shared" si="31"/>
        <v>8077</v>
      </c>
      <c r="K79" s="37">
        <f t="shared" si="31"/>
        <v>188391</v>
      </c>
      <c r="L79" s="37">
        <f t="shared" si="31"/>
        <v>59153</v>
      </c>
      <c r="M79" s="14" t="s">
        <v>13</v>
      </c>
      <c r="N79" s="28"/>
      <c r="O79" s="36"/>
    </row>
    <row r="81" spans="1:13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</row>
    <row r="82" spans="1:13" x14ac:dyDescent="0.2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</row>
    <row r="83" spans="1:13" x14ac:dyDescent="0.2">
      <c r="A83" s="45"/>
      <c r="B83" s="46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</row>
    <row r="84" spans="1:13" x14ac:dyDescent="0.2">
      <c r="B84" s="12"/>
    </row>
    <row r="85" spans="1:13" x14ac:dyDescent="0.2">
      <c r="B85" s="12"/>
    </row>
  </sheetData>
  <mergeCells count="5">
    <mergeCell ref="A1:N1"/>
    <mergeCell ref="A2:N2"/>
    <mergeCell ref="A3:D3"/>
    <mergeCell ref="E3:H3"/>
    <mergeCell ref="I3:L3"/>
  </mergeCells>
  <pageMargins left="7.874015748031496E-2" right="7.874015748031496E-2" top="7.874015748031496E-2" bottom="7.874015748031496E-2" header="7.874015748031496E-2" footer="7.874015748031496E-2"/>
  <pageSetup paperSize="9" orientation="landscape" horizontalDpi="0" verticalDpi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2"/>
  <sheetViews>
    <sheetView showGridLines="0" workbookViewId="0">
      <selection activeCell="G7" sqref="G7"/>
    </sheetView>
  </sheetViews>
  <sheetFormatPr defaultRowHeight="12.75" x14ac:dyDescent="0.2"/>
  <cols>
    <col min="1" max="1" width="18.875" style="2" customWidth="1"/>
    <col min="2" max="8" width="11" style="2" customWidth="1"/>
    <col min="9" max="9" width="20.625" style="2" customWidth="1"/>
    <col min="10" max="10" width="20.875" style="2" customWidth="1"/>
    <col min="11" max="256" width="9.125" style="2"/>
    <col min="257" max="257" width="18.875" style="2" customWidth="1"/>
    <col min="258" max="264" width="11" style="2" customWidth="1"/>
    <col min="265" max="265" width="20.625" style="2" customWidth="1"/>
    <col min="266" max="266" width="20.875" style="2" customWidth="1"/>
    <col min="267" max="512" width="9.125" style="2"/>
    <col min="513" max="513" width="18.875" style="2" customWidth="1"/>
    <col min="514" max="520" width="11" style="2" customWidth="1"/>
    <col min="521" max="521" width="20.625" style="2" customWidth="1"/>
    <col min="522" max="522" width="20.875" style="2" customWidth="1"/>
    <col min="523" max="768" width="9.125" style="2"/>
    <col min="769" max="769" width="18.875" style="2" customWidth="1"/>
    <col min="770" max="776" width="11" style="2" customWidth="1"/>
    <col min="777" max="777" width="20.625" style="2" customWidth="1"/>
    <col min="778" max="778" width="20.875" style="2" customWidth="1"/>
    <col min="779" max="1024" width="9.125" style="2"/>
    <col min="1025" max="1025" width="18.875" style="2" customWidth="1"/>
    <col min="1026" max="1032" width="11" style="2" customWidth="1"/>
    <col min="1033" max="1033" width="20.625" style="2" customWidth="1"/>
    <col min="1034" max="1034" width="20.875" style="2" customWidth="1"/>
    <col min="1035" max="1280" width="9.125" style="2"/>
    <col min="1281" max="1281" width="18.875" style="2" customWidth="1"/>
    <col min="1282" max="1288" width="11" style="2" customWidth="1"/>
    <col min="1289" max="1289" width="20.625" style="2" customWidth="1"/>
    <col min="1290" max="1290" width="20.875" style="2" customWidth="1"/>
    <col min="1291" max="1536" width="9.125" style="2"/>
    <col min="1537" max="1537" width="18.875" style="2" customWidth="1"/>
    <col min="1538" max="1544" width="11" style="2" customWidth="1"/>
    <col min="1545" max="1545" width="20.625" style="2" customWidth="1"/>
    <col min="1546" max="1546" width="20.875" style="2" customWidth="1"/>
    <col min="1547" max="1792" width="9.125" style="2"/>
    <col min="1793" max="1793" width="18.875" style="2" customWidth="1"/>
    <col min="1794" max="1800" width="11" style="2" customWidth="1"/>
    <col min="1801" max="1801" width="20.625" style="2" customWidth="1"/>
    <col min="1802" max="1802" width="20.875" style="2" customWidth="1"/>
    <col min="1803" max="2048" width="9.125" style="2"/>
    <col min="2049" max="2049" width="18.875" style="2" customWidth="1"/>
    <col min="2050" max="2056" width="11" style="2" customWidth="1"/>
    <col min="2057" max="2057" width="20.625" style="2" customWidth="1"/>
    <col min="2058" max="2058" width="20.875" style="2" customWidth="1"/>
    <col min="2059" max="2304" width="9.125" style="2"/>
    <col min="2305" max="2305" width="18.875" style="2" customWidth="1"/>
    <col min="2306" max="2312" width="11" style="2" customWidth="1"/>
    <col min="2313" max="2313" width="20.625" style="2" customWidth="1"/>
    <col min="2314" max="2314" width="20.875" style="2" customWidth="1"/>
    <col min="2315" max="2560" width="9.125" style="2"/>
    <col min="2561" max="2561" width="18.875" style="2" customWidth="1"/>
    <col min="2562" max="2568" width="11" style="2" customWidth="1"/>
    <col min="2569" max="2569" width="20.625" style="2" customWidth="1"/>
    <col min="2570" max="2570" width="20.875" style="2" customWidth="1"/>
    <col min="2571" max="2816" width="9.125" style="2"/>
    <col min="2817" max="2817" width="18.875" style="2" customWidth="1"/>
    <col min="2818" max="2824" width="11" style="2" customWidth="1"/>
    <col min="2825" max="2825" width="20.625" style="2" customWidth="1"/>
    <col min="2826" max="2826" width="20.875" style="2" customWidth="1"/>
    <col min="2827" max="3072" width="9.125" style="2"/>
    <col min="3073" max="3073" width="18.875" style="2" customWidth="1"/>
    <col min="3074" max="3080" width="11" style="2" customWidth="1"/>
    <col min="3081" max="3081" width="20.625" style="2" customWidth="1"/>
    <col min="3082" max="3082" width="20.875" style="2" customWidth="1"/>
    <col min="3083" max="3328" width="9.125" style="2"/>
    <col min="3329" max="3329" width="18.875" style="2" customWidth="1"/>
    <col min="3330" max="3336" width="11" style="2" customWidth="1"/>
    <col min="3337" max="3337" width="20.625" style="2" customWidth="1"/>
    <col min="3338" max="3338" width="20.875" style="2" customWidth="1"/>
    <col min="3339" max="3584" width="9.125" style="2"/>
    <col min="3585" max="3585" width="18.875" style="2" customWidth="1"/>
    <col min="3586" max="3592" width="11" style="2" customWidth="1"/>
    <col min="3593" max="3593" width="20.625" style="2" customWidth="1"/>
    <col min="3594" max="3594" width="20.875" style="2" customWidth="1"/>
    <col min="3595" max="3840" width="9.125" style="2"/>
    <col min="3841" max="3841" width="18.875" style="2" customWidth="1"/>
    <col min="3842" max="3848" width="11" style="2" customWidth="1"/>
    <col min="3849" max="3849" width="20.625" style="2" customWidth="1"/>
    <col min="3850" max="3850" width="20.875" style="2" customWidth="1"/>
    <col min="3851" max="4096" width="9.125" style="2"/>
    <col min="4097" max="4097" width="18.875" style="2" customWidth="1"/>
    <col min="4098" max="4104" width="11" style="2" customWidth="1"/>
    <col min="4105" max="4105" width="20.625" style="2" customWidth="1"/>
    <col min="4106" max="4106" width="20.875" style="2" customWidth="1"/>
    <col min="4107" max="4352" width="9.125" style="2"/>
    <col min="4353" max="4353" width="18.875" style="2" customWidth="1"/>
    <col min="4354" max="4360" width="11" style="2" customWidth="1"/>
    <col min="4361" max="4361" width="20.625" style="2" customWidth="1"/>
    <col min="4362" max="4362" width="20.875" style="2" customWidth="1"/>
    <col min="4363" max="4608" width="9.125" style="2"/>
    <col min="4609" max="4609" width="18.875" style="2" customWidth="1"/>
    <col min="4610" max="4616" width="11" style="2" customWidth="1"/>
    <col min="4617" max="4617" width="20.625" style="2" customWidth="1"/>
    <col min="4618" max="4618" width="20.875" style="2" customWidth="1"/>
    <col min="4619" max="4864" width="9.125" style="2"/>
    <col min="4865" max="4865" width="18.875" style="2" customWidth="1"/>
    <col min="4866" max="4872" width="11" style="2" customWidth="1"/>
    <col min="4873" max="4873" width="20.625" style="2" customWidth="1"/>
    <col min="4874" max="4874" width="20.875" style="2" customWidth="1"/>
    <col min="4875" max="5120" width="9.125" style="2"/>
    <col min="5121" max="5121" width="18.875" style="2" customWidth="1"/>
    <col min="5122" max="5128" width="11" style="2" customWidth="1"/>
    <col min="5129" max="5129" width="20.625" style="2" customWidth="1"/>
    <col min="5130" max="5130" width="20.875" style="2" customWidth="1"/>
    <col min="5131" max="5376" width="9.125" style="2"/>
    <col min="5377" max="5377" width="18.875" style="2" customWidth="1"/>
    <col min="5378" max="5384" width="11" style="2" customWidth="1"/>
    <col min="5385" max="5385" width="20.625" style="2" customWidth="1"/>
    <col min="5386" max="5386" width="20.875" style="2" customWidth="1"/>
    <col min="5387" max="5632" width="9.125" style="2"/>
    <col min="5633" max="5633" width="18.875" style="2" customWidth="1"/>
    <col min="5634" max="5640" width="11" style="2" customWidth="1"/>
    <col min="5641" max="5641" width="20.625" style="2" customWidth="1"/>
    <col min="5642" max="5642" width="20.875" style="2" customWidth="1"/>
    <col min="5643" max="5888" width="9.125" style="2"/>
    <col min="5889" max="5889" width="18.875" style="2" customWidth="1"/>
    <col min="5890" max="5896" width="11" style="2" customWidth="1"/>
    <col min="5897" max="5897" width="20.625" style="2" customWidth="1"/>
    <col min="5898" max="5898" width="20.875" style="2" customWidth="1"/>
    <col min="5899" max="6144" width="9.125" style="2"/>
    <col min="6145" max="6145" width="18.875" style="2" customWidth="1"/>
    <col min="6146" max="6152" width="11" style="2" customWidth="1"/>
    <col min="6153" max="6153" width="20.625" style="2" customWidth="1"/>
    <col min="6154" max="6154" width="20.875" style="2" customWidth="1"/>
    <col min="6155" max="6400" width="9.125" style="2"/>
    <col min="6401" max="6401" width="18.875" style="2" customWidth="1"/>
    <col min="6402" max="6408" width="11" style="2" customWidth="1"/>
    <col min="6409" max="6409" width="20.625" style="2" customWidth="1"/>
    <col min="6410" max="6410" width="20.875" style="2" customWidth="1"/>
    <col min="6411" max="6656" width="9.125" style="2"/>
    <col min="6657" max="6657" width="18.875" style="2" customWidth="1"/>
    <col min="6658" max="6664" width="11" style="2" customWidth="1"/>
    <col min="6665" max="6665" width="20.625" style="2" customWidth="1"/>
    <col min="6666" max="6666" width="20.875" style="2" customWidth="1"/>
    <col min="6667" max="6912" width="9.125" style="2"/>
    <col min="6913" max="6913" width="18.875" style="2" customWidth="1"/>
    <col min="6914" max="6920" width="11" style="2" customWidth="1"/>
    <col min="6921" max="6921" width="20.625" style="2" customWidth="1"/>
    <col min="6922" max="6922" width="20.875" style="2" customWidth="1"/>
    <col min="6923" max="7168" width="9.125" style="2"/>
    <col min="7169" max="7169" width="18.875" style="2" customWidth="1"/>
    <col min="7170" max="7176" width="11" style="2" customWidth="1"/>
    <col min="7177" max="7177" width="20.625" style="2" customWidth="1"/>
    <col min="7178" max="7178" width="20.875" style="2" customWidth="1"/>
    <col min="7179" max="7424" width="9.125" style="2"/>
    <col min="7425" max="7425" width="18.875" style="2" customWidth="1"/>
    <col min="7426" max="7432" width="11" style="2" customWidth="1"/>
    <col min="7433" max="7433" width="20.625" style="2" customWidth="1"/>
    <col min="7434" max="7434" width="20.875" style="2" customWidth="1"/>
    <col min="7435" max="7680" width="9.125" style="2"/>
    <col min="7681" max="7681" width="18.875" style="2" customWidth="1"/>
    <col min="7682" max="7688" width="11" style="2" customWidth="1"/>
    <col min="7689" max="7689" width="20.625" style="2" customWidth="1"/>
    <col min="7690" max="7690" width="20.875" style="2" customWidth="1"/>
    <col min="7691" max="7936" width="9.125" style="2"/>
    <col min="7937" max="7937" width="18.875" style="2" customWidth="1"/>
    <col min="7938" max="7944" width="11" style="2" customWidth="1"/>
    <col min="7945" max="7945" width="20.625" style="2" customWidth="1"/>
    <col min="7946" max="7946" width="20.875" style="2" customWidth="1"/>
    <col min="7947" max="8192" width="9.125" style="2"/>
    <col min="8193" max="8193" width="18.875" style="2" customWidth="1"/>
    <col min="8194" max="8200" width="11" style="2" customWidth="1"/>
    <col min="8201" max="8201" width="20.625" style="2" customWidth="1"/>
    <col min="8202" max="8202" width="20.875" style="2" customWidth="1"/>
    <col min="8203" max="8448" width="9.125" style="2"/>
    <col min="8449" max="8449" width="18.875" style="2" customWidth="1"/>
    <col min="8450" max="8456" width="11" style="2" customWidth="1"/>
    <col min="8457" max="8457" width="20.625" style="2" customWidth="1"/>
    <col min="8458" max="8458" width="20.875" style="2" customWidth="1"/>
    <col min="8459" max="8704" width="9.125" style="2"/>
    <col min="8705" max="8705" width="18.875" style="2" customWidth="1"/>
    <col min="8706" max="8712" width="11" style="2" customWidth="1"/>
    <col min="8713" max="8713" width="20.625" style="2" customWidth="1"/>
    <col min="8714" max="8714" width="20.875" style="2" customWidth="1"/>
    <col min="8715" max="8960" width="9.125" style="2"/>
    <col min="8961" max="8961" width="18.875" style="2" customWidth="1"/>
    <col min="8962" max="8968" width="11" style="2" customWidth="1"/>
    <col min="8969" max="8969" width="20.625" style="2" customWidth="1"/>
    <col min="8970" max="8970" width="20.875" style="2" customWidth="1"/>
    <col min="8971" max="9216" width="9.125" style="2"/>
    <col min="9217" max="9217" width="18.875" style="2" customWidth="1"/>
    <col min="9218" max="9224" width="11" style="2" customWidth="1"/>
    <col min="9225" max="9225" width="20.625" style="2" customWidth="1"/>
    <col min="9226" max="9226" width="20.875" style="2" customWidth="1"/>
    <col min="9227" max="9472" width="9.125" style="2"/>
    <col min="9473" max="9473" width="18.875" style="2" customWidth="1"/>
    <col min="9474" max="9480" width="11" style="2" customWidth="1"/>
    <col min="9481" max="9481" width="20.625" style="2" customWidth="1"/>
    <col min="9482" max="9482" width="20.875" style="2" customWidth="1"/>
    <col min="9483" max="9728" width="9.125" style="2"/>
    <col min="9729" max="9729" width="18.875" style="2" customWidth="1"/>
    <col min="9730" max="9736" width="11" style="2" customWidth="1"/>
    <col min="9737" max="9737" width="20.625" style="2" customWidth="1"/>
    <col min="9738" max="9738" width="20.875" style="2" customWidth="1"/>
    <col min="9739" max="9984" width="9.125" style="2"/>
    <col min="9985" max="9985" width="18.875" style="2" customWidth="1"/>
    <col min="9986" max="9992" width="11" style="2" customWidth="1"/>
    <col min="9993" max="9993" width="20.625" style="2" customWidth="1"/>
    <col min="9994" max="9994" width="20.875" style="2" customWidth="1"/>
    <col min="9995" max="10240" width="9.125" style="2"/>
    <col min="10241" max="10241" width="18.875" style="2" customWidth="1"/>
    <col min="10242" max="10248" width="11" style="2" customWidth="1"/>
    <col min="10249" max="10249" width="20.625" style="2" customWidth="1"/>
    <col min="10250" max="10250" width="20.875" style="2" customWidth="1"/>
    <col min="10251" max="10496" width="9.125" style="2"/>
    <col min="10497" max="10497" width="18.875" style="2" customWidth="1"/>
    <col min="10498" max="10504" width="11" style="2" customWidth="1"/>
    <col min="10505" max="10505" width="20.625" style="2" customWidth="1"/>
    <col min="10506" max="10506" width="20.875" style="2" customWidth="1"/>
    <col min="10507" max="10752" width="9.125" style="2"/>
    <col min="10753" max="10753" width="18.875" style="2" customWidth="1"/>
    <col min="10754" max="10760" width="11" style="2" customWidth="1"/>
    <col min="10761" max="10761" width="20.625" style="2" customWidth="1"/>
    <col min="10762" max="10762" width="20.875" style="2" customWidth="1"/>
    <col min="10763" max="11008" width="9.125" style="2"/>
    <col min="11009" max="11009" width="18.875" style="2" customWidth="1"/>
    <col min="11010" max="11016" width="11" style="2" customWidth="1"/>
    <col min="11017" max="11017" width="20.625" style="2" customWidth="1"/>
    <col min="11018" max="11018" width="20.875" style="2" customWidth="1"/>
    <col min="11019" max="11264" width="9.125" style="2"/>
    <col min="11265" max="11265" width="18.875" style="2" customWidth="1"/>
    <col min="11266" max="11272" width="11" style="2" customWidth="1"/>
    <col min="11273" max="11273" width="20.625" style="2" customWidth="1"/>
    <col min="11274" max="11274" width="20.875" style="2" customWidth="1"/>
    <col min="11275" max="11520" width="9.125" style="2"/>
    <col min="11521" max="11521" width="18.875" style="2" customWidth="1"/>
    <col min="11522" max="11528" width="11" style="2" customWidth="1"/>
    <col min="11529" max="11529" width="20.625" style="2" customWidth="1"/>
    <col min="11530" max="11530" width="20.875" style="2" customWidth="1"/>
    <col min="11531" max="11776" width="9.125" style="2"/>
    <col min="11777" max="11777" width="18.875" style="2" customWidth="1"/>
    <col min="11778" max="11784" width="11" style="2" customWidth="1"/>
    <col min="11785" max="11785" width="20.625" style="2" customWidth="1"/>
    <col min="11786" max="11786" width="20.875" style="2" customWidth="1"/>
    <col min="11787" max="12032" width="9.125" style="2"/>
    <col min="12033" max="12033" width="18.875" style="2" customWidth="1"/>
    <col min="12034" max="12040" width="11" style="2" customWidth="1"/>
    <col min="12041" max="12041" width="20.625" style="2" customWidth="1"/>
    <col min="12042" max="12042" width="20.875" style="2" customWidth="1"/>
    <col min="12043" max="12288" width="9.125" style="2"/>
    <col min="12289" max="12289" width="18.875" style="2" customWidth="1"/>
    <col min="12290" max="12296" width="11" style="2" customWidth="1"/>
    <col min="12297" max="12297" width="20.625" style="2" customWidth="1"/>
    <col min="12298" max="12298" width="20.875" style="2" customWidth="1"/>
    <col min="12299" max="12544" width="9.125" style="2"/>
    <col min="12545" max="12545" width="18.875" style="2" customWidth="1"/>
    <col min="12546" max="12552" width="11" style="2" customWidth="1"/>
    <col min="12553" max="12553" width="20.625" style="2" customWidth="1"/>
    <col min="12554" max="12554" width="20.875" style="2" customWidth="1"/>
    <col min="12555" max="12800" width="9.125" style="2"/>
    <col min="12801" max="12801" width="18.875" style="2" customWidth="1"/>
    <col min="12802" max="12808" width="11" style="2" customWidth="1"/>
    <col min="12809" max="12809" width="20.625" style="2" customWidth="1"/>
    <col min="12810" max="12810" width="20.875" style="2" customWidth="1"/>
    <col min="12811" max="13056" width="9.125" style="2"/>
    <col min="13057" max="13057" width="18.875" style="2" customWidth="1"/>
    <col min="13058" max="13064" width="11" style="2" customWidth="1"/>
    <col min="13065" max="13065" width="20.625" style="2" customWidth="1"/>
    <col min="13066" max="13066" width="20.875" style="2" customWidth="1"/>
    <col min="13067" max="13312" width="9.125" style="2"/>
    <col min="13313" max="13313" width="18.875" style="2" customWidth="1"/>
    <col min="13314" max="13320" width="11" style="2" customWidth="1"/>
    <col min="13321" max="13321" width="20.625" style="2" customWidth="1"/>
    <col min="13322" max="13322" width="20.875" style="2" customWidth="1"/>
    <col min="13323" max="13568" width="9.125" style="2"/>
    <col min="13569" max="13569" width="18.875" style="2" customWidth="1"/>
    <col min="13570" max="13576" width="11" style="2" customWidth="1"/>
    <col min="13577" max="13577" width="20.625" style="2" customWidth="1"/>
    <col min="13578" max="13578" width="20.875" style="2" customWidth="1"/>
    <col min="13579" max="13824" width="9.125" style="2"/>
    <col min="13825" max="13825" width="18.875" style="2" customWidth="1"/>
    <col min="13826" max="13832" width="11" style="2" customWidth="1"/>
    <col min="13833" max="13833" width="20.625" style="2" customWidth="1"/>
    <col min="13834" max="13834" width="20.875" style="2" customWidth="1"/>
    <col min="13835" max="14080" width="9.125" style="2"/>
    <col min="14081" max="14081" width="18.875" style="2" customWidth="1"/>
    <col min="14082" max="14088" width="11" style="2" customWidth="1"/>
    <col min="14089" max="14089" width="20.625" style="2" customWidth="1"/>
    <col min="14090" max="14090" width="20.875" style="2" customWidth="1"/>
    <col min="14091" max="14336" width="9.125" style="2"/>
    <col min="14337" max="14337" width="18.875" style="2" customWidth="1"/>
    <col min="14338" max="14344" width="11" style="2" customWidth="1"/>
    <col min="14345" max="14345" width="20.625" style="2" customWidth="1"/>
    <col min="14346" max="14346" width="20.875" style="2" customWidth="1"/>
    <col min="14347" max="14592" width="9.125" style="2"/>
    <col min="14593" max="14593" width="18.875" style="2" customWidth="1"/>
    <col min="14594" max="14600" width="11" style="2" customWidth="1"/>
    <col min="14601" max="14601" width="20.625" style="2" customWidth="1"/>
    <col min="14602" max="14602" width="20.875" style="2" customWidth="1"/>
    <col min="14603" max="14848" width="9.125" style="2"/>
    <col min="14849" max="14849" width="18.875" style="2" customWidth="1"/>
    <col min="14850" max="14856" width="11" style="2" customWidth="1"/>
    <col min="14857" max="14857" width="20.625" style="2" customWidth="1"/>
    <col min="14858" max="14858" width="20.875" style="2" customWidth="1"/>
    <col min="14859" max="15104" width="9.125" style="2"/>
    <col min="15105" max="15105" width="18.875" style="2" customWidth="1"/>
    <col min="15106" max="15112" width="11" style="2" customWidth="1"/>
    <col min="15113" max="15113" width="20.625" style="2" customWidth="1"/>
    <col min="15114" max="15114" width="20.875" style="2" customWidth="1"/>
    <col min="15115" max="15360" width="9.125" style="2"/>
    <col min="15361" max="15361" width="18.875" style="2" customWidth="1"/>
    <col min="15362" max="15368" width="11" style="2" customWidth="1"/>
    <col min="15369" max="15369" width="20.625" style="2" customWidth="1"/>
    <col min="15370" max="15370" width="20.875" style="2" customWidth="1"/>
    <col min="15371" max="15616" width="9.125" style="2"/>
    <col min="15617" max="15617" width="18.875" style="2" customWidth="1"/>
    <col min="15618" max="15624" width="11" style="2" customWidth="1"/>
    <col min="15625" max="15625" width="20.625" style="2" customWidth="1"/>
    <col min="15626" max="15626" width="20.875" style="2" customWidth="1"/>
    <col min="15627" max="15872" width="9.125" style="2"/>
    <col min="15873" max="15873" width="18.875" style="2" customWidth="1"/>
    <col min="15874" max="15880" width="11" style="2" customWidth="1"/>
    <col min="15881" max="15881" width="20.625" style="2" customWidth="1"/>
    <col min="15882" max="15882" width="20.875" style="2" customWidth="1"/>
    <col min="15883" max="16128" width="9.125" style="2"/>
    <col min="16129" max="16129" width="18.875" style="2" customWidth="1"/>
    <col min="16130" max="16136" width="11" style="2" customWidth="1"/>
    <col min="16137" max="16137" width="20.625" style="2" customWidth="1"/>
    <col min="16138" max="16138" width="20.875" style="2" customWidth="1"/>
    <col min="16139" max="16384" width="9.125" style="2"/>
  </cols>
  <sheetData>
    <row r="1" spans="1:10" ht="20.100000000000001" customHeight="1" x14ac:dyDescent="0.2">
      <c r="A1" s="1"/>
      <c r="B1" s="159" t="s">
        <v>174</v>
      </c>
      <c r="C1" s="159"/>
      <c r="D1" s="159"/>
      <c r="E1" s="159"/>
      <c r="F1" s="159"/>
      <c r="G1" s="159"/>
      <c r="H1" s="159"/>
      <c r="I1" s="159"/>
      <c r="J1" s="1"/>
    </row>
    <row r="2" spans="1:10" ht="20.100000000000001" customHeight="1" thickBot="1" x14ac:dyDescent="0.25">
      <c r="A2" s="1"/>
      <c r="B2" s="160" t="s">
        <v>175</v>
      </c>
      <c r="C2" s="160"/>
      <c r="D2" s="160"/>
      <c r="E2" s="160"/>
      <c r="F2" s="160"/>
      <c r="G2" s="160"/>
      <c r="H2" s="160"/>
      <c r="I2" s="160"/>
      <c r="J2" s="1"/>
    </row>
    <row r="3" spans="1:10" ht="13.5" thickBot="1" x14ac:dyDescent="0.25">
      <c r="A3" s="1"/>
      <c r="B3" s="161" t="s">
        <v>69</v>
      </c>
      <c r="C3" s="161"/>
      <c r="D3" s="161"/>
      <c r="E3" s="161" t="s">
        <v>70</v>
      </c>
      <c r="F3" s="161"/>
      <c r="G3" s="161"/>
      <c r="H3" s="3" t="s">
        <v>8</v>
      </c>
      <c r="I3" s="3" t="s">
        <v>176</v>
      </c>
      <c r="J3" s="1"/>
    </row>
    <row r="4" spans="1:10" ht="13.5" thickBot="1" x14ac:dyDescent="0.25">
      <c r="A4" s="1"/>
      <c r="B4" s="4" t="s">
        <v>5</v>
      </c>
      <c r="C4" s="4" t="s">
        <v>162</v>
      </c>
      <c r="D4" s="4" t="s">
        <v>163</v>
      </c>
      <c r="E4" s="4" t="s">
        <v>5</v>
      </c>
      <c r="F4" s="4" t="s">
        <v>162</v>
      </c>
      <c r="G4" s="4" t="s">
        <v>163</v>
      </c>
      <c r="H4" s="5"/>
      <c r="I4" s="5"/>
      <c r="J4" s="1"/>
    </row>
    <row r="5" spans="1:10" ht="13.5" thickBot="1" x14ac:dyDescent="0.25">
      <c r="A5" s="1"/>
      <c r="B5" s="6">
        <f>SUM(C5:D5)</f>
        <v>981</v>
      </c>
      <c r="C5" s="6">
        <v>144</v>
      </c>
      <c r="D5" s="6">
        <v>837</v>
      </c>
      <c r="E5" s="6">
        <f>SUM(F5:G5)</f>
        <v>10838</v>
      </c>
      <c r="F5" s="6">
        <v>5369</v>
      </c>
      <c r="G5" s="6">
        <v>5469</v>
      </c>
      <c r="H5" s="7" t="s">
        <v>10</v>
      </c>
      <c r="I5" s="8"/>
      <c r="J5" s="1"/>
    </row>
    <row r="6" spans="1:10" ht="13.5" thickBot="1" x14ac:dyDescent="0.25">
      <c r="A6" s="1"/>
      <c r="B6" s="6">
        <f t="shared" ref="B6:B18" si="0">SUM(C6:D6)</f>
        <v>87</v>
      </c>
      <c r="C6" s="6">
        <v>43</v>
      </c>
      <c r="D6" s="6">
        <v>44</v>
      </c>
      <c r="E6" s="6">
        <f t="shared" ref="E6:E18" si="1">SUM(F6:G6)</f>
        <v>3818</v>
      </c>
      <c r="F6" s="6">
        <v>1987</v>
      </c>
      <c r="G6" s="6">
        <v>1831</v>
      </c>
      <c r="H6" s="7" t="s">
        <v>11</v>
      </c>
      <c r="I6" s="8" t="s">
        <v>61</v>
      </c>
      <c r="J6" s="1"/>
    </row>
    <row r="7" spans="1:10" ht="13.5" thickBot="1" x14ac:dyDescent="0.25">
      <c r="A7" s="1"/>
      <c r="B7" s="6">
        <f t="shared" ref="B7:G7" si="2">SUM(B5:B6)</f>
        <v>1068</v>
      </c>
      <c r="C7" s="6">
        <f t="shared" si="2"/>
        <v>187</v>
      </c>
      <c r="D7" s="6">
        <f t="shared" si="2"/>
        <v>881</v>
      </c>
      <c r="E7" s="6">
        <f t="shared" si="2"/>
        <v>14656</v>
      </c>
      <c r="F7" s="6">
        <f t="shared" si="2"/>
        <v>7356</v>
      </c>
      <c r="G7" s="6">
        <f t="shared" si="2"/>
        <v>7300</v>
      </c>
      <c r="H7" s="7" t="s">
        <v>13</v>
      </c>
      <c r="I7" s="9"/>
      <c r="J7" s="1"/>
    </row>
    <row r="8" spans="1:10" ht="13.5" thickBot="1" x14ac:dyDescent="0.25">
      <c r="A8" s="1"/>
      <c r="B8" s="6">
        <f t="shared" si="0"/>
        <v>1028</v>
      </c>
      <c r="C8" s="6">
        <v>246</v>
      </c>
      <c r="D8" s="6">
        <v>782</v>
      </c>
      <c r="E8" s="6">
        <f t="shared" si="1"/>
        <v>3622</v>
      </c>
      <c r="F8" s="6">
        <v>1918</v>
      </c>
      <c r="G8" s="6">
        <v>1704</v>
      </c>
      <c r="H8" s="7" t="s">
        <v>10</v>
      </c>
      <c r="I8" s="8"/>
      <c r="J8" s="1"/>
    </row>
    <row r="9" spans="1:10" ht="13.5" thickBot="1" x14ac:dyDescent="0.25">
      <c r="A9" s="1"/>
      <c r="B9" s="6">
        <f t="shared" si="0"/>
        <v>481</v>
      </c>
      <c r="C9" s="6">
        <v>114</v>
      </c>
      <c r="D9" s="6">
        <v>367</v>
      </c>
      <c r="E9" s="6">
        <f t="shared" si="1"/>
        <v>3299</v>
      </c>
      <c r="F9" s="6">
        <v>1262</v>
      </c>
      <c r="G9" s="6">
        <v>2037</v>
      </c>
      <c r="H9" s="7" t="s">
        <v>11</v>
      </c>
      <c r="I9" s="8" t="s">
        <v>62</v>
      </c>
      <c r="J9" s="1"/>
    </row>
    <row r="10" spans="1:10" ht="13.5" thickBot="1" x14ac:dyDescent="0.25">
      <c r="A10" s="1"/>
      <c r="B10" s="6">
        <f t="shared" ref="B10:G10" si="3">SUM(B8:B9)</f>
        <v>1509</v>
      </c>
      <c r="C10" s="6">
        <f t="shared" si="3"/>
        <v>360</v>
      </c>
      <c r="D10" s="6">
        <f t="shared" si="3"/>
        <v>1149</v>
      </c>
      <c r="E10" s="6">
        <f t="shared" si="3"/>
        <v>6921</v>
      </c>
      <c r="F10" s="6">
        <f t="shared" si="3"/>
        <v>3180</v>
      </c>
      <c r="G10" s="6">
        <f t="shared" si="3"/>
        <v>3741</v>
      </c>
      <c r="H10" s="7" t="s">
        <v>13</v>
      </c>
      <c r="I10" s="9"/>
      <c r="J10" s="1"/>
    </row>
    <row r="11" spans="1:10" ht="13.5" thickBot="1" x14ac:dyDescent="0.25">
      <c r="A11" s="1"/>
      <c r="B11" s="6">
        <f t="shared" si="0"/>
        <v>4861</v>
      </c>
      <c r="C11" s="6">
        <v>949</v>
      </c>
      <c r="D11" s="6">
        <v>3912</v>
      </c>
      <c r="E11" s="6">
        <f t="shared" si="1"/>
        <v>6222</v>
      </c>
      <c r="F11" s="6">
        <v>859</v>
      </c>
      <c r="G11" s="6">
        <v>5363</v>
      </c>
      <c r="H11" s="7" t="s">
        <v>10</v>
      </c>
      <c r="I11" s="8"/>
      <c r="J11" s="1"/>
    </row>
    <row r="12" spans="1:10" ht="13.5" thickBot="1" x14ac:dyDescent="0.25">
      <c r="A12" s="1"/>
      <c r="B12" s="6">
        <f t="shared" si="0"/>
        <v>3075</v>
      </c>
      <c r="C12" s="6">
        <v>563</v>
      </c>
      <c r="D12" s="6">
        <v>2512</v>
      </c>
      <c r="E12" s="6">
        <f t="shared" si="1"/>
        <v>3542</v>
      </c>
      <c r="F12" s="6">
        <v>156</v>
      </c>
      <c r="G12" s="6">
        <v>3386</v>
      </c>
      <c r="H12" s="7" t="s">
        <v>11</v>
      </c>
      <c r="I12" s="8" t="s">
        <v>65</v>
      </c>
      <c r="J12" s="1"/>
    </row>
    <row r="13" spans="1:10" ht="13.5" thickBot="1" x14ac:dyDescent="0.25">
      <c r="A13" s="1"/>
      <c r="B13" s="6">
        <f t="shared" ref="B13:G13" si="4">SUM(B11:B12)</f>
        <v>7936</v>
      </c>
      <c r="C13" s="6">
        <f t="shared" si="4"/>
        <v>1512</v>
      </c>
      <c r="D13" s="6">
        <f t="shared" si="4"/>
        <v>6424</v>
      </c>
      <c r="E13" s="6">
        <f t="shared" si="4"/>
        <v>9764</v>
      </c>
      <c r="F13" s="6">
        <f t="shared" si="4"/>
        <v>1015</v>
      </c>
      <c r="G13" s="6">
        <f t="shared" si="4"/>
        <v>8749</v>
      </c>
      <c r="H13" s="7" t="s">
        <v>13</v>
      </c>
      <c r="I13" s="9"/>
      <c r="J13" s="1"/>
    </row>
    <row r="14" spans="1:10" ht="13.5" thickBot="1" x14ac:dyDescent="0.25">
      <c r="A14" s="1"/>
      <c r="B14" s="6">
        <f t="shared" si="0"/>
        <v>3867</v>
      </c>
      <c r="C14" s="6">
        <v>700</v>
      </c>
      <c r="D14" s="6">
        <v>3167</v>
      </c>
      <c r="E14" s="6">
        <f t="shared" si="1"/>
        <v>0</v>
      </c>
      <c r="F14" s="6">
        <v>0</v>
      </c>
      <c r="G14" s="6">
        <v>0</v>
      </c>
      <c r="H14" s="7" t="s">
        <v>10</v>
      </c>
      <c r="I14" s="8"/>
      <c r="J14" s="1"/>
    </row>
    <row r="15" spans="1:10" ht="13.5" thickBot="1" x14ac:dyDescent="0.25">
      <c r="A15" s="1"/>
      <c r="B15" s="6">
        <f t="shared" si="0"/>
        <v>2343</v>
      </c>
      <c r="C15" s="6">
        <v>1441</v>
      </c>
      <c r="D15" s="6">
        <v>902</v>
      </c>
      <c r="E15" s="6">
        <f t="shared" si="1"/>
        <v>0</v>
      </c>
      <c r="F15" s="6">
        <v>0</v>
      </c>
      <c r="G15" s="6">
        <v>0</v>
      </c>
      <c r="H15" s="7" t="s">
        <v>11</v>
      </c>
      <c r="I15" s="8" t="s">
        <v>66</v>
      </c>
      <c r="J15" s="1"/>
    </row>
    <row r="16" spans="1:10" ht="13.5" thickBot="1" x14ac:dyDescent="0.25">
      <c r="A16" s="1"/>
      <c r="B16" s="6">
        <f t="shared" ref="B16:G16" si="5">SUM(B14:B15)</f>
        <v>6210</v>
      </c>
      <c r="C16" s="6">
        <f t="shared" si="5"/>
        <v>2141</v>
      </c>
      <c r="D16" s="6">
        <f t="shared" si="5"/>
        <v>4069</v>
      </c>
      <c r="E16" s="6">
        <f t="shared" si="5"/>
        <v>0</v>
      </c>
      <c r="F16" s="6">
        <f t="shared" si="5"/>
        <v>0</v>
      </c>
      <c r="G16" s="6">
        <f t="shared" si="5"/>
        <v>0</v>
      </c>
      <c r="H16" s="7" t="s">
        <v>13</v>
      </c>
      <c r="I16" s="9"/>
      <c r="J16" s="1"/>
    </row>
    <row r="17" spans="1:10" ht="13.5" thickBot="1" x14ac:dyDescent="0.25">
      <c r="A17" s="1"/>
      <c r="B17" s="6">
        <f t="shared" si="0"/>
        <v>5926</v>
      </c>
      <c r="C17" s="6">
        <v>621</v>
      </c>
      <c r="D17" s="6">
        <v>5305</v>
      </c>
      <c r="E17" s="6">
        <f t="shared" si="1"/>
        <v>1239</v>
      </c>
      <c r="F17" s="6">
        <v>349</v>
      </c>
      <c r="G17" s="6">
        <v>890</v>
      </c>
      <c r="H17" s="7" t="s">
        <v>10</v>
      </c>
      <c r="I17" s="8"/>
      <c r="J17" s="1"/>
    </row>
    <row r="18" spans="1:10" ht="13.5" thickBot="1" x14ac:dyDescent="0.25">
      <c r="A18" s="1"/>
      <c r="B18" s="6">
        <f t="shared" si="0"/>
        <v>1267</v>
      </c>
      <c r="C18" s="6">
        <v>187</v>
      </c>
      <c r="D18" s="6">
        <v>1080</v>
      </c>
      <c r="E18" s="6">
        <f t="shared" si="1"/>
        <v>329</v>
      </c>
      <c r="F18" s="6">
        <v>167</v>
      </c>
      <c r="G18" s="6">
        <v>162</v>
      </c>
      <c r="H18" s="7" t="s">
        <v>11</v>
      </c>
      <c r="I18" s="8" t="s">
        <v>177</v>
      </c>
      <c r="J18" s="1"/>
    </row>
    <row r="19" spans="1:10" ht="13.5" thickBot="1" x14ac:dyDescent="0.25">
      <c r="A19" s="1"/>
      <c r="B19" s="6">
        <f t="shared" ref="B19:G19" si="6">SUM(B17:B18)</f>
        <v>7193</v>
      </c>
      <c r="C19" s="6">
        <f t="shared" si="6"/>
        <v>808</v>
      </c>
      <c r="D19" s="6">
        <f t="shared" si="6"/>
        <v>6385</v>
      </c>
      <c r="E19" s="6">
        <f t="shared" si="6"/>
        <v>1568</v>
      </c>
      <c r="F19" s="6">
        <f t="shared" si="6"/>
        <v>516</v>
      </c>
      <c r="G19" s="6">
        <f t="shared" si="6"/>
        <v>1052</v>
      </c>
      <c r="H19" s="7" t="s">
        <v>13</v>
      </c>
      <c r="I19" s="9"/>
      <c r="J19" s="1"/>
    </row>
    <row r="20" spans="1:10" ht="13.5" thickBot="1" x14ac:dyDescent="0.25">
      <c r="A20" s="1"/>
      <c r="B20" s="6">
        <f t="shared" ref="B20:F22" si="7">B5+B8+B11+B14+B17</f>
        <v>16663</v>
      </c>
      <c r="C20" s="6">
        <f t="shared" si="7"/>
        <v>2660</v>
      </c>
      <c r="D20" s="6">
        <f t="shared" si="7"/>
        <v>14003</v>
      </c>
      <c r="E20" s="6">
        <f t="shared" si="7"/>
        <v>21921</v>
      </c>
      <c r="F20" s="6">
        <f t="shared" si="7"/>
        <v>8495</v>
      </c>
      <c r="G20" s="6">
        <f>G5+G8+G11+G14+G17</f>
        <v>13426</v>
      </c>
      <c r="H20" s="4" t="s">
        <v>28</v>
      </c>
      <c r="I20" s="3"/>
      <c r="J20" s="1"/>
    </row>
    <row r="21" spans="1:10" ht="13.5" thickBot="1" x14ac:dyDescent="0.25">
      <c r="A21" s="1"/>
      <c r="B21" s="6">
        <f t="shared" si="7"/>
        <v>7253</v>
      </c>
      <c r="C21" s="6">
        <f t="shared" si="7"/>
        <v>2348</v>
      </c>
      <c r="D21" s="6">
        <f t="shared" si="7"/>
        <v>4905</v>
      </c>
      <c r="E21" s="6">
        <f t="shared" si="7"/>
        <v>10988</v>
      </c>
      <c r="F21" s="6">
        <f t="shared" si="7"/>
        <v>3572</v>
      </c>
      <c r="G21" s="6">
        <f>G6+G9+G12+G15+G18</f>
        <v>7416</v>
      </c>
      <c r="H21" s="4" t="s">
        <v>29</v>
      </c>
      <c r="I21" s="11" t="s">
        <v>44</v>
      </c>
      <c r="J21" s="1"/>
    </row>
    <row r="22" spans="1:10" ht="13.5" thickBot="1" x14ac:dyDescent="0.25">
      <c r="A22" s="1"/>
      <c r="B22" s="6">
        <f t="shared" si="7"/>
        <v>23916</v>
      </c>
      <c r="C22" s="6">
        <f t="shared" si="7"/>
        <v>5008</v>
      </c>
      <c r="D22" s="6">
        <f t="shared" si="7"/>
        <v>18908</v>
      </c>
      <c r="E22" s="6">
        <f t="shared" si="7"/>
        <v>32909</v>
      </c>
      <c r="F22" s="6">
        <f t="shared" si="7"/>
        <v>12067</v>
      </c>
      <c r="G22" s="6">
        <f>G7+G10+G13+G16+G19</f>
        <v>20842</v>
      </c>
      <c r="H22" s="4" t="s">
        <v>13</v>
      </c>
      <c r="I22" s="5"/>
      <c r="J22" s="1"/>
    </row>
  </sheetData>
  <mergeCells count="4">
    <mergeCell ref="B1:I1"/>
    <mergeCell ref="B2:I2"/>
    <mergeCell ref="B3:D3"/>
    <mergeCell ref="E3:G3"/>
  </mergeCells>
  <pageMargins left="0.5" right="0.5" top="0.5" bottom="0.5" header="0.5" footer="0.5"/>
  <pageSetup paperSize="9" orientation="landscape" horizontalDpi="0" verticalDpi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8"/>
  <sheetViews>
    <sheetView showGridLines="0" topLeftCell="A19" zoomScale="85" zoomScaleNormal="85" workbookViewId="0">
      <selection activeCell="H88" sqref="H88"/>
    </sheetView>
  </sheetViews>
  <sheetFormatPr defaultRowHeight="13.5" customHeight="1" x14ac:dyDescent="0.2"/>
  <cols>
    <col min="1" max="8" width="11" style="2" customWidth="1"/>
    <col min="9" max="9" width="34.25" style="2" customWidth="1"/>
    <col min="10" max="10" width="4.875" style="2" customWidth="1"/>
    <col min="11" max="12" width="5.125" style="2" bestFit="1" customWidth="1"/>
    <col min="13" max="256" width="9.125" style="2"/>
    <col min="257" max="264" width="11" style="2" customWidth="1"/>
    <col min="265" max="265" width="34.25" style="2" customWidth="1"/>
    <col min="266" max="266" width="4.875" style="2" customWidth="1"/>
    <col min="267" max="268" width="5.125" style="2" bestFit="1" customWidth="1"/>
    <col min="269" max="512" width="9.125" style="2"/>
    <col min="513" max="520" width="11" style="2" customWidth="1"/>
    <col min="521" max="521" width="34.25" style="2" customWidth="1"/>
    <col min="522" max="522" width="4.875" style="2" customWidth="1"/>
    <col min="523" max="524" width="5.125" style="2" bestFit="1" customWidth="1"/>
    <col min="525" max="768" width="9.125" style="2"/>
    <col min="769" max="776" width="11" style="2" customWidth="1"/>
    <col min="777" max="777" width="34.25" style="2" customWidth="1"/>
    <col min="778" max="778" width="4.875" style="2" customWidth="1"/>
    <col min="779" max="780" width="5.125" style="2" bestFit="1" customWidth="1"/>
    <col min="781" max="1024" width="9.125" style="2"/>
    <col min="1025" max="1032" width="11" style="2" customWidth="1"/>
    <col min="1033" max="1033" width="34.25" style="2" customWidth="1"/>
    <col min="1034" max="1034" width="4.875" style="2" customWidth="1"/>
    <col min="1035" max="1036" width="5.125" style="2" bestFit="1" customWidth="1"/>
    <col min="1037" max="1280" width="9.125" style="2"/>
    <col min="1281" max="1288" width="11" style="2" customWidth="1"/>
    <col min="1289" max="1289" width="34.25" style="2" customWidth="1"/>
    <col min="1290" max="1290" width="4.875" style="2" customWidth="1"/>
    <col min="1291" max="1292" width="5.125" style="2" bestFit="1" customWidth="1"/>
    <col min="1293" max="1536" width="9.125" style="2"/>
    <col min="1537" max="1544" width="11" style="2" customWidth="1"/>
    <col min="1545" max="1545" width="34.25" style="2" customWidth="1"/>
    <col min="1546" max="1546" width="4.875" style="2" customWidth="1"/>
    <col min="1547" max="1548" width="5.125" style="2" bestFit="1" customWidth="1"/>
    <col min="1549" max="1792" width="9.125" style="2"/>
    <col min="1793" max="1800" width="11" style="2" customWidth="1"/>
    <col min="1801" max="1801" width="34.25" style="2" customWidth="1"/>
    <col min="1802" max="1802" width="4.875" style="2" customWidth="1"/>
    <col min="1803" max="1804" width="5.125" style="2" bestFit="1" customWidth="1"/>
    <col min="1805" max="2048" width="9.125" style="2"/>
    <col min="2049" max="2056" width="11" style="2" customWidth="1"/>
    <col min="2057" max="2057" width="34.25" style="2" customWidth="1"/>
    <col min="2058" max="2058" width="4.875" style="2" customWidth="1"/>
    <col min="2059" max="2060" width="5.125" style="2" bestFit="1" customWidth="1"/>
    <col min="2061" max="2304" width="9.125" style="2"/>
    <col min="2305" max="2312" width="11" style="2" customWidth="1"/>
    <col min="2313" max="2313" width="34.25" style="2" customWidth="1"/>
    <col min="2314" max="2314" width="4.875" style="2" customWidth="1"/>
    <col min="2315" max="2316" width="5.125" style="2" bestFit="1" customWidth="1"/>
    <col min="2317" max="2560" width="9.125" style="2"/>
    <col min="2561" max="2568" width="11" style="2" customWidth="1"/>
    <col min="2569" max="2569" width="34.25" style="2" customWidth="1"/>
    <col min="2570" max="2570" width="4.875" style="2" customWidth="1"/>
    <col min="2571" max="2572" width="5.125" style="2" bestFit="1" customWidth="1"/>
    <col min="2573" max="2816" width="9.125" style="2"/>
    <col min="2817" max="2824" width="11" style="2" customWidth="1"/>
    <col min="2825" max="2825" width="34.25" style="2" customWidth="1"/>
    <col min="2826" max="2826" width="4.875" style="2" customWidth="1"/>
    <col min="2827" max="2828" width="5.125" style="2" bestFit="1" customWidth="1"/>
    <col min="2829" max="3072" width="9.125" style="2"/>
    <col min="3073" max="3080" width="11" style="2" customWidth="1"/>
    <col min="3081" max="3081" width="34.25" style="2" customWidth="1"/>
    <col min="3082" max="3082" width="4.875" style="2" customWidth="1"/>
    <col min="3083" max="3084" width="5.125" style="2" bestFit="1" customWidth="1"/>
    <col min="3085" max="3328" width="9.125" style="2"/>
    <col min="3329" max="3336" width="11" style="2" customWidth="1"/>
    <col min="3337" max="3337" width="34.25" style="2" customWidth="1"/>
    <col min="3338" max="3338" width="4.875" style="2" customWidth="1"/>
    <col min="3339" max="3340" width="5.125" style="2" bestFit="1" customWidth="1"/>
    <col min="3341" max="3584" width="9.125" style="2"/>
    <col min="3585" max="3592" width="11" style="2" customWidth="1"/>
    <col min="3593" max="3593" width="34.25" style="2" customWidth="1"/>
    <col min="3594" max="3594" width="4.875" style="2" customWidth="1"/>
    <col min="3595" max="3596" width="5.125" style="2" bestFit="1" customWidth="1"/>
    <col min="3597" max="3840" width="9.125" style="2"/>
    <col min="3841" max="3848" width="11" style="2" customWidth="1"/>
    <col min="3849" max="3849" width="34.25" style="2" customWidth="1"/>
    <col min="3850" max="3850" width="4.875" style="2" customWidth="1"/>
    <col min="3851" max="3852" width="5.125" style="2" bestFit="1" customWidth="1"/>
    <col min="3853" max="4096" width="9.125" style="2"/>
    <col min="4097" max="4104" width="11" style="2" customWidth="1"/>
    <col min="4105" max="4105" width="34.25" style="2" customWidth="1"/>
    <col min="4106" max="4106" width="4.875" style="2" customWidth="1"/>
    <col min="4107" max="4108" width="5.125" style="2" bestFit="1" customWidth="1"/>
    <col min="4109" max="4352" width="9.125" style="2"/>
    <col min="4353" max="4360" width="11" style="2" customWidth="1"/>
    <col min="4361" max="4361" width="34.25" style="2" customWidth="1"/>
    <col min="4362" max="4362" width="4.875" style="2" customWidth="1"/>
    <col min="4363" max="4364" width="5.125" style="2" bestFit="1" customWidth="1"/>
    <col min="4365" max="4608" width="9.125" style="2"/>
    <col min="4609" max="4616" width="11" style="2" customWidth="1"/>
    <col min="4617" max="4617" width="34.25" style="2" customWidth="1"/>
    <col min="4618" max="4618" width="4.875" style="2" customWidth="1"/>
    <col min="4619" max="4620" width="5.125" style="2" bestFit="1" customWidth="1"/>
    <col min="4621" max="4864" width="9.125" style="2"/>
    <col min="4865" max="4872" width="11" style="2" customWidth="1"/>
    <col min="4873" max="4873" width="34.25" style="2" customWidth="1"/>
    <col min="4874" max="4874" width="4.875" style="2" customWidth="1"/>
    <col min="4875" max="4876" width="5.125" style="2" bestFit="1" customWidth="1"/>
    <col min="4877" max="5120" width="9.125" style="2"/>
    <col min="5121" max="5128" width="11" style="2" customWidth="1"/>
    <col min="5129" max="5129" width="34.25" style="2" customWidth="1"/>
    <col min="5130" max="5130" width="4.875" style="2" customWidth="1"/>
    <col min="5131" max="5132" width="5.125" style="2" bestFit="1" customWidth="1"/>
    <col min="5133" max="5376" width="9.125" style="2"/>
    <col min="5377" max="5384" width="11" style="2" customWidth="1"/>
    <col min="5385" max="5385" width="34.25" style="2" customWidth="1"/>
    <col min="5386" max="5386" width="4.875" style="2" customWidth="1"/>
    <col min="5387" max="5388" width="5.125" style="2" bestFit="1" customWidth="1"/>
    <col min="5389" max="5632" width="9.125" style="2"/>
    <col min="5633" max="5640" width="11" style="2" customWidth="1"/>
    <col min="5641" max="5641" width="34.25" style="2" customWidth="1"/>
    <col min="5642" max="5642" width="4.875" style="2" customWidth="1"/>
    <col min="5643" max="5644" width="5.125" style="2" bestFit="1" customWidth="1"/>
    <col min="5645" max="5888" width="9.125" style="2"/>
    <col min="5889" max="5896" width="11" style="2" customWidth="1"/>
    <col min="5897" max="5897" width="34.25" style="2" customWidth="1"/>
    <col min="5898" max="5898" width="4.875" style="2" customWidth="1"/>
    <col min="5899" max="5900" width="5.125" style="2" bestFit="1" customWidth="1"/>
    <col min="5901" max="6144" width="9.125" style="2"/>
    <col min="6145" max="6152" width="11" style="2" customWidth="1"/>
    <col min="6153" max="6153" width="34.25" style="2" customWidth="1"/>
    <col min="6154" max="6154" width="4.875" style="2" customWidth="1"/>
    <col min="6155" max="6156" width="5.125" style="2" bestFit="1" customWidth="1"/>
    <col min="6157" max="6400" width="9.125" style="2"/>
    <col min="6401" max="6408" width="11" style="2" customWidth="1"/>
    <col min="6409" max="6409" width="34.25" style="2" customWidth="1"/>
    <col min="6410" max="6410" width="4.875" style="2" customWidth="1"/>
    <col min="6411" max="6412" width="5.125" style="2" bestFit="1" customWidth="1"/>
    <col min="6413" max="6656" width="9.125" style="2"/>
    <col min="6657" max="6664" width="11" style="2" customWidth="1"/>
    <col min="6665" max="6665" width="34.25" style="2" customWidth="1"/>
    <col min="6666" max="6666" width="4.875" style="2" customWidth="1"/>
    <col min="6667" max="6668" width="5.125" style="2" bestFit="1" customWidth="1"/>
    <col min="6669" max="6912" width="9.125" style="2"/>
    <col min="6913" max="6920" width="11" style="2" customWidth="1"/>
    <col min="6921" max="6921" width="34.25" style="2" customWidth="1"/>
    <col min="6922" max="6922" width="4.875" style="2" customWidth="1"/>
    <col min="6923" max="6924" width="5.125" style="2" bestFit="1" customWidth="1"/>
    <col min="6925" max="7168" width="9.125" style="2"/>
    <col min="7169" max="7176" width="11" style="2" customWidth="1"/>
    <col min="7177" max="7177" width="34.25" style="2" customWidth="1"/>
    <col min="7178" max="7178" width="4.875" style="2" customWidth="1"/>
    <col min="7179" max="7180" width="5.125" style="2" bestFit="1" customWidth="1"/>
    <col min="7181" max="7424" width="9.125" style="2"/>
    <col min="7425" max="7432" width="11" style="2" customWidth="1"/>
    <col min="7433" max="7433" width="34.25" style="2" customWidth="1"/>
    <col min="7434" max="7434" width="4.875" style="2" customWidth="1"/>
    <col min="7435" max="7436" width="5.125" style="2" bestFit="1" customWidth="1"/>
    <col min="7437" max="7680" width="9.125" style="2"/>
    <col min="7681" max="7688" width="11" style="2" customWidth="1"/>
    <col min="7689" max="7689" width="34.25" style="2" customWidth="1"/>
    <col min="7690" max="7690" width="4.875" style="2" customWidth="1"/>
    <col min="7691" max="7692" width="5.125" style="2" bestFit="1" customWidth="1"/>
    <col min="7693" max="7936" width="9.125" style="2"/>
    <col min="7937" max="7944" width="11" style="2" customWidth="1"/>
    <col min="7945" max="7945" width="34.25" style="2" customWidth="1"/>
    <col min="7946" max="7946" width="4.875" style="2" customWidth="1"/>
    <col min="7947" max="7948" width="5.125" style="2" bestFit="1" customWidth="1"/>
    <col min="7949" max="8192" width="9.125" style="2"/>
    <col min="8193" max="8200" width="11" style="2" customWidth="1"/>
    <col min="8201" max="8201" width="34.25" style="2" customWidth="1"/>
    <col min="8202" max="8202" width="4.875" style="2" customWidth="1"/>
    <col min="8203" max="8204" width="5.125" style="2" bestFit="1" customWidth="1"/>
    <col min="8205" max="8448" width="9.125" style="2"/>
    <col min="8449" max="8456" width="11" style="2" customWidth="1"/>
    <col min="8457" max="8457" width="34.25" style="2" customWidth="1"/>
    <col min="8458" max="8458" width="4.875" style="2" customWidth="1"/>
    <col min="8459" max="8460" width="5.125" style="2" bestFit="1" customWidth="1"/>
    <col min="8461" max="8704" width="9.125" style="2"/>
    <col min="8705" max="8712" width="11" style="2" customWidth="1"/>
    <col min="8713" max="8713" width="34.25" style="2" customWidth="1"/>
    <col min="8714" max="8714" width="4.875" style="2" customWidth="1"/>
    <col min="8715" max="8716" width="5.125" style="2" bestFit="1" customWidth="1"/>
    <col min="8717" max="8960" width="9.125" style="2"/>
    <col min="8961" max="8968" width="11" style="2" customWidth="1"/>
    <col min="8969" max="8969" width="34.25" style="2" customWidth="1"/>
    <col min="8970" max="8970" width="4.875" style="2" customWidth="1"/>
    <col min="8971" max="8972" width="5.125" style="2" bestFit="1" customWidth="1"/>
    <col min="8973" max="9216" width="9.125" style="2"/>
    <col min="9217" max="9224" width="11" style="2" customWidth="1"/>
    <col min="9225" max="9225" width="34.25" style="2" customWidth="1"/>
    <col min="9226" max="9226" width="4.875" style="2" customWidth="1"/>
    <col min="9227" max="9228" width="5.125" style="2" bestFit="1" customWidth="1"/>
    <col min="9229" max="9472" width="9.125" style="2"/>
    <col min="9473" max="9480" width="11" style="2" customWidth="1"/>
    <col min="9481" max="9481" width="34.25" style="2" customWidth="1"/>
    <col min="9482" max="9482" width="4.875" style="2" customWidth="1"/>
    <col min="9483" max="9484" width="5.125" style="2" bestFit="1" customWidth="1"/>
    <col min="9485" max="9728" width="9.125" style="2"/>
    <col min="9729" max="9736" width="11" style="2" customWidth="1"/>
    <col min="9737" max="9737" width="34.25" style="2" customWidth="1"/>
    <col min="9738" max="9738" width="4.875" style="2" customWidth="1"/>
    <col min="9739" max="9740" width="5.125" style="2" bestFit="1" customWidth="1"/>
    <col min="9741" max="9984" width="9.125" style="2"/>
    <col min="9985" max="9992" width="11" style="2" customWidth="1"/>
    <col min="9993" max="9993" width="34.25" style="2" customWidth="1"/>
    <col min="9994" max="9994" width="4.875" style="2" customWidth="1"/>
    <col min="9995" max="9996" width="5.125" style="2" bestFit="1" customWidth="1"/>
    <col min="9997" max="10240" width="9.125" style="2"/>
    <col min="10241" max="10248" width="11" style="2" customWidth="1"/>
    <col min="10249" max="10249" width="34.25" style="2" customWidth="1"/>
    <col min="10250" max="10250" width="4.875" style="2" customWidth="1"/>
    <col min="10251" max="10252" width="5.125" style="2" bestFit="1" customWidth="1"/>
    <col min="10253" max="10496" width="9.125" style="2"/>
    <col min="10497" max="10504" width="11" style="2" customWidth="1"/>
    <col min="10505" max="10505" width="34.25" style="2" customWidth="1"/>
    <col min="10506" max="10506" width="4.875" style="2" customWidth="1"/>
    <col min="10507" max="10508" width="5.125" style="2" bestFit="1" customWidth="1"/>
    <col min="10509" max="10752" width="9.125" style="2"/>
    <col min="10753" max="10760" width="11" style="2" customWidth="1"/>
    <col min="10761" max="10761" width="34.25" style="2" customWidth="1"/>
    <col min="10762" max="10762" width="4.875" style="2" customWidth="1"/>
    <col min="10763" max="10764" width="5.125" style="2" bestFit="1" customWidth="1"/>
    <col min="10765" max="11008" width="9.125" style="2"/>
    <col min="11009" max="11016" width="11" style="2" customWidth="1"/>
    <col min="11017" max="11017" width="34.25" style="2" customWidth="1"/>
    <col min="11018" max="11018" width="4.875" style="2" customWidth="1"/>
    <col min="11019" max="11020" width="5.125" style="2" bestFit="1" customWidth="1"/>
    <col min="11021" max="11264" width="9.125" style="2"/>
    <col min="11265" max="11272" width="11" style="2" customWidth="1"/>
    <col min="11273" max="11273" width="34.25" style="2" customWidth="1"/>
    <col min="11274" max="11274" width="4.875" style="2" customWidth="1"/>
    <col min="11275" max="11276" width="5.125" style="2" bestFit="1" customWidth="1"/>
    <col min="11277" max="11520" width="9.125" style="2"/>
    <col min="11521" max="11528" width="11" style="2" customWidth="1"/>
    <col min="11529" max="11529" width="34.25" style="2" customWidth="1"/>
    <col min="11530" max="11530" width="4.875" style="2" customWidth="1"/>
    <col min="11531" max="11532" width="5.125" style="2" bestFit="1" customWidth="1"/>
    <col min="11533" max="11776" width="9.125" style="2"/>
    <col min="11777" max="11784" width="11" style="2" customWidth="1"/>
    <col min="11785" max="11785" width="34.25" style="2" customWidth="1"/>
    <col min="11786" max="11786" width="4.875" style="2" customWidth="1"/>
    <col min="11787" max="11788" width="5.125" style="2" bestFit="1" customWidth="1"/>
    <col min="11789" max="12032" width="9.125" style="2"/>
    <col min="12033" max="12040" width="11" style="2" customWidth="1"/>
    <col min="12041" max="12041" width="34.25" style="2" customWidth="1"/>
    <col min="12042" max="12042" width="4.875" style="2" customWidth="1"/>
    <col min="12043" max="12044" width="5.125" style="2" bestFit="1" customWidth="1"/>
    <col min="12045" max="12288" width="9.125" style="2"/>
    <col min="12289" max="12296" width="11" style="2" customWidth="1"/>
    <col min="12297" max="12297" width="34.25" style="2" customWidth="1"/>
    <col min="12298" max="12298" width="4.875" style="2" customWidth="1"/>
    <col min="12299" max="12300" width="5.125" style="2" bestFit="1" customWidth="1"/>
    <col min="12301" max="12544" width="9.125" style="2"/>
    <col min="12545" max="12552" width="11" style="2" customWidth="1"/>
    <col min="12553" max="12553" width="34.25" style="2" customWidth="1"/>
    <col min="12554" max="12554" width="4.875" style="2" customWidth="1"/>
    <col min="12555" max="12556" width="5.125" style="2" bestFit="1" customWidth="1"/>
    <col min="12557" max="12800" width="9.125" style="2"/>
    <col min="12801" max="12808" width="11" style="2" customWidth="1"/>
    <col min="12809" max="12809" width="34.25" style="2" customWidth="1"/>
    <col min="12810" max="12810" width="4.875" style="2" customWidth="1"/>
    <col min="12811" max="12812" width="5.125" style="2" bestFit="1" customWidth="1"/>
    <col min="12813" max="13056" width="9.125" style="2"/>
    <col min="13057" max="13064" width="11" style="2" customWidth="1"/>
    <col min="13065" max="13065" width="34.25" style="2" customWidth="1"/>
    <col min="13066" max="13066" width="4.875" style="2" customWidth="1"/>
    <col min="13067" max="13068" width="5.125" style="2" bestFit="1" customWidth="1"/>
    <col min="13069" max="13312" width="9.125" style="2"/>
    <col min="13313" max="13320" width="11" style="2" customWidth="1"/>
    <col min="13321" max="13321" width="34.25" style="2" customWidth="1"/>
    <col min="13322" max="13322" width="4.875" style="2" customWidth="1"/>
    <col min="13323" max="13324" width="5.125" style="2" bestFit="1" customWidth="1"/>
    <col min="13325" max="13568" width="9.125" style="2"/>
    <col min="13569" max="13576" width="11" style="2" customWidth="1"/>
    <col min="13577" max="13577" width="34.25" style="2" customWidth="1"/>
    <col min="13578" max="13578" width="4.875" style="2" customWidth="1"/>
    <col min="13579" max="13580" width="5.125" style="2" bestFit="1" customWidth="1"/>
    <col min="13581" max="13824" width="9.125" style="2"/>
    <col min="13825" max="13832" width="11" style="2" customWidth="1"/>
    <col min="13833" max="13833" width="34.25" style="2" customWidth="1"/>
    <col min="13834" max="13834" width="4.875" style="2" customWidth="1"/>
    <col min="13835" max="13836" width="5.125" style="2" bestFit="1" customWidth="1"/>
    <col min="13837" max="14080" width="9.125" style="2"/>
    <col min="14081" max="14088" width="11" style="2" customWidth="1"/>
    <col min="14089" max="14089" width="34.25" style="2" customWidth="1"/>
    <col min="14090" max="14090" width="4.875" style="2" customWidth="1"/>
    <col min="14091" max="14092" width="5.125" style="2" bestFit="1" customWidth="1"/>
    <col min="14093" max="14336" width="9.125" style="2"/>
    <col min="14337" max="14344" width="11" style="2" customWidth="1"/>
    <col min="14345" max="14345" width="34.25" style="2" customWidth="1"/>
    <col min="14346" max="14346" width="4.875" style="2" customWidth="1"/>
    <col min="14347" max="14348" width="5.125" style="2" bestFit="1" customWidth="1"/>
    <col min="14349" max="14592" width="9.125" style="2"/>
    <col min="14593" max="14600" width="11" style="2" customWidth="1"/>
    <col min="14601" max="14601" width="34.25" style="2" customWidth="1"/>
    <col min="14602" max="14602" width="4.875" style="2" customWidth="1"/>
    <col min="14603" max="14604" width="5.125" style="2" bestFit="1" customWidth="1"/>
    <col min="14605" max="14848" width="9.125" style="2"/>
    <col min="14849" max="14856" width="11" style="2" customWidth="1"/>
    <col min="14857" max="14857" width="34.25" style="2" customWidth="1"/>
    <col min="14858" max="14858" width="4.875" style="2" customWidth="1"/>
    <col min="14859" max="14860" width="5.125" style="2" bestFit="1" customWidth="1"/>
    <col min="14861" max="15104" width="9.125" style="2"/>
    <col min="15105" max="15112" width="11" style="2" customWidth="1"/>
    <col min="15113" max="15113" width="34.25" style="2" customWidth="1"/>
    <col min="15114" max="15114" width="4.875" style="2" customWidth="1"/>
    <col min="15115" max="15116" width="5.125" style="2" bestFit="1" customWidth="1"/>
    <col min="15117" max="15360" width="9.125" style="2"/>
    <col min="15361" max="15368" width="11" style="2" customWidth="1"/>
    <col min="15369" max="15369" width="34.25" style="2" customWidth="1"/>
    <col min="15370" max="15370" width="4.875" style="2" customWidth="1"/>
    <col min="15371" max="15372" width="5.125" style="2" bestFit="1" customWidth="1"/>
    <col min="15373" max="15616" width="9.125" style="2"/>
    <col min="15617" max="15624" width="11" style="2" customWidth="1"/>
    <col min="15625" max="15625" width="34.25" style="2" customWidth="1"/>
    <col min="15626" max="15626" width="4.875" style="2" customWidth="1"/>
    <col min="15627" max="15628" width="5.125" style="2" bestFit="1" customWidth="1"/>
    <col min="15629" max="15872" width="9.125" style="2"/>
    <col min="15873" max="15880" width="11" style="2" customWidth="1"/>
    <col min="15881" max="15881" width="34.25" style="2" customWidth="1"/>
    <col min="15882" max="15882" width="4.875" style="2" customWidth="1"/>
    <col min="15883" max="15884" width="5.125" style="2" bestFit="1" customWidth="1"/>
    <col min="15885" max="16128" width="9.125" style="2"/>
    <col min="16129" max="16136" width="11" style="2" customWidth="1"/>
    <col min="16137" max="16137" width="34.25" style="2" customWidth="1"/>
    <col min="16138" max="16138" width="4.875" style="2" customWidth="1"/>
    <col min="16139" max="16140" width="5.125" style="2" bestFit="1" customWidth="1"/>
    <col min="16141" max="16384" width="9.125" style="2"/>
  </cols>
  <sheetData>
    <row r="1" spans="1:12" ht="13.5" customHeight="1" x14ac:dyDescent="0.2">
      <c r="A1" s="159" t="s">
        <v>158</v>
      </c>
      <c r="B1" s="159"/>
      <c r="C1" s="159"/>
      <c r="D1" s="159"/>
      <c r="E1" s="159"/>
      <c r="F1" s="159"/>
      <c r="G1" s="159"/>
      <c r="H1" s="159"/>
      <c r="I1" s="159"/>
      <c r="J1" s="1"/>
    </row>
    <row r="2" spans="1:12" ht="13.5" customHeight="1" thickBot="1" x14ac:dyDescent="0.25">
      <c r="A2" s="160" t="s">
        <v>159</v>
      </c>
      <c r="B2" s="160"/>
      <c r="C2" s="160"/>
      <c r="D2" s="160"/>
      <c r="E2" s="160"/>
      <c r="F2" s="160"/>
      <c r="G2" s="160"/>
      <c r="H2" s="160"/>
      <c r="I2" s="160"/>
      <c r="J2" s="1"/>
    </row>
    <row r="3" spans="1:12" ht="13.5" customHeight="1" thickBot="1" x14ac:dyDescent="0.25">
      <c r="A3" s="161" t="s">
        <v>69</v>
      </c>
      <c r="B3" s="161"/>
      <c r="C3" s="161"/>
      <c r="D3" s="161" t="s">
        <v>70</v>
      </c>
      <c r="E3" s="161"/>
      <c r="F3" s="161"/>
      <c r="G3" s="3" t="s">
        <v>8</v>
      </c>
      <c r="H3" s="3" t="s">
        <v>160</v>
      </c>
      <c r="I3" s="3" t="s">
        <v>161</v>
      </c>
      <c r="J3" s="1"/>
    </row>
    <row r="4" spans="1:12" ht="13.5" customHeight="1" thickBot="1" x14ac:dyDescent="0.25">
      <c r="A4" s="4" t="s">
        <v>5</v>
      </c>
      <c r="B4" s="4" t="s">
        <v>162</v>
      </c>
      <c r="C4" s="4" t="s">
        <v>163</v>
      </c>
      <c r="D4" s="4" t="s">
        <v>5</v>
      </c>
      <c r="E4" s="4" t="s">
        <v>162</v>
      </c>
      <c r="F4" s="4" t="s">
        <v>163</v>
      </c>
      <c r="G4" s="5"/>
      <c r="H4" s="5"/>
      <c r="I4" s="5"/>
      <c r="J4" s="1"/>
    </row>
    <row r="5" spans="1:12" ht="13.5" customHeight="1" thickBot="1" x14ac:dyDescent="0.25">
      <c r="A5" s="6">
        <f>C5+B5</f>
        <v>635</v>
      </c>
      <c r="B5" s="6">
        <v>26</v>
      </c>
      <c r="C5" s="6">
        <v>609</v>
      </c>
      <c r="D5" s="6">
        <f>F5+E5</f>
        <v>1611</v>
      </c>
      <c r="E5" s="6">
        <v>485</v>
      </c>
      <c r="F5" s="6">
        <v>1126</v>
      </c>
      <c r="G5" s="7" t="s">
        <v>10</v>
      </c>
      <c r="H5" s="8"/>
      <c r="I5" s="8"/>
      <c r="J5" s="1"/>
      <c r="L5" s="29"/>
    </row>
    <row r="6" spans="1:12" ht="13.5" customHeight="1" thickBot="1" x14ac:dyDescent="0.25">
      <c r="A6" s="6">
        <f t="shared" ref="A6:A69" si="0">C6+B6</f>
        <v>123</v>
      </c>
      <c r="B6" s="6">
        <v>0</v>
      </c>
      <c r="C6" s="6">
        <v>123</v>
      </c>
      <c r="D6" s="6">
        <f t="shared" ref="D6:D69" si="1">F6+E6</f>
        <v>1229</v>
      </c>
      <c r="E6" s="6">
        <v>176</v>
      </c>
      <c r="F6" s="6">
        <v>1053</v>
      </c>
      <c r="G6" s="7" t="s">
        <v>11</v>
      </c>
      <c r="H6" s="8">
        <v>28</v>
      </c>
      <c r="I6" s="8" t="s">
        <v>74</v>
      </c>
      <c r="J6" s="1"/>
      <c r="L6" s="29"/>
    </row>
    <row r="7" spans="1:12" ht="13.5" customHeight="1" thickBot="1" x14ac:dyDescent="0.25">
      <c r="A7" s="6">
        <f t="shared" ref="A7:F7" si="2">SUM(A5:A6)</f>
        <v>758</v>
      </c>
      <c r="B7" s="6">
        <f t="shared" si="2"/>
        <v>26</v>
      </c>
      <c r="C7" s="6">
        <f t="shared" si="2"/>
        <v>732</v>
      </c>
      <c r="D7" s="6">
        <f t="shared" si="2"/>
        <v>2840</v>
      </c>
      <c r="E7" s="6">
        <f t="shared" si="2"/>
        <v>661</v>
      </c>
      <c r="F7" s="6">
        <f t="shared" si="2"/>
        <v>2179</v>
      </c>
      <c r="G7" s="7" t="s">
        <v>13</v>
      </c>
      <c r="H7" s="9"/>
      <c r="I7" s="9"/>
      <c r="J7" s="1"/>
      <c r="L7" s="29"/>
    </row>
    <row r="8" spans="1:12" ht="13.5" customHeight="1" thickBot="1" x14ac:dyDescent="0.25">
      <c r="A8" s="6">
        <f t="shared" si="0"/>
        <v>570</v>
      </c>
      <c r="B8" s="6">
        <v>2</v>
      </c>
      <c r="C8" s="6">
        <v>568</v>
      </c>
      <c r="D8" s="6">
        <f t="shared" si="1"/>
        <v>490</v>
      </c>
      <c r="E8" s="6">
        <v>27</v>
      </c>
      <c r="F8" s="6">
        <v>463</v>
      </c>
      <c r="G8" s="7" t="s">
        <v>10</v>
      </c>
      <c r="H8" s="8"/>
      <c r="I8" s="8"/>
      <c r="J8" s="1"/>
      <c r="L8" s="29"/>
    </row>
    <row r="9" spans="1:12" ht="13.5" customHeight="1" thickBot="1" x14ac:dyDescent="0.25">
      <c r="A9" s="6">
        <f t="shared" si="0"/>
        <v>2</v>
      </c>
      <c r="B9" s="6">
        <v>0</v>
      </c>
      <c r="C9" s="6">
        <v>2</v>
      </c>
      <c r="D9" s="6">
        <f t="shared" si="1"/>
        <v>0</v>
      </c>
      <c r="E9" s="6">
        <v>0</v>
      </c>
      <c r="F9" s="6">
        <v>0</v>
      </c>
      <c r="G9" s="7" t="s">
        <v>11</v>
      </c>
      <c r="H9" s="8">
        <v>6</v>
      </c>
      <c r="I9" s="8" t="s">
        <v>164</v>
      </c>
      <c r="J9" s="1"/>
      <c r="L9" s="29"/>
    </row>
    <row r="10" spans="1:12" ht="13.5" customHeight="1" thickBot="1" x14ac:dyDescent="0.25">
      <c r="A10" s="6">
        <f t="shared" ref="A10:F10" si="3">SUM(A8:A9)</f>
        <v>572</v>
      </c>
      <c r="B10" s="6">
        <f t="shared" si="3"/>
        <v>2</v>
      </c>
      <c r="C10" s="6">
        <f t="shared" si="3"/>
        <v>570</v>
      </c>
      <c r="D10" s="6">
        <f t="shared" si="3"/>
        <v>490</v>
      </c>
      <c r="E10" s="6">
        <f t="shared" si="3"/>
        <v>27</v>
      </c>
      <c r="F10" s="6">
        <f t="shared" si="3"/>
        <v>463</v>
      </c>
      <c r="G10" s="7" t="s">
        <v>13</v>
      </c>
      <c r="H10" s="9"/>
      <c r="I10" s="9"/>
      <c r="J10" s="1"/>
      <c r="L10" s="29"/>
    </row>
    <row r="11" spans="1:12" ht="13.5" customHeight="1" thickBot="1" x14ac:dyDescent="0.25">
      <c r="A11" s="6">
        <f t="shared" si="0"/>
        <v>1866</v>
      </c>
      <c r="B11" s="6">
        <v>278</v>
      </c>
      <c r="C11" s="6">
        <v>1588</v>
      </c>
      <c r="D11" s="6">
        <f t="shared" si="1"/>
        <v>1204</v>
      </c>
      <c r="E11" s="6">
        <v>259</v>
      </c>
      <c r="F11" s="6">
        <v>945</v>
      </c>
      <c r="G11" s="7" t="s">
        <v>10</v>
      </c>
      <c r="H11" s="8"/>
      <c r="I11" s="8"/>
      <c r="J11" s="1"/>
      <c r="L11" s="29"/>
    </row>
    <row r="12" spans="1:12" ht="13.5" customHeight="1" thickBot="1" x14ac:dyDescent="0.25">
      <c r="A12" s="6">
        <f t="shared" si="0"/>
        <v>412</v>
      </c>
      <c r="B12" s="6">
        <v>2</v>
      </c>
      <c r="C12" s="6">
        <v>410</v>
      </c>
      <c r="D12" s="6">
        <f t="shared" si="1"/>
        <v>560</v>
      </c>
      <c r="E12" s="6">
        <v>69</v>
      </c>
      <c r="F12" s="6">
        <v>491</v>
      </c>
      <c r="G12" s="7" t="s">
        <v>11</v>
      </c>
      <c r="H12" s="8">
        <v>15</v>
      </c>
      <c r="I12" s="8" t="s">
        <v>76</v>
      </c>
      <c r="J12" s="1"/>
      <c r="L12" s="29"/>
    </row>
    <row r="13" spans="1:12" ht="13.5" customHeight="1" thickBot="1" x14ac:dyDescent="0.25">
      <c r="A13" s="6">
        <f t="shared" ref="A13:F13" si="4">SUM(A11:A12)</f>
        <v>2278</v>
      </c>
      <c r="B13" s="6">
        <f t="shared" si="4"/>
        <v>280</v>
      </c>
      <c r="C13" s="6">
        <f t="shared" si="4"/>
        <v>1998</v>
      </c>
      <c r="D13" s="6">
        <f t="shared" si="4"/>
        <v>1764</v>
      </c>
      <c r="E13" s="6">
        <f t="shared" si="4"/>
        <v>328</v>
      </c>
      <c r="F13" s="6">
        <f t="shared" si="4"/>
        <v>1436</v>
      </c>
      <c r="G13" s="7" t="s">
        <v>13</v>
      </c>
      <c r="H13" s="9"/>
      <c r="I13" s="9"/>
      <c r="J13" s="1"/>
      <c r="L13" s="29"/>
    </row>
    <row r="14" spans="1:12" ht="13.5" customHeight="1" thickBot="1" x14ac:dyDescent="0.25">
      <c r="A14" s="6">
        <f t="shared" si="0"/>
        <v>3967</v>
      </c>
      <c r="B14" s="6">
        <v>1063</v>
      </c>
      <c r="C14" s="6">
        <v>2904</v>
      </c>
      <c r="D14" s="6">
        <f t="shared" si="1"/>
        <v>3412</v>
      </c>
      <c r="E14" s="6">
        <v>1249</v>
      </c>
      <c r="F14" s="6">
        <v>2163</v>
      </c>
      <c r="G14" s="7" t="s">
        <v>10</v>
      </c>
      <c r="H14" s="8"/>
      <c r="I14" s="8"/>
      <c r="J14" s="1"/>
      <c r="L14" s="29"/>
    </row>
    <row r="15" spans="1:12" ht="13.5" customHeight="1" thickBot="1" x14ac:dyDescent="0.25">
      <c r="A15" s="6">
        <f t="shared" si="0"/>
        <v>2785</v>
      </c>
      <c r="B15" s="6">
        <v>1750</v>
      </c>
      <c r="C15" s="6">
        <v>1035</v>
      </c>
      <c r="D15" s="6">
        <f t="shared" si="1"/>
        <v>1002</v>
      </c>
      <c r="E15" s="6">
        <v>253</v>
      </c>
      <c r="F15" s="6">
        <v>749</v>
      </c>
      <c r="G15" s="7" t="s">
        <v>11</v>
      </c>
      <c r="H15" s="8">
        <v>33</v>
      </c>
      <c r="I15" s="8" t="s">
        <v>78</v>
      </c>
      <c r="J15" s="1"/>
      <c r="L15" s="29"/>
    </row>
    <row r="16" spans="1:12" ht="13.5" customHeight="1" thickBot="1" x14ac:dyDescent="0.25">
      <c r="A16" s="6">
        <f t="shared" ref="A16:F16" si="5">SUM(A14:A15)</f>
        <v>6752</v>
      </c>
      <c r="B16" s="6">
        <f t="shared" si="5"/>
        <v>2813</v>
      </c>
      <c r="C16" s="6">
        <f t="shared" si="5"/>
        <v>3939</v>
      </c>
      <c r="D16" s="6">
        <f t="shared" si="5"/>
        <v>4414</v>
      </c>
      <c r="E16" s="6">
        <f t="shared" si="5"/>
        <v>1502</v>
      </c>
      <c r="F16" s="6">
        <f t="shared" si="5"/>
        <v>2912</v>
      </c>
      <c r="G16" s="7" t="s">
        <v>13</v>
      </c>
      <c r="H16" s="9"/>
      <c r="I16" s="9"/>
      <c r="J16" s="1"/>
      <c r="L16" s="29"/>
    </row>
    <row r="17" spans="1:12" ht="13.5" customHeight="1" thickBot="1" x14ac:dyDescent="0.25">
      <c r="A17" s="6">
        <f t="shared" si="0"/>
        <v>1130</v>
      </c>
      <c r="B17" s="6">
        <v>169</v>
      </c>
      <c r="C17" s="6">
        <v>961</v>
      </c>
      <c r="D17" s="6">
        <f t="shared" si="1"/>
        <v>1974</v>
      </c>
      <c r="E17" s="6">
        <v>444</v>
      </c>
      <c r="F17" s="6">
        <v>1530</v>
      </c>
      <c r="G17" s="7" t="s">
        <v>10</v>
      </c>
      <c r="H17" s="8"/>
      <c r="I17" s="8"/>
      <c r="J17" s="1"/>
      <c r="L17" s="29"/>
    </row>
    <row r="18" spans="1:12" ht="13.5" customHeight="1" thickBot="1" x14ac:dyDescent="0.25">
      <c r="A18" s="6">
        <f t="shared" si="0"/>
        <v>434</v>
      </c>
      <c r="B18" s="6">
        <v>30</v>
      </c>
      <c r="C18" s="6">
        <v>404</v>
      </c>
      <c r="D18" s="6">
        <f t="shared" si="1"/>
        <v>1871</v>
      </c>
      <c r="E18" s="6">
        <v>238</v>
      </c>
      <c r="F18" s="6">
        <v>1633</v>
      </c>
      <c r="G18" s="7" t="s">
        <v>11</v>
      </c>
      <c r="H18" s="8">
        <v>24</v>
      </c>
      <c r="I18" s="8" t="s">
        <v>79</v>
      </c>
      <c r="J18" s="1"/>
      <c r="L18" s="29"/>
    </row>
    <row r="19" spans="1:12" ht="13.5" customHeight="1" thickBot="1" x14ac:dyDescent="0.25">
      <c r="A19" s="6">
        <f t="shared" ref="A19:F19" si="6">SUM(A17:A18)</f>
        <v>1564</v>
      </c>
      <c r="B19" s="6">
        <f t="shared" si="6"/>
        <v>199</v>
      </c>
      <c r="C19" s="6">
        <f t="shared" si="6"/>
        <v>1365</v>
      </c>
      <c r="D19" s="6">
        <f t="shared" si="6"/>
        <v>3845</v>
      </c>
      <c r="E19" s="6">
        <f t="shared" si="6"/>
        <v>682</v>
      </c>
      <c r="F19" s="6">
        <f t="shared" si="6"/>
        <v>3163</v>
      </c>
      <c r="G19" s="7" t="s">
        <v>13</v>
      </c>
      <c r="H19" s="9"/>
      <c r="I19" s="9"/>
      <c r="J19" s="1"/>
      <c r="L19" s="29"/>
    </row>
    <row r="20" spans="1:12" ht="13.5" customHeight="1" thickBot="1" x14ac:dyDescent="0.25">
      <c r="A20" s="6">
        <f t="shared" si="0"/>
        <v>1185</v>
      </c>
      <c r="B20" s="6">
        <v>258</v>
      </c>
      <c r="C20" s="6">
        <v>927</v>
      </c>
      <c r="D20" s="6">
        <f t="shared" si="1"/>
        <v>817</v>
      </c>
      <c r="E20" s="6">
        <v>527</v>
      </c>
      <c r="F20" s="6">
        <v>290</v>
      </c>
      <c r="G20" s="7" t="s">
        <v>10</v>
      </c>
      <c r="H20" s="8"/>
      <c r="I20" s="8"/>
      <c r="J20" s="1"/>
      <c r="L20" s="29"/>
    </row>
    <row r="21" spans="1:12" ht="13.5" customHeight="1" thickBot="1" x14ac:dyDescent="0.25">
      <c r="A21" s="6">
        <f t="shared" si="0"/>
        <v>3</v>
      </c>
      <c r="B21" s="6">
        <v>3</v>
      </c>
      <c r="C21" s="6">
        <v>0</v>
      </c>
      <c r="D21" s="6">
        <f t="shared" si="1"/>
        <v>33</v>
      </c>
      <c r="E21" s="6">
        <v>33</v>
      </c>
      <c r="F21" s="6">
        <v>0</v>
      </c>
      <c r="G21" s="7" t="s">
        <v>11</v>
      </c>
      <c r="H21" s="8">
        <v>9</v>
      </c>
      <c r="I21" s="8" t="s">
        <v>98</v>
      </c>
      <c r="J21" s="1"/>
      <c r="L21" s="29"/>
    </row>
    <row r="22" spans="1:12" ht="13.5" customHeight="1" thickBot="1" x14ac:dyDescent="0.25">
      <c r="A22" s="6">
        <f t="shared" ref="A22:F22" si="7">SUM(A20:A21)</f>
        <v>1188</v>
      </c>
      <c r="B22" s="6">
        <f t="shared" si="7"/>
        <v>261</v>
      </c>
      <c r="C22" s="6">
        <f t="shared" si="7"/>
        <v>927</v>
      </c>
      <c r="D22" s="6">
        <f t="shared" si="7"/>
        <v>850</v>
      </c>
      <c r="E22" s="6">
        <f t="shared" si="7"/>
        <v>560</v>
      </c>
      <c r="F22" s="6">
        <f t="shared" si="7"/>
        <v>290</v>
      </c>
      <c r="G22" s="7" t="s">
        <v>13</v>
      </c>
      <c r="H22" s="9"/>
      <c r="I22" s="9"/>
      <c r="J22" s="1"/>
      <c r="L22" s="29"/>
    </row>
    <row r="23" spans="1:12" ht="13.5" customHeight="1" thickBot="1" x14ac:dyDescent="0.25">
      <c r="A23" s="6">
        <f t="shared" si="0"/>
        <v>1180</v>
      </c>
      <c r="B23" s="6">
        <v>35</v>
      </c>
      <c r="C23" s="6">
        <v>1145</v>
      </c>
      <c r="D23" s="6">
        <f t="shared" si="1"/>
        <v>1148</v>
      </c>
      <c r="E23" s="6">
        <v>634</v>
      </c>
      <c r="F23" s="6">
        <v>514</v>
      </c>
      <c r="G23" s="7" t="s">
        <v>10</v>
      </c>
      <c r="H23" s="8"/>
      <c r="I23" s="8"/>
      <c r="J23" s="1"/>
      <c r="L23" s="29"/>
    </row>
    <row r="24" spans="1:12" ht="13.5" customHeight="1" thickBot="1" x14ac:dyDescent="0.25">
      <c r="A24" s="6">
        <f t="shared" si="0"/>
        <v>512</v>
      </c>
      <c r="B24" s="6">
        <v>7</v>
      </c>
      <c r="C24" s="6">
        <v>505</v>
      </c>
      <c r="D24" s="6">
        <f t="shared" si="1"/>
        <v>1038</v>
      </c>
      <c r="E24" s="6">
        <v>400</v>
      </c>
      <c r="F24" s="6">
        <v>638</v>
      </c>
      <c r="G24" s="7" t="s">
        <v>11</v>
      </c>
      <c r="H24" s="8">
        <v>33</v>
      </c>
      <c r="I24" s="8" t="s">
        <v>80</v>
      </c>
      <c r="J24" s="1"/>
      <c r="L24" s="29"/>
    </row>
    <row r="25" spans="1:12" ht="13.5" customHeight="1" thickBot="1" x14ac:dyDescent="0.25">
      <c r="A25" s="6">
        <f t="shared" ref="A25:F25" si="8">SUM(A23:A24)</f>
        <v>1692</v>
      </c>
      <c r="B25" s="6">
        <f t="shared" si="8"/>
        <v>42</v>
      </c>
      <c r="C25" s="6">
        <f t="shared" si="8"/>
        <v>1650</v>
      </c>
      <c r="D25" s="6">
        <f t="shared" si="8"/>
        <v>2186</v>
      </c>
      <c r="E25" s="6">
        <f t="shared" si="8"/>
        <v>1034</v>
      </c>
      <c r="F25" s="6">
        <f t="shared" si="8"/>
        <v>1152</v>
      </c>
      <c r="G25" s="7" t="s">
        <v>13</v>
      </c>
      <c r="H25" s="9"/>
      <c r="I25" s="9"/>
      <c r="J25" s="1"/>
      <c r="L25" s="29"/>
    </row>
    <row r="26" spans="1:12" ht="13.5" customHeight="1" thickBot="1" x14ac:dyDescent="0.25">
      <c r="A26" s="6">
        <f t="shared" si="0"/>
        <v>1812</v>
      </c>
      <c r="B26" s="6">
        <v>22</v>
      </c>
      <c r="C26" s="6">
        <v>1790</v>
      </c>
      <c r="D26" s="6">
        <f t="shared" si="1"/>
        <v>1321</v>
      </c>
      <c r="E26" s="6">
        <v>726</v>
      </c>
      <c r="F26" s="6">
        <v>595</v>
      </c>
      <c r="G26" s="7" t="s">
        <v>10</v>
      </c>
      <c r="H26" s="8"/>
      <c r="I26" s="8"/>
      <c r="J26" s="1"/>
      <c r="L26" s="29"/>
    </row>
    <row r="27" spans="1:12" ht="13.5" customHeight="1" thickBot="1" x14ac:dyDescent="0.25">
      <c r="A27" s="6">
        <f t="shared" si="0"/>
        <v>614</v>
      </c>
      <c r="B27" s="6">
        <v>23</v>
      </c>
      <c r="C27" s="6">
        <v>591</v>
      </c>
      <c r="D27" s="6">
        <f t="shared" si="1"/>
        <v>515</v>
      </c>
      <c r="E27" s="6">
        <v>224</v>
      </c>
      <c r="F27" s="6">
        <v>291</v>
      </c>
      <c r="G27" s="7" t="s">
        <v>11</v>
      </c>
      <c r="H27" s="8">
        <v>38</v>
      </c>
      <c r="I27" s="8" t="s">
        <v>81</v>
      </c>
      <c r="J27" s="1"/>
      <c r="L27" s="29"/>
    </row>
    <row r="28" spans="1:12" ht="13.5" customHeight="1" thickBot="1" x14ac:dyDescent="0.25">
      <c r="A28" s="6">
        <f t="shared" ref="A28:F28" si="9">SUM(A26:A27)</f>
        <v>2426</v>
      </c>
      <c r="B28" s="6">
        <f t="shared" si="9"/>
        <v>45</v>
      </c>
      <c r="C28" s="6">
        <f t="shared" si="9"/>
        <v>2381</v>
      </c>
      <c r="D28" s="6">
        <f t="shared" si="9"/>
        <v>1836</v>
      </c>
      <c r="E28" s="6">
        <f t="shared" si="9"/>
        <v>950</v>
      </c>
      <c r="F28" s="6">
        <f t="shared" si="9"/>
        <v>886</v>
      </c>
      <c r="G28" s="7" t="s">
        <v>13</v>
      </c>
      <c r="H28" s="9"/>
      <c r="I28" s="9"/>
      <c r="J28" s="1"/>
      <c r="L28" s="29"/>
    </row>
    <row r="29" spans="1:12" ht="13.5" customHeight="1" thickBot="1" x14ac:dyDescent="0.25">
      <c r="A29" s="6">
        <f t="shared" si="0"/>
        <v>800</v>
      </c>
      <c r="B29" s="6">
        <v>59</v>
      </c>
      <c r="C29" s="6">
        <v>741</v>
      </c>
      <c r="D29" s="6">
        <f t="shared" si="1"/>
        <v>961</v>
      </c>
      <c r="E29" s="6">
        <v>476</v>
      </c>
      <c r="F29" s="6">
        <v>485</v>
      </c>
      <c r="G29" s="7" t="s">
        <v>10</v>
      </c>
      <c r="H29" s="8"/>
      <c r="I29" s="8"/>
      <c r="J29" s="1"/>
      <c r="L29" s="29"/>
    </row>
    <row r="30" spans="1:12" ht="13.5" customHeight="1" thickBot="1" x14ac:dyDescent="0.25">
      <c r="A30" s="6">
        <f t="shared" si="0"/>
        <v>126</v>
      </c>
      <c r="B30" s="6">
        <v>38</v>
      </c>
      <c r="C30" s="6">
        <v>88</v>
      </c>
      <c r="D30" s="6">
        <f t="shared" si="1"/>
        <v>431</v>
      </c>
      <c r="E30" s="6">
        <v>185</v>
      </c>
      <c r="F30" s="6">
        <v>246</v>
      </c>
      <c r="G30" s="7" t="s">
        <v>11</v>
      </c>
      <c r="H30" s="8">
        <v>29</v>
      </c>
      <c r="I30" s="8" t="s">
        <v>108</v>
      </c>
      <c r="J30" s="1"/>
    </row>
    <row r="31" spans="1:12" ht="13.5" customHeight="1" thickBot="1" x14ac:dyDescent="0.25">
      <c r="A31" s="6">
        <f t="shared" ref="A31:F31" si="10">SUM(A29:A30)</f>
        <v>926</v>
      </c>
      <c r="B31" s="6">
        <f t="shared" si="10"/>
        <v>97</v>
      </c>
      <c r="C31" s="6">
        <f t="shared" si="10"/>
        <v>829</v>
      </c>
      <c r="D31" s="6">
        <f t="shared" si="10"/>
        <v>1392</v>
      </c>
      <c r="E31" s="6">
        <f t="shared" si="10"/>
        <v>661</v>
      </c>
      <c r="F31" s="6">
        <f t="shared" si="10"/>
        <v>731</v>
      </c>
      <c r="G31" s="7" t="s">
        <v>13</v>
      </c>
      <c r="H31" s="9"/>
      <c r="I31" s="9"/>
      <c r="J31" s="1"/>
    </row>
    <row r="32" spans="1:12" ht="13.5" customHeight="1" thickBot="1" x14ac:dyDescent="0.25">
      <c r="A32" s="6">
        <f t="shared" si="0"/>
        <v>426</v>
      </c>
      <c r="B32" s="6">
        <v>14</v>
      </c>
      <c r="C32" s="6">
        <v>412</v>
      </c>
      <c r="D32" s="6">
        <f t="shared" si="1"/>
        <v>591</v>
      </c>
      <c r="E32" s="6">
        <v>207</v>
      </c>
      <c r="F32" s="6">
        <v>384</v>
      </c>
      <c r="G32" s="7" t="s">
        <v>10</v>
      </c>
      <c r="H32" s="8"/>
      <c r="I32" s="8"/>
      <c r="J32" s="1"/>
    </row>
    <row r="33" spans="1:10" ht="13.5" customHeight="1" thickBot="1" x14ac:dyDescent="0.25">
      <c r="A33" s="6">
        <f t="shared" si="0"/>
        <v>114</v>
      </c>
      <c r="B33" s="6">
        <v>0</v>
      </c>
      <c r="C33" s="6">
        <v>114</v>
      </c>
      <c r="D33" s="6">
        <f t="shared" si="1"/>
        <v>244</v>
      </c>
      <c r="E33" s="6">
        <v>110</v>
      </c>
      <c r="F33" s="6">
        <v>134</v>
      </c>
      <c r="G33" s="7" t="s">
        <v>11</v>
      </c>
      <c r="H33" s="8">
        <v>26</v>
      </c>
      <c r="I33" s="8" t="s">
        <v>82</v>
      </c>
      <c r="J33" s="1"/>
    </row>
    <row r="34" spans="1:10" ht="13.5" customHeight="1" thickBot="1" x14ac:dyDescent="0.25">
      <c r="A34" s="6">
        <f t="shared" ref="A34:F34" si="11">SUM(A32:A33)</f>
        <v>540</v>
      </c>
      <c r="B34" s="6">
        <f t="shared" si="11"/>
        <v>14</v>
      </c>
      <c r="C34" s="6">
        <f t="shared" si="11"/>
        <v>526</v>
      </c>
      <c r="D34" s="6">
        <f t="shared" si="11"/>
        <v>835</v>
      </c>
      <c r="E34" s="6">
        <f t="shared" si="11"/>
        <v>317</v>
      </c>
      <c r="F34" s="6">
        <f t="shared" si="11"/>
        <v>518</v>
      </c>
      <c r="G34" s="7" t="s">
        <v>13</v>
      </c>
      <c r="H34" s="9"/>
      <c r="I34" s="9"/>
      <c r="J34" s="1"/>
    </row>
    <row r="35" spans="1:10" ht="13.5" customHeight="1" thickBot="1" x14ac:dyDescent="0.25">
      <c r="A35" s="6">
        <f t="shared" si="0"/>
        <v>305</v>
      </c>
      <c r="B35" s="6">
        <v>6</v>
      </c>
      <c r="C35" s="6">
        <v>299</v>
      </c>
      <c r="D35" s="6">
        <f t="shared" si="1"/>
        <v>503</v>
      </c>
      <c r="E35" s="6">
        <v>221</v>
      </c>
      <c r="F35" s="6">
        <v>282</v>
      </c>
      <c r="G35" s="7" t="s">
        <v>10</v>
      </c>
      <c r="H35" s="8"/>
      <c r="I35" s="8"/>
      <c r="J35" s="1"/>
    </row>
    <row r="36" spans="1:10" ht="13.5" customHeight="1" thickBot="1" x14ac:dyDescent="0.25">
      <c r="A36" s="6">
        <f t="shared" si="0"/>
        <v>174</v>
      </c>
      <c r="B36" s="6">
        <v>0</v>
      </c>
      <c r="C36" s="6">
        <v>174</v>
      </c>
      <c r="D36" s="6">
        <f t="shared" si="1"/>
        <v>359</v>
      </c>
      <c r="E36" s="6">
        <v>86</v>
      </c>
      <c r="F36" s="6">
        <v>273</v>
      </c>
      <c r="G36" s="7" t="s">
        <v>11</v>
      </c>
      <c r="H36" s="8">
        <v>18</v>
      </c>
      <c r="I36" s="8" t="s">
        <v>83</v>
      </c>
      <c r="J36" s="1"/>
    </row>
    <row r="37" spans="1:10" ht="13.5" customHeight="1" thickBot="1" x14ac:dyDescent="0.25">
      <c r="A37" s="6">
        <f t="shared" ref="A37:F37" si="12">SUM(A35:A36)</f>
        <v>479</v>
      </c>
      <c r="B37" s="6">
        <f t="shared" si="12"/>
        <v>6</v>
      </c>
      <c r="C37" s="6">
        <f t="shared" si="12"/>
        <v>473</v>
      </c>
      <c r="D37" s="6">
        <f t="shared" si="12"/>
        <v>862</v>
      </c>
      <c r="E37" s="6">
        <f t="shared" si="12"/>
        <v>307</v>
      </c>
      <c r="F37" s="6">
        <f t="shared" si="12"/>
        <v>555</v>
      </c>
      <c r="G37" s="7" t="s">
        <v>13</v>
      </c>
      <c r="H37" s="9"/>
      <c r="I37" s="9"/>
      <c r="J37" s="1"/>
    </row>
    <row r="38" spans="1:10" ht="13.5" customHeight="1" thickBot="1" x14ac:dyDescent="0.25">
      <c r="A38" s="6">
        <f t="shared" si="0"/>
        <v>7</v>
      </c>
      <c r="B38" s="6">
        <v>2</v>
      </c>
      <c r="C38" s="6">
        <v>5</v>
      </c>
      <c r="D38" s="6">
        <f t="shared" si="1"/>
        <v>37</v>
      </c>
      <c r="E38" s="6">
        <v>20</v>
      </c>
      <c r="F38" s="6">
        <v>17</v>
      </c>
      <c r="G38" s="7" t="s">
        <v>10</v>
      </c>
      <c r="H38" s="8"/>
      <c r="I38" s="8"/>
      <c r="J38" s="1"/>
    </row>
    <row r="39" spans="1:10" ht="13.5" customHeight="1" thickBot="1" x14ac:dyDescent="0.25">
      <c r="A39" s="6">
        <f t="shared" si="0"/>
        <v>74</v>
      </c>
      <c r="B39" s="6">
        <v>18</v>
      </c>
      <c r="C39" s="6">
        <v>56</v>
      </c>
      <c r="D39" s="6">
        <f t="shared" si="1"/>
        <v>59</v>
      </c>
      <c r="E39" s="6">
        <v>38</v>
      </c>
      <c r="F39" s="6">
        <v>21</v>
      </c>
      <c r="G39" s="7" t="s">
        <v>11</v>
      </c>
      <c r="H39" s="8">
        <v>6</v>
      </c>
      <c r="I39" s="8" t="s">
        <v>165</v>
      </c>
      <c r="J39" s="1"/>
    </row>
    <row r="40" spans="1:10" ht="13.5" customHeight="1" thickBot="1" x14ac:dyDescent="0.25">
      <c r="A40" s="6">
        <f t="shared" ref="A40:F40" si="13">SUM(A38:A39)</f>
        <v>81</v>
      </c>
      <c r="B40" s="6">
        <f t="shared" si="13"/>
        <v>20</v>
      </c>
      <c r="C40" s="6">
        <f t="shared" si="13"/>
        <v>61</v>
      </c>
      <c r="D40" s="6">
        <f t="shared" si="13"/>
        <v>96</v>
      </c>
      <c r="E40" s="6">
        <f t="shared" si="13"/>
        <v>58</v>
      </c>
      <c r="F40" s="6">
        <f t="shared" si="13"/>
        <v>38</v>
      </c>
      <c r="G40" s="7" t="s">
        <v>13</v>
      </c>
      <c r="H40" s="9"/>
      <c r="I40" s="9"/>
      <c r="J40" s="1"/>
    </row>
    <row r="41" spans="1:10" ht="13.5" customHeight="1" thickBot="1" x14ac:dyDescent="0.25">
      <c r="A41" s="6">
        <f t="shared" si="0"/>
        <v>735</v>
      </c>
      <c r="B41" s="6">
        <v>351</v>
      </c>
      <c r="C41" s="6">
        <v>384</v>
      </c>
      <c r="D41" s="6">
        <f t="shared" si="1"/>
        <v>444</v>
      </c>
      <c r="E41" s="6">
        <v>247</v>
      </c>
      <c r="F41" s="6">
        <v>197</v>
      </c>
      <c r="G41" s="7" t="s">
        <v>10</v>
      </c>
      <c r="H41" s="8"/>
      <c r="I41" s="8"/>
      <c r="J41" s="1"/>
    </row>
    <row r="42" spans="1:10" ht="13.5" customHeight="1" thickBot="1" x14ac:dyDescent="0.25">
      <c r="A42" s="6">
        <f t="shared" si="0"/>
        <v>422</v>
      </c>
      <c r="B42" s="6">
        <v>173</v>
      </c>
      <c r="C42" s="6">
        <v>249</v>
      </c>
      <c r="D42" s="6">
        <f t="shared" si="1"/>
        <v>179</v>
      </c>
      <c r="E42" s="6">
        <v>115</v>
      </c>
      <c r="F42" s="6">
        <v>64</v>
      </c>
      <c r="G42" s="7" t="s">
        <v>11</v>
      </c>
      <c r="H42" s="8">
        <v>15</v>
      </c>
      <c r="I42" s="8" t="s">
        <v>115</v>
      </c>
      <c r="J42" s="1"/>
    </row>
    <row r="43" spans="1:10" ht="13.5" customHeight="1" thickBot="1" x14ac:dyDescent="0.25">
      <c r="A43" s="6">
        <f t="shared" ref="A43:F43" si="14">SUM(A41:A42)</f>
        <v>1157</v>
      </c>
      <c r="B43" s="6">
        <f t="shared" si="14"/>
        <v>524</v>
      </c>
      <c r="C43" s="6">
        <f t="shared" si="14"/>
        <v>633</v>
      </c>
      <c r="D43" s="6">
        <f t="shared" si="14"/>
        <v>623</v>
      </c>
      <c r="E43" s="6">
        <f t="shared" si="14"/>
        <v>362</v>
      </c>
      <c r="F43" s="6">
        <f t="shared" si="14"/>
        <v>261</v>
      </c>
      <c r="G43" s="7" t="s">
        <v>13</v>
      </c>
      <c r="H43" s="9"/>
      <c r="I43" s="9"/>
      <c r="J43" s="1"/>
    </row>
    <row r="44" spans="1:10" ht="13.5" customHeight="1" thickBot="1" x14ac:dyDescent="0.25">
      <c r="A44" s="6">
        <f t="shared" si="0"/>
        <v>45</v>
      </c>
      <c r="B44" s="6">
        <v>1</v>
      </c>
      <c r="C44" s="6">
        <v>44</v>
      </c>
      <c r="D44" s="6">
        <f t="shared" si="1"/>
        <v>289</v>
      </c>
      <c r="E44" s="6">
        <v>201</v>
      </c>
      <c r="F44" s="6">
        <v>88</v>
      </c>
      <c r="G44" s="7" t="s">
        <v>10</v>
      </c>
      <c r="H44" s="8"/>
      <c r="I44" s="8"/>
      <c r="J44" s="1"/>
    </row>
    <row r="45" spans="1:10" ht="13.5" customHeight="1" thickBot="1" x14ac:dyDescent="0.25">
      <c r="A45" s="6">
        <f t="shared" si="0"/>
        <v>29</v>
      </c>
      <c r="B45" s="6">
        <v>0</v>
      </c>
      <c r="C45" s="6">
        <v>29</v>
      </c>
      <c r="D45" s="6">
        <f t="shared" si="1"/>
        <v>173</v>
      </c>
      <c r="E45" s="6">
        <v>116</v>
      </c>
      <c r="F45" s="6">
        <v>57</v>
      </c>
      <c r="G45" s="7" t="s">
        <v>11</v>
      </c>
      <c r="H45" s="8">
        <v>8</v>
      </c>
      <c r="I45" s="8" t="s">
        <v>118</v>
      </c>
      <c r="J45" s="1"/>
    </row>
    <row r="46" spans="1:10" ht="13.5" customHeight="1" thickBot="1" x14ac:dyDescent="0.25">
      <c r="A46" s="6">
        <f t="shared" ref="A46:F46" si="15">SUM(A44:A45)</f>
        <v>74</v>
      </c>
      <c r="B46" s="6">
        <f t="shared" si="15"/>
        <v>1</v>
      </c>
      <c r="C46" s="6">
        <f t="shared" si="15"/>
        <v>73</v>
      </c>
      <c r="D46" s="6">
        <f t="shared" si="15"/>
        <v>462</v>
      </c>
      <c r="E46" s="6">
        <f t="shared" si="15"/>
        <v>317</v>
      </c>
      <c r="F46" s="6">
        <f t="shared" si="15"/>
        <v>145</v>
      </c>
      <c r="G46" s="7" t="s">
        <v>13</v>
      </c>
      <c r="H46" s="9"/>
      <c r="I46" s="9"/>
      <c r="J46" s="1"/>
    </row>
    <row r="47" spans="1:10" ht="13.5" customHeight="1" thickBot="1" x14ac:dyDescent="0.25">
      <c r="A47" s="6">
        <f t="shared" si="0"/>
        <v>56</v>
      </c>
      <c r="B47" s="6">
        <v>4</v>
      </c>
      <c r="C47" s="6">
        <v>52</v>
      </c>
      <c r="D47" s="6">
        <f t="shared" si="1"/>
        <v>315</v>
      </c>
      <c r="E47" s="6">
        <v>260</v>
      </c>
      <c r="F47" s="6">
        <v>55</v>
      </c>
      <c r="G47" s="7" t="s">
        <v>10</v>
      </c>
      <c r="H47" s="8"/>
      <c r="I47" s="8"/>
      <c r="J47" s="1"/>
    </row>
    <row r="48" spans="1:10" ht="13.5" customHeight="1" thickBot="1" x14ac:dyDescent="0.25">
      <c r="A48" s="6">
        <f t="shared" si="0"/>
        <v>115</v>
      </c>
      <c r="B48" s="6">
        <v>1</v>
      </c>
      <c r="C48" s="6">
        <v>114</v>
      </c>
      <c r="D48" s="6">
        <f t="shared" si="1"/>
        <v>212</v>
      </c>
      <c r="E48" s="6">
        <v>133</v>
      </c>
      <c r="F48" s="6">
        <v>79</v>
      </c>
      <c r="G48" s="7" t="s">
        <v>11</v>
      </c>
      <c r="H48" s="8">
        <v>14</v>
      </c>
      <c r="I48" s="8" t="s">
        <v>120</v>
      </c>
      <c r="J48" s="1"/>
    </row>
    <row r="49" spans="1:10" ht="13.5" customHeight="1" thickBot="1" x14ac:dyDescent="0.25">
      <c r="A49" s="6">
        <f t="shared" ref="A49:F49" si="16">SUM(A47:A48)</f>
        <v>171</v>
      </c>
      <c r="B49" s="6">
        <f t="shared" si="16"/>
        <v>5</v>
      </c>
      <c r="C49" s="6">
        <f t="shared" si="16"/>
        <v>166</v>
      </c>
      <c r="D49" s="6">
        <f t="shared" si="16"/>
        <v>527</v>
      </c>
      <c r="E49" s="6">
        <f t="shared" si="16"/>
        <v>393</v>
      </c>
      <c r="F49" s="6">
        <f t="shared" si="16"/>
        <v>134</v>
      </c>
      <c r="G49" s="7" t="s">
        <v>13</v>
      </c>
      <c r="H49" s="9"/>
      <c r="I49" s="9"/>
      <c r="J49" s="1"/>
    </row>
    <row r="50" spans="1:10" ht="13.5" customHeight="1" thickBot="1" x14ac:dyDescent="0.25">
      <c r="A50" s="6">
        <f t="shared" si="0"/>
        <v>51</v>
      </c>
      <c r="B50" s="6">
        <v>0</v>
      </c>
      <c r="C50" s="6">
        <v>51</v>
      </c>
      <c r="D50" s="6">
        <f t="shared" si="1"/>
        <v>156</v>
      </c>
      <c r="E50" s="6">
        <v>97</v>
      </c>
      <c r="F50" s="6">
        <v>59</v>
      </c>
      <c r="G50" s="7" t="s">
        <v>10</v>
      </c>
      <c r="H50" s="8"/>
      <c r="I50" s="8"/>
      <c r="J50" s="1"/>
    </row>
    <row r="51" spans="1:10" ht="13.5" customHeight="1" thickBot="1" x14ac:dyDescent="0.25">
      <c r="A51" s="6">
        <f t="shared" si="0"/>
        <v>37</v>
      </c>
      <c r="B51" s="6">
        <v>0</v>
      </c>
      <c r="C51" s="6">
        <v>37</v>
      </c>
      <c r="D51" s="6">
        <f t="shared" si="1"/>
        <v>232</v>
      </c>
      <c r="E51" s="6">
        <v>86</v>
      </c>
      <c r="F51" s="6">
        <v>146</v>
      </c>
      <c r="G51" s="7" t="s">
        <v>11</v>
      </c>
      <c r="H51" s="8">
        <v>11</v>
      </c>
      <c r="I51" s="8" t="s">
        <v>124</v>
      </c>
      <c r="J51" s="1"/>
    </row>
    <row r="52" spans="1:10" ht="13.5" customHeight="1" thickBot="1" x14ac:dyDescent="0.25">
      <c r="A52" s="6">
        <f t="shared" ref="A52:F52" si="17">SUM(A50:A51)</f>
        <v>88</v>
      </c>
      <c r="B52" s="6">
        <f t="shared" si="17"/>
        <v>0</v>
      </c>
      <c r="C52" s="6">
        <f t="shared" si="17"/>
        <v>88</v>
      </c>
      <c r="D52" s="6">
        <f t="shared" si="17"/>
        <v>388</v>
      </c>
      <c r="E52" s="6">
        <f t="shared" si="17"/>
        <v>183</v>
      </c>
      <c r="F52" s="6">
        <f t="shared" si="17"/>
        <v>205</v>
      </c>
      <c r="G52" s="7" t="s">
        <v>13</v>
      </c>
      <c r="H52" s="9"/>
      <c r="I52" s="9"/>
      <c r="J52" s="1"/>
    </row>
    <row r="53" spans="1:10" ht="13.5" customHeight="1" thickBot="1" x14ac:dyDescent="0.25">
      <c r="A53" s="6">
        <f t="shared" si="0"/>
        <v>41</v>
      </c>
      <c r="B53" s="6">
        <v>0</v>
      </c>
      <c r="C53" s="6">
        <v>41</v>
      </c>
      <c r="D53" s="6">
        <f t="shared" si="1"/>
        <v>253</v>
      </c>
      <c r="E53" s="6">
        <v>191</v>
      </c>
      <c r="F53" s="6">
        <v>62</v>
      </c>
      <c r="G53" s="7" t="s">
        <v>10</v>
      </c>
      <c r="H53" s="8"/>
      <c r="I53" s="8"/>
      <c r="J53" s="1"/>
    </row>
    <row r="54" spans="1:10" ht="13.5" customHeight="1" thickBot="1" x14ac:dyDescent="0.25">
      <c r="A54" s="6">
        <f t="shared" si="0"/>
        <v>16</v>
      </c>
      <c r="B54" s="6">
        <v>0</v>
      </c>
      <c r="C54" s="6">
        <v>16</v>
      </c>
      <c r="D54" s="6">
        <f t="shared" si="1"/>
        <v>159</v>
      </c>
      <c r="E54" s="6">
        <v>119</v>
      </c>
      <c r="F54" s="6">
        <v>40</v>
      </c>
      <c r="G54" s="7" t="s">
        <v>11</v>
      </c>
      <c r="H54" s="8">
        <v>10</v>
      </c>
      <c r="I54" s="8" t="s">
        <v>126</v>
      </c>
      <c r="J54" s="1"/>
    </row>
    <row r="55" spans="1:10" ht="13.5" customHeight="1" thickBot="1" x14ac:dyDescent="0.25">
      <c r="A55" s="6">
        <f t="shared" ref="A55:F55" si="18">SUM(A53:A54)</f>
        <v>57</v>
      </c>
      <c r="B55" s="6">
        <f t="shared" si="18"/>
        <v>0</v>
      </c>
      <c r="C55" s="6">
        <f t="shared" si="18"/>
        <v>57</v>
      </c>
      <c r="D55" s="6">
        <f t="shared" si="18"/>
        <v>412</v>
      </c>
      <c r="E55" s="6">
        <f t="shared" si="18"/>
        <v>310</v>
      </c>
      <c r="F55" s="6">
        <f t="shared" si="18"/>
        <v>102</v>
      </c>
      <c r="G55" s="7" t="s">
        <v>13</v>
      </c>
      <c r="H55" s="9"/>
      <c r="I55" s="9"/>
      <c r="J55" s="1"/>
    </row>
    <row r="56" spans="1:10" ht="13.5" customHeight="1" thickBot="1" x14ac:dyDescent="0.25">
      <c r="A56" s="6">
        <f t="shared" si="0"/>
        <v>1</v>
      </c>
      <c r="B56" s="6">
        <v>1</v>
      </c>
      <c r="C56" s="6">
        <v>0</v>
      </c>
      <c r="D56" s="6">
        <f t="shared" si="1"/>
        <v>50</v>
      </c>
      <c r="E56" s="6">
        <v>40</v>
      </c>
      <c r="F56" s="6">
        <v>10</v>
      </c>
      <c r="G56" s="7" t="s">
        <v>10</v>
      </c>
      <c r="H56" s="8"/>
      <c r="I56" s="8"/>
      <c r="J56" s="1"/>
    </row>
    <row r="57" spans="1:10" ht="13.5" customHeight="1" thickBot="1" x14ac:dyDescent="0.25">
      <c r="A57" s="6">
        <f t="shared" si="0"/>
        <v>36</v>
      </c>
      <c r="B57" s="6">
        <v>5</v>
      </c>
      <c r="C57" s="6">
        <v>31</v>
      </c>
      <c r="D57" s="6">
        <f t="shared" si="1"/>
        <v>109</v>
      </c>
      <c r="E57" s="6">
        <v>67</v>
      </c>
      <c r="F57" s="6">
        <v>42</v>
      </c>
      <c r="G57" s="7" t="s">
        <v>11</v>
      </c>
      <c r="H57" s="8">
        <v>5</v>
      </c>
      <c r="I57" s="8" t="s">
        <v>129</v>
      </c>
      <c r="J57" s="1"/>
    </row>
    <row r="58" spans="1:10" ht="13.5" customHeight="1" thickBot="1" x14ac:dyDescent="0.25">
      <c r="A58" s="6">
        <f t="shared" ref="A58:F58" si="19">SUM(A56:A57)</f>
        <v>37</v>
      </c>
      <c r="B58" s="6">
        <f t="shared" si="19"/>
        <v>6</v>
      </c>
      <c r="C58" s="6">
        <f t="shared" si="19"/>
        <v>31</v>
      </c>
      <c r="D58" s="6">
        <f t="shared" si="19"/>
        <v>159</v>
      </c>
      <c r="E58" s="6">
        <f t="shared" si="19"/>
        <v>107</v>
      </c>
      <c r="F58" s="6">
        <f t="shared" si="19"/>
        <v>52</v>
      </c>
      <c r="G58" s="7" t="s">
        <v>13</v>
      </c>
      <c r="H58" s="9"/>
      <c r="I58" s="9"/>
      <c r="J58" s="1"/>
    </row>
    <row r="59" spans="1:10" ht="13.5" customHeight="1" thickBot="1" x14ac:dyDescent="0.25">
      <c r="A59" s="6">
        <f t="shared" si="0"/>
        <v>1</v>
      </c>
      <c r="B59" s="6">
        <v>0</v>
      </c>
      <c r="C59" s="6">
        <v>1</v>
      </c>
      <c r="D59" s="6">
        <f t="shared" si="1"/>
        <v>175</v>
      </c>
      <c r="E59" s="6">
        <v>173</v>
      </c>
      <c r="F59" s="6">
        <v>2</v>
      </c>
      <c r="G59" s="7" t="s">
        <v>10</v>
      </c>
      <c r="H59" s="8"/>
      <c r="I59" s="8"/>
      <c r="J59" s="1"/>
    </row>
    <row r="60" spans="1:10" ht="13.5" customHeight="1" thickBot="1" x14ac:dyDescent="0.25">
      <c r="A60" s="6">
        <f t="shared" si="0"/>
        <v>478</v>
      </c>
      <c r="B60" s="6">
        <v>0</v>
      </c>
      <c r="C60" s="6">
        <v>478</v>
      </c>
      <c r="D60" s="6">
        <f t="shared" si="1"/>
        <v>1560</v>
      </c>
      <c r="E60" s="6">
        <v>492</v>
      </c>
      <c r="F60" s="6">
        <v>1068</v>
      </c>
      <c r="G60" s="7" t="s">
        <v>11</v>
      </c>
      <c r="H60" s="8">
        <v>23</v>
      </c>
      <c r="I60" s="8" t="s">
        <v>131</v>
      </c>
      <c r="J60" s="1"/>
    </row>
    <row r="61" spans="1:10" ht="13.5" customHeight="1" thickBot="1" x14ac:dyDescent="0.25">
      <c r="A61" s="6">
        <f t="shared" ref="A61:F61" si="20">SUM(A59:A60)</f>
        <v>479</v>
      </c>
      <c r="B61" s="6">
        <f t="shared" si="20"/>
        <v>0</v>
      </c>
      <c r="C61" s="6">
        <f t="shared" si="20"/>
        <v>479</v>
      </c>
      <c r="D61" s="6">
        <f t="shared" si="20"/>
        <v>1735</v>
      </c>
      <c r="E61" s="6">
        <f t="shared" si="20"/>
        <v>665</v>
      </c>
      <c r="F61" s="6">
        <f t="shared" si="20"/>
        <v>1070</v>
      </c>
      <c r="G61" s="7" t="s">
        <v>13</v>
      </c>
      <c r="H61" s="9"/>
      <c r="I61" s="9"/>
      <c r="J61" s="1"/>
    </row>
    <row r="62" spans="1:10" ht="13.5" customHeight="1" thickBot="1" x14ac:dyDescent="0.25">
      <c r="A62" s="6">
        <f t="shared" si="0"/>
        <v>45</v>
      </c>
      <c r="B62" s="6">
        <v>0</v>
      </c>
      <c r="C62" s="6">
        <v>45</v>
      </c>
      <c r="D62" s="6">
        <f t="shared" si="1"/>
        <v>173</v>
      </c>
      <c r="E62" s="6">
        <v>102</v>
      </c>
      <c r="F62" s="6">
        <v>71</v>
      </c>
      <c r="G62" s="7" t="s">
        <v>10</v>
      </c>
      <c r="H62" s="8"/>
      <c r="I62" s="8"/>
      <c r="J62" s="1"/>
    </row>
    <row r="63" spans="1:10" ht="13.5" customHeight="1" thickBot="1" x14ac:dyDescent="0.25">
      <c r="A63" s="6">
        <f t="shared" si="0"/>
        <v>15</v>
      </c>
      <c r="B63" s="6">
        <v>0</v>
      </c>
      <c r="C63" s="6">
        <v>15</v>
      </c>
      <c r="D63" s="6">
        <f t="shared" si="1"/>
        <v>100</v>
      </c>
      <c r="E63" s="6">
        <v>61</v>
      </c>
      <c r="F63" s="6">
        <v>39</v>
      </c>
      <c r="G63" s="7" t="s">
        <v>11</v>
      </c>
      <c r="H63" s="8">
        <v>7</v>
      </c>
      <c r="I63" s="8" t="s">
        <v>166</v>
      </c>
      <c r="J63" s="1"/>
    </row>
    <row r="64" spans="1:10" ht="13.5" customHeight="1" thickBot="1" x14ac:dyDescent="0.25">
      <c r="A64" s="6">
        <f t="shared" ref="A64:F64" si="21">SUM(A62:A63)</f>
        <v>60</v>
      </c>
      <c r="B64" s="6">
        <f t="shared" si="21"/>
        <v>0</v>
      </c>
      <c r="C64" s="6">
        <f t="shared" si="21"/>
        <v>60</v>
      </c>
      <c r="D64" s="6">
        <f t="shared" si="21"/>
        <v>273</v>
      </c>
      <c r="E64" s="6">
        <f t="shared" si="21"/>
        <v>163</v>
      </c>
      <c r="F64" s="6">
        <f t="shared" si="21"/>
        <v>110</v>
      </c>
      <c r="G64" s="7" t="s">
        <v>13</v>
      </c>
      <c r="H64" s="9"/>
      <c r="I64" s="9"/>
      <c r="J64" s="1"/>
    </row>
    <row r="65" spans="1:10" ht="13.5" customHeight="1" thickBot="1" x14ac:dyDescent="0.25">
      <c r="A65" s="6">
        <f t="shared" ref="A65:E67" si="22">A5+A8+A11+A14+A17+A20+A23+A26+A29+A32+A35+A38+A41+A44+A47+A50+A53+A56+A59+A62</f>
        <v>14858</v>
      </c>
      <c r="B65" s="6">
        <f t="shared" si="22"/>
        <v>2291</v>
      </c>
      <c r="C65" s="6">
        <f t="shared" si="22"/>
        <v>12567</v>
      </c>
      <c r="D65" s="6">
        <f t="shared" si="22"/>
        <v>15924</v>
      </c>
      <c r="E65" s="6">
        <f t="shared" si="22"/>
        <v>6586</v>
      </c>
      <c r="F65" s="6">
        <f>F5+F8+F11+F14+F17+F20+F23+F26+F29+F32+F35+F38+F41+F44+F47+F50+F53+F56+F59+F62</f>
        <v>9338</v>
      </c>
      <c r="G65" s="4" t="s">
        <v>28</v>
      </c>
      <c r="H65" s="30"/>
      <c r="I65" s="31"/>
      <c r="J65" s="1"/>
    </row>
    <row r="66" spans="1:10" ht="13.5" customHeight="1" thickBot="1" x14ac:dyDescent="0.25">
      <c r="A66" s="6">
        <f t="shared" si="22"/>
        <v>6521</v>
      </c>
      <c r="B66" s="6">
        <f t="shared" si="22"/>
        <v>2050</v>
      </c>
      <c r="C66" s="6">
        <f t="shared" si="22"/>
        <v>4471</v>
      </c>
      <c r="D66" s="6">
        <f t="shared" si="22"/>
        <v>10065</v>
      </c>
      <c r="E66" s="6">
        <f t="shared" si="22"/>
        <v>3001</v>
      </c>
      <c r="F66" s="6">
        <f>F6+F9+F12+F15+F18+F21+F24+F27+F30+F33+F36+F39+F42+F45+F48+F51+F54+F57+F60+F63</f>
        <v>7064</v>
      </c>
      <c r="G66" s="4" t="s">
        <v>29</v>
      </c>
      <c r="H66" s="32">
        <v>358</v>
      </c>
      <c r="I66" s="8" t="s">
        <v>167</v>
      </c>
      <c r="J66" s="1"/>
    </row>
    <row r="67" spans="1:10" ht="13.5" customHeight="1" thickBot="1" x14ac:dyDescent="0.25">
      <c r="A67" s="6">
        <f t="shared" si="22"/>
        <v>21379</v>
      </c>
      <c r="B67" s="6">
        <f t="shared" si="22"/>
        <v>4341</v>
      </c>
      <c r="C67" s="6">
        <f t="shared" si="22"/>
        <v>17038</v>
      </c>
      <c r="D67" s="6">
        <f t="shared" si="22"/>
        <v>25989</v>
      </c>
      <c r="E67" s="6">
        <f t="shared" si="22"/>
        <v>9587</v>
      </c>
      <c r="F67" s="6">
        <f>F7+F10+F13+F16+F19+F22+F25+F28+F31+F34+F37+F40+F43+F46+F49+F52+F55+F58+F61+F64</f>
        <v>16402</v>
      </c>
      <c r="G67" s="4" t="s">
        <v>13</v>
      </c>
      <c r="H67" s="33"/>
      <c r="I67" s="34"/>
      <c r="J67" s="1"/>
    </row>
    <row r="68" spans="1:10" ht="13.5" customHeight="1" thickBot="1" x14ac:dyDescent="0.25">
      <c r="A68" s="6">
        <f t="shared" si="0"/>
        <v>671</v>
      </c>
      <c r="B68" s="6">
        <v>0</v>
      </c>
      <c r="C68" s="6">
        <v>671</v>
      </c>
      <c r="D68" s="6">
        <f t="shared" si="1"/>
        <v>4277</v>
      </c>
      <c r="E68" s="6">
        <v>777</v>
      </c>
      <c r="F68" s="6">
        <v>3500</v>
      </c>
      <c r="G68" s="7" t="s">
        <v>10</v>
      </c>
      <c r="H68" s="32"/>
      <c r="I68" s="8"/>
      <c r="J68" s="1"/>
    </row>
    <row r="69" spans="1:10" ht="13.5" customHeight="1" thickBot="1" x14ac:dyDescent="0.25">
      <c r="A69" s="6">
        <f t="shared" si="0"/>
        <v>54</v>
      </c>
      <c r="B69" s="6">
        <v>0</v>
      </c>
      <c r="C69" s="6">
        <v>54</v>
      </c>
      <c r="D69" s="6">
        <f t="shared" si="1"/>
        <v>118</v>
      </c>
      <c r="E69" s="6">
        <v>0</v>
      </c>
      <c r="F69" s="6">
        <v>118</v>
      </c>
      <c r="G69" s="7" t="s">
        <v>11</v>
      </c>
      <c r="H69" s="8">
        <v>44</v>
      </c>
      <c r="I69" s="8" t="s">
        <v>168</v>
      </c>
      <c r="J69" s="1"/>
    </row>
    <row r="70" spans="1:10" ht="13.5" customHeight="1" thickBot="1" x14ac:dyDescent="0.25">
      <c r="A70" s="6">
        <f t="shared" ref="A70:F70" si="23">SUM(A68:A69)</f>
        <v>725</v>
      </c>
      <c r="B70" s="6">
        <f t="shared" si="23"/>
        <v>0</v>
      </c>
      <c r="C70" s="6">
        <f t="shared" si="23"/>
        <v>725</v>
      </c>
      <c r="D70" s="6">
        <f t="shared" si="23"/>
        <v>4395</v>
      </c>
      <c r="E70" s="6">
        <f t="shared" si="23"/>
        <v>777</v>
      </c>
      <c r="F70" s="6">
        <f t="shared" si="23"/>
        <v>3618</v>
      </c>
      <c r="G70" s="7" t="s">
        <v>13</v>
      </c>
      <c r="H70" s="9"/>
      <c r="I70" s="9"/>
      <c r="J70" s="1"/>
    </row>
    <row r="71" spans="1:10" ht="13.5" customHeight="1" thickBot="1" x14ac:dyDescent="0.25">
      <c r="A71" s="6">
        <f>C71+B71</f>
        <v>81</v>
      </c>
      <c r="B71" s="6">
        <v>59</v>
      </c>
      <c r="C71" s="6">
        <v>22</v>
      </c>
      <c r="D71" s="6">
        <f>F71+E71</f>
        <v>47</v>
      </c>
      <c r="E71" s="6">
        <v>43</v>
      </c>
      <c r="F71" s="6">
        <v>4</v>
      </c>
      <c r="G71" s="7" t="s">
        <v>10</v>
      </c>
      <c r="H71" s="8"/>
      <c r="I71" s="8"/>
      <c r="J71" s="1"/>
    </row>
    <row r="72" spans="1:10" ht="13.5" customHeight="1" thickBot="1" x14ac:dyDescent="0.25">
      <c r="A72" s="6">
        <f>C72+B72</f>
        <v>50</v>
      </c>
      <c r="B72" s="6">
        <v>32</v>
      </c>
      <c r="C72" s="6">
        <v>18</v>
      </c>
      <c r="D72" s="6">
        <f>F72+E72</f>
        <v>8</v>
      </c>
      <c r="E72" s="6">
        <v>2</v>
      </c>
      <c r="F72" s="6">
        <v>6</v>
      </c>
      <c r="G72" s="7" t="s">
        <v>11</v>
      </c>
      <c r="H72" s="8">
        <v>1</v>
      </c>
      <c r="I72" s="8" t="s">
        <v>169</v>
      </c>
      <c r="J72" s="1"/>
    </row>
    <row r="73" spans="1:10" ht="13.5" customHeight="1" thickBot="1" x14ac:dyDescent="0.25">
      <c r="A73" s="6">
        <f t="shared" ref="A73:F73" si="24">SUM(A71:A72)</f>
        <v>131</v>
      </c>
      <c r="B73" s="6">
        <f t="shared" si="24"/>
        <v>91</v>
      </c>
      <c r="C73" s="6">
        <f t="shared" si="24"/>
        <v>40</v>
      </c>
      <c r="D73" s="6">
        <f t="shared" si="24"/>
        <v>55</v>
      </c>
      <c r="E73" s="6">
        <f t="shared" si="24"/>
        <v>45</v>
      </c>
      <c r="F73" s="6">
        <f t="shared" si="24"/>
        <v>10</v>
      </c>
      <c r="G73" s="7" t="s">
        <v>13</v>
      </c>
      <c r="H73" s="9"/>
      <c r="I73" s="9"/>
      <c r="J73" s="1"/>
    </row>
    <row r="74" spans="1:10" ht="13.5" customHeight="1" thickBot="1" x14ac:dyDescent="0.25">
      <c r="A74" s="6">
        <f>C74+B74</f>
        <v>256</v>
      </c>
      <c r="B74" s="6">
        <v>17</v>
      </c>
      <c r="C74" s="6">
        <v>239</v>
      </c>
      <c r="D74" s="6">
        <f>F74+E74</f>
        <v>532</v>
      </c>
      <c r="E74" s="6">
        <v>448</v>
      </c>
      <c r="F74" s="6">
        <v>84</v>
      </c>
      <c r="G74" s="7" t="s">
        <v>10</v>
      </c>
      <c r="H74" s="8"/>
      <c r="I74" s="8"/>
      <c r="J74" s="1"/>
    </row>
    <row r="75" spans="1:10" ht="13.5" customHeight="1" thickBot="1" x14ac:dyDescent="0.25">
      <c r="A75" s="6">
        <f>C75+B75</f>
        <v>20</v>
      </c>
      <c r="B75" s="6">
        <v>2</v>
      </c>
      <c r="C75" s="6">
        <v>18</v>
      </c>
      <c r="D75" s="6">
        <f>F75+E75</f>
        <v>62</v>
      </c>
      <c r="E75" s="6">
        <v>55</v>
      </c>
      <c r="F75" s="6">
        <v>7</v>
      </c>
      <c r="G75" s="7" t="s">
        <v>11</v>
      </c>
      <c r="H75" s="8">
        <v>4</v>
      </c>
      <c r="I75" s="8" t="s">
        <v>170</v>
      </c>
      <c r="J75" s="1"/>
    </row>
    <row r="76" spans="1:10" ht="13.5" customHeight="1" thickBot="1" x14ac:dyDescent="0.25">
      <c r="A76" s="6">
        <f t="shared" ref="A76:F76" si="25">SUM(A74:A75)</f>
        <v>276</v>
      </c>
      <c r="B76" s="6">
        <f t="shared" si="25"/>
        <v>19</v>
      </c>
      <c r="C76" s="6">
        <f t="shared" si="25"/>
        <v>257</v>
      </c>
      <c r="D76" s="6">
        <f t="shared" si="25"/>
        <v>594</v>
      </c>
      <c r="E76" s="6">
        <f t="shared" si="25"/>
        <v>503</v>
      </c>
      <c r="F76" s="6">
        <f t="shared" si="25"/>
        <v>91</v>
      </c>
      <c r="G76" s="7" t="s">
        <v>13</v>
      </c>
      <c r="H76" s="9"/>
      <c r="I76" s="9"/>
      <c r="J76" s="1"/>
    </row>
    <row r="77" spans="1:10" ht="13.5" customHeight="1" thickBot="1" x14ac:dyDescent="0.25">
      <c r="A77" s="6">
        <f>C77+B77</f>
        <v>329</v>
      </c>
      <c r="B77" s="6">
        <v>14</v>
      </c>
      <c r="C77" s="6">
        <v>315</v>
      </c>
      <c r="D77" s="6">
        <f>F77+E77</f>
        <v>455</v>
      </c>
      <c r="E77" s="6">
        <v>113</v>
      </c>
      <c r="F77" s="6">
        <v>342</v>
      </c>
      <c r="G77" s="7" t="s">
        <v>10</v>
      </c>
      <c r="H77" s="8"/>
      <c r="I77" s="8"/>
      <c r="J77" s="1"/>
    </row>
    <row r="78" spans="1:10" ht="13.5" customHeight="1" thickBot="1" x14ac:dyDescent="0.25">
      <c r="A78" s="6">
        <f>C78+B78</f>
        <v>41</v>
      </c>
      <c r="B78" s="6">
        <v>0</v>
      </c>
      <c r="C78" s="6">
        <v>41</v>
      </c>
      <c r="D78" s="6">
        <f>F78+E78</f>
        <v>59</v>
      </c>
      <c r="E78" s="6">
        <v>6</v>
      </c>
      <c r="F78" s="6">
        <v>53</v>
      </c>
      <c r="G78" s="7" t="s">
        <v>11</v>
      </c>
      <c r="H78" s="8">
        <v>1</v>
      </c>
      <c r="I78" s="8" t="s">
        <v>171</v>
      </c>
      <c r="J78" s="1"/>
    </row>
    <row r="79" spans="1:10" ht="13.5" customHeight="1" thickBot="1" x14ac:dyDescent="0.25">
      <c r="A79" s="6">
        <f t="shared" ref="A79:F79" si="26">SUM(A77:A78)</f>
        <v>370</v>
      </c>
      <c r="B79" s="6">
        <f t="shared" si="26"/>
        <v>14</v>
      </c>
      <c r="C79" s="6">
        <f t="shared" si="26"/>
        <v>356</v>
      </c>
      <c r="D79" s="6">
        <f t="shared" si="26"/>
        <v>514</v>
      </c>
      <c r="E79" s="6">
        <f t="shared" si="26"/>
        <v>119</v>
      </c>
      <c r="F79" s="6">
        <f t="shared" si="26"/>
        <v>395</v>
      </c>
      <c r="G79" s="7" t="s">
        <v>13</v>
      </c>
      <c r="H79" s="9"/>
      <c r="I79" s="9"/>
      <c r="J79" s="1"/>
    </row>
    <row r="80" spans="1:10" ht="13.5" customHeight="1" thickBot="1" x14ac:dyDescent="0.25">
      <c r="A80" s="6">
        <f t="shared" ref="A80:E82" si="27">A68+A71+A74+A77</f>
        <v>1337</v>
      </c>
      <c r="B80" s="6">
        <f t="shared" si="27"/>
        <v>90</v>
      </c>
      <c r="C80" s="6">
        <f t="shared" si="27"/>
        <v>1247</v>
      </c>
      <c r="D80" s="6">
        <f t="shared" si="27"/>
        <v>5311</v>
      </c>
      <c r="E80" s="6">
        <f t="shared" si="27"/>
        <v>1381</v>
      </c>
      <c r="F80" s="6">
        <f>F68+F71+F74+F77</f>
        <v>3930</v>
      </c>
      <c r="G80" s="7" t="s">
        <v>10</v>
      </c>
      <c r="H80" s="8"/>
      <c r="I80" s="8"/>
      <c r="J80" s="1"/>
    </row>
    <row r="81" spans="1:10" ht="13.5" customHeight="1" thickBot="1" x14ac:dyDescent="0.25">
      <c r="A81" s="6">
        <f t="shared" si="27"/>
        <v>165</v>
      </c>
      <c r="B81" s="6">
        <f t="shared" si="27"/>
        <v>34</v>
      </c>
      <c r="C81" s="6">
        <f t="shared" si="27"/>
        <v>131</v>
      </c>
      <c r="D81" s="6">
        <f t="shared" si="27"/>
        <v>247</v>
      </c>
      <c r="E81" s="6">
        <f t="shared" si="27"/>
        <v>63</v>
      </c>
      <c r="F81" s="6">
        <f>F69+F72+F75+F78</f>
        <v>184</v>
      </c>
      <c r="G81" s="7" t="s">
        <v>11</v>
      </c>
      <c r="H81" s="32">
        <v>50</v>
      </c>
      <c r="I81" s="8" t="s">
        <v>172</v>
      </c>
      <c r="J81" s="1"/>
    </row>
    <row r="82" spans="1:10" ht="13.5" customHeight="1" thickBot="1" x14ac:dyDescent="0.25">
      <c r="A82" s="6">
        <f t="shared" si="27"/>
        <v>1502</v>
      </c>
      <c r="B82" s="6">
        <f t="shared" si="27"/>
        <v>124</v>
      </c>
      <c r="C82" s="6">
        <f t="shared" si="27"/>
        <v>1378</v>
      </c>
      <c r="D82" s="6">
        <f t="shared" si="27"/>
        <v>5558</v>
      </c>
      <c r="E82" s="6">
        <f t="shared" si="27"/>
        <v>1444</v>
      </c>
      <c r="F82" s="6">
        <f>F70+F73+F76+F79</f>
        <v>4114</v>
      </c>
      <c r="G82" s="7" t="s">
        <v>13</v>
      </c>
      <c r="H82" s="9"/>
      <c r="I82" s="9"/>
      <c r="J82" s="1"/>
    </row>
    <row r="83" spans="1:10" ht="13.5" customHeight="1" thickBot="1" x14ac:dyDescent="0.25">
      <c r="A83" s="6">
        <f>C83+B83</f>
        <v>468</v>
      </c>
      <c r="B83" s="6">
        <v>279</v>
      </c>
      <c r="C83" s="6">
        <v>189</v>
      </c>
      <c r="D83" s="6">
        <f>F83+E83</f>
        <v>686</v>
      </c>
      <c r="E83" s="6">
        <v>528</v>
      </c>
      <c r="F83" s="6">
        <v>158</v>
      </c>
      <c r="G83" s="4" t="s">
        <v>28</v>
      </c>
      <c r="H83" s="30"/>
      <c r="I83" s="31"/>
      <c r="J83" s="1"/>
    </row>
    <row r="84" spans="1:10" ht="13.5" customHeight="1" thickBot="1" x14ac:dyDescent="0.25">
      <c r="A84" s="6">
        <f>C84+B84</f>
        <v>567</v>
      </c>
      <c r="B84" s="6">
        <v>264</v>
      </c>
      <c r="C84" s="6">
        <v>303</v>
      </c>
      <c r="D84" s="6">
        <f>F84+E84</f>
        <v>676</v>
      </c>
      <c r="E84" s="6">
        <v>508</v>
      </c>
      <c r="F84" s="6">
        <v>168</v>
      </c>
      <c r="G84" s="4" t="s">
        <v>29</v>
      </c>
      <c r="H84" s="32">
        <v>24</v>
      </c>
      <c r="I84" s="8" t="s">
        <v>173</v>
      </c>
      <c r="J84" s="1"/>
    </row>
    <row r="85" spans="1:10" ht="13.5" customHeight="1" thickBot="1" x14ac:dyDescent="0.25">
      <c r="A85" s="6">
        <f t="shared" ref="A85:F85" si="28">SUM(A83:A84)</f>
        <v>1035</v>
      </c>
      <c r="B85" s="6">
        <f t="shared" si="28"/>
        <v>543</v>
      </c>
      <c r="C85" s="6">
        <f t="shared" si="28"/>
        <v>492</v>
      </c>
      <c r="D85" s="6">
        <f t="shared" si="28"/>
        <v>1362</v>
      </c>
      <c r="E85" s="6">
        <f t="shared" si="28"/>
        <v>1036</v>
      </c>
      <c r="F85" s="6">
        <f t="shared" si="28"/>
        <v>326</v>
      </c>
      <c r="G85" s="4" t="s">
        <v>13</v>
      </c>
      <c r="H85" s="33"/>
      <c r="I85" s="34"/>
      <c r="J85" s="1"/>
    </row>
    <row r="86" spans="1:10" ht="13.5" customHeight="1" thickBot="1" x14ac:dyDescent="0.25">
      <c r="A86" s="6">
        <f t="shared" ref="A86:E88" si="29">A65+A80+A83</f>
        <v>16663</v>
      </c>
      <c r="B86" s="6">
        <f t="shared" si="29"/>
        <v>2660</v>
      </c>
      <c r="C86" s="6">
        <f t="shared" si="29"/>
        <v>14003</v>
      </c>
      <c r="D86" s="6">
        <f t="shared" si="29"/>
        <v>21921</v>
      </c>
      <c r="E86" s="6">
        <f t="shared" si="29"/>
        <v>8495</v>
      </c>
      <c r="F86" s="6">
        <f>F65+F80+F83</f>
        <v>13426</v>
      </c>
      <c r="G86" s="4" t="s">
        <v>28</v>
      </c>
      <c r="H86" s="3"/>
      <c r="I86" s="3"/>
      <c r="J86" s="1"/>
    </row>
    <row r="87" spans="1:10" ht="13.5" customHeight="1" thickBot="1" x14ac:dyDescent="0.25">
      <c r="A87" s="6">
        <f t="shared" si="29"/>
        <v>7253</v>
      </c>
      <c r="B87" s="6">
        <f t="shared" si="29"/>
        <v>2348</v>
      </c>
      <c r="C87" s="6">
        <f t="shared" si="29"/>
        <v>4905</v>
      </c>
      <c r="D87" s="6">
        <f t="shared" si="29"/>
        <v>10988</v>
      </c>
      <c r="E87" s="6">
        <f t="shared" si="29"/>
        <v>3572</v>
      </c>
      <c r="F87" s="6">
        <f>F66+F81+F84</f>
        <v>7416</v>
      </c>
      <c r="G87" s="4" t="s">
        <v>29</v>
      </c>
      <c r="H87" s="35">
        <v>432</v>
      </c>
      <c r="I87" s="11" t="s">
        <v>44</v>
      </c>
      <c r="J87" s="1"/>
    </row>
    <row r="88" spans="1:10" ht="13.5" customHeight="1" thickBot="1" x14ac:dyDescent="0.25">
      <c r="A88" s="6">
        <f t="shared" si="29"/>
        <v>23916</v>
      </c>
      <c r="B88" s="6">
        <f t="shared" si="29"/>
        <v>5008</v>
      </c>
      <c r="C88" s="6">
        <f t="shared" si="29"/>
        <v>18908</v>
      </c>
      <c r="D88" s="6">
        <f t="shared" si="29"/>
        <v>32909</v>
      </c>
      <c r="E88" s="6">
        <f t="shared" si="29"/>
        <v>12067</v>
      </c>
      <c r="F88" s="6">
        <f>F67+F82+F85</f>
        <v>20842</v>
      </c>
      <c r="G88" s="4" t="s">
        <v>13</v>
      </c>
      <c r="H88" s="5"/>
      <c r="I88" s="5"/>
      <c r="J88" s="1"/>
    </row>
  </sheetData>
  <mergeCells count="4">
    <mergeCell ref="A1:I1"/>
    <mergeCell ref="A2:I2"/>
    <mergeCell ref="A3:C3"/>
    <mergeCell ref="D3:F3"/>
  </mergeCells>
  <pageMargins left="0.5" right="0.5" top="0.5" bottom="0.5" header="0.5" footer="0.5"/>
  <pageSetup paperSize="9" orientation="landscape" horizontalDpi="0" verticalDpi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66"/>
  <sheetViews>
    <sheetView showGridLines="0" workbookViewId="0"/>
  </sheetViews>
  <sheetFormatPr defaultRowHeight="12.75" x14ac:dyDescent="0.2"/>
  <cols>
    <col min="1" max="1" width="17.125" style="2" customWidth="1"/>
    <col min="2" max="7" width="11" style="2" customWidth="1"/>
    <col min="8" max="8" width="34.25" style="2" customWidth="1"/>
    <col min="9" max="9" width="19.875" style="2" customWidth="1"/>
    <col min="10" max="256" width="9.125" style="2"/>
    <col min="257" max="257" width="17.125" style="2" customWidth="1"/>
    <col min="258" max="263" width="11" style="2" customWidth="1"/>
    <col min="264" max="264" width="34.25" style="2" customWidth="1"/>
    <col min="265" max="265" width="19.875" style="2" customWidth="1"/>
    <col min="266" max="512" width="9.125" style="2"/>
    <col min="513" max="513" width="17.125" style="2" customWidth="1"/>
    <col min="514" max="519" width="11" style="2" customWidth="1"/>
    <col min="520" max="520" width="34.25" style="2" customWidth="1"/>
    <col min="521" max="521" width="19.875" style="2" customWidth="1"/>
    <col min="522" max="768" width="9.125" style="2"/>
    <col min="769" max="769" width="17.125" style="2" customWidth="1"/>
    <col min="770" max="775" width="11" style="2" customWidth="1"/>
    <col min="776" max="776" width="34.25" style="2" customWidth="1"/>
    <col min="777" max="777" width="19.875" style="2" customWidth="1"/>
    <col min="778" max="1024" width="9.125" style="2"/>
    <col min="1025" max="1025" width="17.125" style="2" customWidth="1"/>
    <col min="1026" max="1031" width="11" style="2" customWidth="1"/>
    <col min="1032" max="1032" width="34.25" style="2" customWidth="1"/>
    <col min="1033" max="1033" width="19.875" style="2" customWidth="1"/>
    <col min="1034" max="1280" width="9.125" style="2"/>
    <col min="1281" max="1281" width="17.125" style="2" customWidth="1"/>
    <col min="1282" max="1287" width="11" style="2" customWidth="1"/>
    <col min="1288" max="1288" width="34.25" style="2" customWidth="1"/>
    <col min="1289" max="1289" width="19.875" style="2" customWidth="1"/>
    <col min="1290" max="1536" width="9.125" style="2"/>
    <col min="1537" max="1537" width="17.125" style="2" customWidth="1"/>
    <col min="1538" max="1543" width="11" style="2" customWidth="1"/>
    <col min="1544" max="1544" width="34.25" style="2" customWidth="1"/>
    <col min="1545" max="1545" width="19.875" style="2" customWidth="1"/>
    <col min="1546" max="1792" width="9.125" style="2"/>
    <col min="1793" max="1793" width="17.125" style="2" customWidth="1"/>
    <col min="1794" max="1799" width="11" style="2" customWidth="1"/>
    <col min="1800" max="1800" width="34.25" style="2" customWidth="1"/>
    <col min="1801" max="1801" width="19.875" style="2" customWidth="1"/>
    <col min="1802" max="2048" width="9.125" style="2"/>
    <col min="2049" max="2049" width="17.125" style="2" customWidth="1"/>
    <col min="2050" max="2055" width="11" style="2" customWidth="1"/>
    <col min="2056" max="2056" width="34.25" style="2" customWidth="1"/>
    <col min="2057" max="2057" width="19.875" style="2" customWidth="1"/>
    <col min="2058" max="2304" width="9.125" style="2"/>
    <col min="2305" max="2305" width="17.125" style="2" customWidth="1"/>
    <col min="2306" max="2311" width="11" style="2" customWidth="1"/>
    <col min="2312" max="2312" width="34.25" style="2" customWidth="1"/>
    <col min="2313" max="2313" width="19.875" style="2" customWidth="1"/>
    <col min="2314" max="2560" width="9.125" style="2"/>
    <col min="2561" max="2561" width="17.125" style="2" customWidth="1"/>
    <col min="2562" max="2567" width="11" style="2" customWidth="1"/>
    <col min="2568" max="2568" width="34.25" style="2" customWidth="1"/>
    <col min="2569" max="2569" width="19.875" style="2" customWidth="1"/>
    <col min="2570" max="2816" width="9.125" style="2"/>
    <col min="2817" max="2817" width="17.125" style="2" customWidth="1"/>
    <col min="2818" max="2823" width="11" style="2" customWidth="1"/>
    <col min="2824" max="2824" width="34.25" style="2" customWidth="1"/>
    <col min="2825" max="2825" width="19.875" style="2" customWidth="1"/>
    <col min="2826" max="3072" width="9.125" style="2"/>
    <col min="3073" max="3073" width="17.125" style="2" customWidth="1"/>
    <col min="3074" max="3079" width="11" style="2" customWidth="1"/>
    <col min="3080" max="3080" width="34.25" style="2" customWidth="1"/>
    <col min="3081" max="3081" width="19.875" style="2" customWidth="1"/>
    <col min="3082" max="3328" width="9.125" style="2"/>
    <col min="3329" max="3329" width="17.125" style="2" customWidth="1"/>
    <col min="3330" max="3335" width="11" style="2" customWidth="1"/>
    <col min="3336" max="3336" width="34.25" style="2" customWidth="1"/>
    <col min="3337" max="3337" width="19.875" style="2" customWidth="1"/>
    <col min="3338" max="3584" width="9.125" style="2"/>
    <col min="3585" max="3585" width="17.125" style="2" customWidth="1"/>
    <col min="3586" max="3591" width="11" style="2" customWidth="1"/>
    <col min="3592" max="3592" width="34.25" style="2" customWidth="1"/>
    <col min="3593" max="3593" width="19.875" style="2" customWidth="1"/>
    <col min="3594" max="3840" width="9.125" style="2"/>
    <col min="3841" max="3841" width="17.125" style="2" customWidth="1"/>
    <col min="3842" max="3847" width="11" style="2" customWidth="1"/>
    <col min="3848" max="3848" width="34.25" style="2" customWidth="1"/>
    <col min="3849" max="3849" width="19.875" style="2" customWidth="1"/>
    <col min="3850" max="4096" width="9.125" style="2"/>
    <col min="4097" max="4097" width="17.125" style="2" customWidth="1"/>
    <col min="4098" max="4103" width="11" style="2" customWidth="1"/>
    <col min="4104" max="4104" width="34.25" style="2" customWidth="1"/>
    <col min="4105" max="4105" width="19.875" style="2" customWidth="1"/>
    <col min="4106" max="4352" width="9.125" style="2"/>
    <col min="4353" max="4353" width="17.125" style="2" customWidth="1"/>
    <col min="4354" max="4359" width="11" style="2" customWidth="1"/>
    <col min="4360" max="4360" width="34.25" style="2" customWidth="1"/>
    <col min="4361" max="4361" width="19.875" style="2" customWidth="1"/>
    <col min="4362" max="4608" width="9.125" style="2"/>
    <col min="4609" max="4609" width="17.125" style="2" customWidth="1"/>
    <col min="4610" max="4615" width="11" style="2" customWidth="1"/>
    <col min="4616" max="4616" width="34.25" style="2" customWidth="1"/>
    <col min="4617" max="4617" width="19.875" style="2" customWidth="1"/>
    <col min="4618" max="4864" width="9.125" style="2"/>
    <col min="4865" max="4865" width="17.125" style="2" customWidth="1"/>
    <col min="4866" max="4871" width="11" style="2" customWidth="1"/>
    <col min="4872" max="4872" width="34.25" style="2" customWidth="1"/>
    <col min="4873" max="4873" width="19.875" style="2" customWidth="1"/>
    <col min="4874" max="5120" width="9.125" style="2"/>
    <col min="5121" max="5121" width="17.125" style="2" customWidth="1"/>
    <col min="5122" max="5127" width="11" style="2" customWidth="1"/>
    <col min="5128" max="5128" width="34.25" style="2" customWidth="1"/>
    <col min="5129" max="5129" width="19.875" style="2" customWidth="1"/>
    <col min="5130" max="5376" width="9.125" style="2"/>
    <col min="5377" max="5377" width="17.125" style="2" customWidth="1"/>
    <col min="5378" max="5383" width="11" style="2" customWidth="1"/>
    <col min="5384" max="5384" width="34.25" style="2" customWidth="1"/>
    <col min="5385" max="5385" width="19.875" style="2" customWidth="1"/>
    <col min="5386" max="5632" width="9.125" style="2"/>
    <col min="5633" max="5633" width="17.125" style="2" customWidth="1"/>
    <col min="5634" max="5639" width="11" style="2" customWidth="1"/>
    <col min="5640" max="5640" width="34.25" style="2" customWidth="1"/>
    <col min="5641" max="5641" width="19.875" style="2" customWidth="1"/>
    <col min="5642" max="5888" width="9.125" style="2"/>
    <col min="5889" max="5889" width="17.125" style="2" customWidth="1"/>
    <col min="5890" max="5895" width="11" style="2" customWidth="1"/>
    <col min="5896" max="5896" width="34.25" style="2" customWidth="1"/>
    <col min="5897" max="5897" width="19.875" style="2" customWidth="1"/>
    <col min="5898" max="6144" width="9.125" style="2"/>
    <col min="6145" max="6145" width="17.125" style="2" customWidth="1"/>
    <col min="6146" max="6151" width="11" style="2" customWidth="1"/>
    <col min="6152" max="6152" width="34.25" style="2" customWidth="1"/>
    <col min="6153" max="6153" width="19.875" style="2" customWidth="1"/>
    <col min="6154" max="6400" width="9.125" style="2"/>
    <col min="6401" max="6401" width="17.125" style="2" customWidth="1"/>
    <col min="6402" max="6407" width="11" style="2" customWidth="1"/>
    <col min="6408" max="6408" width="34.25" style="2" customWidth="1"/>
    <col min="6409" max="6409" width="19.875" style="2" customWidth="1"/>
    <col min="6410" max="6656" width="9.125" style="2"/>
    <col min="6657" max="6657" width="17.125" style="2" customWidth="1"/>
    <col min="6658" max="6663" width="11" style="2" customWidth="1"/>
    <col min="6664" max="6664" width="34.25" style="2" customWidth="1"/>
    <col min="6665" max="6665" width="19.875" style="2" customWidth="1"/>
    <col min="6666" max="6912" width="9.125" style="2"/>
    <col min="6913" max="6913" width="17.125" style="2" customWidth="1"/>
    <col min="6914" max="6919" width="11" style="2" customWidth="1"/>
    <col min="6920" max="6920" width="34.25" style="2" customWidth="1"/>
    <col min="6921" max="6921" width="19.875" style="2" customWidth="1"/>
    <col min="6922" max="7168" width="9.125" style="2"/>
    <col min="7169" max="7169" width="17.125" style="2" customWidth="1"/>
    <col min="7170" max="7175" width="11" style="2" customWidth="1"/>
    <col min="7176" max="7176" width="34.25" style="2" customWidth="1"/>
    <col min="7177" max="7177" width="19.875" style="2" customWidth="1"/>
    <col min="7178" max="7424" width="9.125" style="2"/>
    <col min="7425" max="7425" width="17.125" style="2" customWidth="1"/>
    <col min="7426" max="7431" width="11" style="2" customWidth="1"/>
    <col min="7432" max="7432" width="34.25" style="2" customWidth="1"/>
    <col min="7433" max="7433" width="19.875" style="2" customWidth="1"/>
    <col min="7434" max="7680" width="9.125" style="2"/>
    <col min="7681" max="7681" width="17.125" style="2" customWidth="1"/>
    <col min="7682" max="7687" width="11" style="2" customWidth="1"/>
    <col min="7688" max="7688" width="34.25" style="2" customWidth="1"/>
    <col min="7689" max="7689" width="19.875" style="2" customWidth="1"/>
    <col min="7690" max="7936" width="9.125" style="2"/>
    <col min="7937" max="7937" width="17.125" style="2" customWidth="1"/>
    <col min="7938" max="7943" width="11" style="2" customWidth="1"/>
    <col min="7944" max="7944" width="34.25" style="2" customWidth="1"/>
    <col min="7945" max="7945" width="19.875" style="2" customWidth="1"/>
    <col min="7946" max="8192" width="9.125" style="2"/>
    <col min="8193" max="8193" width="17.125" style="2" customWidth="1"/>
    <col min="8194" max="8199" width="11" style="2" customWidth="1"/>
    <col min="8200" max="8200" width="34.25" style="2" customWidth="1"/>
    <col min="8201" max="8201" width="19.875" style="2" customWidth="1"/>
    <col min="8202" max="8448" width="9.125" style="2"/>
    <col min="8449" max="8449" width="17.125" style="2" customWidth="1"/>
    <col min="8450" max="8455" width="11" style="2" customWidth="1"/>
    <col min="8456" max="8456" width="34.25" style="2" customWidth="1"/>
    <col min="8457" max="8457" width="19.875" style="2" customWidth="1"/>
    <col min="8458" max="8704" width="9.125" style="2"/>
    <col min="8705" max="8705" width="17.125" style="2" customWidth="1"/>
    <col min="8706" max="8711" width="11" style="2" customWidth="1"/>
    <col min="8712" max="8712" width="34.25" style="2" customWidth="1"/>
    <col min="8713" max="8713" width="19.875" style="2" customWidth="1"/>
    <col min="8714" max="8960" width="9.125" style="2"/>
    <col min="8961" max="8961" width="17.125" style="2" customWidth="1"/>
    <col min="8962" max="8967" width="11" style="2" customWidth="1"/>
    <col min="8968" max="8968" width="34.25" style="2" customWidth="1"/>
    <col min="8969" max="8969" width="19.875" style="2" customWidth="1"/>
    <col min="8970" max="9216" width="9.125" style="2"/>
    <col min="9217" max="9217" width="17.125" style="2" customWidth="1"/>
    <col min="9218" max="9223" width="11" style="2" customWidth="1"/>
    <col min="9224" max="9224" width="34.25" style="2" customWidth="1"/>
    <col min="9225" max="9225" width="19.875" style="2" customWidth="1"/>
    <col min="9226" max="9472" width="9.125" style="2"/>
    <col min="9473" max="9473" width="17.125" style="2" customWidth="1"/>
    <col min="9474" max="9479" width="11" style="2" customWidth="1"/>
    <col min="9480" max="9480" width="34.25" style="2" customWidth="1"/>
    <col min="9481" max="9481" width="19.875" style="2" customWidth="1"/>
    <col min="9482" max="9728" width="9.125" style="2"/>
    <col min="9729" max="9729" width="17.125" style="2" customWidth="1"/>
    <col min="9730" max="9735" width="11" style="2" customWidth="1"/>
    <col min="9736" max="9736" width="34.25" style="2" customWidth="1"/>
    <col min="9737" max="9737" width="19.875" style="2" customWidth="1"/>
    <col min="9738" max="9984" width="9.125" style="2"/>
    <col min="9985" max="9985" width="17.125" style="2" customWidth="1"/>
    <col min="9986" max="9991" width="11" style="2" customWidth="1"/>
    <col min="9992" max="9992" width="34.25" style="2" customWidth="1"/>
    <col min="9993" max="9993" width="19.875" style="2" customWidth="1"/>
    <col min="9994" max="10240" width="9.125" style="2"/>
    <col min="10241" max="10241" width="17.125" style="2" customWidth="1"/>
    <col min="10242" max="10247" width="11" style="2" customWidth="1"/>
    <col min="10248" max="10248" width="34.25" style="2" customWidth="1"/>
    <col min="10249" max="10249" width="19.875" style="2" customWidth="1"/>
    <col min="10250" max="10496" width="9.125" style="2"/>
    <col min="10497" max="10497" width="17.125" style="2" customWidth="1"/>
    <col min="10498" max="10503" width="11" style="2" customWidth="1"/>
    <col min="10504" max="10504" width="34.25" style="2" customWidth="1"/>
    <col min="10505" max="10505" width="19.875" style="2" customWidth="1"/>
    <col min="10506" max="10752" width="9.125" style="2"/>
    <col min="10753" max="10753" width="17.125" style="2" customWidth="1"/>
    <col min="10754" max="10759" width="11" style="2" customWidth="1"/>
    <col min="10760" max="10760" width="34.25" style="2" customWidth="1"/>
    <col min="10761" max="10761" width="19.875" style="2" customWidth="1"/>
    <col min="10762" max="11008" width="9.125" style="2"/>
    <col min="11009" max="11009" width="17.125" style="2" customWidth="1"/>
    <col min="11010" max="11015" width="11" style="2" customWidth="1"/>
    <col min="11016" max="11016" width="34.25" style="2" customWidth="1"/>
    <col min="11017" max="11017" width="19.875" style="2" customWidth="1"/>
    <col min="11018" max="11264" width="9.125" style="2"/>
    <col min="11265" max="11265" width="17.125" style="2" customWidth="1"/>
    <col min="11266" max="11271" width="11" style="2" customWidth="1"/>
    <col min="11272" max="11272" width="34.25" style="2" customWidth="1"/>
    <col min="11273" max="11273" width="19.875" style="2" customWidth="1"/>
    <col min="11274" max="11520" width="9.125" style="2"/>
    <col min="11521" max="11521" width="17.125" style="2" customWidth="1"/>
    <col min="11522" max="11527" width="11" style="2" customWidth="1"/>
    <col min="11528" max="11528" width="34.25" style="2" customWidth="1"/>
    <col min="11529" max="11529" width="19.875" style="2" customWidth="1"/>
    <col min="11530" max="11776" width="9.125" style="2"/>
    <col min="11777" max="11777" width="17.125" style="2" customWidth="1"/>
    <col min="11778" max="11783" width="11" style="2" customWidth="1"/>
    <col min="11784" max="11784" width="34.25" style="2" customWidth="1"/>
    <col min="11785" max="11785" width="19.875" style="2" customWidth="1"/>
    <col min="11786" max="12032" width="9.125" style="2"/>
    <col min="12033" max="12033" width="17.125" style="2" customWidth="1"/>
    <col min="12034" max="12039" width="11" style="2" customWidth="1"/>
    <col min="12040" max="12040" width="34.25" style="2" customWidth="1"/>
    <col min="12041" max="12041" width="19.875" style="2" customWidth="1"/>
    <col min="12042" max="12288" width="9.125" style="2"/>
    <col min="12289" max="12289" width="17.125" style="2" customWidth="1"/>
    <col min="12290" max="12295" width="11" style="2" customWidth="1"/>
    <col min="12296" max="12296" width="34.25" style="2" customWidth="1"/>
    <col min="12297" max="12297" width="19.875" style="2" customWidth="1"/>
    <col min="12298" max="12544" width="9.125" style="2"/>
    <col min="12545" max="12545" width="17.125" style="2" customWidth="1"/>
    <col min="12546" max="12551" width="11" style="2" customWidth="1"/>
    <col min="12552" max="12552" width="34.25" style="2" customWidth="1"/>
    <col min="12553" max="12553" width="19.875" style="2" customWidth="1"/>
    <col min="12554" max="12800" width="9.125" style="2"/>
    <col min="12801" max="12801" width="17.125" style="2" customWidth="1"/>
    <col min="12802" max="12807" width="11" style="2" customWidth="1"/>
    <col min="12808" max="12808" width="34.25" style="2" customWidth="1"/>
    <col min="12809" max="12809" width="19.875" style="2" customWidth="1"/>
    <col min="12810" max="13056" width="9.125" style="2"/>
    <col min="13057" max="13057" width="17.125" style="2" customWidth="1"/>
    <col min="13058" max="13063" width="11" style="2" customWidth="1"/>
    <col min="13064" max="13064" width="34.25" style="2" customWidth="1"/>
    <col min="13065" max="13065" width="19.875" style="2" customWidth="1"/>
    <col min="13066" max="13312" width="9.125" style="2"/>
    <col min="13313" max="13313" width="17.125" style="2" customWidth="1"/>
    <col min="13314" max="13319" width="11" style="2" customWidth="1"/>
    <col min="13320" max="13320" width="34.25" style="2" customWidth="1"/>
    <col min="13321" max="13321" width="19.875" style="2" customWidth="1"/>
    <col min="13322" max="13568" width="9.125" style="2"/>
    <col min="13569" max="13569" width="17.125" style="2" customWidth="1"/>
    <col min="13570" max="13575" width="11" style="2" customWidth="1"/>
    <col min="13576" max="13576" width="34.25" style="2" customWidth="1"/>
    <col min="13577" max="13577" width="19.875" style="2" customWidth="1"/>
    <col min="13578" max="13824" width="9.125" style="2"/>
    <col min="13825" max="13825" width="17.125" style="2" customWidth="1"/>
    <col min="13826" max="13831" width="11" style="2" customWidth="1"/>
    <col min="13832" max="13832" width="34.25" style="2" customWidth="1"/>
    <col min="13833" max="13833" width="19.875" style="2" customWidth="1"/>
    <col min="13834" max="14080" width="9.125" style="2"/>
    <col min="14081" max="14081" width="17.125" style="2" customWidth="1"/>
    <col min="14082" max="14087" width="11" style="2" customWidth="1"/>
    <col min="14088" max="14088" width="34.25" style="2" customWidth="1"/>
    <col min="14089" max="14089" width="19.875" style="2" customWidth="1"/>
    <col min="14090" max="14336" width="9.125" style="2"/>
    <col min="14337" max="14337" width="17.125" style="2" customWidth="1"/>
    <col min="14338" max="14343" width="11" style="2" customWidth="1"/>
    <col min="14344" max="14344" width="34.25" style="2" customWidth="1"/>
    <col min="14345" max="14345" width="19.875" style="2" customWidth="1"/>
    <col min="14346" max="14592" width="9.125" style="2"/>
    <col min="14593" max="14593" width="17.125" style="2" customWidth="1"/>
    <col min="14594" max="14599" width="11" style="2" customWidth="1"/>
    <col min="14600" max="14600" width="34.25" style="2" customWidth="1"/>
    <col min="14601" max="14601" width="19.875" style="2" customWidth="1"/>
    <col min="14602" max="14848" width="9.125" style="2"/>
    <col min="14849" max="14849" width="17.125" style="2" customWidth="1"/>
    <col min="14850" max="14855" width="11" style="2" customWidth="1"/>
    <col min="14856" max="14856" width="34.25" style="2" customWidth="1"/>
    <col min="14857" max="14857" width="19.875" style="2" customWidth="1"/>
    <col min="14858" max="15104" width="9.125" style="2"/>
    <col min="15105" max="15105" width="17.125" style="2" customWidth="1"/>
    <col min="15106" max="15111" width="11" style="2" customWidth="1"/>
    <col min="15112" max="15112" width="34.25" style="2" customWidth="1"/>
    <col min="15113" max="15113" width="19.875" style="2" customWidth="1"/>
    <col min="15114" max="15360" width="9.125" style="2"/>
    <col min="15361" max="15361" width="17.125" style="2" customWidth="1"/>
    <col min="15362" max="15367" width="11" style="2" customWidth="1"/>
    <col min="15368" max="15368" width="34.25" style="2" customWidth="1"/>
    <col min="15369" max="15369" width="19.875" style="2" customWidth="1"/>
    <col min="15370" max="15616" width="9.125" style="2"/>
    <col min="15617" max="15617" width="17.125" style="2" customWidth="1"/>
    <col min="15618" max="15623" width="11" style="2" customWidth="1"/>
    <col min="15624" max="15624" width="34.25" style="2" customWidth="1"/>
    <col min="15625" max="15625" width="19.875" style="2" customWidth="1"/>
    <col min="15626" max="15872" width="9.125" style="2"/>
    <col min="15873" max="15873" width="17.125" style="2" customWidth="1"/>
    <col min="15874" max="15879" width="11" style="2" customWidth="1"/>
    <col min="15880" max="15880" width="34.25" style="2" customWidth="1"/>
    <col min="15881" max="15881" width="19.875" style="2" customWidth="1"/>
    <col min="15882" max="16128" width="9.125" style="2"/>
    <col min="16129" max="16129" width="17.125" style="2" customWidth="1"/>
    <col min="16130" max="16135" width="11" style="2" customWidth="1"/>
    <col min="16136" max="16136" width="34.25" style="2" customWidth="1"/>
    <col min="16137" max="16137" width="19.875" style="2" customWidth="1"/>
    <col min="16138" max="16384" width="9.125" style="2"/>
  </cols>
  <sheetData>
    <row r="1" spans="1:9" ht="20.100000000000001" customHeight="1" x14ac:dyDescent="0.2">
      <c r="A1" s="13"/>
      <c r="B1" s="155" t="s">
        <v>135</v>
      </c>
      <c r="C1" s="155"/>
      <c r="D1" s="155"/>
      <c r="E1" s="155"/>
      <c r="F1" s="155"/>
      <c r="G1" s="155"/>
      <c r="H1" s="155"/>
      <c r="I1" s="13"/>
    </row>
    <row r="2" spans="1:9" ht="20.100000000000001" customHeight="1" thickBot="1" x14ac:dyDescent="0.25">
      <c r="A2" s="13"/>
      <c r="B2" s="156" t="s">
        <v>136</v>
      </c>
      <c r="C2" s="156"/>
      <c r="D2" s="156"/>
      <c r="E2" s="156"/>
      <c r="F2" s="156"/>
      <c r="G2" s="156"/>
      <c r="H2" s="156"/>
      <c r="I2" s="13"/>
    </row>
    <row r="3" spans="1:9" ht="26.25" thickBot="1" x14ac:dyDescent="0.25">
      <c r="A3" s="13"/>
      <c r="B3" s="14" t="s">
        <v>69</v>
      </c>
      <c r="C3" s="14" t="s">
        <v>70</v>
      </c>
      <c r="D3" s="14" t="s">
        <v>2</v>
      </c>
      <c r="E3" s="14" t="s">
        <v>3</v>
      </c>
      <c r="F3" s="14" t="s">
        <v>4</v>
      </c>
      <c r="G3" s="15" t="s">
        <v>8</v>
      </c>
      <c r="H3" s="14" t="s">
        <v>137</v>
      </c>
      <c r="I3" s="13"/>
    </row>
    <row r="4" spans="1:9" ht="13.5" thickBot="1" x14ac:dyDescent="0.25">
      <c r="A4" s="13"/>
      <c r="B4" s="16">
        <v>70</v>
      </c>
      <c r="C4" s="16">
        <v>72</v>
      </c>
      <c r="D4" s="16">
        <v>66</v>
      </c>
      <c r="E4" s="16">
        <v>862</v>
      </c>
      <c r="F4" s="16">
        <v>335</v>
      </c>
      <c r="G4" s="17" t="s">
        <v>10</v>
      </c>
      <c r="H4" s="18"/>
      <c r="I4" s="13"/>
    </row>
    <row r="5" spans="1:9" ht="13.5" thickBot="1" x14ac:dyDescent="0.25">
      <c r="A5" s="13"/>
      <c r="B5" s="16">
        <v>53</v>
      </c>
      <c r="C5" s="16">
        <v>111</v>
      </c>
      <c r="D5" s="16">
        <v>58</v>
      </c>
      <c r="E5" s="16">
        <f>1306+9</f>
        <v>1315</v>
      </c>
      <c r="F5" s="16">
        <v>390</v>
      </c>
      <c r="G5" s="17" t="s">
        <v>11</v>
      </c>
      <c r="H5" s="18" t="s">
        <v>138</v>
      </c>
      <c r="I5" s="13"/>
    </row>
    <row r="6" spans="1:9" ht="13.5" thickBot="1" x14ac:dyDescent="0.25">
      <c r="A6" s="13"/>
      <c r="B6" s="16">
        <f t="shared" ref="B6:E6" si="0">SUM(B4:B5)</f>
        <v>123</v>
      </c>
      <c r="C6" s="16">
        <f t="shared" si="0"/>
        <v>183</v>
      </c>
      <c r="D6" s="16">
        <f t="shared" si="0"/>
        <v>124</v>
      </c>
      <c r="E6" s="16">
        <f t="shared" si="0"/>
        <v>2177</v>
      </c>
      <c r="F6" s="16">
        <f>SUM(F4:F5)</f>
        <v>725</v>
      </c>
      <c r="G6" s="17" t="s">
        <v>13</v>
      </c>
      <c r="H6" s="20"/>
      <c r="I6" s="13"/>
    </row>
    <row r="7" spans="1:9" ht="13.5" thickBot="1" x14ac:dyDescent="0.25">
      <c r="A7" s="13"/>
      <c r="B7" s="16">
        <v>0</v>
      </c>
      <c r="C7" s="16">
        <v>251</v>
      </c>
      <c r="D7" s="16">
        <v>119</v>
      </c>
      <c r="E7" s="16">
        <f>4598+211</f>
        <v>4809</v>
      </c>
      <c r="F7" s="16">
        <v>2868</v>
      </c>
      <c r="G7" s="17" t="s">
        <v>10</v>
      </c>
      <c r="H7" s="18"/>
      <c r="I7" s="13"/>
    </row>
    <row r="8" spans="1:9" ht="13.5" thickBot="1" x14ac:dyDescent="0.25">
      <c r="A8" s="13"/>
      <c r="B8" s="16">
        <v>0</v>
      </c>
      <c r="C8" s="16">
        <v>159</v>
      </c>
      <c r="D8" s="16">
        <v>136</v>
      </c>
      <c r="E8" s="16">
        <f>4271+67</f>
        <v>4338</v>
      </c>
      <c r="F8" s="16">
        <v>1741</v>
      </c>
      <c r="G8" s="17" t="s">
        <v>11</v>
      </c>
      <c r="H8" s="18" t="s">
        <v>139</v>
      </c>
      <c r="I8" s="13"/>
    </row>
    <row r="9" spans="1:9" ht="13.5" thickBot="1" x14ac:dyDescent="0.25">
      <c r="A9" s="13"/>
      <c r="B9" s="16">
        <f t="shared" ref="B9" si="1">SUM(B7:B8)</f>
        <v>0</v>
      </c>
      <c r="C9" s="16">
        <f t="shared" ref="C9" si="2">SUM(C7:C8)</f>
        <v>410</v>
      </c>
      <c r="D9" s="16">
        <f t="shared" ref="D9" si="3">SUM(D7:D8)</f>
        <v>255</v>
      </c>
      <c r="E9" s="16">
        <f t="shared" ref="E9" si="4">SUM(E7:E8)</f>
        <v>9147</v>
      </c>
      <c r="F9" s="16">
        <f>SUM(F7:F8)</f>
        <v>4609</v>
      </c>
      <c r="G9" s="17" t="s">
        <v>13</v>
      </c>
      <c r="H9" s="20"/>
      <c r="I9" s="13"/>
    </row>
    <row r="10" spans="1:9" ht="13.5" thickBot="1" x14ac:dyDescent="0.25">
      <c r="A10" s="13"/>
      <c r="B10" s="16">
        <v>47</v>
      </c>
      <c r="C10" s="16">
        <v>64</v>
      </c>
      <c r="D10" s="16">
        <v>0</v>
      </c>
      <c r="E10" s="16">
        <v>478</v>
      </c>
      <c r="F10" s="16">
        <v>408</v>
      </c>
      <c r="G10" s="17" t="s">
        <v>10</v>
      </c>
      <c r="H10" s="18"/>
      <c r="I10" s="13"/>
    </row>
    <row r="11" spans="1:9" ht="13.5" thickBot="1" x14ac:dyDescent="0.25">
      <c r="A11" s="13"/>
      <c r="B11" s="16">
        <v>27</v>
      </c>
      <c r="C11" s="16">
        <v>62</v>
      </c>
      <c r="D11" s="16">
        <v>0</v>
      </c>
      <c r="E11" s="16">
        <v>680</v>
      </c>
      <c r="F11" s="16">
        <v>284</v>
      </c>
      <c r="G11" s="17" t="s">
        <v>11</v>
      </c>
      <c r="H11" s="18" t="s">
        <v>140</v>
      </c>
      <c r="I11" s="13"/>
    </row>
    <row r="12" spans="1:9" ht="13.5" thickBot="1" x14ac:dyDescent="0.25">
      <c r="A12" s="13"/>
      <c r="B12" s="16">
        <f t="shared" ref="B12" si="5">SUM(B10:B11)</f>
        <v>74</v>
      </c>
      <c r="C12" s="16">
        <f t="shared" ref="C12" si="6">SUM(C10:C11)</f>
        <v>126</v>
      </c>
      <c r="D12" s="16">
        <f t="shared" ref="D12" si="7">SUM(D10:D11)</f>
        <v>0</v>
      </c>
      <c r="E12" s="16">
        <f t="shared" ref="E12" si="8">SUM(E10:E11)</f>
        <v>1158</v>
      </c>
      <c r="F12" s="16">
        <f>SUM(F10:F11)</f>
        <v>692</v>
      </c>
      <c r="G12" s="17" t="s">
        <v>13</v>
      </c>
      <c r="H12" s="20"/>
      <c r="I12" s="13"/>
    </row>
    <row r="13" spans="1:9" ht="13.5" thickBot="1" x14ac:dyDescent="0.25">
      <c r="A13" s="13"/>
      <c r="B13" s="16">
        <v>11</v>
      </c>
      <c r="C13" s="16">
        <v>9</v>
      </c>
      <c r="D13" s="16">
        <v>0</v>
      </c>
      <c r="E13" s="16">
        <v>0</v>
      </c>
      <c r="F13" s="16">
        <v>0</v>
      </c>
      <c r="G13" s="17" t="s">
        <v>10</v>
      </c>
      <c r="H13" s="18"/>
      <c r="I13" s="13"/>
    </row>
    <row r="14" spans="1:9" ht="13.5" thickBot="1" x14ac:dyDescent="0.25">
      <c r="A14" s="13"/>
      <c r="B14" s="16">
        <v>107</v>
      </c>
      <c r="C14" s="16">
        <v>54</v>
      </c>
      <c r="D14" s="16">
        <v>37</v>
      </c>
      <c r="E14" s="16">
        <v>267</v>
      </c>
      <c r="F14" s="16">
        <v>148</v>
      </c>
      <c r="G14" s="17" t="s">
        <v>11</v>
      </c>
      <c r="H14" s="18" t="s">
        <v>141</v>
      </c>
      <c r="I14" s="13"/>
    </row>
    <row r="15" spans="1:9" ht="13.5" thickBot="1" x14ac:dyDescent="0.25">
      <c r="A15" s="13"/>
      <c r="B15" s="16">
        <f t="shared" ref="B15" si="9">SUM(B13:B14)</f>
        <v>118</v>
      </c>
      <c r="C15" s="16">
        <f t="shared" ref="C15" si="10">SUM(C13:C14)</f>
        <v>63</v>
      </c>
      <c r="D15" s="16">
        <f t="shared" ref="D15" si="11">SUM(D13:D14)</f>
        <v>37</v>
      </c>
      <c r="E15" s="16">
        <f t="shared" ref="E15" si="12">SUM(E13:E14)</f>
        <v>267</v>
      </c>
      <c r="F15" s="16">
        <f>SUM(F13:F14)</f>
        <v>148</v>
      </c>
      <c r="G15" s="17" t="s">
        <v>13</v>
      </c>
      <c r="H15" s="20"/>
      <c r="I15" s="13"/>
    </row>
    <row r="16" spans="1:9" ht="13.5" thickBot="1" x14ac:dyDescent="0.25">
      <c r="A16" s="13"/>
      <c r="B16" s="16">
        <v>104</v>
      </c>
      <c r="C16" s="16">
        <v>47</v>
      </c>
      <c r="D16" s="16">
        <v>0</v>
      </c>
      <c r="E16" s="16">
        <v>44</v>
      </c>
      <c r="F16" s="16">
        <v>20</v>
      </c>
      <c r="G16" s="17" t="s">
        <v>10</v>
      </c>
      <c r="H16" s="18"/>
      <c r="I16" s="13"/>
    </row>
    <row r="17" spans="1:9" ht="13.5" thickBot="1" x14ac:dyDescent="0.25">
      <c r="A17" s="13"/>
      <c r="B17" s="16">
        <v>107</v>
      </c>
      <c r="C17" s="16">
        <v>36</v>
      </c>
      <c r="D17" s="16">
        <v>0</v>
      </c>
      <c r="E17" s="16">
        <v>33</v>
      </c>
      <c r="F17" s="16">
        <v>20</v>
      </c>
      <c r="G17" s="17" t="s">
        <v>11</v>
      </c>
      <c r="H17" s="18" t="s">
        <v>142</v>
      </c>
      <c r="I17" s="13"/>
    </row>
    <row r="18" spans="1:9" ht="13.5" thickBot="1" x14ac:dyDescent="0.25">
      <c r="A18" s="13"/>
      <c r="B18" s="16">
        <f t="shared" ref="B18" si="13">SUM(B16:B17)</f>
        <v>211</v>
      </c>
      <c r="C18" s="16">
        <f t="shared" ref="C18" si="14">SUM(C16:C17)</f>
        <v>83</v>
      </c>
      <c r="D18" s="16">
        <f t="shared" ref="D18" si="15">SUM(D16:D17)</f>
        <v>0</v>
      </c>
      <c r="E18" s="16">
        <f t="shared" ref="E18" si="16">SUM(E16:E17)</f>
        <v>77</v>
      </c>
      <c r="F18" s="16">
        <f>SUM(F16:F17)</f>
        <v>40</v>
      </c>
      <c r="G18" s="17" t="s">
        <v>13</v>
      </c>
      <c r="H18" s="20"/>
      <c r="I18" s="13"/>
    </row>
    <row r="19" spans="1:9" ht="13.5" thickBot="1" x14ac:dyDescent="0.25">
      <c r="A19" s="13"/>
      <c r="B19" s="16">
        <v>26</v>
      </c>
      <c r="C19" s="16">
        <v>30</v>
      </c>
      <c r="D19" s="16">
        <v>0</v>
      </c>
      <c r="E19" s="16">
        <v>80</v>
      </c>
      <c r="F19" s="16">
        <v>40</v>
      </c>
      <c r="G19" s="17" t="s">
        <v>10</v>
      </c>
      <c r="H19" s="18"/>
      <c r="I19" s="13"/>
    </row>
    <row r="20" spans="1:9" ht="13.5" thickBot="1" x14ac:dyDescent="0.25">
      <c r="A20" s="13"/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17" t="s">
        <v>11</v>
      </c>
      <c r="H20" s="18" t="s">
        <v>143</v>
      </c>
      <c r="I20" s="13"/>
    </row>
    <row r="21" spans="1:9" ht="13.5" thickBot="1" x14ac:dyDescent="0.25">
      <c r="A21" s="13"/>
      <c r="B21" s="16">
        <f t="shared" ref="B21" si="17">SUM(B19:B20)</f>
        <v>26</v>
      </c>
      <c r="C21" s="16">
        <f t="shared" ref="C21" si="18">SUM(C19:C20)</f>
        <v>30</v>
      </c>
      <c r="D21" s="16">
        <f t="shared" ref="D21" si="19">SUM(D19:D20)</f>
        <v>0</v>
      </c>
      <c r="E21" s="16">
        <f t="shared" ref="E21" si="20">SUM(E19:E20)</f>
        <v>80</v>
      </c>
      <c r="F21" s="16">
        <f>SUM(F19:F20)</f>
        <v>40</v>
      </c>
      <c r="G21" s="17" t="s">
        <v>13</v>
      </c>
      <c r="H21" s="20"/>
      <c r="I21" s="13"/>
    </row>
    <row r="22" spans="1:9" ht="13.5" thickBot="1" x14ac:dyDescent="0.25">
      <c r="A22" s="13"/>
      <c r="B22" s="16">
        <v>6</v>
      </c>
      <c r="C22" s="16">
        <v>7</v>
      </c>
      <c r="D22" s="16">
        <v>0</v>
      </c>
      <c r="E22" s="16">
        <v>0</v>
      </c>
      <c r="F22" s="16">
        <v>0</v>
      </c>
      <c r="G22" s="17" t="s">
        <v>10</v>
      </c>
      <c r="H22" s="18"/>
      <c r="I22" s="13"/>
    </row>
    <row r="23" spans="1:9" ht="13.5" thickBot="1" x14ac:dyDescent="0.25">
      <c r="A23" s="13"/>
      <c r="B23" s="16">
        <v>105</v>
      </c>
      <c r="C23" s="16">
        <v>74</v>
      </c>
      <c r="D23" s="16">
        <v>104</v>
      </c>
      <c r="E23" s="16">
        <v>920</v>
      </c>
      <c r="F23" s="16">
        <v>304</v>
      </c>
      <c r="G23" s="17" t="s">
        <v>11</v>
      </c>
      <c r="H23" s="18" t="s">
        <v>144</v>
      </c>
      <c r="I23" s="13"/>
    </row>
    <row r="24" spans="1:9" ht="13.5" thickBot="1" x14ac:dyDescent="0.25">
      <c r="A24" s="13"/>
      <c r="B24" s="16">
        <f t="shared" ref="B24" si="21">SUM(B22:B23)</f>
        <v>111</v>
      </c>
      <c r="C24" s="16">
        <f t="shared" ref="C24" si="22">SUM(C22:C23)</f>
        <v>81</v>
      </c>
      <c r="D24" s="16">
        <f t="shared" ref="D24" si="23">SUM(D22:D23)</f>
        <v>104</v>
      </c>
      <c r="E24" s="16">
        <f t="shared" ref="E24" si="24">SUM(E22:E23)</f>
        <v>920</v>
      </c>
      <c r="F24" s="16">
        <f>SUM(F22:F23)</f>
        <v>304</v>
      </c>
      <c r="G24" s="17" t="s">
        <v>13</v>
      </c>
      <c r="H24" s="20"/>
      <c r="I24" s="13"/>
    </row>
    <row r="25" spans="1:9" ht="13.5" thickBot="1" x14ac:dyDescent="0.25">
      <c r="A25" s="13"/>
      <c r="B25" s="16">
        <v>17</v>
      </c>
      <c r="C25" s="16">
        <v>13</v>
      </c>
      <c r="D25" s="16">
        <v>13</v>
      </c>
      <c r="E25" s="16">
        <v>163</v>
      </c>
      <c r="F25" s="16">
        <v>98</v>
      </c>
      <c r="G25" s="17" t="s">
        <v>10</v>
      </c>
      <c r="H25" s="18"/>
      <c r="I25" s="13"/>
    </row>
    <row r="26" spans="1:9" ht="13.5" thickBot="1" x14ac:dyDescent="0.25">
      <c r="A26" s="13"/>
      <c r="B26" s="16">
        <v>0</v>
      </c>
      <c r="C26" s="16">
        <v>0</v>
      </c>
      <c r="D26" s="16">
        <v>0</v>
      </c>
      <c r="E26" s="16">
        <v>0</v>
      </c>
      <c r="F26" s="16">
        <v>0</v>
      </c>
      <c r="G26" s="17" t="s">
        <v>11</v>
      </c>
      <c r="H26" s="18" t="s">
        <v>145</v>
      </c>
      <c r="I26" s="13"/>
    </row>
    <row r="27" spans="1:9" ht="13.5" thickBot="1" x14ac:dyDescent="0.25">
      <c r="A27" s="13"/>
      <c r="B27" s="16">
        <f t="shared" ref="B27" si="25">SUM(B25:B26)</f>
        <v>17</v>
      </c>
      <c r="C27" s="16">
        <f t="shared" ref="C27" si="26">SUM(C25:C26)</f>
        <v>13</v>
      </c>
      <c r="D27" s="16">
        <f t="shared" ref="D27" si="27">SUM(D25:D26)</f>
        <v>13</v>
      </c>
      <c r="E27" s="16">
        <f t="shared" ref="E27" si="28">SUM(E25:E26)</f>
        <v>163</v>
      </c>
      <c r="F27" s="16">
        <f>SUM(F25:F26)</f>
        <v>98</v>
      </c>
      <c r="G27" s="17" t="s">
        <v>13</v>
      </c>
      <c r="H27" s="20"/>
      <c r="I27" s="13"/>
    </row>
    <row r="28" spans="1:9" ht="13.5" thickBot="1" x14ac:dyDescent="0.25">
      <c r="A28" s="13"/>
      <c r="B28" s="16">
        <v>22</v>
      </c>
      <c r="C28" s="16">
        <v>15</v>
      </c>
      <c r="D28" s="16">
        <v>19</v>
      </c>
      <c r="E28" s="16">
        <v>743</v>
      </c>
      <c r="F28" s="16">
        <v>490</v>
      </c>
      <c r="G28" s="17" t="s">
        <v>10</v>
      </c>
      <c r="H28" s="18"/>
      <c r="I28" s="13"/>
    </row>
    <row r="29" spans="1:9" ht="13.5" thickBot="1" x14ac:dyDescent="0.25">
      <c r="A29" s="13"/>
      <c r="B29" s="16">
        <v>0</v>
      </c>
      <c r="C29" s="16">
        <v>1</v>
      </c>
      <c r="D29" s="16">
        <v>0</v>
      </c>
      <c r="E29" s="16">
        <v>0</v>
      </c>
      <c r="F29" s="16">
        <v>0</v>
      </c>
      <c r="G29" s="17" t="s">
        <v>11</v>
      </c>
      <c r="H29" s="18" t="s">
        <v>146</v>
      </c>
      <c r="I29" s="13"/>
    </row>
    <row r="30" spans="1:9" ht="13.5" thickBot="1" x14ac:dyDescent="0.25">
      <c r="A30" s="13"/>
      <c r="B30" s="16">
        <f t="shared" ref="B30" si="29">SUM(B28:B29)</f>
        <v>22</v>
      </c>
      <c r="C30" s="16">
        <f t="shared" ref="C30" si="30">SUM(C28:C29)</f>
        <v>16</v>
      </c>
      <c r="D30" s="16">
        <f t="shared" ref="D30" si="31">SUM(D28:D29)</f>
        <v>19</v>
      </c>
      <c r="E30" s="16">
        <f t="shared" ref="E30" si="32">SUM(E28:E29)</f>
        <v>743</v>
      </c>
      <c r="F30" s="16">
        <f>SUM(F28:F29)</f>
        <v>490</v>
      </c>
      <c r="G30" s="17" t="s">
        <v>13</v>
      </c>
      <c r="H30" s="20"/>
      <c r="I30" s="13"/>
    </row>
    <row r="31" spans="1:9" ht="13.5" thickBot="1" x14ac:dyDescent="0.25">
      <c r="A31" s="13"/>
      <c r="B31" s="16">
        <v>0</v>
      </c>
      <c r="C31" s="16">
        <v>45</v>
      </c>
      <c r="D31" s="16">
        <v>53</v>
      </c>
      <c r="E31" s="16">
        <v>893</v>
      </c>
      <c r="F31" s="16">
        <v>329</v>
      </c>
      <c r="G31" s="17" t="s">
        <v>10</v>
      </c>
      <c r="H31" s="18"/>
      <c r="I31" s="13"/>
    </row>
    <row r="32" spans="1:9" ht="13.5" thickBot="1" x14ac:dyDescent="0.25">
      <c r="A32" s="13"/>
      <c r="B32" s="16">
        <v>0</v>
      </c>
      <c r="C32" s="16">
        <v>0</v>
      </c>
      <c r="D32" s="16">
        <v>0</v>
      </c>
      <c r="E32" s="16">
        <v>0</v>
      </c>
      <c r="F32" s="16">
        <v>0</v>
      </c>
      <c r="G32" s="17" t="s">
        <v>11</v>
      </c>
      <c r="H32" s="18" t="s">
        <v>147</v>
      </c>
      <c r="I32" s="13"/>
    </row>
    <row r="33" spans="1:9" ht="13.5" thickBot="1" x14ac:dyDescent="0.25">
      <c r="A33" s="13"/>
      <c r="B33" s="16">
        <f t="shared" ref="B33" si="33">SUM(B31:B32)</f>
        <v>0</v>
      </c>
      <c r="C33" s="16">
        <f t="shared" ref="C33" si="34">SUM(C31:C32)</f>
        <v>45</v>
      </c>
      <c r="D33" s="16">
        <f t="shared" ref="D33" si="35">SUM(D31:D32)</f>
        <v>53</v>
      </c>
      <c r="E33" s="16">
        <f t="shared" ref="E33" si="36">SUM(E31:E32)</f>
        <v>893</v>
      </c>
      <c r="F33" s="16">
        <f>SUM(F31:F32)</f>
        <v>329</v>
      </c>
      <c r="G33" s="17" t="s">
        <v>13</v>
      </c>
      <c r="H33" s="20"/>
      <c r="I33" s="13"/>
    </row>
    <row r="34" spans="1:9" ht="13.5" thickBot="1" x14ac:dyDescent="0.25">
      <c r="A34" s="13"/>
      <c r="B34" s="16">
        <v>0</v>
      </c>
      <c r="C34" s="16">
        <v>6</v>
      </c>
      <c r="D34" s="16">
        <v>0</v>
      </c>
      <c r="E34" s="16">
        <v>0</v>
      </c>
      <c r="F34" s="16">
        <v>0</v>
      </c>
      <c r="G34" s="17" t="s">
        <v>10</v>
      </c>
      <c r="H34" s="18"/>
      <c r="I34" s="13"/>
    </row>
    <row r="35" spans="1:9" ht="13.5" thickBot="1" x14ac:dyDescent="0.25">
      <c r="A35" s="13"/>
      <c r="B35" s="16">
        <v>6</v>
      </c>
      <c r="C35" s="16">
        <v>14</v>
      </c>
      <c r="D35" s="16">
        <v>32</v>
      </c>
      <c r="E35" s="16">
        <v>126</v>
      </c>
      <c r="F35" s="16">
        <v>22</v>
      </c>
      <c r="G35" s="17" t="s">
        <v>11</v>
      </c>
      <c r="H35" s="18" t="s">
        <v>148</v>
      </c>
      <c r="I35" s="13"/>
    </row>
    <row r="36" spans="1:9" ht="13.5" thickBot="1" x14ac:dyDescent="0.25">
      <c r="A36" s="13"/>
      <c r="B36" s="16">
        <f t="shared" ref="B36" si="37">SUM(B34:B35)</f>
        <v>6</v>
      </c>
      <c r="C36" s="16">
        <f t="shared" ref="C36" si="38">SUM(C34:C35)</f>
        <v>20</v>
      </c>
      <c r="D36" s="16">
        <f t="shared" ref="D36" si="39">SUM(D34:D35)</f>
        <v>32</v>
      </c>
      <c r="E36" s="16">
        <f t="shared" ref="E36" si="40">SUM(E34:E35)</f>
        <v>126</v>
      </c>
      <c r="F36" s="16">
        <f>SUM(F34:F35)</f>
        <v>22</v>
      </c>
      <c r="G36" s="17" t="s">
        <v>13</v>
      </c>
      <c r="H36" s="20"/>
      <c r="I36" s="13"/>
    </row>
    <row r="37" spans="1:9" ht="13.5" thickBot="1" x14ac:dyDescent="0.25">
      <c r="A37" s="13"/>
      <c r="B37" s="16">
        <v>61</v>
      </c>
      <c r="C37" s="16">
        <v>47</v>
      </c>
      <c r="D37" s="16">
        <v>0</v>
      </c>
      <c r="E37" s="16">
        <v>442</v>
      </c>
      <c r="F37" s="16">
        <v>122</v>
      </c>
      <c r="G37" s="17" t="s">
        <v>10</v>
      </c>
      <c r="H37" s="18"/>
      <c r="I37" s="13"/>
    </row>
    <row r="38" spans="1:9" ht="13.5" thickBot="1" x14ac:dyDescent="0.25">
      <c r="A38" s="13"/>
      <c r="B38" s="16">
        <v>73</v>
      </c>
      <c r="C38" s="16">
        <v>28</v>
      </c>
      <c r="D38" s="16">
        <v>2</v>
      </c>
      <c r="E38" s="16">
        <v>575</v>
      </c>
      <c r="F38" s="16">
        <v>191</v>
      </c>
      <c r="G38" s="17" t="s">
        <v>11</v>
      </c>
      <c r="H38" s="18" t="s">
        <v>149</v>
      </c>
      <c r="I38" s="13"/>
    </row>
    <row r="39" spans="1:9" ht="13.5" thickBot="1" x14ac:dyDescent="0.25">
      <c r="A39" s="13"/>
      <c r="B39" s="16">
        <f t="shared" ref="B39" si="41">SUM(B37:B38)</f>
        <v>134</v>
      </c>
      <c r="C39" s="16">
        <f t="shared" ref="C39" si="42">SUM(C37:C38)</f>
        <v>75</v>
      </c>
      <c r="D39" s="16">
        <f t="shared" ref="D39" si="43">SUM(D37:D38)</f>
        <v>2</v>
      </c>
      <c r="E39" s="16">
        <f t="shared" ref="E39" si="44">SUM(E37:E38)</f>
        <v>1017</v>
      </c>
      <c r="F39" s="16">
        <f>SUM(F37:F38)</f>
        <v>313</v>
      </c>
      <c r="G39" s="17" t="s">
        <v>13</v>
      </c>
      <c r="H39" s="20"/>
      <c r="I39" s="13"/>
    </row>
    <row r="40" spans="1:9" ht="13.5" thickBot="1" x14ac:dyDescent="0.25">
      <c r="A40" s="13"/>
      <c r="B40" s="16">
        <v>18</v>
      </c>
      <c r="C40" s="16">
        <v>21</v>
      </c>
      <c r="D40" s="16">
        <v>0</v>
      </c>
      <c r="E40" s="16">
        <v>420</v>
      </c>
      <c r="F40" s="16">
        <v>173</v>
      </c>
      <c r="G40" s="17" t="s">
        <v>10</v>
      </c>
      <c r="H40" s="18"/>
      <c r="I40" s="13"/>
    </row>
    <row r="41" spans="1:9" ht="13.5" thickBot="1" x14ac:dyDescent="0.25">
      <c r="A41" s="13"/>
      <c r="B41" s="16">
        <v>10</v>
      </c>
      <c r="C41" s="16">
        <v>20</v>
      </c>
      <c r="D41" s="16">
        <v>0</v>
      </c>
      <c r="E41" s="16">
        <v>383</v>
      </c>
      <c r="F41" s="16">
        <v>171</v>
      </c>
      <c r="G41" s="17" t="s">
        <v>11</v>
      </c>
      <c r="H41" s="18" t="s">
        <v>150</v>
      </c>
      <c r="I41" s="13"/>
    </row>
    <row r="42" spans="1:9" ht="13.5" thickBot="1" x14ac:dyDescent="0.25">
      <c r="A42" s="13"/>
      <c r="B42" s="16">
        <f t="shared" ref="B42" si="45">SUM(B40:B41)</f>
        <v>28</v>
      </c>
      <c r="C42" s="16">
        <f t="shared" ref="C42" si="46">SUM(C40:C41)</f>
        <v>41</v>
      </c>
      <c r="D42" s="16">
        <f t="shared" ref="D42" si="47">SUM(D40:D41)</f>
        <v>0</v>
      </c>
      <c r="E42" s="16">
        <f t="shared" ref="E42" si="48">SUM(E40:E41)</f>
        <v>803</v>
      </c>
      <c r="F42" s="16">
        <f>SUM(F40:F41)</f>
        <v>344</v>
      </c>
      <c r="G42" s="17" t="s">
        <v>13</v>
      </c>
      <c r="H42" s="20"/>
      <c r="I42" s="13"/>
    </row>
    <row r="43" spans="1:9" ht="13.5" thickBot="1" x14ac:dyDescent="0.25">
      <c r="A43" s="13"/>
      <c r="B43" s="16">
        <v>7</v>
      </c>
      <c r="C43" s="16">
        <v>13</v>
      </c>
      <c r="D43" s="16">
        <v>0</v>
      </c>
      <c r="E43" s="16">
        <v>232</v>
      </c>
      <c r="F43" s="16">
        <v>119</v>
      </c>
      <c r="G43" s="17" t="s">
        <v>10</v>
      </c>
      <c r="H43" s="18"/>
      <c r="I43" s="13"/>
    </row>
    <row r="44" spans="1:9" ht="13.5" thickBot="1" x14ac:dyDescent="0.25">
      <c r="A44" s="13"/>
      <c r="B44" s="16">
        <v>0</v>
      </c>
      <c r="C44" s="16">
        <v>0</v>
      </c>
      <c r="D44" s="16">
        <v>0</v>
      </c>
      <c r="E44" s="16">
        <v>0</v>
      </c>
      <c r="F44" s="16">
        <v>0</v>
      </c>
      <c r="G44" s="17" t="s">
        <v>11</v>
      </c>
      <c r="H44" s="18" t="s">
        <v>151</v>
      </c>
      <c r="I44" s="13"/>
    </row>
    <row r="45" spans="1:9" ht="13.5" thickBot="1" x14ac:dyDescent="0.25">
      <c r="A45" s="13"/>
      <c r="B45" s="16">
        <f t="shared" ref="B45" si="49">SUM(B43:B44)</f>
        <v>7</v>
      </c>
      <c r="C45" s="16">
        <f t="shared" ref="C45" si="50">SUM(C43:C44)</f>
        <v>13</v>
      </c>
      <c r="D45" s="16">
        <f t="shared" ref="D45" si="51">SUM(D43:D44)</f>
        <v>0</v>
      </c>
      <c r="E45" s="16">
        <f t="shared" ref="E45" si="52">SUM(E43:E44)</f>
        <v>232</v>
      </c>
      <c r="F45" s="16">
        <f>SUM(F43:F44)</f>
        <v>119</v>
      </c>
      <c r="G45" s="17" t="s">
        <v>13</v>
      </c>
      <c r="H45" s="20"/>
      <c r="I45" s="13"/>
    </row>
    <row r="46" spans="1:9" ht="13.5" thickBot="1" x14ac:dyDescent="0.25">
      <c r="A46" s="13"/>
      <c r="B46" s="16">
        <v>20</v>
      </c>
      <c r="C46" s="16">
        <v>19</v>
      </c>
      <c r="D46" s="16">
        <v>0</v>
      </c>
      <c r="E46" s="16">
        <v>226</v>
      </c>
      <c r="F46" s="16">
        <v>48</v>
      </c>
      <c r="G46" s="17" t="s">
        <v>10</v>
      </c>
      <c r="H46" s="18"/>
      <c r="I46" s="13"/>
    </row>
    <row r="47" spans="1:9" ht="13.5" thickBot="1" x14ac:dyDescent="0.25">
      <c r="A47" s="13"/>
      <c r="B47" s="16">
        <v>7</v>
      </c>
      <c r="C47" s="16">
        <v>4</v>
      </c>
      <c r="D47" s="16">
        <v>0</v>
      </c>
      <c r="E47" s="16">
        <v>192</v>
      </c>
      <c r="F47" s="16">
        <v>103</v>
      </c>
      <c r="G47" s="17" t="s">
        <v>11</v>
      </c>
      <c r="H47" s="18" t="s">
        <v>152</v>
      </c>
      <c r="I47" s="13"/>
    </row>
    <row r="48" spans="1:9" ht="13.5" thickBot="1" x14ac:dyDescent="0.25">
      <c r="A48" s="13"/>
      <c r="B48" s="16">
        <f t="shared" ref="B48" si="53">SUM(B46:B47)</f>
        <v>27</v>
      </c>
      <c r="C48" s="16">
        <f t="shared" ref="C48" si="54">SUM(C46:C47)</f>
        <v>23</v>
      </c>
      <c r="D48" s="16">
        <f t="shared" ref="D48" si="55">SUM(D46:D47)</f>
        <v>0</v>
      </c>
      <c r="E48" s="16">
        <f t="shared" ref="E48" si="56">SUM(E46:E47)</f>
        <v>418</v>
      </c>
      <c r="F48" s="16">
        <f>SUM(F46:F47)</f>
        <v>151</v>
      </c>
      <c r="G48" s="17" t="s">
        <v>13</v>
      </c>
      <c r="H48" s="20"/>
      <c r="I48" s="13"/>
    </row>
    <row r="49" spans="1:9" ht="13.5" thickBot="1" x14ac:dyDescent="0.25">
      <c r="A49" s="13"/>
      <c r="B49" s="16">
        <v>19</v>
      </c>
      <c r="C49" s="16">
        <v>15</v>
      </c>
      <c r="D49" s="16">
        <v>0</v>
      </c>
      <c r="E49" s="16">
        <v>55</v>
      </c>
      <c r="F49" s="16">
        <v>37</v>
      </c>
      <c r="G49" s="17" t="s">
        <v>10</v>
      </c>
      <c r="H49" s="18"/>
      <c r="I49" s="13"/>
    </row>
    <row r="50" spans="1:9" ht="13.5" thickBot="1" x14ac:dyDescent="0.25">
      <c r="A50" s="13"/>
      <c r="B50" s="16">
        <v>0</v>
      </c>
      <c r="C50" s="16">
        <v>0</v>
      </c>
      <c r="D50" s="16">
        <v>0</v>
      </c>
      <c r="E50" s="16">
        <v>0</v>
      </c>
      <c r="F50" s="16">
        <v>0</v>
      </c>
      <c r="G50" s="17" t="s">
        <v>11</v>
      </c>
      <c r="H50" s="18" t="s">
        <v>153</v>
      </c>
      <c r="I50" s="13"/>
    </row>
    <row r="51" spans="1:9" ht="13.5" thickBot="1" x14ac:dyDescent="0.25">
      <c r="A51" s="13"/>
      <c r="B51" s="16">
        <f t="shared" ref="B51" si="57">SUM(B49:B50)</f>
        <v>19</v>
      </c>
      <c r="C51" s="16">
        <f t="shared" ref="C51" si="58">SUM(C49:C50)</f>
        <v>15</v>
      </c>
      <c r="D51" s="16">
        <f t="shared" ref="D51" si="59">SUM(D49:D50)</f>
        <v>0</v>
      </c>
      <c r="E51" s="16">
        <f t="shared" ref="E51" si="60">SUM(E49:E50)</f>
        <v>55</v>
      </c>
      <c r="F51" s="16">
        <f>SUM(F49:F50)</f>
        <v>37</v>
      </c>
      <c r="G51" s="17" t="s">
        <v>13</v>
      </c>
      <c r="H51" s="20"/>
      <c r="I51" s="13"/>
    </row>
    <row r="52" spans="1:9" ht="13.5" thickBot="1" x14ac:dyDescent="0.25">
      <c r="A52" s="13"/>
      <c r="B52" s="16">
        <v>33</v>
      </c>
      <c r="C52" s="16">
        <v>11</v>
      </c>
      <c r="D52" s="16">
        <v>0</v>
      </c>
      <c r="E52" s="16">
        <v>341</v>
      </c>
      <c r="F52" s="16">
        <v>196</v>
      </c>
      <c r="G52" s="17" t="s">
        <v>10</v>
      </c>
      <c r="H52" s="18"/>
      <c r="I52" s="13"/>
    </row>
    <row r="53" spans="1:9" ht="13.5" thickBot="1" x14ac:dyDescent="0.25">
      <c r="A53" s="13"/>
      <c r="B53" s="16">
        <v>23</v>
      </c>
      <c r="C53" s="16">
        <v>17</v>
      </c>
      <c r="D53" s="16">
        <v>0</v>
      </c>
      <c r="E53" s="16">
        <v>426</v>
      </c>
      <c r="F53" s="16">
        <v>227</v>
      </c>
      <c r="G53" s="17" t="s">
        <v>11</v>
      </c>
      <c r="H53" s="18" t="s">
        <v>154</v>
      </c>
      <c r="I53" s="13"/>
    </row>
    <row r="54" spans="1:9" ht="13.5" thickBot="1" x14ac:dyDescent="0.25">
      <c r="A54" s="13"/>
      <c r="B54" s="16">
        <f t="shared" ref="B54" si="61">SUM(B52:B53)</f>
        <v>56</v>
      </c>
      <c r="C54" s="16">
        <f t="shared" ref="C54" si="62">SUM(C52:C53)</f>
        <v>28</v>
      </c>
      <c r="D54" s="16">
        <f t="shared" ref="D54" si="63">SUM(D52:D53)</f>
        <v>0</v>
      </c>
      <c r="E54" s="16">
        <f t="shared" ref="E54" si="64">SUM(E52:E53)</f>
        <v>767</v>
      </c>
      <c r="F54" s="16">
        <f>SUM(F52:F53)</f>
        <v>423</v>
      </c>
      <c r="G54" s="17" t="s">
        <v>13</v>
      </c>
      <c r="H54" s="20"/>
      <c r="I54" s="13"/>
    </row>
    <row r="55" spans="1:9" ht="13.5" thickBot="1" x14ac:dyDescent="0.25">
      <c r="A55" s="13"/>
      <c r="B55" s="16">
        <v>0</v>
      </c>
      <c r="C55" s="16">
        <v>0</v>
      </c>
      <c r="D55" s="16">
        <v>0</v>
      </c>
      <c r="E55" s="16">
        <v>0</v>
      </c>
      <c r="F55" s="16">
        <v>0</v>
      </c>
      <c r="G55" s="17" t="s">
        <v>10</v>
      </c>
      <c r="H55" s="18"/>
      <c r="I55" s="13"/>
    </row>
    <row r="56" spans="1:9" ht="13.5" thickBot="1" x14ac:dyDescent="0.25">
      <c r="A56" s="13"/>
      <c r="B56" s="16">
        <v>25</v>
      </c>
      <c r="C56" s="16">
        <v>27</v>
      </c>
      <c r="D56" s="16">
        <v>0</v>
      </c>
      <c r="E56" s="16">
        <v>204</v>
      </c>
      <c r="F56" s="16">
        <v>127</v>
      </c>
      <c r="G56" s="17" t="s">
        <v>11</v>
      </c>
      <c r="H56" s="18" t="s">
        <v>155</v>
      </c>
      <c r="I56" s="13"/>
    </row>
    <row r="57" spans="1:9" ht="13.5" thickBot="1" x14ac:dyDescent="0.25">
      <c r="A57" s="13"/>
      <c r="B57" s="16">
        <f t="shared" ref="B57" si="65">SUM(B55:B56)</f>
        <v>25</v>
      </c>
      <c r="C57" s="16">
        <f t="shared" ref="C57" si="66">SUM(C55:C56)</f>
        <v>27</v>
      </c>
      <c r="D57" s="16">
        <f t="shared" ref="D57" si="67">SUM(D55:D56)</f>
        <v>0</v>
      </c>
      <c r="E57" s="16">
        <f t="shared" ref="E57" si="68">SUM(E55:E56)</f>
        <v>204</v>
      </c>
      <c r="F57" s="16">
        <f>SUM(F55:F56)</f>
        <v>127</v>
      </c>
      <c r="G57" s="17" t="s">
        <v>13</v>
      </c>
      <c r="H57" s="20"/>
      <c r="I57" s="13"/>
    </row>
    <row r="58" spans="1:9" ht="13.5" thickBot="1" x14ac:dyDescent="0.25">
      <c r="A58" s="13"/>
      <c r="B58" s="16">
        <v>2</v>
      </c>
      <c r="C58" s="16">
        <v>0</v>
      </c>
      <c r="D58" s="16">
        <v>0</v>
      </c>
      <c r="E58" s="16">
        <v>0</v>
      </c>
      <c r="F58" s="16">
        <v>0</v>
      </c>
      <c r="G58" s="17" t="s">
        <v>10</v>
      </c>
      <c r="H58" s="18"/>
      <c r="I58" s="13"/>
    </row>
    <row r="59" spans="1:9" ht="13.5" thickBot="1" x14ac:dyDescent="0.25">
      <c r="A59" s="13"/>
      <c r="B59" s="16">
        <v>10</v>
      </c>
      <c r="C59" s="16">
        <v>18</v>
      </c>
      <c r="D59" s="16">
        <v>0</v>
      </c>
      <c r="E59" s="16">
        <v>163</v>
      </c>
      <c r="F59" s="16">
        <v>96</v>
      </c>
      <c r="G59" s="17" t="s">
        <v>11</v>
      </c>
      <c r="H59" s="18" t="s">
        <v>156</v>
      </c>
      <c r="I59" s="13"/>
    </row>
    <row r="60" spans="1:9" ht="13.5" thickBot="1" x14ac:dyDescent="0.25">
      <c r="A60" s="13"/>
      <c r="B60" s="16">
        <f t="shared" ref="B60" si="69">SUM(B58:B59)</f>
        <v>12</v>
      </c>
      <c r="C60" s="16">
        <f t="shared" ref="C60" si="70">SUM(C58:C59)</f>
        <v>18</v>
      </c>
      <c r="D60" s="16">
        <f t="shared" ref="D60" si="71">SUM(D58:D59)</f>
        <v>0</v>
      </c>
      <c r="E60" s="16">
        <f t="shared" ref="E60" si="72">SUM(E58:E59)</f>
        <v>163</v>
      </c>
      <c r="F60" s="16">
        <f>SUM(F58:F59)</f>
        <v>96</v>
      </c>
      <c r="G60" s="17" t="s">
        <v>13</v>
      </c>
      <c r="H60" s="20"/>
      <c r="I60" s="13"/>
    </row>
    <row r="61" spans="1:9" ht="13.5" thickBot="1" x14ac:dyDescent="0.25">
      <c r="A61" s="13"/>
      <c r="B61" s="16">
        <v>5</v>
      </c>
      <c r="C61" s="16">
        <v>6</v>
      </c>
      <c r="D61" s="16">
        <v>0</v>
      </c>
      <c r="E61" s="16">
        <v>32</v>
      </c>
      <c r="F61" s="16">
        <v>2</v>
      </c>
      <c r="G61" s="17" t="s">
        <v>10</v>
      </c>
      <c r="H61" s="18"/>
      <c r="I61" s="13"/>
    </row>
    <row r="62" spans="1:9" ht="13.5" thickBot="1" x14ac:dyDescent="0.25">
      <c r="A62" s="13"/>
      <c r="B62" s="16">
        <v>14</v>
      </c>
      <c r="C62" s="16">
        <v>22</v>
      </c>
      <c r="D62" s="16">
        <v>0</v>
      </c>
      <c r="E62" s="16">
        <v>135</v>
      </c>
      <c r="F62" s="16">
        <v>27</v>
      </c>
      <c r="G62" s="17" t="s">
        <v>11</v>
      </c>
      <c r="H62" s="18" t="s">
        <v>157</v>
      </c>
      <c r="I62" s="13"/>
    </row>
    <row r="63" spans="1:9" ht="13.5" thickBot="1" x14ac:dyDescent="0.25">
      <c r="A63" s="13"/>
      <c r="B63" s="16">
        <f t="shared" ref="B63" si="73">SUM(B61:B62)</f>
        <v>19</v>
      </c>
      <c r="C63" s="16">
        <f t="shared" ref="C63" si="74">SUM(C61:C62)</f>
        <v>28</v>
      </c>
      <c r="D63" s="16">
        <f t="shared" ref="D63" si="75">SUM(D61:D62)</f>
        <v>0</v>
      </c>
      <c r="E63" s="16">
        <f t="shared" ref="E63" si="76">SUM(E61:E62)</f>
        <v>167</v>
      </c>
      <c r="F63" s="16">
        <f>SUM(F61:F62)</f>
        <v>29</v>
      </c>
      <c r="G63" s="17" t="s">
        <v>13</v>
      </c>
      <c r="H63" s="20"/>
      <c r="I63" s="13"/>
    </row>
    <row r="64" spans="1:9" ht="13.5" thickBot="1" x14ac:dyDescent="0.25">
      <c r="A64" s="13"/>
      <c r="B64" s="16">
        <f t="shared" ref="B64:F66" si="77">B4+B7+B10+B13+B16+B19+B22+B25+B28+B31+B34+B37+B40+B43+B46+B49+B52+B55+B58+B61</f>
        <v>468</v>
      </c>
      <c r="C64" s="16">
        <f t="shared" si="77"/>
        <v>691</v>
      </c>
      <c r="D64" s="16">
        <f t="shared" si="77"/>
        <v>270</v>
      </c>
      <c r="E64" s="16">
        <f t="shared" si="77"/>
        <v>9820</v>
      </c>
      <c r="F64" s="16">
        <f t="shared" si="77"/>
        <v>5285</v>
      </c>
      <c r="G64" s="14" t="s">
        <v>28</v>
      </c>
      <c r="H64" s="15"/>
      <c r="I64" s="13"/>
    </row>
    <row r="65" spans="1:9" ht="13.5" thickBot="1" x14ac:dyDescent="0.25">
      <c r="A65" s="13"/>
      <c r="B65" s="16">
        <f t="shared" si="77"/>
        <v>567</v>
      </c>
      <c r="C65" s="16">
        <f t="shared" si="77"/>
        <v>647</v>
      </c>
      <c r="D65" s="16">
        <f t="shared" si="77"/>
        <v>369</v>
      </c>
      <c r="E65" s="16">
        <f t="shared" si="77"/>
        <v>9757</v>
      </c>
      <c r="F65" s="16">
        <f t="shared" si="77"/>
        <v>3851</v>
      </c>
      <c r="G65" s="14" t="s">
        <v>29</v>
      </c>
      <c r="H65" s="27" t="s">
        <v>44</v>
      </c>
      <c r="I65" s="13"/>
    </row>
    <row r="66" spans="1:9" ht="13.5" thickBot="1" x14ac:dyDescent="0.25">
      <c r="A66" s="13"/>
      <c r="B66" s="16">
        <f t="shared" si="77"/>
        <v>1035</v>
      </c>
      <c r="C66" s="16">
        <f t="shared" si="77"/>
        <v>1338</v>
      </c>
      <c r="D66" s="16">
        <f t="shared" si="77"/>
        <v>639</v>
      </c>
      <c r="E66" s="16">
        <f t="shared" si="77"/>
        <v>19577</v>
      </c>
      <c r="F66" s="16">
        <f t="shared" si="77"/>
        <v>9136</v>
      </c>
      <c r="G66" s="14" t="s">
        <v>13</v>
      </c>
      <c r="H66" s="28"/>
      <c r="I66" s="13"/>
    </row>
  </sheetData>
  <mergeCells count="2">
    <mergeCell ref="B1:H1"/>
    <mergeCell ref="B2:H2"/>
  </mergeCells>
  <pageMargins left="0.5" right="0.5" top="0.5" bottom="0.5" header="0.5" footer="0.5"/>
  <pageSetup paperSize="9" orientation="landscape" horizontalDpi="0" verticalDpi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23"/>
  <sheetViews>
    <sheetView showGridLines="0" workbookViewId="0">
      <selection activeCell="K2" sqref="K2:K9"/>
    </sheetView>
  </sheetViews>
  <sheetFormatPr defaultRowHeight="12.75" x14ac:dyDescent="0.2"/>
  <cols>
    <col min="1" max="6" width="11" style="2" customWidth="1"/>
    <col min="7" max="7" width="20.625" style="2" customWidth="1"/>
    <col min="8" max="8" width="27.375" style="2" customWidth="1"/>
    <col min="9" max="9" width="8.75" style="2" customWidth="1"/>
    <col min="10" max="256" width="9.125" style="2"/>
    <col min="257" max="262" width="11" style="2" customWidth="1"/>
    <col min="263" max="263" width="20.625" style="2" customWidth="1"/>
    <col min="264" max="264" width="27.375" style="2" customWidth="1"/>
    <col min="265" max="265" width="16.375" style="2" customWidth="1"/>
    <col min="266" max="512" width="9.125" style="2"/>
    <col min="513" max="518" width="11" style="2" customWidth="1"/>
    <col min="519" max="519" width="20.625" style="2" customWidth="1"/>
    <col min="520" max="520" width="27.375" style="2" customWidth="1"/>
    <col min="521" max="521" width="16.375" style="2" customWidth="1"/>
    <col min="522" max="768" width="9.125" style="2"/>
    <col min="769" max="774" width="11" style="2" customWidth="1"/>
    <col min="775" max="775" width="20.625" style="2" customWidth="1"/>
    <col min="776" max="776" width="27.375" style="2" customWidth="1"/>
    <col min="777" max="777" width="16.375" style="2" customWidth="1"/>
    <col min="778" max="1024" width="9.125" style="2"/>
    <col min="1025" max="1030" width="11" style="2" customWidth="1"/>
    <col min="1031" max="1031" width="20.625" style="2" customWidth="1"/>
    <col min="1032" max="1032" width="27.375" style="2" customWidth="1"/>
    <col min="1033" max="1033" width="16.375" style="2" customWidth="1"/>
    <col min="1034" max="1280" width="9.125" style="2"/>
    <col min="1281" max="1286" width="11" style="2" customWidth="1"/>
    <col min="1287" max="1287" width="20.625" style="2" customWidth="1"/>
    <col min="1288" max="1288" width="27.375" style="2" customWidth="1"/>
    <col min="1289" max="1289" width="16.375" style="2" customWidth="1"/>
    <col min="1290" max="1536" width="9.125" style="2"/>
    <col min="1537" max="1542" width="11" style="2" customWidth="1"/>
    <col min="1543" max="1543" width="20.625" style="2" customWidth="1"/>
    <col min="1544" max="1544" width="27.375" style="2" customWidth="1"/>
    <col min="1545" max="1545" width="16.375" style="2" customWidth="1"/>
    <col min="1546" max="1792" width="9.125" style="2"/>
    <col min="1793" max="1798" width="11" style="2" customWidth="1"/>
    <col min="1799" max="1799" width="20.625" style="2" customWidth="1"/>
    <col min="1800" max="1800" width="27.375" style="2" customWidth="1"/>
    <col min="1801" max="1801" width="16.375" style="2" customWidth="1"/>
    <col min="1802" max="2048" width="9.125" style="2"/>
    <col min="2049" max="2054" width="11" style="2" customWidth="1"/>
    <col min="2055" max="2055" width="20.625" style="2" customWidth="1"/>
    <col min="2056" max="2056" width="27.375" style="2" customWidth="1"/>
    <col min="2057" max="2057" width="16.375" style="2" customWidth="1"/>
    <col min="2058" max="2304" width="9.125" style="2"/>
    <col min="2305" max="2310" width="11" style="2" customWidth="1"/>
    <col min="2311" max="2311" width="20.625" style="2" customWidth="1"/>
    <col min="2312" max="2312" width="27.375" style="2" customWidth="1"/>
    <col min="2313" max="2313" width="16.375" style="2" customWidth="1"/>
    <col min="2314" max="2560" width="9.125" style="2"/>
    <col min="2561" max="2566" width="11" style="2" customWidth="1"/>
    <col min="2567" max="2567" width="20.625" style="2" customWidth="1"/>
    <col min="2568" max="2568" width="27.375" style="2" customWidth="1"/>
    <col min="2569" max="2569" width="16.375" style="2" customWidth="1"/>
    <col min="2570" max="2816" width="9.125" style="2"/>
    <col min="2817" max="2822" width="11" style="2" customWidth="1"/>
    <col min="2823" max="2823" width="20.625" style="2" customWidth="1"/>
    <col min="2824" max="2824" width="27.375" style="2" customWidth="1"/>
    <col min="2825" max="2825" width="16.375" style="2" customWidth="1"/>
    <col min="2826" max="3072" width="9.125" style="2"/>
    <col min="3073" max="3078" width="11" style="2" customWidth="1"/>
    <col min="3079" max="3079" width="20.625" style="2" customWidth="1"/>
    <col min="3080" max="3080" width="27.375" style="2" customWidth="1"/>
    <col min="3081" max="3081" width="16.375" style="2" customWidth="1"/>
    <col min="3082" max="3328" width="9.125" style="2"/>
    <col min="3329" max="3334" width="11" style="2" customWidth="1"/>
    <col min="3335" max="3335" width="20.625" style="2" customWidth="1"/>
    <col min="3336" max="3336" width="27.375" style="2" customWidth="1"/>
    <col min="3337" max="3337" width="16.375" style="2" customWidth="1"/>
    <col min="3338" max="3584" width="9.125" style="2"/>
    <col min="3585" max="3590" width="11" style="2" customWidth="1"/>
    <col min="3591" max="3591" width="20.625" style="2" customWidth="1"/>
    <col min="3592" max="3592" width="27.375" style="2" customWidth="1"/>
    <col min="3593" max="3593" width="16.375" style="2" customWidth="1"/>
    <col min="3594" max="3840" width="9.125" style="2"/>
    <col min="3841" max="3846" width="11" style="2" customWidth="1"/>
    <col min="3847" max="3847" width="20.625" style="2" customWidth="1"/>
    <col min="3848" max="3848" width="27.375" style="2" customWidth="1"/>
    <col min="3849" max="3849" width="16.375" style="2" customWidth="1"/>
    <col min="3850" max="4096" width="9.125" style="2"/>
    <col min="4097" max="4102" width="11" style="2" customWidth="1"/>
    <col min="4103" max="4103" width="20.625" style="2" customWidth="1"/>
    <col min="4104" max="4104" width="27.375" style="2" customWidth="1"/>
    <col min="4105" max="4105" width="16.375" style="2" customWidth="1"/>
    <col min="4106" max="4352" width="9.125" style="2"/>
    <col min="4353" max="4358" width="11" style="2" customWidth="1"/>
    <col min="4359" max="4359" width="20.625" style="2" customWidth="1"/>
    <col min="4360" max="4360" width="27.375" style="2" customWidth="1"/>
    <col min="4361" max="4361" width="16.375" style="2" customWidth="1"/>
    <col min="4362" max="4608" width="9.125" style="2"/>
    <col min="4609" max="4614" width="11" style="2" customWidth="1"/>
    <col min="4615" max="4615" width="20.625" style="2" customWidth="1"/>
    <col min="4616" max="4616" width="27.375" style="2" customWidth="1"/>
    <col min="4617" max="4617" width="16.375" style="2" customWidth="1"/>
    <col min="4618" max="4864" width="9.125" style="2"/>
    <col min="4865" max="4870" width="11" style="2" customWidth="1"/>
    <col min="4871" max="4871" width="20.625" style="2" customWidth="1"/>
    <col min="4872" max="4872" width="27.375" style="2" customWidth="1"/>
    <col min="4873" max="4873" width="16.375" style="2" customWidth="1"/>
    <col min="4874" max="5120" width="9.125" style="2"/>
    <col min="5121" max="5126" width="11" style="2" customWidth="1"/>
    <col min="5127" max="5127" width="20.625" style="2" customWidth="1"/>
    <col min="5128" max="5128" width="27.375" style="2" customWidth="1"/>
    <col min="5129" max="5129" width="16.375" style="2" customWidth="1"/>
    <col min="5130" max="5376" width="9.125" style="2"/>
    <col min="5377" max="5382" width="11" style="2" customWidth="1"/>
    <col min="5383" max="5383" width="20.625" style="2" customWidth="1"/>
    <col min="5384" max="5384" width="27.375" style="2" customWidth="1"/>
    <col min="5385" max="5385" width="16.375" style="2" customWidth="1"/>
    <col min="5386" max="5632" width="9.125" style="2"/>
    <col min="5633" max="5638" width="11" style="2" customWidth="1"/>
    <col min="5639" max="5639" width="20.625" style="2" customWidth="1"/>
    <col min="5640" max="5640" width="27.375" style="2" customWidth="1"/>
    <col min="5641" max="5641" width="16.375" style="2" customWidth="1"/>
    <col min="5642" max="5888" width="9.125" style="2"/>
    <col min="5889" max="5894" width="11" style="2" customWidth="1"/>
    <col min="5895" max="5895" width="20.625" style="2" customWidth="1"/>
    <col min="5896" max="5896" width="27.375" style="2" customWidth="1"/>
    <col min="5897" max="5897" width="16.375" style="2" customWidth="1"/>
    <col min="5898" max="6144" width="9.125" style="2"/>
    <col min="6145" max="6150" width="11" style="2" customWidth="1"/>
    <col min="6151" max="6151" width="20.625" style="2" customWidth="1"/>
    <col min="6152" max="6152" width="27.375" style="2" customWidth="1"/>
    <col min="6153" max="6153" width="16.375" style="2" customWidth="1"/>
    <col min="6154" max="6400" width="9.125" style="2"/>
    <col min="6401" max="6406" width="11" style="2" customWidth="1"/>
    <col min="6407" max="6407" width="20.625" style="2" customWidth="1"/>
    <col min="6408" max="6408" width="27.375" style="2" customWidth="1"/>
    <col min="6409" max="6409" width="16.375" style="2" customWidth="1"/>
    <col min="6410" max="6656" width="9.125" style="2"/>
    <col min="6657" max="6662" width="11" style="2" customWidth="1"/>
    <col min="6663" max="6663" width="20.625" style="2" customWidth="1"/>
    <col min="6664" max="6664" width="27.375" style="2" customWidth="1"/>
    <col min="6665" max="6665" width="16.375" style="2" customWidth="1"/>
    <col min="6666" max="6912" width="9.125" style="2"/>
    <col min="6913" max="6918" width="11" style="2" customWidth="1"/>
    <col min="6919" max="6919" width="20.625" style="2" customWidth="1"/>
    <col min="6920" max="6920" width="27.375" style="2" customWidth="1"/>
    <col min="6921" max="6921" width="16.375" style="2" customWidth="1"/>
    <col min="6922" max="7168" width="9.125" style="2"/>
    <col min="7169" max="7174" width="11" style="2" customWidth="1"/>
    <col min="7175" max="7175" width="20.625" style="2" customWidth="1"/>
    <col min="7176" max="7176" width="27.375" style="2" customWidth="1"/>
    <col min="7177" max="7177" width="16.375" style="2" customWidth="1"/>
    <col min="7178" max="7424" width="9.125" style="2"/>
    <col min="7425" max="7430" width="11" style="2" customWidth="1"/>
    <col min="7431" max="7431" width="20.625" style="2" customWidth="1"/>
    <col min="7432" max="7432" width="27.375" style="2" customWidth="1"/>
    <col min="7433" max="7433" width="16.375" style="2" customWidth="1"/>
    <col min="7434" max="7680" width="9.125" style="2"/>
    <col min="7681" max="7686" width="11" style="2" customWidth="1"/>
    <col min="7687" max="7687" width="20.625" style="2" customWidth="1"/>
    <col min="7688" max="7688" width="27.375" style="2" customWidth="1"/>
    <col min="7689" max="7689" width="16.375" style="2" customWidth="1"/>
    <col min="7690" max="7936" width="9.125" style="2"/>
    <col min="7937" max="7942" width="11" style="2" customWidth="1"/>
    <col min="7943" max="7943" width="20.625" style="2" customWidth="1"/>
    <col min="7944" max="7944" width="27.375" style="2" customWidth="1"/>
    <col min="7945" max="7945" width="16.375" style="2" customWidth="1"/>
    <col min="7946" max="8192" width="9.125" style="2"/>
    <col min="8193" max="8198" width="11" style="2" customWidth="1"/>
    <col min="8199" max="8199" width="20.625" style="2" customWidth="1"/>
    <col min="8200" max="8200" width="27.375" style="2" customWidth="1"/>
    <col min="8201" max="8201" width="16.375" style="2" customWidth="1"/>
    <col min="8202" max="8448" width="9.125" style="2"/>
    <col min="8449" max="8454" width="11" style="2" customWidth="1"/>
    <col min="8455" max="8455" width="20.625" style="2" customWidth="1"/>
    <col min="8456" max="8456" width="27.375" style="2" customWidth="1"/>
    <col min="8457" max="8457" width="16.375" style="2" customWidth="1"/>
    <col min="8458" max="8704" width="9.125" style="2"/>
    <col min="8705" max="8710" width="11" style="2" customWidth="1"/>
    <col min="8711" max="8711" width="20.625" style="2" customWidth="1"/>
    <col min="8712" max="8712" width="27.375" style="2" customWidth="1"/>
    <col min="8713" max="8713" width="16.375" style="2" customWidth="1"/>
    <col min="8714" max="8960" width="9.125" style="2"/>
    <col min="8961" max="8966" width="11" style="2" customWidth="1"/>
    <col min="8967" max="8967" width="20.625" style="2" customWidth="1"/>
    <col min="8968" max="8968" width="27.375" style="2" customWidth="1"/>
    <col min="8969" max="8969" width="16.375" style="2" customWidth="1"/>
    <col min="8970" max="9216" width="9.125" style="2"/>
    <col min="9217" max="9222" width="11" style="2" customWidth="1"/>
    <col min="9223" max="9223" width="20.625" style="2" customWidth="1"/>
    <col min="9224" max="9224" width="27.375" style="2" customWidth="1"/>
    <col min="9225" max="9225" width="16.375" style="2" customWidth="1"/>
    <col min="9226" max="9472" width="9.125" style="2"/>
    <col min="9473" max="9478" width="11" style="2" customWidth="1"/>
    <col min="9479" max="9479" width="20.625" style="2" customWidth="1"/>
    <col min="9480" max="9480" width="27.375" style="2" customWidth="1"/>
    <col min="9481" max="9481" width="16.375" style="2" customWidth="1"/>
    <col min="9482" max="9728" width="9.125" style="2"/>
    <col min="9729" max="9734" width="11" style="2" customWidth="1"/>
    <col min="9735" max="9735" width="20.625" style="2" customWidth="1"/>
    <col min="9736" max="9736" width="27.375" style="2" customWidth="1"/>
    <col min="9737" max="9737" width="16.375" style="2" customWidth="1"/>
    <col min="9738" max="9984" width="9.125" style="2"/>
    <col min="9985" max="9990" width="11" style="2" customWidth="1"/>
    <col min="9991" max="9991" width="20.625" style="2" customWidth="1"/>
    <col min="9992" max="9992" width="27.375" style="2" customWidth="1"/>
    <col min="9993" max="9993" width="16.375" style="2" customWidth="1"/>
    <col min="9994" max="10240" width="9.125" style="2"/>
    <col min="10241" max="10246" width="11" style="2" customWidth="1"/>
    <col min="10247" max="10247" width="20.625" style="2" customWidth="1"/>
    <col min="10248" max="10248" width="27.375" style="2" customWidth="1"/>
    <col min="10249" max="10249" width="16.375" style="2" customWidth="1"/>
    <col min="10250" max="10496" width="9.125" style="2"/>
    <col min="10497" max="10502" width="11" style="2" customWidth="1"/>
    <col min="10503" max="10503" width="20.625" style="2" customWidth="1"/>
    <col min="10504" max="10504" width="27.375" style="2" customWidth="1"/>
    <col min="10505" max="10505" width="16.375" style="2" customWidth="1"/>
    <col min="10506" max="10752" width="9.125" style="2"/>
    <col min="10753" max="10758" width="11" style="2" customWidth="1"/>
    <col min="10759" max="10759" width="20.625" style="2" customWidth="1"/>
    <col min="10760" max="10760" width="27.375" style="2" customWidth="1"/>
    <col min="10761" max="10761" width="16.375" style="2" customWidth="1"/>
    <col min="10762" max="11008" width="9.125" style="2"/>
    <col min="11009" max="11014" width="11" style="2" customWidth="1"/>
    <col min="11015" max="11015" width="20.625" style="2" customWidth="1"/>
    <col min="11016" max="11016" width="27.375" style="2" customWidth="1"/>
    <col min="11017" max="11017" width="16.375" style="2" customWidth="1"/>
    <col min="11018" max="11264" width="9.125" style="2"/>
    <col min="11265" max="11270" width="11" style="2" customWidth="1"/>
    <col min="11271" max="11271" width="20.625" style="2" customWidth="1"/>
    <col min="11272" max="11272" width="27.375" style="2" customWidth="1"/>
    <col min="11273" max="11273" width="16.375" style="2" customWidth="1"/>
    <col min="11274" max="11520" width="9.125" style="2"/>
    <col min="11521" max="11526" width="11" style="2" customWidth="1"/>
    <col min="11527" max="11527" width="20.625" style="2" customWidth="1"/>
    <col min="11528" max="11528" width="27.375" style="2" customWidth="1"/>
    <col min="11529" max="11529" width="16.375" style="2" customWidth="1"/>
    <col min="11530" max="11776" width="9.125" style="2"/>
    <col min="11777" max="11782" width="11" style="2" customWidth="1"/>
    <col min="11783" max="11783" width="20.625" style="2" customWidth="1"/>
    <col min="11784" max="11784" width="27.375" style="2" customWidth="1"/>
    <col min="11785" max="11785" width="16.375" style="2" customWidth="1"/>
    <col min="11786" max="12032" width="9.125" style="2"/>
    <col min="12033" max="12038" width="11" style="2" customWidth="1"/>
    <col min="12039" max="12039" width="20.625" style="2" customWidth="1"/>
    <col min="12040" max="12040" width="27.375" style="2" customWidth="1"/>
    <col min="12041" max="12041" width="16.375" style="2" customWidth="1"/>
    <col min="12042" max="12288" width="9.125" style="2"/>
    <col min="12289" max="12294" width="11" style="2" customWidth="1"/>
    <col min="12295" max="12295" width="20.625" style="2" customWidth="1"/>
    <col min="12296" max="12296" width="27.375" style="2" customWidth="1"/>
    <col min="12297" max="12297" width="16.375" style="2" customWidth="1"/>
    <col min="12298" max="12544" width="9.125" style="2"/>
    <col min="12545" max="12550" width="11" style="2" customWidth="1"/>
    <col min="12551" max="12551" width="20.625" style="2" customWidth="1"/>
    <col min="12552" max="12552" width="27.375" style="2" customWidth="1"/>
    <col min="12553" max="12553" width="16.375" style="2" customWidth="1"/>
    <col min="12554" max="12800" width="9.125" style="2"/>
    <col min="12801" max="12806" width="11" style="2" customWidth="1"/>
    <col min="12807" max="12807" width="20.625" style="2" customWidth="1"/>
    <col min="12808" max="12808" width="27.375" style="2" customWidth="1"/>
    <col min="12809" max="12809" width="16.375" style="2" customWidth="1"/>
    <col min="12810" max="13056" width="9.125" style="2"/>
    <col min="13057" max="13062" width="11" style="2" customWidth="1"/>
    <col min="13063" max="13063" width="20.625" style="2" customWidth="1"/>
    <col min="13064" max="13064" width="27.375" style="2" customWidth="1"/>
    <col min="13065" max="13065" width="16.375" style="2" customWidth="1"/>
    <col min="13066" max="13312" width="9.125" style="2"/>
    <col min="13313" max="13318" width="11" style="2" customWidth="1"/>
    <col min="13319" max="13319" width="20.625" style="2" customWidth="1"/>
    <col min="13320" max="13320" width="27.375" style="2" customWidth="1"/>
    <col min="13321" max="13321" width="16.375" style="2" customWidth="1"/>
    <col min="13322" max="13568" width="9.125" style="2"/>
    <col min="13569" max="13574" width="11" style="2" customWidth="1"/>
    <col min="13575" max="13575" width="20.625" style="2" customWidth="1"/>
    <col min="13576" max="13576" width="27.375" style="2" customWidth="1"/>
    <col min="13577" max="13577" width="16.375" style="2" customWidth="1"/>
    <col min="13578" max="13824" width="9.125" style="2"/>
    <col min="13825" max="13830" width="11" style="2" customWidth="1"/>
    <col min="13831" max="13831" width="20.625" style="2" customWidth="1"/>
    <col min="13832" max="13832" width="27.375" style="2" customWidth="1"/>
    <col min="13833" max="13833" width="16.375" style="2" customWidth="1"/>
    <col min="13834" max="14080" width="9.125" style="2"/>
    <col min="14081" max="14086" width="11" style="2" customWidth="1"/>
    <col min="14087" max="14087" width="20.625" style="2" customWidth="1"/>
    <col min="14088" max="14088" width="27.375" style="2" customWidth="1"/>
    <col min="14089" max="14089" width="16.375" style="2" customWidth="1"/>
    <col min="14090" max="14336" width="9.125" style="2"/>
    <col min="14337" max="14342" width="11" style="2" customWidth="1"/>
    <col min="14343" max="14343" width="20.625" style="2" customWidth="1"/>
    <col min="14344" max="14344" width="27.375" style="2" customWidth="1"/>
    <col min="14345" max="14345" width="16.375" style="2" customWidth="1"/>
    <col min="14346" max="14592" width="9.125" style="2"/>
    <col min="14593" max="14598" width="11" style="2" customWidth="1"/>
    <col min="14599" max="14599" width="20.625" style="2" customWidth="1"/>
    <col min="14600" max="14600" width="27.375" style="2" customWidth="1"/>
    <col min="14601" max="14601" width="16.375" style="2" customWidth="1"/>
    <col min="14602" max="14848" width="9.125" style="2"/>
    <col min="14849" max="14854" width="11" style="2" customWidth="1"/>
    <col min="14855" max="14855" width="20.625" style="2" customWidth="1"/>
    <col min="14856" max="14856" width="27.375" style="2" customWidth="1"/>
    <col min="14857" max="14857" width="16.375" style="2" customWidth="1"/>
    <col min="14858" max="15104" width="9.125" style="2"/>
    <col min="15105" max="15110" width="11" style="2" customWidth="1"/>
    <col min="15111" max="15111" width="20.625" style="2" customWidth="1"/>
    <col min="15112" max="15112" width="27.375" style="2" customWidth="1"/>
    <col min="15113" max="15113" width="16.375" style="2" customWidth="1"/>
    <col min="15114" max="15360" width="9.125" style="2"/>
    <col min="15361" max="15366" width="11" style="2" customWidth="1"/>
    <col min="15367" max="15367" width="20.625" style="2" customWidth="1"/>
    <col min="15368" max="15368" width="27.375" style="2" customWidth="1"/>
    <col min="15369" max="15369" width="16.375" style="2" customWidth="1"/>
    <col min="15370" max="15616" width="9.125" style="2"/>
    <col min="15617" max="15622" width="11" style="2" customWidth="1"/>
    <col min="15623" max="15623" width="20.625" style="2" customWidth="1"/>
    <col min="15624" max="15624" width="27.375" style="2" customWidth="1"/>
    <col min="15625" max="15625" width="16.375" style="2" customWidth="1"/>
    <col min="15626" max="15872" width="9.125" style="2"/>
    <col min="15873" max="15878" width="11" style="2" customWidth="1"/>
    <col min="15879" max="15879" width="20.625" style="2" customWidth="1"/>
    <col min="15880" max="15880" width="27.375" style="2" customWidth="1"/>
    <col min="15881" max="15881" width="16.375" style="2" customWidth="1"/>
    <col min="15882" max="16128" width="9.125" style="2"/>
    <col min="16129" max="16134" width="11" style="2" customWidth="1"/>
    <col min="16135" max="16135" width="20.625" style="2" customWidth="1"/>
    <col min="16136" max="16136" width="27.375" style="2" customWidth="1"/>
    <col min="16137" max="16137" width="16.375" style="2" customWidth="1"/>
    <col min="16138" max="16384" width="9.125" style="2"/>
  </cols>
  <sheetData>
    <row r="1" spans="1:10" ht="20.100000000000001" customHeight="1" x14ac:dyDescent="0.2">
      <c r="A1" s="155" t="s">
        <v>84</v>
      </c>
      <c r="B1" s="155"/>
      <c r="C1" s="155"/>
      <c r="D1" s="155"/>
      <c r="E1" s="155"/>
      <c r="F1" s="155"/>
      <c r="G1" s="155"/>
      <c r="H1" s="155"/>
      <c r="I1" s="13"/>
    </row>
    <row r="2" spans="1:10" ht="20.100000000000001" customHeight="1" thickBot="1" x14ac:dyDescent="0.25">
      <c r="A2" s="156" t="s">
        <v>85</v>
      </c>
      <c r="B2" s="156"/>
      <c r="C2" s="156"/>
      <c r="D2" s="156"/>
      <c r="E2" s="156"/>
      <c r="F2" s="156"/>
      <c r="G2" s="156"/>
      <c r="H2" s="156"/>
      <c r="I2" s="13"/>
    </row>
    <row r="3" spans="1:10" ht="26.25" thickBot="1" x14ac:dyDescent="0.25">
      <c r="A3" s="14" t="s">
        <v>69</v>
      </c>
      <c r="B3" s="14" t="s">
        <v>70</v>
      </c>
      <c r="C3" s="14" t="s">
        <v>2</v>
      </c>
      <c r="D3" s="14" t="s">
        <v>3</v>
      </c>
      <c r="E3" s="14" t="s">
        <v>4</v>
      </c>
      <c r="F3" s="15" t="s">
        <v>8</v>
      </c>
      <c r="G3" s="14" t="s">
        <v>86</v>
      </c>
      <c r="H3" s="14" t="s">
        <v>72</v>
      </c>
      <c r="I3" s="13"/>
    </row>
    <row r="4" spans="1:10" ht="13.5" thickBot="1" x14ac:dyDescent="0.25">
      <c r="A4" s="16">
        <v>0</v>
      </c>
      <c r="B4" s="16">
        <v>0</v>
      </c>
      <c r="C4" s="16">
        <v>213</v>
      </c>
      <c r="D4" s="16">
        <v>1018</v>
      </c>
      <c r="E4" s="16">
        <v>572</v>
      </c>
      <c r="F4" s="17" t="s">
        <v>10</v>
      </c>
      <c r="G4" s="18"/>
      <c r="H4" s="18"/>
      <c r="I4" s="13"/>
    </row>
    <row r="5" spans="1:10" ht="13.5" thickBot="1" x14ac:dyDescent="0.25">
      <c r="A5" s="16">
        <v>0</v>
      </c>
      <c r="B5" s="16">
        <v>0</v>
      </c>
      <c r="C5" s="16">
        <v>0</v>
      </c>
      <c r="D5" s="16">
        <v>0</v>
      </c>
      <c r="E5" s="16">
        <v>0</v>
      </c>
      <c r="F5" s="17" t="s">
        <v>11</v>
      </c>
      <c r="G5" s="18" t="s">
        <v>87</v>
      </c>
      <c r="H5" s="18" t="s">
        <v>74</v>
      </c>
      <c r="I5" s="13"/>
    </row>
    <row r="6" spans="1:10" ht="13.5" thickBot="1" x14ac:dyDescent="0.25">
      <c r="A6" s="16">
        <f>SUM(A4:A5)</f>
        <v>0</v>
      </c>
      <c r="B6" s="16">
        <f>SUM(B4:B5)</f>
        <v>0</v>
      </c>
      <c r="C6" s="16">
        <f>SUM(C4:C5)</f>
        <v>213</v>
      </c>
      <c r="D6" s="16">
        <f>SUM(D4:D5)</f>
        <v>1018</v>
      </c>
      <c r="E6" s="16">
        <f>SUM(E4:E5)</f>
        <v>572</v>
      </c>
      <c r="F6" s="17" t="s">
        <v>13</v>
      </c>
      <c r="G6" s="19"/>
      <c r="H6" s="20"/>
      <c r="I6" s="13"/>
    </row>
    <row r="7" spans="1:10" ht="13.5" thickBot="1" x14ac:dyDescent="0.25">
      <c r="A7" s="16">
        <v>18</v>
      </c>
      <c r="B7" s="16">
        <v>27</v>
      </c>
      <c r="C7" s="16">
        <v>139</v>
      </c>
      <c r="D7" s="16">
        <v>165</v>
      </c>
      <c r="E7" s="16">
        <v>239</v>
      </c>
      <c r="F7" s="17" t="s">
        <v>10</v>
      </c>
      <c r="G7" s="18"/>
      <c r="H7" s="162" t="s">
        <v>76</v>
      </c>
      <c r="I7" s="13"/>
    </row>
    <row r="8" spans="1:10" ht="15.75" customHeight="1" thickBot="1" x14ac:dyDescent="0.25">
      <c r="A8" s="16">
        <v>0</v>
      </c>
      <c r="B8" s="16">
        <v>0</v>
      </c>
      <c r="C8" s="16">
        <v>0</v>
      </c>
      <c r="D8" s="16">
        <v>0</v>
      </c>
      <c r="E8" s="16">
        <v>0</v>
      </c>
      <c r="F8" s="17" t="s">
        <v>11</v>
      </c>
      <c r="G8" s="18" t="s">
        <v>88</v>
      </c>
      <c r="H8" s="163"/>
      <c r="I8" s="13"/>
    </row>
    <row r="9" spans="1:10" ht="15.75" customHeight="1" thickBot="1" x14ac:dyDescent="0.25">
      <c r="A9" s="16">
        <f>SUM(A7:A8)</f>
        <v>18</v>
      </c>
      <c r="B9" s="16">
        <f>SUM(B7:B8)</f>
        <v>27</v>
      </c>
      <c r="C9" s="16">
        <f>SUM(C7:C8)</f>
        <v>139</v>
      </c>
      <c r="D9" s="16">
        <f>SUM(D7:D8)</f>
        <v>165</v>
      </c>
      <c r="E9" s="16">
        <f>SUM(E7:E8)</f>
        <v>239</v>
      </c>
      <c r="F9" s="17" t="s">
        <v>13</v>
      </c>
      <c r="G9" s="19"/>
      <c r="H9" s="163"/>
      <c r="I9" s="13"/>
    </row>
    <row r="10" spans="1:10" ht="15.75" customHeight="1" thickBot="1" x14ac:dyDescent="0.25">
      <c r="A10" s="16">
        <v>12</v>
      </c>
      <c r="B10" s="16">
        <v>23</v>
      </c>
      <c r="C10" s="16">
        <v>155</v>
      </c>
      <c r="D10" s="16">
        <v>169</v>
      </c>
      <c r="E10" s="16">
        <v>73</v>
      </c>
      <c r="F10" s="17" t="s">
        <v>10</v>
      </c>
      <c r="G10" s="18"/>
      <c r="H10" s="163"/>
      <c r="I10" s="13"/>
    </row>
    <row r="11" spans="1:10" ht="15.75" customHeight="1" thickBot="1" x14ac:dyDescent="0.25">
      <c r="A11" s="16">
        <v>0</v>
      </c>
      <c r="B11" s="16">
        <v>0</v>
      </c>
      <c r="C11" s="16">
        <v>0</v>
      </c>
      <c r="D11" s="16">
        <v>0</v>
      </c>
      <c r="E11" s="16">
        <v>0</v>
      </c>
      <c r="F11" s="17" t="s">
        <v>11</v>
      </c>
      <c r="G11" s="18" t="s">
        <v>89</v>
      </c>
      <c r="H11" s="163"/>
    </row>
    <row r="12" spans="1:10" ht="15.75" customHeight="1" thickBot="1" x14ac:dyDescent="0.25">
      <c r="A12" s="16">
        <f>SUM(A10:A11)</f>
        <v>12</v>
      </c>
      <c r="B12" s="16">
        <f>SUM(B10:B11)</f>
        <v>23</v>
      </c>
      <c r="C12" s="16">
        <f>SUM(C10:C11)</f>
        <v>155</v>
      </c>
      <c r="D12" s="16">
        <f>SUM(D10:D11)</f>
        <v>169</v>
      </c>
      <c r="E12" s="16">
        <f>SUM(E10:E11)</f>
        <v>73</v>
      </c>
      <c r="F12" s="17" t="s">
        <v>13</v>
      </c>
      <c r="G12" s="19"/>
      <c r="H12" s="164"/>
      <c r="I12" s="13"/>
      <c r="J12" s="13"/>
    </row>
    <row r="13" spans="1:10" ht="13.5" thickBot="1" x14ac:dyDescent="0.25">
      <c r="A13" s="16">
        <v>18</v>
      </c>
      <c r="B13" s="16">
        <v>0</v>
      </c>
      <c r="C13" s="16">
        <v>306</v>
      </c>
      <c r="D13" s="16">
        <v>2535</v>
      </c>
      <c r="E13" s="16">
        <v>1795</v>
      </c>
      <c r="F13" s="17" t="s">
        <v>10</v>
      </c>
      <c r="G13" s="18"/>
      <c r="H13" s="162" t="s">
        <v>78</v>
      </c>
      <c r="I13" s="13"/>
    </row>
    <row r="14" spans="1:10" ht="15.75" customHeight="1" thickBot="1" x14ac:dyDescent="0.25">
      <c r="A14" s="16">
        <v>0</v>
      </c>
      <c r="B14" s="16">
        <v>0</v>
      </c>
      <c r="C14" s="16">
        <v>0</v>
      </c>
      <c r="D14" s="16">
        <v>0</v>
      </c>
      <c r="E14" s="16">
        <v>0</v>
      </c>
      <c r="F14" s="17" t="s">
        <v>11</v>
      </c>
      <c r="G14" s="18" t="s">
        <v>90</v>
      </c>
      <c r="H14" s="163"/>
    </row>
    <row r="15" spans="1:10" ht="15.75" customHeight="1" thickBot="1" x14ac:dyDescent="0.25">
      <c r="A15" s="16">
        <f>SUM(A13:A14)</f>
        <v>18</v>
      </c>
      <c r="B15" s="16">
        <f>SUM(B13:B14)</f>
        <v>0</v>
      </c>
      <c r="C15" s="16">
        <f>SUM(C13:C14)</f>
        <v>306</v>
      </c>
      <c r="D15" s="16">
        <f>SUM(D13:D14)</f>
        <v>2535</v>
      </c>
      <c r="E15" s="16">
        <f>SUM(E13:E14)</f>
        <v>1795</v>
      </c>
      <c r="F15" s="17" t="s">
        <v>13</v>
      </c>
      <c r="G15" s="19"/>
      <c r="H15" s="163"/>
      <c r="I15" s="13"/>
      <c r="J15" s="13"/>
    </row>
    <row r="16" spans="1:10" ht="15.75" customHeight="1" thickBot="1" x14ac:dyDescent="0.25">
      <c r="A16" s="16">
        <v>14</v>
      </c>
      <c r="B16" s="16">
        <v>26</v>
      </c>
      <c r="C16" s="16">
        <v>132</v>
      </c>
      <c r="D16" s="16">
        <v>687</v>
      </c>
      <c r="E16" s="16">
        <v>319</v>
      </c>
      <c r="F16" s="17" t="s">
        <v>10</v>
      </c>
      <c r="G16" s="18"/>
      <c r="H16" s="163"/>
      <c r="I16" s="13"/>
    </row>
    <row r="17" spans="1:10" ht="15.75" customHeight="1" thickBot="1" x14ac:dyDescent="0.25">
      <c r="A17" s="16">
        <v>0</v>
      </c>
      <c r="B17" s="16">
        <v>0</v>
      </c>
      <c r="C17" s="16">
        <v>0</v>
      </c>
      <c r="D17" s="16">
        <v>0</v>
      </c>
      <c r="E17" s="16">
        <v>0</v>
      </c>
      <c r="F17" s="17" t="s">
        <v>11</v>
      </c>
      <c r="G17" s="18" t="s">
        <v>91</v>
      </c>
      <c r="H17" s="163"/>
    </row>
    <row r="18" spans="1:10" ht="15.75" customHeight="1" thickBot="1" x14ac:dyDescent="0.25">
      <c r="A18" s="16">
        <f>SUM(A16:A17)</f>
        <v>14</v>
      </c>
      <c r="B18" s="16">
        <f>SUM(B16:B17)</f>
        <v>26</v>
      </c>
      <c r="C18" s="16">
        <f>SUM(C16:C17)</f>
        <v>132</v>
      </c>
      <c r="D18" s="16">
        <f>SUM(D16:D17)</f>
        <v>687</v>
      </c>
      <c r="E18" s="16">
        <f>SUM(E16:E17)</f>
        <v>319</v>
      </c>
      <c r="F18" s="17" t="s">
        <v>13</v>
      </c>
      <c r="G18" s="19"/>
      <c r="H18" s="163"/>
      <c r="I18" s="13"/>
      <c r="J18" s="13"/>
    </row>
    <row r="19" spans="1:10" ht="15.75" customHeight="1" thickBot="1" x14ac:dyDescent="0.25">
      <c r="A19" s="16">
        <v>19</v>
      </c>
      <c r="B19" s="16">
        <v>31</v>
      </c>
      <c r="C19" s="16">
        <v>131</v>
      </c>
      <c r="D19" s="16">
        <v>633</v>
      </c>
      <c r="E19" s="16">
        <v>312</v>
      </c>
      <c r="F19" s="17" t="s">
        <v>10</v>
      </c>
      <c r="G19" s="18"/>
      <c r="H19" s="163"/>
      <c r="I19" s="13"/>
    </row>
    <row r="20" spans="1:10" ht="15.75" customHeight="1" thickBot="1" x14ac:dyDescent="0.25">
      <c r="A20" s="16">
        <v>0</v>
      </c>
      <c r="B20" s="16">
        <v>0</v>
      </c>
      <c r="C20" s="16">
        <v>0</v>
      </c>
      <c r="D20" s="16">
        <v>0</v>
      </c>
      <c r="E20" s="16">
        <v>0</v>
      </c>
      <c r="F20" s="17" t="s">
        <v>11</v>
      </c>
      <c r="G20" s="18" t="s">
        <v>92</v>
      </c>
      <c r="H20" s="163"/>
    </row>
    <row r="21" spans="1:10" ht="15.75" customHeight="1" thickBot="1" x14ac:dyDescent="0.25">
      <c r="A21" s="16">
        <f>SUM(A19:A20)</f>
        <v>19</v>
      </c>
      <c r="B21" s="16">
        <f>SUM(B19:B20)</f>
        <v>31</v>
      </c>
      <c r="C21" s="16">
        <f>SUM(C19:C20)</f>
        <v>131</v>
      </c>
      <c r="D21" s="16">
        <f>SUM(D19:D20)</f>
        <v>633</v>
      </c>
      <c r="E21" s="16">
        <f>SUM(E19:E20)</f>
        <v>312</v>
      </c>
      <c r="F21" s="17" t="s">
        <v>13</v>
      </c>
      <c r="G21" s="19"/>
      <c r="H21" s="163"/>
      <c r="I21" s="13"/>
      <c r="J21" s="13"/>
    </row>
    <row r="22" spans="1:10" ht="15.75" customHeight="1" thickBot="1" x14ac:dyDescent="0.25">
      <c r="A22" s="16">
        <v>13</v>
      </c>
      <c r="B22" s="16">
        <v>13</v>
      </c>
      <c r="C22" s="16">
        <v>36</v>
      </c>
      <c r="D22" s="16">
        <v>519</v>
      </c>
      <c r="E22" s="16">
        <v>398</v>
      </c>
      <c r="F22" s="17" t="s">
        <v>10</v>
      </c>
      <c r="G22" s="18"/>
      <c r="H22" s="163"/>
      <c r="I22" s="13"/>
    </row>
    <row r="23" spans="1:10" ht="15.75" customHeight="1" thickBot="1" x14ac:dyDescent="0.25">
      <c r="A23" s="16">
        <v>0</v>
      </c>
      <c r="B23" s="16">
        <v>0</v>
      </c>
      <c r="C23" s="16">
        <v>0</v>
      </c>
      <c r="D23" s="16">
        <v>0</v>
      </c>
      <c r="E23" s="16">
        <v>0</v>
      </c>
      <c r="F23" s="17" t="s">
        <v>11</v>
      </c>
      <c r="G23" s="18" t="s">
        <v>93</v>
      </c>
      <c r="H23" s="163"/>
    </row>
    <row r="24" spans="1:10" ht="15.75" customHeight="1" thickBot="1" x14ac:dyDescent="0.25">
      <c r="A24" s="16">
        <f>SUM(A22:A23)</f>
        <v>13</v>
      </c>
      <c r="B24" s="16">
        <f>SUM(B22:B23)</f>
        <v>13</v>
      </c>
      <c r="C24" s="16">
        <f>SUM(C22:C23)</f>
        <v>36</v>
      </c>
      <c r="D24" s="16">
        <f>SUM(D22:D23)</f>
        <v>519</v>
      </c>
      <c r="E24" s="16">
        <f>SUM(E22:E23)</f>
        <v>398</v>
      </c>
      <c r="F24" s="17" t="s">
        <v>13</v>
      </c>
      <c r="G24" s="19"/>
      <c r="H24" s="163"/>
      <c r="I24" s="13"/>
      <c r="J24" s="13"/>
    </row>
    <row r="25" spans="1:10" ht="15.75" customHeight="1" thickBot="1" x14ac:dyDescent="0.25">
      <c r="A25" s="16">
        <v>0</v>
      </c>
      <c r="B25" s="16">
        <v>0</v>
      </c>
      <c r="C25" s="16">
        <v>0</v>
      </c>
      <c r="D25" s="16">
        <v>273</v>
      </c>
      <c r="E25" s="16">
        <v>272</v>
      </c>
      <c r="F25" s="17" t="s">
        <v>10</v>
      </c>
      <c r="G25" s="18"/>
      <c r="H25" s="163"/>
      <c r="I25" s="13"/>
    </row>
    <row r="26" spans="1:10" ht="15.75" customHeight="1" thickBot="1" x14ac:dyDescent="0.25">
      <c r="A26" s="16">
        <v>0</v>
      </c>
      <c r="B26" s="16">
        <v>0</v>
      </c>
      <c r="C26" s="16">
        <v>0</v>
      </c>
      <c r="D26" s="16">
        <v>0</v>
      </c>
      <c r="E26" s="16">
        <v>0</v>
      </c>
      <c r="F26" s="17" t="s">
        <v>11</v>
      </c>
      <c r="G26" s="18" t="s">
        <v>94</v>
      </c>
      <c r="H26" s="163"/>
    </row>
    <row r="27" spans="1:10" ht="15.75" customHeight="1" thickBot="1" x14ac:dyDescent="0.25">
      <c r="A27" s="16">
        <f>SUM(A25:A26)</f>
        <v>0</v>
      </c>
      <c r="B27" s="16">
        <f>SUM(B25:B26)</f>
        <v>0</v>
      </c>
      <c r="C27" s="16">
        <f>SUM(C25:C26)</f>
        <v>0</v>
      </c>
      <c r="D27" s="16">
        <f>SUM(D25:D26)</f>
        <v>273</v>
      </c>
      <c r="E27" s="16">
        <f>SUM(E25:E26)</f>
        <v>272</v>
      </c>
      <c r="F27" s="17" t="s">
        <v>13</v>
      </c>
      <c r="G27" s="19"/>
      <c r="H27" s="164"/>
      <c r="I27" s="13"/>
      <c r="J27" s="13"/>
    </row>
    <row r="28" spans="1:10" ht="13.5" thickBot="1" x14ac:dyDescent="0.25">
      <c r="A28" s="16">
        <v>15</v>
      </c>
      <c r="B28" s="16">
        <v>38</v>
      </c>
      <c r="C28" s="16">
        <v>120</v>
      </c>
      <c r="D28" s="16">
        <v>1065</v>
      </c>
      <c r="E28" s="16">
        <v>1193</v>
      </c>
      <c r="F28" s="17" t="s">
        <v>10</v>
      </c>
      <c r="G28" s="18"/>
      <c r="H28" s="162" t="s">
        <v>79</v>
      </c>
      <c r="I28" s="13"/>
    </row>
    <row r="29" spans="1:10" ht="15.75" customHeight="1" thickBot="1" x14ac:dyDescent="0.25">
      <c r="A29" s="16">
        <v>0</v>
      </c>
      <c r="B29" s="16">
        <v>0</v>
      </c>
      <c r="C29" s="16">
        <v>0</v>
      </c>
      <c r="D29" s="16">
        <v>0</v>
      </c>
      <c r="E29" s="16">
        <v>0</v>
      </c>
      <c r="F29" s="17" t="s">
        <v>11</v>
      </c>
      <c r="G29" s="18" t="s">
        <v>95</v>
      </c>
      <c r="H29" s="163"/>
      <c r="I29" s="13"/>
    </row>
    <row r="30" spans="1:10" ht="15.75" customHeight="1" thickBot="1" x14ac:dyDescent="0.25">
      <c r="A30" s="16">
        <f>SUM(A28:A29)</f>
        <v>15</v>
      </c>
      <c r="B30" s="16">
        <f>SUM(B28:B29)</f>
        <v>38</v>
      </c>
      <c r="C30" s="16">
        <f>SUM(C28:C29)</f>
        <v>120</v>
      </c>
      <c r="D30" s="16">
        <f>SUM(D28:D29)</f>
        <v>1065</v>
      </c>
      <c r="E30" s="16">
        <f>SUM(E28:E29)</f>
        <v>1193</v>
      </c>
      <c r="F30" s="17" t="s">
        <v>13</v>
      </c>
      <c r="G30" s="19"/>
      <c r="H30" s="163"/>
    </row>
    <row r="31" spans="1:10" ht="15.75" customHeight="1" thickBot="1" x14ac:dyDescent="0.25">
      <c r="A31" s="16">
        <v>0</v>
      </c>
      <c r="B31" s="16">
        <v>1</v>
      </c>
      <c r="C31" s="16">
        <v>0</v>
      </c>
      <c r="D31" s="16">
        <v>0</v>
      </c>
      <c r="E31" s="16">
        <v>0</v>
      </c>
      <c r="F31" s="17" t="s">
        <v>10</v>
      </c>
      <c r="G31" s="18"/>
      <c r="H31" s="163"/>
      <c r="I31" s="13"/>
      <c r="J31" s="13"/>
    </row>
    <row r="32" spans="1:10" ht="15.75" customHeight="1" thickBot="1" x14ac:dyDescent="0.25">
      <c r="A32" s="16">
        <v>2</v>
      </c>
      <c r="B32" s="16">
        <v>0</v>
      </c>
      <c r="C32" s="16">
        <v>127</v>
      </c>
      <c r="D32" s="16">
        <v>172</v>
      </c>
      <c r="E32" s="16">
        <v>119</v>
      </c>
      <c r="F32" s="17" t="s">
        <v>11</v>
      </c>
      <c r="G32" s="18" t="s">
        <v>96</v>
      </c>
      <c r="H32" s="163"/>
    </row>
    <row r="33" spans="1:10" ht="15.75" customHeight="1" thickBot="1" x14ac:dyDescent="0.25">
      <c r="A33" s="16">
        <f>SUM(A31:A32)</f>
        <v>2</v>
      </c>
      <c r="B33" s="16">
        <f>SUM(B31:B32)</f>
        <v>1</v>
      </c>
      <c r="C33" s="16">
        <f>SUM(C31:C32)</f>
        <v>127</v>
      </c>
      <c r="D33" s="16">
        <f>SUM(D31:D32)</f>
        <v>172</v>
      </c>
      <c r="E33" s="16">
        <f>SUM(E31:E32)</f>
        <v>119</v>
      </c>
      <c r="F33" s="17" t="s">
        <v>13</v>
      </c>
      <c r="G33" s="19"/>
      <c r="H33" s="164"/>
      <c r="I33" s="13"/>
      <c r="J33" s="13"/>
    </row>
    <row r="34" spans="1:10" ht="13.5" thickBot="1" x14ac:dyDescent="0.25">
      <c r="A34" s="16">
        <v>34</v>
      </c>
      <c r="B34" s="16">
        <v>72</v>
      </c>
      <c r="C34" s="16">
        <v>45</v>
      </c>
      <c r="D34" s="16">
        <v>416</v>
      </c>
      <c r="E34" s="16">
        <v>295</v>
      </c>
      <c r="F34" s="17" t="s">
        <v>10</v>
      </c>
      <c r="G34" s="18"/>
      <c r="H34" s="162" t="s">
        <v>98</v>
      </c>
      <c r="I34" s="13"/>
    </row>
    <row r="35" spans="1:10" ht="15.75" customHeight="1" thickBot="1" x14ac:dyDescent="0.25">
      <c r="A35" s="16">
        <v>0</v>
      </c>
      <c r="B35" s="16">
        <v>2</v>
      </c>
      <c r="C35" s="16">
        <v>0</v>
      </c>
      <c r="D35" s="16">
        <v>0</v>
      </c>
      <c r="E35" s="16">
        <v>0</v>
      </c>
      <c r="F35" s="17" t="s">
        <v>11</v>
      </c>
      <c r="G35" s="18" t="s">
        <v>97</v>
      </c>
      <c r="H35" s="163"/>
    </row>
    <row r="36" spans="1:10" ht="15.75" customHeight="1" thickBot="1" x14ac:dyDescent="0.25">
      <c r="A36" s="16">
        <f>SUM(A34:A35)</f>
        <v>34</v>
      </c>
      <c r="B36" s="16">
        <f>SUM(B34:B35)</f>
        <v>74</v>
      </c>
      <c r="C36" s="16">
        <f>SUM(C34:C35)</f>
        <v>45</v>
      </c>
      <c r="D36" s="16">
        <f>SUM(D34:D35)</f>
        <v>416</v>
      </c>
      <c r="E36" s="16">
        <f>SUM(E34:E35)</f>
        <v>295</v>
      </c>
      <c r="F36" s="17" t="s">
        <v>13</v>
      </c>
      <c r="G36" s="19"/>
      <c r="H36" s="163"/>
      <c r="I36" s="13"/>
      <c r="J36" s="13"/>
    </row>
    <row r="37" spans="1:10" ht="15.75" customHeight="1" thickBot="1" x14ac:dyDescent="0.25">
      <c r="A37" s="16">
        <v>10</v>
      </c>
      <c r="B37" s="16">
        <v>43</v>
      </c>
      <c r="C37" s="16">
        <v>89</v>
      </c>
      <c r="D37" s="16">
        <v>995</v>
      </c>
      <c r="E37" s="16">
        <v>633</v>
      </c>
      <c r="F37" s="17" t="s">
        <v>10</v>
      </c>
      <c r="G37" s="18"/>
      <c r="H37" s="163"/>
      <c r="I37" s="13"/>
    </row>
    <row r="38" spans="1:10" ht="15.75" customHeight="1" thickBot="1" x14ac:dyDescent="0.25">
      <c r="A38" s="16">
        <v>0</v>
      </c>
      <c r="B38" s="16">
        <v>0</v>
      </c>
      <c r="C38" s="16">
        <v>0</v>
      </c>
      <c r="D38" s="16">
        <v>0</v>
      </c>
      <c r="E38" s="16">
        <v>0</v>
      </c>
      <c r="F38" s="17" t="s">
        <v>11</v>
      </c>
      <c r="G38" s="18" t="s">
        <v>99</v>
      </c>
      <c r="H38" s="163"/>
    </row>
    <row r="39" spans="1:10" ht="15.75" customHeight="1" thickBot="1" x14ac:dyDescent="0.25">
      <c r="A39" s="16">
        <f>SUM(A37:A38)</f>
        <v>10</v>
      </c>
      <c r="B39" s="16">
        <f>SUM(B37:B38)</f>
        <v>43</v>
      </c>
      <c r="C39" s="16">
        <f>SUM(C37:C38)</f>
        <v>89</v>
      </c>
      <c r="D39" s="16">
        <f>SUM(D37:D38)</f>
        <v>995</v>
      </c>
      <c r="E39" s="16">
        <f>SUM(E37:E38)</f>
        <v>633</v>
      </c>
      <c r="F39" s="17" t="s">
        <v>13</v>
      </c>
      <c r="G39" s="19"/>
      <c r="H39" s="164"/>
      <c r="I39" s="13"/>
      <c r="J39" s="13"/>
    </row>
    <row r="40" spans="1:10" ht="13.5" thickBot="1" x14ac:dyDescent="0.25">
      <c r="A40" s="16">
        <v>0</v>
      </c>
      <c r="B40" s="16">
        <v>0</v>
      </c>
      <c r="C40" s="16">
        <v>0</v>
      </c>
      <c r="D40" s="16">
        <v>0</v>
      </c>
      <c r="E40" s="16">
        <v>0</v>
      </c>
      <c r="F40" s="17" t="s">
        <v>10</v>
      </c>
      <c r="G40" s="18"/>
      <c r="H40" s="162" t="s">
        <v>80</v>
      </c>
    </row>
    <row r="41" spans="1:10" ht="15.75" customHeight="1" thickBot="1" x14ac:dyDescent="0.25">
      <c r="A41" s="16">
        <v>4</v>
      </c>
      <c r="B41" s="16">
        <v>9</v>
      </c>
      <c r="C41" s="16">
        <v>269</v>
      </c>
      <c r="D41" s="16">
        <v>549</v>
      </c>
      <c r="E41" s="16">
        <v>285</v>
      </c>
      <c r="F41" s="17" t="s">
        <v>11</v>
      </c>
      <c r="G41" s="18" t="s">
        <v>100</v>
      </c>
      <c r="H41" s="163"/>
      <c r="I41" s="13"/>
      <c r="J41" s="13"/>
    </row>
    <row r="42" spans="1:10" ht="15.75" customHeight="1" thickBot="1" x14ac:dyDescent="0.25">
      <c r="A42" s="16">
        <f>SUM(A40:A41)</f>
        <v>4</v>
      </c>
      <c r="B42" s="16">
        <f>SUM(B40:B41)</f>
        <v>9</v>
      </c>
      <c r="C42" s="16">
        <f>SUM(C40:C41)</f>
        <v>269</v>
      </c>
      <c r="D42" s="16">
        <f>SUM(D40:D41)</f>
        <v>549</v>
      </c>
      <c r="E42" s="16">
        <f>SUM(E40:E41)</f>
        <v>285</v>
      </c>
      <c r="F42" s="17" t="s">
        <v>13</v>
      </c>
      <c r="G42" s="19"/>
      <c r="H42" s="163"/>
      <c r="I42" s="13"/>
    </row>
    <row r="43" spans="1:10" ht="15.75" customHeight="1" thickBot="1" x14ac:dyDescent="0.25">
      <c r="A43" s="16">
        <v>0</v>
      </c>
      <c r="B43" s="16">
        <v>0</v>
      </c>
      <c r="C43" s="16">
        <v>0</v>
      </c>
      <c r="D43" s="16">
        <v>0</v>
      </c>
      <c r="E43" s="16">
        <v>0</v>
      </c>
      <c r="F43" s="17" t="s">
        <v>10</v>
      </c>
      <c r="G43" s="18"/>
      <c r="H43" s="163"/>
      <c r="I43" s="13"/>
    </row>
    <row r="44" spans="1:10" ht="15.75" customHeight="1" thickBot="1" x14ac:dyDescent="0.25">
      <c r="A44" s="16">
        <v>0</v>
      </c>
      <c r="B44" s="16">
        <v>10</v>
      </c>
      <c r="C44" s="16">
        <v>506</v>
      </c>
      <c r="D44" s="16">
        <v>800</v>
      </c>
      <c r="E44" s="16">
        <v>471</v>
      </c>
      <c r="F44" s="17" t="s">
        <v>11</v>
      </c>
      <c r="G44" s="18" t="s">
        <v>101</v>
      </c>
      <c r="H44" s="163"/>
    </row>
    <row r="45" spans="1:10" ht="15.75" customHeight="1" thickBot="1" x14ac:dyDescent="0.25">
      <c r="A45" s="16">
        <f>SUM(A43:A44)</f>
        <v>0</v>
      </c>
      <c r="B45" s="16">
        <f>SUM(B43:B44)</f>
        <v>10</v>
      </c>
      <c r="C45" s="16">
        <f>SUM(C43:C44)</f>
        <v>506</v>
      </c>
      <c r="D45" s="16">
        <f>SUM(D43:D44)</f>
        <v>800</v>
      </c>
      <c r="E45" s="16">
        <f>SUM(E43:E44)</f>
        <v>471</v>
      </c>
      <c r="F45" s="17" t="s">
        <v>13</v>
      </c>
      <c r="G45" s="19"/>
      <c r="H45" s="164"/>
      <c r="I45" s="13"/>
      <c r="J45" s="13"/>
    </row>
    <row r="46" spans="1:10" ht="13.5" thickBot="1" x14ac:dyDescent="0.25">
      <c r="A46" s="16">
        <v>7</v>
      </c>
      <c r="B46" s="16">
        <v>21</v>
      </c>
      <c r="C46" s="16">
        <v>67</v>
      </c>
      <c r="D46" s="16">
        <v>122</v>
      </c>
      <c r="E46" s="16">
        <v>198</v>
      </c>
      <c r="F46" s="17" t="s">
        <v>10</v>
      </c>
      <c r="G46" s="18"/>
      <c r="H46" s="162" t="s">
        <v>81</v>
      </c>
      <c r="I46" s="13"/>
    </row>
    <row r="47" spans="1:10" ht="15.75" customHeight="1" thickBot="1" x14ac:dyDescent="0.25">
      <c r="A47" s="16">
        <v>0</v>
      </c>
      <c r="B47" s="16">
        <v>1</v>
      </c>
      <c r="C47" s="16">
        <v>0</v>
      </c>
      <c r="D47" s="16">
        <v>0</v>
      </c>
      <c r="E47" s="16">
        <v>0</v>
      </c>
      <c r="F47" s="17" t="s">
        <v>11</v>
      </c>
      <c r="G47" s="18" t="s">
        <v>102</v>
      </c>
      <c r="H47" s="163"/>
    </row>
    <row r="48" spans="1:10" ht="15.75" customHeight="1" thickBot="1" x14ac:dyDescent="0.25">
      <c r="A48" s="16">
        <f>SUM(A46:A47)</f>
        <v>7</v>
      </c>
      <c r="B48" s="16">
        <f>SUM(B46:B47)</f>
        <v>22</v>
      </c>
      <c r="C48" s="16">
        <f>SUM(C46:C47)</f>
        <v>67</v>
      </c>
      <c r="D48" s="16">
        <f>SUM(D46:D47)</f>
        <v>122</v>
      </c>
      <c r="E48" s="16">
        <f>SUM(E46:E47)</f>
        <v>198</v>
      </c>
      <c r="F48" s="17" t="s">
        <v>13</v>
      </c>
      <c r="G48" s="19"/>
      <c r="H48" s="163"/>
      <c r="I48" s="13"/>
      <c r="J48" s="13"/>
    </row>
    <row r="49" spans="1:9" ht="15.75" customHeight="1" thickBot="1" x14ac:dyDescent="0.25">
      <c r="A49" s="16">
        <v>5</v>
      </c>
      <c r="B49" s="16">
        <v>32</v>
      </c>
      <c r="C49" s="16">
        <v>227</v>
      </c>
      <c r="D49" s="16">
        <v>766</v>
      </c>
      <c r="E49" s="16">
        <v>390</v>
      </c>
      <c r="F49" s="17" t="s">
        <v>10</v>
      </c>
      <c r="G49" s="18"/>
      <c r="H49" s="163"/>
      <c r="I49" s="13"/>
    </row>
    <row r="50" spans="1:9" ht="15.75" customHeight="1" thickBot="1" x14ac:dyDescent="0.25">
      <c r="A50" s="16">
        <v>0</v>
      </c>
      <c r="B50" s="16">
        <v>0</v>
      </c>
      <c r="C50" s="16">
        <v>0</v>
      </c>
      <c r="D50" s="16">
        <v>0</v>
      </c>
      <c r="E50" s="16">
        <v>0</v>
      </c>
      <c r="F50" s="17" t="s">
        <v>11</v>
      </c>
      <c r="G50" s="18" t="s">
        <v>103</v>
      </c>
      <c r="H50" s="163"/>
      <c r="I50" s="13"/>
    </row>
    <row r="51" spans="1:9" ht="15.75" customHeight="1" thickBot="1" x14ac:dyDescent="0.25">
      <c r="A51" s="16">
        <f>SUM(A49:A50)</f>
        <v>5</v>
      </c>
      <c r="B51" s="16">
        <f>SUM(B49:B50)</f>
        <v>32</v>
      </c>
      <c r="C51" s="16">
        <f>SUM(C49:C50)</f>
        <v>227</v>
      </c>
      <c r="D51" s="16">
        <f>SUM(D49:D50)</f>
        <v>766</v>
      </c>
      <c r="E51" s="16">
        <f>SUM(E49:E50)</f>
        <v>390</v>
      </c>
      <c r="F51" s="17" t="s">
        <v>13</v>
      </c>
      <c r="G51" s="19"/>
      <c r="H51" s="163"/>
      <c r="I51" s="13"/>
    </row>
    <row r="52" spans="1:9" ht="15.75" customHeight="1" thickBot="1" x14ac:dyDescent="0.25">
      <c r="A52" s="16">
        <v>0</v>
      </c>
      <c r="B52" s="16">
        <v>6</v>
      </c>
      <c r="C52" s="16">
        <v>0</v>
      </c>
      <c r="D52" s="16">
        <v>0</v>
      </c>
      <c r="E52" s="16">
        <v>0</v>
      </c>
      <c r="F52" s="17" t="s">
        <v>10</v>
      </c>
      <c r="G52" s="18"/>
      <c r="H52" s="163"/>
      <c r="I52" s="13"/>
    </row>
    <row r="53" spans="1:9" ht="15.75" customHeight="1" thickBot="1" x14ac:dyDescent="0.25">
      <c r="A53" s="16">
        <v>0</v>
      </c>
      <c r="B53" s="16">
        <v>30</v>
      </c>
      <c r="C53" s="16">
        <v>0</v>
      </c>
      <c r="D53" s="16">
        <v>853</v>
      </c>
      <c r="E53" s="16">
        <v>453</v>
      </c>
      <c r="F53" s="17" t="s">
        <v>11</v>
      </c>
      <c r="G53" s="18" t="s">
        <v>104</v>
      </c>
      <c r="H53" s="163"/>
      <c r="I53" s="13"/>
    </row>
    <row r="54" spans="1:9" ht="15.75" customHeight="1" thickBot="1" x14ac:dyDescent="0.25">
      <c r="A54" s="16">
        <f>SUM(A52:A53)</f>
        <v>0</v>
      </c>
      <c r="B54" s="16">
        <f>SUM(B52:B53)</f>
        <v>36</v>
      </c>
      <c r="C54" s="16">
        <f>SUM(C52:C53)</f>
        <v>0</v>
      </c>
      <c r="D54" s="16">
        <f>SUM(D52:D53)</f>
        <v>853</v>
      </c>
      <c r="E54" s="16">
        <f>SUM(E52:E53)</f>
        <v>453</v>
      </c>
      <c r="F54" s="17" t="s">
        <v>13</v>
      </c>
      <c r="G54" s="19"/>
      <c r="H54" s="163"/>
      <c r="I54" s="13"/>
    </row>
    <row r="55" spans="1:9" ht="15.75" customHeight="1" thickBot="1" x14ac:dyDescent="0.25">
      <c r="A55" s="16">
        <v>3</v>
      </c>
      <c r="B55" s="16">
        <v>14</v>
      </c>
      <c r="C55" s="16">
        <v>0</v>
      </c>
      <c r="D55" s="16">
        <v>256</v>
      </c>
      <c r="E55" s="16">
        <v>186</v>
      </c>
      <c r="F55" s="17" t="s">
        <v>10</v>
      </c>
      <c r="G55" s="18"/>
      <c r="H55" s="163"/>
      <c r="I55" s="13"/>
    </row>
    <row r="56" spans="1:9" ht="15.75" customHeight="1" thickBot="1" x14ac:dyDescent="0.25">
      <c r="A56" s="16">
        <v>0</v>
      </c>
      <c r="B56" s="16">
        <v>0</v>
      </c>
      <c r="C56" s="16">
        <v>0</v>
      </c>
      <c r="D56" s="16">
        <v>0</v>
      </c>
      <c r="E56" s="16">
        <v>0</v>
      </c>
      <c r="F56" s="17" t="s">
        <v>11</v>
      </c>
      <c r="G56" s="18" t="s">
        <v>105</v>
      </c>
      <c r="H56" s="163"/>
      <c r="I56" s="13"/>
    </row>
    <row r="57" spans="1:9" ht="15.75" customHeight="1" thickBot="1" x14ac:dyDescent="0.25">
      <c r="A57" s="16">
        <f>SUM(A55:A56)</f>
        <v>3</v>
      </c>
      <c r="B57" s="16">
        <f>SUM(B55:B56)</f>
        <v>14</v>
      </c>
      <c r="C57" s="16">
        <f>SUM(C55:C56)</f>
        <v>0</v>
      </c>
      <c r="D57" s="16">
        <f>SUM(D55:D56)</f>
        <v>256</v>
      </c>
      <c r="E57" s="16">
        <f>SUM(E55:E56)</f>
        <v>186</v>
      </c>
      <c r="F57" s="17" t="s">
        <v>13</v>
      </c>
      <c r="G57" s="19"/>
      <c r="H57" s="163"/>
      <c r="I57" s="13"/>
    </row>
    <row r="58" spans="1:9" ht="15.75" customHeight="1" thickBot="1" x14ac:dyDescent="0.25">
      <c r="A58" s="16">
        <v>0</v>
      </c>
      <c r="B58" s="16">
        <v>0</v>
      </c>
      <c r="C58" s="16">
        <v>0</v>
      </c>
      <c r="D58" s="16">
        <v>38</v>
      </c>
      <c r="E58" s="16">
        <v>77</v>
      </c>
      <c r="F58" s="17" t="s">
        <v>10</v>
      </c>
      <c r="G58" s="18"/>
      <c r="H58" s="163"/>
      <c r="I58" s="13"/>
    </row>
    <row r="59" spans="1:9" ht="15.75" customHeight="1" thickBot="1" x14ac:dyDescent="0.25">
      <c r="A59" s="16">
        <v>0</v>
      </c>
      <c r="B59" s="16">
        <v>0</v>
      </c>
      <c r="C59" s="16">
        <v>0</v>
      </c>
      <c r="D59" s="16">
        <v>0</v>
      </c>
      <c r="E59" s="16">
        <v>0</v>
      </c>
      <c r="F59" s="17" t="s">
        <v>11</v>
      </c>
      <c r="G59" s="18" t="s">
        <v>106</v>
      </c>
      <c r="H59" s="163"/>
      <c r="I59" s="13"/>
    </row>
    <row r="60" spans="1:9" ht="15.75" customHeight="1" thickBot="1" x14ac:dyDescent="0.25">
      <c r="A60" s="16">
        <f>SUM(A58:A59)</f>
        <v>0</v>
      </c>
      <c r="B60" s="16">
        <f>SUM(B58:B59)</f>
        <v>0</v>
      </c>
      <c r="C60" s="16">
        <f>SUM(C58:C59)</f>
        <v>0</v>
      </c>
      <c r="D60" s="16">
        <f>SUM(D58:D59)</f>
        <v>38</v>
      </c>
      <c r="E60" s="16">
        <f>SUM(E58:E59)</f>
        <v>77</v>
      </c>
      <c r="F60" s="17" t="s">
        <v>13</v>
      </c>
      <c r="G60" s="19"/>
      <c r="H60" s="164"/>
      <c r="I60" s="13"/>
    </row>
    <row r="61" spans="1:9" ht="13.5" thickBot="1" x14ac:dyDescent="0.25">
      <c r="A61" s="16">
        <v>0</v>
      </c>
      <c r="B61" s="16">
        <v>8</v>
      </c>
      <c r="C61" s="16">
        <v>0</v>
      </c>
      <c r="D61" s="16">
        <v>638</v>
      </c>
      <c r="E61" s="16">
        <v>284</v>
      </c>
      <c r="F61" s="17" t="s">
        <v>10</v>
      </c>
      <c r="G61" s="18"/>
      <c r="H61" s="162" t="s">
        <v>108</v>
      </c>
      <c r="I61" s="13"/>
    </row>
    <row r="62" spans="1:9" ht="15.75" customHeight="1" thickBot="1" x14ac:dyDescent="0.25">
      <c r="A62" s="16">
        <v>0</v>
      </c>
      <c r="B62" s="16">
        <v>0</v>
      </c>
      <c r="C62" s="16">
        <v>0</v>
      </c>
      <c r="D62" s="16">
        <v>0</v>
      </c>
      <c r="E62" s="16">
        <v>0</v>
      </c>
      <c r="F62" s="17" t="s">
        <v>11</v>
      </c>
      <c r="G62" s="18" t="s">
        <v>107</v>
      </c>
      <c r="H62" s="163"/>
      <c r="I62" s="13"/>
    </row>
    <row r="63" spans="1:9" ht="15.75" customHeight="1" thickBot="1" x14ac:dyDescent="0.25">
      <c r="A63" s="16">
        <f>SUM(A61:A62)</f>
        <v>0</v>
      </c>
      <c r="B63" s="16">
        <f>SUM(B61:B62)</f>
        <v>8</v>
      </c>
      <c r="C63" s="16">
        <f>SUM(C61:C62)</f>
        <v>0</v>
      </c>
      <c r="D63" s="16">
        <f>SUM(D61:D62)</f>
        <v>638</v>
      </c>
      <c r="E63" s="16">
        <f>SUM(E61:E62)</f>
        <v>284</v>
      </c>
      <c r="F63" s="17" t="s">
        <v>13</v>
      </c>
      <c r="G63" s="19"/>
      <c r="H63" s="163"/>
      <c r="I63" s="13"/>
    </row>
    <row r="64" spans="1:9" ht="15.75" customHeight="1" thickBot="1" x14ac:dyDescent="0.25">
      <c r="A64" s="16">
        <v>0</v>
      </c>
      <c r="B64" s="16">
        <v>10</v>
      </c>
      <c r="C64" s="16">
        <v>0</v>
      </c>
      <c r="D64" s="16">
        <v>205</v>
      </c>
      <c r="E64" s="16">
        <v>257</v>
      </c>
      <c r="F64" s="17" t="s">
        <v>10</v>
      </c>
      <c r="G64" s="18"/>
      <c r="H64" s="163"/>
      <c r="I64" s="13"/>
    </row>
    <row r="65" spans="1:10" ht="15.75" customHeight="1" thickBot="1" x14ac:dyDescent="0.25">
      <c r="A65" s="16">
        <v>0</v>
      </c>
      <c r="B65" s="16">
        <v>0</v>
      </c>
      <c r="C65" s="16">
        <v>0</v>
      </c>
      <c r="D65" s="16">
        <v>0</v>
      </c>
      <c r="E65" s="16">
        <v>0</v>
      </c>
      <c r="F65" s="17" t="s">
        <v>11</v>
      </c>
      <c r="G65" s="18" t="s">
        <v>109</v>
      </c>
      <c r="H65" s="163"/>
      <c r="I65" s="13"/>
    </row>
    <row r="66" spans="1:10" ht="15.75" customHeight="1" thickBot="1" x14ac:dyDescent="0.25">
      <c r="A66" s="16">
        <f>SUM(A64:A65)</f>
        <v>0</v>
      </c>
      <c r="B66" s="16">
        <f>SUM(B64:B65)</f>
        <v>10</v>
      </c>
      <c r="C66" s="16">
        <f>SUM(C64:C65)</f>
        <v>0</v>
      </c>
      <c r="D66" s="16">
        <f>SUM(D64:D65)</f>
        <v>205</v>
      </c>
      <c r="E66" s="16">
        <f>SUM(E64:E65)</f>
        <v>257</v>
      </c>
      <c r="F66" s="17" t="s">
        <v>13</v>
      </c>
      <c r="G66" s="19"/>
      <c r="H66" s="163"/>
      <c r="I66" s="13"/>
    </row>
    <row r="67" spans="1:10" ht="15.75" customHeight="1" thickBot="1" x14ac:dyDescent="0.25">
      <c r="A67" s="16">
        <v>0</v>
      </c>
      <c r="B67" s="16">
        <v>0</v>
      </c>
      <c r="C67" s="16">
        <v>0</v>
      </c>
      <c r="D67" s="16">
        <v>0</v>
      </c>
      <c r="E67" s="16">
        <v>0</v>
      </c>
      <c r="F67" s="17" t="s">
        <v>10</v>
      </c>
      <c r="G67" s="18"/>
      <c r="H67" s="163"/>
      <c r="I67" s="13"/>
    </row>
    <row r="68" spans="1:10" ht="15.75" customHeight="1" thickBot="1" x14ac:dyDescent="0.25">
      <c r="A68" s="16">
        <v>0</v>
      </c>
      <c r="B68" s="16">
        <v>0</v>
      </c>
      <c r="C68" s="16">
        <v>156</v>
      </c>
      <c r="D68" s="16">
        <v>156</v>
      </c>
      <c r="E68" s="16">
        <v>0</v>
      </c>
      <c r="F68" s="17" t="s">
        <v>11</v>
      </c>
      <c r="G68" s="18" t="s">
        <v>110</v>
      </c>
      <c r="H68" s="163"/>
      <c r="I68" s="13"/>
    </row>
    <row r="69" spans="1:10" ht="15.75" customHeight="1" thickBot="1" x14ac:dyDescent="0.25">
      <c r="A69" s="16">
        <f>SUM(A67:A68)</f>
        <v>0</v>
      </c>
      <c r="B69" s="16">
        <f>SUM(B67:B68)</f>
        <v>0</v>
      </c>
      <c r="C69" s="16">
        <f>SUM(C67:C68)</f>
        <v>156</v>
      </c>
      <c r="D69" s="16">
        <f>SUM(D67:D68)</f>
        <v>156</v>
      </c>
      <c r="E69" s="16">
        <f>SUM(E67:E68)</f>
        <v>0</v>
      </c>
      <c r="F69" s="17" t="s">
        <v>13</v>
      </c>
      <c r="G69" s="19"/>
      <c r="H69" s="164"/>
      <c r="I69" s="13"/>
    </row>
    <row r="70" spans="1:10" ht="13.5" thickBot="1" x14ac:dyDescent="0.25">
      <c r="A70" s="16">
        <v>0</v>
      </c>
      <c r="B70" s="16">
        <v>0</v>
      </c>
      <c r="C70" s="16">
        <v>0</v>
      </c>
      <c r="D70" s="16">
        <v>0</v>
      </c>
      <c r="E70" s="16">
        <v>0</v>
      </c>
      <c r="F70" s="17" t="s">
        <v>10</v>
      </c>
      <c r="G70" s="18"/>
      <c r="H70" s="162" t="s">
        <v>82</v>
      </c>
      <c r="I70" s="13"/>
    </row>
    <row r="71" spans="1:10" ht="15.75" customHeight="1" thickBot="1" x14ac:dyDescent="0.25">
      <c r="A71" s="16">
        <v>3</v>
      </c>
      <c r="B71" s="16">
        <v>0</v>
      </c>
      <c r="C71" s="16">
        <v>155</v>
      </c>
      <c r="D71" s="16">
        <v>553</v>
      </c>
      <c r="E71" s="16">
        <v>183</v>
      </c>
      <c r="F71" s="17" t="s">
        <v>11</v>
      </c>
      <c r="G71" s="18" t="s">
        <v>111</v>
      </c>
      <c r="H71" s="163"/>
    </row>
    <row r="72" spans="1:10" ht="15.75" customHeight="1" thickBot="1" x14ac:dyDescent="0.25">
      <c r="A72" s="16">
        <f>SUM(A70:A71)</f>
        <v>3</v>
      </c>
      <c r="B72" s="16">
        <f>SUM(B70:B71)</f>
        <v>0</v>
      </c>
      <c r="C72" s="16">
        <f>SUM(C70:C71)</f>
        <v>155</v>
      </c>
      <c r="D72" s="16">
        <f>SUM(D70:D71)</f>
        <v>553</v>
      </c>
      <c r="E72" s="16">
        <f>SUM(E70:E71)</f>
        <v>183</v>
      </c>
      <c r="F72" s="17" t="s">
        <v>13</v>
      </c>
      <c r="G72" s="19"/>
      <c r="H72" s="163"/>
      <c r="I72" s="13"/>
    </row>
    <row r="73" spans="1:10" ht="15.75" customHeight="1" thickBot="1" x14ac:dyDescent="0.25">
      <c r="A73" s="16">
        <v>0</v>
      </c>
      <c r="B73" s="16">
        <v>0</v>
      </c>
      <c r="C73" s="16">
        <v>131</v>
      </c>
      <c r="D73" s="16">
        <v>650</v>
      </c>
      <c r="E73" s="16">
        <v>250</v>
      </c>
      <c r="F73" s="17" t="s">
        <v>10</v>
      </c>
      <c r="G73" s="18"/>
      <c r="H73" s="163"/>
    </row>
    <row r="74" spans="1:10" ht="15.75" customHeight="1" thickBot="1" x14ac:dyDescent="0.25">
      <c r="A74" s="16">
        <v>0</v>
      </c>
      <c r="B74" s="16">
        <v>0</v>
      </c>
      <c r="C74" s="16">
        <v>68</v>
      </c>
      <c r="D74" s="16">
        <v>602</v>
      </c>
      <c r="E74" s="16">
        <v>152</v>
      </c>
      <c r="F74" s="17" t="s">
        <v>11</v>
      </c>
      <c r="G74" s="18" t="s">
        <v>112</v>
      </c>
      <c r="H74" s="163"/>
      <c r="I74" s="13"/>
      <c r="J74" s="13"/>
    </row>
    <row r="75" spans="1:10" ht="15.75" customHeight="1" thickBot="1" x14ac:dyDescent="0.25">
      <c r="A75" s="16">
        <f>SUM(A73:A74)</f>
        <v>0</v>
      </c>
      <c r="B75" s="16">
        <f>SUM(B73:B74)</f>
        <v>0</v>
      </c>
      <c r="C75" s="16">
        <f>SUM(C73:C74)</f>
        <v>199</v>
      </c>
      <c r="D75" s="16">
        <f>SUM(D73:D74)</f>
        <v>1252</v>
      </c>
      <c r="E75" s="16">
        <f>SUM(E73:E74)</f>
        <v>402</v>
      </c>
      <c r="F75" s="17" t="s">
        <v>13</v>
      </c>
      <c r="G75" s="19"/>
      <c r="H75" s="164"/>
      <c r="I75" s="13"/>
    </row>
    <row r="76" spans="1:10" ht="13.5" thickBot="1" x14ac:dyDescent="0.25">
      <c r="A76" s="16">
        <v>0</v>
      </c>
      <c r="B76" s="16">
        <v>1</v>
      </c>
      <c r="C76" s="16">
        <v>0</v>
      </c>
      <c r="D76" s="16">
        <v>0</v>
      </c>
      <c r="E76" s="16">
        <v>0</v>
      </c>
      <c r="F76" s="17" t="s">
        <v>10</v>
      </c>
      <c r="G76" s="18"/>
      <c r="H76" s="18"/>
      <c r="I76" s="13"/>
    </row>
    <row r="77" spans="1:10" ht="13.5" thickBot="1" x14ac:dyDescent="0.25">
      <c r="A77" s="16">
        <v>0</v>
      </c>
      <c r="B77" s="16">
        <v>8</v>
      </c>
      <c r="C77" s="16">
        <v>157</v>
      </c>
      <c r="D77" s="16">
        <v>137</v>
      </c>
      <c r="E77" s="16">
        <v>83</v>
      </c>
      <c r="F77" s="17" t="s">
        <v>11</v>
      </c>
      <c r="G77" s="18" t="s">
        <v>113</v>
      </c>
      <c r="H77" s="18" t="s">
        <v>83</v>
      </c>
      <c r="I77" s="13"/>
    </row>
    <row r="78" spans="1:10" ht="13.5" thickBot="1" x14ac:dyDescent="0.25">
      <c r="A78" s="16">
        <f>SUM(A76:A77)</f>
        <v>0</v>
      </c>
      <c r="B78" s="16">
        <f>SUM(B76:B77)</f>
        <v>9</v>
      </c>
      <c r="C78" s="16">
        <f>SUM(C76:C77)</f>
        <v>157</v>
      </c>
      <c r="D78" s="16">
        <f>SUM(D76:D77)</f>
        <v>137</v>
      </c>
      <c r="E78" s="16">
        <f>SUM(E76:E77)</f>
        <v>83</v>
      </c>
      <c r="F78" s="17" t="s">
        <v>13</v>
      </c>
      <c r="G78" s="19"/>
      <c r="H78" s="20"/>
      <c r="I78" s="13"/>
    </row>
    <row r="79" spans="1:10" ht="13.5" thickBot="1" x14ac:dyDescent="0.25">
      <c r="A79" s="16">
        <v>56</v>
      </c>
      <c r="B79" s="16">
        <v>32</v>
      </c>
      <c r="C79" s="16">
        <v>147</v>
      </c>
      <c r="D79" s="16">
        <v>829</v>
      </c>
      <c r="E79" s="16">
        <v>397</v>
      </c>
      <c r="F79" s="17" t="s">
        <v>10</v>
      </c>
      <c r="G79" s="18"/>
      <c r="H79" s="162" t="s">
        <v>115</v>
      </c>
    </row>
    <row r="80" spans="1:10" ht="15.75" customHeight="1" thickBot="1" x14ac:dyDescent="0.25">
      <c r="A80" s="16">
        <v>0</v>
      </c>
      <c r="B80" s="16">
        <v>0</v>
      </c>
      <c r="C80" s="16">
        <v>0</v>
      </c>
      <c r="D80" s="16">
        <v>0</v>
      </c>
      <c r="E80" s="16">
        <v>0</v>
      </c>
      <c r="F80" s="17" t="s">
        <v>11</v>
      </c>
      <c r="G80" s="18" t="s">
        <v>114</v>
      </c>
      <c r="H80" s="163"/>
      <c r="I80" s="13"/>
      <c r="J80" s="13"/>
    </row>
    <row r="81" spans="1:10" ht="15.75" customHeight="1" thickBot="1" x14ac:dyDescent="0.25">
      <c r="A81" s="16">
        <f>SUM(A79:A80)</f>
        <v>56</v>
      </c>
      <c r="B81" s="16">
        <f>SUM(B79:B80)</f>
        <v>32</v>
      </c>
      <c r="C81" s="16">
        <f>SUM(C79:C80)</f>
        <v>147</v>
      </c>
      <c r="D81" s="16">
        <f>SUM(D79:D80)</f>
        <v>829</v>
      </c>
      <c r="E81" s="16">
        <f>SUM(E79:E80)</f>
        <v>397</v>
      </c>
      <c r="F81" s="17" t="s">
        <v>13</v>
      </c>
      <c r="G81" s="19"/>
      <c r="H81" s="163"/>
      <c r="I81" s="13"/>
    </row>
    <row r="82" spans="1:10" ht="15.75" customHeight="1" thickBot="1" x14ac:dyDescent="0.25">
      <c r="A82" s="16">
        <v>0</v>
      </c>
      <c r="B82" s="16">
        <v>0</v>
      </c>
      <c r="C82" s="16">
        <v>0</v>
      </c>
      <c r="D82" s="16">
        <v>0</v>
      </c>
      <c r="E82" s="16">
        <v>0</v>
      </c>
      <c r="F82" s="17" t="s">
        <v>10</v>
      </c>
      <c r="G82" s="18"/>
      <c r="H82" s="163"/>
      <c r="I82" s="13"/>
    </row>
    <row r="83" spans="1:10" ht="15.75" customHeight="1" thickBot="1" x14ac:dyDescent="0.25">
      <c r="A83" s="16">
        <v>3</v>
      </c>
      <c r="B83" s="16">
        <v>1</v>
      </c>
      <c r="C83" s="16">
        <v>281</v>
      </c>
      <c r="D83" s="16">
        <v>853</v>
      </c>
      <c r="E83" s="16">
        <v>227</v>
      </c>
      <c r="F83" s="17" t="s">
        <v>11</v>
      </c>
      <c r="G83" s="18" t="s">
        <v>116</v>
      </c>
      <c r="H83" s="163"/>
    </row>
    <row r="84" spans="1:10" ht="15.75" customHeight="1" thickBot="1" x14ac:dyDescent="0.25">
      <c r="A84" s="16">
        <f>SUM(A82:A83)</f>
        <v>3</v>
      </c>
      <c r="B84" s="16">
        <f>SUM(B82:B83)</f>
        <v>1</v>
      </c>
      <c r="C84" s="16">
        <f>SUM(C82:C83)</f>
        <v>281</v>
      </c>
      <c r="D84" s="16">
        <f>SUM(D82:D83)</f>
        <v>853</v>
      </c>
      <c r="E84" s="16">
        <f>SUM(E82:E83)</f>
        <v>227</v>
      </c>
      <c r="F84" s="17" t="s">
        <v>13</v>
      </c>
      <c r="G84" s="19"/>
      <c r="H84" s="164"/>
      <c r="I84" s="13"/>
      <c r="J84" s="13"/>
    </row>
    <row r="85" spans="1:10" ht="13.5" thickBot="1" x14ac:dyDescent="0.25">
      <c r="A85" s="16">
        <v>3</v>
      </c>
      <c r="B85" s="16">
        <v>19</v>
      </c>
      <c r="C85" s="16">
        <v>0</v>
      </c>
      <c r="D85" s="16">
        <f>119+402</f>
        <v>521</v>
      </c>
      <c r="E85" s="16">
        <v>429</v>
      </c>
      <c r="F85" s="17" t="s">
        <v>10</v>
      </c>
      <c r="G85" s="18"/>
      <c r="H85" s="18"/>
      <c r="I85" s="13"/>
    </row>
    <row r="86" spans="1:10" ht="13.5" thickBot="1" x14ac:dyDescent="0.25">
      <c r="A86" s="16">
        <v>0</v>
      </c>
      <c r="B86" s="16">
        <v>0</v>
      </c>
      <c r="C86" s="16">
        <v>0</v>
      </c>
      <c r="D86" s="16">
        <f>665+177</f>
        <v>842</v>
      </c>
      <c r="E86" s="16">
        <v>529</v>
      </c>
      <c r="F86" s="17" t="s">
        <v>11</v>
      </c>
      <c r="G86" s="18" t="s">
        <v>117</v>
      </c>
      <c r="H86" s="18" t="s">
        <v>118</v>
      </c>
    </row>
    <row r="87" spans="1:10" ht="13.5" thickBot="1" x14ac:dyDescent="0.25">
      <c r="A87" s="16">
        <f>SUM(A85:A86)</f>
        <v>3</v>
      </c>
      <c r="B87" s="16">
        <f>SUM(B85:B86)</f>
        <v>19</v>
      </c>
      <c r="C87" s="16">
        <f>SUM(C85:C86)</f>
        <v>0</v>
      </c>
      <c r="D87" s="16">
        <f>SUM(D85:D86)</f>
        <v>1363</v>
      </c>
      <c r="E87" s="16">
        <f>SUM(E85:E86)</f>
        <v>958</v>
      </c>
      <c r="F87" s="17" t="s">
        <v>13</v>
      </c>
      <c r="G87" s="19"/>
      <c r="H87" s="20"/>
      <c r="I87" s="13"/>
      <c r="J87" s="13"/>
    </row>
    <row r="88" spans="1:10" ht="13.5" thickBot="1" x14ac:dyDescent="0.25">
      <c r="A88" s="16">
        <v>11</v>
      </c>
      <c r="B88" s="16">
        <v>29</v>
      </c>
      <c r="C88" s="16">
        <v>181</v>
      </c>
      <c r="D88" s="16">
        <f>3138+1048</f>
        <v>4186</v>
      </c>
      <c r="E88" s="16">
        <v>556</v>
      </c>
      <c r="F88" s="17" t="s">
        <v>10</v>
      </c>
      <c r="G88" s="18"/>
      <c r="H88" s="162" t="s">
        <v>120</v>
      </c>
      <c r="I88" s="13"/>
    </row>
    <row r="89" spans="1:10" ht="15.75" customHeight="1" thickBot="1" x14ac:dyDescent="0.25">
      <c r="A89" s="16">
        <v>0</v>
      </c>
      <c r="B89" s="16">
        <v>0</v>
      </c>
      <c r="C89" s="16">
        <v>0</v>
      </c>
      <c r="D89" s="16">
        <v>0</v>
      </c>
      <c r="E89" s="16">
        <v>0</v>
      </c>
      <c r="F89" s="17" t="s">
        <v>11</v>
      </c>
      <c r="G89" s="18" t="s">
        <v>119</v>
      </c>
      <c r="H89" s="163"/>
    </row>
    <row r="90" spans="1:10" ht="15.75" customHeight="1" thickBot="1" x14ac:dyDescent="0.25">
      <c r="A90" s="16">
        <f>SUM(A88:A89)</f>
        <v>11</v>
      </c>
      <c r="B90" s="16">
        <f>SUM(B88:B89)</f>
        <v>29</v>
      </c>
      <c r="C90" s="16">
        <f>SUM(C88:C89)</f>
        <v>181</v>
      </c>
      <c r="D90" s="16">
        <f>SUM(D88:D89)</f>
        <v>4186</v>
      </c>
      <c r="E90" s="16">
        <f>SUM(E88:E89)</f>
        <v>556</v>
      </c>
      <c r="F90" s="17" t="s">
        <v>13</v>
      </c>
      <c r="G90" s="19"/>
      <c r="H90" s="163"/>
      <c r="I90" s="13"/>
      <c r="J90" s="13"/>
    </row>
    <row r="91" spans="1:10" ht="15.75" customHeight="1" thickBot="1" x14ac:dyDescent="0.25">
      <c r="A91" s="16">
        <v>0</v>
      </c>
      <c r="B91" s="16">
        <v>0</v>
      </c>
      <c r="C91" s="16">
        <v>0</v>
      </c>
      <c r="D91" s="16">
        <v>0</v>
      </c>
      <c r="E91" s="16">
        <v>0</v>
      </c>
      <c r="F91" s="17" t="s">
        <v>10</v>
      </c>
      <c r="G91" s="18"/>
      <c r="H91" s="163"/>
      <c r="I91" s="13"/>
    </row>
    <row r="92" spans="1:10" ht="15.75" customHeight="1" thickBot="1" x14ac:dyDescent="0.25">
      <c r="A92" s="16">
        <v>0</v>
      </c>
      <c r="B92" s="16">
        <v>1</v>
      </c>
      <c r="C92" s="16">
        <v>99</v>
      </c>
      <c r="D92" s="16">
        <v>280</v>
      </c>
      <c r="E92" s="16">
        <v>64</v>
      </c>
      <c r="F92" s="17" t="s">
        <v>11</v>
      </c>
      <c r="G92" s="18" t="s">
        <v>121</v>
      </c>
      <c r="H92" s="163"/>
      <c r="I92" s="13"/>
    </row>
    <row r="93" spans="1:10" ht="15.75" customHeight="1" thickBot="1" x14ac:dyDescent="0.25">
      <c r="A93" s="16">
        <f>SUM(A91:A92)</f>
        <v>0</v>
      </c>
      <c r="B93" s="16">
        <f>SUM(B91:B92)</f>
        <v>1</v>
      </c>
      <c r="C93" s="16">
        <f>SUM(C91:C92)</f>
        <v>99</v>
      </c>
      <c r="D93" s="16">
        <f>SUM(D91:D92)</f>
        <v>280</v>
      </c>
      <c r="E93" s="16">
        <f>SUM(E91:E92)</f>
        <v>64</v>
      </c>
      <c r="F93" s="17" t="s">
        <v>13</v>
      </c>
      <c r="G93" s="19"/>
      <c r="H93" s="163"/>
      <c r="I93" s="13"/>
    </row>
    <row r="94" spans="1:10" ht="15.75" customHeight="1" thickBot="1" x14ac:dyDescent="0.25">
      <c r="A94" s="16">
        <v>0</v>
      </c>
      <c r="B94" s="16">
        <v>0</v>
      </c>
      <c r="C94" s="16">
        <v>0</v>
      </c>
      <c r="D94" s="16">
        <v>0</v>
      </c>
      <c r="E94" s="16">
        <v>0</v>
      </c>
      <c r="F94" s="17" t="s">
        <v>10</v>
      </c>
      <c r="G94" s="18"/>
      <c r="H94" s="163"/>
    </row>
    <row r="95" spans="1:10" ht="15.75" customHeight="1" thickBot="1" x14ac:dyDescent="0.25">
      <c r="A95" s="16">
        <v>0</v>
      </c>
      <c r="B95" s="16">
        <v>0</v>
      </c>
      <c r="C95" s="16">
        <v>100</v>
      </c>
      <c r="D95" s="16">
        <v>280</v>
      </c>
      <c r="E95" s="16">
        <v>72</v>
      </c>
      <c r="F95" s="17" t="s">
        <v>11</v>
      </c>
      <c r="G95" s="18" t="s">
        <v>122</v>
      </c>
      <c r="H95" s="163"/>
      <c r="J95" s="13"/>
    </row>
    <row r="96" spans="1:10" ht="15.75" customHeight="1" thickBot="1" x14ac:dyDescent="0.25">
      <c r="A96" s="16">
        <f>SUM(A94:A95)</f>
        <v>0</v>
      </c>
      <c r="B96" s="16">
        <f>SUM(B94:B95)</f>
        <v>0</v>
      </c>
      <c r="C96" s="16">
        <f>SUM(C94:C95)</f>
        <v>100</v>
      </c>
      <c r="D96" s="16">
        <f>SUM(D94:D95)</f>
        <v>280</v>
      </c>
      <c r="E96" s="16">
        <f>SUM(E94:E95)</f>
        <v>72</v>
      </c>
      <c r="F96" s="17" t="s">
        <v>13</v>
      </c>
      <c r="G96" s="19"/>
      <c r="H96" s="164"/>
      <c r="I96" s="13"/>
      <c r="J96" s="13"/>
    </row>
    <row r="97" spans="1:11" ht="13.5" thickBot="1" x14ac:dyDescent="0.25">
      <c r="A97" s="16">
        <v>2</v>
      </c>
      <c r="B97" s="16">
        <v>12</v>
      </c>
      <c r="C97" s="16">
        <v>103</v>
      </c>
      <c r="D97" s="16">
        <v>376</v>
      </c>
      <c r="E97" s="16">
        <v>343</v>
      </c>
      <c r="F97" s="17" t="s">
        <v>10</v>
      </c>
      <c r="G97" s="18"/>
      <c r="H97" s="18"/>
      <c r="I97" s="13"/>
    </row>
    <row r="98" spans="1:11" ht="13.5" thickBot="1" x14ac:dyDescent="0.25">
      <c r="A98" s="16">
        <v>7</v>
      </c>
      <c r="B98" s="16">
        <v>33</v>
      </c>
      <c r="C98" s="16">
        <v>309</v>
      </c>
      <c r="D98" s="16">
        <v>1111</v>
      </c>
      <c r="E98" s="16">
        <v>525</v>
      </c>
      <c r="F98" s="17" t="s">
        <v>11</v>
      </c>
      <c r="G98" s="18" t="s">
        <v>123</v>
      </c>
      <c r="H98" s="18" t="s">
        <v>124</v>
      </c>
      <c r="I98" s="13"/>
    </row>
    <row r="99" spans="1:11" ht="13.5" thickBot="1" x14ac:dyDescent="0.25">
      <c r="A99" s="16">
        <f>SUM(A97:A98)</f>
        <v>9</v>
      </c>
      <c r="B99" s="16">
        <f>SUM(B97:B98)</f>
        <v>45</v>
      </c>
      <c r="C99" s="16">
        <f>SUM(C97:C98)</f>
        <v>412</v>
      </c>
      <c r="D99" s="16">
        <f>SUM(D97:D98)</f>
        <v>1487</v>
      </c>
      <c r="E99" s="16">
        <f>SUM(E97:E98)</f>
        <v>868</v>
      </c>
      <c r="F99" s="17" t="s">
        <v>13</v>
      </c>
      <c r="G99" s="19"/>
      <c r="H99" s="20"/>
      <c r="I99" s="13"/>
    </row>
    <row r="100" spans="1:11" ht="13.5" thickBot="1" x14ac:dyDescent="0.25">
      <c r="A100" s="16">
        <v>8</v>
      </c>
      <c r="B100" s="16">
        <v>39</v>
      </c>
      <c r="C100" s="16">
        <v>126</v>
      </c>
      <c r="D100" s="16">
        <v>656</v>
      </c>
      <c r="E100" s="16">
        <v>648</v>
      </c>
      <c r="F100" s="17" t="s">
        <v>10</v>
      </c>
      <c r="G100" s="18"/>
      <c r="H100" s="162" t="s">
        <v>126</v>
      </c>
      <c r="I100" s="13"/>
    </row>
    <row r="101" spans="1:11" ht="15.75" customHeight="1" thickBot="1" x14ac:dyDescent="0.25">
      <c r="A101" s="16">
        <v>0</v>
      </c>
      <c r="B101" s="16">
        <v>0</v>
      </c>
      <c r="C101" s="16">
        <v>0</v>
      </c>
      <c r="D101" s="16">
        <v>0</v>
      </c>
      <c r="E101" s="16">
        <v>0</v>
      </c>
      <c r="F101" s="17" t="s">
        <v>11</v>
      </c>
      <c r="G101" s="18" t="s">
        <v>125</v>
      </c>
      <c r="H101" s="163"/>
      <c r="I101" s="13"/>
    </row>
    <row r="102" spans="1:11" ht="15.75" customHeight="1" thickBot="1" x14ac:dyDescent="0.25">
      <c r="A102" s="16">
        <f>SUM(A100:A101)</f>
        <v>8</v>
      </c>
      <c r="B102" s="16">
        <f>SUM(B100:B101)</f>
        <v>39</v>
      </c>
      <c r="C102" s="16">
        <f>SUM(C100:C101)</f>
        <v>126</v>
      </c>
      <c r="D102" s="16">
        <f>SUM(D100:D101)</f>
        <v>656</v>
      </c>
      <c r="E102" s="16">
        <f>SUM(E100:E101)</f>
        <v>648</v>
      </c>
      <c r="F102" s="17" t="s">
        <v>13</v>
      </c>
      <c r="G102" s="19"/>
      <c r="H102" s="163"/>
      <c r="I102" s="13"/>
    </row>
    <row r="103" spans="1:11" ht="15.75" customHeight="1" thickBot="1" x14ac:dyDescent="0.25">
      <c r="A103" s="16">
        <v>0</v>
      </c>
      <c r="B103" s="16">
        <v>1</v>
      </c>
      <c r="C103" s="16">
        <v>0</v>
      </c>
      <c r="D103" s="16">
        <v>0</v>
      </c>
      <c r="E103" s="16">
        <v>0</v>
      </c>
      <c r="F103" s="17" t="s">
        <v>10</v>
      </c>
      <c r="G103" s="18"/>
      <c r="H103" s="163"/>
      <c r="I103" s="13"/>
    </row>
    <row r="104" spans="1:11" ht="15.75" customHeight="1" thickBot="1" x14ac:dyDescent="0.25">
      <c r="A104" s="16">
        <v>0</v>
      </c>
      <c r="B104" s="16">
        <v>0</v>
      </c>
      <c r="C104" s="16">
        <v>134</v>
      </c>
      <c r="D104" s="16">
        <v>67</v>
      </c>
      <c r="E104" s="16">
        <v>33</v>
      </c>
      <c r="F104" s="17" t="s">
        <v>11</v>
      </c>
      <c r="G104" s="18" t="s">
        <v>127</v>
      </c>
      <c r="H104" s="163"/>
      <c r="I104" s="13"/>
    </row>
    <row r="105" spans="1:11" ht="15.75" customHeight="1" thickBot="1" x14ac:dyDescent="0.25">
      <c r="A105" s="16">
        <f>SUM(A103:A104)</f>
        <v>0</v>
      </c>
      <c r="B105" s="16">
        <f>SUM(B103:B104)</f>
        <v>1</v>
      </c>
      <c r="C105" s="16">
        <f>SUM(C103:C104)</f>
        <v>134</v>
      </c>
      <c r="D105" s="16">
        <f>SUM(D103:D104)</f>
        <v>67</v>
      </c>
      <c r="E105" s="16">
        <f>SUM(E103:E104)</f>
        <v>33</v>
      </c>
      <c r="F105" s="17" t="s">
        <v>13</v>
      </c>
      <c r="G105" s="19"/>
      <c r="H105" s="164"/>
      <c r="I105" s="13"/>
    </row>
    <row r="106" spans="1:11" ht="13.5" thickBot="1" x14ac:dyDescent="0.25">
      <c r="A106" s="16">
        <v>0</v>
      </c>
      <c r="B106" s="16">
        <v>1</v>
      </c>
      <c r="C106" s="16">
        <v>0</v>
      </c>
      <c r="D106" s="16">
        <v>0</v>
      </c>
      <c r="E106" s="16">
        <v>0</v>
      </c>
      <c r="F106" s="17" t="s">
        <v>10</v>
      </c>
      <c r="G106" s="18"/>
      <c r="H106" s="162" t="s">
        <v>129</v>
      </c>
      <c r="I106" s="13"/>
    </row>
    <row r="107" spans="1:11" ht="15.75" customHeight="1" thickBot="1" x14ac:dyDescent="0.25">
      <c r="A107" s="16">
        <v>14</v>
      </c>
      <c r="B107" s="16">
        <v>25</v>
      </c>
      <c r="C107" s="16">
        <v>244</v>
      </c>
      <c r="D107" s="16">
        <v>796</v>
      </c>
      <c r="E107" s="16">
        <v>304</v>
      </c>
      <c r="F107" s="17" t="s">
        <v>11</v>
      </c>
      <c r="G107" s="18" t="s">
        <v>128</v>
      </c>
      <c r="H107" s="163"/>
      <c r="I107" s="13"/>
    </row>
    <row r="108" spans="1:11" ht="15.75" customHeight="1" thickBot="1" x14ac:dyDescent="0.25">
      <c r="A108" s="16">
        <f>SUM(A106:A107)</f>
        <v>14</v>
      </c>
      <c r="B108" s="16">
        <f>SUM(B106:B107)</f>
        <v>26</v>
      </c>
      <c r="C108" s="16">
        <f>SUM(C106:C107)</f>
        <v>244</v>
      </c>
      <c r="D108" s="16">
        <f>SUM(D106:D107)</f>
        <v>796</v>
      </c>
      <c r="E108" s="16">
        <f>SUM(E106:E107)</f>
        <v>304</v>
      </c>
      <c r="F108" s="17" t="s">
        <v>13</v>
      </c>
      <c r="G108" s="19"/>
      <c r="H108" s="163"/>
      <c r="I108" s="13"/>
    </row>
    <row r="109" spans="1:11" ht="15.75" customHeight="1" thickBot="1" x14ac:dyDescent="0.25">
      <c r="A109" s="16">
        <v>1</v>
      </c>
      <c r="B109" s="16">
        <v>30</v>
      </c>
      <c r="C109" s="16">
        <v>110</v>
      </c>
      <c r="D109" s="16">
        <v>679</v>
      </c>
      <c r="E109" s="16">
        <v>351</v>
      </c>
      <c r="F109" s="17" t="s">
        <v>10</v>
      </c>
      <c r="G109" s="18"/>
      <c r="H109" s="163"/>
      <c r="I109" s="13"/>
    </row>
    <row r="110" spans="1:11" ht="15.75" customHeight="1" thickBot="1" x14ac:dyDescent="0.25">
      <c r="A110" s="16">
        <v>0</v>
      </c>
      <c r="B110" s="16">
        <v>0</v>
      </c>
      <c r="C110" s="16">
        <v>0</v>
      </c>
      <c r="D110" s="16">
        <v>0</v>
      </c>
      <c r="E110" s="16">
        <v>0</v>
      </c>
      <c r="F110" s="17" t="s">
        <v>11</v>
      </c>
      <c r="G110" s="18" t="s">
        <v>212</v>
      </c>
      <c r="H110" s="163"/>
      <c r="I110" s="13"/>
      <c r="K110" s="26"/>
    </row>
    <row r="111" spans="1:11" ht="15.75" customHeight="1" thickBot="1" x14ac:dyDescent="0.25">
      <c r="A111" s="16">
        <f>SUM(A109:A110)</f>
        <v>1</v>
      </c>
      <c r="B111" s="16">
        <f>SUM(B109:B110)</f>
        <v>30</v>
      </c>
      <c r="C111" s="16">
        <f>SUM(C109:C110)</f>
        <v>110</v>
      </c>
      <c r="D111" s="16">
        <f>SUM(D109:D110)</f>
        <v>679</v>
      </c>
      <c r="E111" s="16">
        <f>SUM(E109:E110)</f>
        <v>351</v>
      </c>
      <c r="F111" s="17" t="s">
        <v>13</v>
      </c>
      <c r="G111" s="19"/>
      <c r="H111" s="164"/>
      <c r="I111" s="13"/>
    </row>
    <row r="112" spans="1:11" ht="13.5" thickBot="1" x14ac:dyDescent="0.25">
      <c r="A112" s="16">
        <v>0</v>
      </c>
      <c r="B112" s="16">
        <v>0</v>
      </c>
      <c r="C112" s="16">
        <v>0</v>
      </c>
      <c r="D112" s="16">
        <v>0</v>
      </c>
      <c r="E112" s="16">
        <v>0</v>
      </c>
      <c r="F112" s="17" t="s">
        <v>10</v>
      </c>
      <c r="G112" s="18"/>
      <c r="H112" s="18"/>
      <c r="I112" s="13"/>
    </row>
    <row r="113" spans="1:10" ht="13.5" thickBot="1" x14ac:dyDescent="0.25">
      <c r="A113" s="16">
        <v>0</v>
      </c>
      <c r="B113" s="16">
        <v>1</v>
      </c>
      <c r="C113" s="16">
        <v>402</v>
      </c>
      <c r="D113" s="16">
        <v>1971</v>
      </c>
      <c r="E113" s="16">
        <v>819</v>
      </c>
      <c r="F113" s="17" t="s">
        <v>11</v>
      </c>
      <c r="G113" s="18" t="s">
        <v>130</v>
      </c>
      <c r="H113" s="18" t="s">
        <v>131</v>
      </c>
    </row>
    <row r="114" spans="1:10" ht="13.5" thickBot="1" x14ac:dyDescent="0.25">
      <c r="A114" s="16">
        <f>SUM(A112:A113)</f>
        <v>0</v>
      </c>
      <c r="B114" s="16">
        <f>SUM(B112:B113)</f>
        <v>1</v>
      </c>
      <c r="C114" s="16">
        <f>SUM(C112:C113)</f>
        <v>402</v>
      </c>
      <c r="D114" s="16">
        <f>SUM(D112:D113)</f>
        <v>1971</v>
      </c>
      <c r="E114" s="16">
        <f>SUM(E112:E113)</f>
        <v>819</v>
      </c>
      <c r="F114" s="17" t="s">
        <v>13</v>
      </c>
      <c r="G114" s="19"/>
      <c r="H114" s="20"/>
      <c r="I114" s="13"/>
      <c r="J114" s="13"/>
    </row>
    <row r="115" spans="1:10" ht="13.5" thickBot="1" x14ac:dyDescent="0.25">
      <c r="A115" s="16">
        <v>0</v>
      </c>
      <c r="B115" s="16">
        <v>0</v>
      </c>
      <c r="C115" s="16">
        <v>0</v>
      </c>
      <c r="D115" s="16">
        <v>0</v>
      </c>
      <c r="E115" s="16">
        <v>0</v>
      </c>
      <c r="F115" s="17" t="s">
        <v>10</v>
      </c>
      <c r="G115" s="18"/>
      <c r="H115" s="162" t="s">
        <v>133</v>
      </c>
      <c r="I115" s="13"/>
    </row>
    <row r="116" spans="1:10" ht="15.75" customHeight="1" thickBot="1" x14ac:dyDescent="0.25">
      <c r="A116" s="16">
        <v>6</v>
      </c>
      <c r="B116" s="16">
        <v>12</v>
      </c>
      <c r="C116" s="16">
        <v>30</v>
      </c>
      <c r="D116" s="16">
        <v>170</v>
      </c>
      <c r="E116" s="16">
        <v>125</v>
      </c>
      <c r="F116" s="17" t="s">
        <v>11</v>
      </c>
      <c r="G116" s="18" t="s">
        <v>132</v>
      </c>
      <c r="H116" s="163"/>
      <c r="I116" s="13"/>
    </row>
    <row r="117" spans="1:10" ht="15.75" customHeight="1" thickBot="1" x14ac:dyDescent="0.25">
      <c r="A117" s="16">
        <f>SUM(A115:A116)</f>
        <v>6</v>
      </c>
      <c r="B117" s="16">
        <f>SUM(B115:B116)</f>
        <v>12</v>
      </c>
      <c r="C117" s="16">
        <f>SUM(C115:C116)</f>
        <v>30</v>
      </c>
      <c r="D117" s="16">
        <f>SUM(D115:D116)</f>
        <v>170</v>
      </c>
      <c r="E117" s="16">
        <f>SUM(E115:E116)</f>
        <v>125</v>
      </c>
      <c r="F117" s="17" t="s">
        <v>13</v>
      </c>
      <c r="G117" s="19"/>
      <c r="H117" s="163"/>
      <c r="I117" s="13"/>
    </row>
    <row r="118" spans="1:10" ht="15.75" customHeight="1" thickBot="1" x14ac:dyDescent="0.25">
      <c r="A118" s="16">
        <v>17</v>
      </c>
      <c r="B118" s="16">
        <v>13</v>
      </c>
      <c r="C118" s="16">
        <v>0</v>
      </c>
      <c r="D118" s="16">
        <v>169</v>
      </c>
      <c r="E118" s="16">
        <v>86</v>
      </c>
      <c r="F118" s="17" t="s">
        <v>10</v>
      </c>
      <c r="G118" s="18"/>
      <c r="H118" s="163"/>
    </row>
    <row r="119" spans="1:10" ht="15.75" customHeight="1" thickBot="1" x14ac:dyDescent="0.25">
      <c r="A119" s="16">
        <v>0</v>
      </c>
      <c r="B119" s="16">
        <v>0</v>
      </c>
      <c r="C119" s="16">
        <v>0</v>
      </c>
      <c r="D119" s="16">
        <v>0</v>
      </c>
      <c r="E119" s="16">
        <v>0</v>
      </c>
      <c r="F119" s="17" t="s">
        <v>11</v>
      </c>
      <c r="G119" s="18" t="s">
        <v>134</v>
      </c>
      <c r="H119" s="163"/>
    </row>
    <row r="120" spans="1:10" ht="15.75" customHeight="1" thickBot="1" x14ac:dyDescent="0.25">
      <c r="A120" s="16">
        <f>SUM(A118:A119)</f>
        <v>17</v>
      </c>
      <c r="B120" s="16">
        <f>SUM(B118:B119)</f>
        <v>13</v>
      </c>
      <c r="C120" s="16">
        <f>SUM(C118:C119)</f>
        <v>0</v>
      </c>
      <c r="D120" s="16">
        <f>SUM(D118:D119)</f>
        <v>169</v>
      </c>
      <c r="E120" s="16">
        <f>SUM(E118:E119)</f>
        <v>86</v>
      </c>
      <c r="F120" s="17" t="s">
        <v>13</v>
      </c>
      <c r="G120" s="19"/>
      <c r="H120" s="164"/>
    </row>
    <row r="121" spans="1:10" ht="13.5" thickBot="1" x14ac:dyDescent="0.25">
      <c r="A121" s="16">
        <f>A4+A7+A10+A13+A16+A19+A22+A25+A28+A31+A34+A37+A40+A43+A46+A49+A52+A55+A58+A61+A64+A67+A70+A73+A76+A79+A82+A85+A88+A91+A94+A97+A100+A103+A106+A109+A112+A115+A118</f>
        <v>266</v>
      </c>
      <c r="B121" s="16">
        <f>B4+B7+B10+B13+B16+B19+B22+B25+B28+B31+B34+B37+B40+B43+B46+B49+B52+B55+B58+B61+B64+B67+B70+B73+B76+B79+B82+B85+B88+B91+B94+B97+B100+B103+B106+B109+B112+B115+B118</f>
        <v>542</v>
      </c>
      <c r="C121" s="16">
        <f>C4+C7+C10+C13+C16+C19+C22+C25+C28+C31+C34+C37+C40+C43+C46+C49+C52+C55+C58+C61+C64+C67+C70+C73+C76+C79+C82+C85+C88+C91+C94+C97+C100+C103+C106+C109+C112+C115+C118</f>
        <v>2458</v>
      </c>
      <c r="D121" s="16">
        <f>D4+D7+D10+D13+D16+D19+D22+D25+D28+D31+D34+D37+D40+D43+D46+D49+D52+D55+D58+D61+D64+D67+D70+D73+D76+D79+D82+D85+D88+D91+D94+D97+D100+D103+D106+D109+D112+D115+D118</f>
        <v>18566</v>
      </c>
      <c r="E121" s="16">
        <f>E4+E7+E10+E13+E16+E19+E22+E25+E28+E31+E34+E37+E40+E43+E46+E49+E52+E55+E58+E61+E64+E67+E70+E73+E76+E79+E82+E85+E88+E91+E94+E97+E100+E103+E106+E109+E112+E115+E118</f>
        <v>10553</v>
      </c>
      <c r="F121" s="14" t="s">
        <v>28</v>
      </c>
      <c r="G121" s="162"/>
      <c r="H121" s="162"/>
    </row>
    <row r="122" spans="1:10" ht="13.5" thickBot="1" x14ac:dyDescent="0.25">
      <c r="A122" s="16">
        <f t="shared" ref="A122:D123" si="0">A5+A8+A11+A14+A17+A20+A23+A26+A29+A32+A35+A38+A41+A44+A47+A50+A53+A56+A59+A62+A65+A68+A71+A74+A77+A80+A83+A86+A89+A92+A95+A98+A101+A104+A107+A110+A113+A116+A119</f>
        <v>39</v>
      </c>
      <c r="B122" s="16">
        <f t="shared" si="0"/>
        <v>133</v>
      </c>
      <c r="C122" s="16">
        <f t="shared" si="0"/>
        <v>3037</v>
      </c>
      <c r="D122" s="16">
        <f t="shared" si="0"/>
        <v>10192</v>
      </c>
      <c r="E122" s="16">
        <f>E5+E8+E11+E14+E17+E20+E23+E26+E29+E32+E35+E38+E41+E44+E47+E50+E53+E56+E59+E62+E65+E68+E71+E74+E77+E80+E83+E86+E89+E92+E95+E98+E101+E104+E107+E110+E113+E116+E119</f>
        <v>4444</v>
      </c>
      <c r="F122" s="14" t="s">
        <v>29</v>
      </c>
      <c r="G122" s="163" t="s">
        <v>44</v>
      </c>
      <c r="H122" s="163"/>
    </row>
    <row r="123" spans="1:10" ht="13.5" thickBot="1" x14ac:dyDescent="0.25">
      <c r="A123" s="16">
        <f t="shared" si="0"/>
        <v>305</v>
      </c>
      <c r="B123" s="16">
        <f t="shared" si="0"/>
        <v>675</v>
      </c>
      <c r="C123" s="16">
        <f t="shared" si="0"/>
        <v>5495</v>
      </c>
      <c r="D123" s="16">
        <f t="shared" si="0"/>
        <v>28758</v>
      </c>
      <c r="E123" s="16">
        <f>E6+E9+E12+E15+E18+E21+E24+E27+E30+E33+E36+E39+E42+E45+E48+E51+E54+E57+E60+E63+E66+E69+E72+E75+E78+E81+E84+E87+E90+E93+E96+E99+E102+E105+E108+E111+E114+E117+E120</f>
        <v>14997</v>
      </c>
      <c r="F123" s="14" t="s">
        <v>13</v>
      </c>
      <c r="G123" s="164"/>
      <c r="H123" s="164"/>
    </row>
  </sheetData>
  <mergeCells count="18">
    <mergeCell ref="G123:H123"/>
    <mergeCell ref="H13:H27"/>
    <mergeCell ref="H28:H33"/>
    <mergeCell ref="H34:H39"/>
    <mergeCell ref="H40:H45"/>
    <mergeCell ref="H46:H60"/>
    <mergeCell ref="H61:H69"/>
    <mergeCell ref="H70:H75"/>
    <mergeCell ref="H79:H84"/>
    <mergeCell ref="H88:H96"/>
    <mergeCell ref="H100:H105"/>
    <mergeCell ref="H106:H111"/>
    <mergeCell ref="H115:H120"/>
    <mergeCell ref="H7:H12"/>
    <mergeCell ref="A1:H1"/>
    <mergeCell ref="A2:H2"/>
    <mergeCell ref="G121:H121"/>
    <mergeCell ref="G122:H122"/>
  </mergeCells>
  <pageMargins left="0.5" right="0.5" top="0.5" bottom="0.5" header="0.5" footer="0.5"/>
  <pageSetup paperSize="9" orientation="landscape" horizontalDpi="0" verticalDpi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0"/>
  <sheetViews>
    <sheetView showGridLines="0" topLeftCell="A16" workbookViewId="0">
      <selection activeCell="F38" sqref="F38"/>
    </sheetView>
  </sheetViews>
  <sheetFormatPr defaultRowHeight="12.75" x14ac:dyDescent="0.2"/>
  <cols>
    <col min="1" max="6" width="11" style="2" customWidth="1"/>
    <col min="7" max="8" width="27.375" style="2" customWidth="1"/>
    <col min="9" max="9" width="9.625" style="2" customWidth="1"/>
    <col min="10" max="256" width="9.125" style="2"/>
    <col min="257" max="262" width="11" style="2" customWidth="1"/>
    <col min="263" max="264" width="27.375" style="2" customWidth="1"/>
    <col min="265" max="265" width="9.625" style="2" customWidth="1"/>
    <col min="266" max="512" width="9.125" style="2"/>
    <col min="513" max="518" width="11" style="2" customWidth="1"/>
    <col min="519" max="520" width="27.375" style="2" customWidth="1"/>
    <col min="521" max="521" width="9.625" style="2" customWidth="1"/>
    <col min="522" max="768" width="9.125" style="2"/>
    <col min="769" max="774" width="11" style="2" customWidth="1"/>
    <col min="775" max="776" width="27.375" style="2" customWidth="1"/>
    <col min="777" max="777" width="9.625" style="2" customWidth="1"/>
    <col min="778" max="1024" width="9.125" style="2"/>
    <col min="1025" max="1030" width="11" style="2" customWidth="1"/>
    <col min="1031" max="1032" width="27.375" style="2" customWidth="1"/>
    <col min="1033" max="1033" width="9.625" style="2" customWidth="1"/>
    <col min="1034" max="1280" width="9.125" style="2"/>
    <col min="1281" max="1286" width="11" style="2" customWidth="1"/>
    <col min="1287" max="1288" width="27.375" style="2" customWidth="1"/>
    <col min="1289" max="1289" width="9.625" style="2" customWidth="1"/>
    <col min="1290" max="1536" width="9.125" style="2"/>
    <col min="1537" max="1542" width="11" style="2" customWidth="1"/>
    <col min="1543" max="1544" width="27.375" style="2" customWidth="1"/>
    <col min="1545" max="1545" width="9.625" style="2" customWidth="1"/>
    <col min="1546" max="1792" width="9.125" style="2"/>
    <col min="1793" max="1798" width="11" style="2" customWidth="1"/>
    <col min="1799" max="1800" width="27.375" style="2" customWidth="1"/>
    <col min="1801" max="1801" width="9.625" style="2" customWidth="1"/>
    <col min="1802" max="2048" width="9.125" style="2"/>
    <col min="2049" max="2054" width="11" style="2" customWidth="1"/>
    <col min="2055" max="2056" width="27.375" style="2" customWidth="1"/>
    <col min="2057" max="2057" width="9.625" style="2" customWidth="1"/>
    <col min="2058" max="2304" width="9.125" style="2"/>
    <col min="2305" max="2310" width="11" style="2" customWidth="1"/>
    <col min="2311" max="2312" width="27.375" style="2" customWidth="1"/>
    <col min="2313" max="2313" width="9.625" style="2" customWidth="1"/>
    <col min="2314" max="2560" width="9.125" style="2"/>
    <col min="2561" max="2566" width="11" style="2" customWidth="1"/>
    <col min="2567" max="2568" width="27.375" style="2" customWidth="1"/>
    <col min="2569" max="2569" width="9.625" style="2" customWidth="1"/>
    <col min="2570" max="2816" width="9.125" style="2"/>
    <col min="2817" max="2822" width="11" style="2" customWidth="1"/>
    <col min="2823" max="2824" width="27.375" style="2" customWidth="1"/>
    <col min="2825" max="2825" width="9.625" style="2" customWidth="1"/>
    <col min="2826" max="3072" width="9.125" style="2"/>
    <col min="3073" max="3078" width="11" style="2" customWidth="1"/>
    <col min="3079" max="3080" width="27.375" style="2" customWidth="1"/>
    <col min="3081" max="3081" width="9.625" style="2" customWidth="1"/>
    <col min="3082" max="3328" width="9.125" style="2"/>
    <col min="3329" max="3334" width="11" style="2" customWidth="1"/>
    <col min="3335" max="3336" width="27.375" style="2" customWidth="1"/>
    <col min="3337" max="3337" width="9.625" style="2" customWidth="1"/>
    <col min="3338" max="3584" width="9.125" style="2"/>
    <col min="3585" max="3590" width="11" style="2" customWidth="1"/>
    <col min="3591" max="3592" width="27.375" style="2" customWidth="1"/>
    <col min="3593" max="3593" width="9.625" style="2" customWidth="1"/>
    <col min="3594" max="3840" width="9.125" style="2"/>
    <col min="3841" max="3846" width="11" style="2" customWidth="1"/>
    <col min="3847" max="3848" width="27.375" style="2" customWidth="1"/>
    <col min="3849" max="3849" width="9.625" style="2" customWidth="1"/>
    <col min="3850" max="4096" width="9.125" style="2"/>
    <col min="4097" max="4102" width="11" style="2" customWidth="1"/>
    <col min="4103" max="4104" width="27.375" style="2" customWidth="1"/>
    <col min="4105" max="4105" width="9.625" style="2" customWidth="1"/>
    <col min="4106" max="4352" width="9.125" style="2"/>
    <col min="4353" max="4358" width="11" style="2" customWidth="1"/>
    <col min="4359" max="4360" width="27.375" style="2" customWidth="1"/>
    <col min="4361" max="4361" width="9.625" style="2" customWidth="1"/>
    <col min="4362" max="4608" width="9.125" style="2"/>
    <col min="4609" max="4614" width="11" style="2" customWidth="1"/>
    <col min="4615" max="4616" width="27.375" style="2" customWidth="1"/>
    <col min="4617" max="4617" width="9.625" style="2" customWidth="1"/>
    <col min="4618" max="4864" width="9.125" style="2"/>
    <col min="4865" max="4870" width="11" style="2" customWidth="1"/>
    <col min="4871" max="4872" width="27.375" style="2" customWidth="1"/>
    <col min="4873" max="4873" width="9.625" style="2" customWidth="1"/>
    <col min="4874" max="5120" width="9.125" style="2"/>
    <col min="5121" max="5126" width="11" style="2" customWidth="1"/>
    <col min="5127" max="5128" width="27.375" style="2" customWidth="1"/>
    <col min="5129" max="5129" width="9.625" style="2" customWidth="1"/>
    <col min="5130" max="5376" width="9.125" style="2"/>
    <col min="5377" max="5382" width="11" style="2" customWidth="1"/>
    <col min="5383" max="5384" width="27.375" style="2" customWidth="1"/>
    <col min="5385" max="5385" width="9.625" style="2" customWidth="1"/>
    <col min="5386" max="5632" width="9.125" style="2"/>
    <col min="5633" max="5638" width="11" style="2" customWidth="1"/>
    <col min="5639" max="5640" width="27.375" style="2" customWidth="1"/>
    <col min="5641" max="5641" width="9.625" style="2" customWidth="1"/>
    <col min="5642" max="5888" width="9.125" style="2"/>
    <col min="5889" max="5894" width="11" style="2" customWidth="1"/>
    <col min="5895" max="5896" width="27.375" style="2" customWidth="1"/>
    <col min="5897" max="5897" width="9.625" style="2" customWidth="1"/>
    <col min="5898" max="6144" width="9.125" style="2"/>
    <col min="6145" max="6150" width="11" style="2" customWidth="1"/>
    <col min="6151" max="6152" width="27.375" style="2" customWidth="1"/>
    <col min="6153" max="6153" width="9.625" style="2" customWidth="1"/>
    <col min="6154" max="6400" width="9.125" style="2"/>
    <col min="6401" max="6406" width="11" style="2" customWidth="1"/>
    <col min="6407" max="6408" width="27.375" style="2" customWidth="1"/>
    <col min="6409" max="6409" width="9.625" style="2" customWidth="1"/>
    <col min="6410" max="6656" width="9.125" style="2"/>
    <col min="6657" max="6662" width="11" style="2" customWidth="1"/>
    <col min="6663" max="6664" width="27.375" style="2" customWidth="1"/>
    <col min="6665" max="6665" width="9.625" style="2" customWidth="1"/>
    <col min="6666" max="6912" width="9.125" style="2"/>
    <col min="6913" max="6918" width="11" style="2" customWidth="1"/>
    <col min="6919" max="6920" width="27.375" style="2" customWidth="1"/>
    <col min="6921" max="6921" width="9.625" style="2" customWidth="1"/>
    <col min="6922" max="7168" width="9.125" style="2"/>
    <col min="7169" max="7174" width="11" style="2" customWidth="1"/>
    <col min="7175" max="7176" width="27.375" style="2" customWidth="1"/>
    <col min="7177" max="7177" width="9.625" style="2" customWidth="1"/>
    <col min="7178" max="7424" width="9.125" style="2"/>
    <col min="7425" max="7430" width="11" style="2" customWidth="1"/>
    <col min="7431" max="7432" width="27.375" style="2" customWidth="1"/>
    <col min="7433" max="7433" width="9.625" style="2" customWidth="1"/>
    <col min="7434" max="7680" width="9.125" style="2"/>
    <col min="7681" max="7686" width="11" style="2" customWidth="1"/>
    <col min="7687" max="7688" width="27.375" style="2" customWidth="1"/>
    <col min="7689" max="7689" width="9.625" style="2" customWidth="1"/>
    <col min="7690" max="7936" width="9.125" style="2"/>
    <col min="7937" max="7942" width="11" style="2" customWidth="1"/>
    <col min="7943" max="7944" width="27.375" style="2" customWidth="1"/>
    <col min="7945" max="7945" width="9.625" style="2" customWidth="1"/>
    <col min="7946" max="8192" width="9.125" style="2"/>
    <col min="8193" max="8198" width="11" style="2" customWidth="1"/>
    <col min="8199" max="8200" width="27.375" style="2" customWidth="1"/>
    <col min="8201" max="8201" width="9.625" style="2" customWidth="1"/>
    <col min="8202" max="8448" width="9.125" style="2"/>
    <col min="8449" max="8454" width="11" style="2" customWidth="1"/>
    <col min="8455" max="8456" width="27.375" style="2" customWidth="1"/>
    <col min="8457" max="8457" width="9.625" style="2" customWidth="1"/>
    <col min="8458" max="8704" width="9.125" style="2"/>
    <col min="8705" max="8710" width="11" style="2" customWidth="1"/>
    <col min="8711" max="8712" width="27.375" style="2" customWidth="1"/>
    <col min="8713" max="8713" width="9.625" style="2" customWidth="1"/>
    <col min="8714" max="8960" width="9.125" style="2"/>
    <col min="8961" max="8966" width="11" style="2" customWidth="1"/>
    <col min="8967" max="8968" width="27.375" style="2" customWidth="1"/>
    <col min="8969" max="8969" width="9.625" style="2" customWidth="1"/>
    <col min="8970" max="9216" width="9.125" style="2"/>
    <col min="9217" max="9222" width="11" style="2" customWidth="1"/>
    <col min="9223" max="9224" width="27.375" style="2" customWidth="1"/>
    <col min="9225" max="9225" width="9.625" style="2" customWidth="1"/>
    <col min="9226" max="9472" width="9.125" style="2"/>
    <col min="9473" max="9478" width="11" style="2" customWidth="1"/>
    <col min="9479" max="9480" width="27.375" style="2" customWidth="1"/>
    <col min="9481" max="9481" width="9.625" style="2" customWidth="1"/>
    <col min="9482" max="9728" width="9.125" style="2"/>
    <col min="9729" max="9734" width="11" style="2" customWidth="1"/>
    <col min="9735" max="9736" width="27.375" style="2" customWidth="1"/>
    <col min="9737" max="9737" width="9.625" style="2" customWidth="1"/>
    <col min="9738" max="9984" width="9.125" style="2"/>
    <col min="9985" max="9990" width="11" style="2" customWidth="1"/>
    <col min="9991" max="9992" width="27.375" style="2" customWidth="1"/>
    <col min="9993" max="9993" width="9.625" style="2" customWidth="1"/>
    <col min="9994" max="10240" width="9.125" style="2"/>
    <col min="10241" max="10246" width="11" style="2" customWidth="1"/>
    <col min="10247" max="10248" width="27.375" style="2" customWidth="1"/>
    <col min="10249" max="10249" width="9.625" style="2" customWidth="1"/>
    <col min="10250" max="10496" width="9.125" style="2"/>
    <col min="10497" max="10502" width="11" style="2" customWidth="1"/>
    <col min="10503" max="10504" width="27.375" style="2" customWidth="1"/>
    <col min="10505" max="10505" width="9.625" style="2" customWidth="1"/>
    <col min="10506" max="10752" width="9.125" style="2"/>
    <col min="10753" max="10758" width="11" style="2" customWidth="1"/>
    <col min="10759" max="10760" width="27.375" style="2" customWidth="1"/>
    <col min="10761" max="10761" width="9.625" style="2" customWidth="1"/>
    <col min="10762" max="11008" width="9.125" style="2"/>
    <col min="11009" max="11014" width="11" style="2" customWidth="1"/>
    <col min="11015" max="11016" width="27.375" style="2" customWidth="1"/>
    <col min="11017" max="11017" width="9.625" style="2" customWidth="1"/>
    <col min="11018" max="11264" width="9.125" style="2"/>
    <col min="11265" max="11270" width="11" style="2" customWidth="1"/>
    <col min="11271" max="11272" width="27.375" style="2" customWidth="1"/>
    <col min="11273" max="11273" width="9.625" style="2" customWidth="1"/>
    <col min="11274" max="11520" width="9.125" style="2"/>
    <col min="11521" max="11526" width="11" style="2" customWidth="1"/>
    <col min="11527" max="11528" width="27.375" style="2" customWidth="1"/>
    <col min="11529" max="11529" width="9.625" style="2" customWidth="1"/>
    <col min="11530" max="11776" width="9.125" style="2"/>
    <col min="11777" max="11782" width="11" style="2" customWidth="1"/>
    <col min="11783" max="11784" width="27.375" style="2" customWidth="1"/>
    <col min="11785" max="11785" width="9.625" style="2" customWidth="1"/>
    <col min="11786" max="12032" width="9.125" style="2"/>
    <col min="12033" max="12038" width="11" style="2" customWidth="1"/>
    <col min="12039" max="12040" width="27.375" style="2" customWidth="1"/>
    <col min="12041" max="12041" width="9.625" style="2" customWidth="1"/>
    <col min="12042" max="12288" width="9.125" style="2"/>
    <col min="12289" max="12294" width="11" style="2" customWidth="1"/>
    <col min="12295" max="12296" width="27.375" style="2" customWidth="1"/>
    <col min="12297" max="12297" width="9.625" style="2" customWidth="1"/>
    <col min="12298" max="12544" width="9.125" style="2"/>
    <col min="12545" max="12550" width="11" style="2" customWidth="1"/>
    <col min="12551" max="12552" width="27.375" style="2" customWidth="1"/>
    <col min="12553" max="12553" width="9.625" style="2" customWidth="1"/>
    <col min="12554" max="12800" width="9.125" style="2"/>
    <col min="12801" max="12806" width="11" style="2" customWidth="1"/>
    <col min="12807" max="12808" width="27.375" style="2" customWidth="1"/>
    <col min="12809" max="12809" width="9.625" style="2" customWidth="1"/>
    <col min="12810" max="13056" width="9.125" style="2"/>
    <col min="13057" max="13062" width="11" style="2" customWidth="1"/>
    <col min="13063" max="13064" width="27.375" style="2" customWidth="1"/>
    <col min="13065" max="13065" width="9.625" style="2" customWidth="1"/>
    <col min="13066" max="13312" width="9.125" style="2"/>
    <col min="13313" max="13318" width="11" style="2" customWidth="1"/>
    <col min="13319" max="13320" width="27.375" style="2" customWidth="1"/>
    <col min="13321" max="13321" width="9.625" style="2" customWidth="1"/>
    <col min="13322" max="13568" width="9.125" style="2"/>
    <col min="13569" max="13574" width="11" style="2" customWidth="1"/>
    <col min="13575" max="13576" width="27.375" style="2" customWidth="1"/>
    <col min="13577" max="13577" width="9.625" style="2" customWidth="1"/>
    <col min="13578" max="13824" width="9.125" style="2"/>
    <col min="13825" max="13830" width="11" style="2" customWidth="1"/>
    <col min="13831" max="13832" width="27.375" style="2" customWidth="1"/>
    <col min="13833" max="13833" width="9.625" style="2" customWidth="1"/>
    <col min="13834" max="14080" width="9.125" style="2"/>
    <col min="14081" max="14086" width="11" style="2" customWidth="1"/>
    <col min="14087" max="14088" width="27.375" style="2" customWidth="1"/>
    <col min="14089" max="14089" width="9.625" style="2" customWidth="1"/>
    <col min="14090" max="14336" width="9.125" style="2"/>
    <col min="14337" max="14342" width="11" style="2" customWidth="1"/>
    <col min="14343" max="14344" width="27.375" style="2" customWidth="1"/>
    <col min="14345" max="14345" width="9.625" style="2" customWidth="1"/>
    <col min="14346" max="14592" width="9.125" style="2"/>
    <col min="14593" max="14598" width="11" style="2" customWidth="1"/>
    <col min="14599" max="14600" width="27.375" style="2" customWidth="1"/>
    <col min="14601" max="14601" width="9.625" style="2" customWidth="1"/>
    <col min="14602" max="14848" width="9.125" style="2"/>
    <col min="14849" max="14854" width="11" style="2" customWidth="1"/>
    <col min="14855" max="14856" width="27.375" style="2" customWidth="1"/>
    <col min="14857" max="14857" width="9.625" style="2" customWidth="1"/>
    <col min="14858" max="15104" width="9.125" style="2"/>
    <col min="15105" max="15110" width="11" style="2" customWidth="1"/>
    <col min="15111" max="15112" width="27.375" style="2" customWidth="1"/>
    <col min="15113" max="15113" width="9.625" style="2" customWidth="1"/>
    <col min="15114" max="15360" width="9.125" style="2"/>
    <col min="15361" max="15366" width="11" style="2" customWidth="1"/>
    <col min="15367" max="15368" width="27.375" style="2" customWidth="1"/>
    <col min="15369" max="15369" width="9.625" style="2" customWidth="1"/>
    <col min="15370" max="15616" width="9.125" style="2"/>
    <col min="15617" max="15622" width="11" style="2" customWidth="1"/>
    <col min="15623" max="15624" width="27.375" style="2" customWidth="1"/>
    <col min="15625" max="15625" width="9.625" style="2" customWidth="1"/>
    <col min="15626" max="15872" width="9.125" style="2"/>
    <col min="15873" max="15878" width="11" style="2" customWidth="1"/>
    <col min="15879" max="15880" width="27.375" style="2" customWidth="1"/>
    <col min="15881" max="15881" width="9.625" style="2" customWidth="1"/>
    <col min="15882" max="16128" width="9.125" style="2"/>
    <col min="16129" max="16134" width="11" style="2" customWidth="1"/>
    <col min="16135" max="16136" width="27.375" style="2" customWidth="1"/>
    <col min="16137" max="16137" width="9.625" style="2" customWidth="1"/>
    <col min="16138" max="16384" width="9.125" style="2"/>
  </cols>
  <sheetData>
    <row r="1" spans="1:9" ht="20.100000000000001" customHeight="1" x14ac:dyDescent="0.2">
      <c r="A1" s="155" t="s">
        <v>67</v>
      </c>
      <c r="B1" s="155"/>
      <c r="C1" s="155"/>
      <c r="D1" s="155"/>
      <c r="E1" s="155"/>
      <c r="F1" s="155"/>
      <c r="G1" s="155"/>
      <c r="H1" s="155"/>
      <c r="I1" s="13"/>
    </row>
    <row r="2" spans="1:9" ht="20.100000000000001" customHeight="1" thickBot="1" x14ac:dyDescent="0.25">
      <c r="A2" s="156" t="s">
        <v>68</v>
      </c>
      <c r="B2" s="156"/>
      <c r="C2" s="156"/>
      <c r="D2" s="156"/>
      <c r="E2" s="156"/>
      <c r="F2" s="156"/>
      <c r="G2" s="156"/>
      <c r="H2" s="156"/>
      <c r="I2" s="13"/>
    </row>
    <row r="3" spans="1:9" ht="26.25" thickBot="1" x14ac:dyDescent="0.25">
      <c r="A3" s="14" t="s">
        <v>69</v>
      </c>
      <c r="B3" s="14" t="s">
        <v>70</v>
      </c>
      <c r="C3" s="14" t="s">
        <v>2</v>
      </c>
      <c r="D3" s="14" t="s">
        <v>3</v>
      </c>
      <c r="E3" s="14" t="s">
        <v>4</v>
      </c>
      <c r="F3" s="15" t="s">
        <v>8</v>
      </c>
      <c r="G3" s="14" t="s">
        <v>71</v>
      </c>
      <c r="H3" s="14" t="s">
        <v>72</v>
      </c>
      <c r="I3" s="13"/>
    </row>
    <row r="4" spans="1:9" ht="13.5" thickBot="1" x14ac:dyDescent="0.25">
      <c r="A4" s="16">
        <v>0</v>
      </c>
      <c r="B4" s="16">
        <v>0</v>
      </c>
      <c r="C4" s="16">
        <v>0</v>
      </c>
      <c r="D4" s="16">
        <v>14</v>
      </c>
      <c r="E4" s="16">
        <v>0</v>
      </c>
      <c r="F4" s="17" t="s">
        <v>10</v>
      </c>
      <c r="G4" s="18"/>
      <c r="H4" s="18"/>
      <c r="I4" s="13"/>
    </row>
    <row r="5" spans="1:9" ht="13.5" thickBot="1" x14ac:dyDescent="0.25">
      <c r="A5" s="16">
        <v>0</v>
      </c>
      <c r="B5" s="16">
        <v>0</v>
      </c>
      <c r="C5" s="16">
        <v>119</v>
      </c>
      <c r="D5" s="16">
        <v>124</v>
      </c>
      <c r="E5" s="16">
        <v>103</v>
      </c>
      <c r="F5" s="17" t="s">
        <v>11</v>
      </c>
      <c r="G5" s="18" t="s">
        <v>73</v>
      </c>
      <c r="H5" s="18" t="s">
        <v>74</v>
      </c>
      <c r="I5" s="13"/>
    </row>
    <row r="6" spans="1:9" ht="13.5" thickBot="1" x14ac:dyDescent="0.25">
      <c r="A6" s="16">
        <f t="shared" ref="A6:D6" si="0">SUM(A4:A5)</f>
        <v>0</v>
      </c>
      <c r="B6" s="16">
        <f t="shared" si="0"/>
        <v>0</v>
      </c>
      <c r="C6" s="16">
        <f t="shared" si="0"/>
        <v>119</v>
      </c>
      <c r="D6" s="16">
        <f t="shared" si="0"/>
        <v>138</v>
      </c>
      <c r="E6" s="16">
        <f>SUM(E4:E5)</f>
        <v>103</v>
      </c>
      <c r="F6" s="17" t="s">
        <v>13</v>
      </c>
      <c r="G6" s="19"/>
      <c r="H6" s="20"/>
      <c r="I6" s="13"/>
    </row>
    <row r="7" spans="1:9" ht="13.5" thickBot="1" x14ac:dyDescent="0.25">
      <c r="A7" s="16">
        <v>0</v>
      </c>
      <c r="B7" s="16">
        <v>0</v>
      </c>
      <c r="C7" s="16">
        <f>155+242</f>
        <v>397</v>
      </c>
      <c r="D7" s="16">
        <f>845+165</f>
        <v>1010</v>
      </c>
      <c r="E7" s="16">
        <f>599+311+74</f>
        <v>984</v>
      </c>
      <c r="F7" s="17" t="s">
        <v>10</v>
      </c>
      <c r="G7" s="18"/>
      <c r="H7" s="18"/>
      <c r="I7" s="13"/>
    </row>
    <row r="8" spans="1:9" ht="13.5" thickBot="1" x14ac:dyDescent="0.25">
      <c r="A8" s="16">
        <v>0</v>
      </c>
      <c r="B8" s="16">
        <v>0</v>
      </c>
      <c r="C8" s="16">
        <f>19+53</f>
        <v>72</v>
      </c>
      <c r="D8" s="16">
        <v>400</v>
      </c>
      <c r="E8" s="16">
        <f>0+72+388</f>
        <v>460</v>
      </c>
      <c r="F8" s="17" t="s">
        <v>11</v>
      </c>
      <c r="G8" s="18" t="s">
        <v>75</v>
      </c>
      <c r="H8" s="18" t="s">
        <v>76</v>
      </c>
      <c r="I8" s="13"/>
    </row>
    <row r="9" spans="1:9" ht="13.5" thickBot="1" x14ac:dyDescent="0.25">
      <c r="A9" s="16">
        <f t="shared" ref="A9" si="1">SUM(A7:A8)</f>
        <v>0</v>
      </c>
      <c r="B9" s="16">
        <f t="shared" ref="B9" si="2">SUM(B7:B8)</f>
        <v>0</v>
      </c>
      <c r="C9" s="16">
        <f t="shared" ref="C9" si="3">SUM(C7:C8)</f>
        <v>469</v>
      </c>
      <c r="D9" s="16">
        <f t="shared" ref="D9" si="4">SUM(D7:D8)</f>
        <v>1410</v>
      </c>
      <c r="E9" s="16">
        <f>SUM(E7:E8)</f>
        <v>1444</v>
      </c>
      <c r="F9" s="17" t="s">
        <v>13</v>
      </c>
      <c r="G9" s="19"/>
      <c r="H9" s="20"/>
      <c r="I9" s="13"/>
    </row>
    <row r="10" spans="1:9" ht="13.5" thickBot="1" x14ac:dyDescent="0.25">
      <c r="A10" s="16">
        <v>17</v>
      </c>
      <c r="B10" s="16">
        <v>0</v>
      </c>
      <c r="C10" s="16">
        <v>640</v>
      </c>
      <c r="D10" s="16">
        <f>105+847</f>
        <v>952</v>
      </c>
      <c r="E10" s="16">
        <f>92+397</f>
        <v>489</v>
      </c>
      <c r="F10" s="17" t="s">
        <v>10</v>
      </c>
      <c r="G10" s="18"/>
      <c r="H10" s="18"/>
      <c r="I10" s="13"/>
    </row>
    <row r="11" spans="1:9" ht="13.5" thickBot="1" x14ac:dyDescent="0.25">
      <c r="A11" s="16">
        <v>14</v>
      </c>
      <c r="B11" s="16">
        <v>2</v>
      </c>
      <c r="C11" s="16">
        <f>327+85</f>
        <v>412</v>
      </c>
      <c r="D11" s="16">
        <f>4321+48</f>
        <v>4369</v>
      </c>
      <c r="E11" s="16">
        <f>44+2231</f>
        <v>2275</v>
      </c>
      <c r="F11" s="17" t="s">
        <v>11</v>
      </c>
      <c r="G11" s="18" t="s">
        <v>77</v>
      </c>
      <c r="H11" s="18" t="s">
        <v>78</v>
      </c>
      <c r="I11" s="13"/>
    </row>
    <row r="12" spans="1:9" ht="13.5" thickBot="1" x14ac:dyDescent="0.25">
      <c r="A12" s="16">
        <f t="shared" ref="A12" si="5">SUM(A10:A11)</f>
        <v>31</v>
      </c>
      <c r="B12" s="16">
        <f t="shared" ref="B12" si="6">SUM(B10:B11)</f>
        <v>2</v>
      </c>
      <c r="C12" s="16">
        <f t="shared" ref="C12" si="7">SUM(C10:C11)</f>
        <v>1052</v>
      </c>
      <c r="D12" s="16">
        <f t="shared" ref="D12" si="8">SUM(D10:D11)</f>
        <v>5321</v>
      </c>
      <c r="E12" s="16">
        <f>SUM(E10:E11)</f>
        <v>2764</v>
      </c>
      <c r="F12" s="17" t="s">
        <v>13</v>
      </c>
      <c r="G12" s="19"/>
      <c r="H12" s="20"/>
      <c r="I12" s="13"/>
    </row>
    <row r="13" spans="1:9" ht="13.5" thickBot="1" x14ac:dyDescent="0.25">
      <c r="A13" s="16">
        <v>0</v>
      </c>
      <c r="B13" s="16">
        <v>0</v>
      </c>
      <c r="C13" s="16">
        <f>1344+184</f>
        <v>1528</v>
      </c>
      <c r="D13" s="16">
        <f>26528+268</f>
        <v>26796</v>
      </c>
      <c r="E13" s="16">
        <f>27+11257+0</f>
        <v>11284</v>
      </c>
      <c r="F13" s="17" t="s">
        <v>10</v>
      </c>
      <c r="G13" s="18"/>
      <c r="H13" s="18"/>
      <c r="I13" s="13"/>
    </row>
    <row r="14" spans="1:9" ht="13.5" thickBot="1" x14ac:dyDescent="0.25">
      <c r="A14" s="16">
        <v>0</v>
      </c>
      <c r="B14" s="16">
        <v>0</v>
      </c>
      <c r="C14" s="16">
        <f>52+774</f>
        <v>826</v>
      </c>
      <c r="D14" s="16">
        <f>12120+158</f>
        <v>12278</v>
      </c>
      <c r="E14" s="16">
        <f>36+5013+48</f>
        <v>5097</v>
      </c>
      <c r="F14" s="17" t="s">
        <v>11</v>
      </c>
      <c r="G14" s="18" t="s">
        <v>75</v>
      </c>
      <c r="H14" s="18" t="s">
        <v>79</v>
      </c>
      <c r="I14" s="13"/>
    </row>
    <row r="15" spans="1:9" ht="13.5" thickBot="1" x14ac:dyDescent="0.25">
      <c r="A15" s="16">
        <f t="shared" ref="A15" si="9">SUM(A13:A14)</f>
        <v>0</v>
      </c>
      <c r="B15" s="16">
        <f t="shared" ref="B15" si="10">SUM(B13:B14)</f>
        <v>0</v>
      </c>
      <c r="C15" s="16">
        <f t="shared" ref="C15" si="11">SUM(C13:C14)</f>
        <v>2354</v>
      </c>
      <c r="D15" s="16">
        <f t="shared" ref="D15" si="12">SUM(D13:D14)</f>
        <v>39074</v>
      </c>
      <c r="E15" s="16">
        <f>SUM(E13:E14)</f>
        <v>16381</v>
      </c>
      <c r="F15" s="17" t="s">
        <v>13</v>
      </c>
      <c r="G15" s="19"/>
      <c r="H15" s="20"/>
      <c r="I15" s="13"/>
    </row>
    <row r="16" spans="1:9" ht="13.5" thickBot="1" x14ac:dyDescent="0.25">
      <c r="A16" s="16">
        <v>37</v>
      </c>
      <c r="B16" s="16">
        <v>28</v>
      </c>
      <c r="C16" s="16">
        <v>145</v>
      </c>
      <c r="D16" s="16">
        <v>485</v>
      </c>
      <c r="E16" s="16">
        <v>206</v>
      </c>
      <c r="F16" s="17" t="s">
        <v>10</v>
      </c>
      <c r="G16" s="18"/>
      <c r="H16" s="18"/>
      <c r="I16" s="13"/>
    </row>
    <row r="17" spans="1:9" ht="13.5" thickBot="1" x14ac:dyDescent="0.25">
      <c r="A17" s="16">
        <v>62</v>
      </c>
      <c r="B17" s="16">
        <v>32</v>
      </c>
      <c r="C17" s="16">
        <v>349</v>
      </c>
      <c r="D17" s="16">
        <v>1861</v>
      </c>
      <c r="E17" s="16">
        <v>545</v>
      </c>
      <c r="F17" s="17" t="s">
        <v>11</v>
      </c>
      <c r="G17" s="18" t="s">
        <v>77</v>
      </c>
      <c r="H17" s="18" t="s">
        <v>80</v>
      </c>
      <c r="I17" s="13"/>
    </row>
    <row r="18" spans="1:9" ht="13.5" thickBot="1" x14ac:dyDescent="0.25">
      <c r="A18" s="16">
        <f t="shared" ref="A18" si="13">SUM(A16:A17)</f>
        <v>99</v>
      </c>
      <c r="B18" s="16">
        <f t="shared" ref="B18" si="14">SUM(B16:B17)</f>
        <v>60</v>
      </c>
      <c r="C18" s="16">
        <f t="shared" ref="C18" si="15">SUM(C16:C17)</f>
        <v>494</v>
      </c>
      <c r="D18" s="16">
        <f t="shared" ref="D18" si="16">SUM(D16:D17)</f>
        <v>2346</v>
      </c>
      <c r="E18" s="16">
        <f>SUM(E16:E17)</f>
        <v>751</v>
      </c>
      <c r="F18" s="17" t="s">
        <v>13</v>
      </c>
      <c r="G18" s="19"/>
      <c r="H18" s="20"/>
      <c r="I18" s="13"/>
    </row>
    <row r="19" spans="1:9" ht="13.5" thickBot="1" x14ac:dyDescent="0.25">
      <c r="A19" s="16">
        <v>0</v>
      </c>
      <c r="B19" s="16">
        <v>0</v>
      </c>
      <c r="C19" s="16">
        <v>0</v>
      </c>
      <c r="D19" s="16">
        <v>0</v>
      </c>
      <c r="E19" s="16">
        <v>0</v>
      </c>
      <c r="F19" s="17" t="s">
        <v>10</v>
      </c>
      <c r="G19" s="18"/>
      <c r="H19" s="18"/>
      <c r="I19" s="13"/>
    </row>
    <row r="20" spans="1:9" ht="13.5" thickBot="1" x14ac:dyDescent="0.25">
      <c r="A20" s="16">
        <v>0</v>
      </c>
      <c r="B20" s="16">
        <v>0</v>
      </c>
      <c r="C20" s="16">
        <v>180</v>
      </c>
      <c r="D20" s="16">
        <v>1477</v>
      </c>
      <c r="E20" s="16">
        <v>634</v>
      </c>
      <c r="F20" s="17" t="s">
        <v>11</v>
      </c>
      <c r="G20" s="18" t="s">
        <v>75</v>
      </c>
      <c r="H20" s="18" t="s">
        <v>81</v>
      </c>
      <c r="I20" s="13"/>
    </row>
    <row r="21" spans="1:9" ht="13.5" thickBot="1" x14ac:dyDescent="0.25">
      <c r="A21" s="16">
        <f t="shared" ref="A21" si="17">SUM(A19:A20)</f>
        <v>0</v>
      </c>
      <c r="B21" s="16">
        <f t="shared" ref="B21" si="18">SUM(B19:B20)</f>
        <v>0</v>
      </c>
      <c r="C21" s="16">
        <f t="shared" ref="C21" si="19">SUM(C19:C20)</f>
        <v>180</v>
      </c>
      <c r="D21" s="16">
        <f t="shared" ref="D21" si="20">SUM(D19:D20)</f>
        <v>1477</v>
      </c>
      <c r="E21" s="16">
        <f>SUM(E19:E20)</f>
        <v>634</v>
      </c>
      <c r="F21" s="17" t="s">
        <v>13</v>
      </c>
      <c r="G21" s="19"/>
      <c r="H21" s="21"/>
      <c r="I21" s="13"/>
    </row>
    <row r="22" spans="1:9" ht="13.5" thickBot="1" x14ac:dyDescent="0.25">
      <c r="A22" s="16">
        <v>0</v>
      </c>
      <c r="B22" s="16">
        <v>0</v>
      </c>
      <c r="C22" s="16">
        <f>308+30</f>
        <v>338</v>
      </c>
      <c r="D22" s="16">
        <f>1720+341</f>
        <v>2061</v>
      </c>
      <c r="E22" s="16">
        <f>247+184</f>
        <v>431</v>
      </c>
      <c r="F22" s="17" t="s">
        <v>10</v>
      </c>
      <c r="G22" s="22"/>
      <c r="H22" s="165" t="s">
        <v>82</v>
      </c>
      <c r="I22" s="13"/>
    </row>
    <row r="23" spans="1:9" ht="13.5" thickBot="1" x14ac:dyDescent="0.25">
      <c r="A23" s="16">
        <v>0</v>
      </c>
      <c r="B23" s="16">
        <v>0</v>
      </c>
      <c r="C23" s="16">
        <f>23+264</f>
        <v>287</v>
      </c>
      <c r="D23" s="16">
        <f>567+819</f>
        <v>1386</v>
      </c>
      <c r="E23" s="16">
        <f>530+113</f>
        <v>643</v>
      </c>
      <c r="F23" s="17" t="s">
        <v>11</v>
      </c>
      <c r="G23" s="23" t="s">
        <v>213</v>
      </c>
      <c r="H23" s="166"/>
      <c r="I23" s="13"/>
    </row>
    <row r="24" spans="1:9" ht="13.5" thickBot="1" x14ac:dyDescent="0.25">
      <c r="A24" s="16">
        <f t="shared" ref="A24" si="21">SUM(A22:A23)</f>
        <v>0</v>
      </c>
      <c r="B24" s="16">
        <f t="shared" ref="B24" si="22">SUM(B22:B23)</f>
        <v>0</v>
      </c>
      <c r="C24" s="16">
        <f t="shared" ref="C24" si="23">SUM(C22:C23)</f>
        <v>625</v>
      </c>
      <c r="D24" s="16">
        <f t="shared" ref="D24" si="24">SUM(D22:D23)</f>
        <v>3447</v>
      </c>
      <c r="E24" s="16">
        <f>SUM(E22:E23)</f>
        <v>1074</v>
      </c>
      <c r="F24" s="17" t="s">
        <v>13</v>
      </c>
      <c r="G24" s="24"/>
      <c r="H24" s="166"/>
      <c r="I24" s="13"/>
    </row>
    <row r="25" spans="1:9" ht="13.5" thickBot="1" x14ac:dyDescent="0.25">
      <c r="A25" s="16">
        <v>0</v>
      </c>
      <c r="B25" s="16">
        <v>0</v>
      </c>
      <c r="C25" s="16">
        <v>0</v>
      </c>
      <c r="D25" s="16">
        <v>250</v>
      </c>
      <c r="E25" s="16">
        <v>126</v>
      </c>
      <c r="F25" s="17" t="s">
        <v>10</v>
      </c>
      <c r="G25" s="23"/>
      <c r="H25" s="165" t="s">
        <v>83</v>
      </c>
      <c r="I25" s="13"/>
    </row>
    <row r="26" spans="1:9" ht="13.5" thickBot="1" x14ac:dyDescent="0.25">
      <c r="A26" s="16">
        <v>0</v>
      </c>
      <c r="B26" s="16">
        <v>0</v>
      </c>
      <c r="C26" s="16">
        <v>0</v>
      </c>
      <c r="D26" s="16">
        <v>307</v>
      </c>
      <c r="E26" s="16">
        <v>268</v>
      </c>
      <c r="F26" s="17" t="s">
        <v>11</v>
      </c>
      <c r="G26" s="23" t="s">
        <v>73</v>
      </c>
      <c r="H26" s="166"/>
      <c r="I26" s="13"/>
    </row>
    <row r="27" spans="1:9" ht="13.5" thickBot="1" x14ac:dyDescent="0.25">
      <c r="A27" s="16">
        <f t="shared" ref="A27" si="25">SUM(A25:A26)</f>
        <v>0</v>
      </c>
      <c r="B27" s="16">
        <f t="shared" ref="B27" si="26">SUM(B25:B26)</f>
        <v>0</v>
      </c>
      <c r="C27" s="16">
        <f t="shared" ref="C27" si="27">SUM(C25:C26)</f>
        <v>0</v>
      </c>
      <c r="D27" s="16">
        <f t="shared" ref="D27" si="28">SUM(D25:D26)</f>
        <v>557</v>
      </c>
      <c r="E27" s="16">
        <f>SUM(E25:E26)</f>
        <v>394</v>
      </c>
      <c r="F27" s="17" t="s">
        <v>13</v>
      </c>
      <c r="G27" s="23"/>
      <c r="H27" s="167"/>
      <c r="I27" s="13"/>
    </row>
    <row r="28" spans="1:9" ht="13.5" thickBot="1" x14ac:dyDescent="0.25">
      <c r="A28" s="16">
        <f>A4+A7+A10+A13+A16+A19+A22+A25</f>
        <v>54</v>
      </c>
      <c r="B28" s="16">
        <f>B4+B7+B10+B13+B16+B19+B22+B25</f>
        <v>28</v>
      </c>
      <c r="C28" s="16">
        <f>C4+C7+C10+C13+C16+C19+C22+C25</f>
        <v>3048</v>
      </c>
      <c r="D28" s="16">
        <f>D4+D7+D10+D13+D16+D19+D22+D25</f>
        <v>31568</v>
      </c>
      <c r="E28" s="16">
        <f>E4+E7+E10+E13+E16+E19+E22+E25</f>
        <v>13520</v>
      </c>
      <c r="F28" s="25" t="s">
        <v>28</v>
      </c>
      <c r="G28" s="168" t="s">
        <v>44</v>
      </c>
      <c r="H28" s="169"/>
    </row>
    <row r="29" spans="1:9" ht="13.5" thickBot="1" x14ac:dyDescent="0.25">
      <c r="A29" s="16">
        <f t="shared" ref="A29:E30" si="29">A5+A8+A11+A14+A17+A20+A23+A26</f>
        <v>76</v>
      </c>
      <c r="B29" s="16">
        <f t="shared" si="29"/>
        <v>34</v>
      </c>
      <c r="C29" s="16">
        <f t="shared" si="29"/>
        <v>2245</v>
      </c>
      <c r="D29" s="16">
        <f t="shared" si="29"/>
        <v>22202</v>
      </c>
      <c r="E29" s="16">
        <f t="shared" si="29"/>
        <v>10025</v>
      </c>
      <c r="F29" s="25" t="s">
        <v>29</v>
      </c>
      <c r="G29" s="170"/>
      <c r="H29" s="171"/>
    </row>
    <row r="30" spans="1:9" ht="13.5" thickBot="1" x14ac:dyDescent="0.25">
      <c r="A30" s="16">
        <f t="shared" si="29"/>
        <v>130</v>
      </c>
      <c r="B30" s="16">
        <f t="shared" si="29"/>
        <v>62</v>
      </c>
      <c r="C30" s="16">
        <f t="shared" si="29"/>
        <v>5293</v>
      </c>
      <c r="D30" s="16">
        <f t="shared" si="29"/>
        <v>53770</v>
      </c>
      <c r="E30" s="16">
        <f t="shared" si="29"/>
        <v>23545</v>
      </c>
      <c r="F30" s="25" t="s">
        <v>13</v>
      </c>
      <c r="G30" s="172"/>
      <c r="H30" s="173"/>
    </row>
  </sheetData>
  <mergeCells count="5">
    <mergeCell ref="A1:H1"/>
    <mergeCell ref="A2:H2"/>
    <mergeCell ref="H22:H24"/>
    <mergeCell ref="H25:H27"/>
    <mergeCell ref="G28:H30"/>
  </mergeCells>
  <pageMargins left="0.5" right="0.5" top="0.5" bottom="0.5" header="0.5" footer="0.5"/>
  <pageSetup paperSize="9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8"/>
  <sheetViews>
    <sheetView showGridLines="0" topLeftCell="A19" zoomScale="90" zoomScaleNormal="90" workbookViewId="0">
      <selection activeCell="E31" sqref="E31"/>
    </sheetView>
  </sheetViews>
  <sheetFormatPr defaultRowHeight="12.75" x14ac:dyDescent="0.2"/>
  <cols>
    <col min="1" max="1" width="6.875" style="2" customWidth="1"/>
    <col min="2" max="11" width="9.625" style="2" customWidth="1"/>
    <col min="12" max="12" width="27.375" style="2" customWidth="1"/>
    <col min="13" max="13" width="6.875" style="2" customWidth="1"/>
    <col min="14" max="256" width="9.125" style="2"/>
    <col min="257" max="257" width="6.875" style="2" customWidth="1"/>
    <col min="258" max="267" width="9.625" style="2" customWidth="1"/>
    <col min="268" max="268" width="27.375" style="2" customWidth="1"/>
    <col min="269" max="269" width="6.875" style="2" customWidth="1"/>
    <col min="270" max="512" width="9.125" style="2"/>
    <col min="513" max="513" width="6.875" style="2" customWidth="1"/>
    <col min="514" max="523" width="9.625" style="2" customWidth="1"/>
    <col min="524" max="524" width="27.375" style="2" customWidth="1"/>
    <col min="525" max="525" width="6.875" style="2" customWidth="1"/>
    <col min="526" max="768" width="9.125" style="2"/>
    <col min="769" max="769" width="6.875" style="2" customWidth="1"/>
    <col min="770" max="779" width="9.625" style="2" customWidth="1"/>
    <col min="780" max="780" width="27.375" style="2" customWidth="1"/>
    <col min="781" max="781" width="6.875" style="2" customWidth="1"/>
    <col min="782" max="1024" width="9.125" style="2"/>
    <col min="1025" max="1025" width="6.875" style="2" customWidth="1"/>
    <col min="1026" max="1035" width="9.625" style="2" customWidth="1"/>
    <col min="1036" max="1036" width="27.375" style="2" customWidth="1"/>
    <col min="1037" max="1037" width="6.875" style="2" customWidth="1"/>
    <col min="1038" max="1280" width="9.125" style="2"/>
    <col min="1281" max="1281" width="6.875" style="2" customWidth="1"/>
    <col min="1282" max="1291" width="9.625" style="2" customWidth="1"/>
    <col min="1292" max="1292" width="27.375" style="2" customWidth="1"/>
    <col min="1293" max="1293" width="6.875" style="2" customWidth="1"/>
    <col min="1294" max="1536" width="9.125" style="2"/>
    <col min="1537" max="1537" width="6.875" style="2" customWidth="1"/>
    <col min="1538" max="1547" width="9.625" style="2" customWidth="1"/>
    <col min="1548" max="1548" width="27.375" style="2" customWidth="1"/>
    <col min="1549" max="1549" width="6.875" style="2" customWidth="1"/>
    <col min="1550" max="1792" width="9.125" style="2"/>
    <col min="1793" max="1793" width="6.875" style="2" customWidth="1"/>
    <col min="1794" max="1803" width="9.625" style="2" customWidth="1"/>
    <col min="1804" max="1804" width="27.375" style="2" customWidth="1"/>
    <col min="1805" max="1805" width="6.875" style="2" customWidth="1"/>
    <col min="1806" max="2048" width="9.125" style="2"/>
    <col min="2049" max="2049" width="6.875" style="2" customWidth="1"/>
    <col min="2050" max="2059" width="9.625" style="2" customWidth="1"/>
    <col min="2060" max="2060" width="27.375" style="2" customWidth="1"/>
    <col min="2061" max="2061" width="6.875" style="2" customWidth="1"/>
    <col min="2062" max="2304" width="9.125" style="2"/>
    <col min="2305" max="2305" width="6.875" style="2" customWidth="1"/>
    <col min="2306" max="2315" width="9.625" style="2" customWidth="1"/>
    <col min="2316" max="2316" width="27.375" style="2" customWidth="1"/>
    <col min="2317" max="2317" width="6.875" style="2" customWidth="1"/>
    <col min="2318" max="2560" width="9.125" style="2"/>
    <col min="2561" max="2561" width="6.875" style="2" customWidth="1"/>
    <col min="2562" max="2571" width="9.625" style="2" customWidth="1"/>
    <col min="2572" max="2572" width="27.375" style="2" customWidth="1"/>
    <col min="2573" max="2573" width="6.875" style="2" customWidth="1"/>
    <col min="2574" max="2816" width="9.125" style="2"/>
    <col min="2817" max="2817" width="6.875" style="2" customWidth="1"/>
    <col min="2818" max="2827" width="9.625" style="2" customWidth="1"/>
    <col min="2828" max="2828" width="27.375" style="2" customWidth="1"/>
    <col min="2829" max="2829" width="6.875" style="2" customWidth="1"/>
    <col min="2830" max="3072" width="9.125" style="2"/>
    <col min="3073" max="3073" width="6.875" style="2" customWidth="1"/>
    <col min="3074" max="3083" width="9.625" style="2" customWidth="1"/>
    <col min="3084" max="3084" width="27.375" style="2" customWidth="1"/>
    <col min="3085" max="3085" width="6.875" style="2" customWidth="1"/>
    <col min="3086" max="3328" width="9.125" style="2"/>
    <col min="3329" max="3329" width="6.875" style="2" customWidth="1"/>
    <col min="3330" max="3339" width="9.625" style="2" customWidth="1"/>
    <col min="3340" max="3340" width="27.375" style="2" customWidth="1"/>
    <col min="3341" max="3341" width="6.875" style="2" customWidth="1"/>
    <col min="3342" max="3584" width="9.125" style="2"/>
    <col min="3585" max="3585" width="6.875" style="2" customWidth="1"/>
    <col min="3586" max="3595" width="9.625" style="2" customWidth="1"/>
    <col min="3596" max="3596" width="27.375" style="2" customWidth="1"/>
    <col min="3597" max="3597" width="6.875" style="2" customWidth="1"/>
    <col min="3598" max="3840" width="9.125" style="2"/>
    <col min="3841" max="3841" width="6.875" style="2" customWidth="1"/>
    <col min="3842" max="3851" width="9.625" style="2" customWidth="1"/>
    <col min="3852" max="3852" width="27.375" style="2" customWidth="1"/>
    <col min="3853" max="3853" width="6.875" style="2" customWidth="1"/>
    <col min="3854" max="4096" width="9.125" style="2"/>
    <col min="4097" max="4097" width="6.875" style="2" customWidth="1"/>
    <col min="4098" max="4107" width="9.625" style="2" customWidth="1"/>
    <col min="4108" max="4108" width="27.375" style="2" customWidth="1"/>
    <col min="4109" max="4109" width="6.875" style="2" customWidth="1"/>
    <col min="4110" max="4352" width="9.125" style="2"/>
    <col min="4353" max="4353" width="6.875" style="2" customWidth="1"/>
    <col min="4354" max="4363" width="9.625" style="2" customWidth="1"/>
    <col min="4364" max="4364" width="27.375" style="2" customWidth="1"/>
    <col min="4365" max="4365" width="6.875" style="2" customWidth="1"/>
    <col min="4366" max="4608" width="9.125" style="2"/>
    <col min="4609" max="4609" width="6.875" style="2" customWidth="1"/>
    <col min="4610" max="4619" width="9.625" style="2" customWidth="1"/>
    <col min="4620" max="4620" width="27.375" style="2" customWidth="1"/>
    <col min="4621" max="4621" width="6.875" style="2" customWidth="1"/>
    <col min="4622" max="4864" width="9.125" style="2"/>
    <col min="4865" max="4865" width="6.875" style="2" customWidth="1"/>
    <col min="4866" max="4875" width="9.625" style="2" customWidth="1"/>
    <col min="4876" max="4876" width="27.375" style="2" customWidth="1"/>
    <col min="4877" max="4877" width="6.875" style="2" customWidth="1"/>
    <col min="4878" max="5120" width="9.125" style="2"/>
    <col min="5121" max="5121" width="6.875" style="2" customWidth="1"/>
    <col min="5122" max="5131" width="9.625" style="2" customWidth="1"/>
    <col min="5132" max="5132" width="27.375" style="2" customWidth="1"/>
    <col min="5133" max="5133" width="6.875" style="2" customWidth="1"/>
    <col min="5134" max="5376" width="9.125" style="2"/>
    <col min="5377" max="5377" width="6.875" style="2" customWidth="1"/>
    <col min="5378" max="5387" width="9.625" style="2" customWidth="1"/>
    <col min="5388" max="5388" width="27.375" style="2" customWidth="1"/>
    <col min="5389" max="5389" width="6.875" style="2" customWidth="1"/>
    <col min="5390" max="5632" width="9.125" style="2"/>
    <col min="5633" max="5633" width="6.875" style="2" customWidth="1"/>
    <col min="5634" max="5643" width="9.625" style="2" customWidth="1"/>
    <col min="5644" max="5644" width="27.375" style="2" customWidth="1"/>
    <col min="5645" max="5645" width="6.875" style="2" customWidth="1"/>
    <col min="5646" max="5888" width="9.125" style="2"/>
    <col min="5889" max="5889" width="6.875" style="2" customWidth="1"/>
    <col min="5890" max="5899" width="9.625" style="2" customWidth="1"/>
    <col min="5900" max="5900" width="27.375" style="2" customWidth="1"/>
    <col min="5901" max="5901" width="6.875" style="2" customWidth="1"/>
    <col min="5902" max="6144" width="9.125" style="2"/>
    <col min="6145" max="6145" width="6.875" style="2" customWidth="1"/>
    <col min="6146" max="6155" width="9.625" style="2" customWidth="1"/>
    <col min="6156" max="6156" width="27.375" style="2" customWidth="1"/>
    <col min="6157" max="6157" width="6.875" style="2" customWidth="1"/>
    <col min="6158" max="6400" width="9.125" style="2"/>
    <col min="6401" max="6401" width="6.875" style="2" customWidth="1"/>
    <col min="6402" max="6411" width="9.625" style="2" customWidth="1"/>
    <col min="6412" max="6412" width="27.375" style="2" customWidth="1"/>
    <col min="6413" max="6413" width="6.875" style="2" customWidth="1"/>
    <col min="6414" max="6656" width="9.125" style="2"/>
    <col min="6657" max="6657" width="6.875" style="2" customWidth="1"/>
    <col min="6658" max="6667" width="9.625" style="2" customWidth="1"/>
    <col min="6668" max="6668" width="27.375" style="2" customWidth="1"/>
    <col min="6669" max="6669" width="6.875" style="2" customWidth="1"/>
    <col min="6670" max="6912" width="9.125" style="2"/>
    <col min="6913" max="6913" width="6.875" style="2" customWidth="1"/>
    <col min="6914" max="6923" width="9.625" style="2" customWidth="1"/>
    <col min="6924" max="6924" width="27.375" style="2" customWidth="1"/>
    <col min="6925" max="6925" width="6.875" style="2" customWidth="1"/>
    <col min="6926" max="7168" width="9.125" style="2"/>
    <col min="7169" max="7169" width="6.875" style="2" customWidth="1"/>
    <col min="7170" max="7179" width="9.625" style="2" customWidth="1"/>
    <col min="7180" max="7180" width="27.375" style="2" customWidth="1"/>
    <col min="7181" max="7181" width="6.875" style="2" customWidth="1"/>
    <col min="7182" max="7424" width="9.125" style="2"/>
    <col min="7425" max="7425" width="6.875" style="2" customWidth="1"/>
    <col min="7426" max="7435" width="9.625" style="2" customWidth="1"/>
    <col min="7436" max="7436" width="27.375" style="2" customWidth="1"/>
    <col min="7437" max="7437" width="6.875" style="2" customWidth="1"/>
    <col min="7438" max="7680" width="9.125" style="2"/>
    <col min="7681" max="7681" width="6.875" style="2" customWidth="1"/>
    <col min="7682" max="7691" width="9.625" style="2" customWidth="1"/>
    <col min="7692" max="7692" width="27.375" style="2" customWidth="1"/>
    <col min="7693" max="7693" width="6.875" style="2" customWidth="1"/>
    <col min="7694" max="7936" width="9.125" style="2"/>
    <col min="7937" max="7937" width="6.875" style="2" customWidth="1"/>
    <col min="7938" max="7947" width="9.625" style="2" customWidth="1"/>
    <col min="7948" max="7948" width="27.375" style="2" customWidth="1"/>
    <col min="7949" max="7949" width="6.875" style="2" customWidth="1"/>
    <col min="7950" max="8192" width="9.125" style="2"/>
    <col min="8193" max="8193" width="6.875" style="2" customWidth="1"/>
    <col min="8194" max="8203" width="9.625" style="2" customWidth="1"/>
    <col min="8204" max="8204" width="27.375" style="2" customWidth="1"/>
    <col min="8205" max="8205" width="6.875" style="2" customWidth="1"/>
    <col min="8206" max="8448" width="9.125" style="2"/>
    <col min="8449" max="8449" width="6.875" style="2" customWidth="1"/>
    <col min="8450" max="8459" width="9.625" style="2" customWidth="1"/>
    <col min="8460" max="8460" width="27.375" style="2" customWidth="1"/>
    <col min="8461" max="8461" width="6.875" style="2" customWidth="1"/>
    <col min="8462" max="8704" width="9.125" style="2"/>
    <col min="8705" max="8705" width="6.875" style="2" customWidth="1"/>
    <col min="8706" max="8715" width="9.625" style="2" customWidth="1"/>
    <col min="8716" max="8716" width="27.375" style="2" customWidth="1"/>
    <col min="8717" max="8717" width="6.875" style="2" customWidth="1"/>
    <col min="8718" max="8960" width="9.125" style="2"/>
    <col min="8961" max="8961" width="6.875" style="2" customWidth="1"/>
    <col min="8962" max="8971" width="9.625" style="2" customWidth="1"/>
    <col min="8972" max="8972" width="27.375" style="2" customWidth="1"/>
    <col min="8973" max="8973" width="6.875" style="2" customWidth="1"/>
    <col min="8974" max="9216" width="9.125" style="2"/>
    <col min="9217" max="9217" width="6.875" style="2" customWidth="1"/>
    <col min="9218" max="9227" width="9.625" style="2" customWidth="1"/>
    <col min="9228" max="9228" width="27.375" style="2" customWidth="1"/>
    <col min="9229" max="9229" width="6.875" style="2" customWidth="1"/>
    <col min="9230" max="9472" width="9.125" style="2"/>
    <col min="9473" max="9473" width="6.875" style="2" customWidth="1"/>
    <col min="9474" max="9483" width="9.625" style="2" customWidth="1"/>
    <col min="9484" max="9484" width="27.375" style="2" customWidth="1"/>
    <col min="9485" max="9485" width="6.875" style="2" customWidth="1"/>
    <col min="9486" max="9728" width="9.125" style="2"/>
    <col min="9729" max="9729" width="6.875" style="2" customWidth="1"/>
    <col min="9730" max="9739" width="9.625" style="2" customWidth="1"/>
    <col min="9740" max="9740" width="27.375" style="2" customWidth="1"/>
    <col min="9741" max="9741" width="6.875" style="2" customWidth="1"/>
    <col min="9742" max="9984" width="9.125" style="2"/>
    <col min="9985" max="9985" width="6.875" style="2" customWidth="1"/>
    <col min="9986" max="9995" width="9.625" style="2" customWidth="1"/>
    <col min="9996" max="9996" width="27.375" style="2" customWidth="1"/>
    <col min="9997" max="9997" width="6.875" style="2" customWidth="1"/>
    <col min="9998" max="10240" width="9.125" style="2"/>
    <col min="10241" max="10241" width="6.875" style="2" customWidth="1"/>
    <col min="10242" max="10251" width="9.625" style="2" customWidth="1"/>
    <col min="10252" max="10252" width="27.375" style="2" customWidth="1"/>
    <col min="10253" max="10253" width="6.875" style="2" customWidth="1"/>
    <col min="10254" max="10496" width="9.125" style="2"/>
    <col min="10497" max="10497" width="6.875" style="2" customWidth="1"/>
    <col min="10498" max="10507" width="9.625" style="2" customWidth="1"/>
    <col min="10508" max="10508" width="27.375" style="2" customWidth="1"/>
    <col min="10509" max="10509" width="6.875" style="2" customWidth="1"/>
    <col min="10510" max="10752" width="9.125" style="2"/>
    <col min="10753" max="10753" width="6.875" style="2" customWidth="1"/>
    <col min="10754" max="10763" width="9.625" style="2" customWidth="1"/>
    <col min="10764" max="10764" width="27.375" style="2" customWidth="1"/>
    <col min="10765" max="10765" width="6.875" style="2" customWidth="1"/>
    <col min="10766" max="11008" width="9.125" style="2"/>
    <col min="11009" max="11009" width="6.875" style="2" customWidth="1"/>
    <col min="11010" max="11019" width="9.625" style="2" customWidth="1"/>
    <col min="11020" max="11020" width="27.375" style="2" customWidth="1"/>
    <col min="11021" max="11021" width="6.875" style="2" customWidth="1"/>
    <col min="11022" max="11264" width="9.125" style="2"/>
    <col min="11265" max="11265" width="6.875" style="2" customWidth="1"/>
    <col min="11266" max="11275" width="9.625" style="2" customWidth="1"/>
    <col min="11276" max="11276" width="27.375" style="2" customWidth="1"/>
    <col min="11277" max="11277" width="6.875" style="2" customWidth="1"/>
    <col min="11278" max="11520" width="9.125" style="2"/>
    <col min="11521" max="11521" width="6.875" style="2" customWidth="1"/>
    <col min="11522" max="11531" width="9.625" style="2" customWidth="1"/>
    <col min="11532" max="11532" width="27.375" style="2" customWidth="1"/>
    <col min="11533" max="11533" width="6.875" style="2" customWidth="1"/>
    <col min="11534" max="11776" width="9.125" style="2"/>
    <col min="11777" max="11777" width="6.875" style="2" customWidth="1"/>
    <col min="11778" max="11787" width="9.625" style="2" customWidth="1"/>
    <col min="11788" max="11788" width="27.375" style="2" customWidth="1"/>
    <col min="11789" max="11789" width="6.875" style="2" customWidth="1"/>
    <col min="11790" max="12032" width="9.125" style="2"/>
    <col min="12033" max="12033" width="6.875" style="2" customWidth="1"/>
    <col min="12034" max="12043" width="9.625" style="2" customWidth="1"/>
    <col min="12044" max="12044" width="27.375" style="2" customWidth="1"/>
    <col min="12045" max="12045" width="6.875" style="2" customWidth="1"/>
    <col min="12046" max="12288" width="9.125" style="2"/>
    <col min="12289" max="12289" width="6.875" style="2" customWidth="1"/>
    <col min="12290" max="12299" width="9.625" style="2" customWidth="1"/>
    <col min="12300" max="12300" width="27.375" style="2" customWidth="1"/>
    <col min="12301" max="12301" width="6.875" style="2" customWidth="1"/>
    <col min="12302" max="12544" width="9.125" style="2"/>
    <col min="12545" max="12545" width="6.875" style="2" customWidth="1"/>
    <col min="12546" max="12555" width="9.625" style="2" customWidth="1"/>
    <col min="12556" max="12556" width="27.375" style="2" customWidth="1"/>
    <col min="12557" max="12557" width="6.875" style="2" customWidth="1"/>
    <col min="12558" max="12800" width="9.125" style="2"/>
    <col min="12801" max="12801" width="6.875" style="2" customWidth="1"/>
    <col min="12802" max="12811" width="9.625" style="2" customWidth="1"/>
    <col min="12812" max="12812" width="27.375" style="2" customWidth="1"/>
    <col min="12813" max="12813" width="6.875" style="2" customWidth="1"/>
    <col min="12814" max="13056" width="9.125" style="2"/>
    <col min="13057" max="13057" width="6.875" style="2" customWidth="1"/>
    <col min="13058" max="13067" width="9.625" style="2" customWidth="1"/>
    <col min="13068" max="13068" width="27.375" style="2" customWidth="1"/>
    <col min="13069" max="13069" width="6.875" style="2" customWidth="1"/>
    <col min="13070" max="13312" width="9.125" style="2"/>
    <col min="13313" max="13313" width="6.875" style="2" customWidth="1"/>
    <col min="13314" max="13323" width="9.625" style="2" customWidth="1"/>
    <col min="13324" max="13324" width="27.375" style="2" customWidth="1"/>
    <col min="13325" max="13325" width="6.875" style="2" customWidth="1"/>
    <col min="13326" max="13568" width="9.125" style="2"/>
    <col min="13569" max="13569" width="6.875" style="2" customWidth="1"/>
    <col min="13570" max="13579" width="9.625" style="2" customWidth="1"/>
    <col min="13580" max="13580" width="27.375" style="2" customWidth="1"/>
    <col min="13581" max="13581" width="6.875" style="2" customWidth="1"/>
    <col min="13582" max="13824" width="9.125" style="2"/>
    <col min="13825" max="13825" width="6.875" style="2" customWidth="1"/>
    <col min="13826" max="13835" width="9.625" style="2" customWidth="1"/>
    <col min="13836" max="13836" width="27.375" style="2" customWidth="1"/>
    <col min="13837" max="13837" width="6.875" style="2" customWidth="1"/>
    <col min="13838" max="14080" width="9.125" style="2"/>
    <col min="14081" max="14081" width="6.875" style="2" customWidth="1"/>
    <col min="14082" max="14091" width="9.625" style="2" customWidth="1"/>
    <col min="14092" max="14092" width="27.375" style="2" customWidth="1"/>
    <col min="14093" max="14093" width="6.875" style="2" customWidth="1"/>
    <col min="14094" max="14336" width="9.125" style="2"/>
    <col min="14337" max="14337" width="6.875" style="2" customWidth="1"/>
    <col min="14338" max="14347" width="9.625" style="2" customWidth="1"/>
    <col min="14348" max="14348" width="27.375" style="2" customWidth="1"/>
    <col min="14349" max="14349" width="6.875" style="2" customWidth="1"/>
    <col min="14350" max="14592" width="9.125" style="2"/>
    <col min="14593" max="14593" width="6.875" style="2" customWidth="1"/>
    <col min="14594" max="14603" width="9.625" style="2" customWidth="1"/>
    <col min="14604" max="14604" width="27.375" style="2" customWidth="1"/>
    <col min="14605" max="14605" width="6.875" style="2" customWidth="1"/>
    <col min="14606" max="14848" width="9.125" style="2"/>
    <col min="14849" max="14849" width="6.875" style="2" customWidth="1"/>
    <col min="14850" max="14859" width="9.625" style="2" customWidth="1"/>
    <col min="14860" max="14860" width="27.375" style="2" customWidth="1"/>
    <col min="14861" max="14861" width="6.875" style="2" customWidth="1"/>
    <col min="14862" max="15104" width="9.125" style="2"/>
    <col min="15105" max="15105" width="6.875" style="2" customWidth="1"/>
    <col min="15106" max="15115" width="9.625" style="2" customWidth="1"/>
    <col min="15116" max="15116" width="27.375" style="2" customWidth="1"/>
    <col min="15117" max="15117" width="6.875" style="2" customWidth="1"/>
    <col min="15118" max="15360" width="9.125" style="2"/>
    <col min="15361" max="15361" width="6.875" style="2" customWidth="1"/>
    <col min="15362" max="15371" width="9.625" style="2" customWidth="1"/>
    <col min="15372" max="15372" width="27.375" style="2" customWidth="1"/>
    <col min="15373" max="15373" width="6.875" style="2" customWidth="1"/>
    <col min="15374" max="15616" width="9.125" style="2"/>
    <col min="15617" max="15617" width="6.875" style="2" customWidth="1"/>
    <col min="15618" max="15627" width="9.625" style="2" customWidth="1"/>
    <col min="15628" max="15628" width="27.375" style="2" customWidth="1"/>
    <col min="15629" max="15629" width="6.875" style="2" customWidth="1"/>
    <col min="15630" max="15872" width="9.125" style="2"/>
    <col min="15873" max="15873" width="6.875" style="2" customWidth="1"/>
    <col min="15874" max="15883" width="9.625" style="2" customWidth="1"/>
    <col min="15884" max="15884" width="27.375" style="2" customWidth="1"/>
    <col min="15885" max="15885" width="6.875" style="2" customWidth="1"/>
    <col min="15886" max="16128" width="9.125" style="2"/>
    <col min="16129" max="16129" width="6.875" style="2" customWidth="1"/>
    <col min="16130" max="16139" width="9.625" style="2" customWidth="1"/>
    <col min="16140" max="16140" width="27.375" style="2" customWidth="1"/>
    <col min="16141" max="16141" width="6.875" style="2" customWidth="1"/>
    <col min="16142" max="16384" width="9.125" style="2"/>
  </cols>
  <sheetData>
    <row r="1" spans="1:13" ht="20.100000000000001" customHeight="1" x14ac:dyDescent="0.2">
      <c r="A1" s="1"/>
      <c r="B1" s="159" t="s">
        <v>58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"/>
    </row>
    <row r="2" spans="1:13" ht="20.100000000000001" customHeight="1" thickBot="1" x14ac:dyDescent="0.25">
      <c r="A2" s="1"/>
      <c r="B2" s="160" t="s">
        <v>59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"/>
    </row>
    <row r="3" spans="1:13" ht="13.5" thickBot="1" x14ac:dyDescent="0.25">
      <c r="A3" s="1"/>
      <c r="B3" s="161" t="s">
        <v>2</v>
      </c>
      <c r="C3" s="161"/>
      <c r="D3" s="161"/>
      <c r="E3" s="161" t="s">
        <v>3</v>
      </c>
      <c r="F3" s="161"/>
      <c r="G3" s="161"/>
      <c r="H3" s="161" t="s">
        <v>4</v>
      </c>
      <c r="I3" s="161"/>
      <c r="J3" s="161"/>
      <c r="K3" s="3"/>
      <c r="L3" s="3"/>
      <c r="M3" s="1"/>
    </row>
    <row r="4" spans="1:13" ht="26.25" thickBot="1" x14ac:dyDescent="0.25">
      <c r="A4" s="1"/>
      <c r="B4" s="4" t="s">
        <v>5</v>
      </c>
      <c r="C4" s="4" t="s">
        <v>6</v>
      </c>
      <c r="D4" s="4" t="s">
        <v>7</v>
      </c>
      <c r="E4" s="4" t="s">
        <v>5</v>
      </c>
      <c r="F4" s="4" t="s">
        <v>6</v>
      </c>
      <c r="G4" s="4" t="s">
        <v>7</v>
      </c>
      <c r="H4" s="4" t="s">
        <v>5</v>
      </c>
      <c r="I4" s="4" t="s">
        <v>6</v>
      </c>
      <c r="J4" s="4" t="s">
        <v>7</v>
      </c>
      <c r="K4" s="5" t="s">
        <v>8</v>
      </c>
      <c r="L4" s="5" t="s">
        <v>60</v>
      </c>
      <c r="M4" s="1"/>
    </row>
    <row r="5" spans="1:13" ht="13.5" thickBot="1" x14ac:dyDescent="0.25">
      <c r="A5" s="1"/>
      <c r="B5" s="6">
        <f>SUM(C5:D5)</f>
        <v>39</v>
      </c>
      <c r="C5" s="6">
        <v>14</v>
      </c>
      <c r="D5" s="6">
        <v>25</v>
      </c>
      <c r="E5" s="6">
        <f>SUM(F5:G5)</f>
        <v>1494</v>
      </c>
      <c r="F5" s="6">
        <v>227</v>
      </c>
      <c r="G5" s="6">
        <v>1267</v>
      </c>
      <c r="H5" s="6">
        <f>SUM(I5:J5)</f>
        <v>373</v>
      </c>
      <c r="I5" s="6">
        <v>49</v>
      </c>
      <c r="J5" s="6">
        <v>324</v>
      </c>
      <c r="K5" s="7" t="s">
        <v>10</v>
      </c>
      <c r="L5" s="8"/>
    </row>
    <row r="6" spans="1:13" ht="13.5" thickBot="1" x14ac:dyDescent="0.25">
      <c r="A6" s="1"/>
      <c r="B6" s="6">
        <f t="shared" ref="B6:B24" si="0">SUM(C6:D6)</f>
        <v>6</v>
      </c>
      <c r="C6" s="6">
        <v>2</v>
      </c>
      <c r="D6" s="6">
        <v>4</v>
      </c>
      <c r="E6" s="6">
        <f t="shared" ref="E6:E24" si="1">SUM(F6:G6)</f>
        <v>502</v>
      </c>
      <c r="F6" s="6">
        <v>109</v>
      </c>
      <c r="G6" s="6">
        <v>393</v>
      </c>
      <c r="H6" s="6">
        <f t="shared" ref="H6:H24" si="2">SUM(I6:J6)</f>
        <v>160</v>
      </c>
      <c r="I6" s="6">
        <v>31</v>
      </c>
      <c r="J6" s="6">
        <v>129</v>
      </c>
      <c r="K6" s="7" t="s">
        <v>11</v>
      </c>
      <c r="L6" s="8" t="s">
        <v>61</v>
      </c>
      <c r="M6" s="1"/>
    </row>
    <row r="7" spans="1:13" ht="13.5" thickBot="1" x14ac:dyDescent="0.25">
      <c r="A7" s="1"/>
      <c r="B7" s="6">
        <f t="shared" ref="B7:I7" si="3">SUM(B5:B6)</f>
        <v>45</v>
      </c>
      <c r="C7" s="6">
        <f t="shared" si="3"/>
        <v>16</v>
      </c>
      <c r="D7" s="6">
        <f t="shared" si="3"/>
        <v>29</v>
      </c>
      <c r="E7" s="6">
        <f t="shared" si="3"/>
        <v>1996</v>
      </c>
      <c r="F7" s="6">
        <f t="shared" si="3"/>
        <v>336</v>
      </c>
      <c r="G7" s="6">
        <f t="shared" si="3"/>
        <v>1660</v>
      </c>
      <c r="H7" s="6">
        <f t="shared" si="3"/>
        <v>533</v>
      </c>
      <c r="I7" s="6">
        <f t="shared" si="3"/>
        <v>80</v>
      </c>
      <c r="J7" s="6">
        <f>SUM(J5:J6)</f>
        <v>453</v>
      </c>
      <c r="K7" s="7" t="s">
        <v>13</v>
      </c>
      <c r="L7" s="9"/>
      <c r="M7" s="1"/>
    </row>
    <row r="8" spans="1:13" ht="13.5" thickBot="1" x14ac:dyDescent="0.25">
      <c r="A8" s="1"/>
      <c r="B8" s="6">
        <f t="shared" si="0"/>
        <v>247</v>
      </c>
      <c r="C8" s="6">
        <v>115</v>
      </c>
      <c r="D8" s="6">
        <v>132</v>
      </c>
      <c r="E8" s="6">
        <f t="shared" si="1"/>
        <v>8120</v>
      </c>
      <c r="F8" s="6">
        <v>1628</v>
      </c>
      <c r="G8" s="6">
        <v>6492</v>
      </c>
      <c r="H8" s="6">
        <f t="shared" si="2"/>
        <v>3929</v>
      </c>
      <c r="I8" s="6">
        <v>993</v>
      </c>
      <c r="J8" s="6">
        <v>2936</v>
      </c>
      <c r="K8" s="7" t="s">
        <v>10</v>
      </c>
      <c r="L8" s="8"/>
    </row>
    <row r="9" spans="1:13" ht="13.5" thickBot="1" x14ac:dyDescent="0.25">
      <c r="A9" s="1"/>
      <c r="B9" s="6">
        <f t="shared" si="0"/>
        <v>89</v>
      </c>
      <c r="C9" s="6">
        <v>46</v>
      </c>
      <c r="D9" s="6">
        <v>43</v>
      </c>
      <c r="E9" s="6">
        <f t="shared" si="1"/>
        <v>2683</v>
      </c>
      <c r="F9" s="6">
        <v>724</v>
      </c>
      <c r="G9" s="6">
        <v>1959</v>
      </c>
      <c r="H9" s="6">
        <f t="shared" si="2"/>
        <v>1305</v>
      </c>
      <c r="I9" s="6">
        <v>431</v>
      </c>
      <c r="J9" s="6">
        <v>874</v>
      </c>
      <c r="K9" s="7" t="s">
        <v>11</v>
      </c>
      <c r="L9" s="8" t="s">
        <v>62</v>
      </c>
      <c r="M9" s="1"/>
    </row>
    <row r="10" spans="1:13" ht="13.5" thickBot="1" x14ac:dyDescent="0.25">
      <c r="A10" s="1"/>
      <c r="B10" s="6">
        <f t="shared" ref="B10:J10" si="4">SUM(B8:B9)</f>
        <v>336</v>
      </c>
      <c r="C10" s="6">
        <f t="shared" si="4"/>
        <v>161</v>
      </c>
      <c r="D10" s="6">
        <f t="shared" si="4"/>
        <v>175</v>
      </c>
      <c r="E10" s="6">
        <f t="shared" si="4"/>
        <v>10803</v>
      </c>
      <c r="F10" s="6">
        <f t="shared" si="4"/>
        <v>2352</v>
      </c>
      <c r="G10" s="6">
        <f t="shared" si="4"/>
        <v>8451</v>
      </c>
      <c r="H10" s="6">
        <f t="shared" si="4"/>
        <v>5234</v>
      </c>
      <c r="I10" s="6">
        <f t="shared" si="4"/>
        <v>1424</v>
      </c>
      <c r="J10" s="6">
        <f t="shared" si="4"/>
        <v>3810</v>
      </c>
      <c r="K10" s="7" t="s">
        <v>13</v>
      </c>
      <c r="L10" s="9"/>
      <c r="M10" s="1"/>
    </row>
    <row r="11" spans="1:13" ht="13.5" thickBot="1" x14ac:dyDescent="0.25">
      <c r="A11" s="1"/>
      <c r="B11" s="6">
        <f t="shared" si="0"/>
        <v>24</v>
      </c>
      <c r="C11" s="6">
        <v>2</v>
      </c>
      <c r="D11" s="6">
        <v>22</v>
      </c>
      <c r="E11" s="6">
        <f t="shared" si="1"/>
        <v>812</v>
      </c>
      <c r="F11" s="6">
        <v>46</v>
      </c>
      <c r="G11" s="6">
        <v>766</v>
      </c>
      <c r="H11" s="6">
        <f t="shared" si="2"/>
        <v>131</v>
      </c>
      <c r="I11" s="6">
        <v>21</v>
      </c>
      <c r="J11" s="6">
        <v>110</v>
      </c>
      <c r="K11" s="7" t="s">
        <v>10</v>
      </c>
      <c r="L11" s="8"/>
      <c r="M11" s="1"/>
    </row>
    <row r="12" spans="1:13" ht="13.5" thickBot="1" x14ac:dyDescent="0.25">
      <c r="A12" s="1"/>
      <c r="B12" s="6">
        <f t="shared" si="0"/>
        <v>6</v>
      </c>
      <c r="C12" s="6">
        <v>1</v>
      </c>
      <c r="D12" s="6">
        <v>5</v>
      </c>
      <c r="E12" s="6">
        <f t="shared" si="1"/>
        <v>209</v>
      </c>
      <c r="F12" s="6">
        <v>26</v>
      </c>
      <c r="G12" s="6">
        <v>183</v>
      </c>
      <c r="H12" s="6">
        <f t="shared" si="2"/>
        <v>34</v>
      </c>
      <c r="I12" s="6">
        <v>10</v>
      </c>
      <c r="J12" s="6">
        <v>24</v>
      </c>
      <c r="K12" s="7" t="s">
        <v>11</v>
      </c>
      <c r="L12" s="8" t="s">
        <v>63</v>
      </c>
    </row>
    <row r="13" spans="1:13" ht="13.5" thickBot="1" x14ac:dyDescent="0.25">
      <c r="A13" s="1"/>
      <c r="B13" s="6">
        <f t="shared" ref="B13:J13" si="5">SUM(B11:B12)</f>
        <v>30</v>
      </c>
      <c r="C13" s="6">
        <f t="shared" si="5"/>
        <v>3</v>
      </c>
      <c r="D13" s="6">
        <f t="shared" si="5"/>
        <v>27</v>
      </c>
      <c r="E13" s="6">
        <f t="shared" si="5"/>
        <v>1021</v>
      </c>
      <c r="F13" s="6">
        <f t="shared" si="5"/>
        <v>72</v>
      </c>
      <c r="G13" s="6">
        <f t="shared" si="5"/>
        <v>949</v>
      </c>
      <c r="H13" s="6">
        <f t="shared" si="5"/>
        <v>165</v>
      </c>
      <c r="I13" s="6">
        <f t="shared" si="5"/>
        <v>31</v>
      </c>
      <c r="J13" s="6">
        <f t="shared" si="5"/>
        <v>134</v>
      </c>
      <c r="K13" s="7" t="s">
        <v>13</v>
      </c>
      <c r="L13" s="9"/>
    </row>
    <row r="14" spans="1:13" ht="13.5" thickBot="1" x14ac:dyDescent="0.25">
      <c r="A14" s="1"/>
      <c r="B14" s="6">
        <f t="shared" si="0"/>
        <v>1</v>
      </c>
      <c r="C14" s="6">
        <v>1</v>
      </c>
      <c r="D14" s="6">
        <v>0</v>
      </c>
      <c r="E14" s="6">
        <f t="shared" si="1"/>
        <v>9</v>
      </c>
      <c r="F14" s="6">
        <v>1</v>
      </c>
      <c r="G14" s="6">
        <v>8</v>
      </c>
      <c r="H14" s="6">
        <f t="shared" si="2"/>
        <v>27</v>
      </c>
      <c r="I14" s="6">
        <v>21</v>
      </c>
      <c r="J14" s="6">
        <v>6</v>
      </c>
      <c r="K14" s="7" t="s">
        <v>10</v>
      </c>
      <c r="L14" s="8"/>
    </row>
    <row r="15" spans="1:13" ht="13.5" thickBot="1" x14ac:dyDescent="0.25">
      <c r="A15" s="1"/>
      <c r="B15" s="6">
        <f t="shared" si="0"/>
        <v>1</v>
      </c>
      <c r="C15" s="6">
        <v>1</v>
      </c>
      <c r="D15" s="6">
        <v>0</v>
      </c>
      <c r="E15" s="6">
        <f t="shared" si="1"/>
        <v>0</v>
      </c>
      <c r="F15" s="6">
        <v>0</v>
      </c>
      <c r="G15" s="6">
        <v>0</v>
      </c>
      <c r="H15" s="6">
        <f t="shared" si="2"/>
        <v>1</v>
      </c>
      <c r="I15" s="6">
        <v>0</v>
      </c>
      <c r="J15" s="6">
        <v>1</v>
      </c>
      <c r="K15" s="7" t="s">
        <v>11</v>
      </c>
      <c r="L15" s="8" t="s">
        <v>64</v>
      </c>
    </row>
    <row r="16" spans="1:13" ht="13.5" thickBot="1" x14ac:dyDescent="0.25">
      <c r="A16" s="1"/>
      <c r="B16" s="6">
        <f t="shared" ref="B16:J16" si="6">SUM(B14:B15)</f>
        <v>2</v>
      </c>
      <c r="C16" s="6">
        <f t="shared" si="6"/>
        <v>2</v>
      </c>
      <c r="D16" s="6">
        <f t="shared" si="6"/>
        <v>0</v>
      </c>
      <c r="E16" s="6">
        <f t="shared" si="6"/>
        <v>9</v>
      </c>
      <c r="F16" s="6">
        <f t="shared" si="6"/>
        <v>1</v>
      </c>
      <c r="G16" s="6">
        <f t="shared" si="6"/>
        <v>8</v>
      </c>
      <c r="H16" s="6">
        <f t="shared" si="6"/>
        <v>28</v>
      </c>
      <c r="I16" s="6">
        <f t="shared" si="6"/>
        <v>21</v>
      </c>
      <c r="J16" s="6">
        <f t="shared" si="6"/>
        <v>7</v>
      </c>
      <c r="K16" s="7" t="s">
        <v>13</v>
      </c>
      <c r="L16" s="9"/>
    </row>
    <row r="17" spans="1:13" ht="13.5" thickBot="1" x14ac:dyDescent="0.25">
      <c r="A17" s="1"/>
      <c r="B17" s="6">
        <f t="shared" si="0"/>
        <v>662</v>
      </c>
      <c r="C17" s="6">
        <v>450</v>
      </c>
      <c r="D17" s="6">
        <v>212</v>
      </c>
      <c r="E17" s="6">
        <f t="shared" si="1"/>
        <v>20257</v>
      </c>
      <c r="F17" s="6">
        <v>8802</v>
      </c>
      <c r="G17" s="6">
        <v>11455</v>
      </c>
      <c r="H17" s="6">
        <f t="shared" si="2"/>
        <v>6063</v>
      </c>
      <c r="I17" s="6">
        <v>4603</v>
      </c>
      <c r="J17" s="6">
        <v>1460</v>
      </c>
      <c r="K17" s="7" t="s">
        <v>10</v>
      </c>
      <c r="L17" s="8"/>
      <c r="M17" s="1"/>
    </row>
    <row r="18" spans="1:13" ht="13.5" thickBot="1" x14ac:dyDescent="0.25">
      <c r="A18" s="1"/>
      <c r="B18" s="6">
        <f t="shared" si="0"/>
        <v>71</v>
      </c>
      <c r="C18" s="6">
        <v>49</v>
      </c>
      <c r="D18" s="6">
        <v>22</v>
      </c>
      <c r="E18" s="6">
        <f t="shared" si="1"/>
        <v>3428</v>
      </c>
      <c r="F18" s="6">
        <v>1633</v>
      </c>
      <c r="G18" s="6">
        <v>1795</v>
      </c>
      <c r="H18" s="6">
        <f t="shared" si="2"/>
        <v>1217</v>
      </c>
      <c r="I18" s="6">
        <v>707</v>
      </c>
      <c r="J18" s="6">
        <v>510</v>
      </c>
      <c r="K18" s="7" t="s">
        <v>11</v>
      </c>
      <c r="L18" s="8" t="s">
        <v>65</v>
      </c>
      <c r="M18" s="1"/>
    </row>
    <row r="19" spans="1:13" ht="13.5" thickBot="1" x14ac:dyDescent="0.25">
      <c r="A19" s="1"/>
      <c r="B19" s="6">
        <f t="shared" ref="B19:J19" si="7">SUM(B17:B18)</f>
        <v>733</v>
      </c>
      <c r="C19" s="6">
        <f t="shared" si="7"/>
        <v>499</v>
      </c>
      <c r="D19" s="6">
        <f t="shared" si="7"/>
        <v>234</v>
      </c>
      <c r="E19" s="6">
        <f t="shared" si="7"/>
        <v>23685</v>
      </c>
      <c r="F19" s="6">
        <f t="shared" si="7"/>
        <v>10435</v>
      </c>
      <c r="G19" s="6">
        <f t="shared" si="7"/>
        <v>13250</v>
      </c>
      <c r="H19" s="6">
        <f t="shared" si="7"/>
        <v>7280</v>
      </c>
      <c r="I19" s="6">
        <f t="shared" si="7"/>
        <v>5310</v>
      </c>
      <c r="J19" s="6">
        <f t="shared" si="7"/>
        <v>1970</v>
      </c>
      <c r="K19" s="7" t="s">
        <v>13</v>
      </c>
      <c r="L19" s="9"/>
      <c r="M19" s="1"/>
    </row>
    <row r="20" spans="1:13" ht="13.5" thickBot="1" x14ac:dyDescent="0.25">
      <c r="A20" s="1"/>
      <c r="B20" s="6">
        <f t="shared" si="0"/>
        <v>23</v>
      </c>
      <c r="C20" s="6">
        <v>14</v>
      </c>
      <c r="D20" s="6">
        <v>9</v>
      </c>
      <c r="E20" s="6">
        <f t="shared" si="1"/>
        <v>2828</v>
      </c>
      <c r="F20" s="6">
        <v>1548</v>
      </c>
      <c r="G20" s="6">
        <v>1280</v>
      </c>
      <c r="H20" s="6">
        <f t="shared" si="2"/>
        <v>2207</v>
      </c>
      <c r="I20" s="6">
        <v>1397</v>
      </c>
      <c r="J20" s="6">
        <v>810</v>
      </c>
      <c r="K20" s="7" t="s">
        <v>10</v>
      </c>
      <c r="L20" s="8"/>
      <c r="M20" s="1"/>
    </row>
    <row r="21" spans="1:13" ht="13.5" thickBot="1" x14ac:dyDescent="0.25">
      <c r="A21" s="1"/>
      <c r="B21" s="6">
        <f t="shared" si="0"/>
        <v>24</v>
      </c>
      <c r="C21" s="6">
        <v>18</v>
      </c>
      <c r="D21" s="6">
        <v>6</v>
      </c>
      <c r="E21" s="6">
        <f t="shared" si="1"/>
        <v>1145</v>
      </c>
      <c r="F21" s="6">
        <v>267</v>
      </c>
      <c r="G21" s="6">
        <v>878</v>
      </c>
      <c r="H21" s="6">
        <f t="shared" si="2"/>
        <v>790</v>
      </c>
      <c r="I21" s="6">
        <v>214</v>
      </c>
      <c r="J21" s="6">
        <v>576</v>
      </c>
      <c r="K21" s="7" t="s">
        <v>11</v>
      </c>
      <c r="L21" s="8" t="s">
        <v>66</v>
      </c>
    </row>
    <row r="22" spans="1:13" ht="13.5" thickBot="1" x14ac:dyDescent="0.25">
      <c r="A22" s="1"/>
      <c r="B22" s="6">
        <f t="shared" ref="B22:J22" si="8">SUM(B20:B21)</f>
        <v>47</v>
      </c>
      <c r="C22" s="6">
        <f t="shared" si="8"/>
        <v>32</v>
      </c>
      <c r="D22" s="6">
        <f t="shared" si="8"/>
        <v>15</v>
      </c>
      <c r="E22" s="6">
        <f t="shared" si="8"/>
        <v>3973</v>
      </c>
      <c r="F22" s="6">
        <f t="shared" si="8"/>
        <v>1815</v>
      </c>
      <c r="G22" s="6">
        <f t="shared" si="8"/>
        <v>2158</v>
      </c>
      <c r="H22" s="6">
        <f t="shared" si="8"/>
        <v>2997</v>
      </c>
      <c r="I22" s="6">
        <f t="shared" si="8"/>
        <v>1611</v>
      </c>
      <c r="J22" s="6">
        <f t="shared" si="8"/>
        <v>1386</v>
      </c>
      <c r="K22" s="7" t="s">
        <v>13</v>
      </c>
      <c r="L22" s="9"/>
    </row>
    <row r="23" spans="1:13" ht="13.5" thickBot="1" x14ac:dyDescent="0.25">
      <c r="A23" s="1"/>
      <c r="B23" s="6">
        <f t="shared" si="0"/>
        <v>77</v>
      </c>
      <c r="C23" s="6">
        <v>0</v>
      </c>
      <c r="D23" s="6">
        <v>77</v>
      </c>
      <c r="E23" s="6">
        <f t="shared" si="1"/>
        <v>1158</v>
      </c>
      <c r="F23" s="6">
        <v>187</v>
      </c>
      <c r="G23" s="6">
        <v>971</v>
      </c>
      <c r="H23" s="6">
        <f t="shared" si="2"/>
        <v>481</v>
      </c>
      <c r="I23" s="6">
        <v>99</v>
      </c>
      <c r="J23" s="6">
        <v>382</v>
      </c>
      <c r="K23" s="7" t="s">
        <v>10</v>
      </c>
      <c r="L23" s="8"/>
    </row>
    <row r="24" spans="1:13" ht="13.5" thickBot="1" x14ac:dyDescent="0.25">
      <c r="A24" s="1"/>
      <c r="B24" s="6">
        <f t="shared" si="0"/>
        <v>4</v>
      </c>
      <c r="C24" s="6">
        <v>0</v>
      </c>
      <c r="D24" s="6">
        <v>4</v>
      </c>
      <c r="E24" s="6">
        <f t="shared" si="1"/>
        <v>161</v>
      </c>
      <c r="F24" s="6">
        <v>21</v>
      </c>
      <c r="G24" s="6">
        <v>140</v>
      </c>
      <c r="H24" s="6">
        <f t="shared" si="2"/>
        <v>53</v>
      </c>
      <c r="I24" s="6">
        <v>13</v>
      </c>
      <c r="J24" s="6">
        <v>40</v>
      </c>
      <c r="K24" s="7" t="s">
        <v>11</v>
      </c>
      <c r="L24" s="8" t="s">
        <v>57</v>
      </c>
    </row>
    <row r="25" spans="1:13" ht="13.5" thickBot="1" x14ac:dyDescent="0.25">
      <c r="A25" s="1"/>
      <c r="B25" s="6">
        <f t="shared" ref="B25:J25" si="9">SUM(B23:B24)</f>
        <v>81</v>
      </c>
      <c r="C25" s="6">
        <f t="shared" si="9"/>
        <v>0</v>
      </c>
      <c r="D25" s="6">
        <f t="shared" si="9"/>
        <v>81</v>
      </c>
      <c r="E25" s="6">
        <f t="shared" si="9"/>
        <v>1319</v>
      </c>
      <c r="F25" s="6">
        <f t="shared" si="9"/>
        <v>208</v>
      </c>
      <c r="G25" s="6">
        <f t="shared" si="9"/>
        <v>1111</v>
      </c>
      <c r="H25" s="6">
        <f t="shared" si="9"/>
        <v>534</v>
      </c>
      <c r="I25" s="6">
        <f t="shared" si="9"/>
        <v>112</v>
      </c>
      <c r="J25" s="6">
        <f t="shared" si="9"/>
        <v>422</v>
      </c>
      <c r="K25" s="7" t="s">
        <v>13</v>
      </c>
      <c r="L25" s="9"/>
    </row>
    <row r="26" spans="1:13" ht="13.5" thickBot="1" x14ac:dyDescent="0.25">
      <c r="A26" s="1"/>
      <c r="B26" s="6">
        <f t="shared" ref="B26:I28" si="10">B5+B8+B11+B14+B17+B20+B23</f>
        <v>1073</v>
      </c>
      <c r="C26" s="6">
        <f t="shared" si="10"/>
        <v>596</v>
      </c>
      <c r="D26" s="6">
        <f t="shared" si="10"/>
        <v>477</v>
      </c>
      <c r="E26" s="6">
        <f t="shared" si="10"/>
        <v>34678</v>
      </c>
      <c r="F26" s="6">
        <f t="shared" si="10"/>
        <v>12439</v>
      </c>
      <c r="G26" s="6">
        <f t="shared" si="10"/>
        <v>22239</v>
      </c>
      <c r="H26" s="6">
        <f t="shared" si="10"/>
        <v>13211</v>
      </c>
      <c r="I26" s="6">
        <f t="shared" si="10"/>
        <v>7183</v>
      </c>
      <c r="J26" s="6">
        <f>J5+J8+J11+J14+J17+J20+J23</f>
        <v>6028</v>
      </c>
      <c r="K26" s="4" t="s">
        <v>28</v>
      </c>
      <c r="L26" s="3"/>
    </row>
    <row r="27" spans="1:13" ht="13.5" thickBot="1" x14ac:dyDescent="0.25">
      <c r="A27" s="1"/>
      <c r="B27" s="6">
        <f t="shared" si="10"/>
        <v>201</v>
      </c>
      <c r="C27" s="6">
        <f t="shared" si="10"/>
        <v>117</v>
      </c>
      <c r="D27" s="6">
        <f t="shared" si="10"/>
        <v>84</v>
      </c>
      <c r="E27" s="6">
        <f t="shared" si="10"/>
        <v>8128</v>
      </c>
      <c r="F27" s="6">
        <f t="shared" si="10"/>
        <v>2780</v>
      </c>
      <c r="G27" s="6">
        <f t="shared" si="10"/>
        <v>5348</v>
      </c>
      <c r="H27" s="6">
        <f t="shared" si="10"/>
        <v>3560</v>
      </c>
      <c r="I27" s="6">
        <f t="shared" si="10"/>
        <v>1406</v>
      </c>
      <c r="J27" s="6">
        <f>J6+J9+J12+J15+J18+J21+J24</f>
        <v>2154</v>
      </c>
      <c r="K27" s="4" t="s">
        <v>29</v>
      </c>
      <c r="L27" s="11" t="s">
        <v>44</v>
      </c>
    </row>
    <row r="28" spans="1:13" ht="13.5" thickBot="1" x14ac:dyDescent="0.25">
      <c r="A28" s="1"/>
      <c r="B28" s="6">
        <f t="shared" si="10"/>
        <v>1274</v>
      </c>
      <c r="C28" s="6">
        <f t="shared" si="10"/>
        <v>713</v>
      </c>
      <c r="D28" s="6">
        <f t="shared" si="10"/>
        <v>561</v>
      </c>
      <c r="E28" s="6">
        <f t="shared" si="10"/>
        <v>42806</v>
      </c>
      <c r="F28" s="6">
        <f t="shared" si="10"/>
        <v>15219</v>
      </c>
      <c r="G28" s="6">
        <f t="shared" si="10"/>
        <v>27587</v>
      </c>
      <c r="H28" s="6">
        <f t="shared" si="10"/>
        <v>16771</v>
      </c>
      <c r="I28" s="6">
        <f t="shared" si="10"/>
        <v>8589</v>
      </c>
      <c r="J28" s="6">
        <f>J7+J10+J13+J16+J19+J22+J25</f>
        <v>8182</v>
      </c>
      <c r="K28" s="4" t="s">
        <v>13</v>
      </c>
      <c r="L28" s="5"/>
    </row>
  </sheetData>
  <mergeCells count="5">
    <mergeCell ref="B1:L1"/>
    <mergeCell ref="B2:L2"/>
    <mergeCell ref="B3:D3"/>
    <mergeCell ref="E3:G3"/>
    <mergeCell ref="H3:J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37"/>
  <sheetViews>
    <sheetView showGridLines="0" topLeftCell="A22" zoomScale="90" zoomScaleNormal="90" workbookViewId="0">
      <selection activeCell="I42" sqref="I42"/>
    </sheetView>
  </sheetViews>
  <sheetFormatPr defaultRowHeight="12.75" x14ac:dyDescent="0.2"/>
  <cols>
    <col min="1" max="1" width="6.875" style="2" customWidth="1"/>
    <col min="2" max="11" width="9.625" style="2" customWidth="1"/>
    <col min="12" max="12" width="27.375" style="2" customWidth="1"/>
    <col min="13" max="13" width="6.875" style="2" customWidth="1"/>
    <col min="14" max="256" width="9.125" style="2"/>
    <col min="257" max="257" width="6.875" style="2" customWidth="1"/>
    <col min="258" max="267" width="9.625" style="2" customWidth="1"/>
    <col min="268" max="268" width="27.375" style="2" customWidth="1"/>
    <col min="269" max="269" width="6.875" style="2" customWidth="1"/>
    <col min="270" max="512" width="9.125" style="2"/>
    <col min="513" max="513" width="6.875" style="2" customWidth="1"/>
    <col min="514" max="523" width="9.625" style="2" customWidth="1"/>
    <col min="524" max="524" width="27.375" style="2" customWidth="1"/>
    <col min="525" max="525" width="6.875" style="2" customWidth="1"/>
    <col min="526" max="768" width="9.125" style="2"/>
    <col min="769" max="769" width="6.875" style="2" customWidth="1"/>
    <col min="770" max="779" width="9.625" style="2" customWidth="1"/>
    <col min="780" max="780" width="27.375" style="2" customWidth="1"/>
    <col min="781" max="781" width="6.875" style="2" customWidth="1"/>
    <col min="782" max="1024" width="9.125" style="2"/>
    <col min="1025" max="1025" width="6.875" style="2" customWidth="1"/>
    <col min="1026" max="1035" width="9.625" style="2" customWidth="1"/>
    <col min="1036" max="1036" width="27.375" style="2" customWidth="1"/>
    <col min="1037" max="1037" width="6.875" style="2" customWidth="1"/>
    <col min="1038" max="1280" width="9.125" style="2"/>
    <col min="1281" max="1281" width="6.875" style="2" customWidth="1"/>
    <col min="1282" max="1291" width="9.625" style="2" customWidth="1"/>
    <col min="1292" max="1292" width="27.375" style="2" customWidth="1"/>
    <col min="1293" max="1293" width="6.875" style="2" customWidth="1"/>
    <col min="1294" max="1536" width="9.125" style="2"/>
    <col min="1537" max="1537" width="6.875" style="2" customWidth="1"/>
    <col min="1538" max="1547" width="9.625" style="2" customWidth="1"/>
    <col min="1548" max="1548" width="27.375" style="2" customWidth="1"/>
    <col min="1549" max="1549" width="6.875" style="2" customWidth="1"/>
    <col min="1550" max="1792" width="9.125" style="2"/>
    <col min="1793" max="1793" width="6.875" style="2" customWidth="1"/>
    <col min="1794" max="1803" width="9.625" style="2" customWidth="1"/>
    <col min="1804" max="1804" width="27.375" style="2" customWidth="1"/>
    <col min="1805" max="1805" width="6.875" style="2" customWidth="1"/>
    <col min="1806" max="2048" width="9.125" style="2"/>
    <col min="2049" max="2049" width="6.875" style="2" customWidth="1"/>
    <col min="2050" max="2059" width="9.625" style="2" customWidth="1"/>
    <col min="2060" max="2060" width="27.375" style="2" customWidth="1"/>
    <col min="2061" max="2061" width="6.875" style="2" customWidth="1"/>
    <col min="2062" max="2304" width="9.125" style="2"/>
    <col min="2305" max="2305" width="6.875" style="2" customWidth="1"/>
    <col min="2306" max="2315" width="9.625" style="2" customWidth="1"/>
    <col min="2316" max="2316" width="27.375" style="2" customWidth="1"/>
    <col min="2317" max="2317" width="6.875" style="2" customWidth="1"/>
    <col min="2318" max="2560" width="9.125" style="2"/>
    <col min="2561" max="2561" width="6.875" style="2" customWidth="1"/>
    <col min="2562" max="2571" width="9.625" style="2" customWidth="1"/>
    <col min="2572" max="2572" width="27.375" style="2" customWidth="1"/>
    <col min="2573" max="2573" width="6.875" style="2" customWidth="1"/>
    <col min="2574" max="2816" width="9.125" style="2"/>
    <col min="2817" max="2817" width="6.875" style="2" customWidth="1"/>
    <col min="2818" max="2827" width="9.625" style="2" customWidth="1"/>
    <col min="2828" max="2828" width="27.375" style="2" customWidth="1"/>
    <col min="2829" max="2829" width="6.875" style="2" customWidth="1"/>
    <col min="2830" max="3072" width="9.125" style="2"/>
    <col min="3073" max="3073" width="6.875" style="2" customWidth="1"/>
    <col min="3074" max="3083" width="9.625" style="2" customWidth="1"/>
    <col min="3084" max="3084" width="27.375" style="2" customWidth="1"/>
    <col min="3085" max="3085" width="6.875" style="2" customWidth="1"/>
    <col min="3086" max="3328" width="9.125" style="2"/>
    <col min="3329" max="3329" width="6.875" style="2" customWidth="1"/>
    <col min="3330" max="3339" width="9.625" style="2" customWidth="1"/>
    <col min="3340" max="3340" width="27.375" style="2" customWidth="1"/>
    <col min="3341" max="3341" width="6.875" style="2" customWidth="1"/>
    <col min="3342" max="3584" width="9.125" style="2"/>
    <col min="3585" max="3585" width="6.875" style="2" customWidth="1"/>
    <col min="3586" max="3595" width="9.625" style="2" customWidth="1"/>
    <col min="3596" max="3596" width="27.375" style="2" customWidth="1"/>
    <col min="3597" max="3597" width="6.875" style="2" customWidth="1"/>
    <col min="3598" max="3840" width="9.125" style="2"/>
    <col min="3841" max="3841" width="6.875" style="2" customWidth="1"/>
    <col min="3842" max="3851" width="9.625" style="2" customWidth="1"/>
    <col min="3852" max="3852" width="27.375" style="2" customWidth="1"/>
    <col min="3853" max="3853" width="6.875" style="2" customWidth="1"/>
    <col min="3854" max="4096" width="9.125" style="2"/>
    <col min="4097" max="4097" width="6.875" style="2" customWidth="1"/>
    <col min="4098" max="4107" width="9.625" style="2" customWidth="1"/>
    <col min="4108" max="4108" width="27.375" style="2" customWidth="1"/>
    <col min="4109" max="4109" width="6.875" style="2" customWidth="1"/>
    <col min="4110" max="4352" width="9.125" style="2"/>
    <col min="4353" max="4353" width="6.875" style="2" customWidth="1"/>
    <col min="4354" max="4363" width="9.625" style="2" customWidth="1"/>
    <col min="4364" max="4364" width="27.375" style="2" customWidth="1"/>
    <col min="4365" max="4365" width="6.875" style="2" customWidth="1"/>
    <col min="4366" max="4608" width="9.125" style="2"/>
    <col min="4609" max="4609" width="6.875" style="2" customWidth="1"/>
    <col min="4610" max="4619" width="9.625" style="2" customWidth="1"/>
    <col min="4620" max="4620" width="27.375" style="2" customWidth="1"/>
    <col min="4621" max="4621" width="6.875" style="2" customWidth="1"/>
    <col min="4622" max="4864" width="9.125" style="2"/>
    <col min="4865" max="4865" width="6.875" style="2" customWidth="1"/>
    <col min="4866" max="4875" width="9.625" style="2" customWidth="1"/>
    <col min="4876" max="4876" width="27.375" style="2" customWidth="1"/>
    <col min="4877" max="4877" width="6.875" style="2" customWidth="1"/>
    <col min="4878" max="5120" width="9.125" style="2"/>
    <col min="5121" max="5121" width="6.875" style="2" customWidth="1"/>
    <col min="5122" max="5131" width="9.625" style="2" customWidth="1"/>
    <col min="5132" max="5132" width="27.375" style="2" customWidth="1"/>
    <col min="5133" max="5133" width="6.875" style="2" customWidth="1"/>
    <col min="5134" max="5376" width="9.125" style="2"/>
    <col min="5377" max="5377" width="6.875" style="2" customWidth="1"/>
    <col min="5378" max="5387" width="9.625" style="2" customWidth="1"/>
    <col min="5388" max="5388" width="27.375" style="2" customWidth="1"/>
    <col min="5389" max="5389" width="6.875" style="2" customWidth="1"/>
    <col min="5390" max="5632" width="9.125" style="2"/>
    <col min="5633" max="5633" width="6.875" style="2" customWidth="1"/>
    <col min="5634" max="5643" width="9.625" style="2" customWidth="1"/>
    <col min="5644" max="5644" width="27.375" style="2" customWidth="1"/>
    <col min="5645" max="5645" width="6.875" style="2" customWidth="1"/>
    <col min="5646" max="5888" width="9.125" style="2"/>
    <col min="5889" max="5889" width="6.875" style="2" customWidth="1"/>
    <col min="5890" max="5899" width="9.625" style="2" customWidth="1"/>
    <col min="5900" max="5900" width="27.375" style="2" customWidth="1"/>
    <col min="5901" max="5901" width="6.875" style="2" customWidth="1"/>
    <col min="5902" max="6144" width="9.125" style="2"/>
    <col min="6145" max="6145" width="6.875" style="2" customWidth="1"/>
    <col min="6146" max="6155" width="9.625" style="2" customWidth="1"/>
    <col min="6156" max="6156" width="27.375" style="2" customWidth="1"/>
    <col min="6157" max="6157" width="6.875" style="2" customWidth="1"/>
    <col min="6158" max="6400" width="9.125" style="2"/>
    <col min="6401" max="6401" width="6.875" style="2" customWidth="1"/>
    <col min="6402" max="6411" width="9.625" style="2" customWidth="1"/>
    <col min="6412" max="6412" width="27.375" style="2" customWidth="1"/>
    <col min="6413" max="6413" width="6.875" style="2" customWidth="1"/>
    <col min="6414" max="6656" width="9.125" style="2"/>
    <col min="6657" max="6657" width="6.875" style="2" customWidth="1"/>
    <col min="6658" max="6667" width="9.625" style="2" customWidth="1"/>
    <col min="6668" max="6668" width="27.375" style="2" customWidth="1"/>
    <col min="6669" max="6669" width="6.875" style="2" customWidth="1"/>
    <col min="6670" max="6912" width="9.125" style="2"/>
    <col min="6913" max="6913" width="6.875" style="2" customWidth="1"/>
    <col min="6914" max="6923" width="9.625" style="2" customWidth="1"/>
    <col min="6924" max="6924" width="27.375" style="2" customWidth="1"/>
    <col min="6925" max="6925" width="6.875" style="2" customWidth="1"/>
    <col min="6926" max="7168" width="9.125" style="2"/>
    <col min="7169" max="7169" width="6.875" style="2" customWidth="1"/>
    <col min="7170" max="7179" width="9.625" style="2" customWidth="1"/>
    <col min="7180" max="7180" width="27.375" style="2" customWidth="1"/>
    <col min="7181" max="7181" width="6.875" style="2" customWidth="1"/>
    <col min="7182" max="7424" width="9.125" style="2"/>
    <col min="7425" max="7425" width="6.875" style="2" customWidth="1"/>
    <col min="7426" max="7435" width="9.625" style="2" customWidth="1"/>
    <col min="7436" max="7436" width="27.375" style="2" customWidth="1"/>
    <col min="7437" max="7437" width="6.875" style="2" customWidth="1"/>
    <col min="7438" max="7680" width="9.125" style="2"/>
    <col min="7681" max="7681" width="6.875" style="2" customWidth="1"/>
    <col min="7682" max="7691" width="9.625" style="2" customWidth="1"/>
    <col min="7692" max="7692" width="27.375" style="2" customWidth="1"/>
    <col min="7693" max="7693" width="6.875" style="2" customWidth="1"/>
    <col min="7694" max="7936" width="9.125" style="2"/>
    <col min="7937" max="7937" width="6.875" style="2" customWidth="1"/>
    <col min="7938" max="7947" width="9.625" style="2" customWidth="1"/>
    <col min="7948" max="7948" width="27.375" style="2" customWidth="1"/>
    <col min="7949" max="7949" width="6.875" style="2" customWidth="1"/>
    <col min="7950" max="8192" width="9.125" style="2"/>
    <col min="8193" max="8193" width="6.875" style="2" customWidth="1"/>
    <col min="8194" max="8203" width="9.625" style="2" customWidth="1"/>
    <col min="8204" max="8204" width="27.375" style="2" customWidth="1"/>
    <col min="8205" max="8205" width="6.875" style="2" customWidth="1"/>
    <col min="8206" max="8448" width="9.125" style="2"/>
    <col min="8449" max="8449" width="6.875" style="2" customWidth="1"/>
    <col min="8450" max="8459" width="9.625" style="2" customWidth="1"/>
    <col min="8460" max="8460" width="27.375" style="2" customWidth="1"/>
    <col min="8461" max="8461" width="6.875" style="2" customWidth="1"/>
    <col min="8462" max="8704" width="9.125" style="2"/>
    <col min="8705" max="8705" width="6.875" style="2" customWidth="1"/>
    <col min="8706" max="8715" width="9.625" style="2" customWidth="1"/>
    <col min="8716" max="8716" width="27.375" style="2" customWidth="1"/>
    <col min="8717" max="8717" width="6.875" style="2" customWidth="1"/>
    <col min="8718" max="8960" width="9.125" style="2"/>
    <col min="8961" max="8961" width="6.875" style="2" customWidth="1"/>
    <col min="8962" max="8971" width="9.625" style="2" customWidth="1"/>
    <col min="8972" max="8972" width="27.375" style="2" customWidth="1"/>
    <col min="8973" max="8973" width="6.875" style="2" customWidth="1"/>
    <col min="8974" max="9216" width="9.125" style="2"/>
    <col min="9217" max="9217" width="6.875" style="2" customWidth="1"/>
    <col min="9218" max="9227" width="9.625" style="2" customWidth="1"/>
    <col min="9228" max="9228" width="27.375" style="2" customWidth="1"/>
    <col min="9229" max="9229" width="6.875" style="2" customWidth="1"/>
    <col min="9230" max="9472" width="9.125" style="2"/>
    <col min="9473" max="9473" width="6.875" style="2" customWidth="1"/>
    <col min="9474" max="9483" width="9.625" style="2" customWidth="1"/>
    <col min="9484" max="9484" width="27.375" style="2" customWidth="1"/>
    <col min="9485" max="9485" width="6.875" style="2" customWidth="1"/>
    <col min="9486" max="9728" width="9.125" style="2"/>
    <col min="9729" max="9729" width="6.875" style="2" customWidth="1"/>
    <col min="9730" max="9739" width="9.625" style="2" customWidth="1"/>
    <col min="9740" max="9740" width="27.375" style="2" customWidth="1"/>
    <col min="9741" max="9741" width="6.875" style="2" customWidth="1"/>
    <col min="9742" max="9984" width="9.125" style="2"/>
    <col min="9985" max="9985" width="6.875" style="2" customWidth="1"/>
    <col min="9986" max="9995" width="9.625" style="2" customWidth="1"/>
    <col min="9996" max="9996" width="27.375" style="2" customWidth="1"/>
    <col min="9997" max="9997" width="6.875" style="2" customWidth="1"/>
    <col min="9998" max="10240" width="9.125" style="2"/>
    <col min="10241" max="10241" width="6.875" style="2" customWidth="1"/>
    <col min="10242" max="10251" width="9.625" style="2" customWidth="1"/>
    <col min="10252" max="10252" width="27.375" style="2" customWidth="1"/>
    <col min="10253" max="10253" width="6.875" style="2" customWidth="1"/>
    <col min="10254" max="10496" width="9.125" style="2"/>
    <col min="10497" max="10497" width="6.875" style="2" customWidth="1"/>
    <col min="10498" max="10507" width="9.625" style="2" customWidth="1"/>
    <col min="10508" max="10508" width="27.375" style="2" customWidth="1"/>
    <col min="10509" max="10509" width="6.875" style="2" customWidth="1"/>
    <col min="10510" max="10752" width="9.125" style="2"/>
    <col min="10753" max="10753" width="6.875" style="2" customWidth="1"/>
    <col min="10754" max="10763" width="9.625" style="2" customWidth="1"/>
    <col min="10764" max="10764" width="27.375" style="2" customWidth="1"/>
    <col min="10765" max="10765" width="6.875" style="2" customWidth="1"/>
    <col min="10766" max="11008" width="9.125" style="2"/>
    <col min="11009" max="11009" width="6.875" style="2" customWidth="1"/>
    <col min="11010" max="11019" width="9.625" style="2" customWidth="1"/>
    <col min="11020" max="11020" width="27.375" style="2" customWidth="1"/>
    <col min="11021" max="11021" width="6.875" style="2" customWidth="1"/>
    <col min="11022" max="11264" width="9.125" style="2"/>
    <col min="11265" max="11265" width="6.875" style="2" customWidth="1"/>
    <col min="11266" max="11275" width="9.625" style="2" customWidth="1"/>
    <col min="11276" max="11276" width="27.375" style="2" customWidth="1"/>
    <col min="11277" max="11277" width="6.875" style="2" customWidth="1"/>
    <col min="11278" max="11520" width="9.125" style="2"/>
    <col min="11521" max="11521" width="6.875" style="2" customWidth="1"/>
    <col min="11522" max="11531" width="9.625" style="2" customWidth="1"/>
    <col min="11532" max="11532" width="27.375" style="2" customWidth="1"/>
    <col min="11533" max="11533" width="6.875" style="2" customWidth="1"/>
    <col min="11534" max="11776" width="9.125" style="2"/>
    <col min="11777" max="11777" width="6.875" style="2" customWidth="1"/>
    <col min="11778" max="11787" width="9.625" style="2" customWidth="1"/>
    <col min="11788" max="11788" width="27.375" style="2" customWidth="1"/>
    <col min="11789" max="11789" width="6.875" style="2" customWidth="1"/>
    <col min="11790" max="12032" width="9.125" style="2"/>
    <col min="12033" max="12033" width="6.875" style="2" customWidth="1"/>
    <col min="12034" max="12043" width="9.625" style="2" customWidth="1"/>
    <col min="12044" max="12044" width="27.375" style="2" customWidth="1"/>
    <col min="12045" max="12045" width="6.875" style="2" customWidth="1"/>
    <col min="12046" max="12288" width="9.125" style="2"/>
    <col min="12289" max="12289" width="6.875" style="2" customWidth="1"/>
    <col min="12290" max="12299" width="9.625" style="2" customWidth="1"/>
    <col min="12300" max="12300" width="27.375" style="2" customWidth="1"/>
    <col min="12301" max="12301" width="6.875" style="2" customWidth="1"/>
    <col min="12302" max="12544" width="9.125" style="2"/>
    <col min="12545" max="12545" width="6.875" style="2" customWidth="1"/>
    <col min="12546" max="12555" width="9.625" style="2" customWidth="1"/>
    <col min="12556" max="12556" width="27.375" style="2" customWidth="1"/>
    <col min="12557" max="12557" width="6.875" style="2" customWidth="1"/>
    <col min="12558" max="12800" width="9.125" style="2"/>
    <col min="12801" max="12801" width="6.875" style="2" customWidth="1"/>
    <col min="12802" max="12811" width="9.625" style="2" customWidth="1"/>
    <col min="12812" max="12812" width="27.375" style="2" customWidth="1"/>
    <col min="12813" max="12813" width="6.875" style="2" customWidth="1"/>
    <col min="12814" max="13056" width="9.125" style="2"/>
    <col min="13057" max="13057" width="6.875" style="2" customWidth="1"/>
    <col min="13058" max="13067" width="9.625" style="2" customWidth="1"/>
    <col min="13068" max="13068" width="27.375" style="2" customWidth="1"/>
    <col min="13069" max="13069" width="6.875" style="2" customWidth="1"/>
    <col min="13070" max="13312" width="9.125" style="2"/>
    <col min="13313" max="13313" width="6.875" style="2" customWidth="1"/>
    <col min="13314" max="13323" width="9.625" style="2" customWidth="1"/>
    <col min="13324" max="13324" width="27.375" style="2" customWidth="1"/>
    <col min="13325" max="13325" width="6.875" style="2" customWidth="1"/>
    <col min="13326" max="13568" width="9.125" style="2"/>
    <col min="13569" max="13569" width="6.875" style="2" customWidth="1"/>
    <col min="13570" max="13579" width="9.625" style="2" customWidth="1"/>
    <col min="13580" max="13580" width="27.375" style="2" customWidth="1"/>
    <col min="13581" max="13581" width="6.875" style="2" customWidth="1"/>
    <col min="13582" max="13824" width="9.125" style="2"/>
    <col min="13825" max="13825" width="6.875" style="2" customWidth="1"/>
    <col min="13826" max="13835" width="9.625" style="2" customWidth="1"/>
    <col min="13836" max="13836" width="27.375" style="2" customWidth="1"/>
    <col min="13837" max="13837" width="6.875" style="2" customWidth="1"/>
    <col min="13838" max="14080" width="9.125" style="2"/>
    <col min="14081" max="14081" width="6.875" style="2" customWidth="1"/>
    <col min="14082" max="14091" width="9.625" style="2" customWidth="1"/>
    <col min="14092" max="14092" width="27.375" style="2" customWidth="1"/>
    <col min="14093" max="14093" width="6.875" style="2" customWidth="1"/>
    <col min="14094" max="14336" width="9.125" style="2"/>
    <col min="14337" max="14337" width="6.875" style="2" customWidth="1"/>
    <col min="14338" max="14347" width="9.625" style="2" customWidth="1"/>
    <col min="14348" max="14348" width="27.375" style="2" customWidth="1"/>
    <col min="14349" max="14349" width="6.875" style="2" customWidth="1"/>
    <col min="14350" max="14592" width="9.125" style="2"/>
    <col min="14593" max="14593" width="6.875" style="2" customWidth="1"/>
    <col min="14594" max="14603" width="9.625" style="2" customWidth="1"/>
    <col min="14604" max="14604" width="27.375" style="2" customWidth="1"/>
    <col min="14605" max="14605" width="6.875" style="2" customWidth="1"/>
    <col min="14606" max="14848" width="9.125" style="2"/>
    <col min="14849" max="14849" width="6.875" style="2" customWidth="1"/>
    <col min="14850" max="14859" width="9.625" style="2" customWidth="1"/>
    <col min="14860" max="14860" width="27.375" style="2" customWidth="1"/>
    <col min="14861" max="14861" width="6.875" style="2" customWidth="1"/>
    <col min="14862" max="15104" width="9.125" style="2"/>
    <col min="15105" max="15105" width="6.875" style="2" customWidth="1"/>
    <col min="15106" max="15115" width="9.625" style="2" customWidth="1"/>
    <col min="15116" max="15116" width="27.375" style="2" customWidth="1"/>
    <col min="15117" max="15117" width="6.875" style="2" customWidth="1"/>
    <col min="15118" max="15360" width="9.125" style="2"/>
    <col min="15361" max="15361" width="6.875" style="2" customWidth="1"/>
    <col min="15362" max="15371" width="9.625" style="2" customWidth="1"/>
    <col min="15372" max="15372" width="27.375" style="2" customWidth="1"/>
    <col min="15373" max="15373" width="6.875" style="2" customWidth="1"/>
    <col min="15374" max="15616" width="9.125" style="2"/>
    <col min="15617" max="15617" width="6.875" style="2" customWidth="1"/>
    <col min="15618" max="15627" width="9.625" style="2" customWidth="1"/>
    <col min="15628" max="15628" width="27.375" style="2" customWidth="1"/>
    <col min="15629" max="15629" width="6.875" style="2" customWidth="1"/>
    <col min="15630" max="15872" width="9.125" style="2"/>
    <col min="15873" max="15873" width="6.875" style="2" customWidth="1"/>
    <col min="15874" max="15883" width="9.625" style="2" customWidth="1"/>
    <col min="15884" max="15884" width="27.375" style="2" customWidth="1"/>
    <col min="15885" max="15885" width="6.875" style="2" customWidth="1"/>
    <col min="15886" max="16128" width="9.125" style="2"/>
    <col min="16129" max="16129" width="6.875" style="2" customWidth="1"/>
    <col min="16130" max="16139" width="9.625" style="2" customWidth="1"/>
    <col min="16140" max="16140" width="27.375" style="2" customWidth="1"/>
    <col min="16141" max="16141" width="6.875" style="2" customWidth="1"/>
    <col min="16142" max="16384" width="9.125" style="2"/>
  </cols>
  <sheetData>
    <row r="1" spans="1:13" ht="20.100000000000001" customHeight="1" x14ac:dyDescent="0.2">
      <c r="A1" s="1"/>
      <c r="B1" s="159" t="s">
        <v>45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"/>
    </row>
    <row r="2" spans="1:13" ht="20.100000000000001" customHeight="1" thickBot="1" x14ac:dyDescent="0.25">
      <c r="A2" s="1"/>
      <c r="B2" s="160" t="s">
        <v>46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"/>
    </row>
    <row r="3" spans="1:13" ht="13.5" thickBot="1" x14ac:dyDescent="0.25">
      <c r="A3" s="1"/>
      <c r="B3" s="161" t="s">
        <v>2</v>
      </c>
      <c r="C3" s="161"/>
      <c r="D3" s="161"/>
      <c r="E3" s="161" t="s">
        <v>3</v>
      </c>
      <c r="F3" s="161"/>
      <c r="G3" s="161"/>
      <c r="H3" s="161" t="s">
        <v>4</v>
      </c>
      <c r="I3" s="161"/>
      <c r="J3" s="161"/>
      <c r="K3" s="3"/>
      <c r="L3" s="3"/>
      <c r="M3" s="1"/>
    </row>
    <row r="4" spans="1:13" ht="26.25" thickBot="1" x14ac:dyDescent="0.25">
      <c r="A4" s="1"/>
      <c r="B4" s="4" t="s">
        <v>5</v>
      </c>
      <c r="C4" s="4" t="s">
        <v>6</v>
      </c>
      <c r="D4" s="4" t="s">
        <v>7</v>
      </c>
      <c r="E4" s="4" t="s">
        <v>5</v>
      </c>
      <c r="F4" s="4" t="s">
        <v>6</v>
      </c>
      <c r="G4" s="4" t="s">
        <v>7</v>
      </c>
      <c r="H4" s="4" t="s">
        <v>5</v>
      </c>
      <c r="I4" s="4" t="s">
        <v>6</v>
      </c>
      <c r="J4" s="4" t="s">
        <v>7</v>
      </c>
      <c r="K4" s="5" t="s">
        <v>8</v>
      </c>
      <c r="L4" s="5" t="s">
        <v>47</v>
      </c>
      <c r="M4" s="1"/>
    </row>
    <row r="5" spans="1:13" ht="13.5" thickBot="1" x14ac:dyDescent="0.25">
      <c r="A5" s="1"/>
      <c r="B5" s="6">
        <f>SUM(C5:D5)</f>
        <v>20</v>
      </c>
      <c r="C5" s="6">
        <v>10</v>
      </c>
      <c r="D5" s="6">
        <v>10</v>
      </c>
      <c r="E5" s="6">
        <f>SUM(F5:G5)</f>
        <v>747</v>
      </c>
      <c r="F5" s="6">
        <v>225</v>
      </c>
      <c r="G5" s="6">
        <v>522</v>
      </c>
      <c r="H5" s="6">
        <f>SUM(I5:J5)</f>
        <v>331</v>
      </c>
      <c r="I5" s="6">
        <v>141</v>
      </c>
      <c r="J5" s="6">
        <v>190</v>
      </c>
      <c r="K5" s="7" t="s">
        <v>10</v>
      </c>
      <c r="L5" s="8"/>
      <c r="M5" s="1"/>
    </row>
    <row r="6" spans="1:13" ht="13.5" thickBot="1" x14ac:dyDescent="0.25">
      <c r="A6" s="1"/>
      <c r="B6" s="6">
        <f t="shared" ref="B6:B33" si="0">SUM(C6:D6)</f>
        <v>25</v>
      </c>
      <c r="C6" s="6">
        <v>15</v>
      </c>
      <c r="D6" s="6">
        <v>10</v>
      </c>
      <c r="E6" s="6">
        <f t="shared" ref="E6:E33" si="1">SUM(F6:G6)</f>
        <v>625</v>
      </c>
      <c r="F6" s="6">
        <v>217</v>
      </c>
      <c r="G6" s="6">
        <v>408</v>
      </c>
      <c r="H6" s="6">
        <f t="shared" ref="H6:H33" si="2">SUM(I6:J6)</f>
        <v>255</v>
      </c>
      <c r="I6" s="6">
        <v>114</v>
      </c>
      <c r="J6" s="6">
        <v>141</v>
      </c>
      <c r="K6" s="7" t="s">
        <v>11</v>
      </c>
      <c r="L6" s="8" t="s">
        <v>48</v>
      </c>
      <c r="M6" s="1"/>
    </row>
    <row r="7" spans="1:13" ht="13.5" thickBot="1" x14ac:dyDescent="0.25">
      <c r="A7" s="1"/>
      <c r="B7" s="6">
        <f t="shared" ref="B7:I7" si="3">SUM(B5:B6)</f>
        <v>45</v>
      </c>
      <c r="C7" s="6">
        <f t="shared" si="3"/>
        <v>25</v>
      </c>
      <c r="D7" s="6">
        <f t="shared" si="3"/>
        <v>20</v>
      </c>
      <c r="E7" s="6">
        <f t="shared" si="3"/>
        <v>1372</v>
      </c>
      <c r="F7" s="6">
        <f t="shared" si="3"/>
        <v>442</v>
      </c>
      <c r="G7" s="6">
        <f t="shared" si="3"/>
        <v>930</v>
      </c>
      <c r="H7" s="6">
        <f t="shared" si="3"/>
        <v>586</v>
      </c>
      <c r="I7" s="6">
        <f t="shared" si="3"/>
        <v>255</v>
      </c>
      <c r="J7" s="6">
        <f>SUM(J5:J6)</f>
        <v>331</v>
      </c>
      <c r="K7" s="7" t="s">
        <v>13</v>
      </c>
      <c r="L7" s="9"/>
      <c r="M7" s="1"/>
    </row>
    <row r="8" spans="1:13" ht="13.5" thickBot="1" x14ac:dyDescent="0.25">
      <c r="A8" s="1"/>
      <c r="B8" s="6">
        <f t="shared" si="0"/>
        <v>36</v>
      </c>
      <c r="C8" s="6">
        <v>25</v>
      </c>
      <c r="D8" s="6">
        <v>11</v>
      </c>
      <c r="E8" s="6">
        <f t="shared" si="1"/>
        <v>417</v>
      </c>
      <c r="F8" s="6">
        <v>98</v>
      </c>
      <c r="G8" s="6">
        <v>319</v>
      </c>
      <c r="H8" s="6">
        <f t="shared" si="2"/>
        <v>144</v>
      </c>
      <c r="I8" s="6">
        <v>53</v>
      </c>
      <c r="J8" s="6">
        <v>91</v>
      </c>
      <c r="K8" s="7" t="s">
        <v>10</v>
      </c>
      <c r="L8" s="8"/>
      <c r="M8" s="1"/>
    </row>
    <row r="9" spans="1:13" ht="13.5" thickBot="1" x14ac:dyDescent="0.25">
      <c r="A9" s="1"/>
      <c r="B9" s="6">
        <f t="shared" si="0"/>
        <v>21</v>
      </c>
      <c r="C9" s="6">
        <v>16</v>
      </c>
      <c r="D9" s="6">
        <v>5</v>
      </c>
      <c r="E9" s="6">
        <f t="shared" si="1"/>
        <v>418</v>
      </c>
      <c r="F9" s="6">
        <v>202</v>
      </c>
      <c r="G9" s="6">
        <v>216</v>
      </c>
      <c r="H9" s="6">
        <f t="shared" si="2"/>
        <v>211</v>
      </c>
      <c r="I9" s="6">
        <v>113</v>
      </c>
      <c r="J9" s="6">
        <v>98</v>
      </c>
      <c r="K9" s="7" t="s">
        <v>11</v>
      </c>
      <c r="L9" s="8" t="s">
        <v>49</v>
      </c>
      <c r="M9" s="1"/>
    </row>
    <row r="10" spans="1:13" ht="13.5" thickBot="1" x14ac:dyDescent="0.25">
      <c r="A10" s="1"/>
      <c r="B10" s="6">
        <f t="shared" ref="B10:J10" si="4">SUM(B8:B9)</f>
        <v>57</v>
      </c>
      <c r="C10" s="6">
        <f t="shared" si="4"/>
        <v>41</v>
      </c>
      <c r="D10" s="6">
        <f t="shared" si="4"/>
        <v>16</v>
      </c>
      <c r="E10" s="6">
        <f t="shared" si="4"/>
        <v>835</v>
      </c>
      <c r="F10" s="6">
        <f t="shared" si="4"/>
        <v>300</v>
      </c>
      <c r="G10" s="6">
        <f t="shared" si="4"/>
        <v>535</v>
      </c>
      <c r="H10" s="6">
        <f t="shared" si="4"/>
        <v>355</v>
      </c>
      <c r="I10" s="6">
        <f t="shared" si="4"/>
        <v>166</v>
      </c>
      <c r="J10" s="6">
        <f t="shared" si="4"/>
        <v>189</v>
      </c>
      <c r="K10" s="7" t="s">
        <v>13</v>
      </c>
      <c r="L10" s="9"/>
      <c r="M10" s="1"/>
    </row>
    <row r="11" spans="1:13" ht="13.5" thickBot="1" x14ac:dyDescent="0.25">
      <c r="A11" s="1"/>
      <c r="B11" s="6">
        <f t="shared" si="0"/>
        <v>337</v>
      </c>
      <c r="C11" s="6">
        <v>221</v>
      </c>
      <c r="D11" s="6">
        <v>116</v>
      </c>
      <c r="E11" s="6">
        <f t="shared" si="1"/>
        <v>10259</v>
      </c>
      <c r="F11" s="6">
        <v>4835</v>
      </c>
      <c r="G11" s="6">
        <v>5424</v>
      </c>
      <c r="H11" s="6">
        <f t="shared" si="2"/>
        <v>4770</v>
      </c>
      <c r="I11" s="6">
        <v>3058</v>
      </c>
      <c r="J11" s="6">
        <v>1712</v>
      </c>
      <c r="K11" s="7" t="s">
        <v>10</v>
      </c>
      <c r="L11" s="8"/>
      <c r="M11" s="1"/>
    </row>
    <row r="12" spans="1:13" ht="13.5" thickBot="1" x14ac:dyDescent="0.25">
      <c r="A12" s="1"/>
      <c r="B12" s="6">
        <f t="shared" si="0"/>
        <v>56</v>
      </c>
      <c r="C12" s="6">
        <v>35</v>
      </c>
      <c r="D12" s="6">
        <v>21</v>
      </c>
      <c r="E12" s="6">
        <f t="shared" si="1"/>
        <v>2254</v>
      </c>
      <c r="F12" s="6">
        <v>981</v>
      </c>
      <c r="G12" s="6">
        <v>1273</v>
      </c>
      <c r="H12" s="6">
        <f t="shared" si="2"/>
        <v>1180</v>
      </c>
      <c r="I12" s="6">
        <v>577</v>
      </c>
      <c r="J12" s="6">
        <v>603</v>
      </c>
      <c r="K12" s="7" t="s">
        <v>11</v>
      </c>
      <c r="L12" s="8" t="s">
        <v>50</v>
      </c>
      <c r="M12" s="1"/>
    </row>
    <row r="13" spans="1:13" ht="13.5" thickBot="1" x14ac:dyDescent="0.25">
      <c r="A13" s="1"/>
      <c r="B13" s="6">
        <f t="shared" ref="B13:J13" si="5">SUM(B11:B12)</f>
        <v>393</v>
      </c>
      <c r="C13" s="6">
        <f t="shared" si="5"/>
        <v>256</v>
      </c>
      <c r="D13" s="6">
        <f t="shared" si="5"/>
        <v>137</v>
      </c>
      <c r="E13" s="6">
        <f t="shared" si="5"/>
        <v>12513</v>
      </c>
      <c r="F13" s="6">
        <f t="shared" si="5"/>
        <v>5816</v>
      </c>
      <c r="G13" s="6">
        <f t="shared" si="5"/>
        <v>6697</v>
      </c>
      <c r="H13" s="6">
        <f t="shared" si="5"/>
        <v>5950</v>
      </c>
      <c r="I13" s="6">
        <f t="shared" si="5"/>
        <v>3635</v>
      </c>
      <c r="J13" s="6">
        <f t="shared" si="5"/>
        <v>2315</v>
      </c>
      <c r="K13" s="7" t="s">
        <v>13</v>
      </c>
      <c r="L13" s="9"/>
      <c r="M13" s="1"/>
    </row>
    <row r="14" spans="1:13" ht="13.5" thickBot="1" x14ac:dyDescent="0.25">
      <c r="A14" s="1"/>
      <c r="B14" s="6">
        <f t="shared" si="0"/>
        <v>233</v>
      </c>
      <c r="C14" s="6">
        <v>145</v>
      </c>
      <c r="D14" s="6">
        <v>88</v>
      </c>
      <c r="E14" s="6">
        <f t="shared" si="1"/>
        <v>7436</v>
      </c>
      <c r="F14" s="6">
        <v>2306</v>
      </c>
      <c r="G14" s="6">
        <v>5130</v>
      </c>
      <c r="H14" s="6">
        <f t="shared" si="2"/>
        <v>2487</v>
      </c>
      <c r="I14" s="6">
        <v>1298</v>
      </c>
      <c r="J14" s="6">
        <v>1189</v>
      </c>
      <c r="K14" s="7" t="s">
        <v>10</v>
      </c>
      <c r="L14" s="8"/>
      <c r="M14" s="1"/>
    </row>
    <row r="15" spans="1:13" ht="13.5" thickBot="1" x14ac:dyDescent="0.25">
      <c r="A15" s="1"/>
      <c r="B15" s="6">
        <f t="shared" si="0"/>
        <v>42</v>
      </c>
      <c r="C15" s="6">
        <v>27</v>
      </c>
      <c r="D15" s="6">
        <v>15</v>
      </c>
      <c r="E15" s="6">
        <f t="shared" si="1"/>
        <v>1737</v>
      </c>
      <c r="F15" s="6">
        <v>475</v>
      </c>
      <c r="G15" s="6">
        <v>1262</v>
      </c>
      <c r="H15" s="6">
        <f t="shared" si="2"/>
        <v>744</v>
      </c>
      <c r="I15" s="6">
        <v>245</v>
      </c>
      <c r="J15" s="6">
        <v>499</v>
      </c>
      <c r="K15" s="7" t="s">
        <v>11</v>
      </c>
      <c r="L15" s="8" t="s">
        <v>51</v>
      </c>
      <c r="M15" s="1"/>
    </row>
    <row r="16" spans="1:13" ht="13.5" thickBot="1" x14ac:dyDescent="0.25">
      <c r="A16" s="1"/>
      <c r="B16" s="6">
        <f t="shared" ref="B16:J16" si="6">SUM(B14:B15)</f>
        <v>275</v>
      </c>
      <c r="C16" s="6">
        <f t="shared" si="6"/>
        <v>172</v>
      </c>
      <c r="D16" s="6">
        <f t="shared" si="6"/>
        <v>103</v>
      </c>
      <c r="E16" s="6">
        <f t="shared" si="6"/>
        <v>9173</v>
      </c>
      <c r="F16" s="6">
        <f t="shared" si="6"/>
        <v>2781</v>
      </c>
      <c r="G16" s="6">
        <f t="shared" si="6"/>
        <v>6392</v>
      </c>
      <c r="H16" s="6">
        <f t="shared" si="6"/>
        <v>3231</v>
      </c>
      <c r="I16" s="6">
        <f t="shared" si="6"/>
        <v>1543</v>
      </c>
      <c r="J16" s="6">
        <f t="shared" si="6"/>
        <v>1688</v>
      </c>
      <c r="K16" s="7" t="s">
        <v>13</v>
      </c>
      <c r="L16" s="9"/>
      <c r="M16" s="1"/>
    </row>
    <row r="17" spans="1:13" ht="13.5" thickBot="1" x14ac:dyDescent="0.25">
      <c r="A17" s="1"/>
      <c r="B17" s="6">
        <f t="shared" si="0"/>
        <v>172</v>
      </c>
      <c r="C17" s="6">
        <v>93</v>
      </c>
      <c r="D17" s="6">
        <v>79</v>
      </c>
      <c r="E17" s="6">
        <f t="shared" si="1"/>
        <v>7714</v>
      </c>
      <c r="F17" s="6">
        <v>2634</v>
      </c>
      <c r="G17" s="6">
        <v>5080</v>
      </c>
      <c r="H17" s="6">
        <f t="shared" si="2"/>
        <v>2652</v>
      </c>
      <c r="I17" s="6">
        <v>1635</v>
      </c>
      <c r="J17" s="6">
        <v>1017</v>
      </c>
      <c r="K17" s="7" t="s">
        <v>10</v>
      </c>
      <c r="L17" s="8"/>
      <c r="M17" s="1"/>
    </row>
    <row r="18" spans="1:13" ht="13.5" thickBot="1" x14ac:dyDescent="0.25">
      <c r="A18" s="1"/>
      <c r="B18" s="6">
        <f t="shared" si="0"/>
        <v>4</v>
      </c>
      <c r="C18" s="6">
        <v>2</v>
      </c>
      <c r="D18" s="6">
        <v>2</v>
      </c>
      <c r="E18" s="6">
        <f t="shared" si="1"/>
        <v>235</v>
      </c>
      <c r="F18" s="6">
        <v>105</v>
      </c>
      <c r="G18" s="6">
        <v>130</v>
      </c>
      <c r="H18" s="6">
        <f t="shared" si="2"/>
        <v>104</v>
      </c>
      <c r="I18" s="6">
        <v>47</v>
      </c>
      <c r="J18" s="6">
        <v>57</v>
      </c>
      <c r="K18" s="7" t="s">
        <v>11</v>
      </c>
      <c r="L18" s="8" t="s">
        <v>52</v>
      </c>
      <c r="M18" s="1"/>
    </row>
    <row r="19" spans="1:13" ht="13.5" thickBot="1" x14ac:dyDescent="0.25">
      <c r="A19" s="1"/>
      <c r="B19" s="6">
        <f t="shared" ref="B19:J19" si="7">SUM(B17:B18)</f>
        <v>176</v>
      </c>
      <c r="C19" s="6">
        <f t="shared" si="7"/>
        <v>95</v>
      </c>
      <c r="D19" s="6">
        <f t="shared" si="7"/>
        <v>81</v>
      </c>
      <c r="E19" s="6">
        <f t="shared" si="7"/>
        <v>7949</v>
      </c>
      <c r="F19" s="6">
        <f t="shared" si="7"/>
        <v>2739</v>
      </c>
      <c r="G19" s="6">
        <f t="shared" si="7"/>
        <v>5210</v>
      </c>
      <c r="H19" s="6">
        <f t="shared" si="7"/>
        <v>2756</v>
      </c>
      <c r="I19" s="6">
        <f t="shared" si="7"/>
        <v>1682</v>
      </c>
      <c r="J19" s="6">
        <f t="shared" si="7"/>
        <v>1074</v>
      </c>
      <c r="K19" s="7" t="s">
        <v>13</v>
      </c>
      <c r="L19" s="9"/>
      <c r="M19" s="1"/>
    </row>
    <row r="20" spans="1:13" ht="13.5" thickBot="1" x14ac:dyDescent="0.25">
      <c r="A20" s="1"/>
      <c r="B20" s="6">
        <f t="shared" si="0"/>
        <v>149</v>
      </c>
      <c r="C20" s="6">
        <v>74</v>
      </c>
      <c r="D20" s="6">
        <v>75</v>
      </c>
      <c r="E20" s="6">
        <f t="shared" si="1"/>
        <v>5272</v>
      </c>
      <c r="F20" s="6">
        <v>1620</v>
      </c>
      <c r="G20" s="6">
        <v>3652</v>
      </c>
      <c r="H20" s="6">
        <f t="shared" si="2"/>
        <v>1457</v>
      </c>
      <c r="I20" s="6">
        <v>548</v>
      </c>
      <c r="J20" s="6">
        <v>909</v>
      </c>
      <c r="K20" s="7" t="s">
        <v>10</v>
      </c>
      <c r="L20" s="8"/>
      <c r="M20" s="1"/>
    </row>
    <row r="21" spans="1:13" ht="13.5" thickBot="1" x14ac:dyDescent="0.25">
      <c r="A21" s="1"/>
      <c r="B21" s="6">
        <f t="shared" si="0"/>
        <v>33</v>
      </c>
      <c r="C21" s="6">
        <v>14</v>
      </c>
      <c r="D21" s="6">
        <v>19</v>
      </c>
      <c r="E21" s="6">
        <f t="shared" si="1"/>
        <v>2216</v>
      </c>
      <c r="F21" s="6">
        <v>542</v>
      </c>
      <c r="G21" s="6">
        <v>1674</v>
      </c>
      <c r="H21" s="6">
        <f t="shared" si="2"/>
        <v>805</v>
      </c>
      <c r="I21" s="6">
        <v>190</v>
      </c>
      <c r="J21" s="6">
        <v>615</v>
      </c>
      <c r="K21" s="7" t="s">
        <v>11</v>
      </c>
      <c r="L21" s="8" t="s">
        <v>53</v>
      </c>
      <c r="M21" s="1"/>
    </row>
    <row r="22" spans="1:13" ht="13.5" thickBot="1" x14ac:dyDescent="0.25">
      <c r="A22" s="1"/>
      <c r="B22" s="6">
        <f t="shared" ref="B22:J22" si="8">SUM(B20:B21)</f>
        <v>182</v>
      </c>
      <c r="C22" s="6">
        <f t="shared" si="8"/>
        <v>88</v>
      </c>
      <c r="D22" s="6">
        <f t="shared" si="8"/>
        <v>94</v>
      </c>
      <c r="E22" s="6">
        <f t="shared" si="8"/>
        <v>7488</v>
      </c>
      <c r="F22" s="6">
        <f t="shared" si="8"/>
        <v>2162</v>
      </c>
      <c r="G22" s="6">
        <f t="shared" si="8"/>
        <v>5326</v>
      </c>
      <c r="H22" s="6">
        <f t="shared" si="8"/>
        <v>2262</v>
      </c>
      <c r="I22" s="6">
        <f t="shared" si="8"/>
        <v>738</v>
      </c>
      <c r="J22" s="6">
        <f t="shared" si="8"/>
        <v>1524</v>
      </c>
      <c r="K22" s="7" t="s">
        <v>13</v>
      </c>
      <c r="L22" s="9"/>
      <c r="M22" s="1"/>
    </row>
    <row r="23" spans="1:13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f t="shared" si="1"/>
        <v>36</v>
      </c>
      <c r="F23" s="6">
        <v>7</v>
      </c>
      <c r="G23" s="6">
        <v>29</v>
      </c>
      <c r="H23" s="6">
        <f t="shared" si="2"/>
        <v>19</v>
      </c>
      <c r="I23" s="6">
        <v>7</v>
      </c>
      <c r="J23" s="6">
        <v>12</v>
      </c>
      <c r="K23" s="7" t="s">
        <v>10</v>
      </c>
      <c r="L23" s="8"/>
      <c r="M23" s="1"/>
    </row>
    <row r="24" spans="1:13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f t="shared" si="1"/>
        <v>0</v>
      </c>
      <c r="F24" s="6">
        <v>0</v>
      </c>
      <c r="G24" s="6">
        <v>0</v>
      </c>
      <c r="H24" s="6">
        <f t="shared" si="2"/>
        <v>7</v>
      </c>
      <c r="I24" s="6">
        <v>1</v>
      </c>
      <c r="J24" s="6">
        <v>6</v>
      </c>
      <c r="K24" s="7" t="s">
        <v>11</v>
      </c>
      <c r="L24" s="8" t="s">
        <v>54</v>
      </c>
      <c r="M24" s="1"/>
    </row>
    <row r="25" spans="1:13" ht="13.5" thickBot="1" x14ac:dyDescent="0.25">
      <c r="A25" s="1"/>
      <c r="B25" s="6">
        <f t="shared" ref="B25:J25" si="9">SUM(B23:B24)</f>
        <v>0</v>
      </c>
      <c r="C25" s="6">
        <f t="shared" si="9"/>
        <v>0</v>
      </c>
      <c r="D25" s="6">
        <f t="shared" si="9"/>
        <v>0</v>
      </c>
      <c r="E25" s="6">
        <f t="shared" si="9"/>
        <v>36</v>
      </c>
      <c r="F25" s="6">
        <f t="shared" si="9"/>
        <v>7</v>
      </c>
      <c r="G25" s="6">
        <f t="shared" si="9"/>
        <v>29</v>
      </c>
      <c r="H25" s="6">
        <f t="shared" si="9"/>
        <v>26</v>
      </c>
      <c r="I25" s="6">
        <f t="shared" si="9"/>
        <v>8</v>
      </c>
      <c r="J25" s="6">
        <f t="shared" si="9"/>
        <v>18</v>
      </c>
      <c r="K25" s="7" t="s">
        <v>13</v>
      </c>
      <c r="L25" s="9"/>
      <c r="M25" s="1"/>
    </row>
    <row r="26" spans="1:13" ht="13.5" thickBot="1" x14ac:dyDescent="0.25">
      <c r="A26" s="1"/>
      <c r="B26" s="6">
        <f t="shared" si="0"/>
        <v>31</v>
      </c>
      <c r="C26" s="6">
        <v>19</v>
      </c>
      <c r="D26" s="6">
        <v>12</v>
      </c>
      <c r="E26" s="6">
        <f t="shared" si="1"/>
        <v>1322</v>
      </c>
      <c r="F26" s="6">
        <v>566</v>
      </c>
      <c r="G26" s="6">
        <v>756</v>
      </c>
      <c r="H26" s="6">
        <f t="shared" si="2"/>
        <v>667</v>
      </c>
      <c r="I26" s="6">
        <v>363</v>
      </c>
      <c r="J26" s="6">
        <v>304</v>
      </c>
      <c r="K26" s="7" t="s">
        <v>10</v>
      </c>
      <c r="L26" s="8"/>
      <c r="M26" s="1"/>
    </row>
    <row r="27" spans="1:13" ht="13.5" thickBot="1" x14ac:dyDescent="0.25">
      <c r="A27" s="1"/>
      <c r="B27" s="6">
        <f t="shared" si="0"/>
        <v>0</v>
      </c>
      <c r="C27" s="6">
        <v>0</v>
      </c>
      <c r="D27" s="6">
        <v>0</v>
      </c>
      <c r="E27" s="6">
        <f t="shared" si="1"/>
        <v>203</v>
      </c>
      <c r="F27" s="6">
        <v>121</v>
      </c>
      <c r="G27" s="6">
        <v>82</v>
      </c>
      <c r="H27" s="6">
        <f t="shared" si="2"/>
        <v>96</v>
      </c>
      <c r="I27" s="6">
        <v>51</v>
      </c>
      <c r="J27" s="6">
        <v>45</v>
      </c>
      <c r="K27" s="7" t="s">
        <v>11</v>
      </c>
      <c r="L27" s="8" t="s">
        <v>55</v>
      </c>
      <c r="M27" s="1"/>
    </row>
    <row r="28" spans="1:13" ht="13.5" thickBot="1" x14ac:dyDescent="0.25">
      <c r="A28" s="1"/>
      <c r="B28" s="6">
        <f t="shared" ref="B28:J28" si="10">SUM(B26:B27)</f>
        <v>31</v>
      </c>
      <c r="C28" s="6">
        <f t="shared" si="10"/>
        <v>19</v>
      </c>
      <c r="D28" s="6">
        <f t="shared" si="10"/>
        <v>12</v>
      </c>
      <c r="E28" s="6">
        <f t="shared" si="10"/>
        <v>1525</v>
      </c>
      <c r="F28" s="6">
        <f t="shared" si="10"/>
        <v>687</v>
      </c>
      <c r="G28" s="6">
        <f t="shared" si="10"/>
        <v>838</v>
      </c>
      <c r="H28" s="6">
        <f t="shared" si="10"/>
        <v>763</v>
      </c>
      <c r="I28" s="6">
        <f t="shared" si="10"/>
        <v>414</v>
      </c>
      <c r="J28" s="6">
        <f t="shared" si="10"/>
        <v>349</v>
      </c>
      <c r="K28" s="7" t="s">
        <v>13</v>
      </c>
      <c r="L28" s="9"/>
      <c r="M28" s="1"/>
    </row>
    <row r="29" spans="1:13" ht="13.5" thickBot="1" x14ac:dyDescent="0.25">
      <c r="A29" s="1"/>
      <c r="B29" s="6">
        <f t="shared" si="0"/>
        <v>4</v>
      </c>
      <c r="C29" s="6">
        <v>3</v>
      </c>
      <c r="D29" s="6">
        <v>1</v>
      </c>
      <c r="E29" s="6">
        <f t="shared" si="1"/>
        <v>53</v>
      </c>
      <c r="F29" s="6">
        <v>36</v>
      </c>
      <c r="G29" s="6">
        <v>17</v>
      </c>
      <c r="H29" s="6">
        <f t="shared" si="2"/>
        <v>27</v>
      </c>
      <c r="I29" s="6">
        <v>18</v>
      </c>
      <c r="J29" s="6">
        <v>9</v>
      </c>
      <c r="K29" s="7" t="s">
        <v>10</v>
      </c>
      <c r="L29" s="8"/>
      <c r="M29" s="1"/>
    </row>
    <row r="30" spans="1:13" ht="13.5" thickBot="1" x14ac:dyDescent="0.25">
      <c r="A30" s="1"/>
      <c r="B30" s="6">
        <f t="shared" si="0"/>
        <v>11</v>
      </c>
      <c r="C30" s="6">
        <v>8</v>
      </c>
      <c r="D30" s="6">
        <v>3</v>
      </c>
      <c r="E30" s="6">
        <f t="shared" si="1"/>
        <v>156</v>
      </c>
      <c r="F30" s="6">
        <v>104</v>
      </c>
      <c r="G30" s="6">
        <v>52</v>
      </c>
      <c r="H30" s="6">
        <f t="shared" si="2"/>
        <v>71</v>
      </c>
      <c r="I30" s="6">
        <v>54</v>
      </c>
      <c r="J30" s="6">
        <v>17</v>
      </c>
      <c r="K30" s="7" t="s">
        <v>11</v>
      </c>
      <c r="L30" s="8" t="s">
        <v>56</v>
      </c>
      <c r="M30" s="1"/>
    </row>
    <row r="31" spans="1:13" ht="13.5" thickBot="1" x14ac:dyDescent="0.25">
      <c r="A31" s="1"/>
      <c r="B31" s="6">
        <f t="shared" ref="B31:J31" si="11">SUM(B29:B30)</f>
        <v>15</v>
      </c>
      <c r="C31" s="6">
        <f t="shared" si="11"/>
        <v>11</v>
      </c>
      <c r="D31" s="6">
        <f t="shared" si="11"/>
        <v>4</v>
      </c>
      <c r="E31" s="6">
        <f t="shared" si="11"/>
        <v>209</v>
      </c>
      <c r="F31" s="6">
        <f t="shared" si="11"/>
        <v>140</v>
      </c>
      <c r="G31" s="6">
        <f t="shared" si="11"/>
        <v>69</v>
      </c>
      <c r="H31" s="6">
        <f t="shared" si="11"/>
        <v>98</v>
      </c>
      <c r="I31" s="6">
        <f t="shared" si="11"/>
        <v>72</v>
      </c>
      <c r="J31" s="6">
        <f t="shared" si="11"/>
        <v>26</v>
      </c>
      <c r="K31" s="7" t="s">
        <v>13</v>
      </c>
      <c r="L31" s="9"/>
      <c r="M31" s="1"/>
    </row>
    <row r="32" spans="1:13" ht="13.5" thickBot="1" x14ac:dyDescent="0.25">
      <c r="A32" s="1"/>
      <c r="B32" s="6">
        <f t="shared" si="0"/>
        <v>91</v>
      </c>
      <c r="C32" s="6">
        <v>6</v>
      </c>
      <c r="D32" s="6">
        <v>85</v>
      </c>
      <c r="E32" s="6">
        <f t="shared" si="1"/>
        <v>1422</v>
      </c>
      <c r="F32" s="6">
        <v>112</v>
      </c>
      <c r="G32" s="6">
        <v>1310</v>
      </c>
      <c r="H32" s="6">
        <f t="shared" si="2"/>
        <v>657</v>
      </c>
      <c r="I32" s="6">
        <v>62</v>
      </c>
      <c r="J32" s="6">
        <v>595</v>
      </c>
      <c r="K32" s="7" t="s">
        <v>10</v>
      </c>
      <c r="L32" s="8"/>
      <c r="M32" s="1"/>
    </row>
    <row r="33" spans="1:13" ht="13.5" thickBot="1" x14ac:dyDescent="0.25">
      <c r="A33" s="1"/>
      <c r="B33" s="6">
        <f t="shared" si="0"/>
        <v>9</v>
      </c>
      <c r="C33" s="6">
        <v>0</v>
      </c>
      <c r="D33" s="6">
        <v>9</v>
      </c>
      <c r="E33" s="6">
        <f t="shared" si="1"/>
        <v>284</v>
      </c>
      <c r="F33" s="6">
        <v>33</v>
      </c>
      <c r="G33" s="6">
        <v>251</v>
      </c>
      <c r="H33" s="6">
        <f t="shared" si="2"/>
        <v>87</v>
      </c>
      <c r="I33" s="6">
        <v>14</v>
      </c>
      <c r="J33" s="6">
        <v>73</v>
      </c>
      <c r="K33" s="7" t="s">
        <v>11</v>
      </c>
      <c r="L33" s="8" t="s">
        <v>57</v>
      </c>
      <c r="M33" s="1"/>
    </row>
    <row r="34" spans="1:13" ht="13.5" thickBot="1" x14ac:dyDescent="0.25">
      <c r="A34" s="1"/>
      <c r="B34" s="6">
        <f t="shared" ref="B34:J34" si="12">SUM(B32:B33)</f>
        <v>100</v>
      </c>
      <c r="C34" s="6">
        <f t="shared" si="12"/>
        <v>6</v>
      </c>
      <c r="D34" s="6">
        <f t="shared" si="12"/>
        <v>94</v>
      </c>
      <c r="E34" s="6">
        <f t="shared" si="12"/>
        <v>1706</v>
      </c>
      <c r="F34" s="6">
        <f t="shared" si="12"/>
        <v>145</v>
      </c>
      <c r="G34" s="6">
        <f t="shared" si="12"/>
        <v>1561</v>
      </c>
      <c r="H34" s="6">
        <f t="shared" si="12"/>
        <v>744</v>
      </c>
      <c r="I34" s="6">
        <f t="shared" si="12"/>
        <v>76</v>
      </c>
      <c r="J34" s="6">
        <f t="shared" si="12"/>
        <v>668</v>
      </c>
      <c r="K34" s="7" t="s">
        <v>13</v>
      </c>
      <c r="L34" s="9"/>
      <c r="M34" s="1"/>
    </row>
    <row r="35" spans="1:13" ht="13.5" thickBot="1" x14ac:dyDescent="0.25">
      <c r="A35" s="1"/>
      <c r="B35" s="6">
        <f t="shared" ref="B35:I37" si="13">B5+B8+B11+B14+B17+B20+B23+B26+B29+B32</f>
        <v>1073</v>
      </c>
      <c r="C35" s="6">
        <f t="shared" si="13"/>
        <v>596</v>
      </c>
      <c r="D35" s="6">
        <f t="shared" si="13"/>
        <v>477</v>
      </c>
      <c r="E35" s="6">
        <f t="shared" si="13"/>
        <v>34678</v>
      </c>
      <c r="F35" s="6">
        <f t="shared" si="13"/>
        <v>12439</v>
      </c>
      <c r="G35" s="6">
        <f t="shared" si="13"/>
        <v>22239</v>
      </c>
      <c r="H35" s="6">
        <f t="shared" si="13"/>
        <v>13211</v>
      </c>
      <c r="I35" s="6">
        <f t="shared" si="13"/>
        <v>7183</v>
      </c>
      <c r="J35" s="6">
        <f>J5+J8+J11+J14+J17+J20+J23+J26+J29+J32</f>
        <v>6028</v>
      </c>
      <c r="K35" s="4" t="s">
        <v>28</v>
      </c>
      <c r="L35" s="3"/>
      <c r="M35" s="1"/>
    </row>
    <row r="36" spans="1:13" ht="13.5" thickBot="1" x14ac:dyDescent="0.25">
      <c r="A36" s="1"/>
      <c r="B36" s="6">
        <f t="shared" si="13"/>
        <v>201</v>
      </c>
      <c r="C36" s="6">
        <f t="shared" si="13"/>
        <v>117</v>
      </c>
      <c r="D36" s="6">
        <f t="shared" si="13"/>
        <v>84</v>
      </c>
      <c r="E36" s="6">
        <f t="shared" si="13"/>
        <v>8128</v>
      </c>
      <c r="F36" s="6">
        <f t="shared" si="13"/>
        <v>2780</v>
      </c>
      <c r="G36" s="6">
        <f t="shared" si="13"/>
        <v>5348</v>
      </c>
      <c r="H36" s="6">
        <f t="shared" si="13"/>
        <v>3560</v>
      </c>
      <c r="I36" s="6">
        <f t="shared" si="13"/>
        <v>1406</v>
      </c>
      <c r="J36" s="6">
        <f>J6+J9+J12+J15+J18+J21+J24+J27+J30+J33</f>
        <v>2154</v>
      </c>
      <c r="K36" s="4" t="s">
        <v>29</v>
      </c>
      <c r="L36" s="11" t="s">
        <v>44</v>
      </c>
      <c r="M36" s="1"/>
    </row>
    <row r="37" spans="1:13" ht="13.5" thickBot="1" x14ac:dyDescent="0.25">
      <c r="A37" s="1"/>
      <c r="B37" s="6">
        <f t="shared" si="13"/>
        <v>1274</v>
      </c>
      <c r="C37" s="6">
        <f t="shared" si="13"/>
        <v>713</v>
      </c>
      <c r="D37" s="6">
        <f t="shared" si="13"/>
        <v>561</v>
      </c>
      <c r="E37" s="6">
        <f t="shared" si="13"/>
        <v>42806</v>
      </c>
      <c r="F37" s="6">
        <f t="shared" si="13"/>
        <v>15219</v>
      </c>
      <c r="G37" s="6">
        <f t="shared" si="13"/>
        <v>27587</v>
      </c>
      <c r="H37" s="6">
        <f t="shared" si="13"/>
        <v>16771</v>
      </c>
      <c r="I37" s="6">
        <f t="shared" si="13"/>
        <v>8589</v>
      </c>
      <c r="J37" s="6">
        <f>J7+J10+J13+J16+J19+J22+J25+J28+J31+J34</f>
        <v>8182</v>
      </c>
      <c r="K37" s="4" t="s">
        <v>13</v>
      </c>
      <c r="L37" s="5"/>
      <c r="M37" s="1"/>
    </row>
  </sheetData>
  <mergeCells count="5">
    <mergeCell ref="B1:L1"/>
    <mergeCell ref="B2:L2"/>
    <mergeCell ref="B3:D3"/>
    <mergeCell ref="E3:G3"/>
    <mergeCell ref="H3:J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00"/>
  <sheetViews>
    <sheetView showGridLines="0" topLeftCell="A40" zoomScale="90" zoomScaleNormal="90" workbookViewId="0">
      <selection activeCell="G107" sqref="G107"/>
    </sheetView>
  </sheetViews>
  <sheetFormatPr defaultRowHeight="12.75" x14ac:dyDescent="0.2"/>
  <cols>
    <col min="1" max="1" width="6.875" style="2" customWidth="1"/>
    <col min="2" max="11" width="9.625" style="2" customWidth="1"/>
    <col min="12" max="12" width="27.375" style="2" customWidth="1"/>
    <col min="13" max="13" width="6.875" style="2" customWidth="1"/>
    <col min="14" max="256" width="9.125" style="2"/>
    <col min="257" max="257" width="6.875" style="2" customWidth="1"/>
    <col min="258" max="267" width="9.625" style="2" customWidth="1"/>
    <col min="268" max="268" width="27.375" style="2" customWidth="1"/>
    <col min="269" max="269" width="6.875" style="2" customWidth="1"/>
    <col min="270" max="512" width="9.125" style="2"/>
    <col min="513" max="513" width="6.875" style="2" customWidth="1"/>
    <col min="514" max="523" width="9.625" style="2" customWidth="1"/>
    <col min="524" max="524" width="27.375" style="2" customWidth="1"/>
    <col min="525" max="525" width="6.875" style="2" customWidth="1"/>
    <col min="526" max="768" width="9.125" style="2"/>
    <col min="769" max="769" width="6.875" style="2" customWidth="1"/>
    <col min="770" max="779" width="9.625" style="2" customWidth="1"/>
    <col min="780" max="780" width="27.375" style="2" customWidth="1"/>
    <col min="781" max="781" width="6.875" style="2" customWidth="1"/>
    <col min="782" max="1024" width="9.125" style="2"/>
    <col min="1025" max="1025" width="6.875" style="2" customWidth="1"/>
    <col min="1026" max="1035" width="9.625" style="2" customWidth="1"/>
    <col min="1036" max="1036" width="27.375" style="2" customWidth="1"/>
    <col min="1037" max="1037" width="6.875" style="2" customWidth="1"/>
    <col min="1038" max="1280" width="9.125" style="2"/>
    <col min="1281" max="1281" width="6.875" style="2" customWidth="1"/>
    <col min="1282" max="1291" width="9.625" style="2" customWidth="1"/>
    <col min="1292" max="1292" width="27.375" style="2" customWidth="1"/>
    <col min="1293" max="1293" width="6.875" style="2" customWidth="1"/>
    <col min="1294" max="1536" width="9.125" style="2"/>
    <col min="1537" max="1537" width="6.875" style="2" customWidth="1"/>
    <col min="1538" max="1547" width="9.625" style="2" customWidth="1"/>
    <col min="1548" max="1548" width="27.375" style="2" customWidth="1"/>
    <col min="1549" max="1549" width="6.875" style="2" customWidth="1"/>
    <col min="1550" max="1792" width="9.125" style="2"/>
    <col min="1793" max="1793" width="6.875" style="2" customWidth="1"/>
    <col min="1794" max="1803" width="9.625" style="2" customWidth="1"/>
    <col min="1804" max="1804" width="27.375" style="2" customWidth="1"/>
    <col min="1805" max="1805" width="6.875" style="2" customWidth="1"/>
    <col min="1806" max="2048" width="9.125" style="2"/>
    <col min="2049" max="2049" width="6.875" style="2" customWidth="1"/>
    <col min="2050" max="2059" width="9.625" style="2" customWidth="1"/>
    <col min="2060" max="2060" width="27.375" style="2" customWidth="1"/>
    <col min="2061" max="2061" width="6.875" style="2" customWidth="1"/>
    <col min="2062" max="2304" width="9.125" style="2"/>
    <col min="2305" max="2305" width="6.875" style="2" customWidth="1"/>
    <col min="2306" max="2315" width="9.625" style="2" customWidth="1"/>
    <col min="2316" max="2316" width="27.375" style="2" customWidth="1"/>
    <col min="2317" max="2317" width="6.875" style="2" customWidth="1"/>
    <col min="2318" max="2560" width="9.125" style="2"/>
    <col min="2561" max="2561" width="6.875" style="2" customWidth="1"/>
    <col min="2562" max="2571" width="9.625" style="2" customWidth="1"/>
    <col min="2572" max="2572" width="27.375" style="2" customWidth="1"/>
    <col min="2573" max="2573" width="6.875" style="2" customWidth="1"/>
    <col min="2574" max="2816" width="9.125" style="2"/>
    <col min="2817" max="2817" width="6.875" style="2" customWidth="1"/>
    <col min="2818" max="2827" width="9.625" style="2" customWidth="1"/>
    <col min="2828" max="2828" width="27.375" style="2" customWidth="1"/>
    <col min="2829" max="2829" width="6.875" style="2" customWidth="1"/>
    <col min="2830" max="3072" width="9.125" style="2"/>
    <col min="3073" max="3073" width="6.875" style="2" customWidth="1"/>
    <col min="3074" max="3083" width="9.625" style="2" customWidth="1"/>
    <col min="3084" max="3084" width="27.375" style="2" customWidth="1"/>
    <col min="3085" max="3085" width="6.875" style="2" customWidth="1"/>
    <col min="3086" max="3328" width="9.125" style="2"/>
    <col min="3329" max="3329" width="6.875" style="2" customWidth="1"/>
    <col min="3330" max="3339" width="9.625" style="2" customWidth="1"/>
    <col min="3340" max="3340" width="27.375" style="2" customWidth="1"/>
    <col min="3341" max="3341" width="6.875" style="2" customWidth="1"/>
    <col min="3342" max="3584" width="9.125" style="2"/>
    <col min="3585" max="3585" width="6.875" style="2" customWidth="1"/>
    <col min="3586" max="3595" width="9.625" style="2" customWidth="1"/>
    <col min="3596" max="3596" width="27.375" style="2" customWidth="1"/>
    <col min="3597" max="3597" width="6.875" style="2" customWidth="1"/>
    <col min="3598" max="3840" width="9.125" style="2"/>
    <col min="3841" max="3841" width="6.875" style="2" customWidth="1"/>
    <col min="3842" max="3851" width="9.625" style="2" customWidth="1"/>
    <col min="3852" max="3852" width="27.375" style="2" customWidth="1"/>
    <col min="3853" max="3853" width="6.875" style="2" customWidth="1"/>
    <col min="3854" max="4096" width="9.125" style="2"/>
    <col min="4097" max="4097" width="6.875" style="2" customWidth="1"/>
    <col min="4098" max="4107" width="9.625" style="2" customWidth="1"/>
    <col min="4108" max="4108" width="27.375" style="2" customWidth="1"/>
    <col min="4109" max="4109" width="6.875" style="2" customWidth="1"/>
    <col min="4110" max="4352" width="9.125" style="2"/>
    <col min="4353" max="4353" width="6.875" style="2" customWidth="1"/>
    <col min="4354" max="4363" width="9.625" style="2" customWidth="1"/>
    <col min="4364" max="4364" width="27.375" style="2" customWidth="1"/>
    <col min="4365" max="4365" width="6.875" style="2" customWidth="1"/>
    <col min="4366" max="4608" width="9.125" style="2"/>
    <col min="4609" max="4609" width="6.875" style="2" customWidth="1"/>
    <col min="4610" max="4619" width="9.625" style="2" customWidth="1"/>
    <col min="4620" max="4620" width="27.375" style="2" customWidth="1"/>
    <col min="4621" max="4621" width="6.875" style="2" customWidth="1"/>
    <col min="4622" max="4864" width="9.125" style="2"/>
    <col min="4865" max="4865" width="6.875" style="2" customWidth="1"/>
    <col min="4866" max="4875" width="9.625" style="2" customWidth="1"/>
    <col min="4876" max="4876" width="27.375" style="2" customWidth="1"/>
    <col min="4877" max="4877" width="6.875" style="2" customWidth="1"/>
    <col min="4878" max="5120" width="9.125" style="2"/>
    <col min="5121" max="5121" width="6.875" style="2" customWidth="1"/>
    <col min="5122" max="5131" width="9.625" style="2" customWidth="1"/>
    <col min="5132" max="5132" width="27.375" style="2" customWidth="1"/>
    <col min="5133" max="5133" width="6.875" style="2" customWidth="1"/>
    <col min="5134" max="5376" width="9.125" style="2"/>
    <col min="5377" max="5377" width="6.875" style="2" customWidth="1"/>
    <col min="5378" max="5387" width="9.625" style="2" customWidth="1"/>
    <col min="5388" max="5388" width="27.375" style="2" customWidth="1"/>
    <col min="5389" max="5389" width="6.875" style="2" customWidth="1"/>
    <col min="5390" max="5632" width="9.125" style="2"/>
    <col min="5633" max="5633" width="6.875" style="2" customWidth="1"/>
    <col min="5634" max="5643" width="9.625" style="2" customWidth="1"/>
    <col min="5644" max="5644" width="27.375" style="2" customWidth="1"/>
    <col min="5645" max="5645" width="6.875" style="2" customWidth="1"/>
    <col min="5646" max="5888" width="9.125" style="2"/>
    <col min="5889" max="5889" width="6.875" style="2" customWidth="1"/>
    <col min="5890" max="5899" width="9.625" style="2" customWidth="1"/>
    <col min="5900" max="5900" width="27.375" style="2" customWidth="1"/>
    <col min="5901" max="5901" width="6.875" style="2" customWidth="1"/>
    <col min="5902" max="6144" width="9.125" style="2"/>
    <col min="6145" max="6145" width="6.875" style="2" customWidth="1"/>
    <col min="6146" max="6155" width="9.625" style="2" customWidth="1"/>
    <col min="6156" max="6156" width="27.375" style="2" customWidth="1"/>
    <col min="6157" max="6157" width="6.875" style="2" customWidth="1"/>
    <col min="6158" max="6400" width="9.125" style="2"/>
    <col min="6401" max="6401" width="6.875" style="2" customWidth="1"/>
    <col min="6402" max="6411" width="9.625" style="2" customWidth="1"/>
    <col min="6412" max="6412" width="27.375" style="2" customWidth="1"/>
    <col min="6413" max="6413" width="6.875" style="2" customWidth="1"/>
    <col min="6414" max="6656" width="9.125" style="2"/>
    <col min="6657" max="6657" width="6.875" style="2" customWidth="1"/>
    <col min="6658" max="6667" width="9.625" style="2" customWidth="1"/>
    <col min="6668" max="6668" width="27.375" style="2" customWidth="1"/>
    <col min="6669" max="6669" width="6.875" style="2" customWidth="1"/>
    <col min="6670" max="6912" width="9.125" style="2"/>
    <col min="6913" max="6913" width="6.875" style="2" customWidth="1"/>
    <col min="6914" max="6923" width="9.625" style="2" customWidth="1"/>
    <col min="6924" max="6924" width="27.375" style="2" customWidth="1"/>
    <col min="6925" max="6925" width="6.875" style="2" customWidth="1"/>
    <col min="6926" max="7168" width="9.125" style="2"/>
    <col min="7169" max="7169" width="6.875" style="2" customWidth="1"/>
    <col min="7170" max="7179" width="9.625" style="2" customWidth="1"/>
    <col min="7180" max="7180" width="27.375" style="2" customWidth="1"/>
    <col min="7181" max="7181" width="6.875" style="2" customWidth="1"/>
    <col min="7182" max="7424" width="9.125" style="2"/>
    <col min="7425" max="7425" width="6.875" style="2" customWidth="1"/>
    <col min="7426" max="7435" width="9.625" style="2" customWidth="1"/>
    <col min="7436" max="7436" width="27.375" style="2" customWidth="1"/>
    <col min="7437" max="7437" width="6.875" style="2" customWidth="1"/>
    <col min="7438" max="7680" width="9.125" style="2"/>
    <col min="7681" max="7681" width="6.875" style="2" customWidth="1"/>
    <col min="7682" max="7691" width="9.625" style="2" customWidth="1"/>
    <col min="7692" max="7692" width="27.375" style="2" customWidth="1"/>
    <col min="7693" max="7693" width="6.875" style="2" customWidth="1"/>
    <col min="7694" max="7936" width="9.125" style="2"/>
    <col min="7937" max="7937" width="6.875" style="2" customWidth="1"/>
    <col min="7938" max="7947" width="9.625" style="2" customWidth="1"/>
    <col min="7948" max="7948" width="27.375" style="2" customWidth="1"/>
    <col min="7949" max="7949" width="6.875" style="2" customWidth="1"/>
    <col min="7950" max="8192" width="9.125" style="2"/>
    <col min="8193" max="8193" width="6.875" style="2" customWidth="1"/>
    <col min="8194" max="8203" width="9.625" style="2" customWidth="1"/>
    <col min="8204" max="8204" width="27.375" style="2" customWidth="1"/>
    <col min="8205" max="8205" width="6.875" style="2" customWidth="1"/>
    <col min="8206" max="8448" width="9.125" style="2"/>
    <col min="8449" max="8449" width="6.875" style="2" customWidth="1"/>
    <col min="8450" max="8459" width="9.625" style="2" customWidth="1"/>
    <col min="8460" max="8460" width="27.375" style="2" customWidth="1"/>
    <col min="8461" max="8461" width="6.875" style="2" customWidth="1"/>
    <col min="8462" max="8704" width="9.125" style="2"/>
    <col min="8705" max="8705" width="6.875" style="2" customWidth="1"/>
    <col min="8706" max="8715" width="9.625" style="2" customWidth="1"/>
    <col min="8716" max="8716" width="27.375" style="2" customWidth="1"/>
    <col min="8717" max="8717" width="6.875" style="2" customWidth="1"/>
    <col min="8718" max="8960" width="9.125" style="2"/>
    <col min="8961" max="8961" width="6.875" style="2" customWidth="1"/>
    <col min="8962" max="8971" width="9.625" style="2" customWidth="1"/>
    <col min="8972" max="8972" width="27.375" style="2" customWidth="1"/>
    <col min="8973" max="8973" width="6.875" style="2" customWidth="1"/>
    <col min="8974" max="9216" width="9.125" style="2"/>
    <col min="9217" max="9217" width="6.875" style="2" customWidth="1"/>
    <col min="9218" max="9227" width="9.625" style="2" customWidth="1"/>
    <col min="9228" max="9228" width="27.375" style="2" customWidth="1"/>
    <col min="9229" max="9229" width="6.875" style="2" customWidth="1"/>
    <col min="9230" max="9472" width="9.125" style="2"/>
    <col min="9473" max="9473" width="6.875" style="2" customWidth="1"/>
    <col min="9474" max="9483" width="9.625" style="2" customWidth="1"/>
    <col min="9484" max="9484" width="27.375" style="2" customWidth="1"/>
    <col min="9485" max="9485" width="6.875" style="2" customWidth="1"/>
    <col min="9486" max="9728" width="9.125" style="2"/>
    <col min="9729" max="9729" width="6.875" style="2" customWidth="1"/>
    <col min="9730" max="9739" width="9.625" style="2" customWidth="1"/>
    <col min="9740" max="9740" width="27.375" style="2" customWidth="1"/>
    <col min="9741" max="9741" width="6.875" style="2" customWidth="1"/>
    <col min="9742" max="9984" width="9.125" style="2"/>
    <col min="9985" max="9985" width="6.875" style="2" customWidth="1"/>
    <col min="9986" max="9995" width="9.625" style="2" customWidth="1"/>
    <col min="9996" max="9996" width="27.375" style="2" customWidth="1"/>
    <col min="9997" max="9997" width="6.875" style="2" customWidth="1"/>
    <col min="9998" max="10240" width="9.125" style="2"/>
    <col min="10241" max="10241" width="6.875" style="2" customWidth="1"/>
    <col min="10242" max="10251" width="9.625" style="2" customWidth="1"/>
    <col min="10252" max="10252" width="27.375" style="2" customWidth="1"/>
    <col min="10253" max="10253" width="6.875" style="2" customWidth="1"/>
    <col min="10254" max="10496" width="9.125" style="2"/>
    <col min="10497" max="10497" width="6.875" style="2" customWidth="1"/>
    <col min="10498" max="10507" width="9.625" style="2" customWidth="1"/>
    <col min="10508" max="10508" width="27.375" style="2" customWidth="1"/>
    <col min="10509" max="10509" width="6.875" style="2" customWidth="1"/>
    <col min="10510" max="10752" width="9.125" style="2"/>
    <col min="10753" max="10753" width="6.875" style="2" customWidth="1"/>
    <col min="10754" max="10763" width="9.625" style="2" customWidth="1"/>
    <col min="10764" max="10764" width="27.375" style="2" customWidth="1"/>
    <col min="10765" max="10765" width="6.875" style="2" customWidth="1"/>
    <col min="10766" max="11008" width="9.125" style="2"/>
    <col min="11009" max="11009" width="6.875" style="2" customWidth="1"/>
    <col min="11010" max="11019" width="9.625" style="2" customWidth="1"/>
    <col min="11020" max="11020" width="27.375" style="2" customWidth="1"/>
    <col min="11021" max="11021" width="6.875" style="2" customWidth="1"/>
    <col min="11022" max="11264" width="9.125" style="2"/>
    <col min="11265" max="11265" width="6.875" style="2" customWidth="1"/>
    <col min="11266" max="11275" width="9.625" style="2" customWidth="1"/>
    <col min="11276" max="11276" width="27.375" style="2" customWidth="1"/>
    <col min="11277" max="11277" width="6.875" style="2" customWidth="1"/>
    <col min="11278" max="11520" width="9.125" style="2"/>
    <col min="11521" max="11521" width="6.875" style="2" customWidth="1"/>
    <col min="11522" max="11531" width="9.625" style="2" customWidth="1"/>
    <col min="11532" max="11532" width="27.375" style="2" customWidth="1"/>
    <col min="11533" max="11533" width="6.875" style="2" customWidth="1"/>
    <col min="11534" max="11776" width="9.125" style="2"/>
    <col min="11777" max="11777" width="6.875" style="2" customWidth="1"/>
    <col min="11778" max="11787" width="9.625" style="2" customWidth="1"/>
    <col min="11788" max="11788" width="27.375" style="2" customWidth="1"/>
    <col min="11789" max="11789" width="6.875" style="2" customWidth="1"/>
    <col min="11790" max="12032" width="9.125" style="2"/>
    <col min="12033" max="12033" width="6.875" style="2" customWidth="1"/>
    <col min="12034" max="12043" width="9.625" style="2" customWidth="1"/>
    <col min="12044" max="12044" width="27.375" style="2" customWidth="1"/>
    <col min="12045" max="12045" width="6.875" style="2" customWidth="1"/>
    <col min="12046" max="12288" width="9.125" style="2"/>
    <col min="12289" max="12289" width="6.875" style="2" customWidth="1"/>
    <col min="12290" max="12299" width="9.625" style="2" customWidth="1"/>
    <col min="12300" max="12300" width="27.375" style="2" customWidth="1"/>
    <col min="12301" max="12301" width="6.875" style="2" customWidth="1"/>
    <col min="12302" max="12544" width="9.125" style="2"/>
    <col min="12545" max="12545" width="6.875" style="2" customWidth="1"/>
    <col min="12546" max="12555" width="9.625" style="2" customWidth="1"/>
    <col min="12556" max="12556" width="27.375" style="2" customWidth="1"/>
    <col min="12557" max="12557" width="6.875" style="2" customWidth="1"/>
    <col min="12558" max="12800" width="9.125" style="2"/>
    <col min="12801" max="12801" width="6.875" style="2" customWidth="1"/>
    <col min="12802" max="12811" width="9.625" style="2" customWidth="1"/>
    <col min="12812" max="12812" width="27.375" style="2" customWidth="1"/>
    <col min="12813" max="12813" width="6.875" style="2" customWidth="1"/>
    <col min="12814" max="13056" width="9.125" style="2"/>
    <col min="13057" max="13057" width="6.875" style="2" customWidth="1"/>
    <col min="13058" max="13067" width="9.625" style="2" customWidth="1"/>
    <col min="13068" max="13068" width="27.375" style="2" customWidth="1"/>
    <col min="13069" max="13069" width="6.875" style="2" customWidth="1"/>
    <col min="13070" max="13312" width="9.125" style="2"/>
    <col min="13313" max="13313" width="6.875" style="2" customWidth="1"/>
    <col min="13314" max="13323" width="9.625" style="2" customWidth="1"/>
    <col min="13324" max="13324" width="27.375" style="2" customWidth="1"/>
    <col min="13325" max="13325" width="6.875" style="2" customWidth="1"/>
    <col min="13326" max="13568" width="9.125" style="2"/>
    <col min="13569" max="13569" width="6.875" style="2" customWidth="1"/>
    <col min="13570" max="13579" width="9.625" style="2" customWidth="1"/>
    <col min="13580" max="13580" width="27.375" style="2" customWidth="1"/>
    <col min="13581" max="13581" width="6.875" style="2" customWidth="1"/>
    <col min="13582" max="13824" width="9.125" style="2"/>
    <col min="13825" max="13825" width="6.875" style="2" customWidth="1"/>
    <col min="13826" max="13835" width="9.625" style="2" customWidth="1"/>
    <col min="13836" max="13836" width="27.375" style="2" customWidth="1"/>
    <col min="13837" max="13837" width="6.875" style="2" customWidth="1"/>
    <col min="13838" max="14080" width="9.125" style="2"/>
    <col min="14081" max="14081" width="6.875" style="2" customWidth="1"/>
    <col min="14082" max="14091" width="9.625" style="2" customWidth="1"/>
    <col min="14092" max="14092" width="27.375" style="2" customWidth="1"/>
    <col min="14093" max="14093" width="6.875" style="2" customWidth="1"/>
    <col min="14094" max="14336" width="9.125" style="2"/>
    <col min="14337" max="14337" width="6.875" style="2" customWidth="1"/>
    <col min="14338" max="14347" width="9.625" style="2" customWidth="1"/>
    <col min="14348" max="14348" width="27.375" style="2" customWidth="1"/>
    <col min="14349" max="14349" width="6.875" style="2" customWidth="1"/>
    <col min="14350" max="14592" width="9.125" style="2"/>
    <col min="14593" max="14593" width="6.875" style="2" customWidth="1"/>
    <col min="14594" max="14603" width="9.625" style="2" customWidth="1"/>
    <col min="14604" max="14604" width="27.375" style="2" customWidth="1"/>
    <col min="14605" max="14605" width="6.875" style="2" customWidth="1"/>
    <col min="14606" max="14848" width="9.125" style="2"/>
    <col min="14849" max="14849" width="6.875" style="2" customWidth="1"/>
    <col min="14850" max="14859" width="9.625" style="2" customWidth="1"/>
    <col min="14860" max="14860" width="27.375" style="2" customWidth="1"/>
    <col min="14861" max="14861" width="6.875" style="2" customWidth="1"/>
    <col min="14862" max="15104" width="9.125" style="2"/>
    <col min="15105" max="15105" width="6.875" style="2" customWidth="1"/>
    <col min="15106" max="15115" width="9.625" style="2" customWidth="1"/>
    <col min="15116" max="15116" width="27.375" style="2" customWidth="1"/>
    <col min="15117" max="15117" width="6.875" style="2" customWidth="1"/>
    <col min="15118" max="15360" width="9.125" style="2"/>
    <col min="15361" max="15361" width="6.875" style="2" customWidth="1"/>
    <col min="15362" max="15371" width="9.625" style="2" customWidth="1"/>
    <col min="15372" max="15372" width="27.375" style="2" customWidth="1"/>
    <col min="15373" max="15373" width="6.875" style="2" customWidth="1"/>
    <col min="15374" max="15616" width="9.125" style="2"/>
    <col min="15617" max="15617" width="6.875" style="2" customWidth="1"/>
    <col min="15618" max="15627" width="9.625" style="2" customWidth="1"/>
    <col min="15628" max="15628" width="27.375" style="2" customWidth="1"/>
    <col min="15629" max="15629" width="6.875" style="2" customWidth="1"/>
    <col min="15630" max="15872" width="9.125" style="2"/>
    <col min="15873" max="15873" width="6.875" style="2" customWidth="1"/>
    <col min="15874" max="15883" width="9.625" style="2" customWidth="1"/>
    <col min="15884" max="15884" width="27.375" style="2" customWidth="1"/>
    <col min="15885" max="15885" width="6.875" style="2" customWidth="1"/>
    <col min="15886" max="16128" width="9.125" style="2"/>
    <col min="16129" max="16129" width="6.875" style="2" customWidth="1"/>
    <col min="16130" max="16139" width="9.625" style="2" customWidth="1"/>
    <col min="16140" max="16140" width="27.375" style="2" customWidth="1"/>
    <col min="16141" max="16141" width="6.875" style="2" customWidth="1"/>
    <col min="16142" max="16384" width="9.125" style="2"/>
  </cols>
  <sheetData>
    <row r="1" spans="1:13" ht="20.100000000000001" customHeight="1" x14ac:dyDescent="0.2">
      <c r="A1" s="1"/>
      <c r="B1" s="159" t="s">
        <v>0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"/>
    </row>
    <row r="2" spans="1:13" ht="20.100000000000001" customHeight="1" thickBot="1" x14ac:dyDescent="0.25">
      <c r="A2" s="1"/>
      <c r="B2" s="160" t="s">
        <v>1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"/>
    </row>
    <row r="3" spans="1:13" ht="13.5" thickBot="1" x14ac:dyDescent="0.25">
      <c r="A3" s="1"/>
      <c r="B3" s="161" t="s">
        <v>2</v>
      </c>
      <c r="C3" s="161"/>
      <c r="D3" s="161"/>
      <c r="E3" s="161" t="s">
        <v>3</v>
      </c>
      <c r="F3" s="161"/>
      <c r="G3" s="161"/>
      <c r="H3" s="161" t="s">
        <v>4</v>
      </c>
      <c r="I3" s="161"/>
      <c r="J3" s="161"/>
      <c r="K3" s="3"/>
      <c r="L3" s="3"/>
      <c r="M3" s="1"/>
    </row>
    <row r="4" spans="1:13" ht="26.25" thickBot="1" x14ac:dyDescent="0.25">
      <c r="A4" s="1"/>
      <c r="B4" s="4" t="s">
        <v>5</v>
      </c>
      <c r="C4" s="4" t="s">
        <v>6</v>
      </c>
      <c r="D4" s="4" t="s">
        <v>7</v>
      </c>
      <c r="E4" s="4" t="s">
        <v>5</v>
      </c>
      <c r="F4" s="4" t="s">
        <v>6</v>
      </c>
      <c r="G4" s="4" t="s">
        <v>7</v>
      </c>
      <c r="H4" s="4" t="s">
        <v>5</v>
      </c>
      <c r="I4" s="4" t="s">
        <v>6</v>
      </c>
      <c r="J4" s="4" t="s">
        <v>7</v>
      </c>
      <c r="K4" s="5" t="s">
        <v>8</v>
      </c>
      <c r="L4" s="5" t="s">
        <v>9</v>
      </c>
      <c r="M4" s="1"/>
    </row>
    <row r="5" spans="1:13" ht="13.5" thickBot="1" x14ac:dyDescent="0.25">
      <c r="A5" s="1"/>
      <c r="B5" s="6">
        <f>SUM(C5:D5)</f>
        <v>0</v>
      </c>
      <c r="C5" s="6">
        <v>0</v>
      </c>
      <c r="D5" s="6">
        <v>0</v>
      </c>
      <c r="E5" s="6">
        <f>SUM(F5:G5)</f>
        <v>5</v>
      </c>
      <c r="F5" s="6">
        <v>4</v>
      </c>
      <c r="G5" s="6">
        <v>1</v>
      </c>
      <c r="H5" s="6">
        <f>SUM(I5:J5)</f>
        <v>3</v>
      </c>
      <c r="I5" s="6">
        <v>3</v>
      </c>
      <c r="J5" s="6">
        <v>0</v>
      </c>
      <c r="K5" s="7" t="s">
        <v>10</v>
      </c>
      <c r="L5" s="8"/>
      <c r="M5" s="1"/>
    </row>
    <row r="6" spans="1:13" ht="13.5" thickBot="1" x14ac:dyDescent="0.25">
      <c r="A6" s="1"/>
      <c r="B6" s="6">
        <f t="shared" ref="B6:B69" si="0">SUM(C6:D6)</f>
        <v>0</v>
      </c>
      <c r="C6" s="6">
        <v>0</v>
      </c>
      <c r="D6" s="6">
        <v>0</v>
      </c>
      <c r="E6" s="6">
        <f t="shared" ref="E6:E69" si="1">SUM(F6:G6)</f>
        <v>4</v>
      </c>
      <c r="F6" s="6">
        <v>2</v>
      </c>
      <c r="G6" s="6">
        <v>2</v>
      </c>
      <c r="H6" s="6">
        <f t="shared" ref="H6:H69" si="2">SUM(I6:J6)</f>
        <v>2</v>
      </c>
      <c r="I6" s="6">
        <v>1</v>
      </c>
      <c r="J6" s="6">
        <v>1</v>
      </c>
      <c r="K6" s="7" t="s">
        <v>11</v>
      </c>
      <c r="L6" s="8" t="s">
        <v>12</v>
      </c>
      <c r="M6" s="1"/>
    </row>
    <row r="7" spans="1:13" ht="13.5" thickBot="1" x14ac:dyDescent="0.25">
      <c r="A7" s="1"/>
      <c r="B7" s="6">
        <f t="shared" ref="B7:I7" si="3">SUM(B5:B6)</f>
        <v>0</v>
      </c>
      <c r="C7" s="6">
        <f t="shared" si="3"/>
        <v>0</v>
      </c>
      <c r="D7" s="6">
        <f t="shared" si="3"/>
        <v>0</v>
      </c>
      <c r="E7" s="6">
        <f t="shared" si="3"/>
        <v>9</v>
      </c>
      <c r="F7" s="6">
        <f t="shared" si="3"/>
        <v>6</v>
      </c>
      <c r="G7" s="6">
        <f t="shared" si="3"/>
        <v>3</v>
      </c>
      <c r="H7" s="6">
        <f t="shared" si="3"/>
        <v>5</v>
      </c>
      <c r="I7" s="6">
        <f t="shared" si="3"/>
        <v>4</v>
      </c>
      <c r="J7" s="6">
        <f>SUM(J5:J6)</f>
        <v>1</v>
      </c>
      <c r="K7" s="7" t="s">
        <v>13</v>
      </c>
      <c r="L7" s="9"/>
      <c r="M7" s="1"/>
    </row>
    <row r="8" spans="1:13" ht="13.5" thickBot="1" x14ac:dyDescent="0.25">
      <c r="A8" s="1"/>
      <c r="B8" s="6">
        <f t="shared" si="0"/>
        <v>5</v>
      </c>
      <c r="C8" s="6">
        <v>4</v>
      </c>
      <c r="D8" s="6">
        <v>1</v>
      </c>
      <c r="E8" s="6">
        <f t="shared" si="1"/>
        <v>10</v>
      </c>
      <c r="F8" s="6">
        <v>9</v>
      </c>
      <c r="G8" s="6">
        <v>1</v>
      </c>
      <c r="H8" s="6">
        <f t="shared" si="2"/>
        <v>4</v>
      </c>
      <c r="I8" s="6">
        <v>4</v>
      </c>
      <c r="J8" s="6">
        <v>0</v>
      </c>
      <c r="K8" s="7" t="s">
        <v>10</v>
      </c>
      <c r="L8" s="8"/>
      <c r="M8" s="1"/>
    </row>
    <row r="9" spans="1:13" ht="13.5" thickBot="1" x14ac:dyDescent="0.25">
      <c r="A9" s="1"/>
      <c r="B9" s="6">
        <f t="shared" si="0"/>
        <v>0</v>
      </c>
      <c r="C9" s="6">
        <v>0</v>
      </c>
      <c r="D9" s="6">
        <v>0</v>
      </c>
      <c r="E9" s="6">
        <f t="shared" si="1"/>
        <v>5</v>
      </c>
      <c r="F9" s="6">
        <v>5</v>
      </c>
      <c r="G9" s="6">
        <v>0</v>
      </c>
      <c r="H9" s="6">
        <f t="shared" si="2"/>
        <v>3</v>
      </c>
      <c r="I9" s="6">
        <v>3</v>
      </c>
      <c r="J9" s="6">
        <v>0</v>
      </c>
      <c r="K9" s="7" t="s">
        <v>11</v>
      </c>
      <c r="L9" s="8" t="s">
        <v>14</v>
      </c>
      <c r="M9" s="1"/>
    </row>
    <row r="10" spans="1:13" ht="13.5" thickBot="1" x14ac:dyDescent="0.25">
      <c r="A10" s="1"/>
      <c r="B10" s="6">
        <f t="shared" ref="B10:J10" si="4">SUM(B8:B9)</f>
        <v>5</v>
      </c>
      <c r="C10" s="6">
        <f t="shared" si="4"/>
        <v>4</v>
      </c>
      <c r="D10" s="6">
        <f t="shared" si="4"/>
        <v>1</v>
      </c>
      <c r="E10" s="6">
        <f t="shared" si="4"/>
        <v>15</v>
      </c>
      <c r="F10" s="6">
        <f t="shared" si="4"/>
        <v>14</v>
      </c>
      <c r="G10" s="6">
        <f t="shared" si="4"/>
        <v>1</v>
      </c>
      <c r="H10" s="6">
        <f t="shared" si="4"/>
        <v>7</v>
      </c>
      <c r="I10" s="6">
        <f t="shared" si="4"/>
        <v>7</v>
      </c>
      <c r="J10" s="6">
        <f t="shared" si="4"/>
        <v>0</v>
      </c>
      <c r="K10" s="7" t="s">
        <v>13</v>
      </c>
      <c r="L10" s="9"/>
      <c r="M10" s="1"/>
    </row>
    <row r="11" spans="1:13" ht="13.5" thickBot="1" x14ac:dyDescent="0.25">
      <c r="A11" s="1"/>
      <c r="B11" s="6">
        <f t="shared" si="0"/>
        <v>1</v>
      </c>
      <c r="C11" s="6">
        <v>0</v>
      </c>
      <c r="D11" s="6">
        <v>1</v>
      </c>
      <c r="E11" s="6">
        <f t="shared" si="1"/>
        <v>299</v>
      </c>
      <c r="F11" s="6">
        <v>11</v>
      </c>
      <c r="G11" s="6">
        <v>288</v>
      </c>
      <c r="H11" s="6">
        <f t="shared" si="2"/>
        <v>225</v>
      </c>
      <c r="I11" s="6">
        <v>11</v>
      </c>
      <c r="J11" s="6">
        <v>214</v>
      </c>
      <c r="K11" s="7" t="s">
        <v>10</v>
      </c>
      <c r="L11" s="8"/>
      <c r="M11" s="1"/>
    </row>
    <row r="12" spans="1:13" ht="13.5" thickBot="1" x14ac:dyDescent="0.25">
      <c r="A12" s="1"/>
      <c r="B12" s="6">
        <f t="shared" si="0"/>
        <v>1</v>
      </c>
      <c r="C12" s="6">
        <v>1</v>
      </c>
      <c r="D12" s="6">
        <v>0</v>
      </c>
      <c r="E12" s="6">
        <f t="shared" si="1"/>
        <v>820</v>
      </c>
      <c r="F12" s="6">
        <v>10</v>
      </c>
      <c r="G12" s="6">
        <v>810</v>
      </c>
      <c r="H12" s="6">
        <f t="shared" si="2"/>
        <v>564</v>
      </c>
      <c r="I12" s="6">
        <v>6</v>
      </c>
      <c r="J12" s="6">
        <v>558</v>
      </c>
      <c r="K12" s="7" t="s">
        <v>11</v>
      </c>
      <c r="L12" s="8" t="s">
        <v>15</v>
      </c>
      <c r="M12" s="1"/>
    </row>
    <row r="13" spans="1:13" ht="13.5" thickBot="1" x14ac:dyDescent="0.25">
      <c r="A13" s="1"/>
      <c r="B13" s="6">
        <f t="shared" ref="B13:J13" si="5">SUM(B11:B12)</f>
        <v>2</v>
      </c>
      <c r="C13" s="6">
        <f t="shared" si="5"/>
        <v>1</v>
      </c>
      <c r="D13" s="6">
        <f t="shared" si="5"/>
        <v>1</v>
      </c>
      <c r="E13" s="6">
        <f t="shared" si="5"/>
        <v>1119</v>
      </c>
      <c r="F13" s="6">
        <f t="shared" si="5"/>
        <v>21</v>
      </c>
      <c r="G13" s="6">
        <f t="shared" si="5"/>
        <v>1098</v>
      </c>
      <c r="H13" s="6">
        <f t="shared" si="5"/>
        <v>789</v>
      </c>
      <c r="I13" s="6">
        <f t="shared" si="5"/>
        <v>17</v>
      </c>
      <c r="J13" s="6">
        <f t="shared" si="5"/>
        <v>772</v>
      </c>
      <c r="K13" s="7" t="s">
        <v>13</v>
      </c>
      <c r="L13" s="9"/>
      <c r="M13" s="1"/>
    </row>
    <row r="14" spans="1:13" ht="13.5" thickBot="1" x14ac:dyDescent="0.25">
      <c r="A14" s="1"/>
      <c r="B14" s="6">
        <f t="shared" si="0"/>
        <v>2</v>
      </c>
      <c r="C14" s="6">
        <v>0</v>
      </c>
      <c r="D14" s="6">
        <v>2</v>
      </c>
      <c r="E14" s="6">
        <f t="shared" si="1"/>
        <v>38</v>
      </c>
      <c r="F14" s="6">
        <v>30</v>
      </c>
      <c r="G14" s="6">
        <v>8</v>
      </c>
      <c r="H14" s="6">
        <f t="shared" si="2"/>
        <v>11</v>
      </c>
      <c r="I14" s="6">
        <v>9</v>
      </c>
      <c r="J14" s="6">
        <v>2</v>
      </c>
      <c r="K14" s="7" t="s">
        <v>10</v>
      </c>
      <c r="L14" s="8"/>
      <c r="M14" s="1"/>
    </row>
    <row r="15" spans="1:13" ht="13.5" thickBot="1" x14ac:dyDescent="0.25">
      <c r="A15" s="1"/>
      <c r="B15" s="6">
        <f t="shared" si="0"/>
        <v>2</v>
      </c>
      <c r="C15" s="6">
        <v>1</v>
      </c>
      <c r="D15" s="6">
        <v>1</v>
      </c>
      <c r="E15" s="6">
        <f t="shared" si="1"/>
        <v>33</v>
      </c>
      <c r="F15" s="6">
        <v>18</v>
      </c>
      <c r="G15" s="6">
        <v>15</v>
      </c>
      <c r="H15" s="6">
        <f t="shared" si="2"/>
        <v>7</v>
      </c>
      <c r="I15" s="6">
        <v>7</v>
      </c>
      <c r="J15" s="6">
        <v>0</v>
      </c>
      <c r="K15" s="7" t="s">
        <v>11</v>
      </c>
      <c r="L15" s="8" t="s">
        <v>16</v>
      </c>
      <c r="M15" s="1"/>
    </row>
    <row r="16" spans="1:13" ht="13.5" thickBot="1" x14ac:dyDescent="0.25">
      <c r="A16" s="1"/>
      <c r="B16" s="6">
        <f t="shared" ref="B16:J16" si="6">SUM(B14:B15)</f>
        <v>4</v>
      </c>
      <c r="C16" s="6">
        <f t="shared" si="6"/>
        <v>1</v>
      </c>
      <c r="D16" s="6">
        <f t="shared" si="6"/>
        <v>3</v>
      </c>
      <c r="E16" s="6">
        <f t="shared" si="6"/>
        <v>71</v>
      </c>
      <c r="F16" s="6">
        <f t="shared" si="6"/>
        <v>48</v>
      </c>
      <c r="G16" s="6">
        <f t="shared" si="6"/>
        <v>23</v>
      </c>
      <c r="H16" s="6">
        <f t="shared" si="6"/>
        <v>18</v>
      </c>
      <c r="I16" s="6">
        <f t="shared" si="6"/>
        <v>16</v>
      </c>
      <c r="J16" s="6">
        <f t="shared" si="6"/>
        <v>2</v>
      </c>
      <c r="K16" s="7" t="s">
        <v>13</v>
      </c>
      <c r="L16" s="9"/>
      <c r="M16" s="1"/>
    </row>
    <row r="17" spans="1:13" ht="13.5" thickBot="1" x14ac:dyDescent="0.25">
      <c r="A17" s="1"/>
      <c r="B17" s="6">
        <f t="shared" si="0"/>
        <v>0</v>
      </c>
      <c r="C17" s="6">
        <v>0</v>
      </c>
      <c r="D17" s="6">
        <v>0</v>
      </c>
      <c r="E17" s="6">
        <f t="shared" si="1"/>
        <v>8</v>
      </c>
      <c r="F17" s="6">
        <v>3</v>
      </c>
      <c r="G17" s="6">
        <v>5</v>
      </c>
      <c r="H17" s="6">
        <f t="shared" si="2"/>
        <v>4</v>
      </c>
      <c r="I17" s="6">
        <v>2</v>
      </c>
      <c r="J17" s="6">
        <v>2</v>
      </c>
      <c r="K17" s="7" t="s">
        <v>10</v>
      </c>
      <c r="L17" s="8"/>
      <c r="M17" s="1"/>
    </row>
    <row r="18" spans="1:13" ht="13.5" thickBot="1" x14ac:dyDescent="0.25">
      <c r="A18" s="1"/>
      <c r="B18" s="6">
        <f t="shared" si="0"/>
        <v>0</v>
      </c>
      <c r="C18" s="6">
        <v>0</v>
      </c>
      <c r="D18" s="6">
        <v>0</v>
      </c>
      <c r="E18" s="6">
        <f t="shared" si="1"/>
        <v>6</v>
      </c>
      <c r="F18" s="6">
        <v>4</v>
      </c>
      <c r="G18" s="6">
        <v>2</v>
      </c>
      <c r="H18" s="6">
        <f t="shared" si="2"/>
        <v>2</v>
      </c>
      <c r="I18" s="6">
        <v>2</v>
      </c>
      <c r="J18" s="6">
        <v>0</v>
      </c>
      <c r="K18" s="7" t="s">
        <v>11</v>
      </c>
      <c r="L18" s="8" t="s">
        <v>17</v>
      </c>
      <c r="M18" s="1"/>
    </row>
    <row r="19" spans="1:13" ht="13.5" thickBot="1" x14ac:dyDescent="0.25">
      <c r="A19" s="1"/>
      <c r="B19" s="6">
        <f t="shared" ref="B19:J19" si="7">SUM(B17:B18)</f>
        <v>0</v>
      </c>
      <c r="C19" s="6">
        <f t="shared" si="7"/>
        <v>0</v>
      </c>
      <c r="D19" s="6">
        <f t="shared" si="7"/>
        <v>0</v>
      </c>
      <c r="E19" s="6">
        <f t="shared" si="7"/>
        <v>14</v>
      </c>
      <c r="F19" s="6">
        <f t="shared" si="7"/>
        <v>7</v>
      </c>
      <c r="G19" s="6">
        <f t="shared" si="7"/>
        <v>7</v>
      </c>
      <c r="H19" s="6">
        <f t="shared" si="7"/>
        <v>6</v>
      </c>
      <c r="I19" s="6">
        <f t="shared" si="7"/>
        <v>4</v>
      </c>
      <c r="J19" s="6">
        <f t="shared" si="7"/>
        <v>2</v>
      </c>
      <c r="K19" s="7" t="s">
        <v>13</v>
      </c>
      <c r="L19" s="9"/>
      <c r="M19" s="1"/>
    </row>
    <row r="20" spans="1:13" ht="13.5" thickBot="1" x14ac:dyDescent="0.25">
      <c r="A20" s="1"/>
      <c r="B20" s="6">
        <f t="shared" si="0"/>
        <v>0</v>
      </c>
      <c r="C20" s="6">
        <v>0</v>
      </c>
      <c r="D20" s="6">
        <v>0</v>
      </c>
      <c r="E20" s="6">
        <f t="shared" si="1"/>
        <v>0</v>
      </c>
      <c r="F20" s="6">
        <v>0</v>
      </c>
      <c r="G20" s="6">
        <v>0</v>
      </c>
      <c r="H20" s="6">
        <f t="shared" si="2"/>
        <v>0</v>
      </c>
      <c r="I20" s="6">
        <v>0</v>
      </c>
      <c r="J20" s="6">
        <v>0</v>
      </c>
      <c r="K20" s="7" t="s">
        <v>10</v>
      </c>
      <c r="L20" s="8"/>
      <c r="M20" s="1"/>
    </row>
    <row r="21" spans="1:13" ht="13.5" thickBot="1" x14ac:dyDescent="0.25">
      <c r="A21" s="1"/>
      <c r="B21" s="6">
        <f t="shared" si="0"/>
        <v>0</v>
      </c>
      <c r="C21" s="6">
        <v>0</v>
      </c>
      <c r="D21" s="6">
        <v>0</v>
      </c>
      <c r="E21" s="6">
        <f t="shared" si="1"/>
        <v>0</v>
      </c>
      <c r="F21" s="6">
        <v>0</v>
      </c>
      <c r="G21" s="6">
        <v>0</v>
      </c>
      <c r="H21" s="6">
        <f t="shared" si="2"/>
        <v>0</v>
      </c>
      <c r="I21" s="6">
        <v>0</v>
      </c>
      <c r="J21" s="6">
        <v>0</v>
      </c>
      <c r="K21" s="7" t="s">
        <v>11</v>
      </c>
      <c r="L21" s="8" t="s">
        <v>18</v>
      </c>
      <c r="M21" s="1"/>
    </row>
    <row r="22" spans="1:13" ht="13.5" thickBot="1" x14ac:dyDescent="0.25">
      <c r="A22" s="1"/>
      <c r="B22" s="6">
        <f t="shared" ref="B22:J22" si="8">SUM(B20:B21)</f>
        <v>0</v>
      </c>
      <c r="C22" s="6">
        <f t="shared" si="8"/>
        <v>0</v>
      </c>
      <c r="D22" s="6">
        <f t="shared" si="8"/>
        <v>0</v>
      </c>
      <c r="E22" s="6">
        <f t="shared" si="8"/>
        <v>0</v>
      </c>
      <c r="F22" s="6">
        <f t="shared" si="8"/>
        <v>0</v>
      </c>
      <c r="G22" s="6">
        <f t="shared" si="8"/>
        <v>0</v>
      </c>
      <c r="H22" s="6">
        <f t="shared" si="8"/>
        <v>0</v>
      </c>
      <c r="I22" s="6">
        <f t="shared" si="8"/>
        <v>0</v>
      </c>
      <c r="J22" s="6">
        <f t="shared" si="8"/>
        <v>0</v>
      </c>
      <c r="K22" s="7" t="s">
        <v>13</v>
      </c>
      <c r="L22" s="9"/>
      <c r="M22" s="1"/>
    </row>
    <row r="23" spans="1:13" ht="13.5" thickBot="1" x14ac:dyDescent="0.25">
      <c r="A23" s="1"/>
      <c r="B23" s="6">
        <f t="shared" si="0"/>
        <v>8</v>
      </c>
      <c r="C23" s="6">
        <v>6</v>
      </c>
      <c r="D23" s="6">
        <v>2</v>
      </c>
      <c r="E23" s="6">
        <f t="shared" si="1"/>
        <v>216</v>
      </c>
      <c r="F23" s="6">
        <v>151</v>
      </c>
      <c r="G23" s="6">
        <v>65</v>
      </c>
      <c r="H23" s="6">
        <f t="shared" si="2"/>
        <v>54</v>
      </c>
      <c r="I23" s="6">
        <v>39</v>
      </c>
      <c r="J23" s="6">
        <v>15</v>
      </c>
      <c r="K23" s="7" t="s">
        <v>10</v>
      </c>
      <c r="L23" s="8"/>
      <c r="M23" s="1"/>
    </row>
    <row r="24" spans="1:13" ht="13.5" thickBot="1" x14ac:dyDescent="0.25">
      <c r="A24" s="1"/>
      <c r="B24" s="6">
        <f t="shared" si="0"/>
        <v>7</v>
      </c>
      <c r="C24" s="6">
        <v>5</v>
      </c>
      <c r="D24" s="6">
        <v>2</v>
      </c>
      <c r="E24" s="6">
        <f t="shared" si="1"/>
        <v>237</v>
      </c>
      <c r="F24" s="6">
        <v>167</v>
      </c>
      <c r="G24" s="6">
        <v>70</v>
      </c>
      <c r="H24" s="6">
        <f t="shared" si="2"/>
        <v>65</v>
      </c>
      <c r="I24" s="6">
        <v>58</v>
      </c>
      <c r="J24" s="6">
        <v>7</v>
      </c>
      <c r="K24" s="7" t="s">
        <v>11</v>
      </c>
      <c r="L24" s="8" t="s">
        <v>19</v>
      </c>
      <c r="M24" s="1"/>
    </row>
    <row r="25" spans="1:13" ht="13.5" thickBot="1" x14ac:dyDescent="0.25">
      <c r="A25" s="1"/>
      <c r="B25" s="6">
        <f t="shared" ref="B25:J25" si="9">SUM(B23:B24)</f>
        <v>15</v>
      </c>
      <c r="C25" s="6">
        <f t="shared" si="9"/>
        <v>11</v>
      </c>
      <c r="D25" s="6">
        <f t="shared" si="9"/>
        <v>4</v>
      </c>
      <c r="E25" s="6">
        <f t="shared" si="9"/>
        <v>453</v>
      </c>
      <c r="F25" s="6">
        <f t="shared" si="9"/>
        <v>318</v>
      </c>
      <c r="G25" s="6">
        <f t="shared" si="9"/>
        <v>135</v>
      </c>
      <c r="H25" s="6">
        <f t="shared" si="9"/>
        <v>119</v>
      </c>
      <c r="I25" s="6">
        <f t="shared" si="9"/>
        <v>97</v>
      </c>
      <c r="J25" s="6">
        <f t="shared" si="9"/>
        <v>22</v>
      </c>
      <c r="K25" s="7" t="s">
        <v>13</v>
      </c>
      <c r="L25" s="9"/>
      <c r="M25" s="1"/>
    </row>
    <row r="26" spans="1:13" ht="13.5" thickBot="1" x14ac:dyDescent="0.25">
      <c r="A26" s="1"/>
      <c r="B26" s="6">
        <f t="shared" si="0"/>
        <v>0</v>
      </c>
      <c r="C26" s="6">
        <v>0</v>
      </c>
      <c r="D26" s="6">
        <v>0</v>
      </c>
      <c r="E26" s="6">
        <f t="shared" si="1"/>
        <v>4</v>
      </c>
      <c r="F26" s="6">
        <v>3</v>
      </c>
      <c r="G26" s="6">
        <v>1</v>
      </c>
      <c r="H26" s="6">
        <f t="shared" si="2"/>
        <v>1</v>
      </c>
      <c r="I26" s="6">
        <v>1</v>
      </c>
      <c r="J26" s="6">
        <v>0</v>
      </c>
      <c r="K26" s="7" t="s">
        <v>10</v>
      </c>
      <c r="L26" s="8"/>
      <c r="M26" s="1"/>
    </row>
    <row r="27" spans="1:13" ht="13.5" thickBot="1" x14ac:dyDescent="0.25">
      <c r="A27" s="1"/>
      <c r="B27" s="6">
        <f t="shared" si="0"/>
        <v>0</v>
      </c>
      <c r="C27" s="6">
        <v>0</v>
      </c>
      <c r="D27" s="6">
        <v>0</v>
      </c>
      <c r="E27" s="6">
        <f t="shared" si="1"/>
        <v>15</v>
      </c>
      <c r="F27" s="6">
        <v>13</v>
      </c>
      <c r="G27" s="6">
        <v>2</v>
      </c>
      <c r="H27" s="6">
        <f t="shared" si="2"/>
        <v>5</v>
      </c>
      <c r="I27" s="6">
        <v>4</v>
      </c>
      <c r="J27" s="6">
        <v>1</v>
      </c>
      <c r="K27" s="7" t="s">
        <v>11</v>
      </c>
      <c r="L27" s="8" t="s">
        <v>20</v>
      </c>
      <c r="M27" s="1"/>
    </row>
    <row r="28" spans="1:13" ht="13.5" thickBot="1" x14ac:dyDescent="0.25">
      <c r="A28" s="1"/>
      <c r="B28" s="6">
        <f t="shared" ref="B28:J28" si="10">SUM(B26:B27)</f>
        <v>0</v>
      </c>
      <c r="C28" s="6">
        <f t="shared" si="10"/>
        <v>0</v>
      </c>
      <c r="D28" s="6">
        <f t="shared" si="10"/>
        <v>0</v>
      </c>
      <c r="E28" s="6">
        <f t="shared" si="10"/>
        <v>19</v>
      </c>
      <c r="F28" s="6">
        <f t="shared" si="10"/>
        <v>16</v>
      </c>
      <c r="G28" s="6">
        <f t="shared" si="10"/>
        <v>3</v>
      </c>
      <c r="H28" s="6">
        <f t="shared" si="10"/>
        <v>6</v>
      </c>
      <c r="I28" s="6">
        <f t="shared" si="10"/>
        <v>5</v>
      </c>
      <c r="J28" s="6">
        <f t="shared" si="10"/>
        <v>1</v>
      </c>
      <c r="K28" s="7" t="s">
        <v>13</v>
      </c>
      <c r="L28" s="9"/>
      <c r="M28" s="1"/>
    </row>
    <row r="29" spans="1:13" ht="13.5" thickBot="1" x14ac:dyDescent="0.25">
      <c r="A29" s="1"/>
      <c r="B29" s="6">
        <f t="shared" si="0"/>
        <v>0</v>
      </c>
      <c r="C29" s="6">
        <v>0</v>
      </c>
      <c r="D29" s="6">
        <v>0</v>
      </c>
      <c r="E29" s="6">
        <f t="shared" si="1"/>
        <v>10</v>
      </c>
      <c r="F29" s="6">
        <v>4</v>
      </c>
      <c r="G29" s="6">
        <v>6</v>
      </c>
      <c r="H29" s="6">
        <f t="shared" si="2"/>
        <v>3</v>
      </c>
      <c r="I29" s="6">
        <v>1</v>
      </c>
      <c r="J29" s="6">
        <v>2</v>
      </c>
      <c r="K29" s="7" t="s">
        <v>10</v>
      </c>
      <c r="L29" s="8"/>
      <c r="M29" s="1"/>
    </row>
    <row r="30" spans="1:13" ht="13.5" thickBot="1" x14ac:dyDescent="0.25">
      <c r="A30" s="1"/>
      <c r="B30" s="6">
        <f t="shared" si="0"/>
        <v>0</v>
      </c>
      <c r="C30" s="6">
        <v>0</v>
      </c>
      <c r="D30" s="6">
        <v>0</v>
      </c>
      <c r="E30" s="6">
        <f t="shared" si="1"/>
        <v>13</v>
      </c>
      <c r="F30" s="6">
        <v>10</v>
      </c>
      <c r="G30" s="6">
        <v>3</v>
      </c>
      <c r="H30" s="6">
        <f t="shared" si="2"/>
        <v>3</v>
      </c>
      <c r="I30" s="6">
        <v>3</v>
      </c>
      <c r="J30" s="6">
        <v>0</v>
      </c>
      <c r="K30" s="7" t="s">
        <v>11</v>
      </c>
      <c r="L30" s="8" t="s">
        <v>21</v>
      </c>
      <c r="M30" s="1"/>
    </row>
    <row r="31" spans="1:13" ht="13.5" thickBot="1" x14ac:dyDescent="0.25">
      <c r="A31" s="1"/>
      <c r="B31" s="6">
        <f t="shared" ref="B31:J31" si="11">SUM(B29:B30)</f>
        <v>0</v>
      </c>
      <c r="C31" s="6">
        <f t="shared" si="11"/>
        <v>0</v>
      </c>
      <c r="D31" s="6">
        <f t="shared" si="11"/>
        <v>0</v>
      </c>
      <c r="E31" s="6">
        <f t="shared" si="11"/>
        <v>23</v>
      </c>
      <c r="F31" s="6">
        <f t="shared" si="11"/>
        <v>14</v>
      </c>
      <c r="G31" s="6">
        <f t="shared" si="11"/>
        <v>9</v>
      </c>
      <c r="H31" s="6">
        <f t="shared" si="11"/>
        <v>6</v>
      </c>
      <c r="I31" s="6">
        <f t="shared" si="11"/>
        <v>4</v>
      </c>
      <c r="J31" s="6">
        <f t="shared" si="11"/>
        <v>2</v>
      </c>
      <c r="K31" s="7" t="s">
        <v>13</v>
      </c>
      <c r="L31" s="9"/>
      <c r="M31" s="1"/>
    </row>
    <row r="32" spans="1:13" ht="13.5" thickBot="1" x14ac:dyDescent="0.25">
      <c r="A32" s="1"/>
      <c r="B32" s="6">
        <f t="shared" si="0"/>
        <v>4</v>
      </c>
      <c r="C32" s="6">
        <v>1</v>
      </c>
      <c r="D32" s="6">
        <v>3</v>
      </c>
      <c r="E32" s="6">
        <f t="shared" si="1"/>
        <v>138</v>
      </c>
      <c r="F32" s="6">
        <v>46</v>
      </c>
      <c r="G32" s="6">
        <v>92</v>
      </c>
      <c r="H32" s="6">
        <f t="shared" si="2"/>
        <v>27</v>
      </c>
      <c r="I32" s="6">
        <v>26</v>
      </c>
      <c r="J32" s="6">
        <v>1</v>
      </c>
      <c r="K32" s="7" t="s">
        <v>10</v>
      </c>
      <c r="L32" s="8"/>
      <c r="M32" s="1"/>
    </row>
    <row r="33" spans="1:13" ht="13.5" thickBot="1" x14ac:dyDescent="0.25">
      <c r="A33" s="1"/>
      <c r="B33" s="6">
        <f t="shared" si="0"/>
        <v>7</v>
      </c>
      <c r="C33" s="6">
        <v>5</v>
      </c>
      <c r="D33" s="6">
        <v>2</v>
      </c>
      <c r="E33" s="6">
        <f t="shared" si="1"/>
        <v>311</v>
      </c>
      <c r="F33" s="6">
        <v>112</v>
      </c>
      <c r="G33" s="6">
        <v>199</v>
      </c>
      <c r="H33" s="6">
        <f t="shared" si="2"/>
        <v>71</v>
      </c>
      <c r="I33" s="6">
        <v>57</v>
      </c>
      <c r="J33" s="6">
        <v>14</v>
      </c>
      <c r="K33" s="7" t="s">
        <v>11</v>
      </c>
      <c r="L33" s="8" t="s">
        <v>22</v>
      </c>
      <c r="M33" s="1"/>
    </row>
    <row r="34" spans="1:13" ht="13.5" thickBot="1" x14ac:dyDescent="0.25">
      <c r="A34" s="1"/>
      <c r="B34" s="6">
        <f t="shared" ref="B34:J34" si="12">SUM(B32:B33)</f>
        <v>11</v>
      </c>
      <c r="C34" s="6">
        <f t="shared" si="12"/>
        <v>6</v>
      </c>
      <c r="D34" s="6">
        <f t="shared" si="12"/>
        <v>5</v>
      </c>
      <c r="E34" s="6">
        <f t="shared" si="12"/>
        <v>449</v>
      </c>
      <c r="F34" s="6">
        <f t="shared" si="12"/>
        <v>158</v>
      </c>
      <c r="G34" s="6">
        <f t="shared" si="12"/>
        <v>291</v>
      </c>
      <c r="H34" s="6">
        <f t="shared" si="12"/>
        <v>98</v>
      </c>
      <c r="I34" s="6">
        <f t="shared" si="12"/>
        <v>83</v>
      </c>
      <c r="J34" s="6">
        <f t="shared" si="12"/>
        <v>15</v>
      </c>
      <c r="K34" s="7" t="s">
        <v>13</v>
      </c>
      <c r="L34" s="9"/>
      <c r="M34" s="1"/>
    </row>
    <row r="35" spans="1:13" ht="13.5" thickBot="1" x14ac:dyDescent="0.25">
      <c r="A35" s="1"/>
      <c r="B35" s="6">
        <f t="shared" si="0"/>
        <v>60</v>
      </c>
      <c r="C35" s="6">
        <v>42</v>
      </c>
      <c r="D35" s="6">
        <v>18</v>
      </c>
      <c r="E35" s="6">
        <f t="shared" si="1"/>
        <v>1677</v>
      </c>
      <c r="F35" s="6">
        <v>1224</v>
      </c>
      <c r="G35" s="6">
        <v>453</v>
      </c>
      <c r="H35" s="6">
        <f t="shared" si="2"/>
        <v>75</v>
      </c>
      <c r="I35" s="6">
        <v>0</v>
      </c>
      <c r="J35" s="6">
        <v>75</v>
      </c>
      <c r="K35" s="7" t="s">
        <v>10</v>
      </c>
      <c r="L35" s="8"/>
      <c r="M35" s="1"/>
    </row>
    <row r="36" spans="1:13" ht="13.5" thickBot="1" x14ac:dyDescent="0.25">
      <c r="A36" s="1"/>
      <c r="B36" s="6">
        <f t="shared" si="0"/>
        <v>9</v>
      </c>
      <c r="C36" s="6">
        <v>8</v>
      </c>
      <c r="D36" s="6">
        <v>1</v>
      </c>
      <c r="E36" s="6">
        <f t="shared" si="1"/>
        <v>444</v>
      </c>
      <c r="F36" s="6">
        <v>288</v>
      </c>
      <c r="G36" s="6">
        <v>156</v>
      </c>
      <c r="H36" s="6">
        <f t="shared" si="2"/>
        <v>21</v>
      </c>
      <c r="I36" s="6">
        <v>0</v>
      </c>
      <c r="J36" s="6">
        <v>21</v>
      </c>
      <c r="K36" s="7" t="s">
        <v>11</v>
      </c>
      <c r="L36" s="8" t="s">
        <v>23</v>
      </c>
      <c r="M36" s="1"/>
    </row>
    <row r="37" spans="1:13" ht="13.5" thickBot="1" x14ac:dyDescent="0.25">
      <c r="A37" s="1"/>
      <c r="B37" s="6">
        <f t="shared" ref="B37:J37" si="13">SUM(B35:B36)</f>
        <v>69</v>
      </c>
      <c r="C37" s="6">
        <f t="shared" si="13"/>
        <v>50</v>
      </c>
      <c r="D37" s="6">
        <f t="shared" si="13"/>
        <v>19</v>
      </c>
      <c r="E37" s="6">
        <f t="shared" si="13"/>
        <v>2121</v>
      </c>
      <c r="F37" s="6">
        <f t="shared" si="13"/>
        <v>1512</v>
      </c>
      <c r="G37" s="6">
        <f t="shared" si="13"/>
        <v>609</v>
      </c>
      <c r="H37" s="6">
        <f t="shared" si="13"/>
        <v>96</v>
      </c>
      <c r="I37" s="6">
        <f t="shared" si="13"/>
        <v>0</v>
      </c>
      <c r="J37" s="6">
        <f t="shared" si="13"/>
        <v>96</v>
      </c>
      <c r="K37" s="7" t="s">
        <v>13</v>
      </c>
      <c r="L37" s="9"/>
      <c r="M37" s="1"/>
    </row>
    <row r="38" spans="1:13" ht="13.5" thickBot="1" x14ac:dyDescent="0.25">
      <c r="A38" s="1"/>
      <c r="B38" s="6">
        <f t="shared" si="0"/>
        <v>1</v>
      </c>
      <c r="C38" s="6">
        <v>0</v>
      </c>
      <c r="D38" s="6">
        <v>1</v>
      </c>
      <c r="E38" s="6">
        <f t="shared" si="1"/>
        <v>54</v>
      </c>
      <c r="F38" s="6">
        <v>34</v>
      </c>
      <c r="G38" s="6">
        <v>20</v>
      </c>
      <c r="H38" s="6">
        <f t="shared" si="2"/>
        <v>16</v>
      </c>
      <c r="I38" s="6">
        <v>13</v>
      </c>
      <c r="J38" s="6">
        <v>3</v>
      </c>
      <c r="K38" s="7" t="s">
        <v>10</v>
      </c>
      <c r="L38" s="8"/>
      <c r="M38" s="1"/>
    </row>
    <row r="39" spans="1:13" ht="13.5" thickBot="1" x14ac:dyDescent="0.25">
      <c r="A39" s="1"/>
      <c r="B39" s="6">
        <f t="shared" si="0"/>
        <v>0</v>
      </c>
      <c r="C39" s="6">
        <v>0</v>
      </c>
      <c r="D39" s="6">
        <v>0</v>
      </c>
      <c r="E39" s="6">
        <f t="shared" si="1"/>
        <v>18</v>
      </c>
      <c r="F39" s="6">
        <v>13</v>
      </c>
      <c r="G39" s="6">
        <v>5</v>
      </c>
      <c r="H39" s="6">
        <f t="shared" si="2"/>
        <v>4</v>
      </c>
      <c r="I39" s="6">
        <v>3</v>
      </c>
      <c r="J39" s="6">
        <v>1</v>
      </c>
      <c r="K39" s="7" t="s">
        <v>11</v>
      </c>
      <c r="L39" s="8" t="s">
        <v>24</v>
      </c>
      <c r="M39" s="1"/>
    </row>
    <row r="40" spans="1:13" ht="13.5" thickBot="1" x14ac:dyDescent="0.25">
      <c r="A40" s="1"/>
      <c r="B40" s="6">
        <f t="shared" ref="B40:J40" si="14">SUM(B38:B39)</f>
        <v>1</v>
      </c>
      <c r="C40" s="6">
        <f t="shared" si="14"/>
        <v>0</v>
      </c>
      <c r="D40" s="6">
        <f t="shared" si="14"/>
        <v>1</v>
      </c>
      <c r="E40" s="6">
        <f t="shared" si="14"/>
        <v>72</v>
      </c>
      <c r="F40" s="6">
        <f t="shared" si="14"/>
        <v>47</v>
      </c>
      <c r="G40" s="6">
        <f t="shared" si="14"/>
        <v>25</v>
      </c>
      <c r="H40" s="6">
        <f t="shared" si="14"/>
        <v>20</v>
      </c>
      <c r="I40" s="6">
        <f t="shared" si="14"/>
        <v>16</v>
      </c>
      <c r="J40" s="6">
        <f t="shared" si="14"/>
        <v>4</v>
      </c>
      <c r="K40" s="7" t="s">
        <v>13</v>
      </c>
      <c r="L40" s="9"/>
      <c r="M40" s="1"/>
    </row>
    <row r="41" spans="1:13" ht="13.5" thickBot="1" x14ac:dyDescent="0.25">
      <c r="A41" s="1"/>
      <c r="B41" s="6">
        <f t="shared" si="0"/>
        <v>129</v>
      </c>
      <c r="C41" s="6">
        <v>92</v>
      </c>
      <c r="D41" s="6">
        <v>37</v>
      </c>
      <c r="E41" s="6">
        <f t="shared" si="1"/>
        <v>889</v>
      </c>
      <c r="F41" s="6">
        <v>151</v>
      </c>
      <c r="G41" s="6">
        <v>738</v>
      </c>
      <c r="H41" s="6">
        <f t="shared" si="2"/>
        <v>278</v>
      </c>
      <c r="I41" s="6">
        <v>218</v>
      </c>
      <c r="J41" s="6">
        <v>60</v>
      </c>
      <c r="K41" s="7" t="s">
        <v>10</v>
      </c>
      <c r="L41" s="8"/>
      <c r="M41" s="1"/>
    </row>
    <row r="42" spans="1:13" ht="13.5" thickBot="1" x14ac:dyDescent="0.25">
      <c r="A42" s="1"/>
      <c r="B42" s="6">
        <f t="shared" si="0"/>
        <v>17</v>
      </c>
      <c r="C42" s="6">
        <v>13</v>
      </c>
      <c r="D42" s="6">
        <v>4</v>
      </c>
      <c r="E42" s="6">
        <f t="shared" si="1"/>
        <v>299</v>
      </c>
      <c r="F42" s="6">
        <v>167</v>
      </c>
      <c r="G42" s="6">
        <v>132</v>
      </c>
      <c r="H42" s="6">
        <f t="shared" si="2"/>
        <v>73</v>
      </c>
      <c r="I42" s="6">
        <v>64</v>
      </c>
      <c r="J42" s="6">
        <v>9</v>
      </c>
      <c r="K42" s="7" t="s">
        <v>11</v>
      </c>
      <c r="L42" s="8" t="s">
        <v>25</v>
      </c>
      <c r="M42" s="1"/>
    </row>
    <row r="43" spans="1:13" ht="13.5" thickBot="1" x14ac:dyDescent="0.25">
      <c r="A43" s="1"/>
      <c r="B43" s="6">
        <f t="shared" ref="B43:J43" si="15">SUM(B41:B42)</f>
        <v>146</v>
      </c>
      <c r="C43" s="6">
        <f t="shared" si="15"/>
        <v>105</v>
      </c>
      <c r="D43" s="6">
        <f t="shared" si="15"/>
        <v>41</v>
      </c>
      <c r="E43" s="6">
        <f t="shared" si="15"/>
        <v>1188</v>
      </c>
      <c r="F43" s="6">
        <f t="shared" si="15"/>
        <v>318</v>
      </c>
      <c r="G43" s="6">
        <f t="shared" si="15"/>
        <v>870</v>
      </c>
      <c r="H43" s="6">
        <f t="shared" si="15"/>
        <v>351</v>
      </c>
      <c r="I43" s="6">
        <f t="shared" si="15"/>
        <v>282</v>
      </c>
      <c r="J43" s="6">
        <f t="shared" si="15"/>
        <v>69</v>
      </c>
      <c r="K43" s="7" t="s">
        <v>13</v>
      </c>
      <c r="L43" s="9"/>
      <c r="M43" s="1"/>
    </row>
    <row r="44" spans="1:13" ht="13.5" thickBot="1" x14ac:dyDescent="0.25">
      <c r="A44" s="1"/>
      <c r="B44" s="6">
        <f t="shared" si="0"/>
        <v>2</v>
      </c>
      <c r="C44" s="6">
        <v>0</v>
      </c>
      <c r="D44" s="6">
        <v>2</v>
      </c>
      <c r="E44" s="6">
        <f t="shared" si="1"/>
        <v>54</v>
      </c>
      <c r="F44" s="6">
        <v>27</v>
      </c>
      <c r="G44" s="6">
        <v>27</v>
      </c>
      <c r="H44" s="6">
        <f t="shared" si="2"/>
        <v>8</v>
      </c>
      <c r="I44" s="6">
        <v>6</v>
      </c>
      <c r="J44" s="6">
        <v>2</v>
      </c>
      <c r="K44" s="7" t="s">
        <v>10</v>
      </c>
      <c r="L44" s="8"/>
      <c r="M44" s="1"/>
    </row>
    <row r="45" spans="1:13" ht="13.5" thickBot="1" x14ac:dyDescent="0.25">
      <c r="A45" s="1"/>
      <c r="B45" s="6">
        <f t="shared" si="0"/>
        <v>0</v>
      </c>
      <c r="C45" s="6">
        <v>0</v>
      </c>
      <c r="D45" s="6">
        <v>0</v>
      </c>
      <c r="E45" s="6">
        <f t="shared" si="1"/>
        <v>79</v>
      </c>
      <c r="F45" s="6">
        <v>29</v>
      </c>
      <c r="G45" s="6">
        <v>50</v>
      </c>
      <c r="H45" s="6">
        <f t="shared" si="2"/>
        <v>14</v>
      </c>
      <c r="I45" s="6">
        <v>11</v>
      </c>
      <c r="J45" s="6">
        <v>3</v>
      </c>
      <c r="K45" s="7" t="s">
        <v>11</v>
      </c>
      <c r="L45" s="8" t="s">
        <v>26</v>
      </c>
      <c r="M45" s="1"/>
    </row>
    <row r="46" spans="1:13" ht="13.5" thickBot="1" x14ac:dyDescent="0.25">
      <c r="A46" s="1"/>
      <c r="B46" s="6">
        <f t="shared" ref="B46:J46" si="16">SUM(B44:B45)</f>
        <v>2</v>
      </c>
      <c r="C46" s="6">
        <f t="shared" si="16"/>
        <v>0</v>
      </c>
      <c r="D46" s="6">
        <f t="shared" si="16"/>
        <v>2</v>
      </c>
      <c r="E46" s="6">
        <f t="shared" si="16"/>
        <v>133</v>
      </c>
      <c r="F46" s="6">
        <f t="shared" si="16"/>
        <v>56</v>
      </c>
      <c r="G46" s="6">
        <f t="shared" si="16"/>
        <v>77</v>
      </c>
      <c r="H46" s="6">
        <f t="shared" si="16"/>
        <v>22</v>
      </c>
      <c r="I46" s="6">
        <f t="shared" si="16"/>
        <v>17</v>
      </c>
      <c r="J46" s="6">
        <f t="shared" si="16"/>
        <v>5</v>
      </c>
      <c r="K46" s="7" t="s">
        <v>13</v>
      </c>
      <c r="L46" s="9"/>
      <c r="M46" s="1"/>
    </row>
    <row r="47" spans="1:13" ht="13.5" thickBot="1" x14ac:dyDescent="0.25">
      <c r="A47" s="1"/>
      <c r="B47" s="6">
        <f t="shared" si="0"/>
        <v>0</v>
      </c>
      <c r="C47" s="6">
        <v>0</v>
      </c>
      <c r="D47" s="6">
        <v>0</v>
      </c>
      <c r="E47" s="6">
        <f t="shared" si="1"/>
        <v>168</v>
      </c>
      <c r="F47" s="6">
        <v>135</v>
      </c>
      <c r="G47" s="6">
        <v>33</v>
      </c>
      <c r="H47" s="6">
        <f t="shared" si="2"/>
        <v>76</v>
      </c>
      <c r="I47" s="6">
        <v>74</v>
      </c>
      <c r="J47" s="6">
        <v>2</v>
      </c>
      <c r="K47" s="7" t="s">
        <v>10</v>
      </c>
      <c r="L47" s="8"/>
      <c r="M47" s="1"/>
    </row>
    <row r="48" spans="1:13" ht="13.5" thickBot="1" x14ac:dyDescent="0.25">
      <c r="A48" s="1"/>
      <c r="B48" s="6">
        <f t="shared" si="0"/>
        <v>0</v>
      </c>
      <c r="C48" s="6">
        <v>0</v>
      </c>
      <c r="D48" s="6">
        <v>0</v>
      </c>
      <c r="E48" s="6">
        <f t="shared" si="1"/>
        <v>55</v>
      </c>
      <c r="F48" s="6">
        <v>52</v>
      </c>
      <c r="G48" s="6">
        <v>3</v>
      </c>
      <c r="H48" s="6">
        <f t="shared" si="2"/>
        <v>27</v>
      </c>
      <c r="I48" s="6">
        <v>27</v>
      </c>
      <c r="J48" s="6">
        <v>0</v>
      </c>
      <c r="K48" s="7" t="s">
        <v>11</v>
      </c>
      <c r="L48" s="8" t="s">
        <v>27</v>
      </c>
      <c r="M48" s="1"/>
    </row>
    <row r="49" spans="1:13" ht="13.5" thickBot="1" x14ac:dyDescent="0.25">
      <c r="A49" s="1"/>
      <c r="B49" s="6">
        <f t="shared" ref="B49:J49" si="17">SUM(B47:B48)</f>
        <v>0</v>
      </c>
      <c r="C49" s="6">
        <f t="shared" si="17"/>
        <v>0</v>
      </c>
      <c r="D49" s="6">
        <f t="shared" si="17"/>
        <v>0</v>
      </c>
      <c r="E49" s="6">
        <f t="shared" si="17"/>
        <v>223</v>
      </c>
      <c r="F49" s="6">
        <f t="shared" si="17"/>
        <v>187</v>
      </c>
      <c r="G49" s="6">
        <f t="shared" si="17"/>
        <v>36</v>
      </c>
      <c r="H49" s="6">
        <f t="shared" si="17"/>
        <v>103</v>
      </c>
      <c r="I49" s="6">
        <f t="shared" si="17"/>
        <v>101</v>
      </c>
      <c r="J49" s="6">
        <f t="shared" si="17"/>
        <v>2</v>
      </c>
      <c r="K49" s="7" t="s">
        <v>13</v>
      </c>
      <c r="L49" s="9"/>
      <c r="M49" s="1"/>
    </row>
    <row r="50" spans="1:13" ht="13.5" thickBot="1" x14ac:dyDescent="0.25">
      <c r="A50" s="1"/>
      <c r="B50" s="6">
        <f t="shared" ref="B50:I52" si="18">B5+B8+B11+B14+B17+B20+B23+B26+B29+B32+B35+B38+B41+B44+B47</f>
        <v>212</v>
      </c>
      <c r="C50" s="6">
        <f t="shared" si="18"/>
        <v>145</v>
      </c>
      <c r="D50" s="6">
        <f t="shared" si="18"/>
        <v>67</v>
      </c>
      <c r="E50" s="6">
        <f t="shared" si="18"/>
        <v>3570</v>
      </c>
      <c r="F50" s="6">
        <f t="shared" si="18"/>
        <v>1832</v>
      </c>
      <c r="G50" s="6">
        <f t="shared" si="18"/>
        <v>1738</v>
      </c>
      <c r="H50" s="6">
        <f t="shared" si="18"/>
        <v>785</v>
      </c>
      <c r="I50" s="6">
        <f t="shared" si="18"/>
        <v>407</v>
      </c>
      <c r="J50" s="6">
        <f>J5+J8+J11+J14+J17+J20+J23+J26+J29+J32+J35+J38+J41+J44+J47</f>
        <v>378</v>
      </c>
      <c r="K50" s="4" t="s">
        <v>28</v>
      </c>
      <c r="L50" s="10"/>
      <c r="M50" s="1"/>
    </row>
    <row r="51" spans="1:13" ht="13.5" thickBot="1" x14ac:dyDescent="0.25">
      <c r="A51" s="1"/>
      <c r="B51" s="6">
        <f t="shared" si="18"/>
        <v>43</v>
      </c>
      <c r="C51" s="6">
        <f t="shared" si="18"/>
        <v>33</v>
      </c>
      <c r="D51" s="6">
        <f t="shared" si="18"/>
        <v>10</v>
      </c>
      <c r="E51" s="6">
        <f t="shared" si="18"/>
        <v>2339</v>
      </c>
      <c r="F51" s="6">
        <f t="shared" si="18"/>
        <v>890</v>
      </c>
      <c r="G51" s="6">
        <f t="shared" si="18"/>
        <v>1449</v>
      </c>
      <c r="H51" s="6">
        <f t="shared" si="18"/>
        <v>861</v>
      </c>
      <c r="I51" s="6">
        <f t="shared" si="18"/>
        <v>246</v>
      </c>
      <c r="J51" s="6">
        <f>J6+J9+J12+J15+J18+J21+J24+J27+J30+J33+J36+J39+J42+J45+J48</f>
        <v>615</v>
      </c>
      <c r="K51" s="4" t="s">
        <v>29</v>
      </c>
      <c r="L51" s="8" t="s">
        <v>30</v>
      </c>
      <c r="M51" s="1"/>
    </row>
    <row r="52" spans="1:13" ht="13.5" thickBot="1" x14ac:dyDescent="0.25">
      <c r="A52" s="1"/>
      <c r="B52" s="6">
        <f t="shared" si="18"/>
        <v>255</v>
      </c>
      <c r="C52" s="6">
        <f t="shared" si="18"/>
        <v>178</v>
      </c>
      <c r="D52" s="6">
        <f t="shared" si="18"/>
        <v>77</v>
      </c>
      <c r="E52" s="6">
        <f t="shared" si="18"/>
        <v>5909</v>
      </c>
      <c r="F52" s="6">
        <f t="shared" si="18"/>
        <v>2722</v>
      </c>
      <c r="G52" s="6">
        <f t="shared" si="18"/>
        <v>3187</v>
      </c>
      <c r="H52" s="6">
        <f t="shared" si="18"/>
        <v>1646</v>
      </c>
      <c r="I52" s="6">
        <f t="shared" si="18"/>
        <v>653</v>
      </c>
      <c r="J52" s="6">
        <f>J7+J10+J13+J16+J19+J22+J25+J28+J31+J34+J37+J40+J43+J46+J49</f>
        <v>993</v>
      </c>
      <c r="K52" s="4" t="s">
        <v>13</v>
      </c>
      <c r="L52" s="9"/>
      <c r="M52" s="1"/>
    </row>
    <row r="53" spans="1:13" ht="13.5" thickBot="1" x14ac:dyDescent="0.25">
      <c r="A53" s="1"/>
      <c r="B53" s="6">
        <f t="shared" si="0"/>
        <v>0</v>
      </c>
      <c r="C53" s="6">
        <v>0</v>
      </c>
      <c r="D53" s="6">
        <v>0</v>
      </c>
      <c r="E53" s="6">
        <f t="shared" si="1"/>
        <v>295</v>
      </c>
      <c r="F53" s="6">
        <v>119</v>
      </c>
      <c r="G53" s="6">
        <v>176</v>
      </c>
      <c r="H53" s="6">
        <f t="shared" si="2"/>
        <v>88</v>
      </c>
      <c r="I53" s="6">
        <v>70</v>
      </c>
      <c r="J53" s="6">
        <v>18</v>
      </c>
      <c r="K53" s="7" t="s">
        <v>10</v>
      </c>
      <c r="L53" s="8"/>
      <c r="M53" s="1"/>
    </row>
    <row r="54" spans="1:13" ht="13.5" thickBot="1" x14ac:dyDescent="0.25">
      <c r="A54" s="1"/>
      <c r="B54" s="6">
        <f t="shared" si="0"/>
        <v>0</v>
      </c>
      <c r="C54" s="6">
        <v>0</v>
      </c>
      <c r="D54" s="6">
        <v>0</v>
      </c>
      <c r="E54" s="6">
        <f t="shared" si="1"/>
        <v>15</v>
      </c>
      <c r="F54" s="6">
        <v>6</v>
      </c>
      <c r="G54" s="6">
        <v>9</v>
      </c>
      <c r="H54" s="6">
        <f t="shared" si="2"/>
        <v>9</v>
      </c>
      <c r="I54" s="6">
        <v>5</v>
      </c>
      <c r="J54" s="6">
        <v>4</v>
      </c>
      <c r="K54" s="7" t="s">
        <v>11</v>
      </c>
      <c r="L54" s="8" t="s">
        <v>31</v>
      </c>
      <c r="M54" s="1"/>
    </row>
    <row r="55" spans="1:13" ht="13.5" thickBot="1" x14ac:dyDescent="0.25">
      <c r="A55" s="1"/>
      <c r="B55" s="6">
        <f t="shared" ref="B55:J55" si="19">SUM(B53:B54)</f>
        <v>0</v>
      </c>
      <c r="C55" s="6">
        <f t="shared" si="19"/>
        <v>0</v>
      </c>
      <c r="D55" s="6">
        <f t="shared" si="19"/>
        <v>0</v>
      </c>
      <c r="E55" s="6">
        <f t="shared" si="19"/>
        <v>310</v>
      </c>
      <c r="F55" s="6">
        <f t="shared" si="19"/>
        <v>125</v>
      </c>
      <c r="G55" s="6">
        <f t="shared" si="19"/>
        <v>185</v>
      </c>
      <c r="H55" s="6">
        <f t="shared" si="19"/>
        <v>97</v>
      </c>
      <c r="I55" s="6">
        <f t="shared" si="19"/>
        <v>75</v>
      </c>
      <c r="J55" s="6">
        <f t="shared" si="19"/>
        <v>22</v>
      </c>
      <c r="K55" s="7" t="s">
        <v>13</v>
      </c>
      <c r="L55" s="9"/>
      <c r="M55" s="1"/>
    </row>
    <row r="56" spans="1:13" ht="13.5" thickBot="1" x14ac:dyDescent="0.25">
      <c r="A56" s="1"/>
      <c r="B56" s="6">
        <f t="shared" si="0"/>
        <v>3</v>
      </c>
      <c r="C56" s="6">
        <v>1</v>
      </c>
      <c r="D56" s="6">
        <v>2</v>
      </c>
      <c r="E56" s="6">
        <f t="shared" si="1"/>
        <v>436</v>
      </c>
      <c r="F56" s="6">
        <v>133</v>
      </c>
      <c r="G56" s="6">
        <v>303</v>
      </c>
      <c r="H56" s="6">
        <f t="shared" si="2"/>
        <v>94</v>
      </c>
      <c r="I56" s="6">
        <v>70</v>
      </c>
      <c r="J56" s="6">
        <v>24</v>
      </c>
      <c r="K56" s="7" t="s">
        <v>10</v>
      </c>
      <c r="L56" s="8"/>
      <c r="M56" s="1"/>
    </row>
    <row r="57" spans="1:13" ht="13.5" thickBot="1" x14ac:dyDescent="0.25">
      <c r="A57" s="1"/>
      <c r="B57" s="6">
        <f t="shared" si="0"/>
        <v>4</v>
      </c>
      <c r="C57" s="6">
        <v>2</v>
      </c>
      <c r="D57" s="6">
        <v>2</v>
      </c>
      <c r="E57" s="6">
        <f t="shared" si="1"/>
        <v>63</v>
      </c>
      <c r="F57" s="6">
        <v>34</v>
      </c>
      <c r="G57" s="6">
        <v>29</v>
      </c>
      <c r="H57" s="6">
        <f t="shared" si="2"/>
        <v>27</v>
      </c>
      <c r="I57" s="6">
        <v>21</v>
      </c>
      <c r="J57" s="6">
        <v>6</v>
      </c>
      <c r="K57" s="7" t="s">
        <v>11</v>
      </c>
      <c r="L57" s="8" t="s">
        <v>32</v>
      </c>
      <c r="M57" s="1"/>
    </row>
    <row r="58" spans="1:13" ht="13.5" thickBot="1" x14ac:dyDescent="0.25">
      <c r="A58" s="1"/>
      <c r="B58" s="6">
        <f t="shared" ref="B58:J58" si="20">SUM(B56:B57)</f>
        <v>7</v>
      </c>
      <c r="C58" s="6">
        <f t="shared" si="20"/>
        <v>3</v>
      </c>
      <c r="D58" s="6">
        <f t="shared" si="20"/>
        <v>4</v>
      </c>
      <c r="E58" s="6">
        <f t="shared" si="20"/>
        <v>499</v>
      </c>
      <c r="F58" s="6">
        <f t="shared" si="20"/>
        <v>167</v>
      </c>
      <c r="G58" s="6">
        <f t="shared" si="20"/>
        <v>332</v>
      </c>
      <c r="H58" s="6">
        <f t="shared" si="20"/>
        <v>121</v>
      </c>
      <c r="I58" s="6">
        <f t="shared" si="20"/>
        <v>91</v>
      </c>
      <c r="J58" s="6">
        <f t="shared" si="20"/>
        <v>30</v>
      </c>
      <c r="K58" s="7" t="s">
        <v>13</v>
      </c>
      <c r="L58" s="9"/>
      <c r="M58" s="1"/>
    </row>
    <row r="59" spans="1:13" ht="13.5" thickBot="1" x14ac:dyDescent="0.25">
      <c r="A59" s="1"/>
      <c r="B59" s="6">
        <f t="shared" si="0"/>
        <v>167</v>
      </c>
      <c r="C59" s="6">
        <v>56</v>
      </c>
      <c r="D59" s="6">
        <v>111</v>
      </c>
      <c r="E59" s="6">
        <f t="shared" si="1"/>
        <v>6760</v>
      </c>
      <c r="F59" s="6">
        <v>2392</v>
      </c>
      <c r="G59" s="6">
        <v>4368</v>
      </c>
      <c r="H59" s="6">
        <f t="shared" si="2"/>
        <v>3714</v>
      </c>
      <c r="I59" s="6">
        <v>1615</v>
      </c>
      <c r="J59" s="6">
        <v>2099</v>
      </c>
      <c r="K59" s="7" t="s">
        <v>10</v>
      </c>
      <c r="L59" s="8"/>
      <c r="M59" s="1"/>
    </row>
    <row r="60" spans="1:13" ht="13.5" thickBot="1" x14ac:dyDescent="0.25">
      <c r="A60" s="1"/>
      <c r="B60" s="6">
        <f t="shared" si="0"/>
        <v>13</v>
      </c>
      <c r="C60" s="6">
        <v>9</v>
      </c>
      <c r="D60" s="6">
        <v>4</v>
      </c>
      <c r="E60" s="6">
        <f t="shared" si="1"/>
        <v>1153</v>
      </c>
      <c r="F60" s="6">
        <v>362</v>
      </c>
      <c r="G60" s="6">
        <v>791</v>
      </c>
      <c r="H60" s="6">
        <f t="shared" si="2"/>
        <v>679</v>
      </c>
      <c r="I60" s="6">
        <v>265</v>
      </c>
      <c r="J60" s="6">
        <v>414</v>
      </c>
      <c r="K60" s="7" t="s">
        <v>11</v>
      </c>
      <c r="L60" s="8" t="s">
        <v>33</v>
      </c>
      <c r="M60" s="1"/>
    </row>
    <row r="61" spans="1:13" ht="13.5" thickBot="1" x14ac:dyDescent="0.25">
      <c r="A61" s="1"/>
      <c r="B61" s="6">
        <f t="shared" ref="B61:J61" si="21">SUM(B59:B60)</f>
        <v>180</v>
      </c>
      <c r="C61" s="6">
        <f t="shared" si="21"/>
        <v>65</v>
      </c>
      <c r="D61" s="6">
        <f t="shared" si="21"/>
        <v>115</v>
      </c>
      <c r="E61" s="6">
        <f t="shared" si="21"/>
        <v>7913</v>
      </c>
      <c r="F61" s="6">
        <f t="shared" si="21"/>
        <v>2754</v>
      </c>
      <c r="G61" s="6">
        <f t="shared" si="21"/>
        <v>5159</v>
      </c>
      <c r="H61" s="6">
        <f t="shared" si="21"/>
        <v>4393</v>
      </c>
      <c r="I61" s="6">
        <f t="shared" si="21"/>
        <v>1880</v>
      </c>
      <c r="J61" s="6">
        <f t="shared" si="21"/>
        <v>2513</v>
      </c>
      <c r="K61" s="7" t="s">
        <v>13</v>
      </c>
      <c r="L61" s="9"/>
      <c r="M61" s="1"/>
    </row>
    <row r="62" spans="1:13" ht="13.5" thickBot="1" x14ac:dyDescent="0.25">
      <c r="A62" s="1"/>
      <c r="B62" s="6">
        <f t="shared" ref="B62:I64" si="22">B53+B56+B59</f>
        <v>170</v>
      </c>
      <c r="C62" s="6">
        <f t="shared" si="22"/>
        <v>57</v>
      </c>
      <c r="D62" s="6">
        <f t="shared" si="22"/>
        <v>113</v>
      </c>
      <c r="E62" s="6">
        <f t="shared" si="22"/>
        <v>7491</v>
      </c>
      <c r="F62" s="6">
        <f t="shared" si="22"/>
        <v>2644</v>
      </c>
      <c r="G62" s="6">
        <f t="shared" si="22"/>
        <v>4847</v>
      </c>
      <c r="H62" s="6">
        <f t="shared" si="22"/>
        <v>3896</v>
      </c>
      <c r="I62" s="6">
        <f t="shared" si="22"/>
        <v>1755</v>
      </c>
      <c r="J62" s="6">
        <f>J53+J56+J59</f>
        <v>2141</v>
      </c>
      <c r="K62" s="4" t="s">
        <v>28</v>
      </c>
      <c r="L62" s="10"/>
      <c r="M62" s="1"/>
    </row>
    <row r="63" spans="1:13" ht="13.5" thickBot="1" x14ac:dyDescent="0.25">
      <c r="A63" s="1"/>
      <c r="B63" s="6">
        <f t="shared" si="22"/>
        <v>17</v>
      </c>
      <c r="C63" s="6">
        <f t="shared" si="22"/>
        <v>11</v>
      </c>
      <c r="D63" s="6">
        <f t="shared" si="22"/>
        <v>6</v>
      </c>
      <c r="E63" s="6">
        <f t="shared" si="22"/>
        <v>1231</v>
      </c>
      <c r="F63" s="6">
        <f t="shared" si="22"/>
        <v>402</v>
      </c>
      <c r="G63" s="6">
        <f t="shared" si="22"/>
        <v>829</v>
      </c>
      <c r="H63" s="6">
        <f t="shared" si="22"/>
        <v>715</v>
      </c>
      <c r="I63" s="6">
        <f t="shared" si="22"/>
        <v>291</v>
      </c>
      <c r="J63" s="6">
        <f>J54+J57+J60</f>
        <v>424</v>
      </c>
      <c r="K63" s="4" t="s">
        <v>29</v>
      </c>
      <c r="L63" s="8" t="s">
        <v>34</v>
      </c>
      <c r="M63" s="1"/>
    </row>
    <row r="64" spans="1:13" ht="13.5" thickBot="1" x14ac:dyDescent="0.25">
      <c r="A64" s="1"/>
      <c r="B64" s="6">
        <f t="shared" si="22"/>
        <v>187</v>
      </c>
      <c r="C64" s="6">
        <f t="shared" si="22"/>
        <v>68</v>
      </c>
      <c r="D64" s="6">
        <f t="shared" si="22"/>
        <v>119</v>
      </c>
      <c r="E64" s="6">
        <f t="shared" si="22"/>
        <v>8722</v>
      </c>
      <c r="F64" s="6">
        <f t="shared" si="22"/>
        <v>3046</v>
      </c>
      <c r="G64" s="6">
        <f t="shared" si="22"/>
        <v>5676</v>
      </c>
      <c r="H64" s="6">
        <f t="shared" si="22"/>
        <v>4611</v>
      </c>
      <c r="I64" s="6">
        <f t="shared" si="22"/>
        <v>2046</v>
      </c>
      <c r="J64" s="6">
        <f>J55+J58+J61</f>
        <v>2565</v>
      </c>
      <c r="K64" s="4" t="s">
        <v>13</v>
      </c>
      <c r="L64" s="9"/>
      <c r="M64" s="1"/>
    </row>
    <row r="65" spans="1:13" ht="13.5" thickBot="1" x14ac:dyDescent="0.25">
      <c r="A65" s="1"/>
      <c r="B65" s="6">
        <f t="shared" si="0"/>
        <v>2</v>
      </c>
      <c r="C65" s="6">
        <v>0</v>
      </c>
      <c r="D65" s="6">
        <v>2</v>
      </c>
      <c r="E65" s="6">
        <f t="shared" si="1"/>
        <v>391</v>
      </c>
      <c r="F65" s="6">
        <v>54</v>
      </c>
      <c r="G65" s="6">
        <v>337</v>
      </c>
      <c r="H65" s="6">
        <f t="shared" si="2"/>
        <v>136</v>
      </c>
      <c r="I65" s="6">
        <v>38</v>
      </c>
      <c r="J65" s="6">
        <v>98</v>
      </c>
      <c r="K65" s="7" t="s">
        <v>10</v>
      </c>
      <c r="L65" s="8"/>
      <c r="M65" s="1"/>
    </row>
    <row r="66" spans="1:13" ht="13.5" thickBot="1" x14ac:dyDescent="0.25">
      <c r="A66" s="1"/>
      <c r="B66" s="6">
        <f t="shared" si="0"/>
        <v>1</v>
      </c>
      <c r="C66" s="6">
        <v>1</v>
      </c>
      <c r="D66" s="6">
        <v>0</v>
      </c>
      <c r="E66" s="6">
        <f t="shared" si="1"/>
        <v>92</v>
      </c>
      <c r="F66" s="6">
        <v>24</v>
      </c>
      <c r="G66" s="6">
        <v>68</v>
      </c>
      <c r="H66" s="6">
        <f t="shared" si="2"/>
        <v>56</v>
      </c>
      <c r="I66" s="6">
        <v>13</v>
      </c>
      <c r="J66" s="6">
        <v>43</v>
      </c>
      <c r="K66" s="7" t="s">
        <v>11</v>
      </c>
      <c r="L66" s="8" t="s">
        <v>35</v>
      </c>
      <c r="M66" s="1"/>
    </row>
    <row r="67" spans="1:13" ht="13.5" thickBot="1" x14ac:dyDescent="0.25">
      <c r="A67" s="1"/>
      <c r="B67" s="6">
        <f t="shared" ref="B67:J67" si="23">SUM(B65:B66)</f>
        <v>3</v>
      </c>
      <c r="C67" s="6">
        <f t="shared" si="23"/>
        <v>1</v>
      </c>
      <c r="D67" s="6">
        <f t="shared" si="23"/>
        <v>2</v>
      </c>
      <c r="E67" s="6">
        <f t="shared" si="23"/>
        <v>483</v>
      </c>
      <c r="F67" s="6">
        <f t="shared" si="23"/>
        <v>78</v>
      </c>
      <c r="G67" s="6">
        <f t="shared" si="23"/>
        <v>405</v>
      </c>
      <c r="H67" s="6">
        <f t="shared" si="23"/>
        <v>192</v>
      </c>
      <c r="I67" s="6">
        <f t="shared" si="23"/>
        <v>51</v>
      </c>
      <c r="J67" s="6">
        <f t="shared" si="23"/>
        <v>141</v>
      </c>
      <c r="K67" s="7" t="s">
        <v>13</v>
      </c>
      <c r="L67" s="9"/>
      <c r="M67" s="1"/>
    </row>
    <row r="68" spans="1:13" ht="13.5" thickBot="1" x14ac:dyDescent="0.25">
      <c r="A68" s="1"/>
      <c r="B68" s="6">
        <f t="shared" si="0"/>
        <v>0</v>
      </c>
      <c r="C68" s="6">
        <v>0</v>
      </c>
      <c r="D68" s="6">
        <v>0</v>
      </c>
      <c r="E68" s="6">
        <f t="shared" si="1"/>
        <v>232</v>
      </c>
      <c r="F68" s="6">
        <v>77</v>
      </c>
      <c r="G68" s="6">
        <v>155</v>
      </c>
      <c r="H68" s="6">
        <f t="shared" si="2"/>
        <v>96</v>
      </c>
      <c r="I68" s="6">
        <v>33</v>
      </c>
      <c r="J68" s="6">
        <v>63</v>
      </c>
      <c r="K68" s="7" t="s">
        <v>10</v>
      </c>
      <c r="L68" s="8"/>
      <c r="M68" s="1"/>
    </row>
    <row r="69" spans="1:13" ht="13.5" thickBot="1" x14ac:dyDescent="0.25">
      <c r="A69" s="1"/>
      <c r="B69" s="6">
        <f t="shared" si="0"/>
        <v>0</v>
      </c>
      <c r="C69" s="6">
        <v>0</v>
      </c>
      <c r="D69" s="6">
        <v>0</v>
      </c>
      <c r="E69" s="6">
        <f t="shared" si="1"/>
        <v>42</v>
      </c>
      <c r="F69" s="6">
        <v>17</v>
      </c>
      <c r="G69" s="6">
        <v>25</v>
      </c>
      <c r="H69" s="6">
        <f t="shared" si="2"/>
        <v>29</v>
      </c>
      <c r="I69" s="6">
        <v>11</v>
      </c>
      <c r="J69" s="6">
        <v>18</v>
      </c>
      <c r="K69" s="7" t="s">
        <v>11</v>
      </c>
      <c r="L69" s="8" t="s">
        <v>36</v>
      </c>
      <c r="M69" s="1"/>
    </row>
    <row r="70" spans="1:13" ht="13.5" thickBot="1" x14ac:dyDescent="0.25">
      <c r="A70" s="1"/>
      <c r="B70" s="6">
        <f t="shared" ref="B70:J70" si="24">SUM(B68:B69)</f>
        <v>0</v>
      </c>
      <c r="C70" s="6">
        <f t="shared" si="24"/>
        <v>0</v>
      </c>
      <c r="D70" s="6">
        <f t="shared" si="24"/>
        <v>0</v>
      </c>
      <c r="E70" s="6">
        <f t="shared" si="24"/>
        <v>274</v>
      </c>
      <c r="F70" s="6">
        <f t="shared" si="24"/>
        <v>94</v>
      </c>
      <c r="G70" s="6">
        <f t="shared" si="24"/>
        <v>180</v>
      </c>
      <c r="H70" s="6">
        <f t="shared" si="24"/>
        <v>125</v>
      </c>
      <c r="I70" s="6">
        <f t="shared" si="24"/>
        <v>44</v>
      </c>
      <c r="J70" s="6">
        <f t="shared" si="24"/>
        <v>81</v>
      </c>
      <c r="K70" s="7" t="s">
        <v>13</v>
      </c>
      <c r="L70" s="9"/>
      <c r="M70" s="1"/>
    </row>
    <row r="71" spans="1:13" ht="13.5" thickBot="1" x14ac:dyDescent="0.25">
      <c r="A71" s="1"/>
      <c r="B71" s="6">
        <f t="shared" ref="B71:B87" si="25">SUM(C71:D71)</f>
        <v>74</v>
      </c>
      <c r="C71" s="6">
        <v>43</v>
      </c>
      <c r="D71" s="6">
        <v>31</v>
      </c>
      <c r="E71" s="6">
        <f t="shared" ref="E71:E87" si="26">SUM(F71:G71)</f>
        <v>7443</v>
      </c>
      <c r="F71" s="6">
        <v>4063</v>
      </c>
      <c r="G71" s="6">
        <v>3380</v>
      </c>
      <c r="H71" s="6">
        <f t="shared" ref="H71:H87" si="27">SUM(I71:J71)</f>
        <v>4795</v>
      </c>
      <c r="I71" s="6">
        <v>2800</v>
      </c>
      <c r="J71" s="6">
        <v>1995</v>
      </c>
      <c r="K71" s="7" t="s">
        <v>10</v>
      </c>
      <c r="L71" s="8"/>
      <c r="M71" s="1"/>
    </row>
    <row r="72" spans="1:13" ht="13.5" thickBot="1" x14ac:dyDescent="0.25">
      <c r="A72" s="1"/>
      <c r="B72" s="6">
        <f t="shared" si="25"/>
        <v>25</v>
      </c>
      <c r="C72" s="6">
        <v>10</v>
      </c>
      <c r="D72" s="6">
        <v>15</v>
      </c>
      <c r="E72" s="6">
        <f t="shared" si="26"/>
        <v>1798</v>
      </c>
      <c r="F72" s="6">
        <v>738</v>
      </c>
      <c r="G72" s="6">
        <v>1060</v>
      </c>
      <c r="H72" s="6">
        <f t="shared" si="27"/>
        <v>1183</v>
      </c>
      <c r="I72" s="6">
        <v>473</v>
      </c>
      <c r="J72" s="6">
        <v>710</v>
      </c>
      <c r="K72" s="7" t="s">
        <v>11</v>
      </c>
      <c r="L72" s="8" t="s">
        <v>37</v>
      </c>
      <c r="M72" s="1"/>
    </row>
    <row r="73" spans="1:13" ht="13.5" thickBot="1" x14ac:dyDescent="0.25">
      <c r="A73" s="1"/>
      <c r="B73" s="6">
        <f t="shared" ref="B73:J73" si="28">SUM(B71:B72)</f>
        <v>99</v>
      </c>
      <c r="C73" s="6">
        <f t="shared" si="28"/>
        <v>53</v>
      </c>
      <c r="D73" s="6">
        <f t="shared" si="28"/>
        <v>46</v>
      </c>
      <c r="E73" s="6">
        <f t="shared" si="28"/>
        <v>9241</v>
      </c>
      <c r="F73" s="6">
        <f t="shared" si="28"/>
        <v>4801</v>
      </c>
      <c r="G73" s="6">
        <f t="shared" si="28"/>
        <v>4440</v>
      </c>
      <c r="H73" s="6">
        <f t="shared" si="28"/>
        <v>5978</v>
      </c>
      <c r="I73" s="6">
        <f t="shared" si="28"/>
        <v>3273</v>
      </c>
      <c r="J73" s="6">
        <f t="shared" si="28"/>
        <v>2705</v>
      </c>
      <c r="K73" s="7" t="s">
        <v>13</v>
      </c>
      <c r="L73" s="9"/>
      <c r="M73" s="1"/>
    </row>
    <row r="74" spans="1:13" ht="13.5" thickBot="1" x14ac:dyDescent="0.25">
      <c r="A74" s="1"/>
      <c r="B74" s="6">
        <f t="shared" si="25"/>
        <v>5</v>
      </c>
      <c r="C74" s="6">
        <v>2</v>
      </c>
      <c r="D74" s="6">
        <v>3</v>
      </c>
      <c r="E74" s="6">
        <f t="shared" si="26"/>
        <v>438</v>
      </c>
      <c r="F74" s="6">
        <v>76</v>
      </c>
      <c r="G74" s="6">
        <v>362</v>
      </c>
      <c r="H74" s="6">
        <f t="shared" si="27"/>
        <v>129</v>
      </c>
      <c r="I74" s="6">
        <v>18</v>
      </c>
      <c r="J74" s="6">
        <v>111</v>
      </c>
      <c r="K74" s="7" t="s">
        <v>10</v>
      </c>
      <c r="L74" s="8"/>
      <c r="M74" s="1"/>
    </row>
    <row r="75" spans="1:13" ht="13.5" thickBot="1" x14ac:dyDescent="0.25">
      <c r="A75" s="1"/>
      <c r="B75" s="6">
        <f t="shared" si="25"/>
        <v>6</v>
      </c>
      <c r="C75" s="6">
        <v>2</v>
      </c>
      <c r="D75" s="6">
        <v>4</v>
      </c>
      <c r="E75" s="6">
        <f t="shared" si="26"/>
        <v>153</v>
      </c>
      <c r="F75" s="6">
        <v>84</v>
      </c>
      <c r="G75" s="6">
        <v>69</v>
      </c>
      <c r="H75" s="6">
        <f t="shared" si="27"/>
        <v>69</v>
      </c>
      <c r="I75" s="6">
        <v>37</v>
      </c>
      <c r="J75" s="6">
        <v>32</v>
      </c>
      <c r="K75" s="7" t="s">
        <v>11</v>
      </c>
      <c r="L75" s="8" t="s">
        <v>38</v>
      </c>
      <c r="M75" s="1"/>
    </row>
    <row r="76" spans="1:13" ht="13.5" thickBot="1" x14ac:dyDescent="0.25">
      <c r="A76" s="1"/>
      <c r="B76" s="6">
        <f t="shared" ref="B76:J76" si="29">SUM(B74:B75)</f>
        <v>11</v>
      </c>
      <c r="C76" s="6">
        <f t="shared" si="29"/>
        <v>4</v>
      </c>
      <c r="D76" s="6">
        <f t="shared" si="29"/>
        <v>7</v>
      </c>
      <c r="E76" s="6">
        <f t="shared" si="29"/>
        <v>591</v>
      </c>
      <c r="F76" s="6">
        <f t="shared" si="29"/>
        <v>160</v>
      </c>
      <c r="G76" s="6">
        <f t="shared" si="29"/>
        <v>431</v>
      </c>
      <c r="H76" s="6">
        <f t="shared" si="29"/>
        <v>198</v>
      </c>
      <c r="I76" s="6">
        <f t="shared" si="29"/>
        <v>55</v>
      </c>
      <c r="J76" s="6">
        <f t="shared" si="29"/>
        <v>143</v>
      </c>
      <c r="K76" s="7" t="s">
        <v>13</v>
      </c>
      <c r="L76" s="9"/>
      <c r="M76" s="1"/>
    </row>
    <row r="77" spans="1:13" ht="13.5" thickBot="1" x14ac:dyDescent="0.25">
      <c r="A77" s="1"/>
      <c r="B77" s="6">
        <f t="shared" si="25"/>
        <v>1</v>
      </c>
      <c r="C77" s="6">
        <v>0</v>
      </c>
      <c r="D77" s="6">
        <v>1</v>
      </c>
      <c r="E77" s="6">
        <f t="shared" si="26"/>
        <v>6</v>
      </c>
      <c r="F77" s="6">
        <v>2</v>
      </c>
      <c r="G77" s="6">
        <v>4</v>
      </c>
      <c r="H77" s="6">
        <f t="shared" si="27"/>
        <v>3</v>
      </c>
      <c r="I77" s="6">
        <v>0</v>
      </c>
      <c r="J77" s="6">
        <v>3</v>
      </c>
      <c r="K77" s="7" t="s">
        <v>10</v>
      </c>
      <c r="L77" s="8"/>
      <c r="M77" s="1"/>
    </row>
    <row r="78" spans="1:13" ht="13.5" thickBot="1" x14ac:dyDescent="0.25">
      <c r="A78" s="1"/>
      <c r="B78" s="6">
        <f t="shared" si="25"/>
        <v>0</v>
      </c>
      <c r="C78" s="6">
        <v>0</v>
      </c>
      <c r="D78" s="6">
        <v>0</v>
      </c>
      <c r="E78" s="6">
        <f t="shared" si="26"/>
        <v>14</v>
      </c>
      <c r="F78" s="6">
        <v>6</v>
      </c>
      <c r="G78" s="6">
        <v>8</v>
      </c>
      <c r="H78" s="6">
        <f t="shared" si="27"/>
        <v>8</v>
      </c>
      <c r="I78" s="6">
        <v>4</v>
      </c>
      <c r="J78" s="6">
        <v>4</v>
      </c>
      <c r="K78" s="7" t="s">
        <v>11</v>
      </c>
      <c r="L78" s="8" t="s">
        <v>39</v>
      </c>
      <c r="M78" s="1"/>
    </row>
    <row r="79" spans="1:13" ht="13.5" thickBot="1" x14ac:dyDescent="0.25">
      <c r="A79" s="1"/>
      <c r="B79" s="6">
        <f t="shared" ref="B79:J79" si="30">SUM(B77:B78)</f>
        <v>1</v>
      </c>
      <c r="C79" s="6">
        <f t="shared" si="30"/>
        <v>0</v>
      </c>
      <c r="D79" s="6">
        <f t="shared" si="30"/>
        <v>1</v>
      </c>
      <c r="E79" s="6">
        <f t="shared" si="30"/>
        <v>20</v>
      </c>
      <c r="F79" s="6">
        <f t="shared" si="30"/>
        <v>8</v>
      </c>
      <c r="G79" s="6">
        <f t="shared" si="30"/>
        <v>12</v>
      </c>
      <c r="H79" s="6">
        <f t="shared" si="30"/>
        <v>11</v>
      </c>
      <c r="I79" s="6">
        <f t="shared" si="30"/>
        <v>4</v>
      </c>
      <c r="J79" s="6">
        <f t="shared" si="30"/>
        <v>7</v>
      </c>
      <c r="K79" s="7" t="s">
        <v>13</v>
      </c>
      <c r="L79" s="9"/>
      <c r="M79" s="1"/>
    </row>
    <row r="80" spans="1:13" ht="13.5" thickBot="1" x14ac:dyDescent="0.25">
      <c r="A80" s="1"/>
      <c r="B80" s="6">
        <f t="shared" ref="B80:I82" si="31">B65+B68+B71+B74+B77</f>
        <v>82</v>
      </c>
      <c r="C80" s="6">
        <f t="shared" si="31"/>
        <v>45</v>
      </c>
      <c r="D80" s="6">
        <f t="shared" si="31"/>
        <v>37</v>
      </c>
      <c r="E80" s="6">
        <f t="shared" si="31"/>
        <v>8510</v>
      </c>
      <c r="F80" s="6">
        <f t="shared" si="31"/>
        <v>4272</v>
      </c>
      <c r="G80" s="6">
        <f t="shared" si="31"/>
        <v>4238</v>
      </c>
      <c r="H80" s="6">
        <f t="shared" si="31"/>
        <v>5159</v>
      </c>
      <c r="I80" s="6">
        <f t="shared" si="31"/>
        <v>2889</v>
      </c>
      <c r="J80" s="6">
        <f>J65+J68+J71+J74+J77</f>
        <v>2270</v>
      </c>
      <c r="K80" s="4" t="s">
        <v>28</v>
      </c>
      <c r="L80" s="10"/>
      <c r="M80" s="1"/>
    </row>
    <row r="81" spans="1:13" ht="13.5" thickBot="1" x14ac:dyDescent="0.25">
      <c r="A81" s="1"/>
      <c r="B81" s="6">
        <f t="shared" si="31"/>
        <v>32</v>
      </c>
      <c r="C81" s="6">
        <f t="shared" si="31"/>
        <v>13</v>
      </c>
      <c r="D81" s="6">
        <f t="shared" si="31"/>
        <v>19</v>
      </c>
      <c r="E81" s="6">
        <f t="shared" si="31"/>
        <v>2099</v>
      </c>
      <c r="F81" s="6">
        <f t="shared" si="31"/>
        <v>869</v>
      </c>
      <c r="G81" s="6">
        <f t="shared" si="31"/>
        <v>1230</v>
      </c>
      <c r="H81" s="6">
        <f t="shared" si="31"/>
        <v>1345</v>
      </c>
      <c r="I81" s="6">
        <f t="shared" si="31"/>
        <v>538</v>
      </c>
      <c r="J81" s="6">
        <f>J66+J69+J72+J75+J78</f>
        <v>807</v>
      </c>
      <c r="K81" s="4" t="s">
        <v>29</v>
      </c>
      <c r="L81" s="8" t="s">
        <v>40</v>
      </c>
      <c r="M81" s="1"/>
    </row>
    <row r="82" spans="1:13" ht="13.5" thickBot="1" x14ac:dyDescent="0.25">
      <c r="A82" s="1"/>
      <c r="B82" s="6">
        <f t="shared" si="31"/>
        <v>114</v>
      </c>
      <c r="C82" s="6">
        <f t="shared" si="31"/>
        <v>58</v>
      </c>
      <c r="D82" s="6">
        <f t="shared" si="31"/>
        <v>56</v>
      </c>
      <c r="E82" s="6">
        <f t="shared" si="31"/>
        <v>10609</v>
      </c>
      <c r="F82" s="6">
        <f t="shared" si="31"/>
        <v>5141</v>
      </c>
      <c r="G82" s="6">
        <f t="shared" si="31"/>
        <v>5468</v>
      </c>
      <c r="H82" s="6">
        <f t="shared" si="31"/>
        <v>6504</v>
      </c>
      <c r="I82" s="6">
        <f t="shared" si="31"/>
        <v>3427</v>
      </c>
      <c r="J82" s="6">
        <f>J67+J70+J73+J76+J79</f>
        <v>3077</v>
      </c>
      <c r="K82" s="4" t="s">
        <v>13</v>
      </c>
      <c r="L82" s="9"/>
      <c r="M82" s="1"/>
    </row>
    <row r="83" spans="1:13" ht="13.5" thickBot="1" x14ac:dyDescent="0.25">
      <c r="A83" s="1"/>
      <c r="B83" s="6">
        <f t="shared" si="25"/>
        <v>568</v>
      </c>
      <c r="C83" s="6">
        <v>329</v>
      </c>
      <c r="D83" s="6">
        <v>239</v>
      </c>
      <c r="E83" s="6">
        <f t="shared" si="26"/>
        <v>11660</v>
      </c>
      <c r="F83" s="6">
        <v>2140</v>
      </c>
      <c r="G83" s="6">
        <v>9520</v>
      </c>
      <c r="H83" s="6">
        <f t="shared" si="27"/>
        <v>2123</v>
      </c>
      <c r="I83" s="6">
        <v>936</v>
      </c>
      <c r="J83" s="6">
        <v>1187</v>
      </c>
      <c r="K83" s="7" t="s">
        <v>10</v>
      </c>
      <c r="L83" s="8"/>
      <c r="M83" s="1"/>
    </row>
    <row r="84" spans="1:13" ht="13.5" thickBot="1" x14ac:dyDescent="0.25">
      <c r="A84" s="1"/>
      <c r="B84" s="6">
        <f t="shared" si="25"/>
        <v>95</v>
      </c>
      <c r="C84" s="6">
        <v>57</v>
      </c>
      <c r="D84" s="6">
        <v>38</v>
      </c>
      <c r="E84" s="6">
        <f t="shared" si="26"/>
        <v>1635</v>
      </c>
      <c r="F84" s="6">
        <v>452</v>
      </c>
      <c r="G84" s="6">
        <v>1183</v>
      </c>
      <c r="H84" s="6">
        <f t="shared" si="27"/>
        <v>473</v>
      </c>
      <c r="I84" s="6">
        <v>243</v>
      </c>
      <c r="J84" s="6">
        <v>230</v>
      </c>
      <c r="K84" s="7" t="s">
        <v>11</v>
      </c>
      <c r="L84" s="8" t="s">
        <v>41</v>
      </c>
      <c r="M84" s="1"/>
    </row>
    <row r="85" spans="1:13" ht="13.5" thickBot="1" x14ac:dyDescent="0.25">
      <c r="A85" s="1"/>
      <c r="B85" s="6">
        <f t="shared" ref="B85:J85" si="32">SUM(B83:B84)</f>
        <v>663</v>
      </c>
      <c r="C85" s="6">
        <f t="shared" si="32"/>
        <v>386</v>
      </c>
      <c r="D85" s="6">
        <f t="shared" si="32"/>
        <v>277</v>
      </c>
      <c r="E85" s="6">
        <f t="shared" si="32"/>
        <v>13295</v>
      </c>
      <c r="F85" s="6">
        <f t="shared" si="32"/>
        <v>2592</v>
      </c>
      <c r="G85" s="6">
        <f t="shared" si="32"/>
        <v>10703</v>
      </c>
      <c r="H85" s="6">
        <f t="shared" si="32"/>
        <v>2596</v>
      </c>
      <c r="I85" s="6">
        <f t="shared" si="32"/>
        <v>1179</v>
      </c>
      <c r="J85" s="6">
        <f t="shared" si="32"/>
        <v>1417</v>
      </c>
      <c r="K85" s="7" t="s">
        <v>13</v>
      </c>
      <c r="L85" s="9"/>
      <c r="M85" s="1"/>
    </row>
    <row r="86" spans="1:13" ht="13.5" thickBot="1" x14ac:dyDescent="0.25">
      <c r="A86" s="1"/>
      <c r="B86" s="6">
        <f t="shared" si="25"/>
        <v>41</v>
      </c>
      <c r="C86" s="6">
        <v>20</v>
      </c>
      <c r="D86" s="6">
        <v>21</v>
      </c>
      <c r="E86" s="6">
        <f t="shared" si="26"/>
        <v>3447</v>
      </c>
      <c r="F86" s="6">
        <v>1551</v>
      </c>
      <c r="G86" s="6">
        <v>1896</v>
      </c>
      <c r="H86" s="6">
        <f t="shared" si="27"/>
        <v>1248</v>
      </c>
      <c r="I86" s="6">
        <v>1196</v>
      </c>
      <c r="J86" s="6">
        <v>52</v>
      </c>
      <c r="K86" s="7" t="s">
        <v>10</v>
      </c>
      <c r="L86" s="8"/>
      <c r="M86" s="1"/>
    </row>
    <row r="87" spans="1:13" ht="13.5" thickBot="1" x14ac:dyDescent="0.25">
      <c r="A87" s="1"/>
      <c r="B87" s="6">
        <f t="shared" si="25"/>
        <v>14</v>
      </c>
      <c r="C87" s="6">
        <v>3</v>
      </c>
      <c r="D87" s="6">
        <v>11</v>
      </c>
      <c r="E87" s="6">
        <f t="shared" si="26"/>
        <v>824</v>
      </c>
      <c r="F87" s="6">
        <v>167</v>
      </c>
      <c r="G87" s="6">
        <v>657</v>
      </c>
      <c r="H87" s="6">
        <f t="shared" si="27"/>
        <v>166</v>
      </c>
      <c r="I87" s="6">
        <v>88</v>
      </c>
      <c r="J87" s="6">
        <v>78</v>
      </c>
      <c r="K87" s="7" t="s">
        <v>11</v>
      </c>
      <c r="L87" s="8" t="s">
        <v>42</v>
      </c>
      <c r="M87" s="1"/>
    </row>
    <row r="88" spans="1:13" ht="13.5" thickBot="1" x14ac:dyDescent="0.25">
      <c r="A88" s="1"/>
      <c r="B88" s="6">
        <f t="shared" ref="B88:J88" si="33">SUM(B86:B87)</f>
        <v>55</v>
      </c>
      <c r="C88" s="6">
        <f t="shared" si="33"/>
        <v>23</v>
      </c>
      <c r="D88" s="6">
        <f t="shared" si="33"/>
        <v>32</v>
      </c>
      <c r="E88" s="6">
        <f t="shared" si="33"/>
        <v>4271</v>
      </c>
      <c r="F88" s="6">
        <f t="shared" si="33"/>
        <v>1718</v>
      </c>
      <c r="G88" s="6">
        <f t="shared" si="33"/>
        <v>2553</v>
      </c>
      <c r="H88" s="6">
        <f t="shared" si="33"/>
        <v>1414</v>
      </c>
      <c r="I88" s="6">
        <f t="shared" si="33"/>
        <v>1284</v>
      </c>
      <c r="J88" s="6">
        <f t="shared" si="33"/>
        <v>130</v>
      </c>
      <c r="K88" s="7" t="s">
        <v>13</v>
      </c>
      <c r="L88" s="9"/>
      <c r="M88" s="1"/>
    </row>
    <row r="89" spans="1:13" ht="13.5" thickBot="1" x14ac:dyDescent="0.25">
      <c r="A89" s="1"/>
      <c r="B89" s="6">
        <f t="shared" ref="B89:I91" si="34">B83+B86</f>
        <v>609</v>
      </c>
      <c r="C89" s="6">
        <f t="shared" si="34"/>
        <v>349</v>
      </c>
      <c r="D89" s="6">
        <f t="shared" si="34"/>
        <v>260</v>
      </c>
      <c r="E89" s="6">
        <f t="shared" si="34"/>
        <v>15107</v>
      </c>
      <c r="F89" s="6">
        <f t="shared" si="34"/>
        <v>3691</v>
      </c>
      <c r="G89" s="6">
        <f t="shared" si="34"/>
        <v>11416</v>
      </c>
      <c r="H89" s="6">
        <f t="shared" si="34"/>
        <v>3371</v>
      </c>
      <c r="I89" s="6">
        <f t="shared" si="34"/>
        <v>2132</v>
      </c>
      <c r="J89" s="6">
        <f>J83+J86</f>
        <v>1239</v>
      </c>
      <c r="K89" s="4" t="s">
        <v>28</v>
      </c>
      <c r="L89" s="10"/>
      <c r="M89" s="1"/>
    </row>
    <row r="90" spans="1:13" ht="13.5" thickBot="1" x14ac:dyDescent="0.25">
      <c r="A90" s="1"/>
      <c r="B90" s="6">
        <f t="shared" si="34"/>
        <v>109</v>
      </c>
      <c r="C90" s="6">
        <f t="shared" si="34"/>
        <v>60</v>
      </c>
      <c r="D90" s="6">
        <f t="shared" si="34"/>
        <v>49</v>
      </c>
      <c r="E90" s="6">
        <f t="shared" si="34"/>
        <v>2459</v>
      </c>
      <c r="F90" s="6">
        <f t="shared" si="34"/>
        <v>619</v>
      </c>
      <c r="G90" s="6">
        <f t="shared" si="34"/>
        <v>1840</v>
      </c>
      <c r="H90" s="6">
        <f t="shared" si="34"/>
        <v>639</v>
      </c>
      <c r="I90" s="6">
        <f t="shared" si="34"/>
        <v>331</v>
      </c>
      <c r="J90" s="6">
        <f>J84+J87</f>
        <v>308</v>
      </c>
      <c r="K90" s="4" t="s">
        <v>29</v>
      </c>
      <c r="L90" s="8" t="s">
        <v>43</v>
      </c>
      <c r="M90" s="1"/>
    </row>
    <row r="91" spans="1:13" ht="13.5" thickBot="1" x14ac:dyDescent="0.25">
      <c r="A91" s="1"/>
      <c r="B91" s="6">
        <f t="shared" si="34"/>
        <v>718</v>
      </c>
      <c r="C91" s="6">
        <f t="shared" si="34"/>
        <v>409</v>
      </c>
      <c r="D91" s="6">
        <f t="shared" si="34"/>
        <v>309</v>
      </c>
      <c r="E91" s="6">
        <f t="shared" si="34"/>
        <v>17566</v>
      </c>
      <c r="F91" s="6">
        <f t="shared" si="34"/>
        <v>4310</v>
      </c>
      <c r="G91" s="6">
        <f t="shared" si="34"/>
        <v>13256</v>
      </c>
      <c r="H91" s="6">
        <f t="shared" si="34"/>
        <v>4010</v>
      </c>
      <c r="I91" s="6">
        <f t="shared" si="34"/>
        <v>2463</v>
      </c>
      <c r="J91" s="6">
        <f>J85+J88</f>
        <v>1547</v>
      </c>
      <c r="K91" s="4" t="s">
        <v>13</v>
      </c>
      <c r="L91" s="9"/>
      <c r="M91" s="1"/>
    </row>
    <row r="92" spans="1:13" ht="13.5" thickBot="1" x14ac:dyDescent="0.25">
      <c r="A92" s="1"/>
      <c r="B92" s="6">
        <f t="shared" ref="B92:I94" si="35">B5+B8+B11+B14+B17+B20+B23+B26+B29+B32+B35+B38+B41+B44+B47+B53+B56+B59+B65+B68+B71+B74+B77+B83+B86</f>
        <v>1073</v>
      </c>
      <c r="C92" s="6">
        <f t="shared" si="35"/>
        <v>596</v>
      </c>
      <c r="D92" s="6">
        <f t="shared" si="35"/>
        <v>477</v>
      </c>
      <c r="E92" s="6">
        <f t="shared" si="35"/>
        <v>34678</v>
      </c>
      <c r="F92" s="6">
        <f t="shared" si="35"/>
        <v>12439</v>
      </c>
      <c r="G92" s="6">
        <f t="shared" si="35"/>
        <v>22239</v>
      </c>
      <c r="H92" s="6">
        <f t="shared" si="35"/>
        <v>13211</v>
      </c>
      <c r="I92" s="6">
        <f t="shared" si="35"/>
        <v>7183</v>
      </c>
      <c r="J92" s="6">
        <f>J5+J8+J11+J14+J17+J20+J23+J26+J29+J32+J35+J38+J41+J44+J47+J53+J56+J59+J65+J68+J71+J74+J77+J83+J86</f>
        <v>6028</v>
      </c>
      <c r="K92" s="4" t="s">
        <v>28</v>
      </c>
      <c r="L92" s="3"/>
      <c r="M92" s="1"/>
    </row>
    <row r="93" spans="1:13" ht="13.5" thickBot="1" x14ac:dyDescent="0.25">
      <c r="A93" s="1"/>
      <c r="B93" s="6">
        <f t="shared" si="35"/>
        <v>201</v>
      </c>
      <c r="C93" s="6">
        <f t="shared" si="35"/>
        <v>117</v>
      </c>
      <c r="D93" s="6">
        <f t="shared" si="35"/>
        <v>84</v>
      </c>
      <c r="E93" s="6">
        <f t="shared" si="35"/>
        <v>8128</v>
      </c>
      <c r="F93" s="6">
        <f t="shared" si="35"/>
        <v>2780</v>
      </c>
      <c r="G93" s="6">
        <f t="shared" si="35"/>
        <v>5348</v>
      </c>
      <c r="H93" s="6">
        <f t="shared" si="35"/>
        <v>3560</v>
      </c>
      <c r="I93" s="6">
        <f t="shared" si="35"/>
        <v>1406</v>
      </c>
      <c r="J93" s="6">
        <f>J6+J9+J12+J15+J18+J21+J24+J27+J30+J33+J36+J39+J42+J45+J48+J54+J57+J60+J66+J69+J72+J75+J78+J84+J87</f>
        <v>2154</v>
      </c>
      <c r="K93" s="4" t="s">
        <v>29</v>
      </c>
      <c r="L93" s="11" t="s">
        <v>44</v>
      </c>
      <c r="M93" s="1"/>
    </row>
    <row r="94" spans="1:13" ht="13.5" thickBot="1" x14ac:dyDescent="0.25">
      <c r="A94" s="1"/>
      <c r="B94" s="6">
        <f t="shared" si="35"/>
        <v>1274</v>
      </c>
      <c r="C94" s="6">
        <f t="shared" si="35"/>
        <v>713</v>
      </c>
      <c r="D94" s="6">
        <f t="shared" si="35"/>
        <v>561</v>
      </c>
      <c r="E94" s="6">
        <f t="shared" si="35"/>
        <v>42806</v>
      </c>
      <c r="F94" s="6">
        <f t="shared" si="35"/>
        <v>15219</v>
      </c>
      <c r="G94" s="6">
        <f t="shared" si="35"/>
        <v>27587</v>
      </c>
      <c r="H94" s="6">
        <f t="shared" si="35"/>
        <v>16771</v>
      </c>
      <c r="I94" s="6">
        <f t="shared" si="35"/>
        <v>8589</v>
      </c>
      <c r="J94" s="6">
        <f>J7+J10+J13+J16+J19+J22+J25+J28+J31+J34+J37+J40+J43+J46+J49+J55+J58+J61+J67+J70+J73+J76+J79+J85+J88</f>
        <v>8182</v>
      </c>
      <c r="K94" s="4" t="s">
        <v>13</v>
      </c>
      <c r="L94" s="5"/>
      <c r="M94" s="1"/>
    </row>
    <row r="97" spans="2:10" x14ac:dyDescent="0.2">
      <c r="B97" s="12"/>
      <c r="C97" s="12"/>
      <c r="D97" s="12"/>
      <c r="E97" s="12"/>
      <c r="F97" s="12"/>
      <c r="G97" s="12"/>
      <c r="H97" s="12"/>
      <c r="I97" s="12"/>
      <c r="J97" s="12"/>
    </row>
    <row r="98" spans="2:10" x14ac:dyDescent="0.2">
      <c r="B98" s="12"/>
      <c r="C98" s="12"/>
      <c r="D98" s="12"/>
      <c r="E98" s="12"/>
      <c r="F98" s="12"/>
      <c r="G98" s="12"/>
      <c r="H98" s="12"/>
      <c r="I98" s="12"/>
      <c r="J98" s="12"/>
    </row>
    <row r="99" spans="2:10" x14ac:dyDescent="0.2">
      <c r="B99" s="12"/>
      <c r="C99" s="12"/>
      <c r="D99" s="12"/>
      <c r="E99" s="12"/>
      <c r="F99" s="12"/>
      <c r="G99" s="12"/>
      <c r="H99" s="12"/>
      <c r="I99" s="12"/>
      <c r="J99" s="12"/>
    </row>
    <row r="100" spans="2:10" x14ac:dyDescent="0.2">
      <c r="J100" s="12"/>
    </row>
  </sheetData>
  <mergeCells count="5">
    <mergeCell ref="B1:L1"/>
    <mergeCell ref="B2:L2"/>
    <mergeCell ref="B3:D3"/>
    <mergeCell ref="E3:G3"/>
    <mergeCell ref="H3:J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0"/>
  <sheetViews>
    <sheetView showGridLines="0" topLeftCell="A22" zoomScaleNormal="100" zoomScaleSheetLayoutView="100" workbookViewId="0">
      <selection activeCell="G33" sqref="G33"/>
    </sheetView>
  </sheetViews>
  <sheetFormatPr defaultRowHeight="12.75" customHeight="1" x14ac:dyDescent="0.2"/>
  <cols>
    <col min="1" max="9" width="9.625" style="49" customWidth="1"/>
    <col min="10" max="10" width="30.625" style="49" customWidth="1"/>
    <col min="11" max="11" width="16.375" style="49" customWidth="1"/>
    <col min="12" max="256" width="9" style="49"/>
    <col min="257" max="265" width="9.625" style="49" customWidth="1"/>
    <col min="266" max="266" width="30.625" style="49" customWidth="1"/>
    <col min="267" max="267" width="16.375" style="49" customWidth="1"/>
    <col min="268" max="512" width="9" style="49"/>
    <col min="513" max="521" width="9.625" style="49" customWidth="1"/>
    <col min="522" max="522" width="30.625" style="49" customWidth="1"/>
    <col min="523" max="523" width="16.375" style="49" customWidth="1"/>
    <col min="524" max="768" width="9" style="49"/>
    <col min="769" max="777" width="9.625" style="49" customWidth="1"/>
    <col min="778" max="778" width="30.625" style="49" customWidth="1"/>
    <col min="779" max="779" width="16.375" style="49" customWidth="1"/>
    <col min="780" max="1024" width="9" style="49"/>
    <col min="1025" max="1033" width="9.625" style="49" customWidth="1"/>
    <col min="1034" max="1034" width="30.625" style="49" customWidth="1"/>
    <col min="1035" max="1035" width="16.375" style="49" customWidth="1"/>
    <col min="1036" max="1280" width="9" style="49"/>
    <col min="1281" max="1289" width="9.625" style="49" customWidth="1"/>
    <col min="1290" max="1290" width="30.625" style="49" customWidth="1"/>
    <col min="1291" max="1291" width="16.375" style="49" customWidth="1"/>
    <col min="1292" max="1536" width="9" style="49"/>
    <col min="1537" max="1545" width="9.625" style="49" customWidth="1"/>
    <col min="1546" max="1546" width="30.625" style="49" customWidth="1"/>
    <col min="1547" max="1547" width="16.375" style="49" customWidth="1"/>
    <col min="1548" max="1792" width="9" style="49"/>
    <col min="1793" max="1801" width="9.625" style="49" customWidth="1"/>
    <col min="1802" max="1802" width="30.625" style="49" customWidth="1"/>
    <col min="1803" max="1803" width="16.375" style="49" customWidth="1"/>
    <col min="1804" max="2048" width="9" style="49"/>
    <col min="2049" max="2057" width="9.625" style="49" customWidth="1"/>
    <col min="2058" max="2058" width="30.625" style="49" customWidth="1"/>
    <col min="2059" max="2059" width="16.375" style="49" customWidth="1"/>
    <col min="2060" max="2304" width="9" style="49"/>
    <col min="2305" max="2313" width="9.625" style="49" customWidth="1"/>
    <col min="2314" max="2314" width="30.625" style="49" customWidth="1"/>
    <col min="2315" max="2315" width="16.375" style="49" customWidth="1"/>
    <col min="2316" max="2560" width="9" style="49"/>
    <col min="2561" max="2569" width="9.625" style="49" customWidth="1"/>
    <col min="2570" max="2570" width="30.625" style="49" customWidth="1"/>
    <col min="2571" max="2571" width="16.375" style="49" customWidth="1"/>
    <col min="2572" max="2816" width="9" style="49"/>
    <col min="2817" max="2825" width="9.625" style="49" customWidth="1"/>
    <col min="2826" max="2826" width="30.625" style="49" customWidth="1"/>
    <col min="2827" max="2827" width="16.375" style="49" customWidth="1"/>
    <col min="2828" max="3072" width="9" style="49"/>
    <col min="3073" max="3081" width="9.625" style="49" customWidth="1"/>
    <col min="3082" max="3082" width="30.625" style="49" customWidth="1"/>
    <col min="3083" max="3083" width="16.375" style="49" customWidth="1"/>
    <col min="3084" max="3328" width="9" style="49"/>
    <col min="3329" max="3337" width="9.625" style="49" customWidth="1"/>
    <col min="3338" max="3338" width="30.625" style="49" customWidth="1"/>
    <col min="3339" max="3339" width="16.375" style="49" customWidth="1"/>
    <col min="3340" max="3584" width="9" style="49"/>
    <col min="3585" max="3593" width="9.625" style="49" customWidth="1"/>
    <col min="3594" max="3594" width="30.625" style="49" customWidth="1"/>
    <col min="3595" max="3595" width="16.375" style="49" customWidth="1"/>
    <col min="3596" max="3840" width="9" style="49"/>
    <col min="3841" max="3849" width="9.625" style="49" customWidth="1"/>
    <col min="3850" max="3850" width="30.625" style="49" customWidth="1"/>
    <col min="3851" max="3851" width="16.375" style="49" customWidth="1"/>
    <col min="3852" max="4096" width="9" style="49"/>
    <col min="4097" max="4105" width="9.625" style="49" customWidth="1"/>
    <col min="4106" max="4106" width="30.625" style="49" customWidth="1"/>
    <col min="4107" max="4107" width="16.375" style="49" customWidth="1"/>
    <col min="4108" max="4352" width="9" style="49"/>
    <col min="4353" max="4361" width="9.625" style="49" customWidth="1"/>
    <col min="4362" max="4362" width="30.625" style="49" customWidth="1"/>
    <col min="4363" max="4363" width="16.375" style="49" customWidth="1"/>
    <col min="4364" max="4608" width="9" style="49"/>
    <col min="4609" max="4617" width="9.625" style="49" customWidth="1"/>
    <col min="4618" max="4618" width="30.625" style="49" customWidth="1"/>
    <col min="4619" max="4619" width="16.375" style="49" customWidth="1"/>
    <col min="4620" max="4864" width="9" style="49"/>
    <col min="4865" max="4873" width="9.625" style="49" customWidth="1"/>
    <col min="4874" max="4874" width="30.625" style="49" customWidth="1"/>
    <col min="4875" max="4875" width="16.375" style="49" customWidth="1"/>
    <col min="4876" max="5120" width="9" style="49"/>
    <col min="5121" max="5129" width="9.625" style="49" customWidth="1"/>
    <col min="5130" max="5130" width="30.625" style="49" customWidth="1"/>
    <col min="5131" max="5131" width="16.375" style="49" customWidth="1"/>
    <col min="5132" max="5376" width="9" style="49"/>
    <col min="5377" max="5385" width="9.625" style="49" customWidth="1"/>
    <col min="5386" max="5386" width="30.625" style="49" customWidth="1"/>
    <col min="5387" max="5387" width="16.375" style="49" customWidth="1"/>
    <col min="5388" max="5632" width="9" style="49"/>
    <col min="5633" max="5641" width="9.625" style="49" customWidth="1"/>
    <col min="5642" max="5642" width="30.625" style="49" customWidth="1"/>
    <col min="5643" max="5643" width="16.375" style="49" customWidth="1"/>
    <col min="5644" max="5888" width="9" style="49"/>
    <col min="5889" max="5897" width="9.625" style="49" customWidth="1"/>
    <col min="5898" max="5898" width="30.625" style="49" customWidth="1"/>
    <col min="5899" max="5899" width="16.375" style="49" customWidth="1"/>
    <col min="5900" max="6144" width="9" style="49"/>
    <col min="6145" max="6153" width="9.625" style="49" customWidth="1"/>
    <col min="6154" max="6154" width="30.625" style="49" customWidth="1"/>
    <col min="6155" max="6155" width="16.375" style="49" customWidth="1"/>
    <col min="6156" max="6400" width="9" style="49"/>
    <col min="6401" max="6409" width="9.625" style="49" customWidth="1"/>
    <col min="6410" max="6410" width="30.625" style="49" customWidth="1"/>
    <col min="6411" max="6411" width="16.375" style="49" customWidth="1"/>
    <col min="6412" max="6656" width="9" style="49"/>
    <col min="6657" max="6665" width="9.625" style="49" customWidth="1"/>
    <col min="6666" max="6666" width="30.625" style="49" customWidth="1"/>
    <col min="6667" max="6667" width="16.375" style="49" customWidth="1"/>
    <col min="6668" max="6912" width="9" style="49"/>
    <col min="6913" max="6921" width="9.625" style="49" customWidth="1"/>
    <col min="6922" max="6922" width="30.625" style="49" customWidth="1"/>
    <col min="6923" max="6923" width="16.375" style="49" customWidth="1"/>
    <col min="6924" max="7168" width="9" style="49"/>
    <col min="7169" max="7177" width="9.625" style="49" customWidth="1"/>
    <col min="7178" max="7178" width="30.625" style="49" customWidth="1"/>
    <col min="7179" max="7179" width="16.375" style="49" customWidth="1"/>
    <col min="7180" max="7424" width="9" style="49"/>
    <col min="7425" max="7433" width="9.625" style="49" customWidth="1"/>
    <col min="7434" max="7434" width="30.625" style="49" customWidth="1"/>
    <col min="7435" max="7435" width="16.375" style="49" customWidth="1"/>
    <col min="7436" max="7680" width="9" style="49"/>
    <col min="7681" max="7689" width="9.625" style="49" customWidth="1"/>
    <col min="7690" max="7690" width="30.625" style="49" customWidth="1"/>
    <col min="7691" max="7691" width="16.375" style="49" customWidth="1"/>
    <col min="7692" max="7936" width="9" style="49"/>
    <col min="7937" max="7945" width="9.625" style="49" customWidth="1"/>
    <col min="7946" max="7946" width="30.625" style="49" customWidth="1"/>
    <col min="7947" max="7947" width="16.375" style="49" customWidth="1"/>
    <col min="7948" max="8192" width="9" style="49"/>
    <col min="8193" max="8201" width="9.625" style="49" customWidth="1"/>
    <col min="8202" max="8202" width="30.625" style="49" customWidth="1"/>
    <col min="8203" max="8203" width="16.375" style="49" customWidth="1"/>
    <col min="8204" max="8448" width="9" style="49"/>
    <col min="8449" max="8457" width="9.625" style="49" customWidth="1"/>
    <col min="8458" max="8458" width="30.625" style="49" customWidth="1"/>
    <col min="8459" max="8459" width="16.375" style="49" customWidth="1"/>
    <col min="8460" max="8704" width="9" style="49"/>
    <col min="8705" max="8713" width="9.625" style="49" customWidth="1"/>
    <col min="8714" max="8714" width="30.625" style="49" customWidth="1"/>
    <col min="8715" max="8715" width="16.375" style="49" customWidth="1"/>
    <col min="8716" max="8960" width="9" style="49"/>
    <col min="8961" max="8969" width="9.625" style="49" customWidth="1"/>
    <col min="8970" max="8970" width="30.625" style="49" customWidth="1"/>
    <col min="8971" max="8971" width="16.375" style="49" customWidth="1"/>
    <col min="8972" max="9216" width="9" style="49"/>
    <col min="9217" max="9225" width="9.625" style="49" customWidth="1"/>
    <col min="9226" max="9226" width="30.625" style="49" customWidth="1"/>
    <col min="9227" max="9227" width="16.375" style="49" customWidth="1"/>
    <col min="9228" max="9472" width="9" style="49"/>
    <col min="9473" max="9481" width="9.625" style="49" customWidth="1"/>
    <col min="9482" max="9482" width="30.625" style="49" customWidth="1"/>
    <col min="9483" max="9483" width="16.375" style="49" customWidth="1"/>
    <col min="9484" max="9728" width="9" style="49"/>
    <col min="9729" max="9737" width="9.625" style="49" customWidth="1"/>
    <col min="9738" max="9738" width="30.625" style="49" customWidth="1"/>
    <col min="9739" max="9739" width="16.375" style="49" customWidth="1"/>
    <col min="9740" max="9984" width="9" style="49"/>
    <col min="9985" max="9993" width="9.625" style="49" customWidth="1"/>
    <col min="9994" max="9994" width="30.625" style="49" customWidth="1"/>
    <col min="9995" max="9995" width="16.375" style="49" customWidth="1"/>
    <col min="9996" max="10240" width="9" style="49"/>
    <col min="10241" max="10249" width="9.625" style="49" customWidth="1"/>
    <col min="10250" max="10250" width="30.625" style="49" customWidth="1"/>
    <col min="10251" max="10251" width="16.375" style="49" customWidth="1"/>
    <col min="10252" max="10496" width="9" style="49"/>
    <col min="10497" max="10505" width="9.625" style="49" customWidth="1"/>
    <col min="10506" max="10506" width="30.625" style="49" customWidth="1"/>
    <col min="10507" max="10507" width="16.375" style="49" customWidth="1"/>
    <col min="10508" max="10752" width="9" style="49"/>
    <col min="10753" max="10761" width="9.625" style="49" customWidth="1"/>
    <col min="10762" max="10762" width="30.625" style="49" customWidth="1"/>
    <col min="10763" max="10763" width="16.375" style="49" customWidth="1"/>
    <col min="10764" max="11008" width="9" style="49"/>
    <col min="11009" max="11017" width="9.625" style="49" customWidth="1"/>
    <col min="11018" max="11018" width="30.625" style="49" customWidth="1"/>
    <col min="11019" max="11019" width="16.375" style="49" customWidth="1"/>
    <col min="11020" max="11264" width="9" style="49"/>
    <col min="11265" max="11273" width="9.625" style="49" customWidth="1"/>
    <col min="11274" max="11274" width="30.625" style="49" customWidth="1"/>
    <col min="11275" max="11275" width="16.375" style="49" customWidth="1"/>
    <col min="11276" max="11520" width="9" style="49"/>
    <col min="11521" max="11529" width="9.625" style="49" customWidth="1"/>
    <col min="11530" max="11530" width="30.625" style="49" customWidth="1"/>
    <col min="11531" max="11531" width="16.375" style="49" customWidth="1"/>
    <col min="11532" max="11776" width="9" style="49"/>
    <col min="11777" max="11785" width="9.625" style="49" customWidth="1"/>
    <col min="11786" max="11786" width="30.625" style="49" customWidth="1"/>
    <col min="11787" max="11787" width="16.375" style="49" customWidth="1"/>
    <col min="11788" max="12032" width="9" style="49"/>
    <col min="12033" max="12041" width="9.625" style="49" customWidth="1"/>
    <col min="12042" max="12042" width="30.625" style="49" customWidth="1"/>
    <col min="12043" max="12043" width="16.375" style="49" customWidth="1"/>
    <col min="12044" max="12288" width="9" style="49"/>
    <col min="12289" max="12297" width="9.625" style="49" customWidth="1"/>
    <col min="12298" max="12298" width="30.625" style="49" customWidth="1"/>
    <col min="12299" max="12299" width="16.375" style="49" customWidth="1"/>
    <col min="12300" max="12544" width="9" style="49"/>
    <col min="12545" max="12553" width="9.625" style="49" customWidth="1"/>
    <col min="12554" max="12554" width="30.625" style="49" customWidth="1"/>
    <col min="12555" max="12555" width="16.375" style="49" customWidth="1"/>
    <col min="12556" max="12800" width="9" style="49"/>
    <col min="12801" max="12809" width="9.625" style="49" customWidth="1"/>
    <col min="12810" max="12810" width="30.625" style="49" customWidth="1"/>
    <col min="12811" max="12811" width="16.375" style="49" customWidth="1"/>
    <col min="12812" max="13056" width="9" style="49"/>
    <col min="13057" max="13065" width="9.625" style="49" customWidth="1"/>
    <col min="13066" max="13066" width="30.625" style="49" customWidth="1"/>
    <col min="13067" max="13067" width="16.375" style="49" customWidth="1"/>
    <col min="13068" max="13312" width="9" style="49"/>
    <col min="13313" max="13321" width="9.625" style="49" customWidth="1"/>
    <col min="13322" max="13322" width="30.625" style="49" customWidth="1"/>
    <col min="13323" max="13323" width="16.375" style="49" customWidth="1"/>
    <col min="13324" max="13568" width="9" style="49"/>
    <col min="13569" max="13577" width="9.625" style="49" customWidth="1"/>
    <col min="13578" max="13578" width="30.625" style="49" customWidth="1"/>
    <col min="13579" max="13579" width="16.375" style="49" customWidth="1"/>
    <col min="13580" max="13824" width="9" style="49"/>
    <col min="13825" max="13833" width="9.625" style="49" customWidth="1"/>
    <col min="13834" max="13834" width="30.625" style="49" customWidth="1"/>
    <col min="13835" max="13835" width="16.375" style="49" customWidth="1"/>
    <col min="13836" max="14080" width="9" style="49"/>
    <col min="14081" max="14089" width="9.625" style="49" customWidth="1"/>
    <col min="14090" max="14090" width="30.625" style="49" customWidth="1"/>
    <col min="14091" max="14091" width="16.375" style="49" customWidth="1"/>
    <col min="14092" max="14336" width="9" style="49"/>
    <col min="14337" max="14345" width="9.625" style="49" customWidth="1"/>
    <col min="14346" max="14346" width="30.625" style="49" customWidth="1"/>
    <col min="14347" max="14347" width="16.375" style="49" customWidth="1"/>
    <col min="14348" max="14592" width="9" style="49"/>
    <col min="14593" max="14601" width="9.625" style="49" customWidth="1"/>
    <col min="14602" max="14602" width="30.625" style="49" customWidth="1"/>
    <col min="14603" max="14603" width="16.375" style="49" customWidth="1"/>
    <col min="14604" max="14848" width="9" style="49"/>
    <col min="14849" max="14857" width="9.625" style="49" customWidth="1"/>
    <col min="14858" max="14858" width="30.625" style="49" customWidth="1"/>
    <col min="14859" max="14859" width="16.375" style="49" customWidth="1"/>
    <col min="14860" max="15104" width="9" style="49"/>
    <col min="15105" max="15113" width="9.625" style="49" customWidth="1"/>
    <col min="15114" max="15114" width="30.625" style="49" customWidth="1"/>
    <col min="15115" max="15115" width="16.375" style="49" customWidth="1"/>
    <col min="15116" max="15360" width="9" style="49"/>
    <col min="15361" max="15369" width="9.625" style="49" customWidth="1"/>
    <col min="15370" max="15370" width="30.625" style="49" customWidth="1"/>
    <col min="15371" max="15371" width="16.375" style="49" customWidth="1"/>
    <col min="15372" max="15616" width="9" style="49"/>
    <col min="15617" max="15625" width="9.625" style="49" customWidth="1"/>
    <col min="15626" max="15626" width="30.625" style="49" customWidth="1"/>
    <col min="15627" max="15627" width="16.375" style="49" customWidth="1"/>
    <col min="15628" max="15872" width="9" style="49"/>
    <col min="15873" max="15881" width="9.625" style="49" customWidth="1"/>
    <col min="15882" max="15882" width="30.625" style="49" customWidth="1"/>
    <col min="15883" max="15883" width="16.375" style="49" customWidth="1"/>
    <col min="15884" max="16128" width="9" style="49"/>
    <col min="16129" max="16137" width="9.625" style="49" customWidth="1"/>
    <col min="16138" max="16138" width="30.625" style="49" customWidth="1"/>
    <col min="16139" max="16139" width="16.375" style="49" customWidth="1"/>
    <col min="16140" max="16384" width="9" style="49"/>
  </cols>
  <sheetData>
    <row r="1" spans="1:11" ht="12.75" customHeight="1" x14ac:dyDescent="0.2">
      <c r="A1" s="174" t="s">
        <v>214</v>
      </c>
      <c r="B1" s="174"/>
      <c r="C1" s="174"/>
      <c r="D1" s="174"/>
      <c r="E1" s="174"/>
      <c r="F1" s="174"/>
      <c r="G1" s="174"/>
      <c r="H1" s="174"/>
      <c r="I1" s="174"/>
      <c r="J1" s="174"/>
      <c r="K1" s="48"/>
    </row>
    <row r="2" spans="1:11" ht="12.75" customHeight="1" thickBot="1" x14ac:dyDescent="0.25">
      <c r="A2" s="175" t="s">
        <v>215</v>
      </c>
      <c r="B2" s="175"/>
      <c r="C2" s="175"/>
      <c r="D2" s="175"/>
      <c r="E2" s="175"/>
      <c r="F2" s="175"/>
      <c r="G2" s="175"/>
      <c r="H2" s="175"/>
      <c r="I2" s="175"/>
      <c r="J2" s="175"/>
      <c r="K2" s="48"/>
    </row>
    <row r="3" spans="1:11" ht="12.75" customHeight="1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50"/>
      <c r="K3" s="48"/>
    </row>
    <row r="4" spans="1:11" ht="12.75" customHeight="1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52" t="s">
        <v>72</v>
      </c>
      <c r="K4" s="48"/>
    </row>
    <row r="5" spans="1:11" ht="12.75" customHeight="1" thickBot="1" x14ac:dyDescent="0.25">
      <c r="A5" s="53">
        <f>SUM(B5:C5)</f>
        <v>1078</v>
      </c>
      <c r="B5" s="53">
        <f>H5+E5</f>
        <v>262</v>
      </c>
      <c r="C5" s="53">
        <f>I5+F5</f>
        <v>816</v>
      </c>
      <c r="D5" s="53">
        <f>SUM(E5:F5)</f>
        <v>95</v>
      </c>
      <c r="E5" s="53">
        <v>25</v>
      </c>
      <c r="F5" s="53">
        <v>70</v>
      </c>
      <c r="G5" s="53">
        <f>SUM(H5:I5)</f>
        <v>983</v>
      </c>
      <c r="H5" s="53">
        <v>237</v>
      </c>
      <c r="I5" s="53">
        <v>746</v>
      </c>
      <c r="J5" s="54" t="s">
        <v>74</v>
      </c>
      <c r="K5" s="48"/>
    </row>
    <row r="6" spans="1:11" ht="12.75" customHeight="1" thickBot="1" x14ac:dyDescent="0.25">
      <c r="A6" s="53">
        <f t="shared" ref="A6:A29" si="0">SUM(B6:C6)</f>
        <v>299</v>
      </c>
      <c r="B6" s="53">
        <f t="shared" ref="B6:C29" si="1">H6+E6</f>
        <v>0</v>
      </c>
      <c r="C6" s="53">
        <f t="shared" si="1"/>
        <v>299</v>
      </c>
      <c r="D6" s="53">
        <f t="shared" ref="D6:D29" si="2">SUM(E6:F6)</f>
        <v>299</v>
      </c>
      <c r="E6" s="53">
        <v>0</v>
      </c>
      <c r="F6" s="53">
        <v>299</v>
      </c>
      <c r="G6" s="53">
        <f t="shared" ref="G6:G29" si="3">SUM(H6:I6)</f>
        <v>0</v>
      </c>
      <c r="H6" s="53">
        <v>0</v>
      </c>
      <c r="I6" s="53">
        <v>0</v>
      </c>
      <c r="J6" s="54" t="s">
        <v>164</v>
      </c>
      <c r="K6" s="48"/>
    </row>
    <row r="7" spans="1:11" ht="12.75" customHeight="1" thickBot="1" x14ac:dyDescent="0.25">
      <c r="A7" s="53">
        <f t="shared" si="0"/>
        <v>470</v>
      </c>
      <c r="B7" s="53">
        <f t="shared" si="1"/>
        <v>0</v>
      </c>
      <c r="C7" s="53">
        <f t="shared" si="1"/>
        <v>470</v>
      </c>
      <c r="D7" s="53">
        <f t="shared" si="2"/>
        <v>86</v>
      </c>
      <c r="E7" s="53">
        <v>0</v>
      </c>
      <c r="F7" s="53">
        <v>86</v>
      </c>
      <c r="G7" s="53">
        <f t="shared" si="3"/>
        <v>384</v>
      </c>
      <c r="H7" s="53">
        <v>0</v>
      </c>
      <c r="I7" s="53">
        <v>384</v>
      </c>
      <c r="J7" s="54" t="s">
        <v>76</v>
      </c>
      <c r="K7" s="48"/>
    </row>
    <row r="8" spans="1:11" ht="12.75" customHeight="1" thickBot="1" x14ac:dyDescent="0.25">
      <c r="A8" s="53">
        <f t="shared" si="0"/>
        <v>7400</v>
      </c>
      <c r="B8" s="53">
        <f t="shared" si="1"/>
        <v>2258</v>
      </c>
      <c r="C8" s="53">
        <f t="shared" si="1"/>
        <v>5142</v>
      </c>
      <c r="D8" s="53">
        <f t="shared" si="2"/>
        <v>362</v>
      </c>
      <c r="E8" s="53">
        <v>144</v>
      </c>
      <c r="F8" s="53">
        <v>218</v>
      </c>
      <c r="G8" s="53">
        <f t="shared" si="3"/>
        <v>7038</v>
      </c>
      <c r="H8" s="53">
        <v>2114</v>
      </c>
      <c r="I8" s="53">
        <v>4924</v>
      </c>
      <c r="J8" s="54" t="s">
        <v>78</v>
      </c>
      <c r="K8" s="48"/>
    </row>
    <row r="9" spans="1:11" ht="12.75" customHeight="1" thickBot="1" x14ac:dyDescent="0.25">
      <c r="A9" s="53">
        <f t="shared" si="0"/>
        <v>1861</v>
      </c>
      <c r="B9" s="53">
        <f t="shared" si="1"/>
        <v>459</v>
      </c>
      <c r="C9" s="53">
        <f t="shared" si="1"/>
        <v>1402</v>
      </c>
      <c r="D9" s="53">
        <f t="shared" si="2"/>
        <v>4</v>
      </c>
      <c r="E9" s="53">
        <v>4</v>
      </c>
      <c r="F9" s="53">
        <v>0</v>
      </c>
      <c r="G9" s="53">
        <f t="shared" si="3"/>
        <v>1857</v>
      </c>
      <c r="H9" s="53">
        <v>455</v>
      </c>
      <c r="I9" s="53">
        <v>1402</v>
      </c>
      <c r="J9" s="54" t="s">
        <v>79</v>
      </c>
      <c r="K9" s="48"/>
    </row>
    <row r="10" spans="1:11" ht="12.75" customHeight="1" thickBot="1" x14ac:dyDescent="0.25">
      <c r="A10" s="53">
        <f t="shared" si="0"/>
        <v>928</v>
      </c>
      <c r="B10" s="53">
        <f t="shared" si="1"/>
        <v>0</v>
      </c>
      <c r="C10" s="53">
        <f t="shared" si="1"/>
        <v>928</v>
      </c>
      <c r="D10" s="53">
        <f t="shared" si="2"/>
        <v>20</v>
      </c>
      <c r="E10" s="53">
        <v>0</v>
      </c>
      <c r="F10" s="53">
        <v>20</v>
      </c>
      <c r="G10" s="53">
        <f t="shared" si="3"/>
        <v>908</v>
      </c>
      <c r="H10" s="53">
        <v>0</v>
      </c>
      <c r="I10" s="53">
        <v>908</v>
      </c>
      <c r="J10" s="54" t="s">
        <v>98</v>
      </c>
      <c r="K10" s="48"/>
    </row>
    <row r="11" spans="1:11" ht="12.75" customHeight="1" thickBot="1" x14ac:dyDescent="0.25">
      <c r="A11" s="53">
        <f t="shared" si="0"/>
        <v>2412</v>
      </c>
      <c r="B11" s="53">
        <f t="shared" si="1"/>
        <v>1840</v>
      </c>
      <c r="C11" s="53">
        <f t="shared" si="1"/>
        <v>572</v>
      </c>
      <c r="D11" s="53">
        <f t="shared" si="2"/>
        <v>3</v>
      </c>
      <c r="E11" s="53">
        <v>3</v>
      </c>
      <c r="F11" s="53">
        <v>0</v>
      </c>
      <c r="G11" s="53">
        <f t="shared" si="3"/>
        <v>2409</v>
      </c>
      <c r="H11" s="53">
        <v>1837</v>
      </c>
      <c r="I11" s="53">
        <v>572</v>
      </c>
      <c r="J11" s="54" t="s">
        <v>80</v>
      </c>
      <c r="K11" s="48"/>
    </row>
    <row r="12" spans="1:11" ht="12.75" customHeight="1" thickBot="1" x14ac:dyDescent="0.25">
      <c r="A12" s="53">
        <f t="shared" si="0"/>
        <v>2213</v>
      </c>
      <c r="B12" s="53">
        <f t="shared" si="1"/>
        <v>1087</v>
      </c>
      <c r="C12" s="53">
        <f t="shared" si="1"/>
        <v>1126</v>
      </c>
      <c r="D12" s="53">
        <f t="shared" si="2"/>
        <v>0</v>
      </c>
      <c r="E12" s="53">
        <v>0</v>
      </c>
      <c r="F12" s="53">
        <v>0</v>
      </c>
      <c r="G12" s="53">
        <f t="shared" si="3"/>
        <v>2213</v>
      </c>
      <c r="H12" s="53">
        <v>1087</v>
      </c>
      <c r="I12" s="53">
        <v>1126</v>
      </c>
      <c r="J12" s="54" t="s">
        <v>81</v>
      </c>
      <c r="K12" s="48"/>
    </row>
    <row r="13" spans="1:11" ht="12.75" customHeight="1" thickBot="1" x14ac:dyDescent="0.25">
      <c r="A13" s="53">
        <f t="shared" si="0"/>
        <v>541</v>
      </c>
      <c r="B13" s="53">
        <f t="shared" si="1"/>
        <v>0</v>
      </c>
      <c r="C13" s="53">
        <f t="shared" si="1"/>
        <v>541</v>
      </c>
      <c r="D13" s="53">
        <f t="shared" si="2"/>
        <v>1</v>
      </c>
      <c r="E13" s="53">
        <v>0</v>
      </c>
      <c r="F13" s="53">
        <v>1</v>
      </c>
      <c r="G13" s="53">
        <f t="shared" si="3"/>
        <v>540</v>
      </c>
      <c r="H13" s="53">
        <v>0</v>
      </c>
      <c r="I13" s="53">
        <v>540</v>
      </c>
      <c r="J13" s="54" t="s">
        <v>108</v>
      </c>
      <c r="K13" s="48"/>
    </row>
    <row r="14" spans="1:11" ht="12.75" customHeight="1" thickBot="1" x14ac:dyDescent="0.25">
      <c r="A14" s="53">
        <f t="shared" si="0"/>
        <v>882</v>
      </c>
      <c r="B14" s="53">
        <f t="shared" si="1"/>
        <v>448</v>
      </c>
      <c r="C14" s="53">
        <f t="shared" si="1"/>
        <v>434</v>
      </c>
      <c r="D14" s="53">
        <f t="shared" si="2"/>
        <v>9</v>
      </c>
      <c r="E14" s="53">
        <v>5</v>
      </c>
      <c r="F14" s="53">
        <v>4</v>
      </c>
      <c r="G14" s="53">
        <f t="shared" si="3"/>
        <v>873</v>
      </c>
      <c r="H14" s="53">
        <v>443</v>
      </c>
      <c r="I14" s="53">
        <v>430</v>
      </c>
      <c r="J14" s="54" t="s">
        <v>82</v>
      </c>
      <c r="K14" s="48"/>
    </row>
    <row r="15" spans="1:11" ht="12.75" customHeight="1" thickBot="1" x14ac:dyDescent="0.25">
      <c r="A15" s="53">
        <f t="shared" si="0"/>
        <v>721</v>
      </c>
      <c r="B15" s="53">
        <f t="shared" si="1"/>
        <v>466</v>
      </c>
      <c r="C15" s="53">
        <f t="shared" si="1"/>
        <v>255</v>
      </c>
      <c r="D15" s="53">
        <f t="shared" si="2"/>
        <v>0</v>
      </c>
      <c r="E15" s="53">
        <v>0</v>
      </c>
      <c r="F15" s="53">
        <v>0</v>
      </c>
      <c r="G15" s="53">
        <f t="shared" si="3"/>
        <v>721</v>
      </c>
      <c r="H15" s="53">
        <v>466</v>
      </c>
      <c r="I15" s="53">
        <v>255</v>
      </c>
      <c r="J15" s="54" t="s">
        <v>83</v>
      </c>
      <c r="K15" s="48"/>
    </row>
    <row r="16" spans="1:11" ht="12.75" customHeight="1" thickBot="1" x14ac:dyDescent="0.25">
      <c r="A16" s="53">
        <f t="shared" si="0"/>
        <v>100</v>
      </c>
      <c r="B16" s="53">
        <f t="shared" si="1"/>
        <v>0</v>
      </c>
      <c r="C16" s="53">
        <f t="shared" si="1"/>
        <v>100</v>
      </c>
      <c r="D16" s="53">
        <f t="shared" si="2"/>
        <v>0</v>
      </c>
      <c r="E16" s="53">
        <v>0</v>
      </c>
      <c r="F16" s="53">
        <v>0</v>
      </c>
      <c r="G16" s="53">
        <f t="shared" si="3"/>
        <v>100</v>
      </c>
      <c r="H16" s="53">
        <v>0</v>
      </c>
      <c r="I16" s="53">
        <v>100</v>
      </c>
      <c r="J16" s="54" t="s">
        <v>165</v>
      </c>
      <c r="K16" s="48"/>
    </row>
    <row r="17" spans="1:11" ht="12.75" customHeight="1" thickBot="1" x14ac:dyDescent="0.25">
      <c r="A17" s="53">
        <f t="shared" si="0"/>
        <v>1147</v>
      </c>
      <c r="B17" s="53">
        <f t="shared" si="1"/>
        <v>363</v>
      </c>
      <c r="C17" s="53">
        <f t="shared" si="1"/>
        <v>784</v>
      </c>
      <c r="D17" s="53">
        <f t="shared" si="2"/>
        <v>6</v>
      </c>
      <c r="E17" s="53">
        <v>2</v>
      </c>
      <c r="F17" s="53">
        <v>4</v>
      </c>
      <c r="G17" s="53">
        <f t="shared" si="3"/>
        <v>1141</v>
      </c>
      <c r="H17" s="53">
        <v>361</v>
      </c>
      <c r="I17" s="53">
        <v>780</v>
      </c>
      <c r="J17" s="54" t="s">
        <v>115</v>
      </c>
      <c r="K17" s="48"/>
    </row>
    <row r="18" spans="1:11" ht="12.75" customHeight="1" thickBot="1" x14ac:dyDescent="0.25">
      <c r="A18" s="53">
        <f t="shared" si="0"/>
        <v>724</v>
      </c>
      <c r="B18" s="53">
        <f t="shared" si="1"/>
        <v>518</v>
      </c>
      <c r="C18" s="53">
        <f t="shared" si="1"/>
        <v>206</v>
      </c>
      <c r="D18" s="53">
        <f t="shared" si="2"/>
        <v>0</v>
      </c>
      <c r="E18" s="53">
        <v>0</v>
      </c>
      <c r="F18" s="53">
        <v>0</v>
      </c>
      <c r="G18" s="53">
        <f t="shared" si="3"/>
        <v>724</v>
      </c>
      <c r="H18" s="53">
        <v>518</v>
      </c>
      <c r="I18" s="53">
        <v>206</v>
      </c>
      <c r="J18" s="54" t="s">
        <v>118</v>
      </c>
      <c r="K18" s="48"/>
    </row>
    <row r="19" spans="1:11" ht="12.75" customHeight="1" thickBot="1" x14ac:dyDescent="0.25">
      <c r="A19" s="53">
        <f t="shared" si="0"/>
        <v>1029</v>
      </c>
      <c r="B19" s="53">
        <f t="shared" si="1"/>
        <v>356</v>
      </c>
      <c r="C19" s="53">
        <f t="shared" si="1"/>
        <v>673</v>
      </c>
      <c r="D19" s="53">
        <f t="shared" si="2"/>
        <v>0</v>
      </c>
      <c r="E19" s="53">
        <v>0</v>
      </c>
      <c r="F19" s="53">
        <v>0</v>
      </c>
      <c r="G19" s="53">
        <f t="shared" si="3"/>
        <v>1029</v>
      </c>
      <c r="H19" s="53">
        <v>356</v>
      </c>
      <c r="I19" s="53">
        <v>673</v>
      </c>
      <c r="J19" s="54" t="s">
        <v>120</v>
      </c>
      <c r="K19" s="48"/>
    </row>
    <row r="20" spans="1:11" ht="12.75" customHeight="1" thickBot="1" x14ac:dyDescent="0.25">
      <c r="A20" s="53">
        <f t="shared" si="0"/>
        <v>1265</v>
      </c>
      <c r="B20" s="53">
        <f t="shared" si="1"/>
        <v>735</v>
      </c>
      <c r="C20" s="53">
        <f t="shared" si="1"/>
        <v>530</v>
      </c>
      <c r="D20" s="53">
        <f t="shared" si="2"/>
        <v>0</v>
      </c>
      <c r="E20" s="53">
        <v>0</v>
      </c>
      <c r="F20" s="53">
        <v>0</v>
      </c>
      <c r="G20" s="53">
        <f t="shared" si="3"/>
        <v>1265</v>
      </c>
      <c r="H20" s="53">
        <v>735</v>
      </c>
      <c r="I20" s="53">
        <v>530</v>
      </c>
      <c r="J20" s="54" t="s">
        <v>124</v>
      </c>
      <c r="K20" s="48"/>
    </row>
    <row r="21" spans="1:11" ht="12.75" customHeight="1" thickBot="1" x14ac:dyDescent="0.25">
      <c r="A21" s="53">
        <f t="shared" si="0"/>
        <v>681</v>
      </c>
      <c r="B21" s="53">
        <f t="shared" si="1"/>
        <v>33</v>
      </c>
      <c r="C21" s="53">
        <f t="shared" si="1"/>
        <v>648</v>
      </c>
      <c r="D21" s="53">
        <f t="shared" si="2"/>
        <v>0</v>
      </c>
      <c r="E21" s="53">
        <v>0</v>
      </c>
      <c r="F21" s="53">
        <v>0</v>
      </c>
      <c r="G21" s="53">
        <f t="shared" si="3"/>
        <v>681</v>
      </c>
      <c r="H21" s="53">
        <v>33</v>
      </c>
      <c r="I21" s="53">
        <v>648</v>
      </c>
      <c r="J21" s="54" t="s">
        <v>126</v>
      </c>
      <c r="K21" s="48"/>
    </row>
    <row r="22" spans="1:11" ht="12.75" customHeight="1" thickBot="1" x14ac:dyDescent="0.25">
      <c r="A22" s="53">
        <f t="shared" si="0"/>
        <v>655</v>
      </c>
      <c r="B22" s="53">
        <f t="shared" si="1"/>
        <v>304</v>
      </c>
      <c r="C22" s="53">
        <f t="shared" si="1"/>
        <v>351</v>
      </c>
      <c r="D22" s="53">
        <f t="shared" si="2"/>
        <v>5</v>
      </c>
      <c r="E22" s="53">
        <v>4</v>
      </c>
      <c r="F22" s="53">
        <v>1</v>
      </c>
      <c r="G22" s="53">
        <f t="shared" si="3"/>
        <v>650</v>
      </c>
      <c r="H22" s="53">
        <v>300</v>
      </c>
      <c r="I22" s="53">
        <v>350</v>
      </c>
      <c r="J22" s="54" t="s">
        <v>129</v>
      </c>
      <c r="K22" s="48"/>
    </row>
    <row r="23" spans="1:11" ht="12.75" customHeight="1" thickBot="1" x14ac:dyDescent="0.25">
      <c r="A23" s="53">
        <f t="shared" si="0"/>
        <v>819</v>
      </c>
      <c r="B23" s="53">
        <f t="shared" si="1"/>
        <v>819</v>
      </c>
      <c r="C23" s="53">
        <f t="shared" si="1"/>
        <v>0</v>
      </c>
      <c r="D23" s="53">
        <f t="shared" si="2"/>
        <v>0</v>
      </c>
      <c r="E23" s="53">
        <v>0</v>
      </c>
      <c r="F23" s="53">
        <v>0</v>
      </c>
      <c r="G23" s="53">
        <f t="shared" si="3"/>
        <v>819</v>
      </c>
      <c r="H23" s="53">
        <v>819</v>
      </c>
      <c r="I23" s="53">
        <v>0</v>
      </c>
      <c r="J23" s="54" t="s">
        <v>131</v>
      </c>
      <c r="K23" s="48"/>
    </row>
    <row r="24" spans="1:11" ht="12.75" customHeight="1" thickBot="1" x14ac:dyDescent="0.25">
      <c r="A24" s="53">
        <f t="shared" si="0"/>
        <v>399</v>
      </c>
      <c r="B24" s="53">
        <f t="shared" si="1"/>
        <v>303</v>
      </c>
      <c r="C24" s="53">
        <f t="shared" si="1"/>
        <v>96</v>
      </c>
      <c r="D24" s="53">
        <f t="shared" si="2"/>
        <v>0</v>
      </c>
      <c r="E24" s="53">
        <v>0</v>
      </c>
      <c r="F24" s="53">
        <v>0</v>
      </c>
      <c r="G24" s="53">
        <f t="shared" si="3"/>
        <v>399</v>
      </c>
      <c r="H24" s="53">
        <v>303</v>
      </c>
      <c r="I24" s="53">
        <v>96</v>
      </c>
      <c r="J24" s="54" t="s">
        <v>133</v>
      </c>
      <c r="K24" s="48"/>
    </row>
    <row r="25" spans="1:11" ht="12.75" customHeight="1" thickBot="1" x14ac:dyDescent="0.25">
      <c r="A25" s="53">
        <f t="shared" si="0"/>
        <v>27209</v>
      </c>
      <c r="B25" s="53">
        <f t="shared" si="1"/>
        <v>2111</v>
      </c>
      <c r="C25" s="53">
        <f t="shared" si="1"/>
        <v>25098</v>
      </c>
      <c r="D25" s="53">
        <f t="shared" si="2"/>
        <v>0</v>
      </c>
      <c r="E25" s="53">
        <v>0</v>
      </c>
      <c r="F25" s="53">
        <v>0</v>
      </c>
      <c r="G25" s="53">
        <f t="shared" si="3"/>
        <v>27209</v>
      </c>
      <c r="H25" s="53">
        <v>2111</v>
      </c>
      <c r="I25" s="53">
        <v>25098</v>
      </c>
      <c r="J25" s="54" t="s">
        <v>168</v>
      </c>
      <c r="K25" s="48"/>
    </row>
    <row r="26" spans="1:11" ht="12.75" customHeight="1" thickBot="1" x14ac:dyDescent="0.25">
      <c r="A26" s="53">
        <f t="shared" si="0"/>
        <v>147</v>
      </c>
      <c r="B26" s="53">
        <f t="shared" si="1"/>
        <v>54</v>
      </c>
      <c r="C26" s="53">
        <f t="shared" si="1"/>
        <v>93</v>
      </c>
      <c r="D26" s="53">
        <f t="shared" si="2"/>
        <v>0</v>
      </c>
      <c r="E26" s="53">
        <v>0</v>
      </c>
      <c r="F26" s="53">
        <v>0</v>
      </c>
      <c r="G26" s="53">
        <f t="shared" si="3"/>
        <v>147</v>
      </c>
      <c r="H26" s="53">
        <v>54</v>
      </c>
      <c r="I26" s="53">
        <v>93</v>
      </c>
      <c r="J26" s="54" t="s">
        <v>169</v>
      </c>
      <c r="K26" s="48"/>
    </row>
    <row r="27" spans="1:11" ht="12.75" customHeight="1" thickBot="1" x14ac:dyDescent="0.25">
      <c r="A27" s="53">
        <f t="shared" si="0"/>
        <v>3945</v>
      </c>
      <c r="B27" s="53">
        <f t="shared" si="1"/>
        <v>0</v>
      </c>
      <c r="C27" s="53">
        <f t="shared" si="1"/>
        <v>3945</v>
      </c>
      <c r="D27" s="53">
        <f t="shared" si="2"/>
        <v>0</v>
      </c>
      <c r="E27" s="53">
        <v>0</v>
      </c>
      <c r="F27" s="53">
        <v>0</v>
      </c>
      <c r="G27" s="53">
        <f t="shared" si="3"/>
        <v>3945</v>
      </c>
      <c r="H27" s="53">
        <v>0</v>
      </c>
      <c r="I27" s="53">
        <v>3945</v>
      </c>
      <c r="J27" s="54" t="s">
        <v>170</v>
      </c>
      <c r="K27" s="48"/>
    </row>
    <row r="28" spans="1:11" ht="12.75" customHeight="1" thickBot="1" x14ac:dyDescent="0.25">
      <c r="A28" s="53">
        <f t="shared" si="0"/>
        <v>1944</v>
      </c>
      <c r="B28" s="53">
        <f t="shared" si="1"/>
        <v>184</v>
      </c>
      <c r="C28" s="53">
        <f t="shared" si="1"/>
        <v>1760</v>
      </c>
      <c r="D28" s="53">
        <f t="shared" si="2"/>
        <v>0</v>
      </c>
      <c r="E28" s="53">
        <v>0</v>
      </c>
      <c r="F28" s="53">
        <v>0</v>
      </c>
      <c r="G28" s="53">
        <f t="shared" si="3"/>
        <v>1944</v>
      </c>
      <c r="H28" s="53">
        <v>184</v>
      </c>
      <c r="I28" s="53">
        <v>1760</v>
      </c>
      <c r="J28" s="54" t="s">
        <v>171</v>
      </c>
      <c r="K28" s="48"/>
    </row>
    <row r="29" spans="1:11" ht="12.75" customHeight="1" thickBot="1" x14ac:dyDescent="0.25">
      <c r="A29" s="53">
        <f t="shared" si="0"/>
        <v>284</v>
      </c>
      <c r="B29" s="53">
        <f t="shared" si="1"/>
        <v>73</v>
      </c>
      <c r="C29" s="53">
        <f t="shared" si="1"/>
        <v>211</v>
      </c>
      <c r="D29" s="53">
        <f t="shared" si="2"/>
        <v>6</v>
      </c>
      <c r="E29" s="53">
        <v>5</v>
      </c>
      <c r="F29" s="53">
        <v>1</v>
      </c>
      <c r="G29" s="53">
        <f t="shared" si="3"/>
        <v>278</v>
      </c>
      <c r="H29" s="53">
        <v>68</v>
      </c>
      <c r="I29" s="53">
        <v>210</v>
      </c>
      <c r="J29" s="54" t="s">
        <v>173</v>
      </c>
      <c r="K29" s="48"/>
    </row>
    <row r="30" spans="1:11" ht="12.75" customHeight="1" thickBot="1" x14ac:dyDescent="0.25">
      <c r="A30" s="53">
        <f t="shared" ref="A30:H30" si="4">SUM(A5:A29)</f>
        <v>59153</v>
      </c>
      <c r="B30" s="53">
        <f t="shared" si="4"/>
        <v>12673</v>
      </c>
      <c r="C30" s="53">
        <f t="shared" si="4"/>
        <v>46480</v>
      </c>
      <c r="D30" s="53">
        <f t="shared" si="4"/>
        <v>896</v>
      </c>
      <c r="E30" s="53">
        <f t="shared" si="4"/>
        <v>192</v>
      </c>
      <c r="F30" s="53">
        <f t="shared" si="4"/>
        <v>704</v>
      </c>
      <c r="G30" s="53">
        <f t="shared" si="4"/>
        <v>58257</v>
      </c>
      <c r="H30" s="53">
        <f t="shared" si="4"/>
        <v>12481</v>
      </c>
      <c r="I30" s="53">
        <f>SUM(I5:I29)</f>
        <v>45776</v>
      </c>
      <c r="J30" s="52" t="s">
        <v>211</v>
      </c>
      <c r="K30" s="48"/>
    </row>
  </sheetData>
  <mergeCells count="5">
    <mergeCell ref="A1:J1"/>
    <mergeCell ref="A2:J2"/>
    <mergeCell ref="A3:C3"/>
    <mergeCell ref="D3:F3"/>
    <mergeCell ref="G3:I3"/>
  </mergeCells>
  <pageMargins left="0.39370078740157483" right="0.39370078740157483" top="0.23622047244094491" bottom="0.23622047244094491" header="0.23622047244094491" footer="0.23622047244094491"/>
  <pageSetup paperSize="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2"/>
  <sheetViews>
    <sheetView showGridLines="0" topLeftCell="A19" workbookViewId="0">
      <selection activeCell="G33" sqref="G33"/>
    </sheetView>
  </sheetViews>
  <sheetFormatPr defaultRowHeight="12.75" x14ac:dyDescent="0.2"/>
  <cols>
    <col min="1" max="9" width="9.625" style="56" customWidth="1"/>
    <col min="10" max="10" width="28.75" style="56" customWidth="1"/>
    <col min="11" max="11" width="11.25" style="56" customWidth="1"/>
    <col min="12" max="256" width="9" style="56"/>
    <col min="257" max="265" width="9.625" style="56" customWidth="1"/>
    <col min="266" max="266" width="28.75" style="56" customWidth="1"/>
    <col min="267" max="267" width="11.25" style="56" customWidth="1"/>
    <col min="268" max="512" width="9" style="56"/>
    <col min="513" max="521" width="9.625" style="56" customWidth="1"/>
    <col min="522" max="522" width="28.75" style="56" customWidth="1"/>
    <col min="523" max="523" width="11.25" style="56" customWidth="1"/>
    <col min="524" max="768" width="9" style="56"/>
    <col min="769" max="777" width="9.625" style="56" customWidth="1"/>
    <col min="778" max="778" width="28.75" style="56" customWidth="1"/>
    <col min="779" max="779" width="11.25" style="56" customWidth="1"/>
    <col min="780" max="1024" width="9" style="56"/>
    <col min="1025" max="1033" width="9.625" style="56" customWidth="1"/>
    <col min="1034" max="1034" width="28.75" style="56" customWidth="1"/>
    <col min="1035" max="1035" width="11.25" style="56" customWidth="1"/>
    <col min="1036" max="1280" width="9" style="56"/>
    <col min="1281" max="1289" width="9.625" style="56" customWidth="1"/>
    <col min="1290" max="1290" width="28.75" style="56" customWidth="1"/>
    <col min="1291" max="1291" width="11.25" style="56" customWidth="1"/>
    <col min="1292" max="1536" width="9" style="56"/>
    <col min="1537" max="1545" width="9.625" style="56" customWidth="1"/>
    <col min="1546" max="1546" width="28.75" style="56" customWidth="1"/>
    <col min="1547" max="1547" width="11.25" style="56" customWidth="1"/>
    <col min="1548" max="1792" width="9" style="56"/>
    <col min="1793" max="1801" width="9.625" style="56" customWidth="1"/>
    <col min="1802" max="1802" width="28.75" style="56" customWidth="1"/>
    <col min="1803" max="1803" width="11.25" style="56" customWidth="1"/>
    <col min="1804" max="2048" width="9" style="56"/>
    <col min="2049" max="2057" width="9.625" style="56" customWidth="1"/>
    <col min="2058" max="2058" width="28.75" style="56" customWidth="1"/>
    <col min="2059" max="2059" width="11.25" style="56" customWidth="1"/>
    <col min="2060" max="2304" width="9" style="56"/>
    <col min="2305" max="2313" width="9.625" style="56" customWidth="1"/>
    <col min="2314" max="2314" width="28.75" style="56" customWidth="1"/>
    <col min="2315" max="2315" width="11.25" style="56" customWidth="1"/>
    <col min="2316" max="2560" width="9" style="56"/>
    <col min="2561" max="2569" width="9.625" style="56" customWidth="1"/>
    <col min="2570" max="2570" width="28.75" style="56" customWidth="1"/>
    <col min="2571" max="2571" width="11.25" style="56" customWidth="1"/>
    <col min="2572" max="2816" width="9" style="56"/>
    <col min="2817" max="2825" width="9.625" style="56" customWidth="1"/>
    <col min="2826" max="2826" width="28.75" style="56" customWidth="1"/>
    <col min="2827" max="2827" width="11.25" style="56" customWidth="1"/>
    <col min="2828" max="3072" width="9" style="56"/>
    <col min="3073" max="3081" width="9.625" style="56" customWidth="1"/>
    <col min="3082" max="3082" width="28.75" style="56" customWidth="1"/>
    <col min="3083" max="3083" width="11.25" style="56" customWidth="1"/>
    <col min="3084" max="3328" width="9" style="56"/>
    <col min="3329" max="3337" width="9.625" style="56" customWidth="1"/>
    <col min="3338" max="3338" width="28.75" style="56" customWidth="1"/>
    <col min="3339" max="3339" width="11.25" style="56" customWidth="1"/>
    <col min="3340" max="3584" width="9" style="56"/>
    <col min="3585" max="3593" width="9.625" style="56" customWidth="1"/>
    <col min="3594" max="3594" width="28.75" style="56" customWidth="1"/>
    <col min="3595" max="3595" width="11.25" style="56" customWidth="1"/>
    <col min="3596" max="3840" width="9" style="56"/>
    <col min="3841" max="3849" width="9.625" style="56" customWidth="1"/>
    <col min="3850" max="3850" width="28.75" style="56" customWidth="1"/>
    <col min="3851" max="3851" width="11.25" style="56" customWidth="1"/>
    <col min="3852" max="4096" width="9" style="56"/>
    <col min="4097" max="4105" width="9.625" style="56" customWidth="1"/>
    <col min="4106" max="4106" width="28.75" style="56" customWidth="1"/>
    <col min="4107" max="4107" width="11.25" style="56" customWidth="1"/>
    <col min="4108" max="4352" width="9" style="56"/>
    <col min="4353" max="4361" width="9.625" style="56" customWidth="1"/>
    <col min="4362" max="4362" width="28.75" style="56" customWidth="1"/>
    <col min="4363" max="4363" width="11.25" style="56" customWidth="1"/>
    <col min="4364" max="4608" width="9" style="56"/>
    <col min="4609" max="4617" width="9.625" style="56" customWidth="1"/>
    <col min="4618" max="4618" width="28.75" style="56" customWidth="1"/>
    <col min="4619" max="4619" width="11.25" style="56" customWidth="1"/>
    <col min="4620" max="4864" width="9" style="56"/>
    <col min="4865" max="4873" width="9.625" style="56" customWidth="1"/>
    <col min="4874" max="4874" width="28.75" style="56" customWidth="1"/>
    <col min="4875" max="4875" width="11.25" style="56" customWidth="1"/>
    <col min="4876" max="5120" width="9" style="56"/>
    <col min="5121" max="5129" width="9.625" style="56" customWidth="1"/>
    <col min="5130" max="5130" width="28.75" style="56" customWidth="1"/>
    <col min="5131" max="5131" width="11.25" style="56" customWidth="1"/>
    <col min="5132" max="5376" width="9" style="56"/>
    <col min="5377" max="5385" width="9.625" style="56" customWidth="1"/>
    <col min="5386" max="5386" width="28.75" style="56" customWidth="1"/>
    <col min="5387" max="5387" width="11.25" style="56" customWidth="1"/>
    <col min="5388" max="5632" width="9" style="56"/>
    <col min="5633" max="5641" width="9.625" style="56" customWidth="1"/>
    <col min="5642" max="5642" width="28.75" style="56" customWidth="1"/>
    <col min="5643" max="5643" width="11.25" style="56" customWidth="1"/>
    <col min="5644" max="5888" width="9" style="56"/>
    <col min="5889" max="5897" width="9.625" style="56" customWidth="1"/>
    <col min="5898" max="5898" width="28.75" style="56" customWidth="1"/>
    <col min="5899" max="5899" width="11.25" style="56" customWidth="1"/>
    <col min="5900" max="6144" width="9" style="56"/>
    <col min="6145" max="6153" width="9.625" style="56" customWidth="1"/>
    <col min="6154" max="6154" width="28.75" style="56" customWidth="1"/>
    <col min="6155" max="6155" width="11.25" style="56" customWidth="1"/>
    <col min="6156" max="6400" width="9" style="56"/>
    <col min="6401" max="6409" width="9.625" style="56" customWidth="1"/>
    <col min="6410" max="6410" width="28.75" style="56" customWidth="1"/>
    <col min="6411" max="6411" width="11.25" style="56" customWidth="1"/>
    <col min="6412" max="6656" width="9" style="56"/>
    <col min="6657" max="6665" width="9.625" style="56" customWidth="1"/>
    <col min="6666" max="6666" width="28.75" style="56" customWidth="1"/>
    <col min="6667" max="6667" width="11.25" style="56" customWidth="1"/>
    <col min="6668" max="6912" width="9" style="56"/>
    <col min="6913" max="6921" width="9.625" style="56" customWidth="1"/>
    <col min="6922" max="6922" width="28.75" style="56" customWidth="1"/>
    <col min="6923" max="6923" width="11.25" style="56" customWidth="1"/>
    <col min="6924" max="7168" width="9" style="56"/>
    <col min="7169" max="7177" width="9.625" style="56" customWidth="1"/>
    <col min="7178" max="7178" width="28.75" style="56" customWidth="1"/>
    <col min="7179" max="7179" width="11.25" style="56" customWidth="1"/>
    <col min="7180" max="7424" width="9" style="56"/>
    <col min="7425" max="7433" width="9.625" style="56" customWidth="1"/>
    <col min="7434" max="7434" width="28.75" style="56" customWidth="1"/>
    <col min="7435" max="7435" width="11.25" style="56" customWidth="1"/>
    <col min="7436" max="7680" width="9" style="56"/>
    <col min="7681" max="7689" width="9.625" style="56" customWidth="1"/>
    <col min="7690" max="7690" width="28.75" style="56" customWidth="1"/>
    <col min="7691" max="7691" width="11.25" style="56" customWidth="1"/>
    <col min="7692" max="7936" width="9" style="56"/>
    <col min="7937" max="7945" width="9.625" style="56" customWidth="1"/>
    <col min="7946" max="7946" width="28.75" style="56" customWidth="1"/>
    <col min="7947" max="7947" width="11.25" style="56" customWidth="1"/>
    <col min="7948" max="8192" width="9" style="56"/>
    <col min="8193" max="8201" width="9.625" style="56" customWidth="1"/>
    <col min="8202" max="8202" width="28.75" style="56" customWidth="1"/>
    <col min="8203" max="8203" width="11.25" style="56" customWidth="1"/>
    <col min="8204" max="8448" width="9" style="56"/>
    <col min="8449" max="8457" width="9.625" style="56" customWidth="1"/>
    <col min="8458" max="8458" width="28.75" style="56" customWidth="1"/>
    <col min="8459" max="8459" width="11.25" style="56" customWidth="1"/>
    <col min="8460" max="8704" width="9" style="56"/>
    <col min="8705" max="8713" width="9.625" style="56" customWidth="1"/>
    <col min="8714" max="8714" width="28.75" style="56" customWidth="1"/>
    <col min="8715" max="8715" width="11.25" style="56" customWidth="1"/>
    <col min="8716" max="8960" width="9" style="56"/>
    <col min="8961" max="8969" width="9.625" style="56" customWidth="1"/>
    <col min="8970" max="8970" width="28.75" style="56" customWidth="1"/>
    <col min="8971" max="8971" width="11.25" style="56" customWidth="1"/>
    <col min="8972" max="9216" width="9" style="56"/>
    <col min="9217" max="9225" width="9.625" style="56" customWidth="1"/>
    <col min="9226" max="9226" width="28.75" style="56" customWidth="1"/>
    <col min="9227" max="9227" width="11.25" style="56" customWidth="1"/>
    <col min="9228" max="9472" width="9" style="56"/>
    <col min="9473" max="9481" width="9.625" style="56" customWidth="1"/>
    <col min="9482" max="9482" width="28.75" style="56" customWidth="1"/>
    <col min="9483" max="9483" width="11.25" style="56" customWidth="1"/>
    <col min="9484" max="9728" width="9" style="56"/>
    <col min="9729" max="9737" width="9.625" style="56" customWidth="1"/>
    <col min="9738" max="9738" width="28.75" style="56" customWidth="1"/>
    <col min="9739" max="9739" width="11.25" style="56" customWidth="1"/>
    <col min="9740" max="9984" width="9" style="56"/>
    <col min="9985" max="9993" width="9.625" style="56" customWidth="1"/>
    <col min="9994" max="9994" width="28.75" style="56" customWidth="1"/>
    <col min="9995" max="9995" width="11.25" style="56" customWidth="1"/>
    <col min="9996" max="10240" width="9" style="56"/>
    <col min="10241" max="10249" width="9.625" style="56" customWidth="1"/>
    <col min="10250" max="10250" width="28.75" style="56" customWidth="1"/>
    <col min="10251" max="10251" width="11.25" style="56" customWidth="1"/>
    <col min="10252" max="10496" width="9" style="56"/>
    <col min="10497" max="10505" width="9.625" style="56" customWidth="1"/>
    <col min="10506" max="10506" width="28.75" style="56" customWidth="1"/>
    <col min="10507" max="10507" width="11.25" style="56" customWidth="1"/>
    <col min="10508" max="10752" width="9" style="56"/>
    <col min="10753" max="10761" width="9.625" style="56" customWidth="1"/>
    <col min="10762" max="10762" width="28.75" style="56" customWidth="1"/>
    <col min="10763" max="10763" width="11.25" style="56" customWidth="1"/>
    <col min="10764" max="11008" width="9" style="56"/>
    <col min="11009" max="11017" width="9.625" style="56" customWidth="1"/>
    <col min="11018" max="11018" width="28.75" style="56" customWidth="1"/>
    <col min="11019" max="11019" width="11.25" style="56" customWidth="1"/>
    <col min="11020" max="11264" width="9" style="56"/>
    <col min="11265" max="11273" width="9.625" style="56" customWidth="1"/>
    <col min="11274" max="11274" width="28.75" style="56" customWidth="1"/>
    <col min="11275" max="11275" width="11.25" style="56" customWidth="1"/>
    <col min="11276" max="11520" width="9" style="56"/>
    <col min="11521" max="11529" width="9.625" style="56" customWidth="1"/>
    <col min="11530" max="11530" width="28.75" style="56" customWidth="1"/>
    <col min="11531" max="11531" width="11.25" style="56" customWidth="1"/>
    <col min="11532" max="11776" width="9" style="56"/>
    <col min="11777" max="11785" width="9.625" style="56" customWidth="1"/>
    <col min="11786" max="11786" width="28.75" style="56" customWidth="1"/>
    <col min="11787" max="11787" width="11.25" style="56" customWidth="1"/>
    <col min="11788" max="12032" width="9" style="56"/>
    <col min="12033" max="12041" width="9.625" style="56" customWidth="1"/>
    <col min="12042" max="12042" width="28.75" style="56" customWidth="1"/>
    <col min="12043" max="12043" width="11.25" style="56" customWidth="1"/>
    <col min="12044" max="12288" width="9" style="56"/>
    <col min="12289" max="12297" width="9.625" style="56" customWidth="1"/>
    <col min="12298" max="12298" width="28.75" style="56" customWidth="1"/>
    <col min="12299" max="12299" width="11.25" style="56" customWidth="1"/>
    <col min="12300" max="12544" width="9" style="56"/>
    <col min="12545" max="12553" width="9.625" style="56" customWidth="1"/>
    <col min="12554" max="12554" width="28.75" style="56" customWidth="1"/>
    <col min="12555" max="12555" width="11.25" style="56" customWidth="1"/>
    <col min="12556" max="12800" width="9" style="56"/>
    <col min="12801" max="12809" width="9.625" style="56" customWidth="1"/>
    <col min="12810" max="12810" width="28.75" style="56" customWidth="1"/>
    <col min="12811" max="12811" width="11.25" style="56" customWidth="1"/>
    <col min="12812" max="13056" width="9" style="56"/>
    <col min="13057" max="13065" width="9.625" style="56" customWidth="1"/>
    <col min="13066" max="13066" width="28.75" style="56" customWidth="1"/>
    <col min="13067" max="13067" width="11.25" style="56" customWidth="1"/>
    <col min="13068" max="13312" width="9" style="56"/>
    <col min="13313" max="13321" width="9.625" style="56" customWidth="1"/>
    <col min="13322" max="13322" width="28.75" style="56" customWidth="1"/>
    <col min="13323" max="13323" width="11.25" style="56" customWidth="1"/>
    <col min="13324" max="13568" width="9" style="56"/>
    <col min="13569" max="13577" width="9.625" style="56" customWidth="1"/>
    <col min="13578" max="13578" width="28.75" style="56" customWidth="1"/>
    <col min="13579" max="13579" width="11.25" style="56" customWidth="1"/>
    <col min="13580" max="13824" width="9" style="56"/>
    <col min="13825" max="13833" width="9.625" style="56" customWidth="1"/>
    <col min="13834" max="13834" width="28.75" style="56" customWidth="1"/>
    <col min="13835" max="13835" width="11.25" style="56" customWidth="1"/>
    <col min="13836" max="14080" width="9" style="56"/>
    <col min="14081" max="14089" width="9.625" style="56" customWidth="1"/>
    <col min="14090" max="14090" width="28.75" style="56" customWidth="1"/>
    <col min="14091" max="14091" width="11.25" style="56" customWidth="1"/>
    <col min="14092" max="14336" width="9" style="56"/>
    <col min="14337" max="14345" width="9.625" style="56" customWidth="1"/>
    <col min="14346" max="14346" width="28.75" style="56" customWidth="1"/>
    <col min="14347" max="14347" width="11.25" style="56" customWidth="1"/>
    <col min="14348" max="14592" width="9" style="56"/>
    <col min="14593" max="14601" width="9.625" style="56" customWidth="1"/>
    <col min="14602" max="14602" width="28.75" style="56" customWidth="1"/>
    <col min="14603" max="14603" width="11.25" style="56" customWidth="1"/>
    <col min="14604" max="14848" width="9" style="56"/>
    <col min="14849" max="14857" width="9.625" style="56" customWidth="1"/>
    <col min="14858" max="14858" width="28.75" style="56" customWidth="1"/>
    <col min="14859" max="14859" width="11.25" style="56" customWidth="1"/>
    <col min="14860" max="15104" width="9" style="56"/>
    <col min="15105" max="15113" width="9.625" style="56" customWidth="1"/>
    <col min="15114" max="15114" width="28.75" style="56" customWidth="1"/>
    <col min="15115" max="15115" width="11.25" style="56" customWidth="1"/>
    <col min="15116" max="15360" width="9" style="56"/>
    <col min="15361" max="15369" width="9.625" style="56" customWidth="1"/>
    <col min="15370" max="15370" width="28.75" style="56" customWidth="1"/>
    <col min="15371" max="15371" width="11.25" style="56" customWidth="1"/>
    <col min="15372" max="15616" width="9" style="56"/>
    <col min="15617" max="15625" width="9.625" style="56" customWidth="1"/>
    <col min="15626" max="15626" width="28.75" style="56" customWidth="1"/>
    <col min="15627" max="15627" width="11.25" style="56" customWidth="1"/>
    <col min="15628" max="15872" width="9" style="56"/>
    <col min="15873" max="15881" width="9.625" style="56" customWidth="1"/>
    <col min="15882" max="15882" width="28.75" style="56" customWidth="1"/>
    <col min="15883" max="15883" width="11.25" style="56" customWidth="1"/>
    <col min="15884" max="16128" width="9" style="56"/>
    <col min="16129" max="16137" width="9.625" style="56" customWidth="1"/>
    <col min="16138" max="16138" width="28.75" style="56" customWidth="1"/>
    <col min="16139" max="16139" width="11.25" style="56" customWidth="1"/>
    <col min="16140" max="16384" width="9" style="56"/>
  </cols>
  <sheetData>
    <row r="1" spans="1:11" ht="20.100000000000001" customHeight="1" x14ac:dyDescent="0.2">
      <c r="A1" s="177" t="s">
        <v>217</v>
      </c>
      <c r="B1" s="177"/>
      <c r="C1" s="177"/>
      <c r="D1" s="177"/>
      <c r="E1" s="177"/>
      <c r="F1" s="177"/>
      <c r="G1" s="177"/>
      <c r="H1" s="177"/>
      <c r="I1" s="177"/>
      <c r="J1" s="177"/>
      <c r="K1" s="55"/>
    </row>
    <row r="2" spans="1:11" ht="20.100000000000001" customHeight="1" thickBot="1" x14ac:dyDescent="0.25">
      <c r="A2" s="178" t="s">
        <v>218</v>
      </c>
      <c r="B2" s="178"/>
      <c r="C2" s="178"/>
      <c r="D2" s="178"/>
      <c r="E2" s="178"/>
      <c r="F2" s="178"/>
      <c r="G2" s="178"/>
      <c r="H2" s="178"/>
      <c r="I2" s="178"/>
      <c r="J2" s="178"/>
      <c r="K2" s="55"/>
    </row>
    <row r="3" spans="1:11" ht="13.5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57"/>
      <c r="K3" s="55"/>
    </row>
    <row r="4" spans="1:11" ht="13.5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59" t="s">
        <v>180</v>
      </c>
      <c r="K4" s="55"/>
    </row>
    <row r="5" spans="1:11" ht="13.5" thickBot="1" x14ac:dyDescent="0.25">
      <c r="A5" s="60">
        <f>SUM(B5:C5)</f>
        <v>3751</v>
      </c>
      <c r="B5" s="60">
        <f>H5+E5</f>
        <v>924</v>
      </c>
      <c r="C5" s="60">
        <f>I5+F5</f>
        <v>2827</v>
      </c>
      <c r="D5" s="60">
        <f>SUM(E5:F5)</f>
        <v>66</v>
      </c>
      <c r="E5" s="60">
        <v>22</v>
      </c>
      <c r="F5" s="60">
        <f>44</f>
        <v>44</v>
      </c>
      <c r="G5" s="60">
        <f>SUM(H5:I5)</f>
        <v>3685</v>
      </c>
      <c r="H5" s="60">
        <v>902</v>
      </c>
      <c r="I5" s="60">
        <f>2096+687</f>
        <v>2783</v>
      </c>
      <c r="J5" s="61" t="s">
        <v>182</v>
      </c>
      <c r="K5" s="55"/>
    </row>
    <row r="6" spans="1:11" ht="13.5" thickBot="1" x14ac:dyDescent="0.25">
      <c r="A6" s="60">
        <f t="shared" ref="A6:A25" si="0">SUM(B6:C6)</f>
        <v>10441</v>
      </c>
      <c r="B6" s="60">
        <f t="shared" ref="B6:C25" si="1">H6+E6</f>
        <v>1181</v>
      </c>
      <c r="C6" s="60">
        <f t="shared" si="1"/>
        <v>9260</v>
      </c>
      <c r="D6" s="60">
        <f t="shared" ref="D6:D25" si="2">SUM(E6:F6)</f>
        <v>39</v>
      </c>
      <c r="E6" s="60">
        <v>0</v>
      </c>
      <c r="F6" s="60">
        <v>39</v>
      </c>
      <c r="G6" s="60">
        <f t="shared" ref="G6:G25" si="3">SUM(H6:I6)</f>
        <v>10402</v>
      </c>
      <c r="H6" s="60">
        <f>842+339</f>
        <v>1181</v>
      </c>
      <c r="I6" s="60">
        <f>8534+687</f>
        <v>9221</v>
      </c>
      <c r="J6" s="61" t="s">
        <v>183</v>
      </c>
      <c r="K6" s="55"/>
    </row>
    <row r="7" spans="1:11" ht="13.5" thickBot="1" x14ac:dyDescent="0.25">
      <c r="A7" s="60">
        <f t="shared" si="0"/>
        <v>874</v>
      </c>
      <c r="B7" s="60">
        <f t="shared" si="1"/>
        <v>205</v>
      </c>
      <c r="C7" s="60">
        <f t="shared" si="1"/>
        <v>669</v>
      </c>
      <c r="D7" s="60">
        <f t="shared" si="2"/>
        <v>108</v>
      </c>
      <c r="E7" s="60">
        <v>1</v>
      </c>
      <c r="F7" s="60">
        <v>107</v>
      </c>
      <c r="G7" s="60">
        <f t="shared" si="3"/>
        <v>766</v>
      </c>
      <c r="H7" s="60">
        <v>204</v>
      </c>
      <c r="I7" s="60">
        <f>300+262</f>
        <v>562</v>
      </c>
      <c r="J7" s="61" t="s">
        <v>184</v>
      </c>
      <c r="K7" s="55"/>
    </row>
    <row r="8" spans="1:11" ht="13.5" thickBot="1" x14ac:dyDescent="0.25">
      <c r="A8" s="60">
        <f t="shared" si="0"/>
        <v>2157</v>
      </c>
      <c r="B8" s="60">
        <f t="shared" si="1"/>
        <v>508</v>
      </c>
      <c r="C8" s="60">
        <f t="shared" si="1"/>
        <v>1649</v>
      </c>
      <c r="D8" s="60">
        <f t="shared" si="2"/>
        <v>20</v>
      </c>
      <c r="E8" s="60">
        <v>7</v>
      </c>
      <c r="F8" s="60">
        <v>13</v>
      </c>
      <c r="G8" s="60">
        <f t="shared" si="3"/>
        <v>2137</v>
      </c>
      <c r="H8" s="60">
        <v>501</v>
      </c>
      <c r="I8" s="60">
        <v>1636</v>
      </c>
      <c r="J8" s="61" t="s">
        <v>185</v>
      </c>
      <c r="K8" s="55"/>
    </row>
    <row r="9" spans="1:11" ht="13.5" thickBot="1" x14ac:dyDescent="0.25">
      <c r="A9" s="60">
        <f t="shared" si="0"/>
        <v>1560</v>
      </c>
      <c r="B9" s="60">
        <f t="shared" si="1"/>
        <v>0</v>
      </c>
      <c r="C9" s="60">
        <f t="shared" si="1"/>
        <v>1560</v>
      </c>
      <c r="D9" s="60">
        <f t="shared" si="2"/>
        <v>28</v>
      </c>
      <c r="E9" s="60">
        <v>0</v>
      </c>
      <c r="F9" s="60">
        <v>28</v>
      </c>
      <c r="G9" s="60">
        <f t="shared" si="3"/>
        <v>1532</v>
      </c>
      <c r="H9" s="60">
        <v>0</v>
      </c>
      <c r="I9" s="60">
        <f>845+687</f>
        <v>1532</v>
      </c>
      <c r="J9" s="61" t="s">
        <v>186</v>
      </c>
      <c r="K9" s="55"/>
    </row>
    <row r="10" spans="1:11" ht="13.5" thickBot="1" x14ac:dyDescent="0.25">
      <c r="A10" s="60">
        <f t="shared" si="0"/>
        <v>2487</v>
      </c>
      <c r="B10" s="60">
        <f t="shared" si="1"/>
        <v>1058</v>
      </c>
      <c r="C10" s="60">
        <f t="shared" si="1"/>
        <v>1429</v>
      </c>
      <c r="D10" s="60">
        <f t="shared" si="2"/>
        <v>165</v>
      </c>
      <c r="E10" s="60">
        <f>19+15</f>
        <v>34</v>
      </c>
      <c r="F10" s="60">
        <f>128+3</f>
        <v>131</v>
      </c>
      <c r="G10" s="60">
        <f t="shared" si="3"/>
        <v>2322</v>
      </c>
      <c r="H10" s="60">
        <v>1024</v>
      </c>
      <c r="I10" s="60">
        <v>1298</v>
      </c>
      <c r="J10" s="61" t="s">
        <v>187</v>
      </c>
      <c r="K10" s="55"/>
    </row>
    <row r="11" spans="1:11" ht="13.5" thickBot="1" x14ac:dyDescent="0.25">
      <c r="A11" s="60">
        <f t="shared" si="0"/>
        <v>2269</v>
      </c>
      <c r="B11" s="60">
        <f t="shared" si="1"/>
        <v>1150</v>
      </c>
      <c r="C11" s="60">
        <f t="shared" si="1"/>
        <v>1119</v>
      </c>
      <c r="D11" s="60">
        <f t="shared" si="2"/>
        <v>46</v>
      </c>
      <c r="E11" s="60">
        <v>28</v>
      </c>
      <c r="F11" s="60">
        <v>18</v>
      </c>
      <c r="G11" s="60">
        <f t="shared" si="3"/>
        <v>2223</v>
      </c>
      <c r="H11" s="60">
        <v>1122</v>
      </c>
      <c r="I11" s="60">
        <f>928+173</f>
        <v>1101</v>
      </c>
      <c r="J11" s="61" t="s">
        <v>188</v>
      </c>
      <c r="K11" s="55"/>
    </row>
    <row r="12" spans="1:11" ht="13.5" thickBot="1" x14ac:dyDescent="0.25">
      <c r="A12" s="60">
        <f t="shared" si="0"/>
        <v>134</v>
      </c>
      <c r="B12" s="60">
        <f t="shared" si="1"/>
        <v>0</v>
      </c>
      <c r="C12" s="60">
        <f t="shared" si="1"/>
        <v>134</v>
      </c>
      <c r="D12" s="60">
        <f t="shared" si="2"/>
        <v>2</v>
      </c>
      <c r="E12" s="60">
        <v>0</v>
      </c>
      <c r="F12" s="60">
        <v>2</v>
      </c>
      <c r="G12" s="60">
        <f t="shared" si="3"/>
        <v>132</v>
      </c>
      <c r="H12" s="60">
        <v>0</v>
      </c>
      <c r="I12" s="60">
        <v>132</v>
      </c>
      <c r="J12" s="61" t="s">
        <v>189</v>
      </c>
      <c r="K12" s="55"/>
    </row>
    <row r="13" spans="1:11" ht="13.5" thickBot="1" x14ac:dyDescent="0.25">
      <c r="A13" s="60">
        <f t="shared" si="0"/>
        <v>8420</v>
      </c>
      <c r="B13" s="60">
        <f t="shared" si="1"/>
        <v>1139</v>
      </c>
      <c r="C13" s="60">
        <f t="shared" si="1"/>
        <v>7281</v>
      </c>
      <c r="D13" s="60">
        <f t="shared" si="2"/>
        <v>109</v>
      </c>
      <c r="E13" s="60">
        <v>5</v>
      </c>
      <c r="F13" s="60">
        <v>104</v>
      </c>
      <c r="G13" s="60">
        <f t="shared" si="3"/>
        <v>8311</v>
      </c>
      <c r="H13" s="60">
        <v>1134</v>
      </c>
      <c r="I13" s="60">
        <v>7177</v>
      </c>
      <c r="J13" s="61" t="s">
        <v>190</v>
      </c>
      <c r="K13" s="55"/>
    </row>
    <row r="14" spans="1:11" ht="13.5" thickBot="1" x14ac:dyDescent="0.25">
      <c r="A14" s="60">
        <f t="shared" si="0"/>
        <v>456</v>
      </c>
      <c r="B14" s="60">
        <f t="shared" si="1"/>
        <v>0</v>
      </c>
      <c r="C14" s="60">
        <f t="shared" si="1"/>
        <v>456</v>
      </c>
      <c r="D14" s="60">
        <f t="shared" si="2"/>
        <v>3</v>
      </c>
      <c r="E14" s="60">
        <v>0</v>
      </c>
      <c r="F14" s="60">
        <v>3</v>
      </c>
      <c r="G14" s="60">
        <f t="shared" si="3"/>
        <v>453</v>
      </c>
      <c r="H14" s="60">
        <v>0</v>
      </c>
      <c r="I14" s="60">
        <f>153+300</f>
        <v>453</v>
      </c>
      <c r="J14" s="61" t="s">
        <v>191</v>
      </c>
      <c r="K14" s="55"/>
    </row>
    <row r="15" spans="1:11" ht="13.5" thickBot="1" x14ac:dyDescent="0.25">
      <c r="A15" s="60">
        <f t="shared" si="0"/>
        <v>1236</v>
      </c>
      <c r="B15" s="60">
        <f t="shared" si="1"/>
        <v>677</v>
      </c>
      <c r="C15" s="60">
        <f t="shared" si="1"/>
        <v>559</v>
      </c>
      <c r="D15" s="60">
        <f t="shared" si="2"/>
        <v>2</v>
      </c>
      <c r="E15" s="60">
        <v>2</v>
      </c>
      <c r="F15" s="60">
        <v>0</v>
      </c>
      <c r="G15" s="60">
        <f t="shared" si="3"/>
        <v>1234</v>
      </c>
      <c r="H15" s="60">
        <v>675</v>
      </c>
      <c r="I15" s="60">
        <v>559</v>
      </c>
      <c r="J15" s="61" t="s">
        <v>192</v>
      </c>
      <c r="K15" s="55"/>
    </row>
    <row r="16" spans="1:11" ht="13.5" thickBot="1" x14ac:dyDescent="0.25">
      <c r="A16" s="60">
        <f t="shared" si="0"/>
        <v>597</v>
      </c>
      <c r="B16" s="60">
        <f t="shared" si="1"/>
        <v>0</v>
      </c>
      <c r="C16" s="60">
        <f t="shared" si="1"/>
        <v>597</v>
      </c>
      <c r="D16" s="60">
        <f t="shared" si="2"/>
        <v>2</v>
      </c>
      <c r="E16" s="60">
        <v>0</v>
      </c>
      <c r="F16" s="60">
        <v>2</v>
      </c>
      <c r="G16" s="60">
        <f t="shared" si="3"/>
        <v>595</v>
      </c>
      <c r="H16" s="60">
        <v>0</v>
      </c>
      <c r="I16" s="60">
        <f>295+300</f>
        <v>595</v>
      </c>
      <c r="J16" s="61" t="s">
        <v>193</v>
      </c>
      <c r="K16" s="55"/>
    </row>
    <row r="17" spans="1:11" ht="13.5" thickBot="1" x14ac:dyDescent="0.25">
      <c r="A17" s="60">
        <f t="shared" si="0"/>
        <v>35</v>
      </c>
      <c r="B17" s="60">
        <f t="shared" si="1"/>
        <v>0</v>
      </c>
      <c r="C17" s="60">
        <f t="shared" si="1"/>
        <v>35</v>
      </c>
      <c r="D17" s="60">
        <f t="shared" si="2"/>
        <v>0</v>
      </c>
      <c r="E17" s="60">
        <v>0</v>
      </c>
      <c r="F17" s="60">
        <v>0</v>
      </c>
      <c r="G17" s="60">
        <f t="shared" si="3"/>
        <v>35</v>
      </c>
      <c r="H17" s="60">
        <v>0</v>
      </c>
      <c r="I17" s="60">
        <f>15+20</f>
        <v>35</v>
      </c>
      <c r="J17" s="61" t="s">
        <v>194</v>
      </c>
      <c r="K17" s="55"/>
    </row>
    <row r="18" spans="1:11" ht="13.5" thickBot="1" x14ac:dyDescent="0.25">
      <c r="A18" s="60">
        <f t="shared" si="0"/>
        <v>7256</v>
      </c>
      <c r="B18" s="60">
        <f t="shared" si="1"/>
        <v>2965</v>
      </c>
      <c r="C18" s="60">
        <f t="shared" si="1"/>
        <v>4291</v>
      </c>
      <c r="D18" s="60">
        <f t="shared" si="2"/>
        <v>156</v>
      </c>
      <c r="E18" s="60">
        <v>27</v>
      </c>
      <c r="F18" s="60">
        <v>129</v>
      </c>
      <c r="G18" s="60">
        <f t="shared" si="3"/>
        <v>7100</v>
      </c>
      <c r="H18" s="60">
        <v>2938</v>
      </c>
      <c r="I18" s="60">
        <v>4162</v>
      </c>
      <c r="J18" s="61" t="s">
        <v>195</v>
      </c>
      <c r="K18" s="55"/>
    </row>
    <row r="19" spans="1:11" ht="13.5" thickBot="1" x14ac:dyDescent="0.25">
      <c r="A19" s="60">
        <f t="shared" si="0"/>
        <v>12111</v>
      </c>
      <c r="B19" s="60">
        <f t="shared" si="1"/>
        <v>689</v>
      </c>
      <c r="C19" s="60">
        <f t="shared" si="1"/>
        <v>11422</v>
      </c>
      <c r="D19" s="60">
        <f t="shared" si="2"/>
        <v>54</v>
      </c>
      <c r="E19" s="60">
        <v>0</v>
      </c>
      <c r="F19" s="60">
        <v>54</v>
      </c>
      <c r="G19" s="60">
        <f t="shared" si="3"/>
        <v>12057</v>
      </c>
      <c r="H19" s="60">
        <v>689</v>
      </c>
      <c r="I19" s="60">
        <f>9452+1916</f>
        <v>11368</v>
      </c>
      <c r="J19" s="61" t="s">
        <v>196</v>
      </c>
      <c r="K19" s="55"/>
    </row>
    <row r="20" spans="1:11" ht="13.5" thickBot="1" x14ac:dyDescent="0.25">
      <c r="A20" s="60">
        <f t="shared" si="0"/>
        <v>509</v>
      </c>
      <c r="B20" s="60">
        <f t="shared" si="1"/>
        <v>0</v>
      </c>
      <c r="C20" s="60">
        <f t="shared" si="1"/>
        <v>509</v>
      </c>
      <c r="D20" s="60">
        <f t="shared" si="2"/>
        <v>1</v>
      </c>
      <c r="E20" s="60">
        <v>0</v>
      </c>
      <c r="F20" s="60">
        <v>1</v>
      </c>
      <c r="G20" s="60">
        <f t="shared" si="3"/>
        <v>508</v>
      </c>
      <c r="H20" s="60">
        <v>0</v>
      </c>
      <c r="I20" s="60">
        <f>258+250</f>
        <v>508</v>
      </c>
      <c r="J20" s="61" t="s">
        <v>197</v>
      </c>
      <c r="K20" s="55"/>
    </row>
    <row r="21" spans="1:11" ht="13.5" thickBot="1" x14ac:dyDescent="0.25">
      <c r="A21" s="60">
        <f t="shared" si="0"/>
        <v>928</v>
      </c>
      <c r="B21" s="60">
        <f t="shared" si="1"/>
        <v>0</v>
      </c>
      <c r="C21" s="60">
        <f t="shared" si="1"/>
        <v>928</v>
      </c>
      <c r="D21" s="60">
        <f t="shared" si="2"/>
        <v>12</v>
      </c>
      <c r="E21" s="60">
        <v>0</v>
      </c>
      <c r="F21" s="60">
        <v>12</v>
      </c>
      <c r="G21" s="60">
        <f t="shared" si="3"/>
        <v>916</v>
      </c>
      <c r="H21" s="60">
        <v>0</v>
      </c>
      <c r="I21" s="60">
        <v>916</v>
      </c>
      <c r="J21" s="61" t="s">
        <v>198</v>
      </c>
      <c r="K21" s="55"/>
    </row>
    <row r="22" spans="1:11" ht="13.5" thickBot="1" x14ac:dyDescent="0.25">
      <c r="A22" s="60">
        <f t="shared" si="0"/>
        <v>3568</v>
      </c>
      <c r="B22" s="60">
        <f t="shared" si="1"/>
        <v>2177</v>
      </c>
      <c r="C22" s="60">
        <f t="shared" si="1"/>
        <v>1391</v>
      </c>
      <c r="D22" s="60">
        <f t="shared" si="2"/>
        <v>83</v>
      </c>
      <c r="E22" s="60">
        <v>66</v>
      </c>
      <c r="F22" s="60">
        <v>17</v>
      </c>
      <c r="G22" s="60">
        <f t="shared" si="3"/>
        <v>3485</v>
      </c>
      <c r="H22" s="60">
        <f>2307-196</f>
        <v>2111</v>
      </c>
      <c r="I22" s="60">
        <v>1374</v>
      </c>
      <c r="J22" s="61" t="s">
        <v>201</v>
      </c>
      <c r="K22" s="55"/>
    </row>
    <row r="23" spans="1:11" ht="13.5" thickBot="1" x14ac:dyDescent="0.25">
      <c r="A23" s="60">
        <f t="shared" si="0"/>
        <v>45</v>
      </c>
      <c r="B23" s="60">
        <f t="shared" si="1"/>
        <v>0</v>
      </c>
      <c r="C23" s="60">
        <f t="shared" si="1"/>
        <v>45</v>
      </c>
      <c r="D23" s="60">
        <f t="shared" si="2"/>
        <v>0</v>
      </c>
      <c r="E23" s="60">
        <v>0</v>
      </c>
      <c r="F23" s="60">
        <v>0</v>
      </c>
      <c r="G23" s="60">
        <f t="shared" si="3"/>
        <v>45</v>
      </c>
      <c r="H23" s="60">
        <v>0</v>
      </c>
      <c r="I23" s="60">
        <f>15+30</f>
        <v>45</v>
      </c>
      <c r="J23" s="61" t="s">
        <v>202</v>
      </c>
      <c r="K23" s="55"/>
    </row>
    <row r="24" spans="1:11" ht="13.5" thickBot="1" x14ac:dyDescent="0.25">
      <c r="A24" s="60">
        <f t="shared" si="0"/>
        <v>83</v>
      </c>
      <c r="B24" s="60">
        <f t="shared" si="1"/>
        <v>0</v>
      </c>
      <c r="C24" s="60">
        <f t="shared" si="1"/>
        <v>83</v>
      </c>
      <c r="D24" s="60">
        <f t="shared" si="2"/>
        <v>0</v>
      </c>
      <c r="E24" s="60">
        <v>0</v>
      </c>
      <c r="F24" s="60">
        <v>0</v>
      </c>
      <c r="G24" s="60">
        <f t="shared" si="3"/>
        <v>83</v>
      </c>
      <c r="H24" s="60">
        <v>0</v>
      </c>
      <c r="I24" s="60">
        <v>83</v>
      </c>
      <c r="J24" s="61" t="s">
        <v>204</v>
      </c>
      <c r="K24" s="55"/>
    </row>
    <row r="25" spans="1:11" ht="13.5" thickBot="1" x14ac:dyDescent="0.25">
      <c r="A25" s="60">
        <f t="shared" si="0"/>
        <v>236</v>
      </c>
      <c r="B25" s="60">
        <f t="shared" si="1"/>
        <v>0</v>
      </c>
      <c r="C25" s="60">
        <f t="shared" si="1"/>
        <v>236</v>
      </c>
      <c r="D25" s="60">
        <f t="shared" si="2"/>
        <v>0</v>
      </c>
      <c r="E25" s="60">
        <v>0</v>
      </c>
      <c r="F25" s="60">
        <v>0</v>
      </c>
      <c r="G25" s="60">
        <f t="shared" si="3"/>
        <v>236</v>
      </c>
      <c r="H25" s="60">
        <v>0</v>
      </c>
      <c r="I25" s="60">
        <v>236</v>
      </c>
      <c r="J25" s="61" t="s">
        <v>57</v>
      </c>
      <c r="K25" s="55"/>
    </row>
    <row r="26" spans="1:11" ht="13.5" thickBot="1" x14ac:dyDescent="0.25">
      <c r="A26" s="60">
        <f t="shared" ref="A26:H26" si="4">SUM(A5:A25)</f>
        <v>59153</v>
      </c>
      <c r="B26" s="60">
        <f t="shared" si="4"/>
        <v>12673</v>
      </c>
      <c r="C26" s="60">
        <f t="shared" si="4"/>
        <v>46480</v>
      </c>
      <c r="D26" s="60">
        <f t="shared" si="4"/>
        <v>896</v>
      </c>
      <c r="E26" s="60">
        <f t="shared" si="4"/>
        <v>192</v>
      </c>
      <c r="F26" s="60">
        <f t="shared" si="4"/>
        <v>704</v>
      </c>
      <c r="G26" s="60">
        <f t="shared" si="4"/>
        <v>58257</v>
      </c>
      <c r="H26" s="60">
        <f t="shared" si="4"/>
        <v>12481</v>
      </c>
      <c r="I26" s="60">
        <f>SUM(I5:I25)</f>
        <v>45776</v>
      </c>
      <c r="J26" s="59" t="s">
        <v>211</v>
      </c>
      <c r="K26" s="55"/>
    </row>
    <row r="28" spans="1:11" x14ac:dyDescent="0.2">
      <c r="A28" s="62"/>
      <c r="B28" s="62"/>
      <c r="C28" s="62"/>
      <c r="D28" s="62"/>
      <c r="E28" s="62"/>
      <c r="F28" s="62"/>
      <c r="G28" s="62"/>
      <c r="H28" s="62"/>
      <c r="I28" s="62"/>
    </row>
    <row r="29" spans="1:11" x14ac:dyDescent="0.2">
      <c r="A29" s="63"/>
      <c r="B29" s="63"/>
      <c r="C29" s="63"/>
      <c r="D29" s="63"/>
      <c r="E29" s="63"/>
      <c r="F29" s="63"/>
      <c r="G29" s="63"/>
      <c r="H29" s="63"/>
      <c r="I29" s="63"/>
    </row>
    <row r="32" spans="1:11" ht="15" x14ac:dyDescent="0.25">
      <c r="A32" s="64"/>
      <c r="B32" s="64"/>
      <c r="C32" s="64"/>
      <c r="D32" s="64"/>
      <c r="E32" s="64"/>
      <c r="F32" s="64"/>
      <c r="G32" s="64"/>
      <c r="H32" s="64"/>
      <c r="I32" s="64"/>
    </row>
  </sheetData>
  <mergeCells count="5">
    <mergeCell ref="A1:J1"/>
    <mergeCell ref="A2:J2"/>
    <mergeCell ref="A3:C3"/>
    <mergeCell ref="D3:F3"/>
    <mergeCell ref="G3:I3"/>
  </mergeCells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3"/>
  <sheetViews>
    <sheetView showGridLines="0" topLeftCell="A55" zoomScale="90" zoomScaleNormal="90" zoomScaleSheetLayoutView="100" workbookViewId="0">
      <selection activeCell="K90" sqref="K90"/>
    </sheetView>
  </sheetViews>
  <sheetFormatPr defaultRowHeight="12.75" customHeight="1" x14ac:dyDescent="0.2"/>
  <cols>
    <col min="1" max="9" width="9.625" style="56" customWidth="1"/>
    <col min="10" max="10" width="5.75" style="56" bestFit="1" customWidth="1"/>
    <col min="11" max="11" width="34.375" style="56" bestFit="1" customWidth="1"/>
    <col min="12" max="12" width="2" style="56" customWidth="1"/>
    <col min="13" max="256" width="9" style="56"/>
    <col min="257" max="265" width="9.625" style="56" customWidth="1"/>
    <col min="266" max="266" width="5.75" style="56" bestFit="1" customWidth="1"/>
    <col min="267" max="267" width="34.375" style="56" bestFit="1" customWidth="1"/>
    <col min="268" max="268" width="2" style="56" customWidth="1"/>
    <col min="269" max="512" width="9" style="56"/>
    <col min="513" max="521" width="9.625" style="56" customWidth="1"/>
    <col min="522" max="522" width="5.75" style="56" bestFit="1" customWidth="1"/>
    <col min="523" max="523" width="34.375" style="56" bestFit="1" customWidth="1"/>
    <col min="524" max="524" width="2" style="56" customWidth="1"/>
    <col min="525" max="768" width="9" style="56"/>
    <col min="769" max="777" width="9.625" style="56" customWidth="1"/>
    <col min="778" max="778" width="5.75" style="56" bestFit="1" customWidth="1"/>
    <col min="779" max="779" width="34.375" style="56" bestFit="1" customWidth="1"/>
    <col min="780" max="780" width="2" style="56" customWidth="1"/>
    <col min="781" max="1024" width="9" style="56"/>
    <col min="1025" max="1033" width="9.625" style="56" customWidth="1"/>
    <col min="1034" max="1034" width="5.75" style="56" bestFit="1" customWidth="1"/>
    <col min="1035" max="1035" width="34.375" style="56" bestFit="1" customWidth="1"/>
    <col min="1036" max="1036" width="2" style="56" customWidth="1"/>
    <col min="1037" max="1280" width="9" style="56"/>
    <col min="1281" max="1289" width="9.625" style="56" customWidth="1"/>
    <col min="1290" max="1290" width="5.75" style="56" bestFit="1" customWidth="1"/>
    <col min="1291" max="1291" width="34.375" style="56" bestFit="1" customWidth="1"/>
    <col min="1292" max="1292" width="2" style="56" customWidth="1"/>
    <col min="1293" max="1536" width="9" style="56"/>
    <col min="1537" max="1545" width="9.625" style="56" customWidth="1"/>
    <col min="1546" max="1546" width="5.75" style="56" bestFit="1" customWidth="1"/>
    <col min="1547" max="1547" width="34.375" style="56" bestFit="1" customWidth="1"/>
    <col min="1548" max="1548" width="2" style="56" customWidth="1"/>
    <col min="1549" max="1792" width="9" style="56"/>
    <col min="1793" max="1801" width="9.625" style="56" customWidth="1"/>
    <col min="1802" max="1802" width="5.75" style="56" bestFit="1" customWidth="1"/>
    <col min="1803" max="1803" width="34.375" style="56" bestFit="1" customWidth="1"/>
    <col min="1804" max="1804" width="2" style="56" customWidth="1"/>
    <col min="1805" max="2048" width="9" style="56"/>
    <col min="2049" max="2057" width="9.625" style="56" customWidth="1"/>
    <col min="2058" max="2058" width="5.75" style="56" bestFit="1" customWidth="1"/>
    <col min="2059" max="2059" width="34.375" style="56" bestFit="1" customWidth="1"/>
    <col min="2060" max="2060" width="2" style="56" customWidth="1"/>
    <col min="2061" max="2304" width="9" style="56"/>
    <col min="2305" max="2313" width="9.625" style="56" customWidth="1"/>
    <col min="2314" max="2314" width="5.75" style="56" bestFit="1" customWidth="1"/>
    <col min="2315" max="2315" width="34.375" style="56" bestFit="1" customWidth="1"/>
    <col min="2316" max="2316" width="2" style="56" customWidth="1"/>
    <col min="2317" max="2560" width="9" style="56"/>
    <col min="2561" max="2569" width="9.625" style="56" customWidth="1"/>
    <col min="2570" max="2570" width="5.75" style="56" bestFit="1" customWidth="1"/>
    <col min="2571" max="2571" width="34.375" style="56" bestFit="1" customWidth="1"/>
    <col min="2572" max="2572" width="2" style="56" customWidth="1"/>
    <col min="2573" max="2816" width="9" style="56"/>
    <col min="2817" max="2825" width="9.625" style="56" customWidth="1"/>
    <col min="2826" max="2826" width="5.75" style="56" bestFit="1" customWidth="1"/>
    <col min="2827" max="2827" width="34.375" style="56" bestFit="1" customWidth="1"/>
    <col min="2828" max="2828" width="2" style="56" customWidth="1"/>
    <col min="2829" max="3072" width="9" style="56"/>
    <col min="3073" max="3081" width="9.625" style="56" customWidth="1"/>
    <col min="3082" max="3082" width="5.75" style="56" bestFit="1" customWidth="1"/>
    <col min="3083" max="3083" width="34.375" style="56" bestFit="1" customWidth="1"/>
    <col min="3084" max="3084" width="2" style="56" customWidth="1"/>
    <col min="3085" max="3328" width="9" style="56"/>
    <col min="3329" max="3337" width="9.625" style="56" customWidth="1"/>
    <col min="3338" max="3338" width="5.75" style="56" bestFit="1" customWidth="1"/>
    <col min="3339" max="3339" width="34.375" style="56" bestFit="1" customWidth="1"/>
    <col min="3340" max="3340" width="2" style="56" customWidth="1"/>
    <col min="3341" max="3584" width="9" style="56"/>
    <col min="3585" max="3593" width="9.625" style="56" customWidth="1"/>
    <col min="3594" max="3594" width="5.75" style="56" bestFit="1" customWidth="1"/>
    <col min="3595" max="3595" width="34.375" style="56" bestFit="1" customWidth="1"/>
    <col min="3596" max="3596" width="2" style="56" customWidth="1"/>
    <col min="3597" max="3840" width="9" style="56"/>
    <col min="3841" max="3849" width="9.625" style="56" customWidth="1"/>
    <col min="3850" max="3850" width="5.75" style="56" bestFit="1" customWidth="1"/>
    <col min="3851" max="3851" width="34.375" style="56" bestFit="1" customWidth="1"/>
    <col min="3852" max="3852" width="2" style="56" customWidth="1"/>
    <col min="3853" max="4096" width="9" style="56"/>
    <col min="4097" max="4105" width="9.625" style="56" customWidth="1"/>
    <col min="4106" max="4106" width="5.75" style="56" bestFit="1" customWidth="1"/>
    <col min="4107" max="4107" width="34.375" style="56" bestFit="1" customWidth="1"/>
    <col min="4108" max="4108" width="2" style="56" customWidth="1"/>
    <col min="4109" max="4352" width="9" style="56"/>
    <col min="4353" max="4361" width="9.625" style="56" customWidth="1"/>
    <col min="4362" max="4362" width="5.75" style="56" bestFit="1" customWidth="1"/>
    <col min="4363" max="4363" width="34.375" style="56" bestFit="1" customWidth="1"/>
    <col min="4364" max="4364" width="2" style="56" customWidth="1"/>
    <col min="4365" max="4608" width="9" style="56"/>
    <col min="4609" max="4617" width="9.625" style="56" customWidth="1"/>
    <col min="4618" max="4618" width="5.75" style="56" bestFit="1" customWidth="1"/>
    <col min="4619" max="4619" width="34.375" style="56" bestFit="1" customWidth="1"/>
    <col min="4620" max="4620" width="2" style="56" customWidth="1"/>
    <col min="4621" max="4864" width="9" style="56"/>
    <col min="4865" max="4873" width="9.625" style="56" customWidth="1"/>
    <col min="4874" max="4874" width="5.75" style="56" bestFit="1" customWidth="1"/>
    <col min="4875" max="4875" width="34.375" style="56" bestFit="1" customWidth="1"/>
    <col min="4876" max="4876" width="2" style="56" customWidth="1"/>
    <col min="4877" max="5120" width="9" style="56"/>
    <col min="5121" max="5129" width="9.625" style="56" customWidth="1"/>
    <col min="5130" max="5130" width="5.75" style="56" bestFit="1" customWidth="1"/>
    <col min="5131" max="5131" width="34.375" style="56" bestFit="1" customWidth="1"/>
    <col min="5132" max="5132" width="2" style="56" customWidth="1"/>
    <col min="5133" max="5376" width="9" style="56"/>
    <col min="5377" max="5385" width="9.625" style="56" customWidth="1"/>
    <col min="5386" max="5386" width="5.75" style="56" bestFit="1" customWidth="1"/>
    <col min="5387" max="5387" width="34.375" style="56" bestFit="1" customWidth="1"/>
    <col min="5388" max="5388" width="2" style="56" customWidth="1"/>
    <col min="5389" max="5632" width="9" style="56"/>
    <col min="5633" max="5641" width="9.625" style="56" customWidth="1"/>
    <col min="5642" max="5642" width="5.75" style="56" bestFit="1" customWidth="1"/>
    <col min="5643" max="5643" width="34.375" style="56" bestFit="1" customWidth="1"/>
    <col min="5644" max="5644" width="2" style="56" customWidth="1"/>
    <col min="5645" max="5888" width="9" style="56"/>
    <col min="5889" max="5897" width="9.625" style="56" customWidth="1"/>
    <col min="5898" max="5898" width="5.75" style="56" bestFit="1" customWidth="1"/>
    <col min="5899" max="5899" width="34.375" style="56" bestFit="1" customWidth="1"/>
    <col min="5900" max="5900" width="2" style="56" customWidth="1"/>
    <col min="5901" max="6144" width="9" style="56"/>
    <col min="6145" max="6153" width="9.625" style="56" customWidth="1"/>
    <col min="6154" max="6154" width="5.75" style="56" bestFit="1" customWidth="1"/>
    <col min="6155" max="6155" width="34.375" style="56" bestFit="1" customWidth="1"/>
    <col min="6156" max="6156" width="2" style="56" customWidth="1"/>
    <col min="6157" max="6400" width="9" style="56"/>
    <col min="6401" max="6409" width="9.625" style="56" customWidth="1"/>
    <col min="6410" max="6410" width="5.75" style="56" bestFit="1" customWidth="1"/>
    <col min="6411" max="6411" width="34.375" style="56" bestFit="1" customWidth="1"/>
    <col min="6412" max="6412" width="2" style="56" customWidth="1"/>
    <col min="6413" max="6656" width="9" style="56"/>
    <col min="6657" max="6665" width="9.625" style="56" customWidth="1"/>
    <col min="6666" max="6666" width="5.75" style="56" bestFit="1" customWidth="1"/>
    <col min="6667" max="6667" width="34.375" style="56" bestFit="1" customWidth="1"/>
    <col min="6668" max="6668" width="2" style="56" customWidth="1"/>
    <col min="6669" max="6912" width="9" style="56"/>
    <col min="6913" max="6921" width="9.625" style="56" customWidth="1"/>
    <col min="6922" max="6922" width="5.75" style="56" bestFit="1" customWidth="1"/>
    <col min="6923" max="6923" width="34.375" style="56" bestFit="1" customWidth="1"/>
    <col min="6924" max="6924" width="2" style="56" customWidth="1"/>
    <col min="6925" max="7168" width="9" style="56"/>
    <col min="7169" max="7177" width="9.625" style="56" customWidth="1"/>
    <col min="7178" max="7178" width="5.75" style="56" bestFit="1" customWidth="1"/>
    <col min="7179" max="7179" width="34.375" style="56" bestFit="1" customWidth="1"/>
    <col min="7180" max="7180" width="2" style="56" customWidth="1"/>
    <col min="7181" max="7424" width="9" style="56"/>
    <col min="7425" max="7433" width="9.625" style="56" customWidth="1"/>
    <col min="7434" max="7434" width="5.75" style="56" bestFit="1" customWidth="1"/>
    <col min="7435" max="7435" width="34.375" style="56" bestFit="1" customWidth="1"/>
    <col min="7436" max="7436" width="2" style="56" customWidth="1"/>
    <col min="7437" max="7680" width="9" style="56"/>
    <col min="7681" max="7689" width="9.625" style="56" customWidth="1"/>
    <col min="7690" max="7690" width="5.75" style="56" bestFit="1" customWidth="1"/>
    <col min="7691" max="7691" width="34.375" style="56" bestFit="1" customWidth="1"/>
    <col min="7692" max="7692" width="2" style="56" customWidth="1"/>
    <col min="7693" max="7936" width="9" style="56"/>
    <col min="7937" max="7945" width="9.625" style="56" customWidth="1"/>
    <col min="7946" max="7946" width="5.75" style="56" bestFit="1" customWidth="1"/>
    <col min="7947" max="7947" width="34.375" style="56" bestFit="1" customWidth="1"/>
    <col min="7948" max="7948" width="2" style="56" customWidth="1"/>
    <col min="7949" max="8192" width="9" style="56"/>
    <col min="8193" max="8201" width="9.625" style="56" customWidth="1"/>
    <col min="8202" max="8202" width="5.75" style="56" bestFit="1" customWidth="1"/>
    <col min="8203" max="8203" width="34.375" style="56" bestFit="1" customWidth="1"/>
    <col min="8204" max="8204" width="2" style="56" customWidth="1"/>
    <col min="8205" max="8448" width="9" style="56"/>
    <col min="8449" max="8457" width="9.625" style="56" customWidth="1"/>
    <col min="8458" max="8458" width="5.75" style="56" bestFit="1" customWidth="1"/>
    <col min="8459" max="8459" width="34.375" style="56" bestFit="1" customWidth="1"/>
    <col min="8460" max="8460" width="2" style="56" customWidth="1"/>
    <col min="8461" max="8704" width="9" style="56"/>
    <col min="8705" max="8713" width="9.625" style="56" customWidth="1"/>
    <col min="8714" max="8714" width="5.75" style="56" bestFit="1" customWidth="1"/>
    <col min="8715" max="8715" width="34.375" style="56" bestFit="1" customWidth="1"/>
    <col min="8716" max="8716" width="2" style="56" customWidth="1"/>
    <col min="8717" max="8960" width="9" style="56"/>
    <col min="8961" max="8969" width="9.625" style="56" customWidth="1"/>
    <col min="8970" max="8970" width="5.75" style="56" bestFit="1" customWidth="1"/>
    <col min="8971" max="8971" width="34.375" style="56" bestFit="1" customWidth="1"/>
    <col min="8972" max="8972" width="2" style="56" customWidth="1"/>
    <col min="8973" max="9216" width="9" style="56"/>
    <col min="9217" max="9225" width="9.625" style="56" customWidth="1"/>
    <col min="9226" max="9226" width="5.75" style="56" bestFit="1" customWidth="1"/>
    <col min="9227" max="9227" width="34.375" style="56" bestFit="1" customWidth="1"/>
    <col min="9228" max="9228" width="2" style="56" customWidth="1"/>
    <col min="9229" max="9472" width="9" style="56"/>
    <col min="9473" max="9481" width="9.625" style="56" customWidth="1"/>
    <col min="9482" max="9482" width="5.75" style="56" bestFit="1" customWidth="1"/>
    <col min="9483" max="9483" width="34.375" style="56" bestFit="1" customWidth="1"/>
    <col min="9484" max="9484" width="2" style="56" customWidth="1"/>
    <col min="9485" max="9728" width="9" style="56"/>
    <col min="9729" max="9737" width="9.625" style="56" customWidth="1"/>
    <col min="9738" max="9738" width="5.75" style="56" bestFit="1" customWidth="1"/>
    <col min="9739" max="9739" width="34.375" style="56" bestFit="1" customWidth="1"/>
    <col min="9740" max="9740" width="2" style="56" customWidth="1"/>
    <col min="9741" max="9984" width="9" style="56"/>
    <col min="9985" max="9993" width="9.625" style="56" customWidth="1"/>
    <col min="9994" max="9994" width="5.75" style="56" bestFit="1" customWidth="1"/>
    <col min="9995" max="9995" width="34.375" style="56" bestFit="1" customWidth="1"/>
    <col min="9996" max="9996" width="2" style="56" customWidth="1"/>
    <col min="9997" max="10240" width="9" style="56"/>
    <col min="10241" max="10249" width="9.625" style="56" customWidth="1"/>
    <col min="10250" max="10250" width="5.75" style="56" bestFit="1" customWidth="1"/>
    <col min="10251" max="10251" width="34.375" style="56" bestFit="1" customWidth="1"/>
    <col min="10252" max="10252" width="2" style="56" customWidth="1"/>
    <col min="10253" max="10496" width="9" style="56"/>
    <col min="10497" max="10505" width="9.625" style="56" customWidth="1"/>
    <col min="10506" max="10506" width="5.75" style="56" bestFit="1" customWidth="1"/>
    <col min="10507" max="10507" width="34.375" style="56" bestFit="1" customWidth="1"/>
    <col min="10508" max="10508" width="2" style="56" customWidth="1"/>
    <col min="10509" max="10752" width="9" style="56"/>
    <col min="10753" max="10761" width="9.625" style="56" customWidth="1"/>
    <col min="10762" max="10762" width="5.75" style="56" bestFit="1" customWidth="1"/>
    <col min="10763" max="10763" width="34.375" style="56" bestFit="1" customWidth="1"/>
    <col min="10764" max="10764" width="2" style="56" customWidth="1"/>
    <col min="10765" max="11008" width="9" style="56"/>
    <col min="11009" max="11017" width="9.625" style="56" customWidth="1"/>
    <col min="11018" max="11018" width="5.75" style="56" bestFit="1" customWidth="1"/>
    <col min="11019" max="11019" width="34.375" style="56" bestFit="1" customWidth="1"/>
    <col min="11020" max="11020" width="2" style="56" customWidth="1"/>
    <col min="11021" max="11264" width="9" style="56"/>
    <col min="11265" max="11273" width="9.625" style="56" customWidth="1"/>
    <col min="11274" max="11274" width="5.75" style="56" bestFit="1" customWidth="1"/>
    <col min="11275" max="11275" width="34.375" style="56" bestFit="1" customWidth="1"/>
    <col min="11276" max="11276" width="2" style="56" customWidth="1"/>
    <col min="11277" max="11520" width="9" style="56"/>
    <col min="11521" max="11529" width="9.625" style="56" customWidth="1"/>
    <col min="11530" max="11530" width="5.75" style="56" bestFit="1" customWidth="1"/>
    <col min="11531" max="11531" width="34.375" style="56" bestFit="1" customWidth="1"/>
    <col min="11532" max="11532" width="2" style="56" customWidth="1"/>
    <col min="11533" max="11776" width="9" style="56"/>
    <col min="11777" max="11785" width="9.625" style="56" customWidth="1"/>
    <col min="11786" max="11786" width="5.75" style="56" bestFit="1" customWidth="1"/>
    <col min="11787" max="11787" width="34.375" style="56" bestFit="1" customWidth="1"/>
    <col min="11788" max="11788" width="2" style="56" customWidth="1"/>
    <col min="11789" max="12032" width="9" style="56"/>
    <col min="12033" max="12041" width="9.625" style="56" customWidth="1"/>
    <col min="12042" max="12042" width="5.75" style="56" bestFit="1" customWidth="1"/>
    <col min="12043" max="12043" width="34.375" style="56" bestFit="1" customWidth="1"/>
    <col min="12044" max="12044" width="2" style="56" customWidth="1"/>
    <col min="12045" max="12288" width="9" style="56"/>
    <col min="12289" max="12297" width="9.625" style="56" customWidth="1"/>
    <col min="12298" max="12298" width="5.75" style="56" bestFit="1" customWidth="1"/>
    <col min="12299" max="12299" width="34.375" style="56" bestFit="1" customWidth="1"/>
    <col min="12300" max="12300" width="2" style="56" customWidth="1"/>
    <col min="12301" max="12544" width="9" style="56"/>
    <col min="12545" max="12553" width="9.625" style="56" customWidth="1"/>
    <col min="12554" max="12554" width="5.75" style="56" bestFit="1" customWidth="1"/>
    <col min="12555" max="12555" width="34.375" style="56" bestFit="1" customWidth="1"/>
    <col min="12556" max="12556" width="2" style="56" customWidth="1"/>
    <col min="12557" max="12800" width="9" style="56"/>
    <col min="12801" max="12809" width="9.625" style="56" customWidth="1"/>
    <col min="12810" max="12810" width="5.75" style="56" bestFit="1" customWidth="1"/>
    <col min="12811" max="12811" width="34.375" style="56" bestFit="1" customWidth="1"/>
    <col min="12812" max="12812" width="2" style="56" customWidth="1"/>
    <col min="12813" max="13056" width="9" style="56"/>
    <col min="13057" max="13065" width="9.625" style="56" customWidth="1"/>
    <col min="13066" max="13066" width="5.75" style="56" bestFit="1" customWidth="1"/>
    <col min="13067" max="13067" width="34.375" style="56" bestFit="1" customWidth="1"/>
    <col min="13068" max="13068" width="2" style="56" customWidth="1"/>
    <col min="13069" max="13312" width="9" style="56"/>
    <col min="13313" max="13321" width="9.625" style="56" customWidth="1"/>
    <col min="13322" max="13322" width="5.75" style="56" bestFit="1" customWidth="1"/>
    <col min="13323" max="13323" width="34.375" style="56" bestFit="1" customWidth="1"/>
    <col min="13324" max="13324" width="2" style="56" customWidth="1"/>
    <col min="13325" max="13568" width="9" style="56"/>
    <col min="13569" max="13577" width="9.625" style="56" customWidth="1"/>
    <col min="13578" max="13578" width="5.75" style="56" bestFit="1" customWidth="1"/>
    <col min="13579" max="13579" width="34.375" style="56" bestFit="1" customWidth="1"/>
    <col min="13580" max="13580" width="2" style="56" customWidth="1"/>
    <col min="13581" max="13824" width="9" style="56"/>
    <col min="13825" max="13833" width="9.625" style="56" customWidth="1"/>
    <col min="13834" max="13834" width="5.75" style="56" bestFit="1" customWidth="1"/>
    <col min="13835" max="13835" width="34.375" style="56" bestFit="1" customWidth="1"/>
    <col min="13836" max="13836" width="2" style="56" customWidth="1"/>
    <col min="13837" max="14080" width="9" style="56"/>
    <col min="14081" max="14089" width="9.625" style="56" customWidth="1"/>
    <col min="14090" max="14090" width="5.75" style="56" bestFit="1" customWidth="1"/>
    <col min="14091" max="14091" width="34.375" style="56" bestFit="1" customWidth="1"/>
    <col min="14092" max="14092" width="2" style="56" customWidth="1"/>
    <col min="14093" max="14336" width="9" style="56"/>
    <col min="14337" max="14345" width="9.625" style="56" customWidth="1"/>
    <col min="14346" max="14346" width="5.75" style="56" bestFit="1" customWidth="1"/>
    <col min="14347" max="14347" width="34.375" style="56" bestFit="1" customWidth="1"/>
    <col min="14348" max="14348" width="2" style="56" customWidth="1"/>
    <col min="14349" max="14592" width="9" style="56"/>
    <col min="14593" max="14601" width="9.625" style="56" customWidth="1"/>
    <col min="14602" max="14602" width="5.75" style="56" bestFit="1" customWidth="1"/>
    <col min="14603" max="14603" width="34.375" style="56" bestFit="1" customWidth="1"/>
    <col min="14604" max="14604" width="2" style="56" customWidth="1"/>
    <col min="14605" max="14848" width="9" style="56"/>
    <col min="14849" max="14857" width="9.625" style="56" customWidth="1"/>
    <col min="14858" max="14858" width="5.75" style="56" bestFit="1" customWidth="1"/>
    <col min="14859" max="14859" width="34.375" style="56" bestFit="1" customWidth="1"/>
    <col min="14860" max="14860" width="2" style="56" customWidth="1"/>
    <col min="14861" max="15104" width="9" style="56"/>
    <col min="15105" max="15113" width="9.625" style="56" customWidth="1"/>
    <col min="15114" max="15114" width="5.75" style="56" bestFit="1" customWidth="1"/>
    <col min="15115" max="15115" width="34.375" style="56" bestFit="1" customWidth="1"/>
    <col min="15116" max="15116" width="2" style="56" customWidth="1"/>
    <col min="15117" max="15360" width="9" style="56"/>
    <col min="15361" max="15369" width="9.625" style="56" customWidth="1"/>
    <col min="15370" max="15370" width="5.75" style="56" bestFit="1" customWidth="1"/>
    <col min="15371" max="15371" width="34.375" style="56" bestFit="1" customWidth="1"/>
    <col min="15372" max="15372" width="2" style="56" customWidth="1"/>
    <col min="15373" max="15616" width="9" style="56"/>
    <col min="15617" max="15625" width="9.625" style="56" customWidth="1"/>
    <col min="15626" max="15626" width="5.75" style="56" bestFit="1" customWidth="1"/>
    <col min="15627" max="15627" width="34.375" style="56" bestFit="1" customWidth="1"/>
    <col min="15628" max="15628" width="2" style="56" customWidth="1"/>
    <col min="15629" max="15872" width="9" style="56"/>
    <col min="15873" max="15881" width="9.625" style="56" customWidth="1"/>
    <col min="15882" max="15882" width="5.75" style="56" bestFit="1" customWidth="1"/>
    <col min="15883" max="15883" width="34.375" style="56" bestFit="1" customWidth="1"/>
    <col min="15884" max="15884" width="2" style="56" customWidth="1"/>
    <col min="15885" max="16128" width="9" style="56"/>
    <col min="16129" max="16137" width="9.625" style="56" customWidth="1"/>
    <col min="16138" max="16138" width="5.75" style="56" bestFit="1" customWidth="1"/>
    <col min="16139" max="16139" width="34.375" style="56" bestFit="1" customWidth="1"/>
    <col min="16140" max="16140" width="2" style="56" customWidth="1"/>
    <col min="16141" max="16384" width="9" style="56"/>
  </cols>
  <sheetData>
    <row r="1" spans="1:12" ht="12.75" customHeight="1" x14ac:dyDescent="0.2">
      <c r="A1" s="177" t="s">
        <v>219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2" ht="12.75" customHeight="1" thickBot="1" x14ac:dyDescent="0.25">
      <c r="A2" s="178" t="s">
        <v>220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2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81"/>
      <c r="K3" s="181"/>
      <c r="L3" s="55"/>
    </row>
    <row r="4" spans="1:12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72</v>
      </c>
      <c r="K4" s="180"/>
      <c r="L4" s="55"/>
    </row>
    <row r="5" spans="1:12" ht="12.75" customHeight="1" thickBot="1" x14ac:dyDescent="0.25">
      <c r="A5" s="60">
        <f>SUM(B5:C5)</f>
        <v>13875</v>
      </c>
      <c r="B5" s="60">
        <f>H5+E5</f>
        <v>6811</v>
      </c>
      <c r="C5" s="60">
        <f>I5+F5</f>
        <v>7064</v>
      </c>
      <c r="D5" s="60">
        <f>SUM(E5:F5)</f>
        <v>230</v>
      </c>
      <c r="E5" s="60">
        <v>91</v>
      </c>
      <c r="F5" s="60">
        <v>139</v>
      </c>
      <c r="G5" s="60">
        <f>SUM(H5:I5)</f>
        <v>13645</v>
      </c>
      <c r="H5" s="60">
        <v>6720</v>
      </c>
      <c r="I5" s="60">
        <v>6925</v>
      </c>
      <c r="J5" s="65" t="s">
        <v>221</v>
      </c>
      <c r="K5" s="66"/>
      <c r="L5" s="55"/>
    </row>
    <row r="6" spans="1:12" ht="12.75" customHeight="1" thickBot="1" x14ac:dyDescent="0.25">
      <c r="A6" s="60">
        <f t="shared" ref="A6:A69" si="0">SUM(B6:C6)</f>
        <v>2822</v>
      </c>
      <c r="B6" s="60">
        <f t="shared" ref="B6:C69" si="1">H6+E6</f>
        <v>2822</v>
      </c>
      <c r="C6" s="60">
        <f t="shared" si="1"/>
        <v>0</v>
      </c>
      <c r="D6" s="60">
        <f t="shared" ref="D6:D69" si="2">SUM(E6:F6)</f>
        <v>0</v>
      </c>
      <c r="E6" s="60">
        <v>0</v>
      </c>
      <c r="F6" s="60">
        <v>0</v>
      </c>
      <c r="G6" s="60">
        <f t="shared" ref="G6:G69" si="3">SUM(H6:I6)</f>
        <v>2822</v>
      </c>
      <c r="H6" s="60">
        <v>2822</v>
      </c>
      <c r="I6" s="60">
        <v>0</v>
      </c>
      <c r="J6" s="65" t="s">
        <v>222</v>
      </c>
      <c r="K6" s="66" t="s">
        <v>74</v>
      </c>
      <c r="L6" s="55"/>
    </row>
    <row r="7" spans="1:12" ht="12.75" customHeight="1" thickBot="1" x14ac:dyDescent="0.25">
      <c r="A7" s="60">
        <f t="shared" ref="A7:H7" si="4">SUM(A5:A6)</f>
        <v>16697</v>
      </c>
      <c r="B7" s="60">
        <f t="shared" si="4"/>
        <v>9633</v>
      </c>
      <c r="C7" s="60">
        <f t="shared" si="4"/>
        <v>7064</v>
      </c>
      <c r="D7" s="60">
        <f t="shared" si="4"/>
        <v>230</v>
      </c>
      <c r="E7" s="60">
        <f t="shared" si="4"/>
        <v>91</v>
      </c>
      <c r="F7" s="60">
        <f t="shared" si="4"/>
        <v>139</v>
      </c>
      <c r="G7" s="60">
        <f t="shared" si="4"/>
        <v>16467</v>
      </c>
      <c r="H7" s="60">
        <f t="shared" si="4"/>
        <v>9542</v>
      </c>
      <c r="I7" s="60">
        <f>SUM(I5:I6)</f>
        <v>6925</v>
      </c>
      <c r="J7" s="65" t="s">
        <v>13</v>
      </c>
      <c r="K7" s="67"/>
      <c r="L7" s="55"/>
    </row>
    <row r="8" spans="1:12" ht="12.75" customHeight="1" thickBot="1" x14ac:dyDescent="0.25">
      <c r="A8" s="60">
        <f t="shared" si="0"/>
        <v>2081</v>
      </c>
      <c r="B8" s="60">
        <f t="shared" si="1"/>
        <v>0</v>
      </c>
      <c r="C8" s="60">
        <f t="shared" si="1"/>
        <v>2081</v>
      </c>
      <c r="D8" s="60">
        <f t="shared" si="2"/>
        <v>806</v>
      </c>
      <c r="E8" s="60">
        <v>0</v>
      </c>
      <c r="F8" s="60">
        <v>806</v>
      </c>
      <c r="G8" s="60">
        <f t="shared" si="3"/>
        <v>1275</v>
      </c>
      <c r="H8" s="60">
        <v>0</v>
      </c>
      <c r="I8" s="60">
        <v>1275</v>
      </c>
      <c r="J8" s="65" t="s">
        <v>221</v>
      </c>
      <c r="K8" s="66"/>
      <c r="L8" s="55"/>
    </row>
    <row r="9" spans="1:12" ht="12.75" customHeight="1" thickBot="1" x14ac:dyDescent="0.25">
      <c r="A9" s="60">
        <f t="shared" si="0"/>
        <v>257</v>
      </c>
      <c r="B9" s="60">
        <f t="shared" si="1"/>
        <v>0</v>
      </c>
      <c r="C9" s="60">
        <f t="shared" si="1"/>
        <v>257</v>
      </c>
      <c r="D9" s="60">
        <f t="shared" si="2"/>
        <v>47</v>
      </c>
      <c r="E9" s="60">
        <v>0</v>
      </c>
      <c r="F9" s="60">
        <v>47</v>
      </c>
      <c r="G9" s="60">
        <f t="shared" si="3"/>
        <v>210</v>
      </c>
      <c r="H9" s="60">
        <v>0</v>
      </c>
      <c r="I9" s="60">
        <v>210</v>
      </c>
      <c r="J9" s="65" t="s">
        <v>222</v>
      </c>
      <c r="K9" s="66" t="s">
        <v>164</v>
      </c>
      <c r="L9" s="55"/>
    </row>
    <row r="10" spans="1:12" ht="12.75" customHeight="1" thickBot="1" x14ac:dyDescent="0.25">
      <c r="A10" s="60">
        <f t="shared" ref="A10:H10" si="5">SUM(A8:A9)</f>
        <v>2338</v>
      </c>
      <c r="B10" s="60">
        <f t="shared" si="5"/>
        <v>0</v>
      </c>
      <c r="C10" s="60">
        <f t="shared" si="5"/>
        <v>2338</v>
      </c>
      <c r="D10" s="60">
        <f t="shared" si="5"/>
        <v>853</v>
      </c>
      <c r="E10" s="60">
        <f t="shared" si="5"/>
        <v>0</v>
      </c>
      <c r="F10" s="60">
        <f t="shared" si="5"/>
        <v>853</v>
      </c>
      <c r="G10" s="60">
        <f t="shared" si="5"/>
        <v>1485</v>
      </c>
      <c r="H10" s="60">
        <f t="shared" si="5"/>
        <v>0</v>
      </c>
      <c r="I10" s="60">
        <f>SUM(I8:I9)</f>
        <v>1485</v>
      </c>
      <c r="J10" s="65" t="s">
        <v>13</v>
      </c>
      <c r="K10" s="67"/>
      <c r="L10" s="55"/>
    </row>
    <row r="11" spans="1:12" ht="12.75" customHeight="1" thickBot="1" x14ac:dyDescent="0.25">
      <c r="A11" s="60">
        <f t="shared" si="0"/>
        <v>10995</v>
      </c>
      <c r="B11" s="60">
        <f t="shared" si="1"/>
        <v>4044</v>
      </c>
      <c r="C11" s="60">
        <f t="shared" si="1"/>
        <v>6951</v>
      </c>
      <c r="D11" s="60">
        <f t="shared" si="2"/>
        <v>203</v>
      </c>
      <c r="E11" s="60">
        <v>60</v>
      </c>
      <c r="F11" s="60">
        <v>143</v>
      </c>
      <c r="G11" s="60">
        <f t="shared" si="3"/>
        <v>10792</v>
      </c>
      <c r="H11" s="60">
        <v>3984</v>
      </c>
      <c r="I11" s="60">
        <v>6808</v>
      </c>
      <c r="J11" s="65" t="s">
        <v>221</v>
      </c>
      <c r="K11" s="66"/>
      <c r="L11" s="55"/>
    </row>
    <row r="12" spans="1:12" ht="12.75" customHeight="1" thickBot="1" x14ac:dyDescent="0.25">
      <c r="A12" s="60">
        <f t="shared" si="0"/>
        <v>2806</v>
      </c>
      <c r="B12" s="60">
        <f t="shared" si="1"/>
        <v>950</v>
      </c>
      <c r="C12" s="60">
        <f t="shared" si="1"/>
        <v>1856</v>
      </c>
      <c r="D12" s="60">
        <f t="shared" si="2"/>
        <v>16</v>
      </c>
      <c r="E12" s="60">
        <v>10</v>
      </c>
      <c r="F12" s="60">
        <v>6</v>
      </c>
      <c r="G12" s="60">
        <f t="shared" si="3"/>
        <v>2790</v>
      </c>
      <c r="H12" s="60">
        <v>940</v>
      </c>
      <c r="I12" s="60">
        <v>1850</v>
      </c>
      <c r="J12" s="65" t="s">
        <v>222</v>
      </c>
      <c r="K12" s="66" t="s">
        <v>76</v>
      </c>
      <c r="L12" s="55"/>
    </row>
    <row r="13" spans="1:12" ht="12.75" customHeight="1" thickBot="1" x14ac:dyDescent="0.25">
      <c r="A13" s="60">
        <f t="shared" ref="A13:H13" si="6">SUM(A11:A12)</f>
        <v>13801</v>
      </c>
      <c r="B13" s="60">
        <f t="shared" si="6"/>
        <v>4994</v>
      </c>
      <c r="C13" s="60">
        <f t="shared" si="6"/>
        <v>8807</v>
      </c>
      <c r="D13" s="60">
        <f t="shared" si="6"/>
        <v>219</v>
      </c>
      <c r="E13" s="60">
        <f t="shared" si="6"/>
        <v>70</v>
      </c>
      <c r="F13" s="60">
        <f t="shared" si="6"/>
        <v>149</v>
      </c>
      <c r="G13" s="60">
        <f t="shared" si="6"/>
        <v>13582</v>
      </c>
      <c r="H13" s="60">
        <f t="shared" si="6"/>
        <v>4924</v>
      </c>
      <c r="I13" s="60">
        <f>SUM(I11:I12)</f>
        <v>8658</v>
      </c>
      <c r="J13" s="65" t="s">
        <v>13</v>
      </c>
      <c r="K13" s="67"/>
      <c r="L13" s="55"/>
    </row>
    <row r="14" spans="1:12" ht="12.75" customHeight="1" thickBot="1" x14ac:dyDescent="0.25">
      <c r="A14" s="60">
        <f t="shared" si="0"/>
        <v>12053</v>
      </c>
      <c r="B14" s="60">
        <f t="shared" si="1"/>
        <v>5054</v>
      </c>
      <c r="C14" s="60">
        <f t="shared" si="1"/>
        <v>6999</v>
      </c>
      <c r="D14" s="60">
        <f t="shared" si="2"/>
        <v>235</v>
      </c>
      <c r="E14" s="60">
        <v>116</v>
      </c>
      <c r="F14" s="60">
        <v>119</v>
      </c>
      <c r="G14" s="60">
        <f t="shared" si="3"/>
        <v>11818</v>
      </c>
      <c r="H14" s="60">
        <v>4938</v>
      </c>
      <c r="I14" s="60">
        <v>6880</v>
      </c>
      <c r="J14" s="65" t="s">
        <v>221</v>
      </c>
      <c r="K14" s="66"/>
      <c r="L14" s="55"/>
    </row>
    <row r="15" spans="1:12" ht="12.75" customHeight="1" thickBot="1" x14ac:dyDescent="0.25">
      <c r="A15" s="60">
        <f t="shared" si="0"/>
        <v>0</v>
      </c>
      <c r="B15" s="60">
        <f t="shared" si="1"/>
        <v>0</v>
      </c>
      <c r="C15" s="60">
        <f t="shared" si="1"/>
        <v>0</v>
      </c>
      <c r="D15" s="60">
        <f t="shared" si="2"/>
        <v>0</v>
      </c>
      <c r="E15" s="60">
        <v>0</v>
      </c>
      <c r="F15" s="60">
        <v>0</v>
      </c>
      <c r="G15" s="60">
        <f t="shared" si="3"/>
        <v>0</v>
      </c>
      <c r="H15" s="60">
        <v>0</v>
      </c>
      <c r="I15" s="60">
        <v>0</v>
      </c>
      <c r="J15" s="65" t="s">
        <v>222</v>
      </c>
      <c r="K15" s="66" t="s">
        <v>78</v>
      </c>
      <c r="L15" s="55"/>
    </row>
    <row r="16" spans="1:12" ht="12.75" customHeight="1" thickBot="1" x14ac:dyDescent="0.25">
      <c r="A16" s="60">
        <f t="shared" ref="A16:H16" si="7">SUM(A14:A15)</f>
        <v>12053</v>
      </c>
      <c r="B16" s="60">
        <f t="shared" si="7"/>
        <v>5054</v>
      </c>
      <c r="C16" s="60">
        <f t="shared" si="7"/>
        <v>6999</v>
      </c>
      <c r="D16" s="60">
        <f t="shared" si="7"/>
        <v>235</v>
      </c>
      <c r="E16" s="60">
        <f t="shared" si="7"/>
        <v>116</v>
      </c>
      <c r="F16" s="60">
        <f t="shared" si="7"/>
        <v>119</v>
      </c>
      <c r="G16" s="60">
        <f t="shared" si="7"/>
        <v>11818</v>
      </c>
      <c r="H16" s="60">
        <f t="shared" si="7"/>
        <v>4938</v>
      </c>
      <c r="I16" s="60">
        <f>SUM(I14:I15)</f>
        <v>6880</v>
      </c>
      <c r="J16" s="65" t="s">
        <v>13</v>
      </c>
      <c r="K16" s="67"/>
      <c r="L16" s="55"/>
    </row>
    <row r="17" spans="1:12" ht="12.75" customHeight="1" thickBot="1" x14ac:dyDescent="0.25">
      <c r="A17" s="60">
        <f t="shared" si="0"/>
        <v>15026</v>
      </c>
      <c r="B17" s="60">
        <f t="shared" si="1"/>
        <v>7221</v>
      </c>
      <c r="C17" s="60">
        <f t="shared" si="1"/>
        <v>7805</v>
      </c>
      <c r="D17" s="60">
        <f t="shared" si="2"/>
        <v>429</v>
      </c>
      <c r="E17" s="60">
        <v>181</v>
      </c>
      <c r="F17" s="60">
        <v>248</v>
      </c>
      <c r="G17" s="60">
        <f t="shared" si="3"/>
        <v>14597</v>
      </c>
      <c r="H17" s="60">
        <v>7040</v>
      </c>
      <c r="I17" s="60">
        <v>7557</v>
      </c>
      <c r="J17" s="65" t="s">
        <v>221</v>
      </c>
      <c r="K17" s="66"/>
      <c r="L17" s="55"/>
    </row>
    <row r="18" spans="1:12" ht="12.75" customHeight="1" thickBot="1" x14ac:dyDescent="0.25">
      <c r="A18" s="60">
        <f t="shared" si="0"/>
        <v>15360</v>
      </c>
      <c r="B18" s="60">
        <f t="shared" si="1"/>
        <v>5362</v>
      </c>
      <c r="C18" s="60">
        <f t="shared" si="1"/>
        <v>9998</v>
      </c>
      <c r="D18" s="60">
        <f t="shared" si="2"/>
        <v>516</v>
      </c>
      <c r="E18" s="60">
        <v>339</v>
      </c>
      <c r="F18" s="60">
        <v>177</v>
      </c>
      <c r="G18" s="60">
        <f t="shared" si="3"/>
        <v>14844</v>
      </c>
      <c r="H18" s="60">
        <v>5023</v>
      </c>
      <c r="I18" s="60">
        <v>9821</v>
      </c>
      <c r="J18" s="65" t="s">
        <v>222</v>
      </c>
      <c r="K18" s="66" t="s">
        <v>79</v>
      </c>
      <c r="L18" s="55"/>
    </row>
    <row r="19" spans="1:12" ht="12.75" customHeight="1" thickBot="1" x14ac:dyDescent="0.25">
      <c r="A19" s="60">
        <f t="shared" ref="A19:H19" si="8">SUM(A17:A18)</f>
        <v>30386</v>
      </c>
      <c r="B19" s="60">
        <f t="shared" si="8"/>
        <v>12583</v>
      </c>
      <c r="C19" s="60">
        <f t="shared" si="8"/>
        <v>17803</v>
      </c>
      <c r="D19" s="60">
        <f t="shared" si="8"/>
        <v>945</v>
      </c>
      <c r="E19" s="60">
        <f t="shared" si="8"/>
        <v>520</v>
      </c>
      <c r="F19" s="60">
        <f t="shared" si="8"/>
        <v>425</v>
      </c>
      <c r="G19" s="60">
        <f t="shared" si="8"/>
        <v>29441</v>
      </c>
      <c r="H19" s="60">
        <f t="shared" si="8"/>
        <v>12063</v>
      </c>
      <c r="I19" s="60">
        <f>SUM(I17:I18)</f>
        <v>17378</v>
      </c>
      <c r="J19" s="65" t="s">
        <v>13</v>
      </c>
      <c r="K19" s="67"/>
      <c r="L19" s="55"/>
    </row>
    <row r="20" spans="1:12" ht="12.75" customHeight="1" thickBot="1" x14ac:dyDescent="0.25">
      <c r="A20" s="60">
        <f t="shared" si="0"/>
        <v>2734</v>
      </c>
      <c r="B20" s="60">
        <f t="shared" si="1"/>
        <v>0</v>
      </c>
      <c r="C20" s="60">
        <f t="shared" si="1"/>
        <v>2734</v>
      </c>
      <c r="D20" s="60">
        <f t="shared" si="2"/>
        <v>41</v>
      </c>
      <c r="E20" s="60">
        <v>0</v>
      </c>
      <c r="F20" s="60">
        <v>41</v>
      </c>
      <c r="G20" s="60">
        <f t="shared" si="3"/>
        <v>2693</v>
      </c>
      <c r="H20" s="60">
        <v>0</v>
      </c>
      <c r="I20" s="60">
        <v>2693</v>
      </c>
      <c r="J20" s="65" t="s">
        <v>221</v>
      </c>
      <c r="K20" s="66"/>
      <c r="L20" s="55"/>
    </row>
    <row r="21" spans="1:12" ht="12.75" customHeight="1" thickBot="1" x14ac:dyDescent="0.25">
      <c r="A21" s="60">
        <f t="shared" si="0"/>
        <v>0</v>
      </c>
      <c r="B21" s="60">
        <f t="shared" si="1"/>
        <v>0</v>
      </c>
      <c r="C21" s="60">
        <f t="shared" si="1"/>
        <v>0</v>
      </c>
      <c r="D21" s="60">
        <f t="shared" si="2"/>
        <v>0</v>
      </c>
      <c r="E21" s="60">
        <v>0</v>
      </c>
      <c r="F21" s="60">
        <v>0</v>
      </c>
      <c r="G21" s="60">
        <f t="shared" si="3"/>
        <v>0</v>
      </c>
      <c r="H21" s="60">
        <v>0</v>
      </c>
      <c r="I21" s="60">
        <v>0</v>
      </c>
      <c r="J21" s="65" t="s">
        <v>222</v>
      </c>
      <c r="K21" s="66" t="s">
        <v>98</v>
      </c>
      <c r="L21" s="55"/>
    </row>
    <row r="22" spans="1:12" ht="12.75" customHeight="1" thickBot="1" x14ac:dyDescent="0.25">
      <c r="A22" s="60">
        <f t="shared" ref="A22:H22" si="9">SUM(A20:A21)</f>
        <v>2734</v>
      </c>
      <c r="B22" s="60">
        <f t="shared" si="9"/>
        <v>0</v>
      </c>
      <c r="C22" s="60">
        <f t="shared" si="9"/>
        <v>2734</v>
      </c>
      <c r="D22" s="60">
        <f t="shared" si="9"/>
        <v>41</v>
      </c>
      <c r="E22" s="60">
        <f t="shared" si="9"/>
        <v>0</v>
      </c>
      <c r="F22" s="60">
        <f t="shared" si="9"/>
        <v>41</v>
      </c>
      <c r="G22" s="60">
        <f t="shared" si="9"/>
        <v>2693</v>
      </c>
      <c r="H22" s="60">
        <f t="shared" si="9"/>
        <v>0</v>
      </c>
      <c r="I22" s="60">
        <f>SUM(I20:I21)</f>
        <v>2693</v>
      </c>
      <c r="J22" s="65" t="s">
        <v>13</v>
      </c>
      <c r="K22" s="67"/>
      <c r="L22" s="55"/>
    </row>
    <row r="23" spans="1:12" ht="12.75" customHeight="1" thickBot="1" x14ac:dyDescent="0.25">
      <c r="A23" s="60">
        <f t="shared" si="0"/>
        <v>10650</v>
      </c>
      <c r="B23" s="60">
        <f t="shared" si="1"/>
        <v>8019</v>
      </c>
      <c r="C23" s="60">
        <f t="shared" si="1"/>
        <v>2631</v>
      </c>
      <c r="D23" s="60">
        <f t="shared" si="2"/>
        <v>48</v>
      </c>
      <c r="E23" s="60">
        <v>34</v>
      </c>
      <c r="F23" s="60">
        <v>14</v>
      </c>
      <c r="G23" s="60">
        <f t="shared" si="3"/>
        <v>10602</v>
      </c>
      <c r="H23" s="60">
        <v>7985</v>
      </c>
      <c r="I23" s="60">
        <v>2617</v>
      </c>
      <c r="J23" s="65" t="s">
        <v>221</v>
      </c>
      <c r="K23" s="66"/>
      <c r="L23" s="55"/>
    </row>
    <row r="24" spans="1:12" ht="12.75" customHeight="1" thickBot="1" x14ac:dyDescent="0.25">
      <c r="A24" s="60">
        <f t="shared" si="0"/>
        <v>3076</v>
      </c>
      <c r="B24" s="60">
        <f t="shared" si="1"/>
        <v>3076</v>
      </c>
      <c r="C24" s="60">
        <f t="shared" si="1"/>
        <v>0</v>
      </c>
      <c r="D24" s="60">
        <f t="shared" si="2"/>
        <v>7</v>
      </c>
      <c r="E24" s="60">
        <v>7</v>
      </c>
      <c r="F24" s="60">
        <v>0</v>
      </c>
      <c r="G24" s="60">
        <f t="shared" si="3"/>
        <v>3069</v>
      </c>
      <c r="H24" s="60">
        <v>3069</v>
      </c>
      <c r="I24" s="60">
        <v>0</v>
      </c>
      <c r="J24" s="65" t="s">
        <v>222</v>
      </c>
      <c r="K24" s="66" t="s">
        <v>80</v>
      </c>
      <c r="L24" s="55"/>
    </row>
    <row r="25" spans="1:12" ht="12.75" customHeight="1" thickBot="1" x14ac:dyDescent="0.25">
      <c r="A25" s="60">
        <f t="shared" ref="A25:H25" si="10">SUM(A23:A24)</f>
        <v>13726</v>
      </c>
      <c r="B25" s="60">
        <f t="shared" si="10"/>
        <v>11095</v>
      </c>
      <c r="C25" s="60">
        <f t="shared" si="10"/>
        <v>2631</v>
      </c>
      <c r="D25" s="60">
        <f t="shared" si="10"/>
        <v>55</v>
      </c>
      <c r="E25" s="60">
        <f t="shared" si="10"/>
        <v>41</v>
      </c>
      <c r="F25" s="60">
        <f t="shared" si="10"/>
        <v>14</v>
      </c>
      <c r="G25" s="60">
        <f t="shared" si="10"/>
        <v>13671</v>
      </c>
      <c r="H25" s="60">
        <f t="shared" si="10"/>
        <v>11054</v>
      </c>
      <c r="I25" s="60">
        <f>SUM(I23:I24)</f>
        <v>2617</v>
      </c>
      <c r="J25" s="65" t="s">
        <v>13</v>
      </c>
      <c r="K25" s="67"/>
      <c r="L25" s="55"/>
    </row>
    <row r="26" spans="1:12" ht="12.75" customHeight="1" thickBot="1" x14ac:dyDescent="0.25">
      <c r="A26" s="60">
        <f t="shared" si="0"/>
        <v>10553</v>
      </c>
      <c r="B26" s="60">
        <f t="shared" si="1"/>
        <v>6087</v>
      </c>
      <c r="C26" s="60">
        <f t="shared" si="1"/>
        <v>4466</v>
      </c>
      <c r="D26" s="60">
        <f t="shared" si="2"/>
        <v>30</v>
      </c>
      <c r="E26" s="60">
        <v>4</v>
      </c>
      <c r="F26" s="60">
        <v>26</v>
      </c>
      <c r="G26" s="60">
        <f t="shared" si="3"/>
        <v>10523</v>
      </c>
      <c r="H26" s="60">
        <v>6083</v>
      </c>
      <c r="I26" s="60">
        <v>4440</v>
      </c>
      <c r="J26" s="65" t="s">
        <v>221</v>
      </c>
      <c r="K26" s="66"/>
      <c r="L26" s="55"/>
    </row>
    <row r="27" spans="1:12" ht="12.75" customHeight="1" thickBot="1" x14ac:dyDescent="0.25">
      <c r="A27" s="60">
        <f t="shared" si="0"/>
        <v>2630</v>
      </c>
      <c r="B27" s="60">
        <f t="shared" si="1"/>
        <v>2630</v>
      </c>
      <c r="C27" s="60">
        <f t="shared" si="1"/>
        <v>0</v>
      </c>
      <c r="D27" s="60">
        <f t="shared" si="2"/>
        <v>2</v>
      </c>
      <c r="E27" s="60">
        <v>2</v>
      </c>
      <c r="F27" s="60">
        <v>0</v>
      </c>
      <c r="G27" s="60">
        <f t="shared" si="3"/>
        <v>2628</v>
      </c>
      <c r="H27" s="60">
        <v>2628</v>
      </c>
      <c r="I27" s="60">
        <v>0</v>
      </c>
      <c r="J27" s="65" t="s">
        <v>222</v>
      </c>
      <c r="K27" s="66" t="s">
        <v>81</v>
      </c>
      <c r="L27" s="55"/>
    </row>
    <row r="28" spans="1:12" ht="12.75" customHeight="1" thickBot="1" x14ac:dyDescent="0.25">
      <c r="A28" s="60">
        <f t="shared" ref="A28:H28" si="11">SUM(A26:A27)</f>
        <v>13183</v>
      </c>
      <c r="B28" s="60">
        <f t="shared" si="11"/>
        <v>8717</v>
      </c>
      <c r="C28" s="60">
        <f t="shared" si="11"/>
        <v>4466</v>
      </c>
      <c r="D28" s="60">
        <f t="shared" si="11"/>
        <v>32</v>
      </c>
      <c r="E28" s="60">
        <f t="shared" si="11"/>
        <v>6</v>
      </c>
      <c r="F28" s="60">
        <f t="shared" si="11"/>
        <v>26</v>
      </c>
      <c r="G28" s="60">
        <f t="shared" si="11"/>
        <v>13151</v>
      </c>
      <c r="H28" s="60">
        <f t="shared" si="11"/>
        <v>8711</v>
      </c>
      <c r="I28" s="60">
        <f>SUM(I26:I27)</f>
        <v>4440</v>
      </c>
      <c r="J28" s="65" t="s">
        <v>13</v>
      </c>
      <c r="K28" s="67"/>
      <c r="L28" s="55"/>
    </row>
    <row r="29" spans="1:12" ht="12.75" customHeight="1" thickBot="1" x14ac:dyDescent="0.25">
      <c r="A29" s="60">
        <f t="shared" si="0"/>
        <v>8873</v>
      </c>
      <c r="B29" s="60">
        <f t="shared" si="1"/>
        <v>3555</v>
      </c>
      <c r="C29" s="60">
        <f t="shared" si="1"/>
        <v>5318</v>
      </c>
      <c r="D29" s="60">
        <f t="shared" si="2"/>
        <v>38</v>
      </c>
      <c r="E29" s="60">
        <v>10</v>
      </c>
      <c r="F29" s="60">
        <v>28</v>
      </c>
      <c r="G29" s="60">
        <f t="shared" si="3"/>
        <v>8835</v>
      </c>
      <c r="H29" s="60">
        <v>3545</v>
      </c>
      <c r="I29" s="60">
        <v>5290</v>
      </c>
      <c r="J29" s="65" t="s">
        <v>221</v>
      </c>
      <c r="K29" s="66"/>
      <c r="L29" s="55"/>
    </row>
    <row r="30" spans="1:12" ht="12.75" customHeight="1" thickBot="1" x14ac:dyDescent="0.25">
      <c r="A30" s="60">
        <f t="shared" si="0"/>
        <v>1335</v>
      </c>
      <c r="B30" s="60">
        <f t="shared" si="1"/>
        <v>1335</v>
      </c>
      <c r="C30" s="60">
        <f t="shared" si="1"/>
        <v>0</v>
      </c>
      <c r="D30" s="60">
        <f t="shared" si="2"/>
        <v>0</v>
      </c>
      <c r="E30" s="60">
        <v>0</v>
      </c>
      <c r="F30" s="60">
        <v>0</v>
      </c>
      <c r="G30" s="60">
        <f t="shared" si="3"/>
        <v>1335</v>
      </c>
      <c r="H30" s="60">
        <v>1335</v>
      </c>
      <c r="I30" s="60">
        <v>0</v>
      </c>
      <c r="J30" s="65" t="s">
        <v>222</v>
      </c>
      <c r="K30" s="66" t="s">
        <v>108</v>
      </c>
      <c r="L30" s="55"/>
    </row>
    <row r="31" spans="1:12" ht="12.75" customHeight="1" thickBot="1" x14ac:dyDescent="0.25">
      <c r="A31" s="60">
        <f t="shared" ref="A31:H31" si="12">SUM(A29:A30)</f>
        <v>10208</v>
      </c>
      <c r="B31" s="60">
        <f t="shared" si="12"/>
        <v>4890</v>
      </c>
      <c r="C31" s="60">
        <f t="shared" si="12"/>
        <v>5318</v>
      </c>
      <c r="D31" s="60">
        <f t="shared" si="12"/>
        <v>38</v>
      </c>
      <c r="E31" s="60">
        <f t="shared" si="12"/>
        <v>10</v>
      </c>
      <c r="F31" s="60">
        <f t="shared" si="12"/>
        <v>28</v>
      </c>
      <c r="G31" s="60">
        <f t="shared" si="12"/>
        <v>10170</v>
      </c>
      <c r="H31" s="60">
        <f t="shared" si="12"/>
        <v>4880</v>
      </c>
      <c r="I31" s="60">
        <f>SUM(I29:I30)</f>
        <v>5290</v>
      </c>
      <c r="J31" s="65" t="s">
        <v>13</v>
      </c>
      <c r="K31" s="67"/>
      <c r="L31" s="55"/>
    </row>
    <row r="32" spans="1:12" ht="12.75" customHeight="1" thickBot="1" x14ac:dyDescent="0.25">
      <c r="A32" s="60">
        <f t="shared" si="0"/>
        <v>6380</v>
      </c>
      <c r="B32" s="60">
        <f t="shared" si="1"/>
        <v>4389</v>
      </c>
      <c r="C32" s="60">
        <f t="shared" si="1"/>
        <v>1991</v>
      </c>
      <c r="D32" s="60">
        <f t="shared" si="2"/>
        <v>146</v>
      </c>
      <c r="E32" s="60">
        <v>104</v>
      </c>
      <c r="F32" s="60">
        <v>42</v>
      </c>
      <c r="G32" s="60">
        <f t="shared" si="3"/>
        <v>6234</v>
      </c>
      <c r="H32" s="60">
        <v>4285</v>
      </c>
      <c r="I32" s="60">
        <v>1949</v>
      </c>
      <c r="J32" s="65" t="s">
        <v>221</v>
      </c>
      <c r="K32" s="66"/>
      <c r="L32" s="55"/>
    </row>
    <row r="33" spans="1:12" ht="12.75" customHeight="1" thickBot="1" x14ac:dyDescent="0.25">
      <c r="A33" s="60">
        <f t="shared" si="0"/>
        <v>1136</v>
      </c>
      <c r="B33" s="60">
        <f t="shared" si="1"/>
        <v>1133</v>
      </c>
      <c r="C33" s="60">
        <f t="shared" si="1"/>
        <v>3</v>
      </c>
      <c r="D33" s="60">
        <f t="shared" si="2"/>
        <v>0</v>
      </c>
      <c r="E33" s="60">
        <v>0</v>
      </c>
      <c r="F33" s="60">
        <v>0</v>
      </c>
      <c r="G33" s="60">
        <f t="shared" si="3"/>
        <v>1136</v>
      </c>
      <c r="H33" s="60">
        <v>1133</v>
      </c>
      <c r="I33" s="60">
        <v>3</v>
      </c>
      <c r="J33" s="65" t="s">
        <v>222</v>
      </c>
      <c r="K33" s="66" t="s">
        <v>82</v>
      </c>
      <c r="L33" s="55"/>
    </row>
    <row r="34" spans="1:12" ht="12.75" customHeight="1" thickBot="1" x14ac:dyDescent="0.25">
      <c r="A34" s="60">
        <f t="shared" ref="A34:H34" si="13">SUM(A32:A33)</f>
        <v>7516</v>
      </c>
      <c r="B34" s="60">
        <f t="shared" si="13"/>
        <v>5522</v>
      </c>
      <c r="C34" s="60">
        <f t="shared" si="13"/>
        <v>1994</v>
      </c>
      <c r="D34" s="60">
        <f t="shared" si="13"/>
        <v>146</v>
      </c>
      <c r="E34" s="60">
        <f t="shared" si="13"/>
        <v>104</v>
      </c>
      <c r="F34" s="60">
        <f t="shared" si="13"/>
        <v>42</v>
      </c>
      <c r="G34" s="60">
        <f t="shared" si="13"/>
        <v>7370</v>
      </c>
      <c r="H34" s="60">
        <f t="shared" si="13"/>
        <v>5418</v>
      </c>
      <c r="I34" s="60">
        <f>SUM(I32:I33)</f>
        <v>1952</v>
      </c>
      <c r="J34" s="65" t="s">
        <v>13</v>
      </c>
      <c r="K34" s="67"/>
      <c r="L34" s="55"/>
    </row>
    <row r="35" spans="1:12" ht="12.75" customHeight="1" thickBot="1" x14ac:dyDescent="0.25">
      <c r="A35" s="60">
        <f t="shared" si="0"/>
        <v>6315</v>
      </c>
      <c r="B35" s="60">
        <f t="shared" si="1"/>
        <v>3597</v>
      </c>
      <c r="C35" s="60">
        <f t="shared" si="1"/>
        <v>2718</v>
      </c>
      <c r="D35" s="60">
        <f t="shared" si="2"/>
        <v>69</v>
      </c>
      <c r="E35" s="60">
        <v>41</v>
      </c>
      <c r="F35" s="60">
        <v>28</v>
      </c>
      <c r="G35" s="60">
        <f t="shared" si="3"/>
        <v>6246</v>
      </c>
      <c r="H35" s="60">
        <v>3556</v>
      </c>
      <c r="I35" s="60">
        <v>2690</v>
      </c>
      <c r="J35" s="65" t="s">
        <v>221</v>
      </c>
      <c r="K35" s="66"/>
      <c r="L35" s="55"/>
    </row>
    <row r="36" spans="1:12" ht="12.75" customHeight="1" thickBot="1" x14ac:dyDescent="0.25">
      <c r="A36" s="60">
        <f t="shared" si="0"/>
        <v>1238</v>
      </c>
      <c r="B36" s="60">
        <f t="shared" si="1"/>
        <v>1238</v>
      </c>
      <c r="C36" s="60">
        <f t="shared" si="1"/>
        <v>0</v>
      </c>
      <c r="D36" s="60">
        <f t="shared" si="2"/>
        <v>0</v>
      </c>
      <c r="E36" s="60">
        <v>0</v>
      </c>
      <c r="F36" s="60">
        <v>0</v>
      </c>
      <c r="G36" s="60">
        <f t="shared" si="3"/>
        <v>1238</v>
      </c>
      <c r="H36" s="60">
        <v>1238</v>
      </c>
      <c r="I36" s="60">
        <v>0</v>
      </c>
      <c r="J36" s="65" t="s">
        <v>222</v>
      </c>
      <c r="K36" s="66" t="s">
        <v>83</v>
      </c>
      <c r="L36" s="55"/>
    </row>
    <row r="37" spans="1:12" ht="12.75" customHeight="1" thickBot="1" x14ac:dyDescent="0.25">
      <c r="A37" s="60">
        <f t="shared" ref="A37:H37" si="14">SUM(A35:A36)</f>
        <v>7553</v>
      </c>
      <c r="B37" s="60">
        <f t="shared" si="14"/>
        <v>4835</v>
      </c>
      <c r="C37" s="60">
        <f t="shared" si="14"/>
        <v>2718</v>
      </c>
      <c r="D37" s="60">
        <f t="shared" si="14"/>
        <v>69</v>
      </c>
      <c r="E37" s="60">
        <f t="shared" si="14"/>
        <v>41</v>
      </c>
      <c r="F37" s="60">
        <f t="shared" si="14"/>
        <v>28</v>
      </c>
      <c r="G37" s="60">
        <f t="shared" si="14"/>
        <v>7484</v>
      </c>
      <c r="H37" s="60">
        <f t="shared" si="14"/>
        <v>4794</v>
      </c>
      <c r="I37" s="60">
        <f>SUM(I35:I36)</f>
        <v>2690</v>
      </c>
      <c r="J37" s="65" t="s">
        <v>13</v>
      </c>
      <c r="K37" s="67"/>
      <c r="L37" s="55"/>
    </row>
    <row r="38" spans="1:12" ht="12.75" customHeight="1" thickBot="1" x14ac:dyDescent="0.25">
      <c r="A38" s="60">
        <f t="shared" si="0"/>
        <v>180</v>
      </c>
      <c r="B38" s="60">
        <f t="shared" si="1"/>
        <v>137</v>
      </c>
      <c r="C38" s="60">
        <f t="shared" si="1"/>
        <v>43</v>
      </c>
      <c r="D38" s="60">
        <f t="shared" si="2"/>
        <v>0</v>
      </c>
      <c r="E38" s="60">
        <v>0</v>
      </c>
      <c r="F38" s="60">
        <v>0</v>
      </c>
      <c r="G38" s="60">
        <f t="shared" si="3"/>
        <v>180</v>
      </c>
      <c r="H38" s="60">
        <v>137</v>
      </c>
      <c r="I38" s="60">
        <v>43</v>
      </c>
      <c r="J38" s="65" t="s">
        <v>221</v>
      </c>
      <c r="K38" s="66"/>
      <c r="L38" s="55"/>
    </row>
    <row r="39" spans="1:12" ht="12.75" customHeight="1" thickBot="1" x14ac:dyDescent="0.25">
      <c r="A39" s="60">
        <f t="shared" si="0"/>
        <v>0</v>
      </c>
      <c r="B39" s="60">
        <f t="shared" si="1"/>
        <v>0</v>
      </c>
      <c r="C39" s="60">
        <f t="shared" si="1"/>
        <v>0</v>
      </c>
      <c r="D39" s="60">
        <f t="shared" si="2"/>
        <v>0</v>
      </c>
      <c r="E39" s="60">
        <v>0</v>
      </c>
      <c r="F39" s="60">
        <v>0</v>
      </c>
      <c r="G39" s="60">
        <f t="shared" si="3"/>
        <v>0</v>
      </c>
      <c r="H39" s="60">
        <v>0</v>
      </c>
      <c r="I39" s="60">
        <v>0</v>
      </c>
      <c r="J39" s="65" t="s">
        <v>222</v>
      </c>
      <c r="K39" s="66" t="s">
        <v>165</v>
      </c>
      <c r="L39" s="55"/>
    </row>
    <row r="40" spans="1:12" ht="12.75" customHeight="1" thickBot="1" x14ac:dyDescent="0.25">
      <c r="A40" s="60">
        <f t="shared" ref="A40:H40" si="15">SUM(A38:A39)</f>
        <v>180</v>
      </c>
      <c r="B40" s="60">
        <f t="shared" si="15"/>
        <v>137</v>
      </c>
      <c r="C40" s="60">
        <f t="shared" si="15"/>
        <v>43</v>
      </c>
      <c r="D40" s="60">
        <f t="shared" si="15"/>
        <v>0</v>
      </c>
      <c r="E40" s="60">
        <f t="shared" si="15"/>
        <v>0</v>
      </c>
      <c r="F40" s="60">
        <f t="shared" si="15"/>
        <v>0</v>
      </c>
      <c r="G40" s="60">
        <f t="shared" si="15"/>
        <v>180</v>
      </c>
      <c r="H40" s="60">
        <f t="shared" si="15"/>
        <v>137</v>
      </c>
      <c r="I40" s="60">
        <f>SUM(I38:I39)</f>
        <v>43</v>
      </c>
      <c r="J40" s="65" t="s">
        <v>13</v>
      </c>
      <c r="K40" s="67"/>
      <c r="L40" s="55"/>
    </row>
    <row r="41" spans="1:12" ht="12.75" customHeight="1" thickBot="1" x14ac:dyDescent="0.25">
      <c r="A41" s="60">
        <f t="shared" si="0"/>
        <v>3280</v>
      </c>
      <c r="B41" s="60">
        <f t="shared" si="1"/>
        <v>1524</v>
      </c>
      <c r="C41" s="60">
        <f t="shared" si="1"/>
        <v>1756</v>
      </c>
      <c r="D41" s="60">
        <f t="shared" si="2"/>
        <v>39</v>
      </c>
      <c r="E41" s="60">
        <v>39</v>
      </c>
      <c r="F41" s="60">
        <v>0</v>
      </c>
      <c r="G41" s="60">
        <f t="shared" si="3"/>
        <v>3241</v>
      </c>
      <c r="H41" s="60">
        <v>1485</v>
      </c>
      <c r="I41" s="60">
        <v>1756</v>
      </c>
      <c r="J41" s="65" t="s">
        <v>221</v>
      </c>
      <c r="K41" s="66"/>
      <c r="L41" s="55"/>
    </row>
    <row r="42" spans="1:12" ht="12.75" customHeight="1" thickBot="1" x14ac:dyDescent="0.25">
      <c r="A42" s="60">
        <f t="shared" si="0"/>
        <v>1046</v>
      </c>
      <c r="B42" s="60">
        <f t="shared" si="1"/>
        <v>1046</v>
      </c>
      <c r="C42" s="60">
        <f t="shared" si="1"/>
        <v>0</v>
      </c>
      <c r="D42" s="60">
        <f t="shared" si="2"/>
        <v>33</v>
      </c>
      <c r="E42" s="60">
        <v>33</v>
      </c>
      <c r="F42" s="60">
        <v>0</v>
      </c>
      <c r="G42" s="60">
        <f t="shared" si="3"/>
        <v>1013</v>
      </c>
      <c r="H42" s="60">
        <v>1013</v>
      </c>
      <c r="I42" s="60">
        <v>0</v>
      </c>
      <c r="J42" s="65" t="s">
        <v>222</v>
      </c>
      <c r="K42" s="66" t="s">
        <v>115</v>
      </c>
      <c r="L42" s="55"/>
    </row>
    <row r="43" spans="1:12" ht="12.75" customHeight="1" thickBot="1" x14ac:dyDescent="0.25">
      <c r="A43" s="60">
        <f t="shared" ref="A43:H43" si="16">SUM(A41:A42)</f>
        <v>4326</v>
      </c>
      <c r="B43" s="60">
        <f t="shared" si="16"/>
        <v>2570</v>
      </c>
      <c r="C43" s="60">
        <f t="shared" si="16"/>
        <v>1756</v>
      </c>
      <c r="D43" s="60">
        <f t="shared" si="16"/>
        <v>72</v>
      </c>
      <c r="E43" s="60">
        <f t="shared" si="16"/>
        <v>72</v>
      </c>
      <c r="F43" s="60">
        <f t="shared" si="16"/>
        <v>0</v>
      </c>
      <c r="G43" s="60">
        <f t="shared" si="16"/>
        <v>4254</v>
      </c>
      <c r="H43" s="60">
        <f t="shared" si="16"/>
        <v>2498</v>
      </c>
      <c r="I43" s="60">
        <f>SUM(I41:I42)</f>
        <v>1756</v>
      </c>
      <c r="J43" s="65" t="s">
        <v>13</v>
      </c>
      <c r="K43" s="67"/>
      <c r="L43" s="55"/>
    </row>
    <row r="44" spans="1:12" ht="12.75" customHeight="1" thickBot="1" x14ac:dyDescent="0.25">
      <c r="A44" s="60">
        <f t="shared" si="0"/>
        <v>3754</v>
      </c>
      <c r="B44" s="60">
        <f t="shared" si="1"/>
        <v>2446</v>
      </c>
      <c r="C44" s="60">
        <f t="shared" si="1"/>
        <v>1308</v>
      </c>
      <c r="D44" s="60">
        <f t="shared" si="2"/>
        <v>9</v>
      </c>
      <c r="E44" s="60">
        <v>0</v>
      </c>
      <c r="F44" s="60">
        <v>9</v>
      </c>
      <c r="G44" s="60">
        <f t="shared" si="3"/>
        <v>3745</v>
      </c>
      <c r="H44" s="60">
        <v>2446</v>
      </c>
      <c r="I44" s="60">
        <v>1299</v>
      </c>
      <c r="J44" s="65" t="s">
        <v>221</v>
      </c>
      <c r="K44" s="66"/>
      <c r="L44" s="55"/>
    </row>
    <row r="45" spans="1:12" ht="12.75" customHeight="1" thickBot="1" x14ac:dyDescent="0.25">
      <c r="A45" s="60">
        <f t="shared" si="0"/>
        <v>952</v>
      </c>
      <c r="B45" s="60">
        <f t="shared" si="1"/>
        <v>952</v>
      </c>
      <c r="C45" s="60">
        <f t="shared" si="1"/>
        <v>0</v>
      </c>
      <c r="D45" s="60">
        <f t="shared" si="2"/>
        <v>0</v>
      </c>
      <c r="E45" s="60">
        <v>0</v>
      </c>
      <c r="F45" s="60">
        <v>0</v>
      </c>
      <c r="G45" s="60">
        <f t="shared" si="3"/>
        <v>952</v>
      </c>
      <c r="H45" s="60">
        <v>952</v>
      </c>
      <c r="I45" s="60">
        <v>0</v>
      </c>
      <c r="J45" s="65" t="s">
        <v>222</v>
      </c>
      <c r="K45" s="66" t="s">
        <v>118</v>
      </c>
      <c r="L45" s="55"/>
    </row>
    <row r="46" spans="1:12" ht="12.75" customHeight="1" thickBot="1" x14ac:dyDescent="0.25">
      <c r="A46" s="60">
        <f t="shared" ref="A46:H46" si="17">SUM(A44:A45)</f>
        <v>4706</v>
      </c>
      <c r="B46" s="60">
        <f t="shared" si="17"/>
        <v>3398</v>
      </c>
      <c r="C46" s="60">
        <f t="shared" si="17"/>
        <v>1308</v>
      </c>
      <c r="D46" s="60">
        <f t="shared" si="17"/>
        <v>9</v>
      </c>
      <c r="E46" s="60">
        <f t="shared" si="17"/>
        <v>0</v>
      </c>
      <c r="F46" s="60">
        <f t="shared" si="17"/>
        <v>9</v>
      </c>
      <c r="G46" s="60">
        <f t="shared" si="17"/>
        <v>4697</v>
      </c>
      <c r="H46" s="60">
        <f t="shared" si="17"/>
        <v>3398</v>
      </c>
      <c r="I46" s="60">
        <f>SUM(I44:I45)</f>
        <v>1299</v>
      </c>
      <c r="J46" s="65" t="s">
        <v>13</v>
      </c>
      <c r="K46" s="67"/>
      <c r="L46" s="55"/>
    </row>
    <row r="47" spans="1:12" ht="12.75" customHeight="1" thickBot="1" x14ac:dyDescent="0.25">
      <c r="A47" s="60">
        <f t="shared" si="0"/>
        <v>4997</v>
      </c>
      <c r="B47" s="60">
        <f t="shared" si="1"/>
        <v>2574</v>
      </c>
      <c r="C47" s="60">
        <f t="shared" si="1"/>
        <v>2423</v>
      </c>
      <c r="D47" s="60">
        <f t="shared" si="2"/>
        <v>0</v>
      </c>
      <c r="E47" s="60">
        <v>0</v>
      </c>
      <c r="F47" s="60">
        <v>0</v>
      </c>
      <c r="G47" s="60">
        <f t="shared" si="3"/>
        <v>4997</v>
      </c>
      <c r="H47" s="60">
        <v>2574</v>
      </c>
      <c r="I47" s="60">
        <v>2423</v>
      </c>
      <c r="J47" s="65" t="s">
        <v>221</v>
      </c>
      <c r="K47" s="66"/>
      <c r="L47" s="55"/>
    </row>
    <row r="48" spans="1:12" ht="12.75" customHeight="1" thickBot="1" x14ac:dyDescent="0.25">
      <c r="A48" s="60">
        <f t="shared" si="0"/>
        <v>335</v>
      </c>
      <c r="B48" s="60">
        <f t="shared" si="1"/>
        <v>335</v>
      </c>
      <c r="C48" s="60">
        <f t="shared" si="1"/>
        <v>0</v>
      </c>
      <c r="D48" s="60">
        <f t="shared" si="2"/>
        <v>0</v>
      </c>
      <c r="E48" s="60">
        <v>0</v>
      </c>
      <c r="F48" s="60">
        <v>0</v>
      </c>
      <c r="G48" s="60">
        <f t="shared" si="3"/>
        <v>335</v>
      </c>
      <c r="H48" s="60">
        <v>335</v>
      </c>
      <c r="I48" s="60">
        <v>0</v>
      </c>
      <c r="J48" s="65" t="s">
        <v>222</v>
      </c>
      <c r="K48" s="66" t="s">
        <v>120</v>
      </c>
      <c r="L48" s="55"/>
    </row>
    <row r="49" spans="1:12" ht="12.75" customHeight="1" thickBot="1" x14ac:dyDescent="0.25">
      <c r="A49" s="60">
        <f t="shared" ref="A49:H49" si="18">SUM(A47:A48)</f>
        <v>5332</v>
      </c>
      <c r="B49" s="60">
        <f t="shared" si="18"/>
        <v>2909</v>
      </c>
      <c r="C49" s="60">
        <f t="shared" si="18"/>
        <v>2423</v>
      </c>
      <c r="D49" s="60">
        <f t="shared" si="18"/>
        <v>0</v>
      </c>
      <c r="E49" s="60">
        <f t="shared" si="18"/>
        <v>0</v>
      </c>
      <c r="F49" s="60">
        <f t="shared" si="18"/>
        <v>0</v>
      </c>
      <c r="G49" s="60">
        <f t="shared" si="18"/>
        <v>5332</v>
      </c>
      <c r="H49" s="60">
        <f t="shared" si="18"/>
        <v>2909</v>
      </c>
      <c r="I49" s="60">
        <f>SUM(I47:I48)</f>
        <v>2423</v>
      </c>
      <c r="J49" s="65" t="s">
        <v>13</v>
      </c>
      <c r="K49" s="67"/>
      <c r="L49" s="55"/>
    </row>
    <row r="50" spans="1:12" ht="12.75" customHeight="1" thickBot="1" x14ac:dyDescent="0.25">
      <c r="A50" s="60">
        <f t="shared" si="0"/>
        <v>3089</v>
      </c>
      <c r="B50" s="60">
        <f t="shared" si="1"/>
        <v>1827</v>
      </c>
      <c r="C50" s="60">
        <f t="shared" si="1"/>
        <v>1262</v>
      </c>
      <c r="D50" s="60">
        <f t="shared" si="2"/>
        <v>1</v>
      </c>
      <c r="E50" s="60">
        <v>1</v>
      </c>
      <c r="F50" s="60">
        <v>0</v>
      </c>
      <c r="G50" s="60">
        <f t="shared" si="3"/>
        <v>3088</v>
      </c>
      <c r="H50" s="60">
        <v>1826</v>
      </c>
      <c r="I50" s="60">
        <v>1262</v>
      </c>
      <c r="J50" s="65" t="s">
        <v>221</v>
      </c>
      <c r="K50" s="66"/>
      <c r="L50" s="55"/>
    </row>
    <row r="51" spans="1:12" ht="12.75" customHeight="1" thickBot="1" x14ac:dyDescent="0.25">
      <c r="A51" s="60">
        <f t="shared" si="0"/>
        <v>439</v>
      </c>
      <c r="B51" s="60">
        <f t="shared" si="1"/>
        <v>439</v>
      </c>
      <c r="C51" s="60">
        <f t="shared" si="1"/>
        <v>0</v>
      </c>
      <c r="D51" s="60">
        <f t="shared" si="2"/>
        <v>0</v>
      </c>
      <c r="E51" s="60">
        <v>0</v>
      </c>
      <c r="F51" s="60">
        <v>0</v>
      </c>
      <c r="G51" s="60">
        <f t="shared" si="3"/>
        <v>439</v>
      </c>
      <c r="H51" s="60">
        <v>439</v>
      </c>
      <c r="I51" s="60">
        <v>0</v>
      </c>
      <c r="J51" s="65" t="s">
        <v>222</v>
      </c>
      <c r="K51" s="66" t="s">
        <v>124</v>
      </c>
      <c r="L51" s="55"/>
    </row>
    <row r="52" spans="1:12" ht="12.75" customHeight="1" thickBot="1" x14ac:dyDescent="0.25">
      <c r="A52" s="60">
        <f t="shared" ref="A52:H52" si="19">SUM(A50:A51)</f>
        <v>3528</v>
      </c>
      <c r="B52" s="60">
        <f t="shared" si="19"/>
        <v>2266</v>
      </c>
      <c r="C52" s="60">
        <f t="shared" si="19"/>
        <v>1262</v>
      </c>
      <c r="D52" s="60">
        <f t="shared" si="19"/>
        <v>1</v>
      </c>
      <c r="E52" s="60">
        <f t="shared" si="19"/>
        <v>1</v>
      </c>
      <c r="F52" s="60">
        <f t="shared" si="19"/>
        <v>0</v>
      </c>
      <c r="G52" s="60">
        <f t="shared" si="19"/>
        <v>3527</v>
      </c>
      <c r="H52" s="60">
        <f t="shared" si="19"/>
        <v>2265</v>
      </c>
      <c r="I52" s="60">
        <f>SUM(I50:I51)</f>
        <v>1262</v>
      </c>
      <c r="J52" s="65" t="s">
        <v>13</v>
      </c>
      <c r="K52" s="67"/>
      <c r="L52" s="55"/>
    </row>
    <row r="53" spans="1:12" ht="12.75" customHeight="1" thickBot="1" x14ac:dyDescent="0.25">
      <c r="A53" s="60">
        <f t="shared" si="0"/>
        <v>5199</v>
      </c>
      <c r="B53" s="60">
        <f t="shared" si="1"/>
        <v>3017</v>
      </c>
      <c r="C53" s="60">
        <f t="shared" si="1"/>
        <v>2182</v>
      </c>
      <c r="D53" s="60">
        <f t="shared" si="2"/>
        <v>0</v>
      </c>
      <c r="E53" s="60">
        <v>0</v>
      </c>
      <c r="F53" s="60">
        <v>0</v>
      </c>
      <c r="G53" s="60">
        <f t="shared" si="3"/>
        <v>5199</v>
      </c>
      <c r="H53" s="60">
        <v>3017</v>
      </c>
      <c r="I53" s="60">
        <v>2182</v>
      </c>
      <c r="J53" s="65" t="s">
        <v>221</v>
      </c>
      <c r="K53" s="66"/>
      <c r="L53" s="55"/>
    </row>
    <row r="54" spans="1:12" ht="12.75" customHeight="1" thickBot="1" x14ac:dyDescent="0.25">
      <c r="A54" s="60">
        <f t="shared" si="0"/>
        <v>569</v>
      </c>
      <c r="B54" s="60">
        <f t="shared" si="1"/>
        <v>569</v>
      </c>
      <c r="C54" s="60">
        <f t="shared" si="1"/>
        <v>0</v>
      </c>
      <c r="D54" s="60">
        <f t="shared" si="2"/>
        <v>0</v>
      </c>
      <c r="E54" s="60">
        <v>0</v>
      </c>
      <c r="F54" s="60">
        <v>0</v>
      </c>
      <c r="G54" s="60">
        <f t="shared" si="3"/>
        <v>569</v>
      </c>
      <c r="H54" s="60">
        <v>569</v>
      </c>
      <c r="I54" s="60">
        <v>0</v>
      </c>
      <c r="J54" s="65" t="s">
        <v>222</v>
      </c>
      <c r="K54" s="66" t="s">
        <v>126</v>
      </c>
      <c r="L54" s="55"/>
    </row>
    <row r="55" spans="1:12" ht="12.75" customHeight="1" thickBot="1" x14ac:dyDescent="0.25">
      <c r="A55" s="60">
        <f t="shared" ref="A55:H55" si="20">SUM(A53:A54)</f>
        <v>5768</v>
      </c>
      <c r="B55" s="60">
        <f t="shared" si="20"/>
        <v>3586</v>
      </c>
      <c r="C55" s="60">
        <f t="shared" si="20"/>
        <v>2182</v>
      </c>
      <c r="D55" s="60">
        <f t="shared" si="20"/>
        <v>0</v>
      </c>
      <c r="E55" s="60">
        <f t="shared" si="20"/>
        <v>0</v>
      </c>
      <c r="F55" s="60">
        <f t="shared" si="20"/>
        <v>0</v>
      </c>
      <c r="G55" s="60">
        <f t="shared" si="20"/>
        <v>5768</v>
      </c>
      <c r="H55" s="60">
        <f t="shared" si="20"/>
        <v>3586</v>
      </c>
      <c r="I55" s="60">
        <f>SUM(I53:I54)</f>
        <v>2182</v>
      </c>
      <c r="J55" s="65" t="s">
        <v>13</v>
      </c>
      <c r="K55" s="67"/>
      <c r="L55" s="55"/>
    </row>
    <row r="56" spans="1:12" ht="12.75" customHeight="1" thickBot="1" x14ac:dyDescent="0.25">
      <c r="A56" s="60">
        <f t="shared" si="0"/>
        <v>1996</v>
      </c>
      <c r="B56" s="60">
        <f t="shared" si="1"/>
        <v>1197</v>
      </c>
      <c r="C56" s="60">
        <f t="shared" si="1"/>
        <v>799</v>
      </c>
      <c r="D56" s="60">
        <f t="shared" si="2"/>
        <v>4</v>
      </c>
      <c r="E56" s="60">
        <v>4</v>
      </c>
      <c r="F56" s="60">
        <v>0</v>
      </c>
      <c r="G56" s="60">
        <f t="shared" si="3"/>
        <v>1992</v>
      </c>
      <c r="H56" s="60">
        <v>1193</v>
      </c>
      <c r="I56" s="60">
        <v>799</v>
      </c>
      <c r="J56" s="65" t="s">
        <v>221</v>
      </c>
      <c r="K56" s="66"/>
      <c r="L56" s="55"/>
    </row>
    <row r="57" spans="1:12" ht="12.75" customHeight="1" thickBot="1" x14ac:dyDescent="0.25">
      <c r="A57" s="60">
        <f t="shared" si="0"/>
        <v>705</v>
      </c>
      <c r="B57" s="60">
        <f t="shared" si="1"/>
        <v>705</v>
      </c>
      <c r="C57" s="60">
        <f t="shared" si="1"/>
        <v>0</v>
      </c>
      <c r="D57" s="60">
        <f t="shared" si="2"/>
        <v>2</v>
      </c>
      <c r="E57" s="60">
        <v>2</v>
      </c>
      <c r="F57" s="60">
        <v>0</v>
      </c>
      <c r="G57" s="60">
        <f t="shared" si="3"/>
        <v>703</v>
      </c>
      <c r="H57" s="60">
        <v>703</v>
      </c>
      <c r="I57" s="60">
        <v>0</v>
      </c>
      <c r="J57" s="65" t="s">
        <v>222</v>
      </c>
      <c r="K57" s="66" t="s">
        <v>129</v>
      </c>
      <c r="L57" s="55"/>
    </row>
    <row r="58" spans="1:12" ht="12.75" customHeight="1" thickBot="1" x14ac:dyDescent="0.25">
      <c r="A58" s="60">
        <f t="shared" ref="A58:H58" si="21">SUM(A56:A57)</f>
        <v>2701</v>
      </c>
      <c r="B58" s="60">
        <f t="shared" si="21"/>
        <v>1902</v>
      </c>
      <c r="C58" s="60">
        <f t="shared" si="21"/>
        <v>799</v>
      </c>
      <c r="D58" s="60">
        <f t="shared" si="21"/>
        <v>6</v>
      </c>
      <c r="E58" s="60">
        <f t="shared" si="21"/>
        <v>6</v>
      </c>
      <c r="F58" s="60">
        <f t="shared" si="21"/>
        <v>0</v>
      </c>
      <c r="G58" s="60">
        <f t="shared" si="21"/>
        <v>2695</v>
      </c>
      <c r="H58" s="60">
        <f t="shared" si="21"/>
        <v>1896</v>
      </c>
      <c r="I58" s="60">
        <f>SUM(I56:I57)</f>
        <v>799</v>
      </c>
      <c r="J58" s="65" t="s">
        <v>13</v>
      </c>
      <c r="K58" s="67"/>
      <c r="L58" s="55"/>
    </row>
    <row r="59" spans="1:12" ht="12.75" customHeight="1" thickBot="1" x14ac:dyDescent="0.25">
      <c r="A59" s="60">
        <f t="shared" si="0"/>
        <v>12125</v>
      </c>
      <c r="B59" s="60">
        <f t="shared" si="1"/>
        <v>12125</v>
      </c>
      <c r="C59" s="60">
        <f t="shared" si="1"/>
        <v>0</v>
      </c>
      <c r="D59" s="60">
        <f t="shared" si="2"/>
        <v>18</v>
      </c>
      <c r="E59" s="60">
        <v>18</v>
      </c>
      <c r="F59" s="60">
        <v>0</v>
      </c>
      <c r="G59" s="60">
        <f t="shared" si="3"/>
        <v>12107</v>
      </c>
      <c r="H59" s="60">
        <v>12107</v>
      </c>
      <c r="I59" s="60">
        <v>0</v>
      </c>
      <c r="J59" s="65" t="s">
        <v>221</v>
      </c>
      <c r="K59" s="66"/>
      <c r="L59" s="55"/>
    </row>
    <row r="60" spans="1:12" ht="12.75" customHeight="1" thickBot="1" x14ac:dyDescent="0.25">
      <c r="A60" s="60">
        <f t="shared" si="0"/>
        <v>6395</v>
      </c>
      <c r="B60" s="60">
        <f t="shared" si="1"/>
        <v>6395</v>
      </c>
      <c r="C60" s="60">
        <f t="shared" si="1"/>
        <v>0</v>
      </c>
      <c r="D60" s="60">
        <f t="shared" si="2"/>
        <v>6</v>
      </c>
      <c r="E60" s="60">
        <v>6</v>
      </c>
      <c r="F60" s="60">
        <v>0</v>
      </c>
      <c r="G60" s="60">
        <f t="shared" si="3"/>
        <v>6389</v>
      </c>
      <c r="H60" s="60">
        <v>6389</v>
      </c>
      <c r="I60" s="60">
        <v>0</v>
      </c>
      <c r="J60" s="65" t="s">
        <v>222</v>
      </c>
      <c r="K60" s="66" t="s">
        <v>223</v>
      </c>
      <c r="L60" s="55"/>
    </row>
    <row r="61" spans="1:12" ht="12.75" customHeight="1" thickBot="1" x14ac:dyDescent="0.25">
      <c r="A61" s="60">
        <f t="shared" ref="A61:H61" si="22">SUM(A59:A60)</f>
        <v>18520</v>
      </c>
      <c r="B61" s="60">
        <f t="shared" si="22"/>
        <v>18520</v>
      </c>
      <c r="C61" s="60">
        <f t="shared" si="22"/>
        <v>0</v>
      </c>
      <c r="D61" s="60">
        <f t="shared" si="22"/>
        <v>24</v>
      </c>
      <c r="E61" s="60">
        <f t="shared" si="22"/>
        <v>24</v>
      </c>
      <c r="F61" s="60">
        <f t="shared" si="22"/>
        <v>0</v>
      </c>
      <c r="G61" s="60">
        <f t="shared" si="22"/>
        <v>18496</v>
      </c>
      <c r="H61" s="60">
        <f t="shared" si="22"/>
        <v>18496</v>
      </c>
      <c r="I61" s="60">
        <f>SUM(I59:I60)</f>
        <v>0</v>
      </c>
      <c r="J61" s="65" t="s">
        <v>13</v>
      </c>
      <c r="K61" s="67"/>
      <c r="L61" s="55"/>
    </row>
    <row r="62" spans="1:12" ht="12.75" customHeight="1" thickBot="1" x14ac:dyDescent="0.25">
      <c r="A62" s="60">
        <f t="shared" si="0"/>
        <v>1471</v>
      </c>
      <c r="B62" s="60">
        <f t="shared" si="1"/>
        <v>1013</v>
      </c>
      <c r="C62" s="60">
        <f t="shared" si="1"/>
        <v>458</v>
      </c>
      <c r="D62" s="60">
        <f t="shared" si="2"/>
        <v>0</v>
      </c>
      <c r="E62" s="60">
        <v>0</v>
      </c>
      <c r="F62" s="60">
        <v>0</v>
      </c>
      <c r="G62" s="60">
        <f t="shared" si="3"/>
        <v>1471</v>
      </c>
      <c r="H62" s="60">
        <v>1013</v>
      </c>
      <c r="I62" s="60">
        <v>458</v>
      </c>
      <c r="J62" s="65" t="s">
        <v>221</v>
      </c>
      <c r="K62" s="66"/>
      <c r="L62" s="55"/>
    </row>
    <row r="63" spans="1:12" ht="12.75" customHeight="1" thickBot="1" x14ac:dyDescent="0.25">
      <c r="A63" s="60">
        <f t="shared" si="0"/>
        <v>385</v>
      </c>
      <c r="B63" s="60">
        <f t="shared" si="1"/>
        <v>385</v>
      </c>
      <c r="C63" s="60">
        <f t="shared" si="1"/>
        <v>0</v>
      </c>
      <c r="D63" s="60">
        <f t="shared" si="2"/>
        <v>0</v>
      </c>
      <c r="E63" s="60">
        <v>0</v>
      </c>
      <c r="F63" s="60">
        <v>0</v>
      </c>
      <c r="G63" s="60">
        <f t="shared" si="3"/>
        <v>385</v>
      </c>
      <c r="H63" s="60">
        <v>385</v>
      </c>
      <c r="I63" s="60">
        <v>0</v>
      </c>
      <c r="J63" s="65" t="s">
        <v>222</v>
      </c>
      <c r="K63" s="66" t="s">
        <v>133</v>
      </c>
      <c r="L63" s="55"/>
    </row>
    <row r="64" spans="1:12" ht="12.75" customHeight="1" thickBot="1" x14ac:dyDescent="0.25">
      <c r="A64" s="60">
        <f t="shared" ref="A64:H64" si="23">SUM(A62:A63)</f>
        <v>1856</v>
      </c>
      <c r="B64" s="60">
        <f t="shared" si="23"/>
        <v>1398</v>
      </c>
      <c r="C64" s="60">
        <f t="shared" si="23"/>
        <v>458</v>
      </c>
      <c r="D64" s="60">
        <f t="shared" si="23"/>
        <v>0</v>
      </c>
      <c r="E64" s="60">
        <f t="shared" si="23"/>
        <v>0</v>
      </c>
      <c r="F64" s="60">
        <f t="shared" si="23"/>
        <v>0</v>
      </c>
      <c r="G64" s="60">
        <f t="shared" si="23"/>
        <v>1856</v>
      </c>
      <c r="H64" s="60">
        <f t="shared" si="23"/>
        <v>1398</v>
      </c>
      <c r="I64" s="60">
        <f>SUM(I62:I63)</f>
        <v>458</v>
      </c>
      <c r="J64" s="65" t="s">
        <v>13</v>
      </c>
      <c r="K64" s="67"/>
      <c r="L64" s="55"/>
    </row>
    <row r="65" spans="1:12" ht="12.75" customHeight="1" thickBot="1" x14ac:dyDescent="0.25">
      <c r="A65" s="60">
        <f t="shared" si="0"/>
        <v>724</v>
      </c>
      <c r="B65" s="60">
        <f t="shared" si="1"/>
        <v>0</v>
      </c>
      <c r="C65" s="60">
        <f t="shared" si="1"/>
        <v>724</v>
      </c>
      <c r="D65" s="60">
        <f t="shared" si="2"/>
        <v>0</v>
      </c>
      <c r="E65" s="60">
        <v>0</v>
      </c>
      <c r="F65" s="60">
        <v>0</v>
      </c>
      <c r="G65" s="60">
        <f t="shared" si="3"/>
        <v>724</v>
      </c>
      <c r="H65" s="60">
        <v>0</v>
      </c>
      <c r="I65" s="60">
        <v>724</v>
      </c>
      <c r="J65" s="65" t="s">
        <v>221</v>
      </c>
      <c r="K65" s="66"/>
      <c r="L65" s="55"/>
    </row>
    <row r="66" spans="1:12" ht="12.75" customHeight="1" thickBot="1" x14ac:dyDescent="0.25">
      <c r="A66" s="60">
        <f t="shared" si="0"/>
        <v>0</v>
      </c>
      <c r="B66" s="60">
        <f t="shared" si="1"/>
        <v>0</v>
      </c>
      <c r="C66" s="60">
        <f t="shared" si="1"/>
        <v>0</v>
      </c>
      <c r="D66" s="60">
        <f t="shared" si="2"/>
        <v>0</v>
      </c>
      <c r="E66" s="60">
        <v>0</v>
      </c>
      <c r="F66" s="60">
        <v>0</v>
      </c>
      <c r="G66" s="60">
        <f t="shared" si="3"/>
        <v>0</v>
      </c>
      <c r="H66" s="60">
        <v>0</v>
      </c>
      <c r="I66" s="60">
        <v>0</v>
      </c>
      <c r="J66" s="65" t="s">
        <v>222</v>
      </c>
      <c r="K66" s="66" t="s">
        <v>168</v>
      </c>
      <c r="L66" s="55"/>
    </row>
    <row r="67" spans="1:12" ht="12.75" customHeight="1" thickBot="1" x14ac:dyDescent="0.25">
      <c r="A67" s="60">
        <f t="shared" ref="A67:H67" si="24">SUM(A65:A66)</f>
        <v>724</v>
      </c>
      <c r="B67" s="60">
        <f t="shared" si="24"/>
        <v>0</v>
      </c>
      <c r="C67" s="60">
        <f t="shared" si="24"/>
        <v>724</v>
      </c>
      <c r="D67" s="60">
        <f t="shared" si="24"/>
        <v>0</v>
      </c>
      <c r="E67" s="60">
        <f t="shared" si="24"/>
        <v>0</v>
      </c>
      <c r="F67" s="60">
        <f t="shared" si="24"/>
        <v>0</v>
      </c>
      <c r="G67" s="60">
        <f t="shared" si="24"/>
        <v>724</v>
      </c>
      <c r="H67" s="60">
        <f t="shared" si="24"/>
        <v>0</v>
      </c>
      <c r="I67" s="60">
        <f>SUM(I65:I66)</f>
        <v>724</v>
      </c>
      <c r="J67" s="65" t="s">
        <v>13</v>
      </c>
      <c r="K67" s="67"/>
      <c r="L67" s="55"/>
    </row>
    <row r="68" spans="1:12" ht="12.75" customHeight="1" thickBot="1" x14ac:dyDescent="0.25">
      <c r="A68" s="60">
        <f t="shared" si="0"/>
        <v>81</v>
      </c>
      <c r="B68" s="60">
        <f t="shared" si="1"/>
        <v>42</v>
      </c>
      <c r="C68" s="60">
        <f t="shared" si="1"/>
        <v>39</v>
      </c>
      <c r="D68" s="60">
        <f t="shared" si="2"/>
        <v>0</v>
      </c>
      <c r="E68" s="60">
        <v>0</v>
      </c>
      <c r="F68" s="60">
        <v>0</v>
      </c>
      <c r="G68" s="60">
        <f t="shared" si="3"/>
        <v>81</v>
      </c>
      <c r="H68" s="60">
        <v>42</v>
      </c>
      <c r="I68" s="60">
        <v>39</v>
      </c>
      <c r="J68" s="65" t="s">
        <v>221</v>
      </c>
      <c r="K68" s="66"/>
      <c r="L68" s="55"/>
    </row>
    <row r="69" spans="1:12" ht="12.75" customHeight="1" thickBot="1" x14ac:dyDescent="0.25">
      <c r="A69" s="60">
        <f t="shared" si="0"/>
        <v>0</v>
      </c>
      <c r="B69" s="60">
        <f t="shared" si="1"/>
        <v>0</v>
      </c>
      <c r="C69" s="60">
        <f t="shared" si="1"/>
        <v>0</v>
      </c>
      <c r="D69" s="60">
        <f t="shared" si="2"/>
        <v>0</v>
      </c>
      <c r="E69" s="60">
        <v>0</v>
      </c>
      <c r="F69" s="60">
        <v>0</v>
      </c>
      <c r="G69" s="60">
        <f t="shared" si="3"/>
        <v>0</v>
      </c>
      <c r="H69" s="60">
        <v>0</v>
      </c>
      <c r="I69" s="60">
        <v>0</v>
      </c>
      <c r="J69" s="65" t="s">
        <v>222</v>
      </c>
      <c r="K69" s="66" t="s">
        <v>169</v>
      </c>
      <c r="L69" s="55"/>
    </row>
    <row r="70" spans="1:12" ht="12.75" customHeight="1" thickBot="1" x14ac:dyDescent="0.25">
      <c r="A70" s="60">
        <f t="shared" ref="A70:H70" si="25">SUM(A68:A69)</f>
        <v>81</v>
      </c>
      <c r="B70" s="60">
        <f t="shared" si="25"/>
        <v>42</v>
      </c>
      <c r="C70" s="60">
        <f t="shared" si="25"/>
        <v>39</v>
      </c>
      <c r="D70" s="60">
        <f t="shared" si="25"/>
        <v>0</v>
      </c>
      <c r="E70" s="60">
        <f t="shared" si="25"/>
        <v>0</v>
      </c>
      <c r="F70" s="60">
        <f t="shared" si="25"/>
        <v>0</v>
      </c>
      <c r="G70" s="60">
        <f t="shared" si="25"/>
        <v>81</v>
      </c>
      <c r="H70" s="60">
        <f t="shared" si="25"/>
        <v>42</v>
      </c>
      <c r="I70" s="60">
        <f>SUM(I68:I69)</f>
        <v>39</v>
      </c>
      <c r="J70" s="65" t="s">
        <v>13</v>
      </c>
      <c r="K70" s="67"/>
      <c r="L70" s="55"/>
    </row>
    <row r="71" spans="1:12" ht="12.75" customHeight="1" thickBot="1" x14ac:dyDescent="0.25">
      <c r="A71" s="60">
        <f t="shared" ref="A71:A75" si="26">SUM(B71:C71)</f>
        <v>1670</v>
      </c>
      <c r="B71" s="60">
        <f t="shared" ref="B71:C75" si="27">H71+E71</f>
        <v>773</v>
      </c>
      <c r="C71" s="60">
        <f t="shared" si="27"/>
        <v>897</v>
      </c>
      <c r="D71" s="60">
        <f t="shared" ref="D71:D75" si="28">SUM(E71:F71)</f>
        <v>9</v>
      </c>
      <c r="E71" s="60">
        <v>5</v>
      </c>
      <c r="F71" s="60">
        <v>4</v>
      </c>
      <c r="G71" s="60">
        <f t="shared" ref="G71:G75" si="29">SUM(H71:I71)</f>
        <v>1661</v>
      </c>
      <c r="H71" s="60">
        <v>768</v>
      </c>
      <c r="I71" s="60">
        <v>893</v>
      </c>
      <c r="J71" s="65" t="s">
        <v>221</v>
      </c>
      <c r="K71" s="66"/>
      <c r="L71" s="55"/>
    </row>
    <row r="72" spans="1:12" ht="12.75" customHeight="1" thickBot="1" x14ac:dyDescent="0.25">
      <c r="A72" s="60">
        <f t="shared" si="26"/>
        <v>0</v>
      </c>
      <c r="B72" s="60">
        <f t="shared" si="27"/>
        <v>0</v>
      </c>
      <c r="C72" s="60">
        <f t="shared" si="27"/>
        <v>0</v>
      </c>
      <c r="D72" s="60">
        <f t="shared" si="28"/>
        <v>0</v>
      </c>
      <c r="E72" s="60">
        <v>0</v>
      </c>
      <c r="F72" s="60">
        <v>0</v>
      </c>
      <c r="G72" s="60">
        <f t="shared" si="29"/>
        <v>0</v>
      </c>
      <c r="H72" s="60">
        <v>0</v>
      </c>
      <c r="I72" s="60">
        <v>0</v>
      </c>
      <c r="J72" s="65" t="s">
        <v>222</v>
      </c>
      <c r="K72" s="66" t="s">
        <v>170</v>
      </c>
      <c r="L72" s="55"/>
    </row>
    <row r="73" spans="1:12" ht="12.75" customHeight="1" thickBot="1" x14ac:dyDescent="0.25">
      <c r="A73" s="60">
        <f t="shared" ref="A73:H73" si="30">SUM(A71:A72)</f>
        <v>1670</v>
      </c>
      <c r="B73" s="60">
        <f t="shared" si="30"/>
        <v>773</v>
      </c>
      <c r="C73" s="60">
        <f t="shared" si="30"/>
        <v>897</v>
      </c>
      <c r="D73" s="60">
        <f t="shared" si="30"/>
        <v>9</v>
      </c>
      <c r="E73" s="60">
        <f t="shared" si="30"/>
        <v>5</v>
      </c>
      <c r="F73" s="60">
        <f t="shared" si="30"/>
        <v>4</v>
      </c>
      <c r="G73" s="60">
        <f t="shared" si="30"/>
        <v>1661</v>
      </c>
      <c r="H73" s="60">
        <f t="shared" si="30"/>
        <v>768</v>
      </c>
      <c r="I73" s="60">
        <f>SUM(I71:I72)</f>
        <v>893</v>
      </c>
      <c r="J73" s="65" t="s">
        <v>13</v>
      </c>
      <c r="K73" s="67"/>
      <c r="L73" s="55"/>
    </row>
    <row r="74" spans="1:12" ht="12.75" customHeight="1" thickBot="1" x14ac:dyDescent="0.25">
      <c r="A74" s="60">
        <f t="shared" si="26"/>
        <v>8804</v>
      </c>
      <c r="B74" s="60">
        <f t="shared" si="27"/>
        <v>3769</v>
      </c>
      <c r="C74" s="60">
        <f t="shared" si="27"/>
        <v>5035</v>
      </c>
      <c r="D74" s="60">
        <f t="shared" si="28"/>
        <v>2193</v>
      </c>
      <c r="E74" s="60">
        <v>960</v>
      </c>
      <c r="F74" s="60">
        <v>1233</v>
      </c>
      <c r="G74" s="60">
        <f t="shared" si="29"/>
        <v>6611</v>
      </c>
      <c r="H74" s="60">
        <v>2809</v>
      </c>
      <c r="I74" s="60">
        <v>3802</v>
      </c>
      <c r="J74" s="65" t="s">
        <v>221</v>
      </c>
      <c r="K74" s="66"/>
      <c r="L74" s="55"/>
    </row>
    <row r="75" spans="1:12" ht="12.75" customHeight="1" thickBot="1" x14ac:dyDescent="0.25">
      <c r="A75" s="60">
        <f t="shared" si="26"/>
        <v>0</v>
      </c>
      <c r="B75" s="60">
        <f t="shared" si="27"/>
        <v>0</v>
      </c>
      <c r="C75" s="60">
        <f t="shared" si="27"/>
        <v>0</v>
      </c>
      <c r="D75" s="60">
        <f t="shared" si="28"/>
        <v>0</v>
      </c>
      <c r="E75" s="60">
        <v>0</v>
      </c>
      <c r="F75" s="60">
        <v>0</v>
      </c>
      <c r="G75" s="60">
        <f t="shared" si="29"/>
        <v>0</v>
      </c>
      <c r="H75" s="60">
        <v>0</v>
      </c>
      <c r="I75" s="60">
        <v>0</v>
      </c>
      <c r="J75" s="65" t="s">
        <v>222</v>
      </c>
      <c r="K75" s="66" t="s">
        <v>173</v>
      </c>
      <c r="L75" s="55"/>
    </row>
    <row r="76" spans="1:12" ht="12.75" customHeight="1" thickBot="1" x14ac:dyDescent="0.25">
      <c r="A76" s="60">
        <f t="shared" ref="A76:H76" si="31">SUM(A74:A75)</f>
        <v>8804</v>
      </c>
      <c r="B76" s="60">
        <f t="shared" si="31"/>
        <v>3769</v>
      </c>
      <c r="C76" s="60">
        <f t="shared" si="31"/>
        <v>5035</v>
      </c>
      <c r="D76" s="60">
        <f t="shared" si="31"/>
        <v>2193</v>
      </c>
      <c r="E76" s="60">
        <f t="shared" si="31"/>
        <v>960</v>
      </c>
      <c r="F76" s="60">
        <f t="shared" si="31"/>
        <v>1233</v>
      </c>
      <c r="G76" s="60">
        <f t="shared" si="31"/>
        <v>6611</v>
      </c>
      <c r="H76" s="60">
        <f t="shared" si="31"/>
        <v>2809</v>
      </c>
      <c r="I76" s="60">
        <f>SUM(I74:I75)</f>
        <v>3802</v>
      </c>
      <c r="J76" s="65" t="s">
        <v>13</v>
      </c>
      <c r="K76" s="67"/>
      <c r="L76" s="55"/>
    </row>
    <row r="77" spans="1:12" ht="12.75" customHeight="1" thickBot="1" x14ac:dyDescent="0.25">
      <c r="A77" s="60">
        <f t="shared" ref="A77:I79" si="32">A5+A8+A11+A14+A17+A20+A23+A26+A29+A32+A35+A38+A41+A44+A47+A50+A53+A56+A59+A62+A65+A68+A71+A74</f>
        <v>146905</v>
      </c>
      <c r="B77" s="60">
        <f t="shared" si="32"/>
        <v>79221</v>
      </c>
      <c r="C77" s="60">
        <f t="shared" si="32"/>
        <v>67684</v>
      </c>
      <c r="D77" s="60">
        <f t="shared" si="32"/>
        <v>4548</v>
      </c>
      <c r="E77" s="60">
        <f t="shared" si="32"/>
        <v>1668</v>
      </c>
      <c r="F77" s="60">
        <f t="shared" si="32"/>
        <v>2880</v>
      </c>
      <c r="G77" s="60">
        <f t="shared" si="32"/>
        <v>142357</v>
      </c>
      <c r="H77" s="60">
        <f t="shared" si="32"/>
        <v>77553</v>
      </c>
      <c r="I77" s="60">
        <f>I5+I8+I11+I14+I17+I20+I23+I26+I29+I32+I35+I38+I41+I44+I47+I50+I53+I56+I59+I62+I65+I68+I71+I74</f>
        <v>64804</v>
      </c>
      <c r="J77" s="65" t="s">
        <v>224</v>
      </c>
      <c r="K77" s="57"/>
      <c r="L77" s="55"/>
    </row>
    <row r="78" spans="1:12" ht="12.75" customHeight="1" thickBot="1" x14ac:dyDescent="0.25">
      <c r="A78" s="60">
        <f t="shared" si="32"/>
        <v>41486</v>
      </c>
      <c r="B78" s="60">
        <f t="shared" si="32"/>
        <v>29372</v>
      </c>
      <c r="C78" s="60">
        <f t="shared" si="32"/>
        <v>12114</v>
      </c>
      <c r="D78" s="60">
        <f t="shared" si="32"/>
        <v>629</v>
      </c>
      <c r="E78" s="60">
        <f t="shared" si="32"/>
        <v>399</v>
      </c>
      <c r="F78" s="60">
        <f t="shared" si="32"/>
        <v>230</v>
      </c>
      <c r="G78" s="60">
        <f t="shared" si="32"/>
        <v>40857</v>
      </c>
      <c r="H78" s="60">
        <f t="shared" si="32"/>
        <v>28973</v>
      </c>
      <c r="I78" s="60">
        <f t="shared" si="32"/>
        <v>11884</v>
      </c>
      <c r="J78" s="65" t="s">
        <v>225</v>
      </c>
      <c r="K78" s="68" t="s">
        <v>211</v>
      </c>
      <c r="L78" s="55"/>
    </row>
    <row r="79" spans="1:12" ht="12.75" customHeight="1" thickBot="1" x14ac:dyDescent="0.25">
      <c r="A79" s="60">
        <f t="shared" si="32"/>
        <v>188391</v>
      </c>
      <c r="B79" s="60">
        <f t="shared" si="32"/>
        <v>108593</v>
      </c>
      <c r="C79" s="60">
        <f t="shared" si="32"/>
        <v>79798</v>
      </c>
      <c r="D79" s="60">
        <f t="shared" si="32"/>
        <v>5177</v>
      </c>
      <c r="E79" s="60">
        <f t="shared" si="32"/>
        <v>2067</v>
      </c>
      <c r="F79" s="60">
        <f t="shared" si="32"/>
        <v>3110</v>
      </c>
      <c r="G79" s="60">
        <f t="shared" si="32"/>
        <v>183214</v>
      </c>
      <c r="H79" s="60">
        <f t="shared" si="32"/>
        <v>106526</v>
      </c>
      <c r="I79" s="60">
        <f t="shared" si="32"/>
        <v>76688</v>
      </c>
      <c r="J79" s="65" t="s">
        <v>13</v>
      </c>
      <c r="K79" s="59"/>
      <c r="L79" s="55"/>
    </row>
    <row r="83" spans="3:3" ht="12.75" customHeight="1" x14ac:dyDescent="0.2">
      <c r="C83" s="69"/>
    </row>
  </sheetData>
  <mergeCells count="7">
    <mergeCell ref="J4:K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scale="98" orientation="landscape" horizontalDpi="300" verticalDpi="300" r:id="rId1"/>
  <headerFooter alignWithMargins="0"/>
  <rowBreaks count="1" manualBreakCount="1">
    <brk id="43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6"/>
  <sheetViews>
    <sheetView showGridLines="0" topLeftCell="A55" zoomScaleNormal="100" zoomScaleSheetLayoutView="136" workbookViewId="0">
      <selection activeCell="G33" sqref="G33"/>
    </sheetView>
  </sheetViews>
  <sheetFormatPr defaultRowHeight="12.75" customHeight="1" x14ac:dyDescent="0.2"/>
  <cols>
    <col min="1" max="9" width="9.625" style="56" customWidth="1"/>
    <col min="10" max="10" width="5.75" style="56" bestFit="1" customWidth="1"/>
    <col min="11" max="11" width="27.375" style="56" customWidth="1"/>
    <col min="12" max="12" width="4.875" style="56" customWidth="1"/>
    <col min="13" max="256" width="9" style="56"/>
    <col min="257" max="265" width="9.625" style="56" customWidth="1"/>
    <col min="266" max="266" width="5.75" style="56" bestFit="1" customWidth="1"/>
    <col min="267" max="267" width="27.375" style="56" customWidth="1"/>
    <col min="268" max="268" width="4.875" style="56" customWidth="1"/>
    <col min="269" max="512" width="9" style="56"/>
    <col min="513" max="521" width="9.625" style="56" customWidth="1"/>
    <col min="522" max="522" width="5.75" style="56" bestFit="1" customWidth="1"/>
    <col min="523" max="523" width="27.375" style="56" customWidth="1"/>
    <col min="524" max="524" width="4.875" style="56" customWidth="1"/>
    <col min="525" max="768" width="9" style="56"/>
    <col min="769" max="777" width="9.625" style="56" customWidth="1"/>
    <col min="778" max="778" width="5.75" style="56" bestFit="1" customWidth="1"/>
    <col min="779" max="779" width="27.375" style="56" customWidth="1"/>
    <col min="780" max="780" width="4.875" style="56" customWidth="1"/>
    <col min="781" max="1024" width="9" style="56"/>
    <col min="1025" max="1033" width="9.625" style="56" customWidth="1"/>
    <col min="1034" max="1034" width="5.75" style="56" bestFit="1" customWidth="1"/>
    <col min="1035" max="1035" width="27.375" style="56" customWidth="1"/>
    <col min="1036" max="1036" width="4.875" style="56" customWidth="1"/>
    <col min="1037" max="1280" width="9" style="56"/>
    <col min="1281" max="1289" width="9.625" style="56" customWidth="1"/>
    <col min="1290" max="1290" width="5.75" style="56" bestFit="1" customWidth="1"/>
    <col min="1291" max="1291" width="27.375" style="56" customWidth="1"/>
    <col min="1292" max="1292" width="4.875" style="56" customWidth="1"/>
    <col min="1293" max="1536" width="9" style="56"/>
    <col min="1537" max="1545" width="9.625" style="56" customWidth="1"/>
    <col min="1546" max="1546" width="5.75" style="56" bestFit="1" customWidth="1"/>
    <col min="1547" max="1547" width="27.375" style="56" customWidth="1"/>
    <col min="1548" max="1548" width="4.875" style="56" customWidth="1"/>
    <col min="1549" max="1792" width="9" style="56"/>
    <col min="1793" max="1801" width="9.625" style="56" customWidth="1"/>
    <col min="1802" max="1802" width="5.75" style="56" bestFit="1" customWidth="1"/>
    <col min="1803" max="1803" width="27.375" style="56" customWidth="1"/>
    <col min="1804" max="1804" width="4.875" style="56" customWidth="1"/>
    <col min="1805" max="2048" width="9" style="56"/>
    <col min="2049" max="2057" width="9.625" style="56" customWidth="1"/>
    <col min="2058" max="2058" width="5.75" style="56" bestFit="1" customWidth="1"/>
    <col min="2059" max="2059" width="27.375" style="56" customWidth="1"/>
    <col min="2060" max="2060" width="4.875" style="56" customWidth="1"/>
    <col min="2061" max="2304" width="9" style="56"/>
    <col min="2305" max="2313" width="9.625" style="56" customWidth="1"/>
    <col min="2314" max="2314" width="5.75" style="56" bestFit="1" customWidth="1"/>
    <col min="2315" max="2315" width="27.375" style="56" customWidth="1"/>
    <col min="2316" max="2316" width="4.875" style="56" customWidth="1"/>
    <col min="2317" max="2560" width="9" style="56"/>
    <col min="2561" max="2569" width="9.625" style="56" customWidth="1"/>
    <col min="2570" max="2570" width="5.75" style="56" bestFit="1" customWidth="1"/>
    <col min="2571" max="2571" width="27.375" style="56" customWidth="1"/>
    <col min="2572" max="2572" width="4.875" style="56" customWidth="1"/>
    <col min="2573" max="2816" width="9" style="56"/>
    <col min="2817" max="2825" width="9.625" style="56" customWidth="1"/>
    <col min="2826" max="2826" width="5.75" style="56" bestFit="1" customWidth="1"/>
    <col min="2827" max="2827" width="27.375" style="56" customWidth="1"/>
    <col min="2828" max="2828" width="4.875" style="56" customWidth="1"/>
    <col min="2829" max="3072" width="9" style="56"/>
    <col min="3073" max="3081" width="9.625" style="56" customWidth="1"/>
    <col min="3082" max="3082" width="5.75" style="56" bestFit="1" customWidth="1"/>
    <col min="3083" max="3083" width="27.375" style="56" customWidth="1"/>
    <col min="3084" max="3084" width="4.875" style="56" customWidth="1"/>
    <col min="3085" max="3328" width="9" style="56"/>
    <col min="3329" max="3337" width="9.625" style="56" customWidth="1"/>
    <col min="3338" max="3338" width="5.75" style="56" bestFit="1" customWidth="1"/>
    <col min="3339" max="3339" width="27.375" style="56" customWidth="1"/>
    <col min="3340" max="3340" width="4.875" style="56" customWidth="1"/>
    <col min="3341" max="3584" width="9" style="56"/>
    <col min="3585" max="3593" width="9.625" style="56" customWidth="1"/>
    <col min="3594" max="3594" width="5.75" style="56" bestFit="1" customWidth="1"/>
    <col min="3595" max="3595" width="27.375" style="56" customWidth="1"/>
    <col min="3596" max="3596" width="4.875" style="56" customWidth="1"/>
    <col min="3597" max="3840" width="9" style="56"/>
    <col min="3841" max="3849" width="9.625" style="56" customWidth="1"/>
    <col min="3850" max="3850" width="5.75" style="56" bestFit="1" customWidth="1"/>
    <col min="3851" max="3851" width="27.375" style="56" customWidth="1"/>
    <col min="3852" max="3852" width="4.875" style="56" customWidth="1"/>
    <col min="3853" max="4096" width="9" style="56"/>
    <col min="4097" max="4105" width="9.625" style="56" customWidth="1"/>
    <col min="4106" max="4106" width="5.75" style="56" bestFit="1" customWidth="1"/>
    <col min="4107" max="4107" width="27.375" style="56" customWidth="1"/>
    <col min="4108" max="4108" width="4.875" style="56" customWidth="1"/>
    <col min="4109" max="4352" width="9" style="56"/>
    <col min="4353" max="4361" width="9.625" style="56" customWidth="1"/>
    <col min="4362" max="4362" width="5.75" style="56" bestFit="1" customWidth="1"/>
    <col min="4363" max="4363" width="27.375" style="56" customWidth="1"/>
    <col min="4364" max="4364" width="4.875" style="56" customWidth="1"/>
    <col min="4365" max="4608" width="9" style="56"/>
    <col min="4609" max="4617" width="9.625" style="56" customWidth="1"/>
    <col min="4618" max="4618" width="5.75" style="56" bestFit="1" customWidth="1"/>
    <col min="4619" max="4619" width="27.375" style="56" customWidth="1"/>
    <col min="4620" max="4620" width="4.875" style="56" customWidth="1"/>
    <col min="4621" max="4864" width="9" style="56"/>
    <col min="4865" max="4873" width="9.625" style="56" customWidth="1"/>
    <col min="4874" max="4874" width="5.75" style="56" bestFit="1" customWidth="1"/>
    <col min="4875" max="4875" width="27.375" style="56" customWidth="1"/>
    <col min="4876" max="4876" width="4.875" style="56" customWidth="1"/>
    <col min="4877" max="5120" width="9" style="56"/>
    <col min="5121" max="5129" width="9.625" style="56" customWidth="1"/>
    <col min="5130" max="5130" width="5.75" style="56" bestFit="1" customWidth="1"/>
    <col min="5131" max="5131" width="27.375" style="56" customWidth="1"/>
    <col min="5132" max="5132" width="4.875" style="56" customWidth="1"/>
    <col min="5133" max="5376" width="9" style="56"/>
    <col min="5377" max="5385" width="9.625" style="56" customWidth="1"/>
    <col min="5386" max="5386" width="5.75" style="56" bestFit="1" customWidth="1"/>
    <col min="5387" max="5387" width="27.375" style="56" customWidth="1"/>
    <col min="5388" max="5388" width="4.875" style="56" customWidth="1"/>
    <col min="5389" max="5632" width="9" style="56"/>
    <col min="5633" max="5641" width="9.625" style="56" customWidth="1"/>
    <col min="5642" max="5642" width="5.75" style="56" bestFit="1" customWidth="1"/>
    <col min="5643" max="5643" width="27.375" style="56" customWidth="1"/>
    <col min="5644" max="5644" width="4.875" style="56" customWidth="1"/>
    <col min="5645" max="5888" width="9" style="56"/>
    <col min="5889" max="5897" width="9.625" style="56" customWidth="1"/>
    <col min="5898" max="5898" width="5.75" style="56" bestFit="1" customWidth="1"/>
    <col min="5899" max="5899" width="27.375" style="56" customWidth="1"/>
    <col min="5900" max="5900" width="4.875" style="56" customWidth="1"/>
    <col min="5901" max="6144" width="9" style="56"/>
    <col min="6145" max="6153" width="9.625" style="56" customWidth="1"/>
    <col min="6154" max="6154" width="5.75" style="56" bestFit="1" customWidth="1"/>
    <col min="6155" max="6155" width="27.375" style="56" customWidth="1"/>
    <col min="6156" max="6156" width="4.875" style="56" customWidth="1"/>
    <col min="6157" max="6400" width="9" style="56"/>
    <col min="6401" max="6409" width="9.625" style="56" customWidth="1"/>
    <col min="6410" max="6410" width="5.75" style="56" bestFit="1" customWidth="1"/>
    <col min="6411" max="6411" width="27.375" style="56" customWidth="1"/>
    <col min="6412" max="6412" width="4.875" style="56" customWidth="1"/>
    <col min="6413" max="6656" width="9" style="56"/>
    <col min="6657" max="6665" width="9.625" style="56" customWidth="1"/>
    <col min="6666" max="6666" width="5.75" style="56" bestFit="1" customWidth="1"/>
    <col min="6667" max="6667" width="27.375" style="56" customWidth="1"/>
    <col min="6668" max="6668" width="4.875" style="56" customWidth="1"/>
    <col min="6669" max="6912" width="9" style="56"/>
    <col min="6913" max="6921" width="9.625" style="56" customWidth="1"/>
    <col min="6922" max="6922" width="5.75" style="56" bestFit="1" customWidth="1"/>
    <col min="6923" max="6923" width="27.375" style="56" customWidth="1"/>
    <col min="6924" max="6924" width="4.875" style="56" customWidth="1"/>
    <col min="6925" max="7168" width="9" style="56"/>
    <col min="7169" max="7177" width="9.625" style="56" customWidth="1"/>
    <col min="7178" max="7178" width="5.75" style="56" bestFit="1" customWidth="1"/>
    <col min="7179" max="7179" width="27.375" style="56" customWidth="1"/>
    <col min="7180" max="7180" width="4.875" style="56" customWidth="1"/>
    <col min="7181" max="7424" width="9" style="56"/>
    <col min="7425" max="7433" width="9.625" style="56" customWidth="1"/>
    <col min="7434" max="7434" width="5.75" style="56" bestFit="1" customWidth="1"/>
    <col min="7435" max="7435" width="27.375" style="56" customWidth="1"/>
    <col min="7436" max="7436" width="4.875" style="56" customWidth="1"/>
    <col min="7437" max="7680" width="9" style="56"/>
    <col min="7681" max="7689" width="9.625" style="56" customWidth="1"/>
    <col min="7690" max="7690" width="5.75" style="56" bestFit="1" customWidth="1"/>
    <col min="7691" max="7691" width="27.375" style="56" customWidth="1"/>
    <col min="7692" max="7692" width="4.875" style="56" customWidth="1"/>
    <col min="7693" max="7936" width="9" style="56"/>
    <col min="7937" max="7945" width="9.625" style="56" customWidth="1"/>
    <col min="7946" max="7946" width="5.75" style="56" bestFit="1" customWidth="1"/>
    <col min="7947" max="7947" width="27.375" style="56" customWidth="1"/>
    <col min="7948" max="7948" width="4.875" style="56" customWidth="1"/>
    <col min="7949" max="8192" width="9" style="56"/>
    <col min="8193" max="8201" width="9.625" style="56" customWidth="1"/>
    <col min="8202" max="8202" width="5.75" style="56" bestFit="1" customWidth="1"/>
    <col min="8203" max="8203" width="27.375" style="56" customWidth="1"/>
    <col min="8204" max="8204" width="4.875" style="56" customWidth="1"/>
    <col min="8205" max="8448" width="9" style="56"/>
    <col min="8449" max="8457" width="9.625" style="56" customWidth="1"/>
    <col min="8458" max="8458" width="5.75" style="56" bestFit="1" customWidth="1"/>
    <col min="8459" max="8459" width="27.375" style="56" customWidth="1"/>
    <col min="8460" max="8460" width="4.875" style="56" customWidth="1"/>
    <col min="8461" max="8704" width="9" style="56"/>
    <col min="8705" max="8713" width="9.625" style="56" customWidth="1"/>
    <col min="8714" max="8714" width="5.75" style="56" bestFit="1" customWidth="1"/>
    <col min="8715" max="8715" width="27.375" style="56" customWidth="1"/>
    <col min="8716" max="8716" width="4.875" style="56" customWidth="1"/>
    <col min="8717" max="8960" width="9" style="56"/>
    <col min="8961" max="8969" width="9.625" style="56" customWidth="1"/>
    <col min="8970" max="8970" width="5.75" style="56" bestFit="1" customWidth="1"/>
    <col min="8971" max="8971" width="27.375" style="56" customWidth="1"/>
    <col min="8972" max="8972" width="4.875" style="56" customWidth="1"/>
    <col min="8973" max="9216" width="9" style="56"/>
    <col min="9217" max="9225" width="9.625" style="56" customWidth="1"/>
    <col min="9226" max="9226" width="5.75" style="56" bestFit="1" customWidth="1"/>
    <col min="9227" max="9227" width="27.375" style="56" customWidth="1"/>
    <col min="9228" max="9228" width="4.875" style="56" customWidth="1"/>
    <col min="9229" max="9472" width="9" style="56"/>
    <col min="9473" max="9481" width="9.625" style="56" customWidth="1"/>
    <col min="9482" max="9482" width="5.75" style="56" bestFit="1" customWidth="1"/>
    <col min="9483" max="9483" width="27.375" style="56" customWidth="1"/>
    <col min="9484" max="9484" width="4.875" style="56" customWidth="1"/>
    <col min="9485" max="9728" width="9" style="56"/>
    <col min="9729" max="9737" width="9.625" style="56" customWidth="1"/>
    <col min="9738" max="9738" width="5.75" style="56" bestFit="1" customWidth="1"/>
    <col min="9739" max="9739" width="27.375" style="56" customWidth="1"/>
    <col min="9740" max="9740" width="4.875" style="56" customWidth="1"/>
    <col min="9741" max="9984" width="9" style="56"/>
    <col min="9985" max="9993" width="9.625" style="56" customWidth="1"/>
    <col min="9994" max="9994" width="5.75" style="56" bestFit="1" customWidth="1"/>
    <col min="9995" max="9995" width="27.375" style="56" customWidth="1"/>
    <col min="9996" max="9996" width="4.875" style="56" customWidth="1"/>
    <col min="9997" max="10240" width="9" style="56"/>
    <col min="10241" max="10249" width="9.625" style="56" customWidth="1"/>
    <col min="10250" max="10250" width="5.75" style="56" bestFit="1" customWidth="1"/>
    <col min="10251" max="10251" width="27.375" style="56" customWidth="1"/>
    <col min="10252" max="10252" width="4.875" style="56" customWidth="1"/>
    <col min="10253" max="10496" width="9" style="56"/>
    <col min="10497" max="10505" width="9.625" style="56" customWidth="1"/>
    <col min="10506" max="10506" width="5.75" style="56" bestFit="1" customWidth="1"/>
    <col min="10507" max="10507" width="27.375" style="56" customWidth="1"/>
    <col min="10508" max="10508" width="4.875" style="56" customWidth="1"/>
    <col min="10509" max="10752" width="9" style="56"/>
    <col min="10753" max="10761" width="9.625" style="56" customWidth="1"/>
    <col min="10762" max="10762" width="5.75" style="56" bestFit="1" customWidth="1"/>
    <col min="10763" max="10763" width="27.375" style="56" customWidth="1"/>
    <col min="10764" max="10764" width="4.875" style="56" customWidth="1"/>
    <col min="10765" max="11008" width="9" style="56"/>
    <col min="11009" max="11017" width="9.625" style="56" customWidth="1"/>
    <col min="11018" max="11018" width="5.75" style="56" bestFit="1" customWidth="1"/>
    <col min="11019" max="11019" width="27.375" style="56" customWidth="1"/>
    <col min="11020" max="11020" width="4.875" style="56" customWidth="1"/>
    <col min="11021" max="11264" width="9" style="56"/>
    <col min="11265" max="11273" width="9.625" style="56" customWidth="1"/>
    <col min="11274" max="11274" width="5.75" style="56" bestFit="1" customWidth="1"/>
    <col min="11275" max="11275" width="27.375" style="56" customWidth="1"/>
    <col min="11276" max="11276" width="4.875" style="56" customWidth="1"/>
    <col min="11277" max="11520" width="9" style="56"/>
    <col min="11521" max="11529" width="9.625" style="56" customWidth="1"/>
    <col min="11530" max="11530" width="5.75" style="56" bestFit="1" customWidth="1"/>
    <col min="11531" max="11531" width="27.375" style="56" customWidth="1"/>
    <col min="11532" max="11532" width="4.875" style="56" customWidth="1"/>
    <col min="11533" max="11776" width="9" style="56"/>
    <col min="11777" max="11785" width="9.625" style="56" customWidth="1"/>
    <col min="11786" max="11786" width="5.75" style="56" bestFit="1" customWidth="1"/>
    <col min="11787" max="11787" width="27.375" style="56" customWidth="1"/>
    <col min="11788" max="11788" width="4.875" style="56" customWidth="1"/>
    <col min="11789" max="12032" width="9" style="56"/>
    <col min="12033" max="12041" width="9.625" style="56" customWidth="1"/>
    <col min="12042" max="12042" width="5.75" style="56" bestFit="1" customWidth="1"/>
    <col min="12043" max="12043" width="27.375" style="56" customWidth="1"/>
    <col min="12044" max="12044" width="4.875" style="56" customWidth="1"/>
    <col min="12045" max="12288" width="9" style="56"/>
    <col min="12289" max="12297" width="9.625" style="56" customWidth="1"/>
    <col min="12298" max="12298" width="5.75" style="56" bestFit="1" customWidth="1"/>
    <col min="12299" max="12299" width="27.375" style="56" customWidth="1"/>
    <col min="12300" max="12300" width="4.875" style="56" customWidth="1"/>
    <col min="12301" max="12544" width="9" style="56"/>
    <col min="12545" max="12553" width="9.625" style="56" customWidth="1"/>
    <col min="12554" max="12554" width="5.75" style="56" bestFit="1" customWidth="1"/>
    <col min="12555" max="12555" width="27.375" style="56" customWidth="1"/>
    <col min="12556" max="12556" width="4.875" style="56" customWidth="1"/>
    <col min="12557" max="12800" width="9" style="56"/>
    <col min="12801" max="12809" width="9.625" style="56" customWidth="1"/>
    <col min="12810" max="12810" width="5.75" style="56" bestFit="1" customWidth="1"/>
    <col min="12811" max="12811" width="27.375" style="56" customWidth="1"/>
    <col min="12812" max="12812" width="4.875" style="56" customWidth="1"/>
    <col min="12813" max="13056" width="9" style="56"/>
    <col min="13057" max="13065" width="9.625" style="56" customWidth="1"/>
    <col min="13066" max="13066" width="5.75" style="56" bestFit="1" customWidth="1"/>
    <col min="13067" max="13067" width="27.375" style="56" customWidth="1"/>
    <col min="13068" max="13068" width="4.875" style="56" customWidth="1"/>
    <col min="13069" max="13312" width="9" style="56"/>
    <col min="13313" max="13321" width="9.625" style="56" customWidth="1"/>
    <col min="13322" max="13322" width="5.75" style="56" bestFit="1" customWidth="1"/>
    <col min="13323" max="13323" width="27.375" style="56" customWidth="1"/>
    <col min="13324" max="13324" width="4.875" style="56" customWidth="1"/>
    <col min="13325" max="13568" width="9" style="56"/>
    <col min="13569" max="13577" width="9.625" style="56" customWidth="1"/>
    <col min="13578" max="13578" width="5.75" style="56" bestFit="1" customWidth="1"/>
    <col min="13579" max="13579" width="27.375" style="56" customWidth="1"/>
    <col min="13580" max="13580" width="4.875" style="56" customWidth="1"/>
    <col min="13581" max="13824" width="9" style="56"/>
    <col min="13825" max="13833" width="9.625" style="56" customWidth="1"/>
    <col min="13834" max="13834" width="5.75" style="56" bestFit="1" customWidth="1"/>
    <col min="13835" max="13835" width="27.375" style="56" customWidth="1"/>
    <col min="13836" max="13836" width="4.875" style="56" customWidth="1"/>
    <col min="13837" max="14080" width="9" style="56"/>
    <col min="14081" max="14089" width="9.625" style="56" customWidth="1"/>
    <col min="14090" max="14090" width="5.75" style="56" bestFit="1" customWidth="1"/>
    <col min="14091" max="14091" width="27.375" style="56" customWidth="1"/>
    <col min="14092" max="14092" width="4.875" style="56" customWidth="1"/>
    <col min="14093" max="14336" width="9" style="56"/>
    <col min="14337" max="14345" width="9.625" style="56" customWidth="1"/>
    <col min="14346" max="14346" width="5.75" style="56" bestFit="1" customWidth="1"/>
    <col min="14347" max="14347" width="27.375" style="56" customWidth="1"/>
    <col min="14348" max="14348" width="4.875" style="56" customWidth="1"/>
    <col min="14349" max="14592" width="9" style="56"/>
    <col min="14593" max="14601" width="9.625" style="56" customWidth="1"/>
    <col min="14602" max="14602" width="5.75" style="56" bestFit="1" customWidth="1"/>
    <col min="14603" max="14603" width="27.375" style="56" customWidth="1"/>
    <col min="14604" max="14604" width="4.875" style="56" customWidth="1"/>
    <col min="14605" max="14848" width="9" style="56"/>
    <col min="14849" max="14857" width="9.625" style="56" customWidth="1"/>
    <col min="14858" max="14858" width="5.75" style="56" bestFit="1" customWidth="1"/>
    <col min="14859" max="14859" width="27.375" style="56" customWidth="1"/>
    <col min="14860" max="14860" width="4.875" style="56" customWidth="1"/>
    <col min="14861" max="15104" width="9" style="56"/>
    <col min="15105" max="15113" width="9.625" style="56" customWidth="1"/>
    <col min="15114" max="15114" width="5.75" style="56" bestFit="1" customWidth="1"/>
    <col min="15115" max="15115" width="27.375" style="56" customWidth="1"/>
    <col min="15116" max="15116" width="4.875" style="56" customWidth="1"/>
    <col min="15117" max="15360" width="9" style="56"/>
    <col min="15361" max="15369" width="9.625" style="56" customWidth="1"/>
    <col min="15370" max="15370" width="5.75" style="56" bestFit="1" customWidth="1"/>
    <col min="15371" max="15371" width="27.375" style="56" customWidth="1"/>
    <col min="15372" max="15372" width="4.875" style="56" customWidth="1"/>
    <col min="15373" max="15616" width="9" style="56"/>
    <col min="15617" max="15625" width="9.625" style="56" customWidth="1"/>
    <col min="15626" max="15626" width="5.75" style="56" bestFit="1" customWidth="1"/>
    <col min="15627" max="15627" width="27.375" style="56" customWidth="1"/>
    <col min="15628" max="15628" width="4.875" style="56" customWidth="1"/>
    <col min="15629" max="15872" width="9" style="56"/>
    <col min="15873" max="15881" width="9.625" style="56" customWidth="1"/>
    <col min="15882" max="15882" width="5.75" style="56" bestFit="1" customWidth="1"/>
    <col min="15883" max="15883" width="27.375" style="56" customWidth="1"/>
    <col min="15884" max="15884" width="4.875" style="56" customWidth="1"/>
    <col min="15885" max="16128" width="9" style="56"/>
    <col min="16129" max="16137" width="9.625" style="56" customWidth="1"/>
    <col min="16138" max="16138" width="5.75" style="56" bestFit="1" customWidth="1"/>
    <col min="16139" max="16139" width="27.375" style="56" customWidth="1"/>
    <col min="16140" max="16140" width="4.875" style="56" customWidth="1"/>
    <col min="16141" max="16384" width="9" style="56"/>
  </cols>
  <sheetData>
    <row r="1" spans="1:12" ht="12.75" customHeight="1" x14ac:dyDescent="0.2">
      <c r="A1" s="174" t="s">
        <v>226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55"/>
    </row>
    <row r="2" spans="1:12" ht="12.75" customHeight="1" thickBot="1" x14ac:dyDescent="0.25">
      <c r="A2" s="175" t="s">
        <v>227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55"/>
    </row>
    <row r="3" spans="1:12" ht="12.75" customHeight="1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183"/>
      <c r="K3" s="183"/>
      <c r="L3" s="55"/>
    </row>
    <row r="4" spans="1:12" ht="12.75" customHeight="1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182" t="s">
        <v>228</v>
      </c>
      <c r="K4" s="182"/>
      <c r="L4" s="55"/>
    </row>
    <row r="5" spans="1:12" ht="12.75" customHeight="1" thickBot="1" x14ac:dyDescent="0.25">
      <c r="A5" s="53">
        <f>SUM(B5:C5)</f>
        <v>8152</v>
      </c>
      <c r="B5" s="53">
        <f>H5+E5</f>
        <v>3161</v>
      </c>
      <c r="C5" s="53">
        <f>I5+F5</f>
        <v>4991</v>
      </c>
      <c r="D5" s="53">
        <f>SUM(E5:F5)</f>
        <v>460</v>
      </c>
      <c r="E5" s="53">
        <f>184+10</f>
        <v>194</v>
      </c>
      <c r="F5" s="53">
        <v>266</v>
      </c>
      <c r="G5" s="53">
        <f>SUM(H5:I5)</f>
        <v>7692</v>
      </c>
      <c r="H5" s="53">
        <v>2967</v>
      </c>
      <c r="I5" s="53">
        <f>5225-500</f>
        <v>4725</v>
      </c>
      <c r="J5" s="70" t="s">
        <v>221</v>
      </c>
      <c r="K5" s="71"/>
      <c r="L5" s="55"/>
    </row>
    <row r="6" spans="1:12" ht="12.75" customHeight="1" thickBot="1" x14ac:dyDescent="0.25">
      <c r="A6" s="53">
        <f t="shared" ref="A6:A69" si="0">SUM(B6:C6)</f>
        <v>66</v>
      </c>
      <c r="B6" s="53">
        <f t="shared" ref="B6:C69" si="1">H6+E6</f>
        <v>66</v>
      </c>
      <c r="C6" s="53">
        <f t="shared" si="1"/>
        <v>0</v>
      </c>
      <c r="D6" s="53">
        <f t="shared" ref="D6:D69" si="2">SUM(E6:F6)</f>
        <v>0</v>
      </c>
      <c r="E6" s="53">
        <v>0</v>
      </c>
      <c r="F6" s="53">
        <v>0</v>
      </c>
      <c r="G6" s="53">
        <f t="shared" ref="G6:G69" si="3">SUM(H6:I6)</f>
        <v>66</v>
      </c>
      <c r="H6" s="53">
        <v>66</v>
      </c>
      <c r="I6" s="53">
        <v>0</v>
      </c>
      <c r="J6" s="70" t="s">
        <v>222</v>
      </c>
      <c r="K6" s="71" t="s">
        <v>182</v>
      </c>
      <c r="L6" s="55"/>
    </row>
    <row r="7" spans="1:12" ht="12.75" customHeight="1" thickBot="1" x14ac:dyDescent="0.25">
      <c r="A7" s="53">
        <f t="shared" ref="A7:H7" si="4">SUM(A5:A6)</f>
        <v>8218</v>
      </c>
      <c r="B7" s="53">
        <f t="shared" si="4"/>
        <v>3227</v>
      </c>
      <c r="C7" s="53">
        <f t="shared" si="4"/>
        <v>4991</v>
      </c>
      <c r="D7" s="53">
        <f t="shared" si="4"/>
        <v>460</v>
      </c>
      <c r="E7" s="53">
        <f t="shared" si="4"/>
        <v>194</v>
      </c>
      <c r="F7" s="53">
        <f t="shared" si="4"/>
        <v>266</v>
      </c>
      <c r="G7" s="53">
        <f t="shared" si="4"/>
        <v>7758</v>
      </c>
      <c r="H7" s="53">
        <f t="shared" si="4"/>
        <v>3033</v>
      </c>
      <c r="I7" s="53">
        <f>SUM(I5:I6)</f>
        <v>4725</v>
      </c>
      <c r="J7" s="70" t="s">
        <v>13</v>
      </c>
      <c r="K7" s="72"/>
      <c r="L7" s="55"/>
    </row>
    <row r="8" spans="1:12" ht="12.75" customHeight="1" thickBot="1" x14ac:dyDescent="0.25">
      <c r="A8" s="53">
        <f t="shared" si="0"/>
        <v>15987</v>
      </c>
      <c r="B8" s="53">
        <f t="shared" si="1"/>
        <v>8881</v>
      </c>
      <c r="C8" s="53">
        <f t="shared" si="1"/>
        <v>7106</v>
      </c>
      <c r="D8" s="53">
        <f t="shared" si="2"/>
        <v>790</v>
      </c>
      <c r="E8" s="53">
        <f>27+10</f>
        <v>37</v>
      </c>
      <c r="F8" s="53">
        <v>753</v>
      </c>
      <c r="G8" s="53">
        <f t="shared" si="3"/>
        <v>15197</v>
      </c>
      <c r="H8" s="53">
        <f>9844-1000</f>
        <v>8844</v>
      </c>
      <c r="I8" s="53">
        <f>7353-1000</f>
        <v>6353</v>
      </c>
      <c r="J8" s="70" t="s">
        <v>221</v>
      </c>
      <c r="K8" s="71"/>
      <c r="L8" s="55"/>
    </row>
    <row r="9" spans="1:12" ht="12.75" customHeight="1" thickBot="1" x14ac:dyDescent="0.25">
      <c r="A9" s="53">
        <f t="shared" si="0"/>
        <v>11348</v>
      </c>
      <c r="B9" s="53">
        <f t="shared" si="1"/>
        <v>9601</v>
      </c>
      <c r="C9" s="53">
        <f t="shared" si="1"/>
        <v>1747</v>
      </c>
      <c r="D9" s="53">
        <f t="shared" si="2"/>
        <v>49</v>
      </c>
      <c r="E9" s="53">
        <v>2</v>
      </c>
      <c r="F9" s="53">
        <v>47</v>
      </c>
      <c r="G9" s="53">
        <f t="shared" si="3"/>
        <v>11299</v>
      </c>
      <c r="H9" s="53">
        <f>9099+500</f>
        <v>9599</v>
      </c>
      <c r="I9" s="53">
        <f>1350+350</f>
        <v>1700</v>
      </c>
      <c r="J9" s="70" t="s">
        <v>222</v>
      </c>
      <c r="K9" s="71" t="s">
        <v>183</v>
      </c>
      <c r="L9" s="55"/>
    </row>
    <row r="10" spans="1:12" ht="12.75" customHeight="1" thickBot="1" x14ac:dyDescent="0.25">
      <c r="A10" s="53">
        <f t="shared" ref="A10:H10" si="5">SUM(A8:A9)</f>
        <v>27335</v>
      </c>
      <c r="B10" s="53">
        <f t="shared" si="5"/>
        <v>18482</v>
      </c>
      <c r="C10" s="53">
        <f t="shared" si="5"/>
        <v>8853</v>
      </c>
      <c r="D10" s="53">
        <f t="shared" si="5"/>
        <v>839</v>
      </c>
      <c r="E10" s="53">
        <f t="shared" si="5"/>
        <v>39</v>
      </c>
      <c r="F10" s="53">
        <f t="shared" si="5"/>
        <v>800</v>
      </c>
      <c r="G10" s="53">
        <f t="shared" si="5"/>
        <v>26496</v>
      </c>
      <c r="H10" s="53">
        <f t="shared" si="5"/>
        <v>18443</v>
      </c>
      <c r="I10" s="53">
        <f>SUM(I8:I9)</f>
        <v>8053</v>
      </c>
      <c r="J10" s="70" t="s">
        <v>13</v>
      </c>
      <c r="K10" s="72"/>
      <c r="L10" s="55"/>
    </row>
    <row r="11" spans="1:12" ht="12.75" customHeight="1" thickBot="1" x14ac:dyDescent="0.25">
      <c r="A11" s="53">
        <f t="shared" si="0"/>
        <v>4727</v>
      </c>
      <c r="B11" s="53">
        <f t="shared" si="1"/>
        <v>2440</v>
      </c>
      <c r="C11" s="53">
        <f t="shared" si="1"/>
        <v>2287</v>
      </c>
      <c r="D11" s="53">
        <f t="shared" si="2"/>
        <v>4</v>
      </c>
      <c r="E11" s="53">
        <v>4</v>
      </c>
      <c r="F11" s="53">
        <v>0</v>
      </c>
      <c r="G11" s="53">
        <f t="shared" si="3"/>
        <v>4723</v>
      </c>
      <c r="H11" s="53">
        <v>2436</v>
      </c>
      <c r="I11" s="53">
        <v>2287</v>
      </c>
      <c r="J11" s="70" t="s">
        <v>221</v>
      </c>
      <c r="K11" s="71"/>
      <c r="L11" s="55"/>
    </row>
    <row r="12" spans="1:12" ht="12.75" customHeight="1" thickBot="1" x14ac:dyDescent="0.25">
      <c r="A12" s="53">
        <f t="shared" si="0"/>
        <v>1744</v>
      </c>
      <c r="B12" s="53">
        <f t="shared" si="1"/>
        <v>1744</v>
      </c>
      <c r="C12" s="53">
        <f t="shared" si="1"/>
        <v>0</v>
      </c>
      <c r="D12" s="53">
        <f t="shared" si="2"/>
        <v>0</v>
      </c>
      <c r="E12" s="53">
        <v>0</v>
      </c>
      <c r="F12" s="53">
        <v>0</v>
      </c>
      <c r="G12" s="53">
        <f t="shared" si="3"/>
        <v>1744</v>
      </c>
      <c r="H12" s="53">
        <f>1244+500</f>
        <v>1744</v>
      </c>
      <c r="I12" s="53">
        <v>0</v>
      </c>
      <c r="J12" s="70" t="s">
        <v>222</v>
      </c>
      <c r="K12" s="71" t="s">
        <v>184</v>
      </c>
      <c r="L12" s="55"/>
    </row>
    <row r="13" spans="1:12" ht="12.75" customHeight="1" thickBot="1" x14ac:dyDescent="0.25">
      <c r="A13" s="53">
        <f t="shared" ref="A13:H13" si="6">SUM(A11:A12)</f>
        <v>6471</v>
      </c>
      <c r="B13" s="53">
        <f t="shared" si="6"/>
        <v>4184</v>
      </c>
      <c r="C13" s="53">
        <f t="shared" si="6"/>
        <v>2287</v>
      </c>
      <c r="D13" s="53">
        <f t="shared" si="6"/>
        <v>4</v>
      </c>
      <c r="E13" s="53">
        <f t="shared" si="6"/>
        <v>4</v>
      </c>
      <c r="F13" s="53">
        <f t="shared" si="6"/>
        <v>0</v>
      </c>
      <c r="G13" s="53">
        <f t="shared" si="6"/>
        <v>6467</v>
      </c>
      <c r="H13" s="53">
        <f t="shared" si="6"/>
        <v>4180</v>
      </c>
      <c r="I13" s="53">
        <f>SUM(I11:I12)</f>
        <v>2287</v>
      </c>
      <c r="J13" s="70" t="s">
        <v>13</v>
      </c>
      <c r="K13" s="72"/>
      <c r="L13" s="55"/>
    </row>
    <row r="14" spans="1:12" ht="12.75" customHeight="1" thickBot="1" x14ac:dyDescent="0.25">
      <c r="A14" s="53">
        <f t="shared" si="0"/>
        <v>14867</v>
      </c>
      <c r="B14" s="53">
        <f t="shared" si="1"/>
        <v>10128</v>
      </c>
      <c r="C14" s="53">
        <f t="shared" si="1"/>
        <v>4739</v>
      </c>
      <c r="D14" s="53">
        <f t="shared" si="2"/>
        <v>249</v>
      </c>
      <c r="E14" s="53">
        <f>139+3</f>
        <v>142</v>
      </c>
      <c r="F14" s="53">
        <v>107</v>
      </c>
      <c r="G14" s="53">
        <f t="shared" si="3"/>
        <v>14618</v>
      </c>
      <c r="H14" s="53">
        <f>10786-800</f>
        <v>9986</v>
      </c>
      <c r="I14" s="53">
        <v>4632</v>
      </c>
      <c r="J14" s="70" t="s">
        <v>221</v>
      </c>
      <c r="K14" s="71"/>
      <c r="L14" s="55"/>
    </row>
    <row r="15" spans="1:12" ht="12.75" customHeight="1" thickBot="1" x14ac:dyDescent="0.25">
      <c r="A15" s="53">
        <f t="shared" si="0"/>
        <v>7510</v>
      </c>
      <c r="B15" s="53">
        <f t="shared" si="1"/>
        <v>7510</v>
      </c>
      <c r="C15" s="53">
        <f t="shared" si="1"/>
        <v>0</v>
      </c>
      <c r="D15" s="53">
        <f t="shared" si="2"/>
        <v>45</v>
      </c>
      <c r="E15" s="53">
        <v>45</v>
      </c>
      <c r="F15" s="53">
        <v>0</v>
      </c>
      <c r="G15" s="53">
        <f t="shared" si="3"/>
        <v>7465</v>
      </c>
      <c r="H15" s="53">
        <v>7465</v>
      </c>
      <c r="I15" s="53">
        <v>0</v>
      </c>
      <c r="J15" s="70" t="s">
        <v>222</v>
      </c>
      <c r="K15" s="71" t="s">
        <v>185</v>
      </c>
      <c r="L15" s="55"/>
    </row>
    <row r="16" spans="1:12" ht="12.75" customHeight="1" thickBot="1" x14ac:dyDescent="0.25">
      <c r="A16" s="53">
        <f t="shared" ref="A16:H16" si="7">SUM(A14:A15)</f>
        <v>22377</v>
      </c>
      <c r="B16" s="53">
        <f t="shared" si="7"/>
        <v>17638</v>
      </c>
      <c r="C16" s="53">
        <f t="shared" si="7"/>
        <v>4739</v>
      </c>
      <c r="D16" s="53">
        <f t="shared" si="7"/>
        <v>294</v>
      </c>
      <c r="E16" s="53">
        <f t="shared" si="7"/>
        <v>187</v>
      </c>
      <c r="F16" s="53">
        <f t="shared" si="7"/>
        <v>107</v>
      </c>
      <c r="G16" s="53">
        <f t="shared" si="7"/>
        <v>22083</v>
      </c>
      <c r="H16" s="53">
        <f t="shared" si="7"/>
        <v>17451</v>
      </c>
      <c r="I16" s="53">
        <f>SUM(I14:I15)</f>
        <v>4632</v>
      </c>
      <c r="J16" s="70" t="s">
        <v>13</v>
      </c>
      <c r="K16" s="72"/>
      <c r="L16" s="55"/>
    </row>
    <row r="17" spans="1:12" ht="12.75" customHeight="1" thickBot="1" x14ac:dyDescent="0.25">
      <c r="A17" s="53">
        <f t="shared" si="0"/>
        <v>149</v>
      </c>
      <c r="B17" s="53">
        <f t="shared" si="1"/>
        <v>149</v>
      </c>
      <c r="C17" s="53">
        <f t="shared" si="1"/>
        <v>0</v>
      </c>
      <c r="D17" s="53">
        <f t="shared" si="2"/>
        <v>27</v>
      </c>
      <c r="E17" s="53">
        <v>27</v>
      </c>
      <c r="F17" s="53">
        <v>0</v>
      </c>
      <c r="G17" s="53">
        <f t="shared" si="3"/>
        <v>122</v>
      </c>
      <c r="H17" s="53">
        <v>122</v>
      </c>
      <c r="I17" s="53">
        <v>0</v>
      </c>
      <c r="J17" s="70" t="s">
        <v>221</v>
      </c>
      <c r="K17" s="71"/>
      <c r="L17" s="55"/>
    </row>
    <row r="18" spans="1:12" ht="12.75" customHeight="1" thickBot="1" x14ac:dyDescent="0.25">
      <c r="A18" s="53">
        <f t="shared" si="0"/>
        <v>0</v>
      </c>
      <c r="B18" s="53">
        <f t="shared" si="1"/>
        <v>0</v>
      </c>
      <c r="C18" s="53">
        <f t="shared" si="1"/>
        <v>0</v>
      </c>
      <c r="D18" s="53">
        <f t="shared" si="2"/>
        <v>0</v>
      </c>
      <c r="E18" s="53">
        <v>0</v>
      </c>
      <c r="F18" s="53">
        <v>0</v>
      </c>
      <c r="G18" s="53">
        <f t="shared" si="3"/>
        <v>0</v>
      </c>
      <c r="H18" s="53">
        <v>0</v>
      </c>
      <c r="I18" s="53">
        <v>0</v>
      </c>
      <c r="J18" s="70" t="s">
        <v>222</v>
      </c>
      <c r="K18" s="71" t="s">
        <v>186</v>
      </c>
      <c r="L18" s="55"/>
    </row>
    <row r="19" spans="1:12" ht="12.75" customHeight="1" thickBot="1" x14ac:dyDescent="0.25">
      <c r="A19" s="53">
        <f t="shared" ref="A19:H19" si="8">SUM(A17:A18)</f>
        <v>149</v>
      </c>
      <c r="B19" s="53">
        <f t="shared" si="8"/>
        <v>149</v>
      </c>
      <c r="C19" s="53">
        <f t="shared" si="8"/>
        <v>0</v>
      </c>
      <c r="D19" s="53">
        <f t="shared" si="8"/>
        <v>27</v>
      </c>
      <c r="E19" s="53">
        <f t="shared" si="8"/>
        <v>27</v>
      </c>
      <c r="F19" s="53">
        <f t="shared" si="8"/>
        <v>0</v>
      </c>
      <c r="G19" s="53">
        <f t="shared" si="8"/>
        <v>122</v>
      </c>
      <c r="H19" s="53">
        <f t="shared" si="8"/>
        <v>122</v>
      </c>
      <c r="I19" s="53">
        <f>SUM(I17:I18)</f>
        <v>0</v>
      </c>
      <c r="J19" s="70" t="s">
        <v>13</v>
      </c>
      <c r="K19" s="72"/>
      <c r="L19" s="55"/>
    </row>
    <row r="20" spans="1:12" ht="12.75" customHeight="1" thickBot="1" x14ac:dyDescent="0.25">
      <c r="A20" s="53">
        <f t="shared" si="0"/>
        <v>20785</v>
      </c>
      <c r="B20" s="53">
        <f t="shared" si="1"/>
        <v>11987</v>
      </c>
      <c r="C20" s="53">
        <f t="shared" si="1"/>
        <v>8798</v>
      </c>
      <c r="D20" s="53">
        <f t="shared" si="2"/>
        <v>246</v>
      </c>
      <c r="E20" s="53">
        <v>152</v>
      </c>
      <c r="F20" s="53">
        <f>49+45</f>
        <v>94</v>
      </c>
      <c r="G20" s="53">
        <f t="shared" si="3"/>
        <v>20539</v>
      </c>
      <c r="H20" s="53">
        <v>11835</v>
      </c>
      <c r="I20" s="53">
        <f>5408+5296-2000</f>
        <v>8704</v>
      </c>
      <c r="J20" s="70" t="s">
        <v>221</v>
      </c>
      <c r="K20" s="71"/>
      <c r="L20" s="55"/>
    </row>
    <row r="21" spans="1:12" ht="12.75" customHeight="1" thickBot="1" x14ac:dyDescent="0.25">
      <c r="A21" s="53">
        <f t="shared" si="0"/>
        <v>8130</v>
      </c>
      <c r="B21" s="53">
        <f t="shared" si="1"/>
        <v>4238</v>
      </c>
      <c r="C21" s="53">
        <f t="shared" si="1"/>
        <v>3892</v>
      </c>
      <c r="D21" s="53">
        <f t="shared" si="2"/>
        <v>156</v>
      </c>
      <c r="E21" s="53">
        <f>156-20</f>
        <v>136</v>
      </c>
      <c r="F21" s="53">
        <v>20</v>
      </c>
      <c r="G21" s="53">
        <f t="shared" si="3"/>
        <v>7974</v>
      </c>
      <c r="H21" s="53">
        <f>10548-6946+500</f>
        <v>4102</v>
      </c>
      <c r="I21" s="53">
        <f>3482+390</f>
        <v>3872</v>
      </c>
      <c r="J21" s="70" t="s">
        <v>222</v>
      </c>
      <c r="K21" s="71" t="s">
        <v>187</v>
      </c>
      <c r="L21" s="55"/>
    </row>
    <row r="22" spans="1:12" ht="12.75" customHeight="1" thickBot="1" x14ac:dyDescent="0.25">
      <c r="A22" s="53">
        <f t="shared" ref="A22:H22" si="9">SUM(A20:A21)</f>
        <v>28915</v>
      </c>
      <c r="B22" s="53">
        <f t="shared" si="9"/>
        <v>16225</v>
      </c>
      <c r="C22" s="53">
        <f t="shared" si="9"/>
        <v>12690</v>
      </c>
      <c r="D22" s="53">
        <f t="shared" si="9"/>
        <v>402</v>
      </c>
      <c r="E22" s="53">
        <f t="shared" si="9"/>
        <v>288</v>
      </c>
      <c r="F22" s="53">
        <f t="shared" si="9"/>
        <v>114</v>
      </c>
      <c r="G22" s="53">
        <f t="shared" si="9"/>
        <v>28513</v>
      </c>
      <c r="H22" s="53">
        <f t="shared" si="9"/>
        <v>15937</v>
      </c>
      <c r="I22" s="53">
        <f>SUM(I20:I21)</f>
        <v>12576</v>
      </c>
      <c r="J22" s="70" t="s">
        <v>13</v>
      </c>
      <c r="K22" s="72"/>
      <c r="L22" s="55"/>
    </row>
    <row r="23" spans="1:12" ht="12.75" customHeight="1" thickBot="1" x14ac:dyDescent="0.25">
      <c r="A23" s="53">
        <f t="shared" si="0"/>
        <v>12164</v>
      </c>
      <c r="B23" s="53">
        <f t="shared" si="1"/>
        <v>10118</v>
      </c>
      <c r="C23" s="53">
        <f t="shared" si="1"/>
        <v>2046</v>
      </c>
      <c r="D23" s="53">
        <f t="shared" si="2"/>
        <v>39</v>
      </c>
      <c r="E23" s="53">
        <v>26</v>
      </c>
      <c r="F23" s="53">
        <v>13</v>
      </c>
      <c r="G23" s="53">
        <f t="shared" si="3"/>
        <v>12125</v>
      </c>
      <c r="H23" s="53">
        <f>10442-350</f>
        <v>10092</v>
      </c>
      <c r="I23" s="53">
        <v>2033</v>
      </c>
      <c r="J23" s="70" t="s">
        <v>221</v>
      </c>
      <c r="K23" s="71"/>
      <c r="L23" s="55"/>
    </row>
    <row r="24" spans="1:12" ht="12.75" customHeight="1" thickBot="1" x14ac:dyDescent="0.25">
      <c r="A24" s="53">
        <f t="shared" si="0"/>
        <v>1154</v>
      </c>
      <c r="B24" s="53">
        <f t="shared" si="1"/>
        <v>1154</v>
      </c>
      <c r="C24" s="53">
        <f t="shared" si="1"/>
        <v>0</v>
      </c>
      <c r="D24" s="53">
        <f t="shared" si="2"/>
        <v>0</v>
      </c>
      <c r="E24" s="53">
        <v>0</v>
      </c>
      <c r="F24" s="53">
        <v>0</v>
      </c>
      <c r="G24" s="53">
        <f t="shared" si="3"/>
        <v>1154</v>
      </c>
      <c r="H24" s="53">
        <v>1154</v>
      </c>
      <c r="I24" s="53">
        <v>0</v>
      </c>
      <c r="J24" s="70" t="s">
        <v>222</v>
      </c>
      <c r="K24" s="71" t="s">
        <v>188</v>
      </c>
      <c r="L24" s="55"/>
    </row>
    <row r="25" spans="1:12" ht="12.75" customHeight="1" thickBot="1" x14ac:dyDescent="0.25">
      <c r="A25" s="53">
        <f t="shared" ref="A25:H25" si="10">SUM(A23:A24)</f>
        <v>13318</v>
      </c>
      <c r="B25" s="53">
        <f t="shared" si="10"/>
        <v>11272</v>
      </c>
      <c r="C25" s="53">
        <f t="shared" si="10"/>
        <v>2046</v>
      </c>
      <c r="D25" s="53">
        <f t="shared" si="10"/>
        <v>39</v>
      </c>
      <c r="E25" s="53">
        <f t="shared" si="10"/>
        <v>26</v>
      </c>
      <c r="F25" s="53">
        <f t="shared" si="10"/>
        <v>13</v>
      </c>
      <c r="G25" s="53">
        <f t="shared" si="10"/>
        <v>13279</v>
      </c>
      <c r="H25" s="53">
        <f t="shared" si="10"/>
        <v>11246</v>
      </c>
      <c r="I25" s="53">
        <f>SUM(I23:I24)</f>
        <v>2033</v>
      </c>
      <c r="J25" s="70" t="s">
        <v>13</v>
      </c>
      <c r="K25" s="72"/>
      <c r="L25" s="55"/>
    </row>
    <row r="26" spans="1:12" ht="12.75" customHeight="1" thickBot="1" x14ac:dyDescent="0.25">
      <c r="A26" s="53">
        <f t="shared" si="0"/>
        <v>2706</v>
      </c>
      <c r="B26" s="53">
        <f t="shared" si="1"/>
        <v>1099</v>
      </c>
      <c r="C26" s="53">
        <f t="shared" si="1"/>
        <v>1607</v>
      </c>
      <c r="D26" s="53">
        <f t="shared" si="2"/>
        <v>136</v>
      </c>
      <c r="E26" s="53">
        <v>26</v>
      </c>
      <c r="F26" s="53">
        <v>110</v>
      </c>
      <c r="G26" s="53">
        <f t="shared" si="3"/>
        <v>2570</v>
      </c>
      <c r="H26" s="53">
        <v>1073</v>
      </c>
      <c r="I26" s="53">
        <v>1497</v>
      </c>
      <c r="J26" s="70" t="s">
        <v>221</v>
      </c>
      <c r="K26" s="71"/>
      <c r="L26" s="55"/>
    </row>
    <row r="27" spans="1:12" ht="12.75" customHeight="1" thickBot="1" x14ac:dyDescent="0.25">
      <c r="A27" s="53">
        <f t="shared" si="0"/>
        <v>2034</v>
      </c>
      <c r="B27" s="53">
        <f t="shared" si="1"/>
        <v>1386</v>
      </c>
      <c r="C27" s="53">
        <f t="shared" si="1"/>
        <v>648</v>
      </c>
      <c r="D27" s="53">
        <f t="shared" si="2"/>
        <v>1</v>
      </c>
      <c r="E27" s="53">
        <v>1</v>
      </c>
      <c r="F27" s="53">
        <v>0</v>
      </c>
      <c r="G27" s="53">
        <f t="shared" si="3"/>
        <v>2033</v>
      </c>
      <c r="H27" s="53">
        <v>1385</v>
      </c>
      <c r="I27" s="53">
        <v>648</v>
      </c>
      <c r="J27" s="70" t="s">
        <v>222</v>
      </c>
      <c r="K27" s="71" t="s">
        <v>189</v>
      </c>
      <c r="L27" s="55"/>
    </row>
    <row r="28" spans="1:12" ht="12.75" customHeight="1" thickBot="1" x14ac:dyDescent="0.25">
      <c r="A28" s="53">
        <f t="shared" ref="A28:H28" si="11">SUM(A26:A27)</f>
        <v>4740</v>
      </c>
      <c r="B28" s="53">
        <f t="shared" si="11"/>
        <v>2485</v>
      </c>
      <c r="C28" s="53">
        <f t="shared" si="11"/>
        <v>2255</v>
      </c>
      <c r="D28" s="53">
        <f t="shared" si="11"/>
        <v>137</v>
      </c>
      <c r="E28" s="53">
        <f t="shared" si="11"/>
        <v>27</v>
      </c>
      <c r="F28" s="53">
        <f t="shared" si="11"/>
        <v>110</v>
      </c>
      <c r="G28" s="53">
        <f t="shared" si="11"/>
        <v>4603</v>
      </c>
      <c r="H28" s="53">
        <f t="shared" si="11"/>
        <v>2458</v>
      </c>
      <c r="I28" s="53">
        <f>SUM(I26:I27)</f>
        <v>2145</v>
      </c>
      <c r="J28" s="70" t="s">
        <v>13</v>
      </c>
      <c r="K28" s="72"/>
      <c r="L28" s="55"/>
    </row>
    <row r="29" spans="1:12" ht="12.75" customHeight="1" thickBot="1" x14ac:dyDescent="0.25">
      <c r="A29" s="53">
        <f t="shared" si="0"/>
        <v>11352</v>
      </c>
      <c r="B29" s="53">
        <f t="shared" si="1"/>
        <v>3274</v>
      </c>
      <c r="C29" s="53">
        <f t="shared" si="1"/>
        <v>8078</v>
      </c>
      <c r="D29" s="53">
        <f t="shared" si="2"/>
        <v>611</v>
      </c>
      <c r="E29" s="53">
        <f>304+10</f>
        <v>314</v>
      </c>
      <c r="F29" s="53">
        <v>297</v>
      </c>
      <c r="G29" s="53">
        <f t="shared" si="3"/>
        <v>10741</v>
      </c>
      <c r="H29" s="53">
        <v>2960</v>
      </c>
      <c r="I29" s="53">
        <v>7781</v>
      </c>
      <c r="J29" s="70" t="s">
        <v>221</v>
      </c>
      <c r="K29" s="71"/>
      <c r="L29" s="55"/>
    </row>
    <row r="30" spans="1:12" ht="12.75" customHeight="1" thickBot="1" x14ac:dyDescent="0.25">
      <c r="A30" s="53">
        <f t="shared" si="0"/>
        <v>8703</v>
      </c>
      <c r="B30" s="53">
        <f t="shared" si="1"/>
        <v>3040</v>
      </c>
      <c r="C30" s="53">
        <f t="shared" si="1"/>
        <v>5663</v>
      </c>
      <c r="D30" s="53">
        <f t="shared" si="2"/>
        <v>378</v>
      </c>
      <c r="E30" s="53">
        <f>241-26</f>
        <v>215</v>
      </c>
      <c r="F30" s="53">
        <f>178-15</f>
        <v>163</v>
      </c>
      <c r="G30" s="53">
        <f t="shared" si="3"/>
        <v>8325</v>
      </c>
      <c r="H30" s="53">
        <f>2768+26+31</f>
        <v>2825</v>
      </c>
      <c r="I30" s="53">
        <f>17916-12766+350</f>
        <v>5500</v>
      </c>
      <c r="J30" s="70" t="s">
        <v>222</v>
      </c>
      <c r="K30" s="71" t="s">
        <v>190</v>
      </c>
      <c r="L30" s="55"/>
    </row>
    <row r="31" spans="1:12" ht="12.75" customHeight="1" thickBot="1" x14ac:dyDescent="0.25">
      <c r="A31" s="53">
        <f t="shared" ref="A31:H31" si="12">SUM(A29:A30)</f>
        <v>20055</v>
      </c>
      <c r="B31" s="53">
        <f t="shared" si="12"/>
        <v>6314</v>
      </c>
      <c r="C31" s="53">
        <f t="shared" si="12"/>
        <v>13741</v>
      </c>
      <c r="D31" s="53">
        <f t="shared" si="12"/>
        <v>989</v>
      </c>
      <c r="E31" s="53">
        <f t="shared" si="12"/>
        <v>529</v>
      </c>
      <c r="F31" s="53">
        <f t="shared" si="12"/>
        <v>460</v>
      </c>
      <c r="G31" s="53">
        <f t="shared" si="12"/>
        <v>19066</v>
      </c>
      <c r="H31" s="53">
        <f t="shared" si="12"/>
        <v>5785</v>
      </c>
      <c r="I31" s="53">
        <f>SUM(I29:I30)</f>
        <v>13281</v>
      </c>
      <c r="J31" s="70" t="s">
        <v>13</v>
      </c>
      <c r="K31" s="72"/>
      <c r="L31" s="55"/>
    </row>
    <row r="32" spans="1:12" ht="12.75" customHeight="1" thickBot="1" x14ac:dyDescent="0.25">
      <c r="A32" s="53">
        <f t="shared" si="0"/>
        <v>182</v>
      </c>
      <c r="B32" s="53">
        <f t="shared" si="1"/>
        <v>182</v>
      </c>
      <c r="C32" s="53">
        <f t="shared" si="1"/>
        <v>0</v>
      </c>
      <c r="D32" s="53">
        <f t="shared" si="2"/>
        <v>0</v>
      </c>
      <c r="E32" s="53">
        <v>0</v>
      </c>
      <c r="F32" s="53">
        <v>0</v>
      </c>
      <c r="G32" s="53">
        <f t="shared" si="3"/>
        <v>182</v>
      </c>
      <c r="H32" s="53">
        <v>182</v>
      </c>
      <c r="I32" s="53">
        <v>0</v>
      </c>
      <c r="J32" s="70" t="s">
        <v>221</v>
      </c>
      <c r="K32" s="71"/>
      <c r="L32" s="55"/>
    </row>
    <row r="33" spans="1:12" ht="12.75" customHeight="1" thickBot="1" x14ac:dyDescent="0.25">
      <c r="A33" s="53">
        <f t="shared" si="0"/>
        <v>0</v>
      </c>
      <c r="B33" s="53">
        <f t="shared" si="1"/>
        <v>0</v>
      </c>
      <c r="C33" s="53">
        <f t="shared" si="1"/>
        <v>0</v>
      </c>
      <c r="D33" s="53">
        <f t="shared" si="2"/>
        <v>0</v>
      </c>
      <c r="E33" s="53">
        <v>0</v>
      </c>
      <c r="F33" s="53">
        <v>0</v>
      </c>
      <c r="G33" s="53">
        <f t="shared" si="3"/>
        <v>0</v>
      </c>
      <c r="H33" s="53">
        <v>0</v>
      </c>
      <c r="I33" s="53">
        <v>0</v>
      </c>
      <c r="J33" s="70" t="s">
        <v>222</v>
      </c>
      <c r="K33" s="71" t="s">
        <v>191</v>
      </c>
      <c r="L33" s="55"/>
    </row>
    <row r="34" spans="1:12" ht="12.75" customHeight="1" thickBot="1" x14ac:dyDescent="0.25">
      <c r="A34" s="53">
        <f t="shared" ref="A34:H34" si="13">SUM(A32:A33)</f>
        <v>182</v>
      </c>
      <c r="B34" s="53">
        <f t="shared" si="13"/>
        <v>182</v>
      </c>
      <c r="C34" s="53">
        <f t="shared" si="13"/>
        <v>0</v>
      </c>
      <c r="D34" s="53">
        <f t="shared" si="13"/>
        <v>0</v>
      </c>
      <c r="E34" s="53">
        <f t="shared" si="13"/>
        <v>0</v>
      </c>
      <c r="F34" s="53">
        <f t="shared" si="13"/>
        <v>0</v>
      </c>
      <c r="G34" s="53">
        <f t="shared" si="13"/>
        <v>182</v>
      </c>
      <c r="H34" s="53">
        <f t="shared" si="13"/>
        <v>182</v>
      </c>
      <c r="I34" s="53">
        <f>SUM(I32:I33)</f>
        <v>0</v>
      </c>
      <c r="J34" s="70" t="s">
        <v>13</v>
      </c>
      <c r="K34" s="72"/>
      <c r="L34" s="55"/>
    </row>
    <row r="35" spans="1:12" ht="12.75" customHeight="1" thickBot="1" x14ac:dyDescent="0.25">
      <c r="A35" s="53">
        <f t="shared" si="0"/>
        <v>11036</v>
      </c>
      <c r="B35" s="53">
        <f t="shared" si="1"/>
        <v>5802</v>
      </c>
      <c r="C35" s="53">
        <f t="shared" si="1"/>
        <v>5234</v>
      </c>
      <c r="D35" s="53">
        <f t="shared" si="2"/>
        <v>199</v>
      </c>
      <c r="E35" s="53">
        <f>113+10</f>
        <v>123</v>
      </c>
      <c r="F35" s="53">
        <v>76</v>
      </c>
      <c r="G35" s="53">
        <f t="shared" si="3"/>
        <v>10837</v>
      </c>
      <c r="H35" s="53">
        <f>6029-350</f>
        <v>5679</v>
      </c>
      <c r="I35" s="53">
        <v>5158</v>
      </c>
      <c r="J35" s="70" t="s">
        <v>221</v>
      </c>
      <c r="K35" s="71"/>
      <c r="L35" s="55"/>
    </row>
    <row r="36" spans="1:12" ht="12.75" customHeight="1" thickBot="1" x14ac:dyDescent="0.25">
      <c r="A36" s="53">
        <f t="shared" si="0"/>
        <v>110</v>
      </c>
      <c r="B36" s="53">
        <f t="shared" si="1"/>
        <v>108</v>
      </c>
      <c r="C36" s="53">
        <f t="shared" si="1"/>
        <v>2</v>
      </c>
      <c r="D36" s="53">
        <f t="shared" si="2"/>
        <v>0</v>
      </c>
      <c r="E36" s="53">
        <v>0</v>
      </c>
      <c r="F36" s="53">
        <v>0</v>
      </c>
      <c r="G36" s="53">
        <f t="shared" si="3"/>
        <v>110</v>
      </c>
      <c r="H36" s="53">
        <v>108</v>
      </c>
      <c r="I36" s="53">
        <v>2</v>
      </c>
      <c r="J36" s="70" t="s">
        <v>222</v>
      </c>
      <c r="K36" s="71" t="s">
        <v>192</v>
      </c>
      <c r="L36" s="55"/>
    </row>
    <row r="37" spans="1:12" ht="12.75" customHeight="1" thickBot="1" x14ac:dyDescent="0.25">
      <c r="A37" s="53">
        <f t="shared" ref="A37:H37" si="14">SUM(A35:A36)</f>
        <v>11146</v>
      </c>
      <c r="B37" s="53">
        <f t="shared" si="14"/>
        <v>5910</v>
      </c>
      <c r="C37" s="53">
        <f t="shared" si="14"/>
        <v>5236</v>
      </c>
      <c r="D37" s="53">
        <f t="shared" si="14"/>
        <v>199</v>
      </c>
      <c r="E37" s="53">
        <f t="shared" si="14"/>
        <v>123</v>
      </c>
      <c r="F37" s="53">
        <f t="shared" si="14"/>
        <v>76</v>
      </c>
      <c r="G37" s="53">
        <f t="shared" si="14"/>
        <v>10947</v>
      </c>
      <c r="H37" s="53">
        <f t="shared" si="14"/>
        <v>5787</v>
      </c>
      <c r="I37" s="53">
        <f>SUM(I35:I36)</f>
        <v>5160</v>
      </c>
      <c r="J37" s="70" t="s">
        <v>13</v>
      </c>
      <c r="K37" s="72"/>
      <c r="L37" s="55"/>
    </row>
    <row r="38" spans="1:12" ht="12.75" customHeight="1" thickBot="1" x14ac:dyDescent="0.25">
      <c r="A38" s="53">
        <f t="shared" si="0"/>
        <v>8311</v>
      </c>
      <c r="B38" s="53">
        <f t="shared" si="1"/>
        <v>6258</v>
      </c>
      <c r="C38" s="53">
        <f t="shared" si="1"/>
        <v>2053</v>
      </c>
      <c r="D38" s="53">
        <f t="shared" si="2"/>
        <v>50</v>
      </c>
      <c r="E38" s="53">
        <f>28+4</f>
        <v>32</v>
      </c>
      <c r="F38" s="53">
        <v>18</v>
      </c>
      <c r="G38" s="53">
        <f t="shared" si="3"/>
        <v>8261</v>
      </c>
      <c r="H38" s="53">
        <v>6226</v>
      </c>
      <c r="I38" s="53">
        <v>2035</v>
      </c>
      <c r="J38" s="70" t="s">
        <v>221</v>
      </c>
      <c r="K38" s="71"/>
      <c r="L38" s="55"/>
    </row>
    <row r="39" spans="1:12" ht="12.75" customHeight="1" thickBot="1" x14ac:dyDescent="0.25">
      <c r="A39" s="53">
        <f t="shared" si="0"/>
        <v>0</v>
      </c>
      <c r="B39" s="53">
        <f t="shared" si="1"/>
        <v>0</v>
      </c>
      <c r="C39" s="53">
        <f t="shared" si="1"/>
        <v>0</v>
      </c>
      <c r="D39" s="53">
        <f t="shared" si="2"/>
        <v>0</v>
      </c>
      <c r="E39" s="53">
        <v>0</v>
      </c>
      <c r="F39" s="53">
        <v>0</v>
      </c>
      <c r="G39" s="53">
        <f t="shared" si="3"/>
        <v>0</v>
      </c>
      <c r="H39" s="53">
        <v>0</v>
      </c>
      <c r="I39" s="53">
        <v>0</v>
      </c>
      <c r="J39" s="70" t="s">
        <v>222</v>
      </c>
      <c r="K39" s="71" t="s">
        <v>193</v>
      </c>
      <c r="L39" s="55"/>
    </row>
    <row r="40" spans="1:12" ht="12.75" customHeight="1" thickBot="1" x14ac:dyDescent="0.25">
      <c r="A40" s="53">
        <f t="shared" ref="A40:H40" si="15">SUM(A38:A39)</f>
        <v>8311</v>
      </c>
      <c r="B40" s="53">
        <f t="shared" si="15"/>
        <v>6258</v>
      </c>
      <c r="C40" s="53">
        <f t="shared" si="15"/>
        <v>2053</v>
      </c>
      <c r="D40" s="53">
        <f t="shared" si="15"/>
        <v>50</v>
      </c>
      <c r="E40" s="53">
        <f t="shared" si="15"/>
        <v>32</v>
      </c>
      <c r="F40" s="53">
        <f t="shared" si="15"/>
        <v>18</v>
      </c>
      <c r="G40" s="53">
        <f t="shared" si="15"/>
        <v>8261</v>
      </c>
      <c r="H40" s="53">
        <f t="shared" si="15"/>
        <v>6226</v>
      </c>
      <c r="I40" s="53">
        <f>SUM(I38:I39)</f>
        <v>2035</v>
      </c>
      <c r="J40" s="70" t="s">
        <v>13</v>
      </c>
      <c r="K40" s="72"/>
      <c r="L40" s="55"/>
    </row>
    <row r="41" spans="1:12" ht="12.75" customHeight="1" thickBot="1" x14ac:dyDescent="0.25">
      <c r="A41" s="53">
        <f t="shared" si="0"/>
        <v>6442</v>
      </c>
      <c r="B41" s="53">
        <f t="shared" si="1"/>
        <v>5177</v>
      </c>
      <c r="C41" s="53">
        <f t="shared" si="1"/>
        <v>1265</v>
      </c>
      <c r="D41" s="53">
        <f t="shared" si="2"/>
        <v>62</v>
      </c>
      <c r="E41" s="53">
        <v>10</v>
      </c>
      <c r="F41" s="53">
        <v>52</v>
      </c>
      <c r="G41" s="53">
        <f t="shared" si="3"/>
        <v>6380</v>
      </c>
      <c r="H41" s="53">
        <f>5966-799</f>
        <v>5167</v>
      </c>
      <c r="I41" s="53">
        <v>1213</v>
      </c>
      <c r="J41" s="70" t="s">
        <v>221</v>
      </c>
      <c r="K41" s="71"/>
      <c r="L41" s="55"/>
    </row>
    <row r="42" spans="1:12" ht="12.75" customHeight="1" thickBot="1" x14ac:dyDescent="0.25">
      <c r="A42" s="53">
        <f t="shared" si="0"/>
        <v>508</v>
      </c>
      <c r="B42" s="53">
        <f t="shared" si="1"/>
        <v>508</v>
      </c>
      <c r="C42" s="53">
        <f t="shared" si="1"/>
        <v>0</v>
      </c>
      <c r="D42" s="53">
        <f t="shared" si="2"/>
        <v>0</v>
      </c>
      <c r="E42" s="53">
        <v>0</v>
      </c>
      <c r="F42" s="53">
        <v>0</v>
      </c>
      <c r="G42" s="53">
        <f t="shared" si="3"/>
        <v>508</v>
      </c>
      <c r="H42" s="53">
        <f>308+200</f>
        <v>508</v>
      </c>
      <c r="I42" s="53">
        <v>0</v>
      </c>
      <c r="J42" s="70" t="s">
        <v>222</v>
      </c>
      <c r="K42" s="71" t="s">
        <v>194</v>
      </c>
      <c r="L42" s="55"/>
    </row>
    <row r="43" spans="1:12" ht="12.75" customHeight="1" thickBot="1" x14ac:dyDescent="0.25">
      <c r="A43" s="53">
        <f t="shared" ref="A43:H43" si="16">SUM(A41:A42)</f>
        <v>6950</v>
      </c>
      <c r="B43" s="53">
        <f t="shared" si="16"/>
        <v>5685</v>
      </c>
      <c r="C43" s="53">
        <f t="shared" si="16"/>
        <v>1265</v>
      </c>
      <c r="D43" s="53">
        <f t="shared" si="16"/>
        <v>62</v>
      </c>
      <c r="E43" s="53">
        <f t="shared" si="16"/>
        <v>10</v>
      </c>
      <c r="F43" s="53">
        <f t="shared" si="16"/>
        <v>52</v>
      </c>
      <c r="G43" s="53">
        <f t="shared" si="16"/>
        <v>6888</v>
      </c>
      <c r="H43" s="53">
        <f t="shared" si="16"/>
        <v>5675</v>
      </c>
      <c r="I43" s="53">
        <f>SUM(I41:I42)</f>
        <v>1213</v>
      </c>
      <c r="J43" s="70" t="s">
        <v>13</v>
      </c>
      <c r="K43" s="72"/>
      <c r="L43" s="55"/>
    </row>
    <row r="44" spans="1:12" ht="12.75" customHeight="1" thickBot="1" x14ac:dyDescent="0.25">
      <c r="A44" s="53">
        <f t="shared" si="0"/>
        <v>8062</v>
      </c>
      <c r="B44" s="53">
        <f t="shared" si="1"/>
        <v>2986</v>
      </c>
      <c r="C44" s="53">
        <f t="shared" si="1"/>
        <v>5076</v>
      </c>
      <c r="D44" s="53">
        <f t="shared" si="2"/>
        <v>619</v>
      </c>
      <c r="E44" s="53">
        <f>250+7</f>
        <v>257</v>
      </c>
      <c r="F44" s="53">
        <v>362</v>
      </c>
      <c r="G44" s="53">
        <f t="shared" si="3"/>
        <v>7443</v>
      </c>
      <c r="H44" s="53">
        <v>2729</v>
      </c>
      <c r="I44" s="53">
        <f>5714-1000</f>
        <v>4714</v>
      </c>
      <c r="J44" s="70" t="s">
        <v>221</v>
      </c>
      <c r="K44" s="71"/>
      <c r="L44" s="55"/>
    </row>
    <row r="45" spans="1:12" ht="12.75" customHeight="1" thickBot="1" x14ac:dyDescent="0.25">
      <c r="A45" s="53">
        <f t="shared" si="0"/>
        <v>28</v>
      </c>
      <c r="B45" s="53">
        <f t="shared" si="1"/>
        <v>17</v>
      </c>
      <c r="C45" s="53">
        <f t="shared" si="1"/>
        <v>11</v>
      </c>
      <c r="D45" s="53">
        <f t="shared" si="2"/>
        <v>0</v>
      </c>
      <c r="E45" s="53">
        <v>0</v>
      </c>
      <c r="F45" s="53">
        <v>0</v>
      </c>
      <c r="G45" s="53">
        <f t="shared" si="3"/>
        <v>28</v>
      </c>
      <c r="H45" s="53">
        <v>17</v>
      </c>
      <c r="I45" s="53">
        <v>11</v>
      </c>
      <c r="J45" s="70" t="s">
        <v>222</v>
      </c>
      <c r="K45" s="71" t="s">
        <v>195</v>
      </c>
      <c r="L45" s="55"/>
    </row>
    <row r="46" spans="1:12" ht="12.75" customHeight="1" thickBot="1" x14ac:dyDescent="0.25">
      <c r="A46" s="53">
        <f t="shared" ref="A46:H46" si="17">SUM(A44:A45)</f>
        <v>8090</v>
      </c>
      <c r="B46" s="53">
        <f t="shared" si="17"/>
        <v>3003</v>
      </c>
      <c r="C46" s="53">
        <f t="shared" si="17"/>
        <v>5087</v>
      </c>
      <c r="D46" s="53">
        <f t="shared" si="17"/>
        <v>619</v>
      </c>
      <c r="E46" s="53">
        <f t="shared" si="17"/>
        <v>257</v>
      </c>
      <c r="F46" s="53">
        <f t="shared" si="17"/>
        <v>362</v>
      </c>
      <c r="G46" s="53">
        <f t="shared" si="17"/>
        <v>7471</v>
      </c>
      <c r="H46" s="53">
        <f t="shared" si="17"/>
        <v>2746</v>
      </c>
      <c r="I46" s="53">
        <f>SUM(I44:I45)</f>
        <v>4725</v>
      </c>
      <c r="J46" s="70" t="s">
        <v>13</v>
      </c>
      <c r="K46" s="72"/>
      <c r="L46" s="55"/>
    </row>
    <row r="47" spans="1:12" ht="12.75" customHeight="1" thickBot="1" x14ac:dyDescent="0.25">
      <c r="A47" s="53">
        <f t="shared" si="0"/>
        <v>5343</v>
      </c>
      <c r="B47" s="53">
        <f t="shared" si="1"/>
        <v>126</v>
      </c>
      <c r="C47" s="53">
        <f t="shared" si="1"/>
        <v>5217</v>
      </c>
      <c r="D47" s="53">
        <f t="shared" si="2"/>
        <v>501</v>
      </c>
      <c r="E47" s="53">
        <v>4</v>
      </c>
      <c r="F47" s="53">
        <v>497</v>
      </c>
      <c r="G47" s="53">
        <f t="shared" si="3"/>
        <v>4842</v>
      </c>
      <c r="H47" s="53">
        <v>122</v>
      </c>
      <c r="I47" s="53">
        <v>4720</v>
      </c>
      <c r="J47" s="70" t="s">
        <v>221</v>
      </c>
      <c r="K47" s="71"/>
      <c r="L47" s="55"/>
    </row>
    <row r="48" spans="1:12" ht="12.75" customHeight="1" thickBot="1" x14ac:dyDescent="0.25">
      <c r="A48" s="53">
        <f t="shared" si="0"/>
        <v>0</v>
      </c>
      <c r="B48" s="53">
        <f t="shared" si="1"/>
        <v>0</v>
      </c>
      <c r="C48" s="53">
        <f t="shared" si="1"/>
        <v>0</v>
      </c>
      <c r="D48" s="53">
        <f t="shared" si="2"/>
        <v>0</v>
      </c>
      <c r="E48" s="53">
        <v>0</v>
      </c>
      <c r="F48" s="53">
        <v>0</v>
      </c>
      <c r="G48" s="53">
        <f t="shared" si="3"/>
        <v>0</v>
      </c>
      <c r="H48" s="53">
        <v>0</v>
      </c>
      <c r="I48" s="53">
        <v>0</v>
      </c>
      <c r="J48" s="70" t="s">
        <v>222</v>
      </c>
      <c r="K48" s="71" t="s">
        <v>196</v>
      </c>
      <c r="L48" s="55"/>
    </row>
    <row r="49" spans="1:12" ht="12.75" customHeight="1" thickBot="1" x14ac:dyDescent="0.25">
      <c r="A49" s="53">
        <f t="shared" ref="A49:H49" si="18">SUM(A47:A48)</f>
        <v>5343</v>
      </c>
      <c r="B49" s="53">
        <f t="shared" si="18"/>
        <v>126</v>
      </c>
      <c r="C49" s="53">
        <f t="shared" si="18"/>
        <v>5217</v>
      </c>
      <c r="D49" s="53">
        <f t="shared" si="18"/>
        <v>501</v>
      </c>
      <c r="E49" s="53">
        <f t="shared" si="18"/>
        <v>4</v>
      </c>
      <c r="F49" s="53">
        <f t="shared" si="18"/>
        <v>497</v>
      </c>
      <c r="G49" s="53">
        <f t="shared" si="18"/>
        <v>4842</v>
      </c>
      <c r="H49" s="53">
        <f t="shared" si="18"/>
        <v>122</v>
      </c>
      <c r="I49" s="53">
        <f>SUM(I47:I48)</f>
        <v>4720</v>
      </c>
      <c r="J49" s="70" t="s">
        <v>13</v>
      </c>
      <c r="K49" s="72"/>
      <c r="L49" s="55"/>
    </row>
    <row r="50" spans="1:12" ht="12.75" customHeight="1" thickBot="1" x14ac:dyDescent="0.25">
      <c r="A50" s="53">
        <f t="shared" si="0"/>
        <v>851</v>
      </c>
      <c r="B50" s="53">
        <f t="shared" si="1"/>
        <v>422</v>
      </c>
      <c r="C50" s="53">
        <f t="shared" si="1"/>
        <v>429</v>
      </c>
      <c r="D50" s="53">
        <f t="shared" si="2"/>
        <v>0</v>
      </c>
      <c r="E50" s="53">
        <v>0</v>
      </c>
      <c r="F50" s="53">
        <v>0</v>
      </c>
      <c r="G50" s="53">
        <f t="shared" si="3"/>
        <v>851</v>
      </c>
      <c r="H50" s="53">
        <v>422</v>
      </c>
      <c r="I50" s="53">
        <v>429</v>
      </c>
      <c r="J50" s="70" t="s">
        <v>221</v>
      </c>
      <c r="K50" s="71"/>
      <c r="L50" s="55"/>
    </row>
    <row r="51" spans="1:12" ht="12.75" customHeight="1" thickBot="1" x14ac:dyDescent="0.25">
      <c r="A51" s="53">
        <f t="shared" si="0"/>
        <v>0</v>
      </c>
      <c r="B51" s="53">
        <f t="shared" si="1"/>
        <v>0</v>
      </c>
      <c r="C51" s="53">
        <f t="shared" si="1"/>
        <v>0</v>
      </c>
      <c r="D51" s="53">
        <f t="shared" si="2"/>
        <v>0</v>
      </c>
      <c r="E51" s="53">
        <v>0</v>
      </c>
      <c r="F51" s="53">
        <v>0</v>
      </c>
      <c r="G51" s="53">
        <f t="shared" si="3"/>
        <v>0</v>
      </c>
      <c r="H51" s="53">
        <v>0</v>
      </c>
      <c r="I51" s="53">
        <v>0</v>
      </c>
      <c r="J51" s="70" t="s">
        <v>222</v>
      </c>
      <c r="K51" s="71" t="s">
        <v>197</v>
      </c>
      <c r="L51" s="55"/>
    </row>
    <row r="52" spans="1:12" ht="12.75" customHeight="1" thickBot="1" x14ac:dyDescent="0.25">
      <c r="A52" s="53">
        <f t="shared" ref="A52:H52" si="19">SUM(A50:A51)</f>
        <v>851</v>
      </c>
      <c r="B52" s="53">
        <f t="shared" si="19"/>
        <v>422</v>
      </c>
      <c r="C52" s="53">
        <f t="shared" si="19"/>
        <v>429</v>
      </c>
      <c r="D52" s="53">
        <f t="shared" si="19"/>
        <v>0</v>
      </c>
      <c r="E52" s="53">
        <f t="shared" si="19"/>
        <v>0</v>
      </c>
      <c r="F52" s="53">
        <f t="shared" si="19"/>
        <v>0</v>
      </c>
      <c r="G52" s="53">
        <f t="shared" si="19"/>
        <v>851</v>
      </c>
      <c r="H52" s="53">
        <f t="shared" si="19"/>
        <v>422</v>
      </c>
      <c r="I52" s="53">
        <f>SUM(I50:I51)</f>
        <v>429</v>
      </c>
      <c r="J52" s="70" t="s">
        <v>13</v>
      </c>
      <c r="K52" s="72"/>
      <c r="L52" s="55"/>
    </row>
    <row r="53" spans="1:12" ht="12.75" customHeight="1" thickBot="1" x14ac:dyDescent="0.25">
      <c r="A53" s="53">
        <f t="shared" si="0"/>
        <v>1208</v>
      </c>
      <c r="B53" s="53">
        <f t="shared" si="1"/>
        <v>82</v>
      </c>
      <c r="C53" s="53">
        <f t="shared" si="1"/>
        <v>1126</v>
      </c>
      <c r="D53" s="53">
        <f t="shared" si="2"/>
        <v>26</v>
      </c>
      <c r="E53" s="53">
        <v>8</v>
      </c>
      <c r="F53" s="53">
        <v>18</v>
      </c>
      <c r="G53" s="53">
        <f t="shared" si="3"/>
        <v>1182</v>
      </c>
      <c r="H53" s="53">
        <v>74</v>
      </c>
      <c r="I53" s="53">
        <v>1108</v>
      </c>
      <c r="J53" s="70" t="s">
        <v>221</v>
      </c>
      <c r="K53" s="71"/>
      <c r="L53" s="55"/>
    </row>
    <row r="54" spans="1:12" ht="12.75" customHeight="1" thickBot="1" x14ac:dyDescent="0.25">
      <c r="A54" s="53">
        <f t="shared" si="0"/>
        <v>0</v>
      </c>
      <c r="B54" s="53">
        <f t="shared" si="1"/>
        <v>0</v>
      </c>
      <c r="C54" s="53">
        <f t="shared" si="1"/>
        <v>0</v>
      </c>
      <c r="D54" s="53">
        <f t="shared" si="2"/>
        <v>0</v>
      </c>
      <c r="E54" s="53">
        <v>0</v>
      </c>
      <c r="F54" s="53">
        <v>0</v>
      </c>
      <c r="G54" s="53">
        <f t="shared" si="3"/>
        <v>0</v>
      </c>
      <c r="H54" s="53">
        <v>0</v>
      </c>
      <c r="I54" s="53">
        <v>0</v>
      </c>
      <c r="J54" s="70" t="s">
        <v>222</v>
      </c>
      <c r="K54" s="71" t="s">
        <v>198</v>
      </c>
      <c r="L54" s="55"/>
    </row>
    <row r="55" spans="1:12" ht="12.75" customHeight="1" thickBot="1" x14ac:dyDescent="0.25">
      <c r="A55" s="53">
        <f t="shared" ref="A55:H55" si="20">SUM(A53:A54)</f>
        <v>1208</v>
      </c>
      <c r="B55" s="53">
        <f t="shared" si="20"/>
        <v>82</v>
      </c>
      <c r="C55" s="53">
        <f t="shared" si="20"/>
        <v>1126</v>
      </c>
      <c r="D55" s="53">
        <f t="shared" si="20"/>
        <v>26</v>
      </c>
      <c r="E55" s="53">
        <f t="shared" si="20"/>
        <v>8</v>
      </c>
      <c r="F55" s="53">
        <f t="shared" si="20"/>
        <v>18</v>
      </c>
      <c r="G55" s="53">
        <f t="shared" si="20"/>
        <v>1182</v>
      </c>
      <c r="H55" s="53">
        <f t="shared" si="20"/>
        <v>74</v>
      </c>
      <c r="I55" s="53">
        <f>SUM(I53:I54)</f>
        <v>1108</v>
      </c>
      <c r="J55" s="70" t="s">
        <v>13</v>
      </c>
      <c r="K55" s="72"/>
      <c r="L55" s="55"/>
    </row>
    <row r="56" spans="1:12" ht="12.75" customHeight="1" thickBot="1" x14ac:dyDescent="0.25">
      <c r="A56" s="53">
        <f t="shared" si="0"/>
        <v>782</v>
      </c>
      <c r="B56" s="53">
        <f t="shared" si="1"/>
        <v>0</v>
      </c>
      <c r="C56" s="53">
        <f t="shared" si="1"/>
        <v>782</v>
      </c>
      <c r="D56" s="53">
        <f t="shared" si="2"/>
        <v>11</v>
      </c>
      <c r="E56" s="53">
        <v>0</v>
      </c>
      <c r="F56" s="53">
        <v>11</v>
      </c>
      <c r="G56" s="53">
        <f t="shared" si="3"/>
        <v>771</v>
      </c>
      <c r="H56" s="53">
        <v>0</v>
      </c>
      <c r="I56" s="53">
        <v>771</v>
      </c>
      <c r="J56" s="70" t="s">
        <v>221</v>
      </c>
      <c r="K56" s="71"/>
      <c r="L56" s="55"/>
    </row>
    <row r="57" spans="1:12" ht="12.75" customHeight="1" thickBot="1" x14ac:dyDescent="0.25">
      <c r="A57" s="53">
        <f t="shared" si="0"/>
        <v>0</v>
      </c>
      <c r="B57" s="53">
        <f t="shared" si="1"/>
        <v>0</v>
      </c>
      <c r="C57" s="53">
        <f t="shared" si="1"/>
        <v>0</v>
      </c>
      <c r="D57" s="53">
        <f t="shared" si="2"/>
        <v>0</v>
      </c>
      <c r="E57" s="53">
        <v>0</v>
      </c>
      <c r="F57" s="53">
        <v>0</v>
      </c>
      <c r="G57" s="53">
        <f t="shared" si="3"/>
        <v>0</v>
      </c>
      <c r="H57" s="53">
        <v>0</v>
      </c>
      <c r="I57" s="53">
        <v>0</v>
      </c>
      <c r="J57" s="70" t="s">
        <v>222</v>
      </c>
      <c r="K57" s="71" t="s">
        <v>199</v>
      </c>
      <c r="L57" s="55"/>
    </row>
    <row r="58" spans="1:12" ht="12.75" customHeight="1" thickBot="1" x14ac:dyDescent="0.25">
      <c r="A58" s="53">
        <f t="shared" ref="A58:H58" si="21">SUM(A56:A57)</f>
        <v>782</v>
      </c>
      <c r="B58" s="53">
        <f t="shared" si="21"/>
        <v>0</v>
      </c>
      <c r="C58" s="53">
        <f t="shared" si="21"/>
        <v>782</v>
      </c>
      <c r="D58" s="53">
        <f t="shared" si="21"/>
        <v>11</v>
      </c>
      <c r="E58" s="53">
        <f t="shared" si="21"/>
        <v>0</v>
      </c>
      <c r="F58" s="53">
        <f t="shared" si="21"/>
        <v>11</v>
      </c>
      <c r="G58" s="53">
        <f t="shared" si="21"/>
        <v>771</v>
      </c>
      <c r="H58" s="53">
        <f t="shared" si="21"/>
        <v>0</v>
      </c>
      <c r="I58" s="53">
        <f>SUM(I56:I57)</f>
        <v>771</v>
      </c>
      <c r="J58" s="70" t="s">
        <v>13</v>
      </c>
      <c r="K58" s="72"/>
      <c r="L58" s="55"/>
    </row>
    <row r="59" spans="1:12" ht="12.75" customHeight="1" thickBot="1" x14ac:dyDescent="0.25">
      <c r="A59" s="53">
        <f t="shared" si="0"/>
        <v>196</v>
      </c>
      <c r="B59" s="53">
        <f t="shared" si="1"/>
        <v>0</v>
      </c>
      <c r="C59" s="53">
        <f t="shared" si="1"/>
        <v>196</v>
      </c>
      <c r="D59" s="53">
        <f t="shared" si="2"/>
        <v>0</v>
      </c>
      <c r="E59" s="53">
        <v>0</v>
      </c>
      <c r="F59" s="53">
        <v>0</v>
      </c>
      <c r="G59" s="53">
        <f t="shared" si="3"/>
        <v>196</v>
      </c>
      <c r="H59" s="53">
        <v>0</v>
      </c>
      <c r="I59" s="53">
        <v>196</v>
      </c>
      <c r="J59" s="70" t="s">
        <v>221</v>
      </c>
      <c r="K59" s="71"/>
      <c r="L59" s="55"/>
    </row>
    <row r="60" spans="1:12" ht="12.75" customHeight="1" thickBot="1" x14ac:dyDescent="0.25">
      <c r="A60" s="53">
        <f t="shared" si="0"/>
        <v>0</v>
      </c>
      <c r="B60" s="53">
        <f t="shared" si="1"/>
        <v>0</v>
      </c>
      <c r="C60" s="53">
        <f t="shared" si="1"/>
        <v>0</v>
      </c>
      <c r="D60" s="53">
        <f t="shared" si="2"/>
        <v>0</v>
      </c>
      <c r="E60" s="53">
        <v>0</v>
      </c>
      <c r="F60" s="53">
        <v>0</v>
      </c>
      <c r="G60" s="53">
        <f t="shared" si="3"/>
        <v>0</v>
      </c>
      <c r="H60" s="53">
        <v>0</v>
      </c>
      <c r="I60" s="53">
        <v>0</v>
      </c>
      <c r="J60" s="70" t="s">
        <v>222</v>
      </c>
      <c r="K60" s="71" t="s">
        <v>200</v>
      </c>
      <c r="L60" s="55"/>
    </row>
    <row r="61" spans="1:12" ht="12.75" customHeight="1" thickBot="1" x14ac:dyDescent="0.25">
      <c r="A61" s="53">
        <f t="shared" ref="A61:H61" si="22">SUM(A59:A60)</f>
        <v>196</v>
      </c>
      <c r="B61" s="53">
        <f t="shared" si="22"/>
        <v>0</v>
      </c>
      <c r="C61" s="53">
        <f t="shared" si="22"/>
        <v>196</v>
      </c>
      <c r="D61" s="53">
        <f t="shared" si="22"/>
        <v>0</v>
      </c>
      <c r="E61" s="53">
        <f t="shared" si="22"/>
        <v>0</v>
      </c>
      <c r="F61" s="53">
        <f t="shared" si="22"/>
        <v>0</v>
      </c>
      <c r="G61" s="53">
        <f t="shared" si="22"/>
        <v>196</v>
      </c>
      <c r="H61" s="53">
        <f t="shared" si="22"/>
        <v>0</v>
      </c>
      <c r="I61" s="53">
        <f>SUM(I59:I60)</f>
        <v>196</v>
      </c>
      <c r="J61" s="70" t="s">
        <v>13</v>
      </c>
      <c r="K61" s="72"/>
      <c r="L61" s="55"/>
    </row>
    <row r="62" spans="1:12" ht="12.75" customHeight="1" thickBot="1" x14ac:dyDescent="0.25">
      <c r="A62" s="53">
        <f t="shared" si="0"/>
        <v>9061</v>
      </c>
      <c r="B62" s="53">
        <f t="shared" si="1"/>
        <v>4420</v>
      </c>
      <c r="C62" s="53">
        <f t="shared" si="1"/>
        <v>4641</v>
      </c>
      <c r="D62" s="53">
        <f t="shared" si="2"/>
        <v>383</v>
      </c>
      <c r="E62" s="53">
        <v>231</v>
      </c>
      <c r="F62" s="53">
        <v>152</v>
      </c>
      <c r="G62" s="53">
        <f t="shared" si="3"/>
        <v>8678</v>
      </c>
      <c r="H62" s="53">
        <v>4189</v>
      </c>
      <c r="I62" s="53">
        <f>4989-500</f>
        <v>4489</v>
      </c>
      <c r="J62" s="70" t="s">
        <v>221</v>
      </c>
      <c r="K62" s="71"/>
      <c r="L62" s="55"/>
    </row>
    <row r="63" spans="1:12" ht="12.75" customHeight="1" thickBot="1" x14ac:dyDescent="0.25">
      <c r="A63" s="53">
        <f t="shared" si="0"/>
        <v>151</v>
      </c>
      <c r="B63" s="53">
        <f t="shared" si="1"/>
        <v>0</v>
      </c>
      <c r="C63" s="53">
        <f t="shared" si="1"/>
        <v>151</v>
      </c>
      <c r="D63" s="53">
        <f t="shared" si="2"/>
        <v>0</v>
      </c>
      <c r="E63" s="53">
        <v>0</v>
      </c>
      <c r="F63" s="53">
        <v>0</v>
      </c>
      <c r="G63" s="53">
        <f t="shared" si="3"/>
        <v>151</v>
      </c>
      <c r="H63" s="53">
        <v>0</v>
      </c>
      <c r="I63" s="53">
        <v>151</v>
      </c>
      <c r="J63" s="70" t="s">
        <v>222</v>
      </c>
      <c r="K63" s="71" t="s">
        <v>201</v>
      </c>
      <c r="L63" s="55"/>
    </row>
    <row r="64" spans="1:12" ht="12.75" customHeight="1" thickBot="1" x14ac:dyDescent="0.25">
      <c r="A64" s="53">
        <f t="shared" ref="A64:H64" si="23">SUM(A62:A63)</f>
        <v>9212</v>
      </c>
      <c r="B64" s="53">
        <f t="shared" si="23"/>
        <v>4420</v>
      </c>
      <c r="C64" s="53">
        <f t="shared" si="23"/>
        <v>4792</v>
      </c>
      <c r="D64" s="53">
        <f t="shared" si="23"/>
        <v>383</v>
      </c>
      <c r="E64" s="53">
        <f t="shared" si="23"/>
        <v>231</v>
      </c>
      <c r="F64" s="53">
        <f t="shared" si="23"/>
        <v>152</v>
      </c>
      <c r="G64" s="53">
        <f t="shared" si="23"/>
        <v>8829</v>
      </c>
      <c r="H64" s="53">
        <f t="shared" si="23"/>
        <v>4189</v>
      </c>
      <c r="I64" s="53">
        <f>SUM(I62:I63)</f>
        <v>4640</v>
      </c>
      <c r="J64" s="70" t="s">
        <v>13</v>
      </c>
      <c r="K64" s="72"/>
      <c r="L64" s="55"/>
    </row>
    <row r="65" spans="1:12" ht="12.75" customHeight="1" thickBot="1" x14ac:dyDescent="0.25">
      <c r="A65" s="53">
        <f t="shared" si="0"/>
        <v>2181</v>
      </c>
      <c r="B65" s="53">
        <f t="shared" si="1"/>
        <v>1403</v>
      </c>
      <c r="C65" s="53">
        <f t="shared" si="1"/>
        <v>778</v>
      </c>
      <c r="D65" s="53">
        <f t="shared" si="2"/>
        <v>61</v>
      </c>
      <c r="E65" s="53">
        <v>22</v>
      </c>
      <c r="F65" s="53">
        <v>39</v>
      </c>
      <c r="G65" s="53">
        <f t="shared" si="3"/>
        <v>2120</v>
      </c>
      <c r="H65" s="53">
        <v>1381</v>
      </c>
      <c r="I65" s="53">
        <v>739</v>
      </c>
      <c r="J65" s="70" t="s">
        <v>221</v>
      </c>
      <c r="K65" s="71"/>
      <c r="L65" s="55"/>
    </row>
    <row r="66" spans="1:12" ht="12.75" customHeight="1" thickBot="1" x14ac:dyDescent="0.25">
      <c r="A66" s="53">
        <f t="shared" si="0"/>
        <v>0</v>
      </c>
      <c r="B66" s="53">
        <f t="shared" si="1"/>
        <v>0</v>
      </c>
      <c r="C66" s="53">
        <f t="shared" si="1"/>
        <v>0</v>
      </c>
      <c r="D66" s="53">
        <f t="shared" si="2"/>
        <v>0</v>
      </c>
      <c r="E66" s="53">
        <v>0</v>
      </c>
      <c r="F66" s="53">
        <v>0</v>
      </c>
      <c r="G66" s="53">
        <f t="shared" si="3"/>
        <v>0</v>
      </c>
      <c r="H66" s="53">
        <v>0</v>
      </c>
      <c r="I66" s="53">
        <v>0</v>
      </c>
      <c r="J66" s="70" t="s">
        <v>222</v>
      </c>
      <c r="K66" s="71" t="s">
        <v>202</v>
      </c>
      <c r="L66" s="55"/>
    </row>
    <row r="67" spans="1:12" ht="12.75" customHeight="1" thickBot="1" x14ac:dyDescent="0.25">
      <c r="A67" s="53">
        <f t="shared" ref="A67:H67" si="24">SUM(A65:A66)</f>
        <v>2181</v>
      </c>
      <c r="B67" s="53">
        <f t="shared" si="24"/>
        <v>1403</v>
      </c>
      <c r="C67" s="53">
        <f t="shared" si="24"/>
        <v>778</v>
      </c>
      <c r="D67" s="53">
        <f t="shared" si="24"/>
        <v>61</v>
      </c>
      <c r="E67" s="53">
        <f t="shared" si="24"/>
        <v>22</v>
      </c>
      <c r="F67" s="53">
        <f t="shared" si="24"/>
        <v>39</v>
      </c>
      <c r="G67" s="53">
        <f t="shared" si="24"/>
        <v>2120</v>
      </c>
      <c r="H67" s="53">
        <f t="shared" si="24"/>
        <v>1381</v>
      </c>
      <c r="I67" s="53">
        <f>SUM(I65:I66)</f>
        <v>739</v>
      </c>
      <c r="J67" s="70" t="s">
        <v>13</v>
      </c>
      <c r="K67" s="72"/>
      <c r="L67" s="55"/>
    </row>
    <row r="68" spans="1:12" ht="12.75" customHeight="1" thickBot="1" x14ac:dyDescent="0.25">
      <c r="A68" s="53">
        <f t="shared" si="0"/>
        <v>98</v>
      </c>
      <c r="B68" s="53">
        <f t="shared" si="1"/>
        <v>0</v>
      </c>
      <c r="C68" s="53">
        <f t="shared" si="1"/>
        <v>98</v>
      </c>
      <c r="D68" s="53">
        <f t="shared" si="2"/>
        <v>0</v>
      </c>
      <c r="E68" s="53">
        <v>0</v>
      </c>
      <c r="F68" s="53">
        <v>0</v>
      </c>
      <c r="G68" s="53">
        <f t="shared" si="3"/>
        <v>98</v>
      </c>
      <c r="H68" s="53">
        <v>0</v>
      </c>
      <c r="I68" s="53">
        <v>98</v>
      </c>
      <c r="J68" s="70" t="s">
        <v>221</v>
      </c>
      <c r="K68" s="71"/>
      <c r="L68" s="55"/>
    </row>
    <row r="69" spans="1:12" ht="12.75" customHeight="1" thickBot="1" x14ac:dyDescent="0.25">
      <c r="A69" s="53">
        <f t="shared" si="0"/>
        <v>0</v>
      </c>
      <c r="B69" s="53">
        <f t="shared" si="1"/>
        <v>0</v>
      </c>
      <c r="C69" s="53">
        <f t="shared" si="1"/>
        <v>0</v>
      </c>
      <c r="D69" s="53">
        <f t="shared" si="2"/>
        <v>0</v>
      </c>
      <c r="E69" s="53">
        <v>0</v>
      </c>
      <c r="F69" s="53">
        <v>0</v>
      </c>
      <c r="G69" s="53">
        <f t="shared" si="3"/>
        <v>0</v>
      </c>
      <c r="H69" s="53">
        <v>0</v>
      </c>
      <c r="I69" s="53">
        <v>0</v>
      </c>
      <c r="J69" s="70" t="s">
        <v>222</v>
      </c>
      <c r="K69" s="71" t="s">
        <v>203</v>
      </c>
      <c r="L69" s="55"/>
    </row>
    <row r="70" spans="1:12" ht="12.75" customHeight="1" thickBot="1" x14ac:dyDescent="0.25">
      <c r="A70" s="53">
        <f t="shared" ref="A70:H70" si="25">SUM(A68:A69)</f>
        <v>98</v>
      </c>
      <c r="B70" s="53">
        <f t="shared" si="25"/>
        <v>0</v>
      </c>
      <c r="C70" s="53">
        <f t="shared" si="25"/>
        <v>98</v>
      </c>
      <c r="D70" s="53">
        <f t="shared" si="25"/>
        <v>0</v>
      </c>
      <c r="E70" s="53">
        <f t="shared" si="25"/>
        <v>0</v>
      </c>
      <c r="F70" s="53">
        <f t="shared" si="25"/>
        <v>0</v>
      </c>
      <c r="G70" s="53">
        <f t="shared" si="25"/>
        <v>98</v>
      </c>
      <c r="H70" s="53">
        <f t="shared" si="25"/>
        <v>0</v>
      </c>
      <c r="I70" s="53">
        <f>SUM(I68:I69)</f>
        <v>98</v>
      </c>
      <c r="J70" s="70" t="s">
        <v>13</v>
      </c>
      <c r="K70" s="72"/>
      <c r="L70" s="55"/>
    </row>
    <row r="71" spans="1:12" ht="12.75" customHeight="1" thickBot="1" x14ac:dyDescent="0.25">
      <c r="A71" s="53">
        <f t="shared" ref="A71:A72" si="26">SUM(B71:C71)</f>
        <v>2263</v>
      </c>
      <c r="B71" s="53">
        <f t="shared" ref="B71:C72" si="27">H71+E71</f>
        <v>1126</v>
      </c>
      <c r="C71" s="53">
        <f t="shared" si="27"/>
        <v>1137</v>
      </c>
      <c r="D71" s="53">
        <f t="shared" ref="D71:D72" si="28">SUM(E71:F71)</f>
        <v>74</v>
      </c>
      <c r="E71" s="53">
        <v>59</v>
      </c>
      <c r="F71" s="53">
        <v>15</v>
      </c>
      <c r="G71" s="53">
        <f t="shared" ref="G71:G72" si="29">SUM(H71:I71)</f>
        <v>2189</v>
      </c>
      <c r="H71" s="53">
        <f>1565-498</f>
        <v>1067</v>
      </c>
      <c r="I71" s="53">
        <f>1167-45</f>
        <v>1122</v>
      </c>
      <c r="J71" s="70" t="s">
        <v>221</v>
      </c>
      <c r="K71" s="71"/>
      <c r="L71" s="55"/>
    </row>
    <row r="72" spans="1:12" ht="12.75" customHeight="1" thickBot="1" x14ac:dyDescent="0.25">
      <c r="A72" s="53">
        <f t="shared" si="26"/>
        <v>0</v>
      </c>
      <c r="B72" s="53">
        <f t="shared" si="27"/>
        <v>0</v>
      </c>
      <c r="C72" s="53">
        <f t="shared" si="27"/>
        <v>0</v>
      </c>
      <c r="D72" s="53">
        <f t="shared" si="28"/>
        <v>0</v>
      </c>
      <c r="E72" s="53">
        <v>0</v>
      </c>
      <c r="F72" s="53">
        <v>0</v>
      </c>
      <c r="G72" s="53">
        <f t="shared" si="29"/>
        <v>0</v>
      </c>
      <c r="H72" s="53">
        <v>0</v>
      </c>
      <c r="I72" s="53">
        <v>0</v>
      </c>
      <c r="J72" s="70" t="s">
        <v>222</v>
      </c>
      <c r="K72" s="71" t="s">
        <v>57</v>
      </c>
      <c r="L72" s="55"/>
    </row>
    <row r="73" spans="1:12" ht="12.75" customHeight="1" thickBot="1" x14ac:dyDescent="0.25">
      <c r="A73" s="53">
        <f t="shared" ref="A73:H73" si="30">SUM(A71:A72)</f>
        <v>2263</v>
      </c>
      <c r="B73" s="53">
        <f t="shared" si="30"/>
        <v>1126</v>
      </c>
      <c r="C73" s="53">
        <f t="shared" si="30"/>
        <v>1137</v>
      </c>
      <c r="D73" s="53">
        <f t="shared" si="30"/>
        <v>74</v>
      </c>
      <c r="E73" s="53">
        <f t="shared" si="30"/>
        <v>59</v>
      </c>
      <c r="F73" s="53">
        <f t="shared" si="30"/>
        <v>15</v>
      </c>
      <c r="G73" s="53">
        <f t="shared" si="30"/>
        <v>2189</v>
      </c>
      <c r="H73" s="53">
        <f t="shared" si="30"/>
        <v>1067</v>
      </c>
      <c r="I73" s="53">
        <f>SUM(I71:I72)</f>
        <v>1122</v>
      </c>
      <c r="J73" s="70" t="s">
        <v>13</v>
      </c>
      <c r="K73" s="72"/>
      <c r="L73" s="55"/>
    </row>
    <row r="74" spans="1:12" ht="12.75" customHeight="1" thickBot="1" x14ac:dyDescent="0.25">
      <c r="A74" s="53">
        <f t="shared" ref="A74:I76" si="31">A5+A8+A11+A14+A17+A20+A23+A26+A29+A32+A35+A38+A41+A44+A47+A50+A53+A56+A59+A62+A65+A68+A71</f>
        <v>146905</v>
      </c>
      <c r="B74" s="53">
        <f t="shared" si="31"/>
        <v>79221</v>
      </c>
      <c r="C74" s="53">
        <f t="shared" si="31"/>
        <v>67684</v>
      </c>
      <c r="D74" s="53">
        <f t="shared" si="31"/>
        <v>4548</v>
      </c>
      <c r="E74" s="53">
        <f t="shared" si="31"/>
        <v>1668</v>
      </c>
      <c r="F74" s="53">
        <f t="shared" si="31"/>
        <v>2880</v>
      </c>
      <c r="G74" s="53">
        <f t="shared" si="31"/>
        <v>142357</v>
      </c>
      <c r="H74" s="53">
        <f t="shared" si="31"/>
        <v>77553</v>
      </c>
      <c r="I74" s="53">
        <f>I5+I8+I11+I14+I17+I20+I23+I26+I29+I32+I35+I38+I41+I44+I47+I50+I53+I56+I59+I62+I65+I68+I71</f>
        <v>64804</v>
      </c>
      <c r="J74" s="70" t="s">
        <v>224</v>
      </c>
      <c r="K74" s="50"/>
      <c r="L74" s="55"/>
    </row>
    <row r="75" spans="1:12" ht="12.75" customHeight="1" thickBot="1" x14ac:dyDescent="0.25">
      <c r="A75" s="53">
        <f t="shared" si="31"/>
        <v>41486</v>
      </c>
      <c r="B75" s="53">
        <f t="shared" si="31"/>
        <v>29372</v>
      </c>
      <c r="C75" s="53">
        <f t="shared" si="31"/>
        <v>12114</v>
      </c>
      <c r="D75" s="53">
        <f t="shared" si="31"/>
        <v>629</v>
      </c>
      <c r="E75" s="53">
        <f t="shared" si="31"/>
        <v>399</v>
      </c>
      <c r="F75" s="53">
        <f t="shared" si="31"/>
        <v>230</v>
      </c>
      <c r="G75" s="53">
        <f t="shared" si="31"/>
        <v>40857</v>
      </c>
      <c r="H75" s="53">
        <f t="shared" si="31"/>
        <v>28973</v>
      </c>
      <c r="I75" s="53">
        <f t="shared" si="31"/>
        <v>11884</v>
      </c>
      <c r="J75" s="70" t="s">
        <v>225</v>
      </c>
      <c r="K75" s="73" t="s">
        <v>211</v>
      </c>
      <c r="L75" s="55"/>
    </row>
    <row r="76" spans="1:12" ht="12.75" customHeight="1" thickBot="1" x14ac:dyDescent="0.25">
      <c r="A76" s="53">
        <f t="shared" si="31"/>
        <v>188391</v>
      </c>
      <c r="B76" s="53">
        <f t="shared" si="31"/>
        <v>108593</v>
      </c>
      <c r="C76" s="53">
        <f t="shared" si="31"/>
        <v>79798</v>
      </c>
      <c r="D76" s="53">
        <f t="shared" si="31"/>
        <v>5177</v>
      </c>
      <c r="E76" s="53">
        <f t="shared" si="31"/>
        <v>2067</v>
      </c>
      <c r="F76" s="53">
        <f t="shared" si="31"/>
        <v>3110</v>
      </c>
      <c r="G76" s="53">
        <f t="shared" si="31"/>
        <v>183214</v>
      </c>
      <c r="H76" s="53">
        <f t="shared" si="31"/>
        <v>106526</v>
      </c>
      <c r="I76" s="53">
        <f t="shared" si="31"/>
        <v>76688</v>
      </c>
      <c r="J76" s="70" t="s">
        <v>13</v>
      </c>
      <c r="K76" s="52"/>
      <c r="L76" s="55"/>
    </row>
    <row r="84" spans="1:9" ht="12.75" customHeight="1" x14ac:dyDescent="0.25">
      <c r="A84" s="64"/>
      <c r="B84" s="64"/>
      <c r="C84" s="64"/>
      <c r="D84" s="64"/>
      <c r="E84" s="64"/>
      <c r="F84" s="64"/>
      <c r="G84" s="64"/>
      <c r="H84" s="64"/>
      <c r="I84" s="64"/>
    </row>
    <row r="85" spans="1:9" ht="12.75" customHeight="1" x14ac:dyDescent="0.25">
      <c r="A85" s="64"/>
      <c r="B85" s="64"/>
      <c r="C85" s="64"/>
      <c r="D85" s="64"/>
      <c r="E85" s="64"/>
      <c r="F85" s="64"/>
      <c r="G85" s="64"/>
      <c r="H85" s="64"/>
      <c r="I85" s="64"/>
    </row>
    <row r="86" spans="1:9" ht="12.75" customHeight="1" x14ac:dyDescent="0.25">
      <c r="A86" s="64"/>
      <c r="B86" s="64"/>
      <c r="C86" s="64"/>
      <c r="D86" s="64"/>
      <c r="E86" s="64"/>
      <c r="F86" s="64"/>
      <c r="G86" s="64"/>
      <c r="H86" s="64"/>
      <c r="I86" s="64"/>
    </row>
  </sheetData>
  <mergeCells count="7">
    <mergeCell ref="J4:K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scale="58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51"/>
  <sheetViews>
    <sheetView showGridLines="0" topLeftCell="A34" workbookViewId="0">
      <selection activeCell="G33" sqref="G33"/>
    </sheetView>
  </sheetViews>
  <sheetFormatPr defaultRowHeight="12.75" x14ac:dyDescent="0.2"/>
  <cols>
    <col min="1" max="9" width="7.75" style="56" customWidth="1"/>
    <col min="10" max="10" width="7.75" style="56" bestFit="1" customWidth="1"/>
    <col min="11" max="11" width="31.25" style="56" bestFit="1" customWidth="1"/>
    <col min="12" max="12" width="3.625" style="56" customWidth="1"/>
    <col min="13" max="256" width="9" style="56"/>
    <col min="257" max="265" width="7.75" style="56" customWidth="1"/>
    <col min="266" max="266" width="7.75" style="56" bestFit="1" customWidth="1"/>
    <col min="267" max="267" width="31.25" style="56" bestFit="1" customWidth="1"/>
    <col min="268" max="268" width="3.625" style="56" customWidth="1"/>
    <col min="269" max="512" width="9" style="56"/>
    <col min="513" max="521" width="7.75" style="56" customWidth="1"/>
    <col min="522" max="522" width="7.75" style="56" bestFit="1" customWidth="1"/>
    <col min="523" max="523" width="31.25" style="56" bestFit="1" customWidth="1"/>
    <col min="524" max="524" width="3.625" style="56" customWidth="1"/>
    <col min="525" max="768" width="9" style="56"/>
    <col min="769" max="777" width="7.75" style="56" customWidth="1"/>
    <col min="778" max="778" width="7.75" style="56" bestFit="1" customWidth="1"/>
    <col min="779" max="779" width="31.25" style="56" bestFit="1" customWidth="1"/>
    <col min="780" max="780" width="3.625" style="56" customWidth="1"/>
    <col min="781" max="1024" width="9" style="56"/>
    <col min="1025" max="1033" width="7.75" style="56" customWidth="1"/>
    <col min="1034" max="1034" width="7.75" style="56" bestFit="1" customWidth="1"/>
    <col min="1035" max="1035" width="31.25" style="56" bestFit="1" customWidth="1"/>
    <col min="1036" max="1036" width="3.625" style="56" customWidth="1"/>
    <col min="1037" max="1280" width="9" style="56"/>
    <col min="1281" max="1289" width="7.75" style="56" customWidth="1"/>
    <col min="1290" max="1290" width="7.75" style="56" bestFit="1" customWidth="1"/>
    <col min="1291" max="1291" width="31.25" style="56" bestFit="1" customWidth="1"/>
    <col min="1292" max="1292" width="3.625" style="56" customWidth="1"/>
    <col min="1293" max="1536" width="9" style="56"/>
    <col min="1537" max="1545" width="7.75" style="56" customWidth="1"/>
    <col min="1546" max="1546" width="7.75" style="56" bestFit="1" customWidth="1"/>
    <col min="1547" max="1547" width="31.25" style="56" bestFit="1" customWidth="1"/>
    <col min="1548" max="1548" width="3.625" style="56" customWidth="1"/>
    <col min="1549" max="1792" width="9" style="56"/>
    <col min="1793" max="1801" width="7.75" style="56" customWidth="1"/>
    <col min="1802" max="1802" width="7.75" style="56" bestFit="1" customWidth="1"/>
    <col min="1803" max="1803" width="31.25" style="56" bestFit="1" customWidth="1"/>
    <col min="1804" max="1804" width="3.625" style="56" customWidth="1"/>
    <col min="1805" max="2048" width="9" style="56"/>
    <col min="2049" max="2057" width="7.75" style="56" customWidth="1"/>
    <col min="2058" max="2058" width="7.75" style="56" bestFit="1" customWidth="1"/>
    <col min="2059" max="2059" width="31.25" style="56" bestFit="1" customWidth="1"/>
    <col min="2060" max="2060" width="3.625" style="56" customWidth="1"/>
    <col min="2061" max="2304" width="9" style="56"/>
    <col min="2305" max="2313" width="7.75" style="56" customWidth="1"/>
    <col min="2314" max="2314" width="7.75" style="56" bestFit="1" customWidth="1"/>
    <col min="2315" max="2315" width="31.25" style="56" bestFit="1" customWidth="1"/>
    <col min="2316" max="2316" width="3.625" style="56" customWidth="1"/>
    <col min="2317" max="2560" width="9" style="56"/>
    <col min="2561" max="2569" width="7.75" style="56" customWidth="1"/>
    <col min="2570" max="2570" width="7.75" style="56" bestFit="1" customWidth="1"/>
    <col min="2571" max="2571" width="31.25" style="56" bestFit="1" customWidth="1"/>
    <col min="2572" max="2572" width="3.625" style="56" customWidth="1"/>
    <col min="2573" max="2816" width="9" style="56"/>
    <col min="2817" max="2825" width="7.75" style="56" customWidth="1"/>
    <col min="2826" max="2826" width="7.75" style="56" bestFit="1" customWidth="1"/>
    <col min="2827" max="2827" width="31.25" style="56" bestFit="1" customWidth="1"/>
    <col min="2828" max="2828" width="3.625" style="56" customWidth="1"/>
    <col min="2829" max="3072" width="9" style="56"/>
    <col min="3073" max="3081" width="7.75" style="56" customWidth="1"/>
    <col min="3082" max="3082" width="7.75" style="56" bestFit="1" customWidth="1"/>
    <col min="3083" max="3083" width="31.25" style="56" bestFit="1" customWidth="1"/>
    <col min="3084" max="3084" width="3.625" style="56" customWidth="1"/>
    <col min="3085" max="3328" width="9" style="56"/>
    <col min="3329" max="3337" width="7.75" style="56" customWidth="1"/>
    <col min="3338" max="3338" width="7.75" style="56" bestFit="1" customWidth="1"/>
    <col min="3339" max="3339" width="31.25" style="56" bestFit="1" customWidth="1"/>
    <col min="3340" max="3340" width="3.625" style="56" customWidth="1"/>
    <col min="3341" max="3584" width="9" style="56"/>
    <col min="3585" max="3593" width="7.75" style="56" customWidth="1"/>
    <col min="3594" max="3594" width="7.75" style="56" bestFit="1" customWidth="1"/>
    <col min="3595" max="3595" width="31.25" style="56" bestFit="1" customWidth="1"/>
    <col min="3596" max="3596" width="3.625" style="56" customWidth="1"/>
    <col min="3597" max="3840" width="9" style="56"/>
    <col min="3841" max="3849" width="7.75" style="56" customWidth="1"/>
    <col min="3850" max="3850" width="7.75" style="56" bestFit="1" customWidth="1"/>
    <col min="3851" max="3851" width="31.25" style="56" bestFit="1" customWidth="1"/>
    <col min="3852" max="3852" width="3.625" style="56" customWidth="1"/>
    <col min="3853" max="4096" width="9" style="56"/>
    <col min="4097" max="4105" width="7.75" style="56" customWidth="1"/>
    <col min="4106" max="4106" width="7.75" style="56" bestFit="1" customWidth="1"/>
    <col min="4107" max="4107" width="31.25" style="56" bestFit="1" customWidth="1"/>
    <col min="4108" max="4108" width="3.625" style="56" customWidth="1"/>
    <col min="4109" max="4352" width="9" style="56"/>
    <col min="4353" max="4361" width="7.75" style="56" customWidth="1"/>
    <col min="4362" max="4362" width="7.75" style="56" bestFit="1" customWidth="1"/>
    <col min="4363" max="4363" width="31.25" style="56" bestFit="1" customWidth="1"/>
    <col min="4364" max="4364" width="3.625" style="56" customWidth="1"/>
    <col min="4365" max="4608" width="9" style="56"/>
    <col min="4609" max="4617" width="7.75" style="56" customWidth="1"/>
    <col min="4618" max="4618" width="7.75" style="56" bestFit="1" customWidth="1"/>
    <col min="4619" max="4619" width="31.25" style="56" bestFit="1" customWidth="1"/>
    <col min="4620" max="4620" width="3.625" style="56" customWidth="1"/>
    <col min="4621" max="4864" width="9" style="56"/>
    <col min="4865" max="4873" width="7.75" style="56" customWidth="1"/>
    <col min="4874" max="4874" width="7.75" style="56" bestFit="1" customWidth="1"/>
    <col min="4875" max="4875" width="31.25" style="56" bestFit="1" customWidth="1"/>
    <col min="4876" max="4876" width="3.625" style="56" customWidth="1"/>
    <col min="4877" max="5120" width="9" style="56"/>
    <col min="5121" max="5129" width="7.75" style="56" customWidth="1"/>
    <col min="5130" max="5130" width="7.75" style="56" bestFit="1" customWidth="1"/>
    <col min="5131" max="5131" width="31.25" style="56" bestFit="1" customWidth="1"/>
    <col min="5132" max="5132" width="3.625" style="56" customWidth="1"/>
    <col min="5133" max="5376" width="9" style="56"/>
    <col min="5377" max="5385" width="7.75" style="56" customWidth="1"/>
    <col min="5386" max="5386" width="7.75" style="56" bestFit="1" customWidth="1"/>
    <col min="5387" max="5387" width="31.25" style="56" bestFit="1" customWidth="1"/>
    <col min="5388" max="5388" width="3.625" style="56" customWidth="1"/>
    <col min="5389" max="5632" width="9" style="56"/>
    <col min="5633" max="5641" width="7.75" style="56" customWidth="1"/>
    <col min="5642" max="5642" width="7.75" style="56" bestFit="1" customWidth="1"/>
    <col min="5643" max="5643" width="31.25" style="56" bestFit="1" customWidth="1"/>
    <col min="5644" max="5644" width="3.625" style="56" customWidth="1"/>
    <col min="5645" max="5888" width="9" style="56"/>
    <col min="5889" max="5897" width="7.75" style="56" customWidth="1"/>
    <col min="5898" max="5898" width="7.75" style="56" bestFit="1" customWidth="1"/>
    <col min="5899" max="5899" width="31.25" style="56" bestFit="1" customWidth="1"/>
    <col min="5900" max="5900" width="3.625" style="56" customWidth="1"/>
    <col min="5901" max="6144" width="9" style="56"/>
    <col min="6145" max="6153" width="7.75" style="56" customWidth="1"/>
    <col min="6154" max="6154" width="7.75" style="56" bestFit="1" customWidth="1"/>
    <col min="6155" max="6155" width="31.25" style="56" bestFit="1" customWidth="1"/>
    <col min="6156" max="6156" width="3.625" style="56" customWidth="1"/>
    <col min="6157" max="6400" width="9" style="56"/>
    <col min="6401" max="6409" width="7.75" style="56" customWidth="1"/>
    <col min="6410" max="6410" width="7.75" style="56" bestFit="1" customWidth="1"/>
    <col min="6411" max="6411" width="31.25" style="56" bestFit="1" customWidth="1"/>
    <col min="6412" max="6412" width="3.625" style="56" customWidth="1"/>
    <col min="6413" max="6656" width="9" style="56"/>
    <col min="6657" max="6665" width="7.75" style="56" customWidth="1"/>
    <col min="6666" max="6666" width="7.75" style="56" bestFit="1" customWidth="1"/>
    <col min="6667" max="6667" width="31.25" style="56" bestFit="1" customWidth="1"/>
    <col min="6668" max="6668" width="3.625" style="56" customWidth="1"/>
    <col min="6669" max="6912" width="9" style="56"/>
    <col min="6913" max="6921" width="7.75" style="56" customWidth="1"/>
    <col min="6922" max="6922" width="7.75" style="56" bestFit="1" customWidth="1"/>
    <col min="6923" max="6923" width="31.25" style="56" bestFit="1" customWidth="1"/>
    <col min="6924" max="6924" width="3.625" style="56" customWidth="1"/>
    <col min="6925" max="7168" width="9" style="56"/>
    <col min="7169" max="7177" width="7.75" style="56" customWidth="1"/>
    <col min="7178" max="7178" width="7.75" style="56" bestFit="1" customWidth="1"/>
    <col min="7179" max="7179" width="31.25" style="56" bestFit="1" customWidth="1"/>
    <col min="7180" max="7180" width="3.625" style="56" customWidth="1"/>
    <col min="7181" max="7424" width="9" style="56"/>
    <col min="7425" max="7433" width="7.75" style="56" customWidth="1"/>
    <col min="7434" max="7434" width="7.75" style="56" bestFit="1" customWidth="1"/>
    <col min="7435" max="7435" width="31.25" style="56" bestFit="1" customWidth="1"/>
    <col min="7436" max="7436" width="3.625" style="56" customWidth="1"/>
    <col min="7437" max="7680" width="9" style="56"/>
    <col min="7681" max="7689" width="7.75" style="56" customWidth="1"/>
    <col min="7690" max="7690" width="7.75" style="56" bestFit="1" customWidth="1"/>
    <col min="7691" max="7691" width="31.25" style="56" bestFit="1" customWidth="1"/>
    <col min="7692" max="7692" width="3.625" style="56" customWidth="1"/>
    <col min="7693" max="7936" width="9" style="56"/>
    <col min="7937" max="7945" width="7.75" style="56" customWidth="1"/>
    <col min="7946" max="7946" width="7.75" style="56" bestFit="1" customWidth="1"/>
    <col min="7947" max="7947" width="31.25" style="56" bestFit="1" customWidth="1"/>
    <col min="7948" max="7948" width="3.625" style="56" customWidth="1"/>
    <col min="7949" max="8192" width="9" style="56"/>
    <col min="8193" max="8201" width="7.75" style="56" customWidth="1"/>
    <col min="8202" max="8202" width="7.75" style="56" bestFit="1" customWidth="1"/>
    <col min="8203" max="8203" width="31.25" style="56" bestFit="1" customWidth="1"/>
    <col min="8204" max="8204" width="3.625" style="56" customWidth="1"/>
    <col min="8205" max="8448" width="9" style="56"/>
    <col min="8449" max="8457" width="7.75" style="56" customWidth="1"/>
    <col min="8458" max="8458" width="7.75" style="56" bestFit="1" customWidth="1"/>
    <col min="8459" max="8459" width="31.25" style="56" bestFit="1" customWidth="1"/>
    <col min="8460" max="8460" width="3.625" style="56" customWidth="1"/>
    <col min="8461" max="8704" width="9" style="56"/>
    <col min="8705" max="8713" width="7.75" style="56" customWidth="1"/>
    <col min="8714" max="8714" width="7.75" style="56" bestFit="1" customWidth="1"/>
    <col min="8715" max="8715" width="31.25" style="56" bestFit="1" customWidth="1"/>
    <col min="8716" max="8716" width="3.625" style="56" customWidth="1"/>
    <col min="8717" max="8960" width="9" style="56"/>
    <col min="8961" max="8969" width="7.75" style="56" customWidth="1"/>
    <col min="8970" max="8970" width="7.75" style="56" bestFit="1" customWidth="1"/>
    <col min="8971" max="8971" width="31.25" style="56" bestFit="1" customWidth="1"/>
    <col min="8972" max="8972" width="3.625" style="56" customWidth="1"/>
    <col min="8973" max="9216" width="9" style="56"/>
    <col min="9217" max="9225" width="7.75" style="56" customWidth="1"/>
    <col min="9226" max="9226" width="7.75" style="56" bestFit="1" customWidth="1"/>
    <col min="9227" max="9227" width="31.25" style="56" bestFit="1" customWidth="1"/>
    <col min="9228" max="9228" width="3.625" style="56" customWidth="1"/>
    <col min="9229" max="9472" width="9" style="56"/>
    <col min="9473" max="9481" width="7.75" style="56" customWidth="1"/>
    <col min="9482" max="9482" width="7.75" style="56" bestFit="1" customWidth="1"/>
    <col min="9483" max="9483" width="31.25" style="56" bestFit="1" customWidth="1"/>
    <col min="9484" max="9484" width="3.625" style="56" customWidth="1"/>
    <col min="9485" max="9728" width="9" style="56"/>
    <col min="9729" max="9737" width="7.75" style="56" customWidth="1"/>
    <col min="9738" max="9738" width="7.75" style="56" bestFit="1" customWidth="1"/>
    <col min="9739" max="9739" width="31.25" style="56" bestFit="1" customWidth="1"/>
    <col min="9740" max="9740" width="3.625" style="56" customWidth="1"/>
    <col min="9741" max="9984" width="9" style="56"/>
    <col min="9985" max="9993" width="7.75" style="56" customWidth="1"/>
    <col min="9994" max="9994" width="7.75" style="56" bestFit="1" customWidth="1"/>
    <col min="9995" max="9995" width="31.25" style="56" bestFit="1" customWidth="1"/>
    <col min="9996" max="9996" width="3.625" style="56" customWidth="1"/>
    <col min="9997" max="10240" width="9" style="56"/>
    <col min="10241" max="10249" width="7.75" style="56" customWidth="1"/>
    <col min="10250" max="10250" width="7.75" style="56" bestFit="1" customWidth="1"/>
    <col min="10251" max="10251" width="31.25" style="56" bestFit="1" customWidth="1"/>
    <col min="10252" max="10252" width="3.625" style="56" customWidth="1"/>
    <col min="10253" max="10496" width="9" style="56"/>
    <col min="10497" max="10505" width="7.75" style="56" customWidth="1"/>
    <col min="10506" max="10506" width="7.75" style="56" bestFit="1" customWidth="1"/>
    <col min="10507" max="10507" width="31.25" style="56" bestFit="1" customWidth="1"/>
    <col min="10508" max="10508" width="3.625" style="56" customWidth="1"/>
    <col min="10509" max="10752" width="9" style="56"/>
    <col min="10753" max="10761" width="7.75" style="56" customWidth="1"/>
    <col min="10762" max="10762" width="7.75" style="56" bestFit="1" customWidth="1"/>
    <col min="10763" max="10763" width="31.25" style="56" bestFit="1" customWidth="1"/>
    <col min="10764" max="10764" width="3.625" style="56" customWidth="1"/>
    <col min="10765" max="11008" width="9" style="56"/>
    <col min="11009" max="11017" width="7.75" style="56" customWidth="1"/>
    <col min="11018" max="11018" width="7.75" style="56" bestFit="1" customWidth="1"/>
    <col min="11019" max="11019" width="31.25" style="56" bestFit="1" customWidth="1"/>
    <col min="11020" max="11020" width="3.625" style="56" customWidth="1"/>
    <col min="11021" max="11264" width="9" style="56"/>
    <col min="11265" max="11273" width="7.75" style="56" customWidth="1"/>
    <col min="11274" max="11274" width="7.75" style="56" bestFit="1" customWidth="1"/>
    <col min="11275" max="11275" width="31.25" style="56" bestFit="1" customWidth="1"/>
    <col min="11276" max="11276" width="3.625" style="56" customWidth="1"/>
    <col min="11277" max="11520" width="9" style="56"/>
    <col min="11521" max="11529" width="7.75" style="56" customWidth="1"/>
    <col min="11530" max="11530" width="7.75" style="56" bestFit="1" customWidth="1"/>
    <col min="11531" max="11531" width="31.25" style="56" bestFit="1" customWidth="1"/>
    <col min="11532" max="11532" width="3.625" style="56" customWidth="1"/>
    <col min="11533" max="11776" width="9" style="56"/>
    <col min="11777" max="11785" width="7.75" style="56" customWidth="1"/>
    <col min="11786" max="11786" width="7.75" style="56" bestFit="1" customWidth="1"/>
    <col min="11787" max="11787" width="31.25" style="56" bestFit="1" customWidth="1"/>
    <col min="11788" max="11788" width="3.625" style="56" customWidth="1"/>
    <col min="11789" max="12032" width="9" style="56"/>
    <col min="12033" max="12041" width="7.75" style="56" customWidth="1"/>
    <col min="12042" max="12042" width="7.75" style="56" bestFit="1" customWidth="1"/>
    <col min="12043" max="12043" width="31.25" style="56" bestFit="1" customWidth="1"/>
    <col min="12044" max="12044" width="3.625" style="56" customWidth="1"/>
    <col min="12045" max="12288" width="9" style="56"/>
    <col min="12289" max="12297" width="7.75" style="56" customWidth="1"/>
    <col min="12298" max="12298" width="7.75" style="56" bestFit="1" customWidth="1"/>
    <col min="12299" max="12299" width="31.25" style="56" bestFit="1" customWidth="1"/>
    <col min="12300" max="12300" width="3.625" style="56" customWidth="1"/>
    <col min="12301" max="12544" width="9" style="56"/>
    <col min="12545" max="12553" width="7.75" style="56" customWidth="1"/>
    <col min="12554" max="12554" width="7.75" style="56" bestFit="1" customWidth="1"/>
    <col min="12555" max="12555" width="31.25" style="56" bestFit="1" customWidth="1"/>
    <col min="12556" max="12556" width="3.625" style="56" customWidth="1"/>
    <col min="12557" max="12800" width="9" style="56"/>
    <col min="12801" max="12809" width="7.75" style="56" customWidth="1"/>
    <col min="12810" max="12810" width="7.75" style="56" bestFit="1" customWidth="1"/>
    <col min="12811" max="12811" width="31.25" style="56" bestFit="1" customWidth="1"/>
    <col min="12812" max="12812" width="3.625" style="56" customWidth="1"/>
    <col min="12813" max="13056" width="9" style="56"/>
    <col min="13057" max="13065" width="7.75" style="56" customWidth="1"/>
    <col min="13066" max="13066" width="7.75" style="56" bestFit="1" customWidth="1"/>
    <col min="13067" max="13067" width="31.25" style="56" bestFit="1" customWidth="1"/>
    <col min="13068" max="13068" width="3.625" style="56" customWidth="1"/>
    <col min="13069" max="13312" width="9" style="56"/>
    <col min="13313" max="13321" width="7.75" style="56" customWidth="1"/>
    <col min="13322" max="13322" width="7.75" style="56" bestFit="1" customWidth="1"/>
    <col min="13323" max="13323" width="31.25" style="56" bestFit="1" customWidth="1"/>
    <col min="13324" max="13324" width="3.625" style="56" customWidth="1"/>
    <col min="13325" max="13568" width="9" style="56"/>
    <col min="13569" max="13577" width="7.75" style="56" customWidth="1"/>
    <col min="13578" max="13578" width="7.75" style="56" bestFit="1" customWidth="1"/>
    <col min="13579" max="13579" width="31.25" style="56" bestFit="1" customWidth="1"/>
    <col min="13580" max="13580" width="3.625" style="56" customWidth="1"/>
    <col min="13581" max="13824" width="9" style="56"/>
    <col min="13825" max="13833" width="7.75" style="56" customWidth="1"/>
    <col min="13834" max="13834" width="7.75" style="56" bestFit="1" customWidth="1"/>
    <col min="13835" max="13835" width="31.25" style="56" bestFit="1" customWidth="1"/>
    <col min="13836" max="13836" width="3.625" style="56" customWidth="1"/>
    <col min="13837" max="14080" width="9" style="56"/>
    <col min="14081" max="14089" width="7.75" style="56" customWidth="1"/>
    <col min="14090" max="14090" width="7.75" style="56" bestFit="1" customWidth="1"/>
    <col min="14091" max="14091" width="31.25" style="56" bestFit="1" customWidth="1"/>
    <col min="14092" max="14092" width="3.625" style="56" customWidth="1"/>
    <col min="14093" max="14336" width="9" style="56"/>
    <col min="14337" max="14345" width="7.75" style="56" customWidth="1"/>
    <col min="14346" max="14346" width="7.75" style="56" bestFit="1" customWidth="1"/>
    <col min="14347" max="14347" width="31.25" style="56" bestFit="1" customWidth="1"/>
    <col min="14348" max="14348" width="3.625" style="56" customWidth="1"/>
    <col min="14349" max="14592" width="9" style="56"/>
    <col min="14593" max="14601" width="7.75" style="56" customWidth="1"/>
    <col min="14602" max="14602" width="7.75" style="56" bestFit="1" customWidth="1"/>
    <col min="14603" max="14603" width="31.25" style="56" bestFit="1" customWidth="1"/>
    <col min="14604" max="14604" width="3.625" style="56" customWidth="1"/>
    <col min="14605" max="14848" width="9" style="56"/>
    <col min="14849" max="14857" width="7.75" style="56" customWidth="1"/>
    <col min="14858" max="14858" width="7.75" style="56" bestFit="1" customWidth="1"/>
    <col min="14859" max="14859" width="31.25" style="56" bestFit="1" customWidth="1"/>
    <col min="14860" max="14860" width="3.625" style="56" customWidth="1"/>
    <col min="14861" max="15104" width="9" style="56"/>
    <col min="15105" max="15113" width="7.75" style="56" customWidth="1"/>
    <col min="15114" max="15114" width="7.75" style="56" bestFit="1" customWidth="1"/>
    <col min="15115" max="15115" width="31.25" style="56" bestFit="1" customWidth="1"/>
    <col min="15116" max="15116" width="3.625" style="56" customWidth="1"/>
    <col min="15117" max="15360" width="9" style="56"/>
    <col min="15361" max="15369" width="7.75" style="56" customWidth="1"/>
    <col min="15370" max="15370" width="7.75" style="56" bestFit="1" customWidth="1"/>
    <col min="15371" max="15371" width="31.25" style="56" bestFit="1" customWidth="1"/>
    <col min="15372" max="15372" width="3.625" style="56" customWidth="1"/>
    <col min="15373" max="15616" width="9" style="56"/>
    <col min="15617" max="15625" width="7.75" style="56" customWidth="1"/>
    <col min="15626" max="15626" width="7.75" style="56" bestFit="1" customWidth="1"/>
    <col min="15627" max="15627" width="31.25" style="56" bestFit="1" customWidth="1"/>
    <col min="15628" max="15628" width="3.625" style="56" customWidth="1"/>
    <col min="15629" max="15872" width="9" style="56"/>
    <col min="15873" max="15881" width="7.75" style="56" customWidth="1"/>
    <col min="15882" max="15882" width="7.75" style="56" bestFit="1" customWidth="1"/>
    <col min="15883" max="15883" width="31.25" style="56" bestFit="1" customWidth="1"/>
    <col min="15884" max="15884" width="3.625" style="56" customWidth="1"/>
    <col min="15885" max="16128" width="9" style="56"/>
    <col min="16129" max="16137" width="7.75" style="56" customWidth="1"/>
    <col min="16138" max="16138" width="7.75" style="56" bestFit="1" customWidth="1"/>
    <col min="16139" max="16139" width="31.25" style="56" bestFit="1" customWidth="1"/>
    <col min="16140" max="16140" width="3.625" style="56" customWidth="1"/>
    <col min="16141" max="16384" width="9" style="56"/>
  </cols>
  <sheetData>
    <row r="1" spans="1:17" ht="20.100000000000001" customHeight="1" x14ac:dyDescent="0.2">
      <c r="A1" s="177" t="s">
        <v>229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7" ht="20.100000000000001" customHeight="1" thickBot="1" x14ac:dyDescent="0.25">
      <c r="A2" s="178" t="s">
        <v>230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7" ht="18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81"/>
      <c r="K3" s="181"/>
      <c r="L3" s="55"/>
    </row>
    <row r="4" spans="1:17" ht="13.5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72</v>
      </c>
      <c r="K4" s="180"/>
      <c r="L4" s="55"/>
    </row>
    <row r="5" spans="1:17" ht="13.5" thickBot="1" x14ac:dyDescent="0.25">
      <c r="A5" s="60">
        <f>SUM(B5:C5)</f>
        <v>152</v>
      </c>
      <c r="B5" s="60">
        <f>H5+E5</f>
        <v>76</v>
      </c>
      <c r="C5" s="60">
        <f>I5+F5</f>
        <v>76</v>
      </c>
      <c r="D5" s="60">
        <f>SUM(E5:F5)</f>
        <v>2</v>
      </c>
      <c r="E5" s="60">
        <v>1</v>
      </c>
      <c r="F5" s="60">
        <v>1</v>
      </c>
      <c r="G5" s="60">
        <f>SUM(H5:I5)</f>
        <v>150</v>
      </c>
      <c r="H5" s="60">
        <v>75</v>
      </c>
      <c r="I5" s="60">
        <v>75</v>
      </c>
      <c r="J5" s="65" t="s">
        <v>61</v>
      </c>
      <c r="K5" s="66"/>
      <c r="L5" s="55"/>
      <c r="M5" s="69"/>
    </row>
    <row r="6" spans="1:17" ht="13.5" thickBot="1" x14ac:dyDescent="0.25">
      <c r="A6" s="60">
        <f t="shared" ref="A6:A43" si="0">SUM(B6:C6)</f>
        <v>723</v>
      </c>
      <c r="B6" s="60">
        <f t="shared" ref="B6:C43" si="1">H6+E6</f>
        <v>257</v>
      </c>
      <c r="C6" s="60">
        <f t="shared" si="1"/>
        <v>466</v>
      </c>
      <c r="D6" s="60">
        <f t="shared" ref="D6:D43" si="2">SUM(E6:F6)</f>
        <v>27</v>
      </c>
      <c r="E6" s="60">
        <v>3</v>
      </c>
      <c r="F6" s="60">
        <v>24</v>
      </c>
      <c r="G6" s="60">
        <f t="shared" ref="G6:G43" si="3">SUM(H6:I6)</f>
        <v>696</v>
      </c>
      <c r="H6" s="60">
        <v>254</v>
      </c>
      <c r="I6" s="60">
        <v>442</v>
      </c>
      <c r="J6" s="65" t="s">
        <v>62</v>
      </c>
      <c r="K6" s="66" t="s">
        <v>74</v>
      </c>
      <c r="L6" s="55"/>
      <c r="M6" s="69"/>
      <c r="P6" s="69"/>
      <c r="Q6" s="69"/>
    </row>
    <row r="7" spans="1:17" ht="13.5" thickBot="1" x14ac:dyDescent="0.25">
      <c r="A7" s="60">
        <f t="shared" si="0"/>
        <v>433</v>
      </c>
      <c r="B7" s="60">
        <f t="shared" si="1"/>
        <v>50</v>
      </c>
      <c r="C7" s="60">
        <f t="shared" si="1"/>
        <v>383</v>
      </c>
      <c r="D7" s="60">
        <f t="shared" si="2"/>
        <v>2</v>
      </c>
      <c r="E7" s="60">
        <v>0</v>
      </c>
      <c r="F7" s="60">
        <v>2</v>
      </c>
      <c r="G7" s="60">
        <f t="shared" si="3"/>
        <v>431</v>
      </c>
      <c r="H7" s="60">
        <v>50</v>
      </c>
      <c r="I7" s="60">
        <v>381</v>
      </c>
      <c r="J7" s="65" t="s">
        <v>64</v>
      </c>
      <c r="K7" s="74"/>
      <c r="L7" s="55"/>
      <c r="P7" s="69"/>
      <c r="Q7" s="69"/>
    </row>
    <row r="8" spans="1:17" ht="13.5" thickBot="1" x14ac:dyDescent="0.25">
      <c r="A8" s="60">
        <f t="shared" si="0"/>
        <v>190</v>
      </c>
      <c r="B8" s="60">
        <f t="shared" si="1"/>
        <v>0</v>
      </c>
      <c r="C8" s="60">
        <f t="shared" si="1"/>
        <v>190</v>
      </c>
      <c r="D8" s="60">
        <f t="shared" si="2"/>
        <v>10</v>
      </c>
      <c r="E8" s="60">
        <v>0</v>
      </c>
      <c r="F8" s="60">
        <v>10</v>
      </c>
      <c r="G8" s="60">
        <f t="shared" si="3"/>
        <v>180</v>
      </c>
      <c r="H8" s="60">
        <v>0</v>
      </c>
      <c r="I8" s="60">
        <v>180</v>
      </c>
      <c r="J8" s="65" t="s">
        <v>61</v>
      </c>
      <c r="K8" s="66"/>
      <c r="L8" s="55"/>
      <c r="M8" s="69"/>
      <c r="P8" s="69"/>
      <c r="Q8" s="69"/>
    </row>
    <row r="9" spans="1:17" ht="13.5" thickBot="1" x14ac:dyDescent="0.25">
      <c r="A9" s="60">
        <f t="shared" si="0"/>
        <v>295</v>
      </c>
      <c r="B9" s="60">
        <f t="shared" si="1"/>
        <v>0</v>
      </c>
      <c r="C9" s="60">
        <f t="shared" si="1"/>
        <v>295</v>
      </c>
      <c r="D9" s="60">
        <f t="shared" si="2"/>
        <v>16</v>
      </c>
      <c r="E9" s="60">
        <v>0</v>
      </c>
      <c r="F9" s="60">
        <v>16</v>
      </c>
      <c r="G9" s="60">
        <f t="shared" si="3"/>
        <v>279</v>
      </c>
      <c r="H9" s="60">
        <v>0</v>
      </c>
      <c r="I9" s="60">
        <v>279</v>
      </c>
      <c r="J9" s="65" t="s">
        <v>62</v>
      </c>
      <c r="K9" s="66" t="s">
        <v>164</v>
      </c>
      <c r="L9" s="55"/>
      <c r="M9" s="69"/>
      <c r="P9" s="69"/>
      <c r="Q9" s="69"/>
    </row>
    <row r="10" spans="1:17" ht="13.5" thickBot="1" x14ac:dyDescent="0.25">
      <c r="A10" s="60">
        <f t="shared" si="0"/>
        <v>48</v>
      </c>
      <c r="B10" s="60">
        <f t="shared" si="1"/>
        <v>0</v>
      </c>
      <c r="C10" s="60">
        <f t="shared" si="1"/>
        <v>48</v>
      </c>
      <c r="D10" s="60">
        <f t="shared" si="2"/>
        <v>48</v>
      </c>
      <c r="E10" s="60">
        <v>0</v>
      </c>
      <c r="F10" s="60">
        <v>48</v>
      </c>
      <c r="G10" s="60">
        <f t="shared" si="3"/>
        <v>0</v>
      </c>
      <c r="H10" s="60">
        <v>0</v>
      </c>
      <c r="I10" s="60">
        <v>0</v>
      </c>
      <c r="J10" s="65" t="s">
        <v>64</v>
      </c>
      <c r="K10" s="74"/>
      <c r="L10" s="55"/>
      <c r="P10" s="69"/>
      <c r="Q10" s="69"/>
    </row>
    <row r="11" spans="1:17" ht="13.5" thickBot="1" x14ac:dyDescent="0.25">
      <c r="A11" s="60">
        <f t="shared" si="0"/>
        <v>245</v>
      </c>
      <c r="B11" s="60">
        <f t="shared" si="1"/>
        <v>44</v>
      </c>
      <c r="C11" s="60">
        <f t="shared" si="1"/>
        <v>201</v>
      </c>
      <c r="D11" s="60">
        <f t="shared" si="2"/>
        <v>0</v>
      </c>
      <c r="E11" s="60">
        <v>0</v>
      </c>
      <c r="F11" s="60">
        <v>0</v>
      </c>
      <c r="G11" s="60">
        <f t="shared" si="3"/>
        <v>245</v>
      </c>
      <c r="H11" s="60">
        <v>44</v>
      </c>
      <c r="I11" s="60">
        <v>201</v>
      </c>
      <c r="J11" s="65" t="s">
        <v>61</v>
      </c>
      <c r="K11" s="66"/>
      <c r="L11" s="55"/>
      <c r="M11" s="69"/>
      <c r="P11" s="69"/>
      <c r="Q11" s="69"/>
    </row>
    <row r="12" spans="1:17" ht="13.5" thickBot="1" x14ac:dyDescent="0.25">
      <c r="A12" s="60">
        <f t="shared" si="0"/>
        <v>1263</v>
      </c>
      <c r="B12" s="60">
        <f t="shared" si="1"/>
        <v>539</v>
      </c>
      <c r="C12" s="60">
        <f t="shared" si="1"/>
        <v>724</v>
      </c>
      <c r="D12" s="60">
        <f t="shared" si="2"/>
        <v>20</v>
      </c>
      <c r="E12" s="60">
        <v>6</v>
      </c>
      <c r="F12" s="60">
        <v>14</v>
      </c>
      <c r="G12" s="60">
        <f t="shared" si="3"/>
        <v>1243</v>
      </c>
      <c r="H12" s="60">
        <v>533</v>
      </c>
      <c r="I12" s="60">
        <v>710</v>
      </c>
      <c r="J12" s="65" t="s">
        <v>62</v>
      </c>
      <c r="K12" s="66" t="s">
        <v>76</v>
      </c>
      <c r="L12" s="55"/>
      <c r="M12" s="69"/>
      <c r="P12" s="69"/>
      <c r="Q12" s="69"/>
    </row>
    <row r="13" spans="1:17" ht="13.5" thickBot="1" x14ac:dyDescent="0.25">
      <c r="A13" s="60">
        <f t="shared" si="0"/>
        <v>218</v>
      </c>
      <c r="B13" s="60">
        <f t="shared" si="1"/>
        <v>34</v>
      </c>
      <c r="C13" s="60">
        <f t="shared" si="1"/>
        <v>184</v>
      </c>
      <c r="D13" s="60">
        <f t="shared" si="2"/>
        <v>42</v>
      </c>
      <c r="E13" s="60">
        <v>1</v>
      </c>
      <c r="F13" s="60">
        <v>41</v>
      </c>
      <c r="G13" s="60">
        <f t="shared" si="3"/>
        <v>176</v>
      </c>
      <c r="H13" s="60">
        <v>33</v>
      </c>
      <c r="I13" s="60">
        <v>143</v>
      </c>
      <c r="J13" s="65" t="s">
        <v>64</v>
      </c>
      <c r="K13" s="74"/>
      <c r="L13" s="55"/>
      <c r="P13" s="69"/>
      <c r="Q13" s="69"/>
    </row>
    <row r="14" spans="1:17" ht="13.5" thickBot="1" x14ac:dyDescent="0.25">
      <c r="A14" s="60">
        <f t="shared" si="0"/>
        <v>128</v>
      </c>
      <c r="B14" s="60">
        <f t="shared" si="1"/>
        <v>52</v>
      </c>
      <c r="C14" s="60">
        <f t="shared" si="1"/>
        <v>76</v>
      </c>
      <c r="D14" s="60">
        <f t="shared" si="2"/>
        <v>10</v>
      </c>
      <c r="E14" s="60">
        <v>2</v>
      </c>
      <c r="F14" s="60">
        <v>8</v>
      </c>
      <c r="G14" s="60">
        <f t="shared" si="3"/>
        <v>118</v>
      </c>
      <c r="H14" s="60">
        <v>50</v>
      </c>
      <c r="I14" s="60">
        <v>68</v>
      </c>
      <c r="J14" s="65" t="s">
        <v>61</v>
      </c>
      <c r="K14" s="66"/>
      <c r="L14" s="55"/>
      <c r="M14" s="69"/>
      <c r="P14" s="69"/>
      <c r="Q14" s="69"/>
    </row>
    <row r="15" spans="1:17" ht="13.5" thickBot="1" x14ac:dyDescent="0.25">
      <c r="A15" s="60">
        <f t="shared" si="0"/>
        <v>1305</v>
      </c>
      <c r="B15" s="60">
        <f t="shared" si="1"/>
        <v>509</v>
      </c>
      <c r="C15" s="60">
        <f t="shared" si="1"/>
        <v>796</v>
      </c>
      <c r="D15" s="60">
        <f t="shared" si="2"/>
        <v>101</v>
      </c>
      <c r="E15" s="60">
        <v>31</v>
      </c>
      <c r="F15" s="60">
        <v>70</v>
      </c>
      <c r="G15" s="60">
        <f t="shared" si="3"/>
        <v>1204</v>
      </c>
      <c r="H15" s="60">
        <v>478</v>
      </c>
      <c r="I15" s="60">
        <v>726</v>
      </c>
      <c r="J15" s="65" t="s">
        <v>62</v>
      </c>
      <c r="K15" s="66" t="s">
        <v>78</v>
      </c>
      <c r="L15" s="55"/>
      <c r="M15" s="69"/>
      <c r="P15" s="69"/>
      <c r="Q15" s="69"/>
    </row>
    <row r="16" spans="1:17" ht="13.5" thickBot="1" x14ac:dyDescent="0.25">
      <c r="A16" s="60">
        <f t="shared" si="0"/>
        <v>144</v>
      </c>
      <c r="B16" s="60">
        <f t="shared" si="1"/>
        <v>52</v>
      </c>
      <c r="C16" s="60">
        <f t="shared" si="1"/>
        <v>92</v>
      </c>
      <c r="D16" s="60">
        <f t="shared" si="2"/>
        <v>1</v>
      </c>
      <c r="E16" s="60">
        <v>1</v>
      </c>
      <c r="F16" s="60">
        <v>0</v>
      </c>
      <c r="G16" s="60">
        <f t="shared" si="3"/>
        <v>143</v>
      </c>
      <c r="H16" s="60">
        <v>51</v>
      </c>
      <c r="I16" s="60">
        <v>92</v>
      </c>
      <c r="J16" s="65" t="s">
        <v>64</v>
      </c>
      <c r="K16" s="74"/>
      <c r="L16" s="55"/>
      <c r="P16" s="69"/>
      <c r="Q16" s="69"/>
    </row>
    <row r="17" spans="1:17" ht="13.5" thickBot="1" x14ac:dyDescent="0.25">
      <c r="A17" s="60">
        <f t="shared" si="0"/>
        <v>86</v>
      </c>
      <c r="B17" s="60">
        <f t="shared" si="1"/>
        <v>28</v>
      </c>
      <c r="C17" s="60">
        <f t="shared" si="1"/>
        <v>58</v>
      </c>
      <c r="D17" s="60">
        <f t="shared" si="2"/>
        <v>0</v>
      </c>
      <c r="E17" s="60">
        <v>0</v>
      </c>
      <c r="F17" s="60">
        <v>0</v>
      </c>
      <c r="G17" s="60">
        <f t="shared" si="3"/>
        <v>86</v>
      </c>
      <c r="H17" s="60">
        <v>28</v>
      </c>
      <c r="I17" s="60">
        <v>58</v>
      </c>
      <c r="J17" s="65" t="s">
        <v>61</v>
      </c>
      <c r="K17" s="66"/>
      <c r="L17" s="55"/>
      <c r="M17" s="69"/>
      <c r="P17" s="69"/>
      <c r="Q17" s="69"/>
    </row>
    <row r="18" spans="1:17" ht="13.5" thickBot="1" x14ac:dyDescent="0.25">
      <c r="A18" s="60">
        <f t="shared" si="0"/>
        <v>831</v>
      </c>
      <c r="B18" s="60">
        <f t="shared" si="1"/>
        <v>458</v>
      </c>
      <c r="C18" s="60">
        <f t="shared" si="1"/>
        <v>373</v>
      </c>
      <c r="D18" s="60">
        <f t="shared" si="2"/>
        <v>86</v>
      </c>
      <c r="E18" s="60">
        <v>39</v>
      </c>
      <c r="F18" s="60">
        <v>47</v>
      </c>
      <c r="G18" s="60">
        <f t="shared" si="3"/>
        <v>745</v>
      </c>
      <c r="H18" s="60">
        <v>419</v>
      </c>
      <c r="I18" s="60">
        <v>326</v>
      </c>
      <c r="J18" s="65" t="s">
        <v>62</v>
      </c>
      <c r="K18" s="66" t="s">
        <v>79</v>
      </c>
      <c r="L18" s="55"/>
      <c r="M18" s="69"/>
      <c r="P18" s="69"/>
      <c r="Q18" s="69"/>
    </row>
    <row r="19" spans="1:17" ht="13.5" thickBot="1" x14ac:dyDescent="0.25">
      <c r="A19" s="60">
        <f t="shared" si="0"/>
        <v>61</v>
      </c>
      <c r="B19" s="60">
        <f t="shared" si="1"/>
        <v>36</v>
      </c>
      <c r="C19" s="60">
        <f t="shared" si="1"/>
        <v>25</v>
      </c>
      <c r="D19" s="60">
        <f t="shared" si="2"/>
        <v>0</v>
      </c>
      <c r="E19" s="60">
        <v>0</v>
      </c>
      <c r="F19" s="60">
        <v>0</v>
      </c>
      <c r="G19" s="60">
        <f t="shared" si="3"/>
        <v>61</v>
      </c>
      <c r="H19" s="60">
        <v>36</v>
      </c>
      <c r="I19" s="60">
        <v>25</v>
      </c>
      <c r="J19" s="65" t="s">
        <v>64</v>
      </c>
      <c r="K19" s="74"/>
      <c r="L19" s="55"/>
      <c r="P19" s="69"/>
      <c r="Q19" s="69"/>
    </row>
    <row r="20" spans="1:17" ht="13.5" thickBot="1" x14ac:dyDescent="0.25">
      <c r="A20" s="60">
        <f t="shared" si="0"/>
        <v>10</v>
      </c>
      <c r="B20" s="60">
        <f t="shared" si="1"/>
        <v>0</v>
      </c>
      <c r="C20" s="60">
        <f t="shared" si="1"/>
        <v>10</v>
      </c>
      <c r="D20" s="60">
        <f t="shared" si="2"/>
        <v>5</v>
      </c>
      <c r="E20" s="60">
        <v>0</v>
      </c>
      <c r="F20" s="60">
        <v>5</v>
      </c>
      <c r="G20" s="60">
        <f t="shared" si="3"/>
        <v>5</v>
      </c>
      <c r="H20" s="60">
        <v>0</v>
      </c>
      <c r="I20" s="60">
        <v>5</v>
      </c>
      <c r="J20" s="65" t="s">
        <v>61</v>
      </c>
      <c r="K20" s="66"/>
      <c r="L20" s="55"/>
      <c r="M20" s="69"/>
      <c r="P20" s="69"/>
      <c r="Q20" s="69"/>
    </row>
    <row r="21" spans="1:17" ht="13.5" thickBot="1" x14ac:dyDescent="0.25">
      <c r="A21" s="60">
        <f t="shared" si="0"/>
        <v>173</v>
      </c>
      <c r="B21" s="60">
        <f t="shared" si="1"/>
        <v>0</v>
      </c>
      <c r="C21" s="60">
        <f t="shared" si="1"/>
        <v>173</v>
      </c>
      <c r="D21" s="60">
        <f t="shared" si="2"/>
        <v>142</v>
      </c>
      <c r="E21" s="60">
        <v>0</v>
      </c>
      <c r="F21" s="60">
        <v>142</v>
      </c>
      <c r="G21" s="60">
        <f t="shared" si="3"/>
        <v>31</v>
      </c>
      <c r="H21" s="60">
        <v>0</v>
      </c>
      <c r="I21" s="60">
        <v>31</v>
      </c>
      <c r="J21" s="65" t="s">
        <v>62</v>
      </c>
      <c r="K21" s="66" t="s">
        <v>98</v>
      </c>
      <c r="L21" s="55"/>
      <c r="P21" s="69"/>
      <c r="Q21" s="69"/>
    </row>
    <row r="22" spans="1:17" ht="13.5" thickBot="1" x14ac:dyDescent="0.25">
      <c r="A22" s="60">
        <f t="shared" si="0"/>
        <v>0</v>
      </c>
      <c r="B22" s="60">
        <f t="shared" si="1"/>
        <v>0</v>
      </c>
      <c r="C22" s="60">
        <f t="shared" si="1"/>
        <v>0</v>
      </c>
      <c r="D22" s="60">
        <f t="shared" si="2"/>
        <v>0</v>
      </c>
      <c r="E22" s="60">
        <v>0</v>
      </c>
      <c r="F22" s="60">
        <v>0</v>
      </c>
      <c r="G22" s="60">
        <f t="shared" si="3"/>
        <v>0</v>
      </c>
      <c r="H22" s="60">
        <v>0</v>
      </c>
      <c r="I22" s="60">
        <v>0</v>
      </c>
      <c r="J22" s="65" t="s">
        <v>64</v>
      </c>
      <c r="K22" s="74"/>
      <c r="L22" s="55"/>
      <c r="P22" s="69"/>
      <c r="Q22" s="69"/>
    </row>
    <row r="23" spans="1:17" ht="13.5" thickBot="1" x14ac:dyDescent="0.25">
      <c r="A23" s="60">
        <f t="shared" si="0"/>
        <v>11</v>
      </c>
      <c r="B23" s="60">
        <f t="shared" si="1"/>
        <v>6</v>
      </c>
      <c r="C23" s="60">
        <f t="shared" si="1"/>
        <v>5</v>
      </c>
      <c r="D23" s="60">
        <f t="shared" si="2"/>
        <v>0</v>
      </c>
      <c r="E23" s="60">
        <v>0</v>
      </c>
      <c r="F23" s="60">
        <v>0</v>
      </c>
      <c r="G23" s="60">
        <f t="shared" si="3"/>
        <v>11</v>
      </c>
      <c r="H23" s="60">
        <v>6</v>
      </c>
      <c r="I23" s="60">
        <v>5</v>
      </c>
      <c r="J23" s="65" t="s">
        <v>61</v>
      </c>
      <c r="K23" s="66"/>
      <c r="L23" s="55"/>
      <c r="M23" s="69"/>
      <c r="P23" s="69"/>
      <c r="Q23" s="69"/>
    </row>
    <row r="24" spans="1:17" ht="13.5" thickBot="1" x14ac:dyDescent="0.25">
      <c r="A24" s="60">
        <f t="shared" si="0"/>
        <v>75</v>
      </c>
      <c r="B24" s="60">
        <f t="shared" si="1"/>
        <v>43</v>
      </c>
      <c r="C24" s="60">
        <f t="shared" si="1"/>
        <v>32</v>
      </c>
      <c r="D24" s="60">
        <f t="shared" si="2"/>
        <v>0</v>
      </c>
      <c r="E24" s="60">
        <v>0</v>
      </c>
      <c r="F24" s="60">
        <v>0</v>
      </c>
      <c r="G24" s="60">
        <f t="shared" si="3"/>
        <v>75</v>
      </c>
      <c r="H24" s="60">
        <v>43</v>
      </c>
      <c r="I24" s="60">
        <v>32</v>
      </c>
      <c r="J24" s="65" t="s">
        <v>62</v>
      </c>
      <c r="K24" s="66" t="s">
        <v>80</v>
      </c>
      <c r="L24" s="55"/>
      <c r="M24" s="69"/>
      <c r="P24" s="69"/>
      <c r="Q24" s="69"/>
    </row>
    <row r="25" spans="1:17" ht="13.5" thickBot="1" x14ac:dyDescent="0.25">
      <c r="A25" s="60">
        <f t="shared" si="0"/>
        <v>3</v>
      </c>
      <c r="B25" s="60">
        <f t="shared" si="1"/>
        <v>3</v>
      </c>
      <c r="C25" s="60">
        <f t="shared" si="1"/>
        <v>0</v>
      </c>
      <c r="D25" s="60">
        <f t="shared" si="2"/>
        <v>0</v>
      </c>
      <c r="E25" s="60">
        <v>0</v>
      </c>
      <c r="F25" s="60">
        <v>0</v>
      </c>
      <c r="G25" s="60">
        <f t="shared" si="3"/>
        <v>3</v>
      </c>
      <c r="H25" s="60">
        <v>3</v>
      </c>
      <c r="I25" s="60">
        <v>0</v>
      </c>
      <c r="J25" s="65" t="s">
        <v>64</v>
      </c>
      <c r="K25" s="74"/>
      <c r="L25" s="55"/>
      <c r="P25" s="69"/>
      <c r="Q25" s="69"/>
    </row>
    <row r="26" spans="1:17" ht="13.5" thickBot="1" x14ac:dyDescent="0.25">
      <c r="A26" s="60">
        <f t="shared" si="0"/>
        <v>0</v>
      </c>
      <c r="B26" s="60">
        <f t="shared" si="1"/>
        <v>0</v>
      </c>
      <c r="C26" s="60">
        <f t="shared" si="1"/>
        <v>0</v>
      </c>
      <c r="D26" s="60">
        <f t="shared" si="2"/>
        <v>0</v>
      </c>
      <c r="E26" s="60">
        <v>0</v>
      </c>
      <c r="F26" s="60">
        <v>0</v>
      </c>
      <c r="G26" s="60">
        <f t="shared" si="3"/>
        <v>0</v>
      </c>
      <c r="H26" s="60">
        <v>0</v>
      </c>
      <c r="I26" s="60">
        <v>0</v>
      </c>
      <c r="J26" s="65" t="s">
        <v>61</v>
      </c>
      <c r="K26" s="66"/>
      <c r="L26" s="55"/>
      <c r="M26" s="69"/>
      <c r="P26" s="69"/>
      <c r="Q26" s="69"/>
    </row>
    <row r="27" spans="1:17" ht="13.5" thickBot="1" x14ac:dyDescent="0.25">
      <c r="A27" s="60">
        <f t="shared" si="0"/>
        <v>105</v>
      </c>
      <c r="B27" s="60">
        <f t="shared" si="1"/>
        <v>24</v>
      </c>
      <c r="C27" s="60">
        <f t="shared" si="1"/>
        <v>81</v>
      </c>
      <c r="D27" s="60">
        <f t="shared" si="2"/>
        <v>0</v>
      </c>
      <c r="E27" s="60">
        <v>0</v>
      </c>
      <c r="F27" s="60">
        <v>0</v>
      </c>
      <c r="G27" s="60">
        <f t="shared" si="3"/>
        <v>105</v>
      </c>
      <c r="H27" s="60">
        <v>24</v>
      </c>
      <c r="I27" s="60">
        <v>81</v>
      </c>
      <c r="J27" s="65" t="s">
        <v>62</v>
      </c>
      <c r="K27" s="66" t="s">
        <v>81</v>
      </c>
      <c r="L27" s="55"/>
      <c r="M27" s="69"/>
      <c r="P27" s="69"/>
      <c r="Q27" s="69"/>
    </row>
    <row r="28" spans="1:17" ht="13.5" thickBot="1" x14ac:dyDescent="0.25">
      <c r="A28" s="60">
        <f t="shared" si="0"/>
        <v>1014</v>
      </c>
      <c r="B28" s="60">
        <f t="shared" si="1"/>
        <v>152</v>
      </c>
      <c r="C28" s="60">
        <f t="shared" si="1"/>
        <v>862</v>
      </c>
      <c r="D28" s="60">
        <f t="shared" si="2"/>
        <v>0</v>
      </c>
      <c r="E28" s="60">
        <v>0</v>
      </c>
      <c r="F28" s="60">
        <v>0</v>
      </c>
      <c r="G28" s="60">
        <f t="shared" si="3"/>
        <v>1014</v>
      </c>
      <c r="H28" s="60">
        <v>152</v>
      </c>
      <c r="I28" s="60">
        <v>862</v>
      </c>
      <c r="J28" s="65" t="s">
        <v>64</v>
      </c>
      <c r="K28" s="74"/>
      <c r="L28" s="55"/>
      <c r="P28" s="69"/>
      <c r="Q28" s="69"/>
    </row>
    <row r="29" spans="1:17" ht="13.5" thickBot="1" x14ac:dyDescent="0.25">
      <c r="A29" s="60">
        <f t="shared" si="0"/>
        <v>0</v>
      </c>
      <c r="B29" s="60">
        <f t="shared" si="1"/>
        <v>0</v>
      </c>
      <c r="C29" s="60">
        <f t="shared" si="1"/>
        <v>0</v>
      </c>
      <c r="D29" s="60">
        <f t="shared" si="2"/>
        <v>0</v>
      </c>
      <c r="E29" s="60">
        <v>0</v>
      </c>
      <c r="F29" s="60">
        <v>0</v>
      </c>
      <c r="G29" s="60">
        <f t="shared" si="3"/>
        <v>0</v>
      </c>
      <c r="H29" s="60">
        <v>0</v>
      </c>
      <c r="I29" s="60">
        <v>0</v>
      </c>
      <c r="J29" s="65" t="s">
        <v>61</v>
      </c>
      <c r="K29" s="66"/>
      <c r="L29" s="55"/>
      <c r="M29" s="69"/>
      <c r="P29" s="69"/>
      <c r="Q29" s="69"/>
    </row>
    <row r="30" spans="1:17" ht="13.5" thickBot="1" x14ac:dyDescent="0.25">
      <c r="A30" s="60">
        <f t="shared" si="0"/>
        <v>217</v>
      </c>
      <c r="B30" s="60">
        <f t="shared" si="1"/>
        <v>31</v>
      </c>
      <c r="C30" s="60">
        <f t="shared" si="1"/>
        <v>186</v>
      </c>
      <c r="D30" s="60">
        <f t="shared" si="2"/>
        <v>0</v>
      </c>
      <c r="E30" s="60">
        <v>0</v>
      </c>
      <c r="F30" s="60">
        <v>0</v>
      </c>
      <c r="G30" s="60">
        <f t="shared" si="3"/>
        <v>217</v>
      </c>
      <c r="H30" s="60">
        <v>31</v>
      </c>
      <c r="I30" s="60">
        <v>186</v>
      </c>
      <c r="J30" s="65" t="s">
        <v>62</v>
      </c>
      <c r="K30" s="66" t="s">
        <v>108</v>
      </c>
      <c r="L30" s="55"/>
      <c r="M30" s="69"/>
      <c r="P30" s="69"/>
      <c r="Q30" s="69"/>
    </row>
    <row r="31" spans="1:17" ht="13.5" thickBot="1" x14ac:dyDescent="0.25">
      <c r="A31" s="60">
        <f t="shared" si="0"/>
        <v>0</v>
      </c>
      <c r="B31" s="60">
        <f t="shared" si="1"/>
        <v>0</v>
      </c>
      <c r="C31" s="60">
        <f t="shared" si="1"/>
        <v>0</v>
      </c>
      <c r="D31" s="60">
        <f t="shared" si="2"/>
        <v>0</v>
      </c>
      <c r="E31" s="60">
        <v>0</v>
      </c>
      <c r="F31" s="60">
        <v>0</v>
      </c>
      <c r="G31" s="60">
        <f t="shared" si="3"/>
        <v>0</v>
      </c>
      <c r="H31" s="60">
        <v>0</v>
      </c>
      <c r="I31" s="60">
        <v>0</v>
      </c>
      <c r="J31" s="65" t="s">
        <v>64</v>
      </c>
      <c r="K31" s="74"/>
      <c r="L31" s="55"/>
      <c r="P31" s="69"/>
      <c r="Q31" s="69"/>
    </row>
    <row r="32" spans="1:17" ht="13.5" thickBot="1" x14ac:dyDescent="0.25">
      <c r="A32" s="60">
        <f t="shared" si="0"/>
        <v>0</v>
      </c>
      <c r="B32" s="60">
        <f t="shared" si="1"/>
        <v>0</v>
      </c>
      <c r="C32" s="60">
        <f t="shared" si="1"/>
        <v>0</v>
      </c>
      <c r="D32" s="60">
        <f t="shared" si="2"/>
        <v>0</v>
      </c>
      <c r="E32" s="60">
        <v>0</v>
      </c>
      <c r="F32" s="60">
        <v>0</v>
      </c>
      <c r="G32" s="60">
        <f t="shared" si="3"/>
        <v>0</v>
      </c>
      <c r="H32" s="60">
        <v>0</v>
      </c>
      <c r="I32" s="60">
        <v>0</v>
      </c>
      <c r="J32" s="65" t="s">
        <v>61</v>
      </c>
      <c r="K32" s="66"/>
      <c r="L32" s="55"/>
      <c r="M32" s="69"/>
      <c r="P32" s="69"/>
      <c r="Q32" s="69"/>
    </row>
    <row r="33" spans="1:17" ht="13.5" thickBot="1" x14ac:dyDescent="0.25">
      <c r="A33" s="60">
        <f t="shared" si="0"/>
        <v>77</v>
      </c>
      <c r="B33" s="60">
        <f t="shared" si="1"/>
        <v>30</v>
      </c>
      <c r="C33" s="60">
        <f t="shared" si="1"/>
        <v>47</v>
      </c>
      <c r="D33" s="60">
        <f t="shared" si="2"/>
        <v>0</v>
      </c>
      <c r="E33" s="60">
        <v>0</v>
      </c>
      <c r="F33" s="60">
        <v>0</v>
      </c>
      <c r="G33" s="60">
        <f t="shared" si="3"/>
        <v>77</v>
      </c>
      <c r="H33" s="60">
        <v>30</v>
      </c>
      <c r="I33" s="60">
        <v>47</v>
      </c>
      <c r="J33" s="65" t="s">
        <v>62</v>
      </c>
      <c r="K33" s="66" t="s">
        <v>83</v>
      </c>
      <c r="L33" s="55"/>
      <c r="M33" s="69"/>
      <c r="P33" s="69"/>
      <c r="Q33" s="69"/>
    </row>
    <row r="34" spans="1:17" ht="13.5" thickBot="1" x14ac:dyDescent="0.25">
      <c r="A34" s="60">
        <f t="shared" si="0"/>
        <v>0</v>
      </c>
      <c r="B34" s="60">
        <f t="shared" si="1"/>
        <v>0</v>
      </c>
      <c r="C34" s="60">
        <f t="shared" si="1"/>
        <v>0</v>
      </c>
      <c r="D34" s="60">
        <f t="shared" si="2"/>
        <v>0</v>
      </c>
      <c r="E34" s="60">
        <v>0</v>
      </c>
      <c r="F34" s="60">
        <v>0</v>
      </c>
      <c r="G34" s="60">
        <f t="shared" si="3"/>
        <v>0</v>
      </c>
      <c r="H34" s="60">
        <v>0</v>
      </c>
      <c r="I34" s="60">
        <v>0</v>
      </c>
      <c r="J34" s="65" t="s">
        <v>64</v>
      </c>
      <c r="K34" s="74"/>
      <c r="L34" s="55"/>
      <c r="P34" s="69"/>
      <c r="Q34" s="69"/>
    </row>
    <row r="35" spans="1:17" ht="13.5" thickBot="1" x14ac:dyDescent="0.25">
      <c r="A35" s="60">
        <f t="shared" si="0"/>
        <v>0</v>
      </c>
      <c r="B35" s="60">
        <f t="shared" si="1"/>
        <v>0</v>
      </c>
      <c r="C35" s="60">
        <f t="shared" si="1"/>
        <v>0</v>
      </c>
      <c r="D35" s="60">
        <f t="shared" si="2"/>
        <v>0</v>
      </c>
      <c r="E35" s="60">
        <v>0</v>
      </c>
      <c r="F35" s="60">
        <v>0</v>
      </c>
      <c r="G35" s="60">
        <f t="shared" si="3"/>
        <v>0</v>
      </c>
      <c r="H35" s="60">
        <v>0</v>
      </c>
      <c r="I35" s="60">
        <v>0</v>
      </c>
      <c r="J35" s="65" t="s">
        <v>61</v>
      </c>
      <c r="K35" s="66"/>
      <c r="L35" s="55"/>
      <c r="M35" s="69"/>
      <c r="P35" s="69"/>
      <c r="Q35" s="69"/>
    </row>
    <row r="36" spans="1:17" ht="13.5" thickBot="1" x14ac:dyDescent="0.25">
      <c r="A36" s="60">
        <f t="shared" si="0"/>
        <v>52</v>
      </c>
      <c r="B36" s="60">
        <f t="shared" si="1"/>
        <v>29</v>
      </c>
      <c r="C36" s="60">
        <f t="shared" si="1"/>
        <v>23</v>
      </c>
      <c r="D36" s="60">
        <f t="shared" si="2"/>
        <v>1</v>
      </c>
      <c r="E36" s="60">
        <v>0</v>
      </c>
      <c r="F36" s="60">
        <v>1</v>
      </c>
      <c r="G36" s="60">
        <f t="shared" si="3"/>
        <v>51</v>
      </c>
      <c r="H36" s="60">
        <v>29</v>
      </c>
      <c r="I36" s="60">
        <v>22</v>
      </c>
      <c r="J36" s="65" t="s">
        <v>62</v>
      </c>
      <c r="K36" s="66" t="s">
        <v>165</v>
      </c>
      <c r="L36" s="55"/>
      <c r="M36" s="69"/>
      <c r="P36" s="69"/>
      <c r="Q36" s="69"/>
    </row>
    <row r="37" spans="1:17" ht="13.5" thickBot="1" x14ac:dyDescent="0.25">
      <c r="A37" s="60">
        <f t="shared" si="0"/>
        <v>0</v>
      </c>
      <c r="B37" s="60">
        <f t="shared" si="1"/>
        <v>0</v>
      </c>
      <c r="C37" s="60">
        <f t="shared" si="1"/>
        <v>0</v>
      </c>
      <c r="D37" s="60">
        <f t="shared" si="2"/>
        <v>0</v>
      </c>
      <c r="E37" s="60">
        <v>0</v>
      </c>
      <c r="F37" s="60">
        <v>0</v>
      </c>
      <c r="G37" s="60">
        <f t="shared" si="3"/>
        <v>0</v>
      </c>
      <c r="H37" s="60">
        <v>0</v>
      </c>
      <c r="I37" s="60">
        <v>0</v>
      </c>
      <c r="J37" s="65" t="s">
        <v>64</v>
      </c>
      <c r="K37" s="74"/>
      <c r="L37" s="55"/>
      <c r="P37" s="69"/>
      <c r="Q37" s="69"/>
    </row>
    <row r="38" spans="1:17" ht="13.5" thickBot="1" x14ac:dyDescent="0.25">
      <c r="A38" s="60">
        <f t="shared" si="0"/>
        <v>0</v>
      </c>
      <c r="B38" s="60">
        <f t="shared" si="1"/>
        <v>0</v>
      </c>
      <c r="C38" s="60">
        <f t="shared" si="1"/>
        <v>0</v>
      </c>
      <c r="D38" s="60">
        <f t="shared" si="2"/>
        <v>0</v>
      </c>
      <c r="E38" s="60">
        <v>0</v>
      </c>
      <c r="F38" s="60">
        <v>0</v>
      </c>
      <c r="G38" s="60">
        <f t="shared" si="3"/>
        <v>0</v>
      </c>
      <c r="H38" s="60">
        <v>0</v>
      </c>
      <c r="I38" s="60">
        <v>0</v>
      </c>
      <c r="J38" s="65" t="s">
        <v>61</v>
      </c>
      <c r="K38" s="66"/>
      <c r="L38" s="55"/>
      <c r="M38" s="69"/>
      <c r="P38" s="69"/>
      <c r="Q38" s="69"/>
    </row>
    <row r="39" spans="1:17" ht="13.5" thickBot="1" x14ac:dyDescent="0.25">
      <c r="A39" s="60">
        <f t="shared" si="0"/>
        <v>0</v>
      </c>
      <c r="B39" s="60">
        <f t="shared" si="1"/>
        <v>0</v>
      </c>
      <c r="C39" s="60">
        <f t="shared" si="1"/>
        <v>0</v>
      </c>
      <c r="D39" s="60">
        <f t="shared" si="2"/>
        <v>0</v>
      </c>
      <c r="E39" s="60">
        <v>0</v>
      </c>
      <c r="F39" s="60">
        <v>0</v>
      </c>
      <c r="G39" s="60">
        <f t="shared" si="3"/>
        <v>0</v>
      </c>
      <c r="H39" s="60">
        <v>0</v>
      </c>
      <c r="I39" s="60">
        <v>0</v>
      </c>
      <c r="J39" s="65" t="s">
        <v>62</v>
      </c>
      <c r="K39" s="66" t="s">
        <v>171</v>
      </c>
      <c r="L39" s="55"/>
      <c r="P39" s="69"/>
      <c r="Q39" s="69"/>
    </row>
    <row r="40" spans="1:17" ht="13.5" thickBot="1" x14ac:dyDescent="0.25">
      <c r="A40" s="60">
        <f t="shared" si="0"/>
        <v>170</v>
      </c>
      <c r="B40" s="60">
        <f t="shared" si="1"/>
        <v>0</v>
      </c>
      <c r="C40" s="60">
        <f t="shared" si="1"/>
        <v>170</v>
      </c>
      <c r="D40" s="60">
        <f t="shared" si="2"/>
        <v>0</v>
      </c>
      <c r="E40" s="60">
        <v>0</v>
      </c>
      <c r="F40" s="60">
        <v>0</v>
      </c>
      <c r="G40" s="60">
        <f t="shared" si="3"/>
        <v>170</v>
      </c>
      <c r="H40" s="60">
        <v>0</v>
      </c>
      <c r="I40" s="60">
        <v>170</v>
      </c>
      <c r="J40" s="65" t="s">
        <v>64</v>
      </c>
      <c r="K40" s="74"/>
      <c r="L40" s="55"/>
      <c r="P40" s="69"/>
      <c r="Q40" s="69"/>
    </row>
    <row r="41" spans="1:17" ht="13.5" thickBot="1" x14ac:dyDescent="0.25">
      <c r="A41" s="60">
        <f t="shared" si="0"/>
        <v>0</v>
      </c>
      <c r="B41" s="60">
        <f t="shared" si="1"/>
        <v>0</v>
      </c>
      <c r="C41" s="60">
        <f t="shared" si="1"/>
        <v>0</v>
      </c>
      <c r="D41" s="60">
        <f t="shared" si="2"/>
        <v>0</v>
      </c>
      <c r="E41" s="60">
        <v>0</v>
      </c>
      <c r="F41" s="60">
        <v>0</v>
      </c>
      <c r="G41" s="60">
        <f t="shared" si="3"/>
        <v>0</v>
      </c>
      <c r="H41" s="60">
        <v>0</v>
      </c>
      <c r="I41" s="60">
        <v>0</v>
      </c>
      <c r="J41" s="65" t="s">
        <v>61</v>
      </c>
      <c r="K41" s="66"/>
      <c r="L41" s="55"/>
      <c r="M41" s="69"/>
      <c r="P41" s="69"/>
      <c r="Q41" s="69"/>
    </row>
    <row r="42" spans="1:17" ht="13.5" thickBot="1" x14ac:dyDescent="0.25">
      <c r="A42" s="60">
        <f t="shared" si="0"/>
        <v>39</v>
      </c>
      <c r="B42" s="60">
        <f t="shared" si="1"/>
        <v>9</v>
      </c>
      <c r="C42" s="60">
        <f t="shared" si="1"/>
        <v>30</v>
      </c>
      <c r="D42" s="60">
        <f t="shared" si="2"/>
        <v>3</v>
      </c>
      <c r="E42" s="60">
        <v>0</v>
      </c>
      <c r="F42" s="60">
        <v>3</v>
      </c>
      <c r="G42" s="60">
        <f t="shared" si="3"/>
        <v>36</v>
      </c>
      <c r="H42" s="60">
        <v>9</v>
      </c>
      <c r="I42" s="60">
        <v>27</v>
      </c>
      <c r="J42" s="65" t="s">
        <v>62</v>
      </c>
      <c r="K42" s="66" t="s">
        <v>173</v>
      </c>
      <c r="L42" s="55"/>
      <c r="M42" s="69"/>
      <c r="P42" s="69"/>
      <c r="Q42" s="69"/>
    </row>
    <row r="43" spans="1:17" ht="13.5" thickBot="1" x14ac:dyDescent="0.25">
      <c r="A43" s="60">
        <f t="shared" si="0"/>
        <v>9</v>
      </c>
      <c r="B43" s="60">
        <f t="shared" si="1"/>
        <v>0</v>
      </c>
      <c r="C43" s="60">
        <f t="shared" si="1"/>
        <v>9</v>
      </c>
      <c r="D43" s="60">
        <f t="shared" si="2"/>
        <v>9</v>
      </c>
      <c r="E43" s="60">
        <v>0</v>
      </c>
      <c r="F43" s="60">
        <v>9</v>
      </c>
      <c r="G43" s="60">
        <f t="shared" si="3"/>
        <v>0</v>
      </c>
      <c r="H43" s="60">
        <v>0</v>
      </c>
      <c r="I43" s="60">
        <v>0</v>
      </c>
      <c r="J43" s="65" t="s">
        <v>64</v>
      </c>
      <c r="K43" s="74"/>
      <c r="L43" s="55"/>
      <c r="P43" s="69"/>
      <c r="Q43" s="69"/>
    </row>
    <row r="44" spans="1:17" ht="13.5" thickBot="1" x14ac:dyDescent="0.25">
      <c r="A44" s="60">
        <f t="shared" ref="A44:I46" si="4">A5+A8+A11+A14+A17+A20+A23+A26+A29+A32+A35+A38+A41</f>
        <v>822</v>
      </c>
      <c r="B44" s="60">
        <f t="shared" si="4"/>
        <v>206</v>
      </c>
      <c r="C44" s="60">
        <f t="shared" si="4"/>
        <v>616</v>
      </c>
      <c r="D44" s="60">
        <f t="shared" si="4"/>
        <v>27</v>
      </c>
      <c r="E44" s="60">
        <f t="shared" si="4"/>
        <v>3</v>
      </c>
      <c r="F44" s="60">
        <f t="shared" si="4"/>
        <v>24</v>
      </c>
      <c r="G44" s="60">
        <f t="shared" si="4"/>
        <v>795</v>
      </c>
      <c r="H44" s="60">
        <f t="shared" si="4"/>
        <v>203</v>
      </c>
      <c r="I44" s="60">
        <f>I5+I8+I11+I14+I17+I20+I23+I26+I29+I32+I35+I38+I41</f>
        <v>592</v>
      </c>
      <c r="J44" s="65" t="s">
        <v>231</v>
      </c>
      <c r="K44" s="57"/>
      <c r="L44" s="55"/>
    </row>
    <row r="45" spans="1:17" ht="13.5" thickBot="1" x14ac:dyDescent="0.25">
      <c r="A45" s="60">
        <f t="shared" si="4"/>
        <v>5155</v>
      </c>
      <c r="B45" s="60">
        <f t="shared" si="4"/>
        <v>1929</v>
      </c>
      <c r="C45" s="60">
        <f t="shared" si="4"/>
        <v>3226</v>
      </c>
      <c r="D45" s="60">
        <f t="shared" si="4"/>
        <v>396</v>
      </c>
      <c r="E45" s="60">
        <f t="shared" si="4"/>
        <v>79</v>
      </c>
      <c r="F45" s="60">
        <f t="shared" si="4"/>
        <v>317</v>
      </c>
      <c r="G45" s="60">
        <f t="shared" si="4"/>
        <v>4759</v>
      </c>
      <c r="H45" s="60">
        <f t="shared" si="4"/>
        <v>1850</v>
      </c>
      <c r="I45" s="60">
        <f t="shared" si="4"/>
        <v>2909</v>
      </c>
      <c r="J45" s="65" t="s">
        <v>62</v>
      </c>
      <c r="K45" s="68" t="s">
        <v>232</v>
      </c>
      <c r="L45" s="55"/>
    </row>
    <row r="46" spans="1:17" ht="13.5" thickBot="1" x14ac:dyDescent="0.25">
      <c r="A46" s="60">
        <f t="shared" si="4"/>
        <v>2100</v>
      </c>
      <c r="B46" s="60">
        <f t="shared" si="4"/>
        <v>327</v>
      </c>
      <c r="C46" s="60">
        <f t="shared" si="4"/>
        <v>1773</v>
      </c>
      <c r="D46" s="60">
        <f t="shared" si="4"/>
        <v>102</v>
      </c>
      <c r="E46" s="60">
        <f t="shared" si="4"/>
        <v>2</v>
      </c>
      <c r="F46" s="60">
        <f t="shared" si="4"/>
        <v>100</v>
      </c>
      <c r="G46" s="60">
        <f t="shared" si="4"/>
        <v>1998</v>
      </c>
      <c r="H46" s="60">
        <f t="shared" si="4"/>
        <v>325</v>
      </c>
      <c r="I46" s="60">
        <f t="shared" si="4"/>
        <v>1673</v>
      </c>
      <c r="J46" s="65" t="s">
        <v>64</v>
      </c>
      <c r="K46" s="59"/>
      <c r="L46" s="55"/>
    </row>
    <row r="47" spans="1:17" ht="13.5" thickBot="1" x14ac:dyDescent="0.25">
      <c r="A47" s="60">
        <f t="shared" ref="A47:H47" si="5">SUM(A44:A46)</f>
        <v>8077</v>
      </c>
      <c r="B47" s="60">
        <f t="shared" si="5"/>
        <v>2462</v>
      </c>
      <c r="C47" s="60">
        <f t="shared" si="5"/>
        <v>5615</v>
      </c>
      <c r="D47" s="60">
        <f t="shared" si="5"/>
        <v>525</v>
      </c>
      <c r="E47" s="60">
        <f t="shared" si="5"/>
        <v>84</v>
      </c>
      <c r="F47" s="60">
        <f t="shared" si="5"/>
        <v>441</v>
      </c>
      <c r="G47" s="60">
        <f t="shared" si="5"/>
        <v>7552</v>
      </c>
      <c r="H47" s="60">
        <f t="shared" si="5"/>
        <v>2378</v>
      </c>
      <c r="I47" s="60">
        <f>SUM(I44:I46)</f>
        <v>5174</v>
      </c>
      <c r="J47" s="184" t="s">
        <v>233</v>
      </c>
      <c r="K47" s="184"/>
      <c r="L47" s="55"/>
    </row>
    <row r="51" spans="4:8" x14ac:dyDescent="0.2">
      <c r="D51" s="69"/>
      <c r="H51" s="69"/>
    </row>
  </sheetData>
  <mergeCells count="8">
    <mergeCell ref="J4:K4"/>
    <mergeCell ref="J47:K47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79"/>
  <sheetViews>
    <sheetView showGridLines="0" zoomScaleNormal="100" zoomScaleSheetLayoutView="100" workbookViewId="0">
      <selection activeCell="O4" sqref="M4:O71"/>
    </sheetView>
  </sheetViews>
  <sheetFormatPr defaultRowHeight="12.75" x14ac:dyDescent="0.2"/>
  <cols>
    <col min="1" max="9" width="7.75" style="78" customWidth="1"/>
    <col min="10" max="10" width="9.625" style="56" customWidth="1"/>
    <col min="11" max="11" width="34.25" style="56" customWidth="1"/>
    <col min="12" max="12" width="3.625" style="56" customWidth="1"/>
    <col min="13" max="256" width="9" style="56"/>
    <col min="257" max="265" width="7.75" style="56" customWidth="1"/>
    <col min="266" max="266" width="9.625" style="56" customWidth="1"/>
    <col min="267" max="267" width="34.25" style="56" customWidth="1"/>
    <col min="268" max="268" width="3.625" style="56" customWidth="1"/>
    <col min="269" max="512" width="9" style="56"/>
    <col min="513" max="521" width="7.75" style="56" customWidth="1"/>
    <col min="522" max="522" width="9.625" style="56" customWidth="1"/>
    <col min="523" max="523" width="34.25" style="56" customWidth="1"/>
    <col min="524" max="524" width="3.625" style="56" customWidth="1"/>
    <col min="525" max="768" width="9" style="56"/>
    <col min="769" max="777" width="7.75" style="56" customWidth="1"/>
    <col min="778" max="778" width="9.625" style="56" customWidth="1"/>
    <col min="779" max="779" width="34.25" style="56" customWidth="1"/>
    <col min="780" max="780" width="3.625" style="56" customWidth="1"/>
    <col min="781" max="1024" width="9" style="56"/>
    <col min="1025" max="1033" width="7.75" style="56" customWidth="1"/>
    <col min="1034" max="1034" width="9.625" style="56" customWidth="1"/>
    <col min="1035" max="1035" width="34.25" style="56" customWidth="1"/>
    <col min="1036" max="1036" width="3.625" style="56" customWidth="1"/>
    <col min="1037" max="1280" width="9" style="56"/>
    <col min="1281" max="1289" width="7.75" style="56" customWidth="1"/>
    <col min="1290" max="1290" width="9.625" style="56" customWidth="1"/>
    <col min="1291" max="1291" width="34.25" style="56" customWidth="1"/>
    <col min="1292" max="1292" width="3.625" style="56" customWidth="1"/>
    <col min="1293" max="1536" width="9" style="56"/>
    <col min="1537" max="1545" width="7.75" style="56" customWidth="1"/>
    <col min="1546" max="1546" width="9.625" style="56" customWidth="1"/>
    <col min="1547" max="1547" width="34.25" style="56" customWidth="1"/>
    <col min="1548" max="1548" width="3.625" style="56" customWidth="1"/>
    <col min="1549" max="1792" width="9" style="56"/>
    <col min="1793" max="1801" width="7.75" style="56" customWidth="1"/>
    <col min="1802" max="1802" width="9.625" style="56" customWidth="1"/>
    <col min="1803" max="1803" width="34.25" style="56" customWidth="1"/>
    <col min="1804" max="1804" width="3.625" style="56" customWidth="1"/>
    <col min="1805" max="2048" width="9" style="56"/>
    <col min="2049" max="2057" width="7.75" style="56" customWidth="1"/>
    <col min="2058" max="2058" width="9.625" style="56" customWidth="1"/>
    <col min="2059" max="2059" width="34.25" style="56" customWidth="1"/>
    <col min="2060" max="2060" width="3.625" style="56" customWidth="1"/>
    <col min="2061" max="2304" width="9" style="56"/>
    <col min="2305" max="2313" width="7.75" style="56" customWidth="1"/>
    <col min="2314" max="2314" width="9.625" style="56" customWidth="1"/>
    <col min="2315" max="2315" width="34.25" style="56" customWidth="1"/>
    <col min="2316" max="2316" width="3.625" style="56" customWidth="1"/>
    <col min="2317" max="2560" width="9" style="56"/>
    <col min="2561" max="2569" width="7.75" style="56" customWidth="1"/>
    <col min="2570" max="2570" width="9.625" style="56" customWidth="1"/>
    <col min="2571" max="2571" width="34.25" style="56" customWidth="1"/>
    <col min="2572" max="2572" width="3.625" style="56" customWidth="1"/>
    <col min="2573" max="2816" width="9" style="56"/>
    <col min="2817" max="2825" width="7.75" style="56" customWidth="1"/>
    <col min="2826" max="2826" width="9.625" style="56" customWidth="1"/>
    <col min="2827" max="2827" width="34.25" style="56" customWidth="1"/>
    <col min="2828" max="2828" width="3.625" style="56" customWidth="1"/>
    <col min="2829" max="3072" width="9" style="56"/>
    <col min="3073" max="3081" width="7.75" style="56" customWidth="1"/>
    <col min="3082" max="3082" width="9.625" style="56" customWidth="1"/>
    <col min="3083" max="3083" width="34.25" style="56" customWidth="1"/>
    <col min="3084" max="3084" width="3.625" style="56" customWidth="1"/>
    <col min="3085" max="3328" width="9" style="56"/>
    <col min="3329" max="3337" width="7.75" style="56" customWidth="1"/>
    <col min="3338" max="3338" width="9.625" style="56" customWidth="1"/>
    <col min="3339" max="3339" width="34.25" style="56" customWidth="1"/>
    <col min="3340" max="3340" width="3.625" style="56" customWidth="1"/>
    <col min="3341" max="3584" width="9" style="56"/>
    <col min="3585" max="3593" width="7.75" style="56" customWidth="1"/>
    <col min="3594" max="3594" width="9.625" style="56" customWidth="1"/>
    <col min="3595" max="3595" width="34.25" style="56" customWidth="1"/>
    <col min="3596" max="3596" width="3.625" style="56" customWidth="1"/>
    <col min="3597" max="3840" width="9" style="56"/>
    <col min="3841" max="3849" width="7.75" style="56" customWidth="1"/>
    <col min="3850" max="3850" width="9.625" style="56" customWidth="1"/>
    <col min="3851" max="3851" width="34.25" style="56" customWidth="1"/>
    <col min="3852" max="3852" width="3.625" style="56" customWidth="1"/>
    <col min="3853" max="4096" width="9" style="56"/>
    <col min="4097" max="4105" width="7.75" style="56" customWidth="1"/>
    <col min="4106" max="4106" width="9.625" style="56" customWidth="1"/>
    <col min="4107" max="4107" width="34.25" style="56" customWidth="1"/>
    <col min="4108" max="4108" width="3.625" style="56" customWidth="1"/>
    <col min="4109" max="4352" width="9" style="56"/>
    <col min="4353" max="4361" width="7.75" style="56" customWidth="1"/>
    <col min="4362" max="4362" width="9.625" style="56" customWidth="1"/>
    <col min="4363" max="4363" width="34.25" style="56" customWidth="1"/>
    <col min="4364" max="4364" width="3.625" style="56" customWidth="1"/>
    <col min="4365" max="4608" width="9" style="56"/>
    <col min="4609" max="4617" width="7.75" style="56" customWidth="1"/>
    <col min="4618" max="4618" width="9.625" style="56" customWidth="1"/>
    <col min="4619" max="4619" width="34.25" style="56" customWidth="1"/>
    <col min="4620" max="4620" width="3.625" style="56" customWidth="1"/>
    <col min="4621" max="4864" width="9" style="56"/>
    <col min="4865" max="4873" width="7.75" style="56" customWidth="1"/>
    <col min="4874" max="4874" width="9.625" style="56" customWidth="1"/>
    <col min="4875" max="4875" width="34.25" style="56" customWidth="1"/>
    <col min="4876" max="4876" width="3.625" style="56" customWidth="1"/>
    <col min="4877" max="5120" width="9" style="56"/>
    <col min="5121" max="5129" width="7.75" style="56" customWidth="1"/>
    <col min="5130" max="5130" width="9.625" style="56" customWidth="1"/>
    <col min="5131" max="5131" width="34.25" style="56" customWidth="1"/>
    <col min="5132" max="5132" width="3.625" style="56" customWidth="1"/>
    <col min="5133" max="5376" width="9" style="56"/>
    <col min="5377" max="5385" width="7.75" style="56" customWidth="1"/>
    <col min="5386" max="5386" width="9.625" style="56" customWidth="1"/>
    <col min="5387" max="5387" width="34.25" style="56" customWidth="1"/>
    <col min="5388" max="5388" width="3.625" style="56" customWidth="1"/>
    <col min="5389" max="5632" width="9" style="56"/>
    <col min="5633" max="5641" width="7.75" style="56" customWidth="1"/>
    <col min="5642" max="5642" width="9.625" style="56" customWidth="1"/>
    <col min="5643" max="5643" width="34.25" style="56" customWidth="1"/>
    <col min="5644" max="5644" width="3.625" style="56" customWidth="1"/>
    <col min="5645" max="5888" width="9" style="56"/>
    <col min="5889" max="5897" width="7.75" style="56" customWidth="1"/>
    <col min="5898" max="5898" width="9.625" style="56" customWidth="1"/>
    <col min="5899" max="5899" width="34.25" style="56" customWidth="1"/>
    <col min="5900" max="5900" width="3.625" style="56" customWidth="1"/>
    <col min="5901" max="6144" width="9" style="56"/>
    <col min="6145" max="6153" width="7.75" style="56" customWidth="1"/>
    <col min="6154" max="6154" width="9.625" style="56" customWidth="1"/>
    <col min="6155" max="6155" width="34.25" style="56" customWidth="1"/>
    <col min="6156" max="6156" width="3.625" style="56" customWidth="1"/>
    <col min="6157" max="6400" width="9" style="56"/>
    <col min="6401" max="6409" width="7.75" style="56" customWidth="1"/>
    <col min="6410" max="6410" width="9.625" style="56" customWidth="1"/>
    <col min="6411" max="6411" width="34.25" style="56" customWidth="1"/>
    <col min="6412" max="6412" width="3.625" style="56" customWidth="1"/>
    <col min="6413" max="6656" width="9" style="56"/>
    <col min="6657" max="6665" width="7.75" style="56" customWidth="1"/>
    <col min="6666" max="6666" width="9.625" style="56" customWidth="1"/>
    <col min="6667" max="6667" width="34.25" style="56" customWidth="1"/>
    <col min="6668" max="6668" width="3.625" style="56" customWidth="1"/>
    <col min="6669" max="6912" width="9" style="56"/>
    <col min="6913" max="6921" width="7.75" style="56" customWidth="1"/>
    <col min="6922" max="6922" width="9.625" style="56" customWidth="1"/>
    <col min="6923" max="6923" width="34.25" style="56" customWidth="1"/>
    <col min="6924" max="6924" width="3.625" style="56" customWidth="1"/>
    <col min="6925" max="7168" width="9" style="56"/>
    <col min="7169" max="7177" width="7.75" style="56" customWidth="1"/>
    <col min="7178" max="7178" width="9.625" style="56" customWidth="1"/>
    <col min="7179" max="7179" width="34.25" style="56" customWidth="1"/>
    <col min="7180" max="7180" width="3.625" style="56" customWidth="1"/>
    <col min="7181" max="7424" width="9" style="56"/>
    <col min="7425" max="7433" width="7.75" style="56" customWidth="1"/>
    <col min="7434" max="7434" width="9.625" style="56" customWidth="1"/>
    <col min="7435" max="7435" width="34.25" style="56" customWidth="1"/>
    <col min="7436" max="7436" width="3.625" style="56" customWidth="1"/>
    <col min="7437" max="7680" width="9" style="56"/>
    <col min="7681" max="7689" width="7.75" style="56" customWidth="1"/>
    <col min="7690" max="7690" width="9.625" style="56" customWidth="1"/>
    <col min="7691" max="7691" width="34.25" style="56" customWidth="1"/>
    <col min="7692" max="7692" width="3.625" style="56" customWidth="1"/>
    <col min="7693" max="7936" width="9" style="56"/>
    <col min="7937" max="7945" width="7.75" style="56" customWidth="1"/>
    <col min="7946" max="7946" width="9.625" style="56" customWidth="1"/>
    <col min="7947" max="7947" width="34.25" style="56" customWidth="1"/>
    <col min="7948" max="7948" width="3.625" style="56" customWidth="1"/>
    <col min="7949" max="8192" width="9" style="56"/>
    <col min="8193" max="8201" width="7.75" style="56" customWidth="1"/>
    <col min="8202" max="8202" width="9.625" style="56" customWidth="1"/>
    <col min="8203" max="8203" width="34.25" style="56" customWidth="1"/>
    <col min="8204" max="8204" width="3.625" style="56" customWidth="1"/>
    <col min="8205" max="8448" width="9" style="56"/>
    <col min="8449" max="8457" width="7.75" style="56" customWidth="1"/>
    <col min="8458" max="8458" width="9.625" style="56" customWidth="1"/>
    <col min="8459" max="8459" width="34.25" style="56" customWidth="1"/>
    <col min="8460" max="8460" width="3.625" style="56" customWidth="1"/>
    <col min="8461" max="8704" width="9" style="56"/>
    <col min="8705" max="8713" width="7.75" style="56" customWidth="1"/>
    <col min="8714" max="8714" width="9.625" style="56" customWidth="1"/>
    <col min="8715" max="8715" width="34.25" style="56" customWidth="1"/>
    <col min="8716" max="8716" width="3.625" style="56" customWidth="1"/>
    <col min="8717" max="8960" width="9" style="56"/>
    <col min="8961" max="8969" width="7.75" style="56" customWidth="1"/>
    <col min="8970" max="8970" width="9.625" style="56" customWidth="1"/>
    <col min="8971" max="8971" width="34.25" style="56" customWidth="1"/>
    <col min="8972" max="8972" width="3.625" style="56" customWidth="1"/>
    <col min="8973" max="9216" width="9" style="56"/>
    <col min="9217" max="9225" width="7.75" style="56" customWidth="1"/>
    <col min="9226" max="9226" width="9.625" style="56" customWidth="1"/>
    <col min="9227" max="9227" width="34.25" style="56" customWidth="1"/>
    <col min="9228" max="9228" width="3.625" style="56" customWidth="1"/>
    <col min="9229" max="9472" width="9" style="56"/>
    <col min="9473" max="9481" width="7.75" style="56" customWidth="1"/>
    <col min="9482" max="9482" width="9.625" style="56" customWidth="1"/>
    <col min="9483" max="9483" width="34.25" style="56" customWidth="1"/>
    <col min="9484" max="9484" width="3.625" style="56" customWidth="1"/>
    <col min="9485" max="9728" width="9" style="56"/>
    <col min="9729" max="9737" width="7.75" style="56" customWidth="1"/>
    <col min="9738" max="9738" width="9.625" style="56" customWidth="1"/>
    <col min="9739" max="9739" width="34.25" style="56" customWidth="1"/>
    <col min="9740" max="9740" width="3.625" style="56" customWidth="1"/>
    <col min="9741" max="9984" width="9" style="56"/>
    <col min="9985" max="9993" width="7.75" style="56" customWidth="1"/>
    <col min="9994" max="9994" width="9.625" style="56" customWidth="1"/>
    <col min="9995" max="9995" width="34.25" style="56" customWidth="1"/>
    <col min="9996" max="9996" width="3.625" style="56" customWidth="1"/>
    <col min="9997" max="10240" width="9" style="56"/>
    <col min="10241" max="10249" width="7.75" style="56" customWidth="1"/>
    <col min="10250" max="10250" width="9.625" style="56" customWidth="1"/>
    <col min="10251" max="10251" width="34.25" style="56" customWidth="1"/>
    <col min="10252" max="10252" width="3.625" style="56" customWidth="1"/>
    <col min="10253" max="10496" width="9" style="56"/>
    <col min="10497" max="10505" width="7.75" style="56" customWidth="1"/>
    <col min="10506" max="10506" width="9.625" style="56" customWidth="1"/>
    <col min="10507" max="10507" width="34.25" style="56" customWidth="1"/>
    <col min="10508" max="10508" width="3.625" style="56" customWidth="1"/>
    <col min="10509" max="10752" width="9" style="56"/>
    <col min="10753" max="10761" width="7.75" style="56" customWidth="1"/>
    <col min="10762" max="10762" width="9.625" style="56" customWidth="1"/>
    <col min="10763" max="10763" width="34.25" style="56" customWidth="1"/>
    <col min="10764" max="10764" width="3.625" style="56" customWidth="1"/>
    <col min="10765" max="11008" width="9" style="56"/>
    <col min="11009" max="11017" width="7.75" style="56" customWidth="1"/>
    <col min="11018" max="11018" width="9.625" style="56" customWidth="1"/>
    <col min="11019" max="11019" width="34.25" style="56" customWidth="1"/>
    <col min="11020" max="11020" width="3.625" style="56" customWidth="1"/>
    <col min="11021" max="11264" width="9" style="56"/>
    <col min="11265" max="11273" width="7.75" style="56" customWidth="1"/>
    <col min="11274" max="11274" width="9.625" style="56" customWidth="1"/>
    <col min="11275" max="11275" width="34.25" style="56" customWidth="1"/>
    <col min="11276" max="11276" width="3.625" style="56" customWidth="1"/>
    <col min="11277" max="11520" width="9" style="56"/>
    <col min="11521" max="11529" width="7.75" style="56" customWidth="1"/>
    <col min="11530" max="11530" width="9.625" style="56" customWidth="1"/>
    <col min="11531" max="11531" width="34.25" style="56" customWidth="1"/>
    <col min="11532" max="11532" width="3.625" style="56" customWidth="1"/>
    <col min="11533" max="11776" width="9" style="56"/>
    <col min="11777" max="11785" width="7.75" style="56" customWidth="1"/>
    <col min="11786" max="11786" width="9.625" style="56" customWidth="1"/>
    <col min="11787" max="11787" width="34.25" style="56" customWidth="1"/>
    <col min="11788" max="11788" width="3.625" style="56" customWidth="1"/>
    <col min="11789" max="12032" width="9" style="56"/>
    <col min="12033" max="12041" width="7.75" style="56" customWidth="1"/>
    <col min="12042" max="12042" width="9.625" style="56" customWidth="1"/>
    <col min="12043" max="12043" width="34.25" style="56" customWidth="1"/>
    <col min="12044" max="12044" width="3.625" style="56" customWidth="1"/>
    <col min="12045" max="12288" width="9" style="56"/>
    <col min="12289" max="12297" width="7.75" style="56" customWidth="1"/>
    <col min="12298" max="12298" width="9.625" style="56" customWidth="1"/>
    <col min="12299" max="12299" width="34.25" style="56" customWidth="1"/>
    <col min="12300" max="12300" width="3.625" style="56" customWidth="1"/>
    <col min="12301" max="12544" width="9" style="56"/>
    <col min="12545" max="12553" width="7.75" style="56" customWidth="1"/>
    <col min="12554" max="12554" width="9.625" style="56" customWidth="1"/>
    <col min="12555" max="12555" width="34.25" style="56" customWidth="1"/>
    <col min="12556" max="12556" width="3.625" style="56" customWidth="1"/>
    <col min="12557" max="12800" width="9" style="56"/>
    <col min="12801" max="12809" width="7.75" style="56" customWidth="1"/>
    <col min="12810" max="12810" width="9.625" style="56" customWidth="1"/>
    <col min="12811" max="12811" width="34.25" style="56" customWidth="1"/>
    <col min="12812" max="12812" width="3.625" style="56" customWidth="1"/>
    <col min="12813" max="13056" width="9" style="56"/>
    <col min="13057" max="13065" width="7.75" style="56" customWidth="1"/>
    <col min="13066" max="13066" width="9.625" style="56" customWidth="1"/>
    <col min="13067" max="13067" width="34.25" style="56" customWidth="1"/>
    <col min="13068" max="13068" width="3.625" style="56" customWidth="1"/>
    <col min="13069" max="13312" width="9" style="56"/>
    <col min="13313" max="13321" width="7.75" style="56" customWidth="1"/>
    <col min="13322" max="13322" width="9.625" style="56" customWidth="1"/>
    <col min="13323" max="13323" width="34.25" style="56" customWidth="1"/>
    <col min="13324" max="13324" width="3.625" style="56" customWidth="1"/>
    <col min="13325" max="13568" width="9" style="56"/>
    <col min="13569" max="13577" width="7.75" style="56" customWidth="1"/>
    <col min="13578" max="13578" width="9.625" style="56" customWidth="1"/>
    <col min="13579" max="13579" width="34.25" style="56" customWidth="1"/>
    <col min="13580" max="13580" width="3.625" style="56" customWidth="1"/>
    <col min="13581" max="13824" width="9" style="56"/>
    <col min="13825" max="13833" width="7.75" style="56" customWidth="1"/>
    <col min="13834" max="13834" width="9.625" style="56" customWidth="1"/>
    <col min="13835" max="13835" width="34.25" style="56" customWidth="1"/>
    <col min="13836" max="13836" width="3.625" style="56" customWidth="1"/>
    <col min="13837" max="14080" width="9" style="56"/>
    <col min="14081" max="14089" width="7.75" style="56" customWidth="1"/>
    <col min="14090" max="14090" width="9.625" style="56" customWidth="1"/>
    <col min="14091" max="14091" width="34.25" style="56" customWidth="1"/>
    <col min="14092" max="14092" width="3.625" style="56" customWidth="1"/>
    <col min="14093" max="14336" width="9" style="56"/>
    <col min="14337" max="14345" width="7.75" style="56" customWidth="1"/>
    <col min="14346" max="14346" width="9.625" style="56" customWidth="1"/>
    <col min="14347" max="14347" width="34.25" style="56" customWidth="1"/>
    <col min="14348" max="14348" width="3.625" style="56" customWidth="1"/>
    <col min="14349" max="14592" width="9" style="56"/>
    <col min="14593" max="14601" width="7.75" style="56" customWidth="1"/>
    <col min="14602" max="14602" width="9.625" style="56" customWidth="1"/>
    <col min="14603" max="14603" width="34.25" style="56" customWidth="1"/>
    <col min="14604" max="14604" width="3.625" style="56" customWidth="1"/>
    <col min="14605" max="14848" width="9" style="56"/>
    <col min="14849" max="14857" width="7.75" style="56" customWidth="1"/>
    <col min="14858" max="14858" width="9.625" style="56" customWidth="1"/>
    <col min="14859" max="14859" width="34.25" style="56" customWidth="1"/>
    <col min="14860" max="14860" width="3.625" style="56" customWidth="1"/>
    <col min="14861" max="15104" width="9" style="56"/>
    <col min="15105" max="15113" width="7.75" style="56" customWidth="1"/>
    <col min="15114" max="15114" width="9.625" style="56" customWidth="1"/>
    <col min="15115" max="15115" width="34.25" style="56" customWidth="1"/>
    <col min="15116" max="15116" width="3.625" style="56" customWidth="1"/>
    <col min="15117" max="15360" width="9" style="56"/>
    <col min="15361" max="15369" width="7.75" style="56" customWidth="1"/>
    <col min="15370" max="15370" width="9.625" style="56" customWidth="1"/>
    <col min="15371" max="15371" width="34.25" style="56" customWidth="1"/>
    <col min="15372" max="15372" width="3.625" style="56" customWidth="1"/>
    <col min="15373" max="15616" width="9" style="56"/>
    <col min="15617" max="15625" width="7.75" style="56" customWidth="1"/>
    <col min="15626" max="15626" width="9.625" style="56" customWidth="1"/>
    <col min="15627" max="15627" width="34.25" style="56" customWidth="1"/>
    <col min="15628" max="15628" width="3.625" style="56" customWidth="1"/>
    <col min="15629" max="15872" width="9" style="56"/>
    <col min="15873" max="15881" width="7.75" style="56" customWidth="1"/>
    <col min="15882" max="15882" width="9.625" style="56" customWidth="1"/>
    <col min="15883" max="15883" width="34.25" style="56" customWidth="1"/>
    <col min="15884" max="15884" width="3.625" style="56" customWidth="1"/>
    <col min="15885" max="16128" width="9" style="56"/>
    <col min="16129" max="16137" width="7.75" style="56" customWidth="1"/>
    <col min="16138" max="16138" width="9.625" style="56" customWidth="1"/>
    <col min="16139" max="16139" width="34.25" style="56" customWidth="1"/>
    <col min="16140" max="16140" width="3.625" style="56" customWidth="1"/>
    <col min="16141" max="16384" width="9" style="56"/>
  </cols>
  <sheetData>
    <row r="1" spans="1:13" ht="20.100000000000001" customHeight="1" x14ac:dyDescent="0.2">
      <c r="A1" s="174" t="s">
        <v>234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55"/>
    </row>
    <row r="2" spans="1:13" ht="20.100000000000001" customHeight="1" thickBot="1" x14ac:dyDescent="0.25">
      <c r="A2" s="175" t="s">
        <v>235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55"/>
    </row>
    <row r="3" spans="1:13" ht="18" customHeight="1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183"/>
      <c r="K3" s="183"/>
      <c r="L3" s="55"/>
    </row>
    <row r="4" spans="1:13" ht="13.5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182" t="s">
        <v>228</v>
      </c>
      <c r="K4" s="182"/>
      <c r="L4" s="55"/>
    </row>
    <row r="5" spans="1:13" ht="13.5" thickBot="1" x14ac:dyDescent="0.25">
      <c r="A5" s="75">
        <f>SUM(B5:C5)</f>
        <v>0</v>
      </c>
      <c r="B5" s="75">
        <f>H5+E5</f>
        <v>0</v>
      </c>
      <c r="C5" s="75">
        <f>I5+F5</f>
        <v>0</v>
      </c>
      <c r="D5" s="75">
        <f>SUM(E5:F5)</f>
        <v>0</v>
      </c>
      <c r="E5" s="75">
        <v>0</v>
      </c>
      <c r="F5" s="75">
        <v>0</v>
      </c>
      <c r="G5" s="75">
        <f>SUM(H5:I5)</f>
        <v>0</v>
      </c>
      <c r="H5" s="75">
        <v>0</v>
      </c>
      <c r="I5" s="75">
        <v>0</v>
      </c>
      <c r="J5" s="70" t="s">
        <v>61</v>
      </c>
      <c r="K5" s="71"/>
      <c r="L5" s="55"/>
      <c r="M5" s="69"/>
    </row>
    <row r="6" spans="1:13" ht="13.5" thickBot="1" x14ac:dyDescent="0.25">
      <c r="A6" s="75">
        <f t="shared" ref="A6:A67" si="0">SUM(B6:C6)</f>
        <v>117</v>
      </c>
      <c r="B6" s="75">
        <f t="shared" ref="B6:C67" si="1">H6+E6</f>
        <v>3</v>
      </c>
      <c r="C6" s="75">
        <f t="shared" si="1"/>
        <v>114</v>
      </c>
      <c r="D6" s="75">
        <f t="shared" ref="D6:D67" si="2">SUM(E6:F6)</f>
        <v>74</v>
      </c>
      <c r="E6" s="75">
        <v>0</v>
      </c>
      <c r="F6" s="75">
        <f>71+3</f>
        <v>74</v>
      </c>
      <c r="G6" s="75">
        <f t="shared" ref="G6:G67" si="3">SUM(H6:I6)</f>
        <v>43</v>
      </c>
      <c r="H6" s="75">
        <v>3</v>
      </c>
      <c r="I6" s="75">
        <f>10+10+20</f>
        <v>40</v>
      </c>
      <c r="J6" s="70" t="s">
        <v>62</v>
      </c>
      <c r="K6" s="71" t="s">
        <v>182</v>
      </c>
      <c r="L6" s="55"/>
      <c r="M6" s="69"/>
    </row>
    <row r="7" spans="1:13" ht="13.5" thickBot="1" x14ac:dyDescent="0.25">
      <c r="A7" s="75">
        <f t="shared" si="0"/>
        <v>0</v>
      </c>
      <c r="B7" s="75">
        <f t="shared" si="1"/>
        <v>0</v>
      </c>
      <c r="C7" s="75">
        <f t="shared" si="1"/>
        <v>0</v>
      </c>
      <c r="D7" s="75">
        <f t="shared" si="2"/>
        <v>0</v>
      </c>
      <c r="E7" s="75">
        <v>0</v>
      </c>
      <c r="F7" s="75">
        <v>0</v>
      </c>
      <c r="G7" s="75">
        <f t="shared" si="3"/>
        <v>0</v>
      </c>
      <c r="H7" s="75">
        <v>0</v>
      </c>
      <c r="I7" s="75">
        <v>0</v>
      </c>
      <c r="J7" s="70" t="s">
        <v>64</v>
      </c>
      <c r="K7" s="76"/>
      <c r="L7" s="55"/>
    </row>
    <row r="8" spans="1:13" ht="13.5" thickBot="1" x14ac:dyDescent="0.25">
      <c r="A8" s="75">
        <f t="shared" si="0"/>
        <v>293</v>
      </c>
      <c r="B8" s="75">
        <f t="shared" si="1"/>
        <v>9</v>
      </c>
      <c r="C8" s="75">
        <f t="shared" si="1"/>
        <v>284</v>
      </c>
      <c r="D8" s="75">
        <f t="shared" si="2"/>
        <v>7</v>
      </c>
      <c r="E8" s="75">
        <v>0</v>
      </c>
      <c r="F8" s="75">
        <f>10-3</f>
        <v>7</v>
      </c>
      <c r="G8" s="75">
        <f t="shared" si="3"/>
        <v>286</v>
      </c>
      <c r="H8" s="75">
        <f>5+4</f>
        <v>9</v>
      </c>
      <c r="I8" s="75">
        <f>275+2</f>
        <v>277</v>
      </c>
      <c r="J8" s="70" t="s">
        <v>61</v>
      </c>
      <c r="K8" s="71"/>
      <c r="L8" s="55"/>
      <c r="M8" s="69"/>
    </row>
    <row r="9" spans="1:13" ht="13.5" thickBot="1" x14ac:dyDescent="0.25">
      <c r="A9" s="75">
        <f t="shared" si="0"/>
        <v>636</v>
      </c>
      <c r="B9" s="75">
        <f t="shared" si="1"/>
        <v>191</v>
      </c>
      <c r="C9" s="75">
        <f t="shared" si="1"/>
        <v>445</v>
      </c>
      <c r="D9" s="75">
        <f t="shared" si="2"/>
        <v>27</v>
      </c>
      <c r="E9" s="75">
        <f>1+3</f>
        <v>4</v>
      </c>
      <c r="F9" s="75">
        <f>20+3</f>
        <v>23</v>
      </c>
      <c r="G9" s="75">
        <f t="shared" si="3"/>
        <v>609</v>
      </c>
      <c r="H9" s="75">
        <f>87+100</f>
        <v>187</v>
      </c>
      <c r="I9" s="75">
        <f>322+100</f>
        <v>422</v>
      </c>
      <c r="J9" s="70" t="s">
        <v>62</v>
      </c>
      <c r="K9" s="71" t="s">
        <v>183</v>
      </c>
      <c r="L9" s="55"/>
      <c r="M9" s="69"/>
    </row>
    <row r="10" spans="1:13" ht="13.5" thickBot="1" x14ac:dyDescent="0.25">
      <c r="A10" s="75">
        <f t="shared" si="0"/>
        <v>79</v>
      </c>
      <c r="B10" s="75">
        <f t="shared" si="1"/>
        <v>2</v>
      </c>
      <c r="C10" s="75">
        <f t="shared" si="1"/>
        <v>77</v>
      </c>
      <c r="D10" s="75">
        <f t="shared" si="2"/>
        <v>61</v>
      </c>
      <c r="E10" s="75">
        <v>2</v>
      </c>
      <c r="F10" s="75">
        <f>50+9</f>
        <v>59</v>
      </c>
      <c r="G10" s="75">
        <f t="shared" si="3"/>
        <v>18</v>
      </c>
      <c r="H10" s="75">
        <v>0</v>
      </c>
      <c r="I10" s="75">
        <v>18</v>
      </c>
      <c r="J10" s="70" t="s">
        <v>64</v>
      </c>
      <c r="K10" s="76"/>
      <c r="L10" s="55"/>
    </row>
    <row r="11" spans="1:13" ht="13.5" thickBot="1" x14ac:dyDescent="0.25">
      <c r="A11" s="75">
        <f t="shared" si="0"/>
        <v>0</v>
      </c>
      <c r="B11" s="75">
        <f t="shared" si="1"/>
        <v>0</v>
      </c>
      <c r="C11" s="75">
        <f t="shared" si="1"/>
        <v>0</v>
      </c>
      <c r="D11" s="75">
        <f t="shared" si="2"/>
        <v>0</v>
      </c>
      <c r="E11" s="75">
        <v>0</v>
      </c>
      <c r="F11" s="75">
        <v>0</v>
      </c>
      <c r="G11" s="75">
        <f t="shared" si="3"/>
        <v>0</v>
      </c>
      <c r="H11" s="75">
        <v>0</v>
      </c>
      <c r="I11" s="75">
        <v>0</v>
      </c>
      <c r="J11" s="70" t="s">
        <v>61</v>
      </c>
      <c r="K11" s="71"/>
      <c r="L11" s="55"/>
      <c r="M11" s="69"/>
    </row>
    <row r="12" spans="1:13" ht="13.5" thickBot="1" x14ac:dyDescent="0.25">
      <c r="A12" s="75">
        <f t="shared" si="0"/>
        <v>0</v>
      </c>
      <c r="B12" s="75">
        <f t="shared" si="1"/>
        <v>0</v>
      </c>
      <c r="C12" s="75">
        <f t="shared" si="1"/>
        <v>0</v>
      </c>
      <c r="D12" s="75">
        <f t="shared" si="2"/>
        <v>0</v>
      </c>
      <c r="E12" s="75">
        <v>0</v>
      </c>
      <c r="F12" s="75">
        <v>0</v>
      </c>
      <c r="G12" s="75">
        <f t="shared" si="3"/>
        <v>0</v>
      </c>
      <c r="H12" s="75">
        <v>0</v>
      </c>
      <c r="I12" s="75">
        <v>0</v>
      </c>
      <c r="J12" s="70" t="s">
        <v>62</v>
      </c>
      <c r="K12" s="71" t="s">
        <v>184</v>
      </c>
      <c r="L12" s="55"/>
      <c r="M12" s="69"/>
    </row>
    <row r="13" spans="1:13" ht="13.5" thickBot="1" x14ac:dyDescent="0.25">
      <c r="A13" s="75">
        <f t="shared" si="0"/>
        <v>2</v>
      </c>
      <c r="B13" s="75">
        <f t="shared" si="1"/>
        <v>1</v>
      </c>
      <c r="C13" s="75">
        <f t="shared" si="1"/>
        <v>1</v>
      </c>
      <c r="D13" s="75">
        <f t="shared" si="2"/>
        <v>0</v>
      </c>
      <c r="E13" s="75">
        <v>0</v>
      </c>
      <c r="F13" s="75">
        <v>0</v>
      </c>
      <c r="G13" s="75">
        <f t="shared" si="3"/>
        <v>2</v>
      </c>
      <c r="H13" s="75">
        <v>1</v>
      </c>
      <c r="I13" s="75">
        <v>1</v>
      </c>
      <c r="J13" s="70" t="s">
        <v>64</v>
      </c>
      <c r="K13" s="76"/>
      <c r="L13" s="55"/>
    </row>
    <row r="14" spans="1:13" ht="13.5" thickBot="1" x14ac:dyDescent="0.25">
      <c r="A14" s="75">
        <f t="shared" si="0"/>
        <v>199</v>
      </c>
      <c r="B14" s="75">
        <f t="shared" si="1"/>
        <v>87</v>
      </c>
      <c r="C14" s="75">
        <f t="shared" si="1"/>
        <v>112</v>
      </c>
      <c r="D14" s="75">
        <f t="shared" si="2"/>
        <v>3</v>
      </c>
      <c r="E14" s="75">
        <v>1</v>
      </c>
      <c r="F14" s="75">
        <v>2</v>
      </c>
      <c r="G14" s="75">
        <f t="shared" si="3"/>
        <v>196</v>
      </c>
      <c r="H14" s="75">
        <f>82+4</f>
        <v>86</v>
      </c>
      <c r="I14" s="75">
        <f>108+2</f>
        <v>110</v>
      </c>
      <c r="J14" s="70" t="s">
        <v>61</v>
      </c>
      <c r="K14" s="71"/>
      <c r="L14" s="55"/>
      <c r="M14" s="69"/>
    </row>
    <row r="15" spans="1:13" ht="13.5" thickBot="1" x14ac:dyDescent="0.25">
      <c r="A15" s="75">
        <f t="shared" si="0"/>
        <v>938</v>
      </c>
      <c r="B15" s="75">
        <f t="shared" si="1"/>
        <v>427</v>
      </c>
      <c r="C15" s="75">
        <f t="shared" si="1"/>
        <v>511</v>
      </c>
      <c r="D15" s="75">
        <f t="shared" si="2"/>
        <v>24</v>
      </c>
      <c r="E15" s="75">
        <f>3+3</f>
        <v>6</v>
      </c>
      <c r="F15" s="75">
        <f>14+4</f>
        <v>18</v>
      </c>
      <c r="G15" s="75">
        <f t="shared" si="3"/>
        <v>914</v>
      </c>
      <c r="H15" s="75">
        <f>311+110</f>
        <v>421</v>
      </c>
      <c r="I15" s="75">
        <f>383+110</f>
        <v>493</v>
      </c>
      <c r="J15" s="70" t="s">
        <v>62</v>
      </c>
      <c r="K15" s="71" t="s">
        <v>185</v>
      </c>
      <c r="L15" s="55"/>
      <c r="M15" s="69"/>
    </row>
    <row r="16" spans="1:13" ht="13.5" thickBot="1" x14ac:dyDescent="0.25">
      <c r="A16" s="75">
        <f t="shared" si="0"/>
        <v>1061</v>
      </c>
      <c r="B16" s="75">
        <f t="shared" si="1"/>
        <v>211</v>
      </c>
      <c r="C16" s="75">
        <f t="shared" si="1"/>
        <v>850</v>
      </c>
      <c r="D16" s="75">
        <f t="shared" si="2"/>
        <v>21</v>
      </c>
      <c r="E16" s="75">
        <v>0</v>
      </c>
      <c r="F16" s="75">
        <f>12+9</f>
        <v>21</v>
      </c>
      <c r="G16" s="75">
        <f t="shared" si="3"/>
        <v>1040</v>
      </c>
      <c r="H16" s="75">
        <f>408-100-97</f>
        <v>211</v>
      </c>
      <c r="I16" s="75">
        <f>1248-319-100</f>
        <v>829</v>
      </c>
      <c r="J16" s="70" t="s">
        <v>64</v>
      </c>
      <c r="K16" s="76"/>
      <c r="L16" s="55"/>
    </row>
    <row r="17" spans="1:13" ht="13.5" thickBot="1" x14ac:dyDescent="0.25">
      <c r="A17" s="75">
        <f t="shared" si="0"/>
        <v>0</v>
      </c>
      <c r="B17" s="75">
        <f t="shared" si="1"/>
        <v>0</v>
      </c>
      <c r="C17" s="75">
        <f t="shared" si="1"/>
        <v>0</v>
      </c>
      <c r="D17" s="75">
        <f t="shared" si="2"/>
        <v>0</v>
      </c>
      <c r="E17" s="75">
        <v>0</v>
      </c>
      <c r="F17" s="75">
        <v>0</v>
      </c>
      <c r="G17" s="75">
        <f t="shared" si="3"/>
        <v>0</v>
      </c>
      <c r="H17" s="75">
        <v>0</v>
      </c>
      <c r="I17" s="75">
        <v>0</v>
      </c>
      <c r="J17" s="70" t="s">
        <v>61</v>
      </c>
      <c r="K17" s="71"/>
      <c r="L17" s="55"/>
      <c r="M17" s="69"/>
    </row>
    <row r="18" spans="1:13" ht="13.5" thickBot="1" x14ac:dyDescent="0.25">
      <c r="A18" s="75">
        <f t="shared" si="0"/>
        <v>17</v>
      </c>
      <c r="B18" s="75">
        <f t="shared" si="1"/>
        <v>0</v>
      </c>
      <c r="C18" s="75">
        <f t="shared" si="1"/>
        <v>17</v>
      </c>
      <c r="D18" s="75">
        <f t="shared" si="2"/>
        <v>2</v>
      </c>
      <c r="E18" s="75">
        <v>0</v>
      </c>
      <c r="F18" s="75">
        <v>2</v>
      </c>
      <c r="G18" s="75">
        <f t="shared" si="3"/>
        <v>15</v>
      </c>
      <c r="H18" s="75">
        <v>0</v>
      </c>
      <c r="I18" s="75">
        <f>5+10</f>
        <v>15</v>
      </c>
      <c r="J18" s="70" t="s">
        <v>62</v>
      </c>
      <c r="K18" s="71" t="s">
        <v>186</v>
      </c>
      <c r="L18" s="55"/>
      <c r="M18" s="69"/>
    </row>
    <row r="19" spans="1:13" ht="13.5" thickBot="1" x14ac:dyDescent="0.25">
      <c r="A19" s="75">
        <f t="shared" si="0"/>
        <v>0</v>
      </c>
      <c r="B19" s="75">
        <f t="shared" si="1"/>
        <v>0</v>
      </c>
      <c r="C19" s="75">
        <f t="shared" si="1"/>
        <v>0</v>
      </c>
      <c r="D19" s="75">
        <f t="shared" si="2"/>
        <v>0</v>
      </c>
      <c r="E19" s="75">
        <v>0</v>
      </c>
      <c r="F19" s="75">
        <v>0</v>
      </c>
      <c r="G19" s="75">
        <f t="shared" si="3"/>
        <v>0</v>
      </c>
      <c r="H19" s="75">
        <v>0</v>
      </c>
      <c r="I19" s="75">
        <v>0</v>
      </c>
      <c r="J19" s="70" t="s">
        <v>64</v>
      </c>
      <c r="K19" s="76"/>
      <c r="L19" s="55"/>
    </row>
    <row r="20" spans="1:13" ht="13.5" thickBot="1" x14ac:dyDescent="0.25">
      <c r="A20" s="75">
        <f t="shared" si="0"/>
        <v>53</v>
      </c>
      <c r="B20" s="75">
        <f t="shared" si="1"/>
        <v>26</v>
      </c>
      <c r="C20" s="75">
        <f t="shared" si="1"/>
        <v>27</v>
      </c>
      <c r="D20" s="75">
        <f t="shared" si="2"/>
        <v>1</v>
      </c>
      <c r="E20" s="75">
        <v>0</v>
      </c>
      <c r="F20" s="75">
        <v>1</v>
      </c>
      <c r="G20" s="75">
        <f t="shared" si="3"/>
        <v>52</v>
      </c>
      <c r="H20" s="75">
        <v>26</v>
      </c>
      <c r="I20" s="75">
        <f>25+1</f>
        <v>26</v>
      </c>
      <c r="J20" s="70" t="s">
        <v>61</v>
      </c>
      <c r="K20" s="71"/>
      <c r="L20" s="55"/>
      <c r="M20" s="69"/>
    </row>
    <row r="21" spans="1:13" ht="13.5" thickBot="1" x14ac:dyDescent="0.25">
      <c r="A21" s="75">
        <f t="shared" si="0"/>
        <v>424</v>
      </c>
      <c r="B21" s="75">
        <f t="shared" si="1"/>
        <v>195</v>
      </c>
      <c r="C21" s="75">
        <f t="shared" si="1"/>
        <v>229</v>
      </c>
      <c r="D21" s="75">
        <f t="shared" si="2"/>
        <v>13</v>
      </c>
      <c r="E21" s="75">
        <f>2+3</f>
        <v>5</v>
      </c>
      <c r="F21" s="75">
        <f>5+3</f>
        <v>8</v>
      </c>
      <c r="G21" s="75">
        <f t="shared" si="3"/>
        <v>411</v>
      </c>
      <c r="H21" s="75">
        <f>152+38</f>
        <v>190</v>
      </c>
      <c r="I21" s="75">
        <f>121+100</f>
        <v>221</v>
      </c>
      <c r="J21" s="70" t="s">
        <v>62</v>
      </c>
      <c r="K21" s="71" t="s">
        <v>187</v>
      </c>
      <c r="L21" s="55"/>
      <c r="M21" s="69"/>
    </row>
    <row r="22" spans="1:13" ht="13.5" thickBot="1" x14ac:dyDescent="0.25">
      <c r="A22" s="75">
        <f t="shared" si="0"/>
        <v>90</v>
      </c>
      <c r="B22" s="75">
        <f t="shared" si="1"/>
        <v>0</v>
      </c>
      <c r="C22" s="75">
        <f t="shared" si="1"/>
        <v>90</v>
      </c>
      <c r="D22" s="75">
        <f t="shared" si="2"/>
        <v>0</v>
      </c>
      <c r="E22" s="75">
        <v>0</v>
      </c>
      <c r="F22" s="75">
        <v>0</v>
      </c>
      <c r="G22" s="75">
        <f t="shared" si="3"/>
        <v>90</v>
      </c>
      <c r="H22" s="75">
        <v>0</v>
      </c>
      <c r="I22" s="75">
        <v>90</v>
      </c>
      <c r="J22" s="70" t="s">
        <v>64</v>
      </c>
      <c r="K22" s="76"/>
      <c r="L22" s="55"/>
    </row>
    <row r="23" spans="1:13" ht="13.5" thickBot="1" x14ac:dyDescent="0.25">
      <c r="A23" s="75">
        <f t="shared" si="0"/>
        <v>122</v>
      </c>
      <c r="B23" s="75">
        <f t="shared" si="1"/>
        <v>36</v>
      </c>
      <c r="C23" s="75">
        <f t="shared" si="1"/>
        <v>86</v>
      </c>
      <c r="D23" s="75">
        <f t="shared" si="2"/>
        <v>0</v>
      </c>
      <c r="E23" s="75">
        <v>0</v>
      </c>
      <c r="F23" s="75">
        <v>0</v>
      </c>
      <c r="G23" s="75">
        <f t="shared" si="3"/>
        <v>122</v>
      </c>
      <c r="H23" s="75">
        <v>36</v>
      </c>
      <c r="I23" s="75">
        <v>86</v>
      </c>
      <c r="J23" s="70" t="s">
        <v>61</v>
      </c>
      <c r="K23" s="71"/>
      <c r="L23" s="55"/>
      <c r="M23" s="69"/>
    </row>
    <row r="24" spans="1:13" ht="13.5" thickBot="1" x14ac:dyDescent="0.25">
      <c r="A24" s="75">
        <f t="shared" si="0"/>
        <v>900</v>
      </c>
      <c r="B24" s="75">
        <f t="shared" si="1"/>
        <v>405</v>
      </c>
      <c r="C24" s="75">
        <f t="shared" si="1"/>
        <v>495</v>
      </c>
      <c r="D24" s="75">
        <f t="shared" si="2"/>
        <v>3</v>
      </c>
      <c r="E24" s="75">
        <v>0</v>
      </c>
      <c r="F24" s="75">
        <v>3</v>
      </c>
      <c r="G24" s="75">
        <f t="shared" si="3"/>
        <v>897</v>
      </c>
      <c r="H24" s="75">
        <v>405</v>
      </c>
      <c r="I24" s="75">
        <v>492</v>
      </c>
      <c r="J24" s="70" t="s">
        <v>62</v>
      </c>
      <c r="K24" s="71" t="s">
        <v>188</v>
      </c>
      <c r="L24" s="55"/>
      <c r="M24" s="69"/>
    </row>
    <row r="25" spans="1:13" ht="13.5" thickBot="1" x14ac:dyDescent="0.25">
      <c r="A25" s="75">
        <f t="shared" si="0"/>
        <v>694</v>
      </c>
      <c r="B25" s="75">
        <f t="shared" si="1"/>
        <v>59</v>
      </c>
      <c r="C25" s="75">
        <f t="shared" si="1"/>
        <v>635</v>
      </c>
      <c r="D25" s="75">
        <f t="shared" si="2"/>
        <v>0</v>
      </c>
      <c r="E25" s="75">
        <v>0</v>
      </c>
      <c r="F25" s="75">
        <v>0</v>
      </c>
      <c r="G25" s="75">
        <f t="shared" si="3"/>
        <v>694</v>
      </c>
      <c r="H25" s="75">
        <f>79-10-10</f>
        <v>59</v>
      </c>
      <c r="I25" s="75">
        <f>948-313</f>
        <v>635</v>
      </c>
      <c r="J25" s="70" t="s">
        <v>64</v>
      </c>
      <c r="K25" s="76"/>
      <c r="L25" s="55"/>
    </row>
    <row r="26" spans="1:13" ht="13.5" thickBot="1" x14ac:dyDescent="0.25">
      <c r="A26" s="75">
        <f t="shared" si="0"/>
        <v>21</v>
      </c>
      <c r="B26" s="75">
        <f t="shared" si="1"/>
        <v>0</v>
      </c>
      <c r="C26" s="75">
        <f t="shared" si="1"/>
        <v>21</v>
      </c>
      <c r="D26" s="75">
        <f t="shared" si="2"/>
        <v>0</v>
      </c>
      <c r="E26" s="75">
        <v>0</v>
      </c>
      <c r="F26" s="75">
        <v>0</v>
      </c>
      <c r="G26" s="75">
        <f t="shared" si="3"/>
        <v>21</v>
      </c>
      <c r="H26" s="75">
        <v>0</v>
      </c>
      <c r="I26" s="75">
        <v>21</v>
      </c>
      <c r="J26" s="70" t="s">
        <v>61</v>
      </c>
      <c r="K26" s="71"/>
      <c r="L26" s="55"/>
      <c r="M26" s="69"/>
    </row>
    <row r="27" spans="1:13" ht="13.5" thickBot="1" x14ac:dyDescent="0.25">
      <c r="A27" s="75">
        <f t="shared" si="0"/>
        <v>245</v>
      </c>
      <c r="B27" s="75">
        <f t="shared" si="1"/>
        <v>34</v>
      </c>
      <c r="C27" s="75">
        <f t="shared" si="1"/>
        <v>211</v>
      </c>
      <c r="D27" s="75">
        <f t="shared" si="2"/>
        <v>16</v>
      </c>
      <c r="E27" s="75">
        <v>0</v>
      </c>
      <c r="F27" s="75">
        <v>16</v>
      </c>
      <c r="G27" s="75">
        <f t="shared" si="3"/>
        <v>229</v>
      </c>
      <c r="H27" s="75">
        <v>34</v>
      </c>
      <c r="I27" s="75">
        <f>144+51</f>
        <v>195</v>
      </c>
      <c r="J27" s="70" t="s">
        <v>62</v>
      </c>
      <c r="K27" s="71" t="s">
        <v>189</v>
      </c>
      <c r="L27" s="55"/>
      <c r="M27" s="69"/>
    </row>
    <row r="28" spans="1:13" ht="13.5" thickBot="1" x14ac:dyDescent="0.25">
      <c r="A28" s="75">
        <f t="shared" si="0"/>
        <v>0</v>
      </c>
      <c r="B28" s="75">
        <f t="shared" si="1"/>
        <v>0</v>
      </c>
      <c r="C28" s="75">
        <f t="shared" si="1"/>
        <v>0</v>
      </c>
      <c r="D28" s="75">
        <f t="shared" si="2"/>
        <v>0</v>
      </c>
      <c r="E28" s="75">
        <v>0</v>
      </c>
      <c r="F28" s="75">
        <v>0</v>
      </c>
      <c r="G28" s="75">
        <f t="shared" si="3"/>
        <v>0</v>
      </c>
      <c r="H28" s="75">
        <v>0</v>
      </c>
      <c r="I28" s="75">
        <v>0</v>
      </c>
      <c r="J28" s="70" t="s">
        <v>64</v>
      </c>
      <c r="K28" s="76"/>
      <c r="L28" s="55"/>
    </row>
    <row r="29" spans="1:13" ht="13.5" thickBot="1" x14ac:dyDescent="0.25">
      <c r="A29" s="75">
        <f t="shared" si="0"/>
        <v>0</v>
      </c>
      <c r="B29" s="75">
        <f t="shared" si="1"/>
        <v>0</v>
      </c>
      <c r="C29" s="75">
        <f t="shared" si="1"/>
        <v>0</v>
      </c>
      <c r="D29" s="75">
        <f t="shared" si="2"/>
        <v>0</v>
      </c>
      <c r="E29" s="75">
        <v>0</v>
      </c>
      <c r="F29" s="75">
        <v>0</v>
      </c>
      <c r="G29" s="75">
        <f t="shared" si="3"/>
        <v>0</v>
      </c>
      <c r="H29" s="75">
        <v>0</v>
      </c>
      <c r="I29" s="75">
        <v>0</v>
      </c>
      <c r="J29" s="70" t="s">
        <v>61</v>
      </c>
      <c r="K29" s="71"/>
      <c r="L29" s="55"/>
      <c r="M29" s="69"/>
    </row>
    <row r="30" spans="1:13" ht="13.5" thickBot="1" x14ac:dyDescent="0.25">
      <c r="A30" s="75">
        <f t="shared" si="0"/>
        <v>374</v>
      </c>
      <c r="B30" s="75">
        <f t="shared" si="1"/>
        <v>137</v>
      </c>
      <c r="C30" s="75">
        <f t="shared" si="1"/>
        <v>237</v>
      </c>
      <c r="D30" s="75">
        <f t="shared" si="2"/>
        <v>21</v>
      </c>
      <c r="E30" s="75">
        <f>7+1</f>
        <v>8</v>
      </c>
      <c r="F30" s="75">
        <v>13</v>
      </c>
      <c r="G30" s="75">
        <f t="shared" si="3"/>
        <v>353</v>
      </c>
      <c r="H30" s="75">
        <v>129</v>
      </c>
      <c r="I30" s="75">
        <f>194+30</f>
        <v>224</v>
      </c>
      <c r="J30" s="70" t="s">
        <v>62</v>
      </c>
      <c r="K30" s="71" t="s">
        <v>190</v>
      </c>
      <c r="L30" s="55"/>
      <c r="M30" s="69"/>
    </row>
    <row r="31" spans="1:13" ht="13.5" thickBot="1" x14ac:dyDescent="0.25">
      <c r="A31" s="75">
        <f t="shared" si="0"/>
        <v>70</v>
      </c>
      <c r="B31" s="75">
        <f t="shared" si="1"/>
        <v>0</v>
      </c>
      <c r="C31" s="75">
        <f t="shared" si="1"/>
        <v>70</v>
      </c>
      <c r="D31" s="75">
        <f t="shared" si="2"/>
        <v>20</v>
      </c>
      <c r="E31" s="75">
        <v>0</v>
      </c>
      <c r="F31" s="75">
        <f>9+5+6</f>
        <v>20</v>
      </c>
      <c r="G31" s="75">
        <f t="shared" si="3"/>
        <v>50</v>
      </c>
      <c r="H31" s="75">
        <v>0</v>
      </c>
      <c r="I31" s="75">
        <v>50</v>
      </c>
      <c r="J31" s="70" t="s">
        <v>64</v>
      </c>
      <c r="K31" s="76"/>
      <c r="L31" s="55"/>
    </row>
    <row r="32" spans="1:13" ht="13.5" thickBot="1" x14ac:dyDescent="0.25">
      <c r="A32" s="75">
        <f t="shared" si="0"/>
        <v>0</v>
      </c>
      <c r="B32" s="75">
        <f t="shared" si="1"/>
        <v>0</v>
      </c>
      <c r="C32" s="75">
        <f t="shared" si="1"/>
        <v>0</v>
      </c>
      <c r="D32" s="75">
        <f t="shared" si="2"/>
        <v>0</v>
      </c>
      <c r="E32" s="75">
        <v>0</v>
      </c>
      <c r="F32" s="75">
        <v>0</v>
      </c>
      <c r="G32" s="75">
        <f t="shared" si="3"/>
        <v>0</v>
      </c>
      <c r="H32" s="75">
        <v>0</v>
      </c>
      <c r="I32" s="75">
        <v>0</v>
      </c>
      <c r="J32" s="70" t="s">
        <v>61</v>
      </c>
      <c r="K32" s="71"/>
      <c r="L32" s="55"/>
      <c r="M32" s="69"/>
    </row>
    <row r="33" spans="1:13" ht="13.5" thickBot="1" x14ac:dyDescent="0.25">
      <c r="A33" s="75">
        <f t="shared" si="0"/>
        <v>0</v>
      </c>
      <c r="B33" s="75">
        <f t="shared" si="1"/>
        <v>0</v>
      </c>
      <c r="C33" s="75">
        <f t="shared" si="1"/>
        <v>0</v>
      </c>
      <c r="D33" s="75">
        <f t="shared" si="2"/>
        <v>0</v>
      </c>
      <c r="E33" s="75">
        <v>0</v>
      </c>
      <c r="F33" s="75">
        <v>0</v>
      </c>
      <c r="G33" s="75">
        <f t="shared" si="3"/>
        <v>0</v>
      </c>
      <c r="H33" s="75">
        <v>0</v>
      </c>
      <c r="I33" s="75">
        <v>0</v>
      </c>
      <c r="J33" s="70" t="s">
        <v>62</v>
      </c>
      <c r="K33" s="71" t="s">
        <v>191</v>
      </c>
      <c r="L33" s="55"/>
      <c r="M33" s="69"/>
    </row>
    <row r="34" spans="1:13" ht="13.5" thickBot="1" x14ac:dyDescent="0.25">
      <c r="A34" s="75">
        <f t="shared" si="0"/>
        <v>50</v>
      </c>
      <c r="B34" s="75">
        <f t="shared" si="1"/>
        <v>0</v>
      </c>
      <c r="C34" s="75">
        <f t="shared" si="1"/>
        <v>50</v>
      </c>
      <c r="D34" s="75">
        <f t="shared" si="2"/>
        <v>0</v>
      </c>
      <c r="E34" s="75">
        <v>0</v>
      </c>
      <c r="F34" s="75">
        <v>0</v>
      </c>
      <c r="G34" s="75">
        <f t="shared" si="3"/>
        <v>50</v>
      </c>
      <c r="H34" s="75">
        <v>0</v>
      </c>
      <c r="I34" s="75">
        <f>100-50</f>
        <v>50</v>
      </c>
      <c r="J34" s="70" t="s">
        <v>64</v>
      </c>
      <c r="K34" s="76"/>
      <c r="L34" s="55"/>
    </row>
    <row r="35" spans="1:13" ht="13.5" thickBot="1" x14ac:dyDescent="0.25">
      <c r="A35" s="75">
        <f t="shared" si="0"/>
        <v>6</v>
      </c>
      <c r="B35" s="75">
        <f t="shared" si="1"/>
        <v>2</v>
      </c>
      <c r="C35" s="75">
        <f t="shared" si="1"/>
        <v>4</v>
      </c>
      <c r="D35" s="75">
        <f t="shared" si="2"/>
        <v>3</v>
      </c>
      <c r="E35" s="75">
        <v>1</v>
      </c>
      <c r="F35" s="75">
        <f>4-2</f>
        <v>2</v>
      </c>
      <c r="G35" s="75">
        <f t="shared" si="3"/>
        <v>3</v>
      </c>
      <c r="H35" s="75">
        <v>1</v>
      </c>
      <c r="I35" s="75">
        <v>2</v>
      </c>
      <c r="J35" s="70" t="s">
        <v>61</v>
      </c>
      <c r="K35" s="71"/>
      <c r="L35" s="55"/>
      <c r="M35" s="69"/>
    </row>
    <row r="36" spans="1:13" ht="13.5" thickBot="1" x14ac:dyDescent="0.25">
      <c r="A36" s="75">
        <f t="shared" si="0"/>
        <v>118</v>
      </c>
      <c r="B36" s="75">
        <f t="shared" si="1"/>
        <v>49</v>
      </c>
      <c r="C36" s="75">
        <f t="shared" si="1"/>
        <v>69</v>
      </c>
      <c r="D36" s="75">
        <f t="shared" si="2"/>
        <v>17</v>
      </c>
      <c r="E36" s="75">
        <v>9</v>
      </c>
      <c r="F36" s="75">
        <v>8</v>
      </c>
      <c r="G36" s="75">
        <f t="shared" si="3"/>
        <v>101</v>
      </c>
      <c r="H36" s="75">
        <v>40</v>
      </c>
      <c r="I36" s="75">
        <v>61</v>
      </c>
      <c r="J36" s="70" t="s">
        <v>62</v>
      </c>
      <c r="K36" s="71" t="s">
        <v>192</v>
      </c>
      <c r="L36" s="55"/>
      <c r="M36" s="69"/>
    </row>
    <row r="37" spans="1:13" ht="13.5" thickBot="1" x14ac:dyDescent="0.25">
      <c r="A37" s="75">
        <f t="shared" si="0"/>
        <v>0</v>
      </c>
      <c r="B37" s="75">
        <f t="shared" si="1"/>
        <v>0</v>
      </c>
      <c r="C37" s="75">
        <f t="shared" si="1"/>
        <v>0</v>
      </c>
      <c r="D37" s="75">
        <f t="shared" si="2"/>
        <v>0</v>
      </c>
      <c r="E37" s="75">
        <v>0</v>
      </c>
      <c r="F37" s="75">
        <v>0</v>
      </c>
      <c r="G37" s="75">
        <f t="shared" si="3"/>
        <v>0</v>
      </c>
      <c r="H37" s="75">
        <v>0</v>
      </c>
      <c r="I37" s="75">
        <v>0</v>
      </c>
      <c r="J37" s="70" t="s">
        <v>64</v>
      </c>
      <c r="K37" s="76"/>
      <c r="L37" s="55"/>
    </row>
    <row r="38" spans="1:13" ht="13.5" thickBot="1" x14ac:dyDescent="0.25">
      <c r="A38" s="75">
        <f t="shared" si="0"/>
        <v>11</v>
      </c>
      <c r="B38" s="75">
        <f t="shared" si="1"/>
        <v>7</v>
      </c>
      <c r="C38" s="75">
        <f t="shared" si="1"/>
        <v>4</v>
      </c>
      <c r="D38" s="75">
        <f t="shared" si="2"/>
        <v>2</v>
      </c>
      <c r="E38" s="75">
        <v>0</v>
      </c>
      <c r="F38" s="75">
        <f>3-1</f>
        <v>2</v>
      </c>
      <c r="G38" s="75">
        <f t="shared" si="3"/>
        <v>9</v>
      </c>
      <c r="H38" s="75">
        <v>7</v>
      </c>
      <c r="I38" s="75">
        <v>2</v>
      </c>
      <c r="J38" s="70" t="s">
        <v>61</v>
      </c>
      <c r="K38" s="71"/>
      <c r="L38" s="55"/>
      <c r="M38" s="69"/>
    </row>
    <row r="39" spans="1:13" ht="13.5" thickBot="1" x14ac:dyDescent="0.25">
      <c r="A39" s="75">
        <f t="shared" si="0"/>
        <v>219</v>
      </c>
      <c r="B39" s="75">
        <f t="shared" si="1"/>
        <v>71</v>
      </c>
      <c r="C39" s="75">
        <f t="shared" si="1"/>
        <v>148</v>
      </c>
      <c r="D39" s="75">
        <f t="shared" si="2"/>
        <v>21</v>
      </c>
      <c r="E39" s="75">
        <f>2+1</f>
        <v>3</v>
      </c>
      <c r="F39" s="75">
        <f>14+4</f>
        <v>18</v>
      </c>
      <c r="G39" s="75">
        <f t="shared" si="3"/>
        <v>198</v>
      </c>
      <c r="H39" s="75">
        <f>48+20</f>
        <v>68</v>
      </c>
      <c r="I39" s="75">
        <f>74+56</f>
        <v>130</v>
      </c>
      <c r="J39" s="70" t="s">
        <v>62</v>
      </c>
      <c r="K39" s="71" t="s">
        <v>193</v>
      </c>
      <c r="L39" s="55"/>
      <c r="M39" s="69"/>
    </row>
    <row r="40" spans="1:13" ht="13.5" thickBot="1" x14ac:dyDescent="0.25">
      <c r="A40" s="75">
        <f t="shared" si="0"/>
        <v>0</v>
      </c>
      <c r="B40" s="75">
        <f t="shared" si="1"/>
        <v>0</v>
      </c>
      <c r="C40" s="75">
        <f t="shared" si="1"/>
        <v>0</v>
      </c>
      <c r="D40" s="75">
        <f t="shared" si="2"/>
        <v>0</v>
      </c>
      <c r="E40" s="75">
        <v>0</v>
      </c>
      <c r="F40" s="75">
        <v>0</v>
      </c>
      <c r="G40" s="75">
        <f t="shared" si="3"/>
        <v>0</v>
      </c>
      <c r="H40" s="75">
        <v>0</v>
      </c>
      <c r="I40" s="75">
        <v>0</v>
      </c>
      <c r="J40" s="70" t="s">
        <v>64</v>
      </c>
      <c r="K40" s="76"/>
      <c r="L40" s="55"/>
    </row>
    <row r="41" spans="1:13" ht="13.5" thickBot="1" x14ac:dyDescent="0.25">
      <c r="A41" s="75">
        <f t="shared" si="0"/>
        <v>7</v>
      </c>
      <c r="B41" s="75">
        <f t="shared" si="1"/>
        <v>4</v>
      </c>
      <c r="C41" s="75">
        <f t="shared" si="1"/>
        <v>3</v>
      </c>
      <c r="D41" s="75">
        <f t="shared" si="2"/>
        <v>1</v>
      </c>
      <c r="E41" s="75">
        <v>0</v>
      </c>
      <c r="F41" s="75">
        <v>1</v>
      </c>
      <c r="G41" s="75">
        <f t="shared" si="3"/>
        <v>6</v>
      </c>
      <c r="H41" s="75">
        <v>4</v>
      </c>
      <c r="I41" s="75">
        <v>2</v>
      </c>
      <c r="J41" s="70" t="s">
        <v>61</v>
      </c>
      <c r="K41" s="71"/>
      <c r="L41" s="55"/>
      <c r="M41" s="69"/>
    </row>
    <row r="42" spans="1:13" ht="13.5" thickBot="1" x14ac:dyDescent="0.25">
      <c r="A42" s="75">
        <f t="shared" si="0"/>
        <v>92</v>
      </c>
      <c r="B42" s="75">
        <f t="shared" si="1"/>
        <v>61</v>
      </c>
      <c r="C42" s="75">
        <f t="shared" si="1"/>
        <v>31</v>
      </c>
      <c r="D42" s="75">
        <f t="shared" si="2"/>
        <v>13</v>
      </c>
      <c r="E42" s="75">
        <v>2</v>
      </c>
      <c r="F42" s="75">
        <f>7+4</f>
        <v>11</v>
      </c>
      <c r="G42" s="75">
        <f t="shared" si="3"/>
        <v>79</v>
      </c>
      <c r="H42" s="75">
        <f>17+42</f>
        <v>59</v>
      </c>
      <c r="I42" s="75">
        <f>10+10</f>
        <v>20</v>
      </c>
      <c r="J42" s="70" t="s">
        <v>62</v>
      </c>
      <c r="K42" s="71" t="s">
        <v>194</v>
      </c>
      <c r="L42" s="55"/>
      <c r="M42" s="69"/>
    </row>
    <row r="43" spans="1:13" ht="13.5" thickBot="1" x14ac:dyDescent="0.25">
      <c r="A43" s="75">
        <f t="shared" si="0"/>
        <v>0</v>
      </c>
      <c r="B43" s="75">
        <f t="shared" si="1"/>
        <v>0</v>
      </c>
      <c r="C43" s="75">
        <f t="shared" si="1"/>
        <v>0</v>
      </c>
      <c r="D43" s="75">
        <f t="shared" si="2"/>
        <v>0</v>
      </c>
      <c r="E43" s="75">
        <v>0</v>
      </c>
      <c r="F43" s="75">
        <v>0</v>
      </c>
      <c r="G43" s="75">
        <f t="shared" si="3"/>
        <v>0</v>
      </c>
      <c r="H43" s="75">
        <v>0</v>
      </c>
      <c r="I43" s="75">
        <v>0</v>
      </c>
      <c r="J43" s="70" t="s">
        <v>64</v>
      </c>
      <c r="K43" s="76"/>
      <c r="L43" s="55"/>
    </row>
    <row r="44" spans="1:13" ht="13.5" thickBot="1" x14ac:dyDescent="0.25">
      <c r="A44" s="75">
        <f t="shared" si="0"/>
        <v>0</v>
      </c>
      <c r="B44" s="75">
        <f t="shared" si="1"/>
        <v>0</v>
      </c>
      <c r="C44" s="75">
        <f t="shared" si="1"/>
        <v>0</v>
      </c>
      <c r="D44" s="75">
        <f t="shared" si="2"/>
        <v>0</v>
      </c>
      <c r="E44" s="75">
        <v>0</v>
      </c>
      <c r="F44" s="75">
        <v>0</v>
      </c>
      <c r="G44" s="75">
        <f t="shared" si="3"/>
        <v>0</v>
      </c>
      <c r="H44" s="75">
        <v>0</v>
      </c>
      <c r="I44" s="75">
        <v>0</v>
      </c>
      <c r="J44" s="70" t="s">
        <v>61</v>
      </c>
      <c r="K44" s="71"/>
      <c r="L44" s="55"/>
      <c r="M44" s="69"/>
    </row>
    <row r="45" spans="1:13" ht="13.5" thickBot="1" x14ac:dyDescent="0.25">
      <c r="A45" s="75">
        <f t="shared" si="0"/>
        <v>111</v>
      </c>
      <c r="B45" s="75">
        <f t="shared" si="1"/>
        <v>43</v>
      </c>
      <c r="C45" s="75">
        <f t="shared" si="1"/>
        <v>68</v>
      </c>
      <c r="D45" s="75">
        <f t="shared" si="2"/>
        <v>40</v>
      </c>
      <c r="E45" s="75">
        <v>5</v>
      </c>
      <c r="F45" s="75">
        <f>34+1</f>
        <v>35</v>
      </c>
      <c r="G45" s="75">
        <f t="shared" si="3"/>
        <v>71</v>
      </c>
      <c r="H45" s="75">
        <v>38</v>
      </c>
      <c r="I45" s="75">
        <v>33</v>
      </c>
      <c r="J45" s="70" t="s">
        <v>62</v>
      </c>
      <c r="K45" s="71" t="s">
        <v>195</v>
      </c>
      <c r="L45" s="55"/>
      <c r="M45" s="69"/>
    </row>
    <row r="46" spans="1:13" ht="13.5" thickBot="1" x14ac:dyDescent="0.25">
      <c r="A46" s="75">
        <f t="shared" si="0"/>
        <v>0</v>
      </c>
      <c r="B46" s="75">
        <f t="shared" si="1"/>
        <v>0</v>
      </c>
      <c r="C46" s="75">
        <f t="shared" si="1"/>
        <v>0</v>
      </c>
      <c r="D46" s="75">
        <f t="shared" si="2"/>
        <v>0</v>
      </c>
      <c r="E46" s="75">
        <v>0</v>
      </c>
      <c r="F46" s="75">
        <v>0</v>
      </c>
      <c r="G46" s="75">
        <f t="shared" si="3"/>
        <v>0</v>
      </c>
      <c r="H46" s="75">
        <v>0</v>
      </c>
      <c r="I46" s="75">
        <v>0</v>
      </c>
      <c r="J46" s="70" t="s">
        <v>64</v>
      </c>
      <c r="K46" s="76"/>
      <c r="L46" s="55"/>
    </row>
    <row r="47" spans="1:13" ht="13.5" thickBot="1" x14ac:dyDescent="0.25">
      <c r="A47" s="75">
        <f t="shared" si="0"/>
        <v>18</v>
      </c>
      <c r="B47" s="75">
        <f t="shared" si="1"/>
        <v>0</v>
      </c>
      <c r="C47" s="75">
        <f t="shared" si="1"/>
        <v>18</v>
      </c>
      <c r="D47" s="75">
        <f t="shared" si="2"/>
        <v>3</v>
      </c>
      <c r="E47" s="75">
        <v>0</v>
      </c>
      <c r="F47" s="75">
        <v>3</v>
      </c>
      <c r="G47" s="75">
        <f t="shared" si="3"/>
        <v>15</v>
      </c>
      <c r="H47" s="75">
        <v>0</v>
      </c>
      <c r="I47" s="75">
        <v>15</v>
      </c>
      <c r="J47" s="70" t="s">
        <v>61</v>
      </c>
      <c r="K47" s="71"/>
      <c r="L47" s="55"/>
      <c r="M47" s="69"/>
    </row>
    <row r="48" spans="1:13" ht="13.5" thickBot="1" x14ac:dyDescent="0.25">
      <c r="A48" s="75">
        <f t="shared" si="0"/>
        <v>317</v>
      </c>
      <c r="B48" s="75">
        <f t="shared" si="1"/>
        <v>0</v>
      </c>
      <c r="C48" s="75">
        <f t="shared" si="1"/>
        <v>317</v>
      </c>
      <c r="D48" s="75">
        <f t="shared" si="2"/>
        <v>47</v>
      </c>
      <c r="E48" s="75">
        <v>0</v>
      </c>
      <c r="F48" s="75">
        <v>47</v>
      </c>
      <c r="G48" s="75">
        <f t="shared" si="3"/>
        <v>270</v>
      </c>
      <c r="H48" s="75">
        <v>0</v>
      </c>
      <c r="I48" s="75">
        <f>190+80</f>
        <v>270</v>
      </c>
      <c r="J48" s="70" t="s">
        <v>62</v>
      </c>
      <c r="K48" s="71" t="s">
        <v>196</v>
      </c>
      <c r="L48" s="55"/>
      <c r="M48" s="69"/>
    </row>
    <row r="49" spans="1:13" ht="13.5" thickBot="1" x14ac:dyDescent="0.25">
      <c r="A49" s="75">
        <f t="shared" si="0"/>
        <v>0</v>
      </c>
      <c r="B49" s="75">
        <f t="shared" si="1"/>
        <v>0</v>
      </c>
      <c r="C49" s="75">
        <f t="shared" si="1"/>
        <v>0</v>
      </c>
      <c r="D49" s="75">
        <f t="shared" si="2"/>
        <v>0</v>
      </c>
      <c r="E49" s="75">
        <v>0</v>
      </c>
      <c r="F49" s="75">
        <v>0</v>
      </c>
      <c r="G49" s="75">
        <f t="shared" si="3"/>
        <v>0</v>
      </c>
      <c r="H49" s="75">
        <v>0</v>
      </c>
      <c r="I49" s="75">
        <v>0</v>
      </c>
      <c r="J49" s="70" t="s">
        <v>64</v>
      </c>
      <c r="K49" s="76"/>
      <c r="L49" s="55"/>
    </row>
    <row r="50" spans="1:13" ht="13.5" thickBot="1" x14ac:dyDescent="0.25">
      <c r="A50" s="75">
        <f t="shared" si="0"/>
        <v>2</v>
      </c>
      <c r="B50" s="75">
        <f t="shared" si="1"/>
        <v>0</v>
      </c>
      <c r="C50" s="75">
        <f t="shared" si="1"/>
        <v>2</v>
      </c>
      <c r="D50" s="75">
        <f t="shared" si="2"/>
        <v>2</v>
      </c>
      <c r="E50" s="75">
        <v>0</v>
      </c>
      <c r="F50" s="75">
        <v>2</v>
      </c>
      <c r="G50" s="75">
        <f t="shared" si="3"/>
        <v>0</v>
      </c>
      <c r="H50" s="75">
        <v>0</v>
      </c>
      <c r="I50" s="75">
        <v>0</v>
      </c>
      <c r="J50" s="70" t="s">
        <v>61</v>
      </c>
      <c r="K50" s="71"/>
      <c r="L50" s="55"/>
      <c r="M50" s="69"/>
    </row>
    <row r="51" spans="1:13" ht="13.5" thickBot="1" x14ac:dyDescent="0.25">
      <c r="A51" s="75">
        <f t="shared" si="0"/>
        <v>39</v>
      </c>
      <c r="B51" s="75">
        <f t="shared" si="1"/>
        <v>0</v>
      </c>
      <c r="C51" s="75">
        <f t="shared" si="1"/>
        <v>39</v>
      </c>
      <c r="D51" s="75">
        <f t="shared" si="2"/>
        <v>8</v>
      </c>
      <c r="E51" s="75">
        <v>0</v>
      </c>
      <c r="F51" s="75">
        <f>6+2</f>
        <v>8</v>
      </c>
      <c r="G51" s="75">
        <f t="shared" si="3"/>
        <v>31</v>
      </c>
      <c r="H51" s="75">
        <v>0</v>
      </c>
      <c r="I51" s="75">
        <v>31</v>
      </c>
      <c r="J51" s="70" t="s">
        <v>62</v>
      </c>
      <c r="K51" s="71" t="s">
        <v>198</v>
      </c>
      <c r="L51" s="55"/>
      <c r="M51" s="69"/>
    </row>
    <row r="52" spans="1:13" ht="13.5" thickBot="1" x14ac:dyDescent="0.25">
      <c r="A52" s="75">
        <f t="shared" si="0"/>
        <v>0</v>
      </c>
      <c r="B52" s="75">
        <f t="shared" si="1"/>
        <v>0</v>
      </c>
      <c r="C52" s="75">
        <f t="shared" si="1"/>
        <v>0</v>
      </c>
      <c r="D52" s="75">
        <f t="shared" si="2"/>
        <v>0</v>
      </c>
      <c r="E52" s="75">
        <v>0</v>
      </c>
      <c r="F52" s="75">
        <v>0</v>
      </c>
      <c r="G52" s="75">
        <f t="shared" si="3"/>
        <v>0</v>
      </c>
      <c r="H52" s="75">
        <v>0</v>
      </c>
      <c r="I52" s="75">
        <v>0</v>
      </c>
      <c r="J52" s="70" t="s">
        <v>64</v>
      </c>
      <c r="K52" s="76"/>
      <c r="L52" s="55"/>
    </row>
    <row r="53" spans="1:13" ht="13.5" thickBot="1" x14ac:dyDescent="0.25">
      <c r="A53" s="75">
        <f t="shared" si="0"/>
        <v>1</v>
      </c>
      <c r="B53" s="75">
        <f t="shared" si="1"/>
        <v>0</v>
      </c>
      <c r="C53" s="75">
        <f t="shared" si="1"/>
        <v>1</v>
      </c>
      <c r="D53" s="75">
        <f t="shared" si="2"/>
        <v>0</v>
      </c>
      <c r="E53" s="75">
        <v>0</v>
      </c>
      <c r="F53" s="75">
        <v>0</v>
      </c>
      <c r="G53" s="75">
        <f t="shared" si="3"/>
        <v>1</v>
      </c>
      <c r="H53" s="75">
        <v>0</v>
      </c>
      <c r="I53" s="75">
        <v>1</v>
      </c>
      <c r="J53" s="70" t="s">
        <v>61</v>
      </c>
      <c r="K53" s="71"/>
      <c r="L53" s="55"/>
      <c r="M53" s="69"/>
    </row>
    <row r="54" spans="1:13" ht="13.5" thickBot="1" x14ac:dyDescent="0.25">
      <c r="A54" s="75">
        <f t="shared" si="0"/>
        <v>51</v>
      </c>
      <c r="B54" s="75">
        <f t="shared" si="1"/>
        <v>0</v>
      </c>
      <c r="C54" s="75">
        <f t="shared" si="1"/>
        <v>51</v>
      </c>
      <c r="D54" s="75">
        <f t="shared" si="2"/>
        <v>4</v>
      </c>
      <c r="E54" s="75">
        <v>0</v>
      </c>
      <c r="F54" s="75">
        <v>4</v>
      </c>
      <c r="G54" s="75">
        <f t="shared" si="3"/>
        <v>47</v>
      </c>
      <c r="H54" s="75">
        <v>0</v>
      </c>
      <c r="I54" s="75">
        <f>37+10</f>
        <v>47</v>
      </c>
      <c r="J54" s="70" t="s">
        <v>62</v>
      </c>
      <c r="K54" s="71" t="s">
        <v>199</v>
      </c>
      <c r="L54" s="55"/>
      <c r="M54" s="69"/>
    </row>
    <row r="55" spans="1:13" ht="13.5" thickBot="1" x14ac:dyDescent="0.25">
      <c r="A55" s="75">
        <f t="shared" si="0"/>
        <v>0</v>
      </c>
      <c r="B55" s="75">
        <f t="shared" si="1"/>
        <v>0</v>
      </c>
      <c r="C55" s="75">
        <f t="shared" si="1"/>
        <v>0</v>
      </c>
      <c r="D55" s="75">
        <f t="shared" si="2"/>
        <v>0</v>
      </c>
      <c r="E55" s="75">
        <v>0</v>
      </c>
      <c r="F55" s="75">
        <v>0</v>
      </c>
      <c r="G55" s="75">
        <f t="shared" si="3"/>
        <v>0</v>
      </c>
      <c r="H55" s="75">
        <v>0</v>
      </c>
      <c r="I55" s="75">
        <v>0</v>
      </c>
      <c r="J55" s="70" t="s">
        <v>64</v>
      </c>
      <c r="K55" s="76"/>
      <c r="L55" s="55"/>
    </row>
    <row r="56" spans="1:13" ht="13.5" thickBot="1" x14ac:dyDescent="0.25">
      <c r="A56" s="75">
        <f t="shared" si="0"/>
        <v>0</v>
      </c>
      <c r="B56" s="75">
        <f t="shared" si="1"/>
        <v>0</v>
      </c>
      <c r="C56" s="75">
        <f t="shared" si="1"/>
        <v>0</v>
      </c>
      <c r="D56" s="75">
        <f t="shared" si="2"/>
        <v>0</v>
      </c>
      <c r="E56" s="75">
        <v>0</v>
      </c>
      <c r="F56" s="75">
        <v>0</v>
      </c>
      <c r="G56" s="75">
        <f t="shared" si="3"/>
        <v>0</v>
      </c>
      <c r="H56" s="75">
        <v>0</v>
      </c>
      <c r="I56" s="75">
        <v>0</v>
      </c>
      <c r="J56" s="70" t="s">
        <v>61</v>
      </c>
      <c r="K56" s="71"/>
      <c r="L56" s="55"/>
      <c r="M56" s="69"/>
    </row>
    <row r="57" spans="1:13" ht="13.5" thickBot="1" x14ac:dyDescent="0.25">
      <c r="A57" s="75">
        <f t="shared" si="0"/>
        <v>8</v>
      </c>
      <c r="B57" s="75">
        <f t="shared" si="1"/>
        <v>0</v>
      </c>
      <c r="C57" s="75">
        <f t="shared" si="1"/>
        <v>8</v>
      </c>
      <c r="D57" s="75">
        <f t="shared" si="2"/>
        <v>0</v>
      </c>
      <c r="E57" s="75">
        <v>0</v>
      </c>
      <c r="F57" s="75">
        <v>0</v>
      </c>
      <c r="G57" s="75">
        <f t="shared" si="3"/>
        <v>8</v>
      </c>
      <c r="H57" s="75">
        <v>0</v>
      </c>
      <c r="I57" s="75">
        <v>8</v>
      </c>
      <c r="J57" s="70" t="s">
        <v>62</v>
      </c>
      <c r="K57" s="71" t="s">
        <v>200</v>
      </c>
      <c r="L57" s="55"/>
      <c r="M57" s="69"/>
    </row>
    <row r="58" spans="1:13" ht="13.5" thickBot="1" x14ac:dyDescent="0.25">
      <c r="A58" s="75">
        <f t="shared" si="0"/>
        <v>0</v>
      </c>
      <c r="B58" s="75">
        <f t="shared" si="1"/>
        <v>0</v>
      </c>
      <c r="C58" s="75">
        <f t="shared" si="1"/>
        <v>0</v>
      </c>
      <c r="D58" s="75">
        <f t="shared" si="2"/>
        <v>0</v>
      </c>
      <c r="E58" s="75">
        <v>0</v>
      </c>
      <c r="F58" s="75">
        <v>0</v>
      </c>
      <c r="G58" s="75">
        <f t="shared" si="3"/>
        <v>0</v>
      </c>
      <c r="H58" s="75">
        <v>0</v>
      </c>
      <c r="I58" s="75">
        <v>0</v>
      </c>
      <c r="J58" s="70" t="s">
        <v>64</v>
      </c>
      <c r="K58" s="76"/>
      <c r="L58" s="55"/>
    </row>
    <row r="59" spans="1:13" ht="13.5" thickBot="1" x14ac:dyDescent="0.25">
      <c r="A59" s="75">
        <f t="shared" si="0"/>
        <v>3</v>
      </c>
      <c r="B59" s="75">
        <f t="shared" si="1"/>
        <v>2</v>
      </c>
      <c r="C59" s="75">
        <f t="shared" si="1"/>
        <v>1</v>
      </c>
      <c r="D59" s="75">
        <f t="shared" si="2"/>
        <v>1</v>
      </c>
      <c r="E59" s="75">
        <v>1</v>
      </c>
      <c r="F59" s="75">
        <v>0</v>
      </c>
      <c r="G59" s="75">
        <f t="shared" si="3"/>
        <v>2</v>
      </c>
      <c r="H59" s="75">
        <v>1</v>
      </c>
      <c r="I59" s="75">
        <v>1</v>
      </c>
      <c r="J59" s="70" t="s">
        <v>61</v>
      </c>
      <c r="K59" s="71"/>
      <c r="L59" s="55"/>
      <c r="M59" s="69"/>
    </row>
    <row r="60" spans="1:13" ht="13.5" thickBot="1" x14ac:dyDescent="0.25">
      <c r="A60" s="75">
        <f t="shared" si="0"/>
        <v>145</v>
      </c>
      <c r="B60" s="75">
        <f t="shared" si="1"/>
        <v>79</v>
      </c>
      <c r="C60" s="75">
        <f t="shared" si="1"/>
        <v>66</v>
      </c>
      <c r="D60" s="75">
        <f t="shared" si="2"/>
        <v>4</v>
      </c>
      <c r="E60" s="75">
        <v>1</v>
      </c>
      <c r="F60" s="75">
        <f>2+1</f>
        <v>3</v>
      </c>
      <c r="G60" s="75">
        <f t="shared" si="3"/>
        <v>141</v>
      </c>
      <c r="H60" s="75">
        <v>78</v>
      </c>
      <c r="I60" s="75">
        <f>43+20</f>
        <v>63</v>
      </c>
      <c r="J60" s="70" t="s">
        <v>62</v>
      </c>
      <c r="K60" s="71" t="s">
        <v>201</v>
      </c>
      <c r="L60" s="55"/>
      <c r="M60" s="69"/>
    </row>
    <row r="61" spans="1:13" ht="13.5" thickBot="1" x14ac:dyDescent="0.25">
      <c r="A61" s="75">
        <f t="shared" si="0"/>
        <v>3</v>
      </c>
      <c r="B61" s="75">
        <f t="shared" si="1"/>
        <v>3</v>
      </c>
      <c r="C61" s="75">
        <f t="shared" si="1"/>
        <v>0</v>
      </c>
      <c r="D61" s="75">
        <f t="shared" si="2"/>
        <v>0</v>
      </c>
      <c r="E61" s="75">
        <v>0</v>
      </c>
      <c r="F61" s="75">
        <v>0</v>
      </c>
      <c r="G61" s="75">
        <f t="shared" si="3"/>
        <v>3</v>
      </c>
      <c r="H61" s="75">
        <v>3</v>
      </c>
      <c r="I61" s="75">
        <v>0</v>
      </c>
      <c r="J61" s="70" t="s">
        <v>64</v>
      </c>
      <c r="K61" s="76"/>
      <c r="L61" s="55"/>
    </row>
    <row r="62" spans="1:13" ht="13.5" thickBot="1" x14ac:dyDescent="0.25">
      <c r="A62" s="75">
        <f t="shared" si="0"/>
        <v>9</v>
      </c>
      <c r="B62" s="75">
        <f t="shared" si="1"/>
        <v>5</v>
      </c>
      <c r="C62" s="75">
        <f t="shared" si="1"/>
        <v>4</v>
      </c>
      <c r="D62" s="75">
        <f t="shared" si="2"/>
        <v>0</v>
      </c>
      <c r="E62" s="75">
        <v>0</v>
      </c>
      <c r="F62" s="75">
        <v>0</v>
      </c>
      <c r="G62" s="75">
        <f t="shared" si="3"/>
        <v>9</v>
      </c>
      <c r="H62" s="75">
        <v>5</v>
      </c>
      <c r="I62" s="75">
        <v>4</v>
      </c>
      <c r="J62" s="70" t="s">
        <v>61</v>
      </c>
      <c r="K62" s="71"/>
      <c r="L62" s="55"/>
      <c r="M62" s="69"/>
    </row>
    <row r="63" spans="1:13" ht="13.5" thickBot="1" x14ac:dyDescent="0.25">
      <c r="A63" s="75">
        <f t="shared" si="0"/>
        <v>103</v>
      </c>
      <c r="B63" s="75">
        <f t="shared" si="1"/>
        <v>65</v>
      </c>
      <c r="C63" s="75">
        <f t="shared" si="1"/>
        <v>38</v>
      </c>
      <c r="D63" s="75">
        <f t="shared" si="2"/>
        <v>1</v>
      </c>
      <c r="E63" s="75">
        <v>1</v>
      </c>
      <c r="F63" s="75">
        <v>0</v>
      </c>
      <c r="G63" s="75">
        <f t="shared" si="3"/>
        <v>102</v>
      </c>
      <c r="H63" s="75">
        <f>60+4</f>
        <v>64</v>
      </c>
      <c r="I63" s="75">
        <f>18+20</f>
        <v>38</v>
      </c>
      <c r="J63" s="70" t="s">
        <v>62</v>
      </c>
      <c r="K63" s="71" t="s">
        <v>202</v>
      </c>
      <c r="L63" s="55"/>
      <c r="M63" s="69"/>
    </row>
    <row r="64" spans="1:13" ht="13.5" thickBot="1" x14ac:dyDescent="0.25">
      <c r="A64" s="75">
        <f t="shared" si="0"/>
        <v>51</v>
      </c>
      <c r="B64" s="75">
        <f t="shared" si="1"/>
        <v>51</v>
      </c>
      <c r="C64" s="75">
        <f t="shared" si="1"/>
        <v>0</v>
      </c>
      <c r="D64" s="75">
        <f t="shared" si="2"/>
        <v>0</v>
      </c>
      <c r="E64" s="75">
        <v>0</v>
      </c>
      <c r="F64" s="75">
        <v>0</v>
      </c>
      <c r="G64" s="75">
        <f t="shared" si="3"/>
        <v>51</v>
      </c>
      <c r="H64" s="75">
        <f>61-10</f>
        <v>51</v>
      </c>
      <c r="I64" s="75">
        <v>0</v>
      </c>
      <c r="J64" s="70" t="s">
        <v>64</v>
      </c>
      <c r="K64" s="76"/>
      <c r="L64" s="55"/>
    </row>
    <row r="65" spans="1:13" ht="13.5" thickBot="1" x14ac:dyDescent="0.25">
      <c r="A65" s="75">
        <f t="shared" si="0"/>
        <v>77</v>
      </c>
      <c r="B65" s="75">
        <f t="shared" si="1"/>
        <v>28</v>
      </c>
      <c r="C65" s="75">
        <f t="shared" si="1"/>
        <v>49</v>
      </c>
      <c r="D65" s="75">
        <f t="shared" si="2"/>
        <v>4</v>
      </c>
      <c r="E65" s="75">
        <v>0</v>
      </c>
      <c r="F65" s="75">
        <f>7-3</f>
        <v>4</v>
      </c>
      <c r="G65" s="75">
        <f t="shared" si="3"/>
        <v>73</v>
      </c>
      <c r="H65" s="75">
        <v>28</v>
      </c>
      <c r="I65" s="75">
        <v>45</v>
      </c>
      <c r="J65" s="70" t="s">
        <v>61</v>
      </c>
      <c r="K65" s="71"/>
      <c r="L65" s="55"/>
      <c r="M65" s="69"/>
    </row>
    <row r="66" spans="1:13" ht="13.5" thickBot="1" x14ac:dyDescent="0.25">
      <c r="A66" s="75">
        <f t="shared" si="0"/>
        <v>301</v>
      </c>
      <c r="B66" s="75">
        <f t="shared" si="1"/>
        <v>169</v>
      </c>
      <c r="C66" s="75">
        <f t="shared" si="1"/>
        <v>132</v>
      </c>
      <c r="D66" s="75">
        <f t="shared" si="2"/>
        <v>61</v>
      </c>
      <c r="E66" s="75">
        <v>35</v>
      </c>
      <c r="F66" s="75">
        <v>26</v>
      </c>
      <c r="G66" s="75">
        <f t="shared" si="3"/>
        <v>240</v>
      </c>
      <c r="H66" s="75">
        <f>152-18</f>
        <v>134</v>
      </c>
      <c r="I66" s="75">
        <f>86+20</f>
        <v>106</v>
      </c>
      <c r="J66" s="70" t="s">
        <v>62</v>
      </c>
      <c r="K66" s="71" t="s">
        <v>57</v>
      </c>
      <c r="L66" s="55"/>
      <c r="M66" s="69"/>
    </row>
    <row r="67" spans="1:13" ht="13.5" thickBot="1" x14ac:dyDescent="0.25">
      <c r="A67" s="75">
        <f t="shared" si="0"/>
        <v>0</v>
      </c>
      <c r="B67" s="75">
        <f t="shared" si="1"/>
        <v>0</v>
      </c>
      <c r="C67" s="75">
        <f t="shared" si="1"/>
        <v>0</v>
      </c>
      <c r="D67" s="75">
        <f t="shared" si="2"/>
        <v>0</v>
      </c>
      <c r="E67" s="75">
        <v>0</v>
      </c>
      <c r="F67" s="75">
        <v>0</v>
      </c>
      <c r="G67" s="75">
        <f t="shared" si="3"/>
        <v>0</v>
      </c>
      <c r="H67" s="75">
        <v>0</v>
      </c>
      <c r="I67" s="75">
        <v>0</v>
      </c>
      <c r="J67" s="70" t="s">
        <v>64</v>
      </c>
      <c r="K67" s="76"/>
      <c r="L67" s="55"/>
    </row>
    <row r="68" spans="1:13" ht="13.5" thickBot="1" x14ac:dyDescent="0.25">
      <c r="A68" s="75">
        <f t="shared" ref="A68:I70" si="4">A5+A8+A11+A14+A17+A20+A23+A26+A29+A32+A35+A38+A41+A44+A47+A50+A53+A56+A59+A62+A65</f>
        <v>822</v>
      </c>
      <c r="B68" s="75">
        <f t="shared" si="4"/>
        <v>206</v>
      </c>
      <c r="C68" s="75">
        <f t="shared" si="4"/>
        <v>616</v>
      </c>
      <c r="D68" s="75">
        <f t="shared" si="4"/>
        <v>27</v>
      </c>
      <c r="E68" s="75">
        <f t="shared" si="4"/>
        <v>3</v>
      </c>
      <c r="F68" s="75">
        <f t="shared" si="4"/>
        <v>24</v>
      </c>
      <c r="G68" s="75">
        <f t="shared" si="4"/>
        <v>795</v>
      </c>
      <c r="H68" s="75">
        <f t="shared" si="4"/>
        <v>203</v>
      </c>
      <c r="I68" s="75">
        <f>I5+I8+I11+I14+I17+I20+I23+I26+I29+I32+I35+I38+I41+I44+I47+I50+I53+I56+I59+I62+I65</f>
        <v>592</v>
      </c>
      <c r="J68" s="70" t="s">
        <v>231</v>
      </c>
      <c r="K68" s="50"/>
      <c r="L68" s="55"/>
    </row>
    <row r="69" spans="1:13" ht="13.5" thickBot="1" x14ac:dyDescent="0.25">
      <c r="A69" s="75">
        <f t="shared" si="4"/>
        <v>5155</v>
      </c>
      <c r="B69" s="75">
        <f t="shared" si="4"/>
        <v>1929</v>
      </c>
      <c r="C69" s="75">
        <f t="shared" si="4"/>
        <v>3226</v>
      </c>
      <c r="D69" s="75">
        <f t="shared" si="4"/>
        <v>396</v>
      </c>
      <c r="E69" s="75">
        <f t="shared" si="4"/>
        <v>79</v>
      </c>
      <c r="F69" s="75">
        <f t="shared" si="4"/>
        <v>317</v>
      </c>
      <c r="G69" s="75">
        <f t="shared" si="4"/>
        <v>4759</v>
      </c>
      <c r="H69" s="75">
        <f t="shared" si="4"/>
        <v>1850</v>
      </c>
      <c r="I69" s="75">
        <f t="shared" si="4"/>
        <v>2909</v>
      </c>
      <c r="J69" s="70" t="s">
        <v>62</v>
      </c>
      <c r="K69" s="73" t="s">
        <v>232</v>
      </c>
      <c r="L69" s="55"/>
    </row>
    <row r="70" spans="1:13" ht="13.5" thickBot="1" x14ac:dyDescent="0.25">
      <c r="A70" s="75">
        <f t="shared" si="4"/>
        <v>2100</v>
      </c>
      <c r="B70" s="75">
        <f t="shared" si="4"/>
        <v>327</v>
      </c>
      <c r="C70" s="75">
        <f t="shared" si="4"/>
        <v>1773</v>
      </c>
      <c r="D70" s="75">
        <f t="shared" si="4"/>
        <v>102</v>
      </c>
      <c r="E70" s="75">
        <f t="shared" si="4"/>
        <v>2</v>
      </c>
      <c r="F70" s="75">
        <f t="shared" si="4"/>
        <v>100</v>
      </c>
      <c r="G70" s="75">
        <f t="shared" si="4"/>
        <v>1998</v>
      </c>
      <c r="H70" s="75">
        <f t="shared" si="4"/>
        <v>325</v>
      </c>
      <c r="I70" s="75">
        <f t="shared" si="4"/>
        <v>1673</v>
      </c>
      <c r="J70" s="70" t="s">
        <v>64</v>
      </c>
      <c r="K70" s="52"/>
      <c r="L70" s="55"/>
    </row>
    <row r="71" spans="1:13" ht="13.5" thickBot="1" x14ac:dyDescent="0.25">
      <c r="A71" s="53">
        <f t="shared" ref="A71:H71" si="5">SUM(A68:A70)</f>
        <v>8077</v>
      </c>
      <c r="B71" s="53">
        <f t="shared" si="5"/>
        <v>2462</v>
      </c>
      <c r="C71" s="53">
        <f t="shared" si="5"/>
        <v>5615</v>
      </c>
      <c r="D71" s="53">
        <f t="shared" si="5"/>
        <v>525</v>
      </c>
      <c r="E71" s="53">
        <f t="shared" si="5"/>
        <v>84</v>
      </c>
      <c r="F71" s="53">
        <f t="shared" si="5"/>
        <v>441</v>
      </c>
      <c r="G71" s="53">
        <f t="shared" si="5"/>
        <v>7552</v>
      </c>
      <c r="H71" s="53">
        <f t="shared" si="5"/>
        <v>2378</v>
      </c>
      <c r="I71" s="53">
        <f>SUM(I68:I70)</f>
        <v>5174</v>
      </c>
      <c r="J71" s="185" t="s">
        <v>233</v>
      </c>
      <c r="K71" s="185"/>
      <c r="L71" s="55"/>
    </row>
    <row r="77" spans="1:13" ht="15" x14ac:dyDescent="0.2">
      <c r="A77" s="77"/>
      <c r="B77" s="77"/>
      <c r="C77" s="77"/>
      <c r="D77" s="77"/>
      <c r="E77" s="77"/>
      <c r="F77" s="77"/>
      <c r="G77" s="77"/>
      <c r="H77" s="77"/>
      <c r="I77" s="77"/>
    </row>
    <row r="78" spans="1:13" ht="15" x14ac:dyDescent="0.2">
      <c r="A78" s="77"/>
      <c r="B78" s="77"/>
      <c r="C78" s="77"/>
      <c r="D78" s="77"/>
      <c r="E78" s="77"/>
      <c r="F78" s="77"/>
      <c r="G78" s="77"/>
      <c r="H78" s="77"/>
      <c r="I78" s="77"/>
    </row>
    <row r="79" spans="1:13" ht="15" x14ac:dyDescent="0.2">
      <c r="A79" s="77"/>
      <c r="B79" s="77"/>
      <c r="C79" s="77"/>
      <c r="D79" s="77"/>
      <c r="E79" s="77"/>
      <c r="F79" s="77"/>
      <c r="G79" s="77"/>
      <c r="H79" s="77"/>
      <c r="I79" s="77"/>
    </row>
  </sheetData>
  <mergeCells count="8">
    <mergeCell ref="J4:K4"/>
    <mergeCell ref="J71:K71"/>
    <mergeCell ref="A1:K1"/>
    <mergeCell ref="A2:K2"/>
    <mergeCell ref="A3:C3"/>
    <mergeCell ref="D3:F3"/>
    <mergeCell ref="G3:I3"/>
    <mergeCell ref="J3:K3"/>
  </mergeCells>
  <pageMargins left="0.39370078740157483" right="0.39370078740157483" top="0.23622047244094491" bottom="0.23622047244094491" header="0.23622047244094491" footer="0.23622047244094491"/>
  <pageSetup paperSize="9" scale="95" orientation="landscape" horizontalDpi="300" verticalDpi="300" r:id="rId1"/>
  <headerFooter alignWithMargins="0"/>
  <rowBreaks count="1" manualBreakCount="1">
    <brk id="43" max="10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286"/>
  <sheetViews>
    <sheetView showGridLines="0" zoomScale="80" zoomScaleNormal="80" workbookViewId="0">
      <selection activeCell="G33" sqref="G33"/>
    </sheetView>
  </sheetViews>
  <sheetFormatPr defaultRowHeight="12.75" customHeight="1" x14ac:dyDescent="0.2"/>
  <cols>
    <col min="1" max="9" width="9.625" style="56" customWidth="1"/>
    <col min="10" max="10" width="33.375" style="56" customWidth="1"/>
    <col min="11" max="11" width="1.375" style="56" customWidth="1"/>
    <col min="12" max="253" width="9" style="56"/>
    <col min="254" max="262" width="9.625" style="56" customWidth="1"/>
    <col min="263" max="263" width="33.375" style="56" customWidth="1"/>
    <col min="264" max="264" width="1.375" style="56" customWidth="1"/>
    <col min="265" max="267" width="6" style="56" bestFit="1" customWidth="1"/>
    <col min="268" max="509" width="9" style="56"/>
    <col min="510" max="518" width="9.625" style="56" customWidth="1"/>
    <col min="519" max="519" width="33.375" style="56" customWidth="1"/>
    <col min="520" max="520" width="1.375" style="56" customWidth="1"/>
    <col min="521" max="523" width="6" style="56" bestFit="1" customWidth="1"/>
    <col min="524" max="765" width="9" style="56"/>
    <col min="766" max="774" width="9.625" style="56" customWidth="1"/>
    <col min="775" max="775" width="33.375" style="56" customWidth="1"/>
    <col min="776" max="776" width="1.375" style="56" customWidth="1"/>
    <col min="777" max="779" width="6" style="56" bestFit="1" customWidth="1"/>
    <col min="780" max="1021" width="9" style="56"/>
    <col min="1022" max="1030" width="9.625" style="56" customWidth="1"/>
    <col min="1031" max="1031" width="33.375" style="56" customWidth="1"/>
    <col min="1032" max="1032" width="1.375" style="56" customWidth="1"/>
    <col min="1033" max="1035" width="6" style="56" bestFit="1" customWidth="1"/>
    <col min="1036" max="1277" width="9" style="56"/>
    <col min="1278" max="1286" width="9.625" style="56" customWidth="1"/>
    <col min="1287" max="1287" width="33.375" style="56" customWidth="1"/>
    <col min="1288" max="1288" width="1.375" style="56" customWidth="1"/>
    <col min="1289" max="1291" width="6" style="56" bestFit="1" customWidth="1"/>
    <col min="1292" max="1533" width="9" style="56"/>
    <col min="1534" max="1542" width="9.625" style="56" customWidth="1"/>
    <col min="1543" max="1543" width="33.375" style="56" customWidth="1"/>
    <col min="1544" max="1544" width="1.375" style="56" customWidth="1"/>
    <col min="1545" max="1547" width="6" style="56" bestFit="1" customWidth="1"/>
    <col min="1548" max="1789" width="9" style="56"/>
    <col min="1790" max="1798" width="9.625" style="56" customWidth="1"/>
    <col min="1799" max="1799" width="33.375" style="56" customWidth="1"/>
    <col min="1800" max="1800" width="1.375" style="56" customWidth="1"/>
    <col min="1801" max="1803" width="6" style="56" bestFit="1" customWidth="1"/>
    <col min="1804" max="2045" width="9" style="56"/>
    <col min="2046" max="2054" width="9.625" style="56" customWidth="1"/>
    <col min="2055" max="2055" width="33.375" style="56" customWidth="1"/>
    <col min="2056" max="2056" width="1.375" style="56" customWidth="1"/>
    <col min="2057" max="2059" width="6" style="56" bestFit="1" customWidth="1"/>
    <col min="2060" max="2301" width="9" style="56"/>
    <col min="2302" max="2310" width="9.625" style="56" customWidth="1"/>
    <col min="2311" max="2311" width="33.375" style="56" customWidth="1"/>
    <col min="2312" max="2312" width="1.375" style="56" customWidth="1"/>
    <col min="2313" max="2315" width="6" style="56" bestFit="1" customWidth="1"/>
    <col min="2316" max="2557" width="9" style="56"/>
    <col min="2558" max="2566" width="9.625" style="56" customWidth="1"/>
    <col min="2567" max="2567" width="33.375" style="56" customWidth="1"/>
    <col min="2568" max="2568" width="1.375" style="56" customWidth="1"/>
    <col min="2569" max="2571" width="6" style="56" bestFit="1" customWidth="1"/>
    <col min="2572" max="2813" width="9" style="56"/>
    <col min="2814" max="2822" width="9.625" style="56" customWidth="1"/>
    <col min="2823" max="2823" width="33.375" style="56" customWidth="1"/>
    <col min="2824" max="2824" width="1.375" style="56" customWidth="1"/>
    <col min="2825" max="2827" width="6" style="56" bestFit="1" customWidth="1"/>
    <col min="2828" max="3069" width="9" style="56"/>
    <col min="3070" max="3078" width="9.625" style="56" customWidth="1"/>
    <col min="3079" max="3079" width="33.375" style="56" customWidth="1"/>
    <col min="3080" max="3080" width="1.375" style="56" customWidth="1"/>
    <col min="3081" max="3083" width="6" style="56" bestFit="1" customWidth="1"/>
    <col min="3084" max="3325" width="9" style="56"/>
    <col min="3326" max="3334" width="9.625" style="56" customWidth="1"/>
    <col min="3335" max="3335" width="33.375" style="56" customWidth="1"/>
    <col min="3336" max="3336" width="1.375" style="56" customWidth="1"/>
    <col min="3337" max="3339" width="6" style="56" bestFit="1" customWidth="1"/>
    <col min="3340" max="3581" width="9" style="56"/>
    <col min="3582" max="3590" width="9.625" style="56" customWidth="1"/>
    <col min="3591" max="3591" width="33.375" style="56" customWidth="1"/>
    <col min="3592" max="3592" width="1.375" style="56" customWidth="1"/>
    <col min="3593" max="3595" width="6" style="56" bestFit="1" customWidth="1"/>
    <col min="3596" max="3837" width="9" style="56"/>
    <col min="3838" max="3846" width="9.625" style="56" customWidth="1"/>
    <col min="3847" max="3847" width="33.375" style="56" customWidth="1"/>
    <col min="3848" max="3848" width="1.375" style="56" customWidth="1"/>
    <col min="3849" max="3851" width="6" style="56" bestFit="1" customWidth="1"/>
    <col min="3852" max="4093" width="9" style="56"/>
    <col min="4094" max="4102" width="9.625" style="56" customWidth="1"/>
    <col min="4103" max="4103" width="33.375" style="56" customWidth="1"/>
    <col min="4104" max="4104" width="1.375" style="56" customWidth="1"/>
    <col min="4105" max="4107" width="6" style="56" bestFit="1" customWidth="1"/>
    <col min="4108" max="4349" width="9" style="56"/>
    <col min="4350" max="4358" width="9.625" style="56" customWidth="1"/>
    <col min="4359" max="4359" width="33.375" style="56" customWidth="1"/>
    <col min="4360" max="4360" width="1.375" style="56" customWidth="1"/>
    <col min="4361" max="4363" width="6" style="56" bestFit="1" customWidth="1"/>
    <col min="4364" max="4605" width="9" style="56"/>
    <col min="4606" max="4614" width="9.625" style="56" customWidth="1"/>
    <col min="4615" max="4615" width="33.375" style="56" customWidth="1"/>
    <col min="4616" max="4616" width="1.375" style="56" customWidth="1"/>
    <col min="4617" max="4619" width="6" style="56" bestFit="1" customWidth="1"/>
    <col min="4620" max="4861" width="9" style="56"/>
    <col min="4862" max="4870" width="9.625" style="56" customWidth="1"/>
    <col min="4871" max="4871" width="33.375" style="56" customWidth="1"/>
    <col min="4872" max="4872" width="1.375" style="56" customWidth="1"/>
    <col min="4873" max="4875" width="6" style="56" bestFit="1" customWidth="1"/>
    <col min="4876" max="5117" width="9" style="56"/>
    <col min="5118" max="5126" width="9.625" style="56" customWidth="1"/>
    <col min="5127" max="5127" width="33.375" style="56" customWidth="1"/>
    <col min="5128" max="5128" width="1.375" style="56" customWidth="1"/>
    <col min="5129" max="5131" width="6" style="56" bestFit="1" customWidth="1"/>
    <col min="5132" max="5373" width="9" style="56"/>
    <col min="5374" max="5382" width="9.625" style="56" customWidth="1"/>
    <col min="5383" max="5383" width="33.375" style="56" customWidth="1"/>
    <col min="5384" max="5384" width="1.375" style="56" customWidth="1"/>
    <col min="5385" max="5387" width="6" style="56" bestFit="1" customWidth="1"/>
    <col min="5388" max="5629" width="9" style="56"/>
    <col min="5630" max="5638" width="9.625" style="56" customWidth="1"/>
    <col min="5639" max="5639" width="33.375" style="56" customWidth="1"/>
    <col min="5640" max="5640" width="1.375" style="56" customWidth="1"/>
    <col min="5641" max="5643" width="6" style="56" bestFit="1" customWidth="1"/>
    <col min="5644" max="5885" width="9" style="56"/>
    <col min="5886" max="5894" width="9.625" style="56" customWidth="1"/>
    <col min="5895" max="5895" width="33.375" style="56" customWidth="1"/>
    <col min="5896" max="5896" width="1.375" style="56" customWidth="1"/>
    <col min="5897" max="5899" width="6" style="56" bestFit="1" customWidth="1"/>
    <col min="5900" max="6141" width="9" style="56"/>
    <col min="6142" max="6150" width="9.625" style="56" customWidth="1"/>
    <col min="6151" max="6151" width="33.375" style="56" customWidth="1"/>
    <col min="6152" max="6152" width="1.375" style="56" customWidth="1"/>
    <col min="6153" max="6155" width="6" style="56" bestFit="1" customWidth="1"/>
    <col min="6156" max="6397" width="9" style="56"/>
    <col min="6398" max="6406" width="9.625" style="56" customWidth="1"/>
    <col min="6407" max="6407" width="33.375" style="56" customWidth="1"/>
    <col min="6408" max="6408" width="1.375" style="56" customWidth="1"/>
    <col min="6409" max="6411" width="6" style="56" bestFit="1" customWidth="1"/>
    <col min="6412" max="6653" width="9" style="56"/>
    <col min="6654" max="6662" width="9.625" style="56" customWidth="1"/>
    <col min="6663" max="6663" width="33.375" style="56" customWidth="1"/>
    <col min="6664" max="6664" width="1.375" style="56" customWidth="1"/>
    <col min="6665" max="6667" width="6" style="56" bestFit="1" customWidth="1"/>
    <col min="6668" max="6909" width="9" style="56"/>
    <col min="6910" max="6918" width="9.625" style="56" customWidth="1"/>
    <col min="6919" max="6919" width="33.375" style="56" customWidth="1"/>
    <col min="6920" max="6920" width="1.375" style="56" customWidth="1"/>
    <col min="6921" max="6923" width="6" style="56" bestFit="1" customWidth="1"/>
    <col min="6924" max="7165" width="9" style="56"/>
    <col min="7166" max="7174" width="9.625" style="56" customWidth="1"/>
    <col min="7175" max="7175" width="33.375" style="56" customWidth="1"/>
    <col min="7176" max="7176" width="1.375" style="56" customWidth="1"/>
    <col min="7177" max="7179" width="6" style="56" bestFit="1" customWidth="1"/>
    <col min="7180" max="7421" width="9" style="56"/>
    <col min="7422" max="7430" width="9.625" style="56" customWidth="1"/>
    <col min="7431" max="7431" width="33.375" style="56" customWidth="1"/>
    <col min="7432" max="7432" width="1.375" style="56" customWidth="1"/>
    <col min="7433" max="7435" width="6" style="56" bestFit="1" customWidth="1"/>
    <col min="7436" max="7677" width="9" style="56"/>
    <col min="7678" max="7686" width="9.625" style="56" customWidth="1"/>
    <col min="7687" max="7687" width="33.375" style="56" customWidth="1"/>
    <col min="7688" max="7688" width="1.375" style="56" customWidth="1"/>
    <col min="7689" max="7691" width="6" style="56" bestFit="1" customWidth="1"/>
    <col min="7692" max="7933" width="9" style="56"/>
    <col min="7934" max="7942" width="9.625" style="56" customWidth="1"/>
    <col min="7943" max="7943" width="33.375" style="56" customWidth="1"/>
    <col min="7944" max="7944" width="1.375" style="56" customWidth="1"/>
    <col min="7945" max="7947" width="6" style="56" bestFit="1" customWidth="1"/>
    <col min="7948" max="8189" width="9" style="56"/>
    <col min="8190" max="8198" width="9.625" style="56" customWidth="1"/>
    <col min="8199" max="8199" width="33.375" style="56" customWidth="1"/>
    <col min="8200" max="8200" width="1.375" style="56" customWidth="1"/>
    <col min="8201" max="8203" width="6" style="56" bestFit="1" customWidth="1"/>
    <col min="8204" max="8445" width="9" style="56"/>
    <col min="8446" max="8454" width="9.625" style="56" customWidth="1"/>
    <col min="8455" max="8455" width="33.375" style="56" customWidth="1"/>
    <col min="8456" max="8456" width="1.375" style="56" customWidth="1"/>
    <col min="8457" max="8459" width="6" style="56" bestFit="1" customWidth="1"/>
    <col min="8460" max="8701" width="9" style="56"/>
    <col min="8702" max="8710" width="9.625" style="56" customWidth="1"/>
    <col min="8711" max="8711" width="33.375" style="56" customWidth="1"/>
    <col min="8712" max="8712" width="1.375" style="56" customWidth="1"/>
    <col min="8713" max="8715" width="6" style="56" bestFit="1" customWidth="1"/>
    <col min="8716" max="8957" width="9" style="56"/>
    <col min="8958" max="8966" width="9.625" style="56" customWidth="1"/>
    <col min="8967" max="8967" width="33.375" style="56" customWidth="1"/>
    <col min="8968" max="8968" width="1.375" style="56" customWidth="1"/>
    <col min="8969" max="8971" width="6" style="56" bestFit="1" customWidth="1"/>
    <col min="8972" max="9213" width="9" style="56"/>
    <col min="9214" max="9222" width="9.625" style="56" customWidth="1"/>
    <col min="9223" max="9223" width="33.375" style="56" customWidth="1"/>
    <col min="9224" max="9224" width="1.375" style="56" customWidth="1"/>
    <col min="9225" max="9227" width="6" style="56" bestFit="1" customWidth="1"/>
    <col min="9228" max="9469" width="9" style="56"/>
    <col min="9470" max="9478" width="9.625" style="56" customWidth="1"/>
    <col min="9479" max="9479" width="33.375" style="56" customWidth="1"/>
    <col min="9480" max="9480" width="1.375" style="56" customWidth="1"/>
    <col min="9481" max="9483" width="6" style="56" bestFit="1" customWidth="1"/>
    <col min="9484" max="9725" width="9" style="56"/>
    <col min="9726" max="9734" width="9.625" style="56" customWidth="1"/>
    <col min="9735" max="9735" width="33.375" style="56" customWidth="1"/>
    <col min="9736" max="9736" width="1.375" style="56" customWidth="1"/>
    <col min="9737" max="9739" width="6" style="56" bestFit="1" customWidth="1"/>
    <col min="9740" max="9981" width="9" style="56"/>
    <col min="9982" max="9990" width="9.625" style="56" customWidth="1"/>
    <col min="9991" max="9991" width="33.375" style="56" customWidth="1"/>
    <col min="9992" max="9992" width="1.375" style="56" customWidth="1"/>
    <col min="9993" max="9995" width="6" style="56" bestFit="1" customWidth="1"/>
    <col min="9996" max="10237" width="9" style="56"/>
    <col min="10238" max="10246" width="9.625" style="56" customWidth="1"/>
    <col min="10247" max="10247" width="33.375" style="56" customWidth="1"/>
    <col min="10248" max="10248" width="1.375" style="56" customWidth="1"/>
    <col min="10249" max="10251" width="6" style="56" bestFit="1" customWidth="1"/>
    <col min="10252" max="10493" width="9" style="56"/>
    <col min="10494" max="10502" width="9.625" style="56" customWidth="1"/>
    <col min="10503" max="10503" width="33.375" style="56" customWidth="1"/>
    <col min="10504" max="10504" width="1.375" style="56" customWidth="1"/>
    <col min="10505" max="10507" width="6" style="56" bestFit="1" customWidth="1"/>
    <col min="10508" max="10749" width="9" style="56"/>
    <col min="10750" max="10758" width="9.625" style="56" customWidth="1"/>
    <col min="10759" max="10759" width="33.375" style="56" customWidth="1"/>
    <col min="10760" max="10760" width="1.375" style="56" customWidth="1"/>
    <col min="10761" max="10763" width="6" style="56" bestFit="1" customWidth="1"/>
    <col min="10764" max="11005" width="9" style="56"/>
    <col min="11006" max="11014" width="9.625" style="56" customWidth="1"/>
    <col min="11015" max="11015" width="33.375" style="56" customWidth="1"/>
    <col min="11016" max="11016" width="1.375" style="56" customWidth="1"/>
    <col min="11017" max="11019" width="6" style="56" bestFit="1" customWidth="1"/>
    <col min="11020" max="11261" width="9" style="56"/>
    <col min="11262" max="11270" width="9.625" style="56" customWidth="1"/>
    <col min="11271" max="11271" width="33.375" style="56" customWidth="1"/>
    <col min="11272" max="11272" width="1.375" style="56" customWidth="1"/>
    <col min="11273" max="11275" width="6" style="56" bestFit="1" customWidth="1"/>
    <col min="11276" max="11517" width="9" style="56"/>
    <col min="11518" max="11526" width="9.625" style="56" customWidth="1"/>
    <col min="11527" max="11527" width="33.375" style="56" customWidth="1"/>
    <col min="11528" max="11528" width="1.375" style="56" customWidth="1"/>
    <col min="11529" max="11531" width="6" style="56" bestFit="1" customWidth="1"/>
    <col min="11532" max="11773" width="9" style="56"/>
    <col min="11774" max="11782" width="9.625" style="56" customWidth="1"/>
    <col min="11783" max="11783" width="33.375" style="56" customWidth="1"/>
    <col min="11784" max="11784" width="1.375" style="56" customWidth="1"/>
    <col min="11785" max="11787" width="6" style="56" bestFit="1" customWidth="1"/>
    <col min="11788" max="12029" width="9" style="56"/>
    <col min="12030" max="12038" width="9.625" style="56" customWidth="1"/>
    <col min="12039" max="12039" width="33.375" style="56" customWidth="1"/>
    <col min="12040" max="12040" width="1.375" style="56" customWidth="1"/>
    <col min="12041" max="12043" width="6" style="56" bestFit="1" customWidth="1"/>
    <col min="12044" max="12285" width="9" style="56"/>
    <col min="12286" max="12294" width="9.625" style="56" customWidth="1"/>
    <col min="12295" max="12295" width="33.375" style="56" customWidth="1"/>
    <col min="12296" max="12296" width="1.375" style="56" customWidth="1"/>
    <col min="12297" max="12299" width="6" style="56" bestFit="1" customWidth="1"/>
    <col min="12300" max="12541" width="9" style="56"/>
    <col min="12542" max="12550" width="9.625" style="56" customWidth="1"/>
    <col min="12551" max="12551" width="33.375" style="56" customWidth="1"/>
    <col min="12552" max="12552" width="1.375" style="56" customWidth="1"/>
    <col min="12553" max="12555" width="6" style="56" bestFit="1" customWidth="1"/>
    <col min="12556" max="12797" width="9" style="56"/>
    <col min="12798" max="12806" width="9.625" style="56" customWidth="1"/>
    <col min="12807" max="12807" width="33.375" style="56" customWidth="1"/>
    <col min="12808" max="12808" width="1.375" style="56" customWidth="1"/>
    <col min="12809" max="12811" width="6" style="56" bestFit="1" customWidth="1"/>
    <col min="12812" max="13053" width="9" style="56"/>
    <col min="13054" max="13062" width="9.625" style="56" customWidth="1"/>
    <col min="13063" max="13063" width="33.375" style="56" customWidth="1"/>
    <col min="13064" max="13064" width="1.375" style="56" customWidth="1"/>
    <col min="13065" max="13067" width="6" style="56" bestFit="1" customWidth="1"/>
    <col min="13068" max="13309" width="9" style="56"/>
    <col min="13310" max="13318" width="9.625" style="56" customWidth="1"/>
    <col min="13319" max="13319" width="33.375" style="56" customWidth="1"/>
    <col min="13320" max="13320" width="1.375" style="56" customWidth="1"/>
    <col min="13321" max="13323" width="6" style="56" bestFit="1" customWidth="1"/>
    <col min="13324" max="13565" width="9" style="56"/>
    <col min="13566" max="13574" width="9.625" style="56" customWidth="1"/>
    <col min="13575" max="13575" width="33.375" style="56" customWidth="1"/>
    <col min="13576" max="13576" width="1.375" style="56" customWidth="1"/>
    <col min="13577" max="13579" width="6" style="56" bestFit="1" customWidth="1"/>
    <col min="13580" max="13821" width="9" style="56"/>
    <col min="13822" max="13830" width="9.625" style="56" customWidth="1"/>
    <col min="13831" max="13831" width="33.375" style="56" customWidth="1"/>
    <col min="13832" max="13832" width="1.375" style="56" customWidth="1"/>
    <col min="13833" max="13835" width="6" style="56" bestFit="1" customWidth="1"/>
    <col min="13836" max="14077" width="9" style="56"/>
    <col min="14078" max="14086" width="9.625" style="56" customWidth="1"/>
    <col min="14087" max="14087" width="33.375" style="56" customWidth="1"/>
    <col min="14088" max="14088" width="1.375" style="56" customWidth="1"/>
    <col min="14089" max="14091" width="6" style="56" bestFit="1" customWidth="1"/>
    <col min="14092" max="14333" width="9" style="56"/>
    <col min="14334" max="14342" width="9.625" style="56" customWidth="1"/>
    <col min="14343" max="14343" width="33.375" style="56" customWidth="1"/>
    <col min="14344" max="14344" width="1.375" style="56" customWidth="1"/>
    <col min="14345" max="14347" width="6" style="56" bestFit="1" customWidth="1"/>
    <col min="14348" max="14589" width="9" style="56"/>
    <col min="14590" max="14598" width="9.625" style="56" customWidth="1"/>
    <col min="14599" max="14599" width="33.375" style="56" customWidth="1"/>
    <col min="14600" max="14600" width="1.375" style="56" customWidth="1"/>
    <col min="14601" max="14603" width="6" style="56" bestFit="1" customWidth="1"/>
    <col min="14604" max="14845" width="9" style="56"/>
    <col min="14846" max="14854" width="9.625" style="56" customWidth="1"/>
    <col min="14855" max="14855" width="33.375" style="56" customWidth="1"/>
    <col min="14856" max="14856" width="1.375" style="56" customWidth="1"/>
    <col min="14857" max="14859" width="6" style="56" bestFit="1" customWidth="1"/>
    <col min="14860" max="15101" width="9" style="56"/>
    <col min="15102" max="15110" width="9.625" style="56" customWidth="1"/>
    <col min="15111" max="15111" width="33.375" style="56" customWidth="1"/>
    <col min="15112" max="15112" width="1.375" style="56" customWidth="1"/>
    <col min="15113" max="15115" width="6" style="56" bestFit="1" customWidth="1"/>
    <col min="15116" max="15357" width="9" style="56"/>
    <col min="15358" max="15366" width="9.625" style="56" customWidth="1"/>
    <col min="15367" max="15367" width="33.375" style="56" customWidth="1"/>
    <col min="15368" max="15368" width="1.375" style="56" customWidth="1"/>
    <col min="15369" max="15371" width="6" style="56" bestFit="1" customWidth="1"/>
    <col min="15372" max="15613" width="9" style="56"/>
    <col min="15614" max="15622" width="9.625" style="56" customWidth="1"/>
    <col min="15623" max="15623" width="33.375" style="56" customWidth="1"/>
    <col min="15624" max="15624" width="1.375" style="56" customWidth="1"/>
    <col min="15625" max="15627" width="6" style="56" bestFit="1" customWidth="1"/>
    <col min="15628" max="15869" width="9" style="56"/>
    <col min="15870" max="15878" width="9.625" style="56" customWidth="1"/>
    <col min="15879" max="15879" width="33.375" style="56" customWidth="1"/>
    <col min="15880" max="15880" width="1.375" style="56" customWidth="1"/>
    <col min="15881" max="15883" width="6" style="56" bestFit="1" customWidth="1"/>
    <col min="15884" max="16125" width="9" style="56"/>
    <col min="16126" max="16134" width="9.625" style="56" customWidth="1"/>
    <col min="16135" max="16135" width="33.375" style="56" customWidth="1"/>
    <col min="16136" max="16136" width="1.375" style="56" customWidth="1"/>
    <col min="16137" max="16139" width="6" style="56" bestFit="1" customWidth="1"/>
    <col min="16140" max="16381" width="9" style="56"/>
    <col min="16382" max="16384" width="9.125" style="56" customWidth="1"/>
  </cols>
  <sheetData>
    <row r="1" spans="1:11" ht="12.75" customHeight="1" x14ac:dyDescent="0.2">
      <c r="A1" s="177" t="s">
        <v>236</v>
      </c>
      <c r="B1" s="177"/>
      <c r="C1" s="177"/>
      <c r="D1" s="177"/>
      <c r="E1" s="177"/>
      <c r="F1" s="177"/>
      <c r="G1" s="177"/>
      <c r="H1" s="177"/>
      <c r="I1" s="177"/>
      <c r="J1" s="177"/>
      <c r="K1" s="55"/>
    </row>
    <row r="2" spans="1:11" ht="12.75" customHeight="1" thickBot="1" x14ac:dyDescent="0.25">
      <c r="A2" s="178" t="s">
        <v>237</v>
      </c>
      <c r="B2" s="178"/>
      <c r="C2" s="178"/>
      <c r="D2" s="178"/>
      <c r="E2" s="178"/>
      <c r="F2" s="178"/>
      <c r="G2" s="178"/>
      <c r="H2" s="178"/>
      <c r="I2" s="178"/>
      <c r="J2" s="178"/>
      <c r="K2" s="55"/>
    </row>
    <row r="3" spans="1:11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58" t="s">
        <v>72</v>
      </c>
      <c r="K3" s="55"/>
    </row>
    <row r="4" spans="1:11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59" t="s">
        <v>74</v>
      </c>
      <c r="K4" s="55"/>
    </row>
    <row r="5" spans="1:11" ht="12.75" customHeight="1" thickBot="1" x14ac:dyDescent="0.25">
      <c r="A5" s="60">
        <f t="shared" ref="A5:C10" si="0">G5+D5</f>
        <v>103</v>
      </c>
      <c r="B5" s="60">
        <f t="shared" si="0"/>
        <v>103</v>
      </c>
      <c r="C5" s="60">
        <f t="shared" si="0"/>
        <v>0</v>
      </c>
      <c r="D5" s="60">
        <f t="shared" ref="D5:D10" si="1">F5+E5</f>
        <v>18</v>
      </c>
      <c r="E5" s="60">
        <v>18</v>
      </c>
      <c r="F5" s="60">
        <v>0</v>
      </c>
      <c r="G5" s="60">
        <f t="shared" ref="G5:G10" si="2">I5+H5</f>
        <v>85</v>
      </c>
      <c r="H5" s="60">
        <v>85</v>
      </c>
      <c r="I5" s="60">
        <v>0</v>
      </c>
      <c r="J5" s="61" t="s">
        <v>73</v>
      </c>
      <c r="K5" s="55"/>
    </row>
    <row r="6" spans="1:11" ht="12.75" customHeight="1" thickBot="1" x14ac:dyDescent="0.25">
      <c r="A6" s="60">
        <f t="shared" si="0"/>
        <v>572</v>
      </c>
      <c r="B6" s="60">
        <f t="shared" si="0"/>
        <v>0</v>
      </c>
      <c r="C6" s="60">
        <f t="shared" si="0"/>
        <v>572</v>
      </c>
      <c r="D6" s="60">
        <f t="shared" si="1"/>
        <v>14</v>
      </c>
      <c r="E6" s="60">
        <v>0</v>
      </c>
      <c r="F6" s="60">
        <v>14</v>
      </c>
      <c r="G6" s="60">
        <f t="shared" si="2"/>
        <v>558</v>
      </c>
      <c r="H6" s="60">
        <v>0</v>
      </c>
      <c r="I6" s="60">
        <v>558</v>
      </c>
      <c r="J6" s="61" t="s">
        <v>87</v>
      </c>
      <c r="K6" s="55"/>
    </row>
    <row r="7" spans="1:11" ht="12.75" customHeight="1" thickBot="1" x14ac:dyDescent="0.25">
      <c r="A7" s="60">
        <f t="shared" si="0"/>
        <v>63</v>
      </c>
      <c r="B7" s="60">
        <f t="shared" si="0"/>
        <v>7</v>
      </c>
      <c r="C7" s="60">
        <f t="shared" si="0"/>
        <v>56</v>
      </c>
      <c r="D7" s="60">
        <f t="shared" si="1"/>
        <v>63</v>
      </c>
      <c r="E7" s="60">
        <v>7</v>
      </c>
      <c r="F7" s="60">
        <v>56</v>
      </c>
      <c r="G7" s="60">
        <f t="shared" si="2"/>
        <v>0</v>
      </c>
      <c r="H7" s="60">
        <v>0</v>
      </c>
      <c r="I7" s="60">
        <v>0</v>
      </c>
      <c r="J7" s="61" t="s">
        <v>238</v>
      </c>
      <c r="K7" s="55"/>
    </row>
    <row r="8" spans="1:11" ht="12.75" customHeight="1" thickBot="1" x14ac:dyDescent="0.25">
      <c r="A8" s="60">
        <f t="shared" si="0"/>
        <v>24</v>
      </c>
      <c r="B8" s="60">
        <f t="shared" si="0"/>
        <v>0</v>
      </c>
      <c r="C8" s="60">
        <f t="shared" si="0"/>
        <v>24</v>
      </c>
      <c r="D8" s="60">
        <f t="shared" si="1"/>
        <v>0</v>
      </c>
      <c r="E8" s="60">
        <v>0</v>
      </c>
      <c r="F8" s="60">
        <v>0</v>
      </c>
      <c r="G8" s="60">
        <f t="shared" si="2"/>
        <v>24</v>
      </c>
      <c r="H8" s="60">
        <v>0</v>
      </c>
      <c r="I8" s="60">
        <v>24</v>
      </c>
      <c r="J8" s="61" t="s">
        <v>239</v>
      </c>
      <c r="K8" s="55"/>
    </row>
    <row r="9" spans="1:11" ht="12.75" customHeight="1" thickBot="1" x14ac:dyDescent="0.25">
      <c r="A9" s="60">
        <f t="shared" si="0"/>
        <v>152</v>
      </c>
      <c r="B9" s="60">
        <f t="shared" si="0"/>
        <v>152</v>
      </c>
      <c r="C9" s="60">
        <f t="shared" si="0"/>
        <v>0</v>
      </c>
      <c r="D9" s="60">
        <f t="shared" si="1"/>
        <v>0</v>
      </c>
      <c r="E9" s="60">
        <v>0</v>
      </c>
      <c r="F9" s="60">
        <v>0</v>
      </c>
      <c r="G9" s="60">
        <f t="shared" si="2"/>
        <v>152</v>
      </c>
      <c r="H9" s="60">
        <v>152</v>
      </c>
      <c r="I9" s="60">
        <v>0</v>
      </c>
      <c r="J9" s="61" t="s">
        <v>240</v>
      </c>
      <c r="K9" s="55"/>
    </row>
    <row r="10" spans="1:11" ht="12.75" customHeight="1" thickBot="1" x14ac:dyDescent="0.25">
      <c r="A10" s="60">
        <f t="shared" si="0"/>
        <v>164</v>
      </c>
      <c r="B10" s="60">
        <f t="shared" si="0"/>
        <v>0</v>
      </c>
      <c r="C10" s="60">
        <f t="shared" si="0"/>
        <v>164</v>
      </c>
      <c r="D10" s="60">
        <f t="shared" si="1"/>
        <v>0</v>
      </c>
      <c r="E10" s="60">
        <v>0</v>
      </c>
      <c r="F10" s="60">
        <v>0</v>
      </c>
      <c r="G10" s="60">
        <f t="shared" si="2"/>
        <v>164</v>
      </c>
      <c r="H10" s="60">
        <v>0</v>
      </c>
      <c r="I10" s="60">
        <v>164</v>
      </c>
      <c r="J10" s="61" t="s">
        <v>241</v>
      </c>
      <c r="K10" s="55"/>
    </row>
    <row r="11" spans="1:11" ht="12.75" customHeight="1" thickBot="1" x14ac:dyDescent="0.25">
      <c r="A11" s="60">
        <f t="shared" ref="A11:H11" si="3">SUM(A5:A10)</f>
        <v>1078</v>
      </c>
      <c r="B11" s="60">
        <f t="shared" si="3"/>
        <v>262</v>
      </c>
      <c r="C11" s="60">
        <f t="shared" si="3"/>
        <v>816</v>
      </c>
      <c r="D11" s="60">
        <f t="shared" si="3"/>
        <v>95</v>
      </c>
      <c r="E11" s="60">
        <f t="shared" si="3"/>
        <v>25</v>
      </c>
      <c r="F11" s="60">
        <f t="shared" si="3"/>
        <v>70</v>
      </c>
      <c r="G11" s="60">
        <f t="shared" si="3"/>
        <v>983</v>
      </c>
      <c r="H11" s="60">
        <f t="shared" si="3"/>
        <v>237</v>
      </c>
      <c r="I11" s="60">
        <f>SUM(I5:I10)</f>
        <v>746</v>
      </c>
      <c r="J11" s="59" t="s">
        <v>211</v>
      </c>
      <c r="K11" s="55"/>
    </row>
    <row r="12" spans="1:11" ht="12.75" customHeight="1" x14ac:dyDescent="0.2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55"/>
    </row>
    <row r="13" spans="1:11" ht="12.75" customHeight="1" x14ac:dyDescent="0.2">
      <c r="A13" s="177" t="s">
        <v>236</v>
      </c>
      <c r="B13" s="177"/>
      <c r="C13" s="177"/>
      <c r="D13" s="177"/>
      <c r="E13" s="177"/>
      <c r="F13" s="177"/>
      <c r="G13" s="177"/>
      <c r="H13" s="177"/>
      <c r="I13" s="177"/>
      <c r="J13" s="177"/>
      <c r="K13" s="55"/>
    </row>
    <row r="14" spans="1:11" ht="12.75" customHeight="1" thickBot="1" x14ac:dyDescent="0.25">
      <c r="A14" s="178" t="s">
        <v>237</v>
      </c>
      <c r="B14" s="178"/>
      <c r="C14" s="178"/>
      <c r="D14" s="178"/>
      <c r="E14" s="178"/>
      <c r="F14" s="178"/>
      <c r="G14" s="178"/>
      <c r="H14" s="178"/>
      <c r="I14" s="178"/>
      <c r="J14" s="178"/>
      <c r="K14" s="55"/>
    </row>
    <row r="15" spans="1:11" ht="12.75" customHeight="1" thickBot="1" x14ac:dyDescent="0.25">
      <c r="A15" s="179" t="s">
        <v>5</v>
      </c>
      <c r="B15" s="179"/>
      <c r="C15" s="179"/>
      <c r="D15" s="179" t="s">
        <v>162</v>
      </c>
      <c r="E15" s="179"/>
      <c r="F15" s="179"/>
      <c r="G15" s="179" t="s">
        <v>163</v>
      </c>
      <c r="H15" s="179"/>
      <c r="I15" s="179"/>
      <c r="J15" s="58" t="s">
        <v>72</v>
      </c>
      <c r="K15" s="55"/>
    </row>
    <row r="16" spans="1:11" ht="12.75" customHeight="1" thickBot="1" x14ac:dyDescent="0.25">
      <c r="A16" s="58" t="s">
        <v>216</v>
      </c>
      <c r="B16" s="58" t="s">
        <v>11</v>
      </c>
      <c r="C16" s="58" t="s">
        <v>10</v>
      </c>
      <c r="D16" s="58" t="s">
        <v>216</v>
      </c>
      <c r="E16" s="58" t="s">
        <v>11</v>
      </c>
      <c r="F16" s="58" t="s">
        <v>10</v>
      </c>
      <c r="G16" s="58" t="s">
        <v>216</v>
      </c>
      <c r="H16" s="58" t="s">
        <v>11</v>
      </c>
      <c r="I16" s="58" t="s">
        <v>10</v>
      </c>
      <c r="J16" s="59" t="s">
        <v>164</v>
      </c>
      <c r="K16" s="55"/>
    </row>
    <row r="17" spans="1:11" ht="12.75" customHeight="1" thickBot="1" x14ac:dyDescent="0.25">
      <c r="A17" s="60">
        <f>G17+D17</f>
        <v>299</v>
      </c>
      <c r="B17" s="60">
        <f>H17+E17</f>
        <v>0</v>
      </c>
      <c r="C17" s="60">
        <f>I17+F17</f>
        <v>299</v>
      </c>
      <c r="D17" s="60">
        <f>F17+E17</f>
        <v>299</v>
      </c>
      <c r="E17" s="60">
        <v>0</v>
      </c>
      <c r="F17" s="60">
        <v>299</v>
      </c>
      <c r="G17" s="60">
        <f>I17+H17</f>
        <v>0</v>
      </c>
      <c r="H17" s="60">
        <v>0</v>
      </c>
      <c r="I17" s="60">
        <v>0</v>
      </c>
      <c r="J17" s="61" t="s">
        <v>238</v>
      </c>
      <c r="K17" s="55"/>
    </row>
    <row r="18" spans="1:11" ht="12.75" customHeight="1" thickBot="1" x14ac:dyDescent="0.25">
      <c r="A18" s="60">
        <f t="shared" ref="A18:I18" si="4">SUM(A17)</f>
        <v>299</v>
      </c>
      <c r="B18" s="60">
        <f t="shared" si="4"/>
        <v>0</v>
      </c>
      <c r="C18" s="60">
        <f t="shared" si="4"/>
        <v>299</v>
      </c>
      <c r="D18" s="60">
        <f t="shared" si="4"/>
        <v>299</v>
      </c>
      <c r="E18" s="60">
        <f t="shared" si="4"/>
        <v>0</v>
      </c>
      <c r="F18" s="60">
        <f t="shared" si="4"/>
        <v>299</v>
      </c>
      <c r="G18" s="60">
        <f t="shared" si="4"/>
        <v>0</v>
      </c>
      <c r="H18" s="60">
        <f t="shared" si="4"/>
        <v>0</v>
      </c>
      <c r="I18" s="60">
        <f t="shared" si="4"/>
        <v>0</v>
      </c>
      <c r="J18" s="59" t="s">
        <v>211</v>
      </c>
      <c r="K18" s="55"/>
    </row>
    <row r="19" spans="1:11" ht="12.75" customHeight="1" x14ac:dyDescent="0.2">
      <c r="A19" s="177"/>
      <c r="B19" s="177"/>
      <c r="C19" s="177"/>
      <c r="D19" s="177"/>
      <c r="E19" s="177"/>
      <c r="F19" s="177"/>
      <c r="G19" s="177"/>
      <c r="H19" s="177"/>
      <c r="I19" s="177"/>
      <c r="J19" s="177"/>
      <c r="K19" s="55"/>
    </row>
    <row r="20" spans="1:11" ht="12.75" customHeight="1" x14ac:dyDescent="0.2">
      <c r="A20" s="177" t="s">
        <v>236</v>
      </c>
      <c r="B20" s="177"/>
      <c r="C20" s="177"/>
      <c r="D20" s="177"/>
      <c r="E20" s="177"/>
      <c r="F20" s="177"/>
      <c r="G20" s="177"/>
      <c r="H20" s="177"/>
      <c r="I20" s="177"/>
      <c r="J20" s="177"/>
      <c r="K20" s="55"/>
    </row>
    <row r="21" spans="1:11" ht="12.75" customHeight="1" thickBot="1" x14ac:dyDescent="0.25">
      <c r="A21" s="178" t="s">
        <v>237</v>
      </c>
      <c r="B21" s="178"/>
      <c r="C21" s="178"/>
      <c r="D21" s="178"/>
      <c r="E21" s="178"/>
      <c r="F21" s="178"/>
      <c r="G21" s="178"/>
      <c r="H21" s="178"/>
      <c r="I21" s="178"/>
      <c r="J21" s="178"/>
      <c r="K21" s="55"/>
    </row>
    <row r="22" spans="1:11" ht="12.75" customHeight="1" thickBot="1" x14ac:dyDescent="0.25">
      <c r="A22" s="179" t="s">
        <v>5</v>
      </c>
      <c r="B22" s="179"/>
      <c r="C22" s="179"/>
      <c r="D22" s="179" t="s">
        <v>162</v>
      </c>
      <c r="E22" s="179"/>
      <c r="F22" s="179"/>
      <c r="G22" s="179" t="s">
        <v>163</v>
      </c>
      <c r="H22" s="179"/>
      <c r="I22" s="179"/>
      <c r="J22" s="58" t="s">
        <v>72</v>
      </c>
      <c r="K22" s="55"/>
    </row>
    <row r="23" spans="1:11" ht="12.75" customHeight="1" thickBot="1" x14ac:dyDescent="0.25">
      <c r="A23" s="58" t="s">
        <v>216</v>
      </c>
      <c r="B23" s="58" t="s">
        <v>11</v>
      </c>
      <c r="C23" s="58" t="s">
        <v>10</v>
      </c>
      <c r="D23" s="58" t="s">
        <v>216</v>
      </c>
      <c r="E23" s="58" t="s">
        <v>11</v>
      </c>
      <c r="F23" s="58" t="s">
        <v>10</v>
      </c>
      <c r="G23" s="58" t="s">
        <v>216</v>
      </c>
      <c r="H23" s="58" t="s">
        <v>11</v>
      </c>
      <c r="I23" s="58" t="s">
        <v>10</v>
      </c>
      <c r="J23" s="59" t="s">
        <v>76</v>
      </c>
      <c r="K23" s="55"/>
    </row>
    <row r="24" spans="1:11" ht="12.75" customHeight="1" thickBot="1" x14ac:dyDescent="0.25">
      <c r="A24" s="60">
        <f t="shared" ref="A24:C27" si="5">G24+D24</f>
        <v>239</v>
      </c>
      <c r="B24" s="60">
        <f t="shared" si="5"/>
        <v>0</v>
      </c>
      <c r="C24" s="60">
        <f t="shared" si="5"/>
        <v>239</v>
      </c>
      <c r="D24" s="60">
        <f>F24+E24</f>
        <v>0</v>
      </c>
      <c r="E24" s="60">
        <v>0</v>
      </c>
      <c r="F24" s="60">
        <v>0</v>
      </c>
      <c r="G24" s="60">
        <f>I24+H24</f>
        <v>239</v>
      </c>
      <c r="H24" s="60">
        <v>0</v>
      </c>
      <c r="I24" s="60">
        <v>239</v>
      </c>
      <c r="J24" s="61" t="s">
        <v>88</v>
      </c>
      <c r="K24" s="55"/>
    </row>
    <row r="25" spans="1:11" ht="12.75" customHeight="1" thickBot="1" x14ac:dyDescent="0.25">
      <c r="A25" s="60">
        <f t="shared" si="5"/>
        <v>84</v>
      </c>
      <c r="B25" s="60">
        <f t="shared" si="5"/>
        <v>0</v>
      </c>
      <c r="C25" s="60">
        <f t="shared" si="5"/>
        <v>84</v>
      </c>
      <c r="D25" s="60">
        <f>F25+E25</f>
        <v>84</v>
      </c>
      <c r="E25" s="60">
        <v>0</v>
      </c>
      <c r="F25" s="60">
        <v>84</v>
      </c>
      <c r="G25" s="60">
        <f>I25+H25</f>
        <v>0</v>
      </c>
      <c r="H25" s="60">
        <v>0</v>
      </c>
      <c r="I25" s="60">
        <v>0</v>
      </c>
      <c r="J25" s="61" t="s">
        <v>242</v>
      </c>
      <c r="K25" s="55"/>
    </row>
    <row r="26" spans="1:11" ht="12.75" customHeight="1" thickBot="1" x14ac:dyDescent="0.25">
      <c r="A26" s="60">
        <f t="shared" si="5"/>
        <v>74</v>
      </c>
      <c r="B26" s="60">
        <f t="shared" si="5"/>
        <v>0</v>
      </c>
      <c r="C26" s="60">
        <f t="shared" si="5"/>
        <v>74</v>
      </c>
      <c r="D26" s="60">
        <f>F26+E26</f>
        <v>2</v>
      </c>
      <c r="E26" s="60">
        <v>0</v>
      </c>
      <c r="F26" s="60">
        <v>2</v>
      </c>
      <c r="G26" s="60">
        <f>I26+H26</f>
        <v>72</v>
      </c>
      <c r="H26" s="60">
        <v>0</v>
      </c>
      <c r="I26" s="60">
        <v>72</v>
      </c>
      <c r="J26" s="61" t="s">
        <v>75</v>
      </c>
      <c r="K26" s="55"/>
    </row>
    <row r="27" spans="1:11" ht="12.75" customHeight="1" thickBot="1" x14ac:dyDescent="0.25">
      <c r="A27" s="60">
        <f t="shared" si="5"/>
        <v>73</v>
      </c>
      <c r="B27" s="60">
        <f t="shared" si="5"/>
        <v>0</v>
      </c>
      <c r="C27" s="60">
        <f t="shared" si="5"/>
        <v>73</v>
      </c>
      <c r="D27" s="60">
        <f>F27+E27</f>
        <v>0</v>
      </c>
      <c r="E27" s="60">
        <v>0</v>
      </c>
      <c r="F27" s="60">
        <v>0</v>
      </c>
      <c r="G27" s="60">
        <f>I27+H27</f>
        <v>73</v>
      </c>
      <c r="H27" s="60">
        <v>0</v>
      </c>
      <c r="I27" s="60">
        <v>73</v>
      </c>
      <c r="J27" s="61" t="s">
        <v>89</v>
      </c>
      <c r="K27" s="55"/>
    </row>
    <row r="28" spans="1:11" ht="12.75" customHeight="1" thickBot="1" x14ac:dyDescent="0.25">
      <c r="A28" s="60">
        <f t="shared" ref="A28:I28" si="6">SUM(A24:A27)</f>
        <v>470</v>
      </c>
      <c r="B28" s="60">
        <f t="shared" si="6"/>
        <v>0</v>
      </c>
      <c r="C28" s="60">
        <f t="shared" si="6"/>
        <v>470</v>
      </c>
      <c r="D28" s="60">
        <f t="shared" si="6"/>
        <v>86</v>
      </c>
      <c r="E28" s="60">
        <f t="shared" si="6"/>
        <v>0</v>
      </c>
      <c r="F28" s="60">
        <f t="shared" si="6"/>
        <v>86</v>
      </c>
      <c r="G28" s="60">
        <f t="shared" si="6"/>
        <v>384</v>
      </c>
      <c r="H28" s="60">
        <f t="shared" si="6"/>
        <v>0</v>
      </c>
      <c r="I28" s="60">
        <f t="shared" si="6"/>
        <v>384</v>
      </c>
      <c r="J28" s="59" t="s">
        <v>211</v>
      </c>
      <c r="K28" s="55"/>
    </row>
    <row r="29" spans="1:11" ht="12.75" customHeight="1" x14ac:dyDescent="0.2">
      <c r="A29" s="177"/>
      <c r="B29" s="177"/>
      <c r="C29" s="177"/>
      <c r="D29" s="177"/>
      <c r="E29" s="177"/>
      <c r="F29" s="177"/>
      <c r="G29" s="177"/>
      <c r="H29" s="177"/>
      <c r="I29" s="177"/>
      <c r="J29" s="177"/>
      <c r="K29" s="55"/>
    </row>
    <row r="30" spans="1:11" ht="12.75" customHeight="1" x14ac:dyDescent="0.2">
      <c r="A30" s="177" t="s">
        <v>236</v>
      </c>
      <c r="B30" s="177"/>
      <c r="C30" s="177"/>
      <c r="D30" s="177"/>
      <c r="E30" s="177"/>
      <c r="F30" s="177"/>
      <c r="G30" s="177"/>
      <c r="H30" s="177"/>
      <c r="I30" s="177"/>
      <c r="J30" s="177"/>
      <c r="K30" s="55"/>
    </row>
    <row r="31" spans="1:11" ht="12.75" customHeight="1" thickBot="1" x14ac:dyDescent="0.25">
      <c r="A31" s="178" t="s">
        <v>237</v>
      </c>
      <c r="B31" s="178"/>
      <c r="C31" s="178"/>
      <c r="D31" s="178"/>
      <c r="E31" s="178"/>
      <c r="F31" s="178"/>
      <c r="G31" s="178"/>
      <c r="H31" s="178"/>
      <c r="I31" s="178"/>
      <c r="J31" s="178"/>
      <c r="K31" s="55"/>
    </row>
    <row r="32" spans="1:11" ht="12.75" customHeight="1" thickBot="1" x14ac:dyDescent="0.25">
      <c r="A32" s="179" t="s">
        <v>5</v>
      </c>
      <c r="B32" s="179"/>
      <c r="C32" s="179"/>
      <c r="D32" s="179" t="s">
        <v>162</v>
      </c>
      <c r="E32" s="179"/>
      <c r="F32" s="179"/>
      <c r="G32" s="179" t="s">
        <v>163</v>
      </c>
      <c r="H32" s="179"/>
      <c r="I32" s="179"/>
      <c r="J32" s="58" t="s">
        <v>72</v>
      </c>
      <c r="K32" s="55"/>
    </row>
    <row r="33" spans="1:11" ht="12.75" customHeight="1" thickBot="1" x14ac:dyDescent="0.25">
      <c r="A33" s="58" t="s">
        <v>216</v>
      </c>
      <c r="B33" s="58" t="s">
        <v>11</v>
      </c>
      <c r="C33" s="58" t="s">
        <v>10</v>
      </c>
      <c r="D33" s="58" t="s">
        <v>216</v>
      </c>
      <c r="E33" s="58" t="s">
        <v>11</v>
      </c>
      <c r="F33" s="58" t="s">
        <v>10</v>
      </c>
      <c r="G33" s="58" t="s">
        <v>216</v>
      </c>
      <c r="H33" s="58" t="s">
        <v>11</v>
      </c>
      <c r="I33" s="58" t="s">
        <v>10</v>
      </c>
      <c r="J33" s="59" t="s">
        <v>78</v>
      </c>
      <c r="K33" s="55"/>
    </row>
    <row r="34" spans="1:11" ht="12.75" customHeight="1" thickBot="1" x14ac:dyDescent="0.25">
      <c r="A34" s="60">
        <f t="shared" ref="A34:C44" si="7">G34+D34</f>
        <v>37</v>
      </c>
      <c r="B34" s="60">
        <f t="shared" si="7"/>
        <v>0</v>
      </c>
      <c r="C34" s="60">
        <f t="shared" si="7"/>
        <v>37</v>
      </c>
      <c r="D34" s="60">
        <f t="shared" ref="D34:D44" si="8">F34+E34</f>
        <v>0</v>
      </c>
      <c r="E34" s="60">
        <v>0</v>
      </c>
      <c r="F34" s="60">
        <v>0</v>
      </c>
      <c r="G34" s="60">
        <f t="shared" ref="G34:G44" si="9">I34+H34</f>
        <v>37</v>
      </c>
      <c r="H34" s="60">
        <v>0</v>
      </c>
      <c r="I34" s="60">
        <v>37</v>
      </c>
      <c r="J34" s="61" t="s">
        <v>243</v>
      </c>
      <c r="K34" s="55"/>
    </row>
    <row r="35" spans="1:11" ht="12.75" customHeight="1" thickBot="1" x14ac:dyDescent="0.25">
      <c r="A35" s="60">
        <f t="shared" si="7"/>
        <v>27</v>
      </c>
      <c r="B35" s="60">
        <f t="shared" si="7"/>
        <v>27</v>
      </c>
      <c r="C35" s="60">
        <f t="shared" si="7"/>
        <v>0</v>
      </c>
      <c r="D35" s="60">
        <f t="shared" si="8"/>
        <v>0</v>
      </c>
      <c r="E35" s="60">
        <v>0</v>
      </c>
      <c r="F35" s="60">
        <v>0</v>
      </c>
      <c r="G35" s="60">
        <f t="shared" si="9"/>
        <v>27</v>
      </c>
      <c r="H35" s="60">
        <v>27</v>
      </c>
      <c r="I35" s="60">
        <v>0</v>
      </c>
      <c r="J35" s="61" t="s">
        <v>244</v>
      </c>
      <c r="K35" s="55"/>
    </row>
    <row r="36" spans="1:11" ht="12.75" customHeight="1" thickBot="1" x14ac:dyDescent="0.25">
      <c r="A36" s="60">
        <f t="shared" si="7"/>
        <v>107</v>
      </c>
      <c r="B36" s="60">
        <f t="shared" si="7"/>
        <v>0</v>
      </c>
      <c r="C36" s="60">
        <f t="shared" si="7"/>
        <v>107</v>
      </c>
      <c r="D36" s="60">
        <f t="shared" si="8"/>
        <v>107</v>
      </c>
      <c r="E36" s="60">
        <v>0</v>
      </c>
      <c r="F36" s="60">
        <v>107</v>
      </c>
      <c r="G36" s="60">
        <f t="shared" si="9"/>
        <v>0</v>
      </c>
      <c r="H36" s="60">
        <v>0</v>
      </c>
      <c r="I36" s="60">
        <v>0</v>
      </c>
      <c r="J36" s="61" t="s">
        <v>245</v>
      </c>
      <c r="K36" s="55"/>
    </row>
    <row r="37" spans="1:11" ht="12.75" customHeight="1" thickBot="1" x14ac:dyDescent="0.25">
      <c r="A37" s="60">
        <f t="shared" si="7"/>
        <v>2628</v>
      </c>
      <c r="B37" s="60">
        <f t="shared" si="7"/>
        <v>2231</v>
      </c>
      <c r="C37" s="60">
        <f t="shared" si="7"/>
        <v>397</v>
      </c>
      <c r="D37" s="60">
        <f t="shared" si="8"/>
        <v>210</v>
      </c>
      <c r="E37" s="60">
        <v>144</v>
      </c>
      <c r="F37" s="60">
        <v>66</v>
      </c>
      <c r="G37" s="60">
        <f t="shared" si="9"/>
        <v>2418</v>
      </c>
      <c r="H37" s="60">
        <v>2087</v>
      </c>
      <c r="I37" s="60">
        <v>331</v>
      </c>
      <c r="J37" s="61" t="s">
        <v>77</v>
      </c>
      <c r="K37" s="55"/>
    </row>
    <row r="38" spans="1:11" ht="12.75" customHeight="1" thickBot="1" x14ac:dyDescent="0.25">
      <c r="A38" s="60">
        <f t="shared" si="7"/>
        <v>1795</v>
      </c>
      <c r="B38" s="60">
        <f t="shared" si="7"/>
        <v>0</v>
      </c>
      <c r="C38" s="60">
        <f t="shared" si="7"/>
        <v>1795</v>
      </c>
      <c r="D38" s="60">
        <f t="shared" si="8"/>
        <v>28</v>
      </c>
      <c r="E38" s="60">
        <v>0</v>
      </c>
      <c r="F38" s="60">
        <v>28</v>
      </c>
      <c r="G38" s="60">
        <f t="shared" si="9"/>
        <v>1767</v>
      </c>
      <c r="H38" s="60">
        <v>0</v>
      </c>
      <c r="I38" s="60">
        <v>1767</v>
      </c>
      <c r="J38" s="61" t="s">
        <v>90</v>
      </c>
      <c r="K38" s="55"/>
    </row>
    <row r="39" spans="1:11" ht="12.75" customHeight="1" thickBot="1" x14ac:dyDescent="0.25">
      <c r="A39" s="60">
        <f t="shared" si="7"/>
        <v>319</v>
      </c>
      <c r="B39" s="60">
        <f t="shared" si="7"/>
        <v>0</v>
      </c>
      <c r="C39" s="60">
        <f t="shared" si="7"/>
        <v>319</v>
      </c>
      <c r="D39" s="60">
        <f t="shared" si="8"/>
        <v>0</v>
      </c>
      <c r="E39" s="60">
        <v>0</v>
      </c>
      <c r="F39" s="60">
        <v>0</v>
      </c>
      <c r="G39" s="60">
        <f t="shared" si="9"/>
        <v>319</v>
      </c>
      <c r="H39" s="60">
        <v>0</v>
      </c>
      <c r="I39" s="60">
        <v>319</v>
      </c>
      <c r="J39" s="61" t="s">
        <v>91</v>
      </c>
      <c r="K39" s="55"/>
    </row>
    <row r="40" spans="1:11" ht="12.75" customHeight="1" thickBot="1" x14ac:dyDescent="0.25">
      <c r="A40" s="60">
        <f t="shared" si="7"/>
        <v>312</v>
      </c>
      <c r="B40" s="60">
        <f t="shared" si="7"/>
        <v>0</v>
      </c>
      <c r="C40" s="60">
        <f t="shared" si="7"/>
        <v>312</v>
      </c>
      <c r="D40" s="60">
        <f t="shared" si="8"/>
        <v>0</v>
      </c>
      <c r="E40" s="60">
        <v>0</v>
      </c>
      <c r="F40" s="60">
        <v>0</v>
      </c>
      <c r="G40" s="60">
        <f t="shared" si="9"/>
        <v>312</v>
      </c>
      <c r="H40" s="60">
        <v>0</v>
      </c>
      <c r="I40" s="60">
        <v>312</v>
      </c>
      <c r="J40" s="61" t="s">
        <v>92</v>
      </c>
      <c r="K40" s="55"/>
    </row>
    <row r="41" spans="1:11" ht="12.75" customHeight="1" thickBot="1" x14ac:dyDescent="0.25">
      <c r="A41" s="60">
        <f t="shared" si="7"/>
        <v>398</v>
      </c>
      <c r="B41" s="60">
        <f t="shared" si="7"/>
        <v>0</v>
      </c>
      <c r="C41" s="60">
        <f t="shared" si="7"/>
        <v>398</v>
      </c>
      <c r="D41" s="60">
        <f t="shared" si="8"/>
        <v>0</v>
      </c>
      <c r="E41" s="60">
        <v>0</v>
      </c>
      <c r="F41" s="60">
        <v>0</v>
      </c>
      <c r="G41" s="60">
        <f t="shared" si="9"/>
        <v>398</v>
      </c>
      <c r="H41" s="60">
        <v>0</v>
      </c>
      <c r="I41" s="60">
        <v>398</v>
      </c>
      <c r="J41" s="61" t="s">
        <v>93</v>
      </c>
      <c r="K41" s="55"/>
    </row>
    <row r="42" spans="1:11" ht="12.75" customHeight="1" thickBot="1" x14ac:dyDescent="0.25">
      <c r="A42" s="60">
        <f t="shared" si="7"/>
        <v>272</v>
      </c>
      <c r="B42" s="60">
        <f t="shared" si="7"/>
        <v>0</v>
      </c>
      <c r="C42" s="60">
        <f t="shared" si="7"/>
        <v>272</v>
      </c>
      <c r="D42" s="60">
        <f t="shared" si="8"/>
        <v>0</v>
      </c>
      <c r="E42" s="60">
        <v>0</v>
      </c>
      <c r="F42" s="60">
        <v>0</v>
      </c>
      <c r="G42" s="60">
        <f t="shared" si="9"/>
        <v>272</v>
      </c>
      <c r="H42" s="60">
        <v>0</v>
      </c>
      <c r="I42" s="60">
        <v>272</v>
      </c>
      <c r="J42" s="61" t="s">
        <v>94</v>
      </c>
      <c r="K42" s="55"/>
    </row>
    <row r="43" spans="1:11" ht="12.75" customHeight="1" thickBot="1" x14ac:dyDescent="0.25">
      <c r="A43" s="60">
        <f t="shared" si="7"/>
        <v>1468</v>
      </c>
      <c r="B43" s="60">
        <f t="shared" si="7"/>
        <v>0</v>
      </c>
      <c r="C43" s="60">
        <f t="shared" si="7"/>
        <v>1468</v>
      </c>
      <c r="D43" s="60">
        <f t="shared" si="8"/>
        <v>17</v>
      </c>
      <c r="E43" s="60">
        <v>0</v>
      </c>
      <c r="F43" s="60">
        <v>17</v>
      </c>
      <c r="G43" s="60">
        <f t="shared" si="9"/>
        <v>1451</v>
      </c>
      <c r="H43" s="60">
        <v>0</v>
      </c>
      <c r="I43" s="60">
        <v>1451</v>
      </c>
      <c r="J43" s="61" t="s">
        <v>246</v>
      </c>
      <c r="K43" s="55"/>
    </row>
    <row r="44" spans="1:11" ht="12.75" customHeight="1" thickBot="1" x14ac:dyDescent="0.25">
      <c r="A44" s="60">
        <f t="shared" si="7"/>
        <v>37</v>
      </c>
      <c r="B44" s="60">
        <f t="shared" si="7"/>
        <v>0</v>
      </c>
      <c r="C44" s="60">
        <f t="shared" si="7"/>
        <v>37</v>
      </c>
      <c r="D44" s="60">
        <f t="shared" si="8"/>
        <v>0</v>
      </c>
      <c r="E44" s="60">
        <v>0</v>
      </c>
      <c r="F44" s="60">
        <v>0</v>
      </c>
      <c r="G44" s="60">
        <f t="shared" si="9"/>
        <v>37</v>
      </c>
      <c r="H44" s="60">
        <v>0</v>
      </c>
      <c r="I44" s="60">
        <v>37</v>
      </c>
      <c r="J44" s="61" t="s">
        <v>247</v>
      </c>
      <c r="K44" s="55"/>
    </row>
    <row r="45" spans="1:11" ht="12.75" customHeight="1" thickBot="1" x14ac:dyDescent="0.25">
      <c r="A45" s="60">
        <f t="shared" ref="A45:H45" si="10">SUM(A34:A44)</f>
        <v>7400</v>
      </c>
      <c r="B45" s="60">
        <f t="shared" si="10"/>
        <v>2258</v>
      </c>
      <c r="C45" s="60">
        <f t="shared" si="10"/>
        <v>5142</v>
      </c>
      <c r="D45" s="60">
        <f t="shared" si="10"/>
        <v>362</v>
      </c>
      <c r="E45" s="60">
        <f t="shared" si="10"/>
        <v>144</v>
      </c>
      <c r="F45" s="60">
        <f t="shared" si="10"/>
        <v>218</v>
      </c>
      <c r="G45" s="60">
        <f t="shared" si="10"/>
        <v>7038</v>
      </c>
      <c r="H45" s="60">
        <f t="shared" si="10"/>
        <v>2114</v>
      </c>
      <c r="I45" s="60">
        <f>SUM(I34:I44)</f>
        <v>4924</v>
      </c>
      <c r="J45" s="59" t="s">
        <v>211</v>
      </c>
      <c r="K45" s="55"/>
    </row>
    <row r="46" spans="1:11" ht="12.75" customHeight="1" x14ac:dyDescent="0.2">
      <c r="A46" s="177"/>
      <c r="B46" s="177"/>
      <c r="C46" s="177"/>
      <c r="D46" s="177"/>
      <c r="E46" s="177"/>
      <c r="F46" s="177"/>
      <c r="G46" s="177"/>
      <c r="H46" s="177"/>
      <c r="I46" s="177"/>
      <c r="J46" s="177"/>
      <c r="K46" s="55"/>
    </row>
    <row r="47" spans="1:11" ht="12.75" customHeight="1" x14ac:dyDescent="0.2">
      <c r="A47" s="177" t="s">
        <v>236</v>
      </c>
      <c r="B47" s="177"/>
      <c r="C47" s="177"/>
      <c r="D47" s="177"/>
      <c r="E47" s="177"/>
      <c r="F47" s="177"/>
      <c r="G47" s="177"/>
      <c r="H47" s="177"/>
      <c r="I47" s="177"/>
      <c r="J47" s="177"/>
      <c r="K47" s="55"/>
    </row>
    <row r="48" spans="1:11" ht="12.75" customHeight="1" thickBot="1" x14ac:dyDescent="0.25">
      <c r="A48" s="178" t="s">
        <v>237</v>
      </c>
      <c r="B48" s="178"/>
      <c r="C48" s="178"/>
      <c r="D48" s="178"/>
      <c r="E48" s="178"/>
      <c r="F48" s="178"/>
      <c r="G48" s="178"/>
      <c r="H48" s="178"/>
      <c r="I48" s="178"/>
      <c r="J48" s="178"/>
      <c r="K48" s="55"/>
    </row>
    <row r="49" spans="1:11" ht="12.75" customHeight="1" thickBot="1" x14ac:dyDescent="0.25">
      <c r="A49" s="179" t="s">
        <v>5</v>
      </c>
      <c r="B49" s="179"/>
      <c r="C49" s="179"/>
      <c r="D49" s="179" t="s">
        <v>162</v>
      </c>
      <c r="E49" s="179"/>
      <c r="F49" s="179"/>
      <c r="G49" s="179" t="s">
        <v>163</v>
      </c>
      <c r="H49" s="179"/>
      <c r="I49" s="179"/>
      <c r="J49" s="58" t="s">
        <v>72</v>
      </c>
      <c r="K49" s="55"/>
    </row>
    <row r="50" spans="1:11" ht="12.75" customHeight="1" thickBot="1" x14ac:dyDescent="0.25">
      <c r="A50" s="58" t="s">
        <v>216</v>
      </c>
      <c r="B50" s="58" t="s">
        <v>11</v>
      </c>
      <c r="C50" s="58" t="s">
        <v>10</v>
      </c>
      <c r="D50" s="58" t="s">
        <v>216</v>
      </c>
      <c r="E50" s="58" t="s">
        <v>11</v>
      </c>
      <c r="F50" s="58" t="s">
        <v>10</v>
      </c>
      <c r="G50" s="58" t="s">
        <v>216</v>
      </c>
      <c r="H50" s="58" t="s">
        <v>11</v>
      </c>
      <c r="I50" s="58" t="s">
        <v>10</v>
      </c>
      <c r="J50" s="59" t="s">
        <v>79</v>
      </c>
      <c r="K50" s="55"/>
    </row>
    <row r="51" spans="1:11" ht="12.75" customHeight="1" thickBot="1" x14ac:dyDescent="0.25">
      <c r="A51" s="60">
        <f t="shared" ref="A51:C55" si="11">G51+D51</f>
        <v>36</v>
      </c>
      <c r="B51" s="60">
        <f t="shared" si="11"/>
        <v>36</v>
      </c>
      <c r="C51" s="60">
        <f t="shared" si="11"/>
        <v>0</v>
      </c>
      <c r="D51" s="60">
        <f>F51+E51</f>
        <v>0</v>
      </c>
      <c r="E51" s="60">
        <v>0</v>
      </c>
      <c r="F51" s="60">
        <v>0</v>
      </c>
      <c r="G51" s="60">
        <f>I51+H51</f>
        <v>36</v>
      </c>
      <c r="H51" s="60">
        <v>36</v>
      </c>
      <c r="I51" s="60">
        <v>0</v>
      </c>
      <c r="J51" s="61" t="s">
        <v>75</v>
      </c>
      <c r="K51" s="55"/>
    </row>
    <row r="52" spans="1:11" ht="12.75" customHeight="1" thickBot="1" x14ac:dyDescent="0.25">
      <c r="A52" s="60">
        <f t="shared" si="11"/>
        <v>1193</v>
      </c>
      <c r="B52" s="60">
        <f t="shared" si="11"/>
        <v>0</v>
      </c>
      <c r="C52" s="60">
        <f t="shared" si="11"/>
        <v>1193</v>
      </c>
      <c r="D52" s="60">
        <f>F52+E52</f>
        <v>0</v>
      </c>
      <c r="E52" s="60">
        <v>0</v>
      </c>
      <c r="F52" s="60">
        <v>0</v>
      </c>
      <c r="G52" s="60">
        <f>I52+H52</f>
        <v>1193</v>
      </c>
      <c r="H52" s="60">
        <v>0</v>
      </c>
      <c r="I52" s="60">
        <v>1193</v>
      </c>
      <c r="J52" s="61" t="s">
        <v>95</v>
      </c>
      <c r="K52" s="55"/>
    </row>
    <row r="53" spans="1:11" ht="12.75" customHeight="1" thickBot="1" x14ac:dyDescent="0.25">
      <c r="A53" s="60">
        <f t="shared" si="11"/>
        <v>119</v>
      </c>
      <c r="B53" s="60">
        <f t="shared" si="11"/>
        <v>119</v>
      </c>
      <c r="C53" s="60">
        <f t="shared" si="11"/>
        <v>0</v>
      </c>
      <c r="D53" s="60">
        <f>F53+E53</f>
        <v>0</v>
      </c>
      <c r="E53" s="60">
        <v>0</v>
      </c>
      <c r="F53" s="60">
        <v>0</v>
      </c>
      <c r="G53" s="60">
        <f>I53+H53</f>
        <v>119</v>
      </c>
      <c r="H53" s="60">
        <v>119</v>
      </c>
      <c r="I53" s="60">
        <v>0</v>
      </c>
      <c r="J53" s="61" t="s">
        <v>96</v>
      </c>
      <c r="K53" s="55"/>
    </row>
    <row r="54" spans="1:11" ht="12.75" customHeight="1" thickBot="1" x14ac:dyDescent="0.25">
      <c r="A54" s="60">
        <f t="shared" si="11"/>
        <v>32</v>
      </c>
      <c r="B54" s="60">
        <f t="shared" si="11"/>
        <v>0</v>
      </c>
      <c r="C54" s="60">
        <f t="shared" si="11"/>
        <v>32</v>
      </c>
      <c r="D54" s="60">
        <f>F54+E54</f>
        <v>0</v>
      </c>
      <c r="E54" s="60">
        <v>0</v>
      </c>
      <c r="F54" s="60">
        <v>0</v>
      </c>
      <c r="G54" s="60">
        <f>I54+H54</f>
        <v>32</v>
      </c>
      <c r="H54" s="60">
        <v>0</v>
      </c>
      <c r="I54" s="60">
        <v>32</v>
      </c>
      <c r="J54" s="61" t="s">
        <v>248</v>
      </c>
      <c r="K54" s="55"/>
    </row>
    <row r="55" spans="1:11" ht="12.75" customHeight="1" thickBot="1" x14ac:dyDescent="0.25">
      <c r="A55" s="60">
        <f t="shared" si="11"/>
        <v>481</v>
      </c>
      <c r="B55" s="60">
        <f t="shared" si="11"/>
        <v>304</v>
      </c>
      <c r="C55" s="60">
        <f t="shared" si="11"/>
        <v>177</v>
      </c>
      <c r="D55" s="60">
        <f>F55+E55</f>
        <v>4</v>
      </c>
      <c r="E55" s="60">
        <v>4</v>
      </c>
      <c r="F55" s="60">
        <v>0</v>
      </c>
      <c r="G55" s="60">
        <f>I55+H55</f>
        <v>477</v>
      </c>
      <c r="H55" s="60">
        <v>300</v>
      </c>
      <c r="I55" s="60">
        <v>177</v>
      </c>
      <c r="J55" s="61" t="s">
        <v>249</v>
      </c>
      <c r="K55" s="55"/>
    </row>
    <row r="56" spans="1:11" ht="12.75" customHeight="1" thickBot="1" x14ac:dyDescent="0.25">
      <c r="A56" s="60">
        <f t="shared" ref="A56:I56" si="12">SUM(A51:A55)</f>
        <v>1861</v>
      </c>
      <c r="B56" s="60">
        <f t="shared" si="12"/>
        <v>459</v>
      </c>
      <c r="C56" s="60">
        <f t="shared" si="12"/>
        <v>1402</v>
      </c>
      <c r="D56" s="60">
        <f t="shared" si="12"/>
        <v>4</v>
      </c>
      <c r="E56" s="60">
        <f t="shared" si="12"/>
        <v>4</v>
      </c>
      <c r="F56" s="60">
        <f t="shared" si="12"/>
        <v>0</v>
      </c>
      <c r="G56" s="60">
        <f t="shared" si="12"/>
        <v>1857</v>
      </c>
      <c r="H56" s="60">
        <f t="shared" si="12"/>
        <v>455</v>
      </c>
      <c r="I56" s="60">
        <f t="shared" si="12"/>
        <v>1402</v>
      </c>
      <c r="J56" s="59" t="s">
        <v>211</v>
      </c>
      <c r="K56" s="55"/>
    </row>
    <row r="57" spans="1:11" ht="12.75" customHeight="1" x14ac:dyDescent="0.2">
      <c r="A57" s="177"/>
      <c r="B57" s="177"/>
      <c r="C57" s="177"/>
      <c r="D57" s="177"/>
      <c r="E57" s="177"/>
      <c r="F57" s="177"/>
      <c r="G57" s="177"/>
      <c r="H57" s="177"/>
      <c r="I57" s="177"/>
      <c r="J57" s="177"/>
      <c r="K57" s="55"/>
    </row>
    <row r="58" spans="1:11" ht="12.75" customHeight="1" x14ac:dyDescent="0.2">
      <c r="A58" s="177" t="s">
        <v>236</v>
      </c>
      <c r="B58" s="177"/>
      <c r="C58" s="177"/>
      <c r="D58" s="177"/>
      <c r="E58" s="177"/>
      <c r="F58" s="177"/>
      <c r="G58" s="177"/>
      <c r="H58" s="177"/>
      <c r="I58" s="177"/>
      <c r="J58" s="177"/>
      <c r="K58" s="55"/>
    </row>
    <row r="59" spans="1:11" ht="12.75" customHeight="1" thickBot="1" x14ac:dyDescent="0.25">
      <c r="A59" s="178" t="s">
        <v>237</v>
      </c>
      <c r="B59" s="178"/>
      <c r="C59" s="178"/>
      <c r="D59" s="178"/>
      <c r="E59" s="178"/>
      <c r="F59" s="178"/>
      <c r="G59" s="178"/>
      <c r="H59" s="178"/>
      <c r="I59" s="178"/>
      <c r="J59" s="178"/>
      <c r="K59" s="55"/>
    </row>
    <row r="60" spans="1:11" ht="12.75" customHeight="1" thickBot="1" x14ac:dyDescent="0.25">
      <c r="A60" s="179" t="s">
        <v>5</v>
      </c>
      <c r="B60" s="179"/>
      <c r="C60" s="179"/>
      <c r="D60" s="179" t="s">
        <v>162</v>
      </c>
      <c r="E60" s="179"/>
      <c r="F60" s="179"/>
      <c r="G60" s="179" t="s">
        <v>163</v>
      </c>
      <c r="H60" s="179"/>
      <c r="I60" s="179"/>
      <c r="J60" s="58" t="s">
        <v>72</v>
      </c>
      <c r="K60" s="55"/>
    </row>
    <row r="61" spans="1:11" ht="12.75" customHeight="1" thickBot="1" x14ac:dyDescent="0.25">
      <c r="A61" s="58" t="s">
        <v>216</v>
      </c>
      <c r="B61" s="58" t="s">
        <v>11</v>
      </c>
      <c r="C61" s="58" t="s">
        <v>10</v>
      </c>
      <c r="D61" s="58" t="s">
        <v>216</v>
      </c>
      <c r="E61" s="58" t="s">
        <v>11</v>
      </c>
      <c r="F61" s="58" t="s">
        <v>10</v>
      </c>
      <c r="G61" s="58" t="s">
        <v>216</v>
      </c>
      <c r="H61" s="58" t="s">
        <v>11</v>
      </c>
      <c r="I61" s="58" t="s">
        <v>10</v>
      </c>
      <c r="J61" s="59" t="s">
        <v>98</v>
      </c>
      <c r="K61" s="55"/>
    </row>
    <row r="62" spans="1:11" ht="12.75" customHeight="1" thickBot="1" x14ac:dyDescent="0.25">
      <c r="A62" s="60">
        <f t="shared" ref="A62:C63" si="13">G62+D62</f>
        <v>295</v>
      </c>
      <c r="B62" s="60">
        <f t="shared" si="13"/>
        <v>0</v>
      </c>
      <c r="C62" s="60">
        <f t="shared" si="13"/>
        <v>295</v>
      </c>
      <c r="D62" s="60">
        <f>F62+E62</f>
        <v>7</v>
      </c>
      <c r="E62" s="60">
        <v>0</v>
      </c>
      <c r="F62" s="60">
        <v>7</v>
      </c>
      <c r="G62" s="60">
        <f>I62+H62</f>
        <v>288</v>
      </c>
      <c r="H62" s="60">
        <v>0</v>
      </c>
      <c r="I62" s="60">
        <v>288</v>
      </c>
      <c r="J62" s="61" t="s">
        <v>97</v>
      </c>
      <c r="K62" s="55"/>
    </row>
    <row r="63" spans="1:11" ht="12.75" customHeight="1" thickBot="1" x14ac:dyDescent="0.25">
      <c r="A63" s="60">
        <f t="shared" si="13"/>
        <v>633</v>
      </c>
      <c r="B63" s="60">
        <f t="shared" si="13"/>
        <v>0</v>
      </c>
      <c r="C63" s="60">
        <f t="shared" si="13"/>
        <v>633</v>
      </c>
      <c r="D63" s="60">
        <f>F63+E63</f>
        <v>13</v>
      </c>
      <c r="E63" s="60">
        <v>0</v>
      </c>
      <c r="F63" s="60">
        <v>13</v>
      </c>
      <c r="G63" s="60">
        <f>I63+H63</f>
        <v>620</v>
      </c>
      <c r="H63" s="60">
        <v>0</v>
      </c>
      <c r="I63" s="60">
        <v>620</v>
      </c>
      <c r="J63" s="61" t="s">
        <v>99</v>
      </c>
      <c r="K63" s="55"/>
    </row>
    <row r="64" spans="1:11" ht="12.75" customHeight="1" thickBot="1" x14ac:dyDescent="0.25">
      <c r="A64" s="60">
        <f t="shared" ref="A64:I64" si="14">SUM(A62:A63)</f>
        <v>928</v>
      </c>
      <c r="B64" s="60">
        <f t="shared" si="14"/>
        <v>0</v>
      </c>
      <c r="C64" s="60">
        <f t="shared" si="14"/>
        <v>928</v>
      </c>
      <c r="D64" s="60">
        <f t="shared" si="14"/>
        <v>20</v>
      </c>
      <c r="E64" s="60">
        <f t="shared" si="14"/>
        <v>0</v>
      </c>
      <c r="F64" s="60">
        <f t="shared" si="14"/>
        <v>20</v>
      </c>
      <c r="G64" s="60">
        <f t="shared" si="14"/>
        <v>908</v>
      </c>
      <c r="H64" s="60">
        <f t="shared" si="14"/>
        <v>0</v>
      </c>
      <c r="I64" s="60">
        <f t="shared" si="14"/>
        <v>908</v>
      </c>
      <c r="J64" s="59" t="s">
        <v>211</v>
      </c>
      <c r="K64" s="55"/>
    </row>
    <row r="65" spans="1:11" ht="12.75" customHeight="1" x14ac:dyDescent="0.2">
      <c r="A65" s="177"/>
      <c r="B65" s="177"/>
      <c r="C65" s="177"/>
      <c r="D65" s="177"/>
      <c r="E65" s="177"/>
      <c r="F65" s="177"/>
      <c r="G65" s="177"/>
      <c r="H65" s="177"/>
      <c r="I65" s="177"/>
      <c r="J65" s="177"/>
      <c r="K65" s="55"/>
    </row>
    <row r="66" spans="1:11" ht="12.75" customHeight="1" x14ac:dyDescent="0.2">
      <c r="A66" s="177" t="s">
        <v>236</v>
      </c>
      <c r="B66" s="177"/>
      <c r="C66" s="177"/>
      <c r="D66" s="177"/>
      <c r="E66" s="177"/>
      <c r="F66" s="177"/>
      <c r="G66" s="177"/>
      <c r="H66" s="177"/>
      <c r="I66" s="177"/>
      <c r="J66" s="177"/>
      <c r="K66" s="55"/>
    </row>
    <row r="67" spans="1:11" ht="12.75" customHeight="1" thickBot="1" x14ac:dyDescent="0.25">
      <c r="A67" s="178" t="s">
        <v>237</v>
      </c>
      <c r="B67" s="178"/>
      <c r="C67" s="178"/>
      <c r="D67" s="178"/>
      <c r="E67" s="178"/>
      <c r="F67" s="178"/>
      <c r="G67" s="178"/>
      <c r="H67" s="178"/>
      <c r="I67" s="178"/>
      <c r="J67" s="178"/>
      <c r="K67" s="55"/>
    </row>
    <row r="68" spans="1:11" ht="12.75" customHeight="1" thickBot="1" x14ac:dyDescent="0.25">
      <c r="A68" s="179" t="s">
        <v>5</v>
      </c>
      <c r="B68" s="179"/>
      <c r="C68" s="179"/>
      <c r="D68" s="179" t="s">
        <v>162</v>
      </c>
      <c r="E68" s="179"/>
      <c r="F68" s="179"/>
      <c r="G68" s="179" t="s">
        <v>163</v>
      </c>
      <c r="H68" s="179"/>
      <c r="I68" s="179"/>
      <c r="J68" s="58" t="s">
        <v>72</v>
      </c>
      <c r="K68" s="55"/>
    </row>
    <row r="69" spans="1:11" ht="12.75" customHeight="1" thickBot="1" x14ac:dyDescent="0.25">
      <c r="A69" s="58" t="s">
        <v>216</v>
      </c>
      <c r="B69" s="58" t="s">
        <v>11</v>
      </c>
      <c r="C69" s="58" t="s">
        <v>10</v>
      </c>
      <c r="D69" s="58" t="s">
        <v>216</v>
      </c>
      <c r="E69" s="58" t="s">
        <v>11</v>
      </c>
      <c r="F69" s="58" t="s">
        <v>10</v>
      </c>
      <c r="G69" s="58" t="s">
        <v>216</v>
      </c>
      <c r="H69" s="58" t="s">
        <v>11</v>
      </c>
      <c r="I69" s="58" t="s">
        <v>10</v>
      </c>
      <c r="J69" s="59" t="s">
        <v>80</v>
      </c>
      <c r="K69" s="55"/>
    </row>
    <row r="70" spans="1:11" ht="12.75" customHeight="1" thickBot="1" x14ac:dyDescent="0.25">
      <c r="A70" s="60">
        <f t="shared" ref="A70:C79" si="15">G70+D70</f>
        <v>20</v>
      </c>
      <c r="B70" s="60">
        <f t="shared" si="15"/>
        <v>0</v>
      </c>
      <c r="C70" s="60">
        <f t="shared" si="15"/>
        <v>20</v>
      </c>
      <c r="D70" s="60">
        <f t="shared" ref="D70:D79" si="16">F70+E70</f>
        <v>0</v>
      </c>
      <c r="E70" s="60">
        <v>0</v>
      </c>
      <c r="F70" s="60">
        <v>0</v>
      </c>
      <c r="G70" s="60">
        <f t="shared" ref="G70:G79" si="17">I70+H70</f>
        <v>20</v>
      </c>
      <c r="H70" s="60">
        <v>0</v>
      </c>
      <c r="I70" s="60">
        <v>20</v>
      </c>
      <c r="J70" s="61" t="s">
        <v>250</v>
      </c>
      <c r="K70" s="55"/>
    </row>
    <row r="71" spans="1:11" ht="12.75" customHeight="1" thickBot="1" x14ac:dyDescent="0.25">
      <c r="A71" s="60">
        <f t="shared" si="15"/>
        <v>751</v>
      </c>
      <c r="B71" s="60">
        <f t="shared" si="15"/>
        <v>545</v>
      </c>
      <c r="C71" s="60">
        <f t="shared" si="15"/>
        <v>206</v>
      </c>
      <c r="D71" s="60">
        <f t="shared" si="16"/>
        <v>0</v>
      </c>
      <c r="E71" s="60">
        <v>0</v>
      </c>
      <c r="F71" s="60">
        <v>0</v>
      </c>
      <c r="G71" s="60">
        <f t="shared" si="17"/>
        <v>751</v>
      </c>
      <c r="H71" s="60">
        <v>545</v>
      </c>
      <c r="I71" s="60">
        <v>206</v>
      </c>
      <c r="J71" s="61" t="s">
        <v>77</v>
      </c>
      <c r="K71" s="55"/>
    </row>
    <row r="72" spans="1:11" ht="12.75" customHeight="1" thickBot="1" x14ac:dyDescent="0.25">
      <c r="A72" s="60">
        <f t="shared" si="15"/>
        <v>285</v>
      </c>
      <c r="B72" s="60">
        <f t="shared" si="15"/>
        <v>285</v>
      </c>
      <c r="C72" s="60">
        <f t="shared" si="15"/>
        <v>0</v>
      </c>
      <c r="D72" s="60">
        <f t="shared" si="16"/>
        <v>0</v>
      </c>
      <c r="E72" s="60">
        <v>0</v>
      </c>
      <c r="F72" s="60">
        <v>0</v>
      </c>
      <c r="G72" s="60">
        <f t="shared" si="17"/>
        <v>285</v>
      </c>
      <c r="H72" s="60">
        <v>285</v>
      </c>
      <c r="I72" s="60">
        <v>0</v>
      </c>
      <c r="J72" s="61" t="s">
        <v>100</v>
      </c>
      <c r="K72" s="55"/>
    </row>
    <row r="73" spans="1:11" ht="12.75" customHeight="1" thickBot="1" x14ac:dyDescent="0.25">
      <c r="A73" s="60">
        <f t="shared" si="15"/>
        <v>471</v>
      </c>
      <c r="B73" s="60">
        <f t="shared" si="15"/>
        <v>471</v>
      </c>
      <c r="C73" s="60">
        <f t="shared" si="15"/>
        <v>0</v>
      </c>
      <c r="D73" s="60">
        <f t="shared" si="16"/>
        <v>0</v>
      </c>
      <c r="E73" s="60">
        <v>0</v>
      </c>
      <c r="F73" s="60">
        <v>0</v>
      </c>
      <c r="G73" s="60">
        <f t="shared" si="17"/>
        <v>471</v>
      </c>
      <c r="H73" s="60">
        <v>471</v>
      </c>
      <c r="I73" s="60">
        <v>0</v>
      </c>
      <c r="J73" s="61" t="s">
        <v>101</v>
      </c>
      <c r="K73" s="55"/>
    </row>
    <row r="74" spans="1:11" ht="12.75" customHeight="1" thickBot="1" x14ac:dyDescent="0.25">
      <c r="A74" s="60">
        <f t="shared" si="15"/>
        <v>214</v>
      </c>
      <c r="B74" s="60">
        <f t="shared" si="15"/>
        <v>214</v>
      </c>
      <c r="C74" s="60">
        <f t="shared" si="15"/>
        <v>0</v>
      </c>
      <c r="D74" s="60">
        <f t="shared" si="16"/>
        <v>1</v>
      </c>
      <c r="E74" s="60">
        <v>1</v>
      </c>
      <c r="F74" s="60">
        <v>0</v>
      </c>
      <c r="G74" s="60">
        <f t="shared" si="17"/>
        <v>213</v>
      </c>
      <c r="H74" s="60">
        <v>213</v>
      </c>
      <c r="I74" s="60">
        <v>0</v>
      </c>
      <c r="J74" s="61" t="s">
        <v>251</v>
      </c>
      <c r="K74" s="55"/>
    </row>
    <row r="75" spans="1:11" ht="12.75" customHeight="1" thickBot="1" x14ac:dyDescent="0.25">
      <c r="A75" s="60">
        <f t="shared" si="15"/>
        <v>58</v>
      </c>
      <c r="B75" s="60">
        <f t="shared" si="15"/>
        <v>58</v>
      </c>
      <c r="C75" s="60">
        <f t="shared" si="15"/>
        <v>0</v>
      </c>
      <c r="D75" s="60">
        <f t="shared" si="16"/>
        <v>2</v>
      </c>
      <c r="E75" s="60">
        <v>2</v>
      </c>
      <c r="F75" s="60">
        <v>0</v>
      </c>
      <c r="G75" s="60">
        <f t="shared" si="17"/>
        <v>56</v>
      </c>
      <c r="H75" s="60">
        <v>56</v>
      </c>
      <c r="I75" s="60">
        <v>0</v>
      </c>
      <c r="J75" s="61" t="s">
        <v>252</v>
      </c>
      <c r="K75" s="55"/>
    </row>
    <row r="76" spans="1:11" ht="12.75" customHeight="1" thickBot="1" x14ac:dyDescent="0.25">
      <c r="A76" s="60">
        <f t="shared" si="15"/>
        <v>156</v>
      </c>
      <c r="B76" s="60">
        <f t="shared" si="15"/>
        <v>156</v>
      </c>
      <c r="C76" s="60">
        <f t="shared" si="15"/>
        <v>0</v>
      </c>
      <c r="D76" s="60">
        <f t="shared" si="16"/>
        <v>0</v>
      </c>
      <c r="E76" s="60">
        <v>0</v>
      </c>
      <c r="F76" s="60">
        <v>0</v>
      </c>
      <c r="G76" s="60">
        <f t="shared" si="17"/>
        <v>156</v>
      </c>
      <c r="H76" s="60">
        <v>156</v>
      </c>
      <c r="I76" s="60">
        <v>0</v>
      </c>
      <c r="J76" s="61" t="s">
        <v>253</v>
      </c>
      <c r="K76" s="55"/>
    </row>
    <row r="77" spans="1:11" ht="12.75" customHeight="1" thickBot="1" x14ac:dyDescent="0.25">
      <c r="A77" s="60">
        <f t="shared" si="15"/>
        <v>111</v>
      </c>
      <c r="B77" s="60">
        <f t="shared" si="15"/>
        <v>111</v>
      </c>
      <c r="C77" s="60">
        <f t="shared" si="15"/>
        <v>0</v>
      </c>
      <c r="D77" s="60">
        <f t="shared" si="16"/>
        <v>0</v>
      </c>
      <c r="E77" s="60">
        <v>0</v>
      </c>
      <c r="F77" s="60">
        <v>0</v>
      </c>
      <c r="G77" s="60">
        <f t="shared" si="17"/>
        <v>111</v>
      </c>
      <c r="H77" s="60">
        <v>111</v>
      </c>
      <c r="I77" s="60">
        <v>0</v>
      </c>
      <c r="J77" s="61" t="s">
        <v>254</v>
      </c>
      <c r="K77" s="55"/>
    </row>
    <row r="78" spans="1:11" ht="12.75" customHeight="1" thickBot="1" x14ac:dyDescent="0.25">
      <c r="A78" s="60">
        <f t="shared" si="15"/>
        <v>56</v>
      </c>
      <c r="B78" s="60">
        <f t="shared" si="15"/>
        <v>0</v>
      </c>
      <c r="C78" s="60">
        <f t="shared" si="15"/>
        <v>56</v>
      </c>
      <c r="D78" s="60">
        <f t="shared" si="16"/>
        <v>0</v>
      </c>
      <c r="E78" s="60">
        <v>0</v>
      </c>
      <c r="F78" s="60">
        <v>0</v>
      </c>
      <c r="G78" s="60">
        <f t="shared" si="17"/>
        <v>56</v>
      </c>
      <c r="H78" s="60">
        <v>0</v>
      </c>
      <c r="I78" s="60">
        <v>56</v>
      </c>
      <c r="J78" s="61" t="s">
        <v>255</v>
      </c>
      <c r="K78" s="79"/>
    </row>
    <row r="79" spans="1:11" ht="12.75" customHeight="1" thickBot="1" x14ac:dyDescent="0.25">
      <c r="A79" s="60">
        <f t="shared" si="15"/>
        <v>290</v>
      </c>
      <c r="B79" s="60">
        <f t="shared" si="15"/>
        <v>0</v>
      </c>
      <c r="C79" s="60">
        <f t="shared" si="15"/>
        <v>290</v>
      </c>
      <c r="D79" s="60">
        <f t="shared" si="16"/>
        <v>0</v>
      </c>
      <c r="E79" s="60">
        <v>0</v>
      </c>
      <c r="F79" s="60">
        <v>0</v>
      </c>
      <c r="G79" s="60">
        <f t="shared" si="17"/>
        <v>290</v>
      </c>
      <c r="H79" s="60">
        <v>0</v>
      </c>
      <c r="I79" s="60">
        <v>290</v>
      </c>
      <c r="J79" s="61" t="s">
        <v>256</v>
      </c>
      <c r="K79" s="55"/>
    </row>
    <row r="80" spans="1:11" ht="12.75" customHeight="1" thickBot="1" x14ac:dyDescent="0.25">
      <c r="A80" s="60">
        <f t="shared" ref="A80:I80" si="18">SUM(A70:A79)</f>
        <v>2412</v>
      </c>
      <c r="B80" s="60">
        <f t="shared" si="18"/>
        <v>1840</v>
      </c>
      <c r="C80" s="60">
        <f t="shared" si="18"/>
        <v>572</v>
      </c>
      <c r="D80" s="60">
        <f t="shared" si="18"/>
        <v>3</v>
      </c>
      <c r="E80" s="60">
        <f t="shared" si="18"/>
        <v>3</v>
      </c>
      <c r="F80" s="60">
        <f t="shared" si="18"/>
        <v>0</v>
      </c>
      <c r="G80" s="60">
        <f t="shared" si="18"/>
        <v>2409</v>
      </c>
      <c r="H80" s="60">
        <f t="shared" si="18"/>
        <v>1837</v>
      </c>
      <c r="I80" s="60">
        <f t="shared" si="18"/>
        <v>572</v>
      </c>
      <c r="J80" s="59" t="s">
        <v>211</v>
      </c>
      <c r="K80" s="55"/>
    </row>
    <row r="81" spans="1:11" ht="12.75" customHeight="1" x14ac:dyDescent="0.2">
      <c r="A81" s="177"/>
      <c r="B81" s="177"/>
      <c r="C81" s="177"/>
      <c r="D81" s="177"/>
      <c r="E81" s="177"/>
      <c r="F81" s="177"/>
      <c r="G81" s="177"/>
      <c r="H81" s="177"/>
      <c r="I81" s="177"/>
      <c r="J81" s="177"/>
      <c r="K81" s="55"/>
    </row>
    <row r="82" spans="1:11" ht="12.75" customHeight="1" x14ac:dyDescent="0.2">
      <c r="A82" s="177" t="s">
        <v>236</v>
      </c>
      <c r="B82" s="177"/>
      <c r="C82" s="177"/>
      <c r="D82" s="177"/>
      <c r="E82" s="177"/>
      <c r="F82" s="177"/>
      <c r="G82" s="177"/>
      <c r="H82" s="177"/>
      <c r="I82" s="177"/>
      <c r="J82" s="177"/>
      <c r="K82" s="55"/>
    </row>
    <row r="83" spans="1:11" ht="12.75" customHeight="1" thickBot="1" x14ac:dyDescent="0.25">
      <c r="A83" s="178" t="s">
        <v>237</v>
      </c>
      <c r="B83" s="178"/>
      <c r="C83" s="178"/>
      <c r="D83" s="178"/>
      <c r="E83" s="178"/>
      <c r="F83" s="178"/>
      <c r="G83" s="178"/>
      <c r="H83" s="178"/>
      <c r="I83" s="178"/>
      <c r="J83" s="178"/>
      <c r="K83" s="55"/>
    </row>
    <row r="84" spans="1:11" ht="12.75" customHeight="1" thickBot="1" x14ac:dyDescent="0.25">
      <c r="A84" s="179" t="s">
        <v>5</v>
      </c>
      <c r="B84" s="179"/>
      <c r="C84" s="179"/>
      <c r="D84" s="179" t="s">
        <v>162</v>
      </c>
      <c r="E84" s="179"/>
      <c r="F84" s="179"/>
      <c r="G84" s="179" t="s">
        <v>163</v>
      </c>
      <c r="H84" s="179"/>
      <c r="I84" s="179"/>
      <c r="J84" s="58" t="s">
        <v>72</v>
      </c>
      <c r="K84" s="55"/>
    </row>
    <row r="85" spans="1:11" ht="12.75" customHeight="1" thickBot="1" x14ac:dyDescent="0.25">
      <c r="A85" s="58" t="s">
        <v>216</v>
      </c>
      <c r="B85" s="58" t="s">
        <v>11</v>
      </c>
      <c r="C85" s="58" t="s">
        <v>10</v>
      </c>
      <c r="D85" s="58" t="s">
        <v>216</v>
      </c>
      <c r="E85" s="58" t="s">
        <v>11</v>
      </c>
      <c r="F85" s="58" t="s">
        <v>10</v>
      </c>
      <c r="G85" s="58" t="s">
        <v>216</v>
      </c>
      <c r="H85" s="58" t="s">
        <v>11</v>
      </c>
      <c r="I85" s="58" t="s">
        <v>10</v>
      </c>
      <c r="J85" s="59" t="s">
        <v>81</v>
      </c>
      <c r="K85" s="55"/>
    </row>
    <row r="86" spans="1:11" ht="12.75" customHeight="1" thickBot="1" x14ac:dyDescent="0.25">
      <c r="A86" s="60">
        <f t="shared" ref="A86:C93" si="19">G86+D86</f>
        <v>125</v>
      </c>
      <c r="B86" s="60">
        <f t="shared" si="19"/>
        <v>0</v>
      </c>
      <c r="C86" s="60">
        <f t="shared" si="19"/>
        <v>125</v>
      </c>
      <c r="D86" s="60">
        <f t="shared" ref="D86:D93" si="20">F86+E86</f>
        <v>0</v>
      </c>
      <c r="E86" s="60">
        <v>0</v>
      </c>
      <c r="F86" s="60">
        <v>0</v>
      </c>
      <c r="G86" s="60">
        <f t="shared" ref="G86:G93" si="21">I86+H86</f>
        <v>125</v>
      </c>
      <c r="H86" s="60">
        <v>0</v>
      </c>
      <c r="I86" s="60">
        <v>125</v>
      </c>
      <c r="J86" s="61" t="s">
        <v>257</v>
      </c>
      <c r="K86" s="55"/>
    </row>
    <row r="87" spans="1:11" ht="12.75" customHeight="1" thickBot="1" x14ac:dyDescent="0.25">
      <c r="A87" s="60">
        <f t="shared" si="19"/>
        <v>198</v>
      </c>
      <c r="B87" s="60">
        <f t="shared" si="19"/>
        <v>0</v>
      </c>
      <c r="C87" s="60">
        <f t="shared" si="19"/>
        <v>198</v>
      </c>
      <c r="D87" s="60">
        <f t="shared" si="20"/>
        <v>0</v>
      </c>
      <c r="E87" s="60">
        <v>0</v>
      </c>
      <c r="F87" s="60">
        <v>0</v>
      </c>
      <c r="G87" s="60">
        <f t="shared" si="21"/>
        <v>198</v>
      </c>
      <c r="H87" s="60">
        <v>0</v>
      </c>
      <c r="I87" s="60">
        <v>198</v>
      </c>
      <c r="J87" s="61" t="s">
        <v>102</v>
      </c>
      <c r="K87" s="55"/>
    </row>
    <row r="88" spans="1:11" ht="12.75" customHeight="1" thickBot="1" x14ac:dyDescent="0.25">
      <c r="A88" s="60">
        <f t="shared" si="19"/>
        <v>390</v>
      </c>
      <c r="B88" s="60">
        <f t="shared" si="19"/>
        <v>0</v>
      </c>
      <c r="C88" s="60">
        <f t="shared" si="19"/>
        <v>390</v>
      </c>
      <c r="D88" s="60">
        <f t="shared" si="20"/>
        <v>0</v>
      </c>
      <c r="E88" s="60">
        <v>0</v>
      </c>
      <c r="F88" s="60">
        <v>0</v>
      </c>
      <c r="G88" s="60">
        <f t="shared" si="21"/>
        <v>390</v>
      </c>
      <c r="H88" s="60">
        <v>0</v>
      </c>
      <c r="I88" s="60">
        <v>390</v>
      </c>
      <c r="J88" s="61" t="s">
        <v>103</v>
      </c>
      <c r="K88" s="55"/>
    </row>
    <row r="89" spans="1:11" ht="12.75" customHeight="1" thickBot="1" x14ac:dyDescent="0.25">
      <c r="A89" s="60">
        <f t="shared" si="19"/>
        <v>453</v>
      </c>
      <c r="B89" s="60">
        <f t="shared" si="19"/>
        <v>453</v>
      </c>
      <c r="C89" s="60">
        <f t="shared" si="19"/>
        <v>0</v>
      </c>
      <c r="D89" s="60">
        <f t="shared" si="20"/>
        <v>0</v>
      </c>
      <c r="E89" s="60">
        <v>0</v>
      </c>
      <c r="F89" s="60">
        <v>0</v>
      </c>
      <c r="G89" s="60">
        <f t="shared" si="21"/>
        <v>453</v>
      </c>
      <c r="H89" s="60">
        <v>453</v>
      </c>
      <c r="I89" s="60">
        <v>0</v>
      </c>
      <c r="J89" s="61" t="s">
        <v>104</v>
      </c>
      <c r="K89" s="55"/>
    </row>
    <row r="90" spans="1:11" ht="12.75" customHeight="1" thickBot="1" x14ac:dyDescent="0.25">
      <c r="A90" s="60">
        <f t="shared" si="19"/>
        <v>634</v>
      </c>
      <c r="B90" s="60">
        <f t="shared" si="19"/>
        <v>634</v>
      </c>
      <c r="C90" s="60">
        <f t="shared" si="19"/>
        <v>0</v>
      </c>
      <c r="D90" s="60">
        <f t="shared" si="20"/>
        <v>0</v>
      </c>
      <c r="E90" s="60">
        <v>0</v>
      </c>
      <c r="F90" s="60">
        <v>0</v>
      </c>
      <c r="G90" s="60">
        <f t="shared" si="21"/>
        <v>634</v>
      </c>
      <c r="H90" s="60">
        <v>634</v>
      </c>
      <c r="I90" s="60">
        <v>0</v>
      </c>
      <c r="J90" s="61" t="s">
        <v>258</v>
      </c>
      <c r="K90" s="55"/>
    </row>
    <row r="91" spans="1:11" ht="12.75" customHeight="1" thickBot="1" x14ac:dyDescent="0.25">
      <c r="A91" s="60">
        <f t="shared" si="19"/>
        <v>150</v>
      </c>
      <c r="B91" s="60">
        <f t="shared" si="19"/>
        <v>0</v>
      </c>
      <c r="C91" s="60">
        <f t="shared" si="19"/>
        <v>150</v>
      </c>
      <c r="D91" s="60">
        <f t="shared" si="20"/>
        <v>0</v>
      </c>
      <c r="E91" s="60">
        <v>0</v>
      </c>
      <c r="F91" s="60">
        <v>0</v>
      </c>
      <c r="G91" s="60">
        <f t="shared" si="21"/>
        <v>150</v>
      </c>
      <c r="H91" s="60">
        <v>0</v>
      </c>
      <c r="I91" s="60">
        <v>150</v>
      </c>
      <c r="J91" s="61" t="s">
        <v>259</v>
      </c>
      <c r="K91" s="55"/>
    </row>
    <row r="92" spans="1:11" ht="12.75" customHeight="1" thickBot="1" x14ac:dyDescent="0.25">
      <c r="A92" s="60">
        <f t="shared" si="19"/>
        <v>186</v>
      </c>
      <c r="B92" s="60">
        <f t="shared" si="19"/>
        <v>0</v>
      </c>
      <c r="C92" s="60">
        <f t="shared" si="19"/>
        <v>186</v>
      </c>
      <c r="D92" s="60">
        <f t="shared" si="20"/>
        <v>0</v>
      </c>
      <c r="E92" s="60">
        <v>0</v>
      </c>
      <c r="F92" s="60">
        <v>0</v>
      </c>
      <c r="G92" s="60">
        <f t="shared" si="21"/>
        <v>186</v>
      </c>
      <c r="H92" s="60">
        <v>0</v>
      </c>
      <c r="I92" s="60">
        <v>186</v>
      </c>
      <c r="J92" s="61" t="s">
        <v>260</v>
      </c>
      <c r="K92" s="55"/>
    </row>
    <row r="93" spans="1:11" ht="12.75" customHeight="1" thickBot="1" x14ac:dyDescent="0.25">
      <c r="A93" s="60">
        <f t="shared" si="19"/>
        <v>77</v>
      </c>
      <c r="B93" s="60">
        <f t="shared" si="19"/>
        <v>0</v>
      </c>
      <c r="C93" s="60">
        <f t="shared" si="19"/>
        <v>77</v>
      </c>
      <c r="D93" s="60">
        <f t="shared" si="20"/>
        <v>0</v>
      </c>
      <c r="E93" s="60">
        <v>0</v>
      </c>
      <c r="F93" s="60">
        <v>0</v>
      </c>
      <c r="G93" s="60">
        <f t="shared" si="21"/>
        <v>77</v>
      </c>
      <c r="H93" s="60">
        <v>0</v>
      </c>
      <c r="I93" s="60">
        <v>77</v>
      </c>
      <c r="J93" s="61" t="s">
        <v>106</v>
      </c>
      <c r="K93" s="55"/>
    </row>
    <row r="94" spans="1:11" ht="12.75" customHeight="1" thickBot="1" x14ac:dyDescent="0.25">
      <c r="A94" s="60">
        <f t="shared" ref="A94:I94" si="22">SUM(A86:A93)</f>
        <v>2213</v>
      </c>
      <c r="B94" s="60">
        <f t="shared" si="22"/>
        <v>1087</v>
      </c>
      <c r="C94" s="60">
        <f t="shared" si="22"/>
        <v>1126</v>
      </c>
      <c r="D94" s="60">
        <f t="shared" si="22"/>
        <v>0</v>
      </c>
      <c r="E94" s="60">
        <f t="shared" si="22"/>
        <v>0</v>
      </c>
      <c r="F94" s="60">
        <f t="shared" si="22"/>
        <v>0</v>
      </c>
      <c r="G94" s="60">
        <f t="shared" si="22"/>
        <v>2213</v>
      </c>
      <c r="H94" s="60">
        <f t="shared" si="22"/>
        <v>1087</v>
      </c>
      <c r="I94" s="60">
        <f t="shared" si="22"/>
        <v>1126</v>
      </c>
      <c r="J94" s="59" t="s">
        <v>211</v>
      </c>
      <c r="K94" s="55"/>
    </row>
    <row r="95" spans="1:11" ht="12.75" customHeight="1" x14ac:dyDescent="0.2">
      <c r="A95" s="177"/>
      <c r="B95" s="177"/>
      <c r="C95" s="177"/>
      <c r="D95" s="177"/>
      <c r="E95" s="177"/>
      <c r="F95" s="177"/>
      <c r="G95" s="177"/>
      <c r="H95" s="177"/>
      <c r="I95" s="177"/>
      <c r="J95" s="177"/>
      <c r="K95" s="55"/>
    </row>
    <row r="96" spans="1:11" ht="12.75" customHeight="1" x14ac:dyDescent="0.2">
      <c r="A96" s="177" t="s">
        <v>236</v>
      </c>
      <c r="B96" s="177"/>
      <c r="C96" s="177"/>
      <c r="D96" s="177"/>
      <c r="E96" s="177"/>
      <c r="F96" s="177"/>
      <c r="G96" s="177"/>
      <c r="H96" s="177"/>
      <c r="I96" s="177"/>
      <c r="J96" s="177"/>
      <c r="K96" s="55"/>
    </row>
    <row r="97" spans="1:11" ht="12.75" customHeight="1" thickBot="1" x14ac:dyDescent="0.25">
      <c r="A97" s="178" t="s">
        <v>237</v>
      </c>
      <c r="B97" s="178"/>
      <c r="C97" s="178"/>
      <c r="D97" s="178"/>
      <c r="E97" s="178"/>
      <c r="F97" s="178"/>
      <c r="G97" s="178"/>
      <c r="H97" s="178"/>
      <c r="I97" s="178"/>
      <c r="J97" s="178"/>
      <c r="K97" s="55"/>
    </row>
    <row r="98" spans="1:11" ht="12.75" customHeight="1" thickBot="1" x14ac:dyDescent="0.25">
      <c r="A98" s="179" t="s">
        <v>5</v>
      </c>
      <c r="B98" s="179"/>
      <c r="C98" s="179"/>
      <c r="D98" s="179" t="s">
        <v>162</v>
      </c>
      <c r="E98" s="179"/>
      <c r="F98" s="179"/>
      <c r="G98" s="179" t="s">
        <v>163</v>
      </c>
      <c r="H98" s="179"/>
      <c r="I98" s="179"/>
      <c r="J98" s="58" t="s">
        <v>72</v>
      </c>
      <c r="K98" s="55"/>
    </row>
    <row r="99" spans="1:11" ht="12.75" customHeight="1" thickBot="1" x14ac:dyDescent="0.25">
      <c r="A99" s="58" t="s">
        <v>216</v>
      </c>
      <c r="B99" s="58" t="s">
        <v>11</v>
      </c>
      <c r="C99" s="58" t="s">
        <v>10</v>
      </c>
      <c r="D99" s="58" t="s">
        <v>216</v>
      </c>
      <c r="E99" s="58" t="s">
        <v>11</v>
      </c>
      <c r="F99" s="58" t="s">
        <v>10</v>
      </c>
      <c r="G99" s="58" t="s">
        <v>216</v>
      </c>
      <c r="H99" s="58" t="s">
        <v>11</v>
      </c>
      <c r="I99" s="58" t="s">
        <v>10</v>
      </c>
      <c r="J99" s="59" t="s">
        <v>108</v>
      </c>
      <c r="K99" s="55"/>
    </row>
    <row r="100" spans="1:11" ht="12.75" customHeight="1" thickBot="1" x14ac:dyDescent="0.25">
      <c r="A100" s="60">
        <f t="shared" ref="A100:C101" si="23">G100+D100</f>
        <v>284</v>
      </c>
      <c r="B100" s="60">
        <f t="shared" si="23"/>
        <v>0</v>
      </c>
      <c r="C100" s="60">
        <f t="shared" si="23"/>
        <v>284</v>
      </c>
      <c r="D100" s="60">
        <f>F100+E100</f>
        <v>1</v>
      </c>
      <c r="E100" s="60">
        <v>0</v>
      </c>
      <c r="F100" s="60">
        <v>1</v>
      </c>
      <c r="G100" s="60">
        <f>I100+H100</f>
        <v>283</v>
      </c>
      <c r="H100" s="60">
        <v>0</v>
      </c>
      <c r="I100" s="60">
        <v>283</v>
      </c>
      <c r="J100" s="61" t="s">
        <v>107</v>
      </c>
      <c r="K100" s="55"/>
    </row>
    <row r="101" spans="1:11" ht="12.75" customHeight="1" thickBot="1" x14ac:dyDescent="0.25">
      <c r="A101" s="60">
        <f t="shared" si="23"/>
        <v>257</v>
      </c>
      <c r="B101" s="60">
        <f t="shared" si="23"/>
        <v>0</v>
      </c>
      <c r="C101" s="60">
        <f t="shared" si="23"/>
        <v>257</v>
      </c>
      <c r="D101" s="60">
        <f>F101+E101</f>
        <v>0</v>
      </c>
      <c r="E101" s="60">
        <v>0</v>
      </c>
      <c r="F101" s="60">
        <v>0</v>
      </c>
      <c r="G101" s="60">
        <f>I101+H101</f>
        <v>257</v>
      </c>
      <c r="H101" s="60">
        <v>0</v>
      </c>
      <c r="I101" s="60">
        <v>257</v>
      </c>
      <c r="J101" s="61" t="s">
        <v>109</v>
      </c>
      <c r="K101" s="55"/>
    </row>
    <row r="102" spans="1:11" ht="12.75" customHeight="1" thickBot="1" x14ac:dyDescent="0.25">
      <c r="A102" s="60">
        <f t="shared" ref="A102:I102" si="24">SUM(A100:A101)</f>
        <v>541</v>
      </c>
      <c r="B102" s="60">
        <f t="shared" si="24"/>
        <v>0</v>
      </c>
      <c r="C102" s="60">
        <f t="shared" si="24"/>
        <v>541</v>
      </c>
      <c r="D102" s="60">
        <f t="shared" si="24"/>
        <v>1</v>
      </c>
      <c r="E102" s="60">
        <f t="shared" si="24"/>
        <v>0</v>
      </c>
      <c r="F102" s="60">
        <f t="shared" si="24"/>
        <v>1</v>
      </c>
      <c r="G102" s="60">
        <f t="shared" si="24"/>
        <v>540</v>
      </c>
      <c r="H102" s="60">
        <f t="shared" si="24"/>
        <v>0</v>
      </c>
      <c r="I102" s="60">
        <f t="shared" si="24"/>
        <v>540</v>
      </c>
      <c r="J102" s="59" t="s">
        <v>211</v>
      </c>
      <c r="K102" s="55"/>
    </row>
    <row r="103" spans="1:11" ht="12.75" customHeight="1" x14ac:dyDescent="0.2">
      <c r="A103" s="177"/>
      <c r="B103" s="177"/>
      <c r="C103" s="177"/>
      <c r="D103" s="177"/>
      <c r="E103" s="177"/>
      <c r="F103" s="177"/>
      <c r="G103" s="177"/>
      <c r="H103" s="177"/>
      <c r="I103" s="177"/>
      <c r="J103" s="177"/>
      <c r="K103" s="55"/>
    </row>
    <row r="104" spans="1:11" ht="12.75" customHeight="1" x14ac:dyDescent="0.2">
      <c r="A104" s="177" t="s">
        <v>236</v>
      </c>
      <c r="B104" s="177"/>
      <c r="C104" s="177"/>
      <c r="D104" s="177"/>
      <c r="E104" s="177"/>
      <c r="F104" s="177"/>
      <c r="G104" s="177"/>
      <c r="H104" s="177"/>
      <c r="I104" s="177"/>
      <c r="J104" s="177"/>
      <c r="K104" s="55"/>
    </row>
    <row r="105" spans="1:11" ht="12.75" customHeight="1" thickBot="1" x14ac:dyDescent="0.25">
      <c r="A105" s="178" t="s">
        <v>237</v>
      </c>
      <c r="B105" s="178"/>
      <c r="C105" s="178"/>
      <c r="D105" s="178"/>
      <c r="E105" s="178"/>
      <c r="F105" s="178"/>
      <c r="G105" s="178"/>
      <c r="H105" s="178"/>
      <c r="I105" s="178"/>
      <c r="J105" s="178"/>
      <c r="K105" s="55"/>
    </row>
    <row r="106" spans="1:11" ht="12.75" customHeight="1" thickBot="1" x14ac:dyDescent="0.25">
      <c r="A106" s="179" t="s">
        <v>5</v>
      </c>
      <c r="B106" s="179"/>
      <c r="C106" s="179"/>
      <c r="D106" s="179" t="s">
        <v>162</v>
      </c>
      <c r="E106" s="179"/>
      <c r="F106" s="179"/>
      <c r="G106" s="179" t="s">
        <v>163</v>
      </c>
      <c r="H106" s="179"/>
      <c r="I106" s="179"/>
      <c r="J106" s="58" t="s">
        <v>72</v>
      </c>
      <c r="K106" s="55"/>
    </row>
    <row r="107" spans="1:11" ht="12.75" customHeight="1" thickBot="1" x14ac:dyDescent="0.25">
      <c r="A107" s="58" t="s">
        <v>216</v>
      </c>
      <c r="B107" s="58" t="s">
        <v>11</v>
      </c>
      <c r="C107" s="58" t="s">
        <v>10</v>
      </c>
      <c r="D107" s="58" t="s">
        <v>216</v>
      </c>
      <c r="E107" s="58" t="s">
        <v>11</v>
      </c>
      <c r="F107" s="58" t="s">
        <v>10</v>
      </c>
      <c r="G107" s="58" t="s">
        <v>216</v>
      </c>
      <c r="H107" s="58" t="s">
        <v>11</v>
      </c>
      <c r="I107" s="58" t="s">
        <v>10</v>
      </c>
      <c r="J107" s="59" t="s">
        <v>82</v>
      </c>
      <c r="K107" s="55"/>
    </row>
    <row r="108" spans="1:11" ht="12.75" customHeight="1" thickBot="1" x14ac:dyDescent="0.25">
      <c r="A108" s="60">
        <f t="shared" ref="A108:C110" si="25">G108+D108</f>
        <v>183</v>
      </c>
      <c r="B108" s="60">
        <f t="shared" si="25"/>
        <v>183</v>
      </c>
      <c r="C108" s="60">
        <f t="shared" si="25"/>
        <v>0</v>
      </c>
      <c r="D108" s="60">
        <f>F108+E108</f>
        <v>0</v>
      </c>
      <c r="E108" s="60">
        <v>0</v>
      </c>
      <c r="F108" s="60">
        <v>0</v>
      </c>
      <c r="G108" s="60">
        <f>I108+H108</f>
        <v>183</v>
      </c>
      <c r="H108" s="60">
        <v>183</v>
      </c>
      <c r="I108" s="60">
        <v>0</v>
      </c>
      <c r="J108" s="61" t="s">
        <v>111</v>
      </c>
      <c r="K108" s="55"/>
    </row>
    <row r="109" spans="1:11" ht="12.75" customHeight="1" thickBot="1" x14ac:dyDescent="0.25">
      <c r="A109" s="60">
        <f t="shared" si="25"/>
        <v>402</v>
      </c>
      <c r="B109" s="60">
        <f t="shared" si="25"/>
        <v>152</v>
      </c>
      <c r="C109" s="60">
        <f t="shared" si="25"/>
        <v>250</v>
      </c>
      <c r="D109" s="60">
        <f>F109+E109</f>
        <v>5</v>
      </c>
      <c r="E109" s="60">
        <v>4</v>
      </c>
      <c r="F109" s="60">
        <v>1</v>
      </c>
      <c r="G109" s="60">
        <f>I109+H109</f>
        <v>397</v>
      </c>
      <c r="H109" s="60">
        <v>148</v>
      </c>
      <c r="I109" s="60">
        <v>249</v>
      </c>
      <c r="J109" s="61" t="s">
        <v>112</v>
      </c>
      <c r="K109" s="55"/>
    </row>
    <row r="110" spans="1:11" ht="12.75" customHeight="1" thickBot="1" x14ac:dyDescent="0.25">
      <c r="A110" s="60">
        <f t="shared" si="25"/>
        <v>297</v>
      </c>
      <c r="B110" s="60">
        <f t="shared" si="25"/>
        <v>113</v>
      </c>
      <c r="C110" s="60">
        <f t="shared" si="25"/>
        <v>184</v>
      </c>
      <c r="D110" s="60">
        <f>F110+E110</f>
        <v>4</v>
      </c>
      <c r="E110" s="60">
        <v>1</v>
      </c>
      <c r="F110" s="60">
        <v>3</v>
      </c>
      <c r="G110" s="60">
        <f>I110+H110</f>
        <v>293</v>
      </c>
      <c r="H110" s="60">
        <v>112</v>
      </c>
      <c r="I110" s="60">
        <v>181</v>
      </c>
      <c r="J110" s="61" t="s">
        <v>213</v>
      </c>
      <c r="K110" s="55"/>
    </row>
    <row r="111" spans="1:11" ht="12.75" customHeight="1" thickBot="1" x14ac:dyDescent="0.25">
      <c r="A111" s="60">
        <f t="shared" ref="A111:I111" si="26">SUM(A108:A110)</f>
        <v>882</v>
      </c>
      <c r="B111" s="60">
        <f t="shared" si="26"/>
        <v>448</v>
      </c>
      <c r="C111" s="60">
        <f t="shared" si="26"/>
        <v>434</v>
      </c>
      <c r="D111" s="60">
        <f t="shared" si="26"/>
        <v>9</v>
      </c>
      <c r="E111" s="60">
        <f t="shared" si="26"/>
        <v>5</v>
      </c>
      <c r="F111" s="60">
        <f t="shared" si="26"/>
        <v>4</v>
      </c>
      <c r="G111" s="60">
        <f t="shared" si="26"/>
        <v>873</v>
      </c>
      <c r="H111" s="60">
        <f t="shared" si="26"/>
        <v>443</v>
      </c>
      <c r="I111" s="60">
        <f t="shared" si="26"/>
        <v>430</v>
      </c>
      <c r="J111" s="59" t="s">
        <v>211</v>
      </c>
      <c r="K111" s="55"/>
    </row>
    <row r="112" spans="1:11" ht="12.75" customHeight="1" x14ac:dyDescent="0.2">
      <c r="A112" s="177"/>
      <c r="B112" s="177"/>
      <c r="C112" s="177"/>
      <c r="D112" s="177"/>
      <c r="E112" s="177"/>
      <c r="F112" s="177"/>
      <c r="G112" s="177"/>
      <c r="H112" s="177"/>
      <c r="I112" s="177"/>
      <c r="J112" s="177"/>
      <c r="K112" s="55"/>
    </row>
    <row r="113" spans="1:11" ht="12.75" customHeight="1" x14ac:dyDescent="0.2">
      <c r="A113" s="177" t="s">
        <v>236</v>
      </c>
      <c r="B113" s="177"/>
      <c r="C113" s="177"/>
      <c r="D113" s="177"/>
      <c r="E113" s="177"/>
      <c r="F113" s="177"/>
      <c r="G113" s="177"/>
      <c r="H113" s="177"/>
      <c r="I113" s="177"/>
      <c r="J113" s="177"/>
      <c r="K113" s="55"/>
    </row>
    <row r="114" spans="1:11" ht="12.75" customHeight="1" thickBot="1" x14ac:dyDescent="0.25">
      <c r="A114" s="178" t="s">
        <v>237</v>
      </c>
      <c r="B114" s="178"/>
      <c r="C114" s="178"/>
      <c r="D114" s="178"/>
      <c r="E114" s="178"/>
      <c r="F114" s="178"/>
      <c r="G114" s="178"/>
      <c r="H114" s="178"/>
      <c r="I114" s="178"/>
      <c r="J114" s="178"/>
      <c r="K114" s="55"/>
    </row>
    <row r="115" spans="1:11" ht="12.75" customHeight="1" thickBot="1" x14ac:dyDescent="0.25">
      <c r="A115" s="179" t="s">
        <v>5</v>
      </c>
      <c r="B115" s="179"/>
      <c r="C115" s="179"/>
      <c r="D115" s="179" t="s">
        <v>162</v>
      </c>
      <c r="E115" s="179"/>
      <c r="F115" s="179"/>
      <c r="G115" s="179" t="s">
        <v>163</v>
      </c>
      <c r="H115" s="179"/>
      <c r="I115" s="179"/>
      <c r="J115" s="58" t="s">
        <v>72</v>
      </c>
      <c r="K115" s="55"/>
    </row>
    <row r="116" spans="1:11" ht="12.75" customHeight="1" thickBot="1" x14ac:dyDescent="0.25">
      <c r="A116" s="58" t="s">
        <v>216</v>
      </c>
      <c r="B116" s="58" t="s">
        <v>11</v>
      </c>
      <c r="C116" s="58" t="s">
        <v>10</v>
      </c>
      <c r="D116" s="58" t="s">
        <v>216</v>
      </c>
      <c r="E116" s="58" t="s">
        <v>11</v>
      </c>
      <c r="F116" s="58" t="s">
        <v>10</v>
      </c>
      <c r="G116" s="58" t="s">
        <v>216</v>
      </c>
      <c r="H116" s="58" t="s">
        <v>11</v>
      </c>
      <c r="I116" s="58" t="s">
        <v>10</v>
      </c>
      <c r="J116" s="59" t="s">
        <v>83</v>
      </c>
      <c r="K116" s="55"/>
    </row>
    <row r="117" spans="1:11" ht="12.75" customHeight="1" thickBot="1" x14ac:dyDescent="0.25">
      <c r="A117" s="60">
        <f t="shared" ref="A117:C120" si="27">G117+D117</f>
        <v>53</v>
      </c>
      <c r="B117" s="60">
        <f t="shared" si="27"/>
        <v>0</v>
      </c>
      <c r="C117" s="60">
        <f t="shared" si="27"/>
        <v>53</v>
      </c>
      <c r="D117" s="60">
        <f>F117+E117</f>
        <v>0</v>
      </c>
      <c r="E117" s="60">
        <v>0</v>
      </c>
      <c r="F117" s="60">
        <v>0</v>
      </c>
      <c r="G117" s="60">
        <f>I117+H117</f>
        <v>53</v>
      </c>
      <c r="H117" s="60">
        <v>0</v>
      </c>
      <c r="I117" s="60">
        <v>53</v>
      </c>
      <c r="J117" s="61" t="s">
        <v>261</v>
      </c>
      <c r="K117" s="55"/>
    </row>
    <row r="118" spans="1:11" ht="12.75" customHeight="1" thickBot="1" x14ac:dyDescent="0.25">
      <c r="A118" s="60">
        <f t="shared" si="27"/>
        <v>394</v>
      </c>
      <c r="B118" s="60">
        <f t="shared" si="27"/>
        <v>268</v>
      </c>
      <c r="C118" s="60">
        <f t="shared" si="27"/>
        <v>126</v>
      </c>
      <c r="D118" s="60">
        <f>F118+E118</f>
        <v>0</v>
      </c>
      <c r="E118" s="60">
        <v>0</v>
      </c>
      <c r="F118" s="60">
        <v>0</v>
      </c>
      <c r="G118" s="60">
        <f>I118+H118</f>
        <v>394</v>
      </c>
      <c r="H118" s="60">
        <v>268</v>
      </c>
      <c r="I118" s="60">
        <v>126</v>
      </c>
      <c r="J118" s="61" t="s">
        <v>73</v>
      </c>
      <c r="K118" s="55"/>
    </row>
    <row r="119" spans="1:11" ht="12.75" customHeight="1" thickBot="1" x14ac:dyDescent="0.25">
      <c r="A119" s="60">
        <f t="shared" si="27"/>
        <v>83</v>
      </c>
      <c r="B119" s="60">
        <f t="shared" si="27"/>
        <v>83</v>
      </c>
      <c r="C119" s="60">
        <f t="shared" si="27"/>
        <v>0</v>
      </c>
      <c r="D119" s="60">
        <f>F119+E119</f>
        <v>0</v>
      </c>
      <c r="E119" s="60">
        <v>0</v>
      </c>
      <c r="F119" s="60">
        <v>0</v>
      </c>
      <c r="G119" s="60">
        <f>I119+H119</f>
        <v>83</v>
      </c>
      <c r="H119" s="60">
        <v>83</v>
      </c>
      <c r="I119" s="60">
        <v>0</v>
      </c>
      <c r="J119" s="61" t="s">
        <v>113</v>
      </c>
      <c r="K119" s="55"/>
    </row>
    <row r="120" spans="1:11" ht="12.75" customHeight="1" thickBot="1" x14ac:dyDescent="0.25">
      <c r="A120" s="60">
        <f t="shared" si="27"/>
        <v>191</v>
      </c>
      <c r="B120" s="60">
        <f t="shared" si="27"/>
        <v>115</v>
      </c>
      <c r="C120" s="60">
        <f t="shared" si="27"/>
        <v>76</v>
      </c>
      <c r="D120" s="60">
        <f>F120+E120</f>
        <v>0</v>
      </c>
      <c r="E120" s="60">
        <v>0</v>
      </c>
      <c r="F120" s="60">
        <v>0</v>
      </c>
      <c r="G120" s="60">
        <f>I120+H120</f>
        <v>191</v>
      </c>
      <c r="H120" s="60">
        <v>115</v>
      </c>
      <c r="I120" s="60">
        <v>76</v>
      </c>
      <c r="J120" s="61" t="s">
        <v>262</v>
      </c>
      <c r="K120" s="55"/>
    </row>
    <row r="121" spans="1:11" ht="12.75" customHeight="1" thickBot="1" x14ac:dyDescent="0.25">
      <c r="A121" s="60">
        <f t="shared" ref="A121:I121" si="28">SUM(A117:A120)</f>
        <v>721</v>
      </c>
      <c r="B121" s="60">
        <f t="shared" si="28"/>
        <v>466</v>
      </c>
      <c r="C121" s="60">
        <f t="shared" si="28"/>
        <v>255</v>
      </c>
      <c r="D121" s="60">
        <f t="shared" si="28"/>
        <v>0</v>
      </c>
      <c r="E121" s="60">
        <f t="shared" si="28"/>
        <v>0</v>
      </c>
      <c r="F121" s="60">
        <f t="shared" si="28"/>
        <v>0</v>
      </c>
      <c r="G121" s="60">
        <f t="shared" si="28"/>
        <v>721</v>
      </c>
      <c r="H121" s="60">
        <f t="shared" si="28"/>
        <v>466</v>
      </c>
      <c r="I121" s="60">
        <f t="shared" si="28"/>
        <v>255</v>
      </c>
      <c r="J121" s="59" t="s">
        <v>211</v>
      </c>
      <c r="K121" s="55"/>
    </row>
    <row r="122" spans="1:11" ht="12.75" customHeight="1" x14ac:dyDescent="0.2">
      <c r="A122" s="177"/>
      <c r="B122" s="177"/>
      <c r="C122" s="177"/>
      <c r="D122" s="177"/>
      <c r="E122" s="177"/>
      <c r="F122" s="177"/>
      <c r="G122" s="177"/>
      <c r="H122" s="177"/>
      <c r="I122" s="177"/>
      <c r="J122" s="177"/>
      <c r="K122" s="55"/>
    </row>
    <row r="123" spans="1:11" ht="12.75" customHeight="1" x14ac:dyDescent="0.2">
      <c r="A123" s="177" t="s">
        <v>236</v>
      </c>
      <c r="B123" s="177"/>
      <c r="C123" s="177"/>
      <c r="D123" s="177"/>
      <c r="E123" s="177"/>
      <c r="F123" s="177"/>
      <c r="G123" s="177"/>
      <c r="H123" s="177"/>
      <c r="I123" s="177"/>
      <c r="J123" s="177"/>
      <c r="K123" s="55"/>
    </row>
    <row r="124" spans="1:11" ht="12.75" customHeight="1" thickBot="1" x14ac:dyDescent="0.25">
      <c r="A124" s="178" t="s">
        <v>237</v>
      </c>
      <c r="B124" s="178"/>
      <c r="C124" s="178"/>
      <c r="D124" s="178"/>
      <c r="E124" s="178"/>
      <c r="F124" s="178"/>
      <c r="G124" s="178"/>
      <c r="H124" s="178"/>
      <c r="I124" s="178"/>
      <c r="J124" s="178"/>
      <c r="K124" s="55"/>
    </row>
    <row r="125" spans="1:11" ht="12.75" customHeight="1" thickBot="1" x14ac:dyDescent="0.25">
      <c r="A125" s="179" t="s">
        <v>5</v>
      </c>
      <c r="B125" s="179"/>
      <c r="C125" s="179"/>
      <c r="D125" s="179" t="s">
        <v>162</v>
      </c>
      <c r="E125" s="179"/>
      <c r="F125" s="179"/>
      <c r="G125" s="179" t="s">
        <v>163</v>
      </c>
      <c r="H125" s="179"/>
      <c r="I125" s="179"/>
      <c r="J125" s="58" t="s">
        <v>72</v>
      </c>
      <c r="K125" s="55"/>
    </row>
    <row r="126" spans="1:11" ht="12.75" customHeight="1" thickBot="1" x14ac:dyDescent="0.25">
      <c r="A126" s="58" t="s">
        <v>216</v>
      </c>
      <c r="B126" s="58" t="s">
        <v>11</v>
      </c>
      <c r="C126" s="58" t="s">
        <v>10</v>
      </c>
      <c r="D126" s="58" t="s">
        <v>216</v>
      </c>
      <c r="E126" s="58" t="s">
        <v>11</v>
      </c>
      <c r="F126" s="58" t="s">
        <v>10</v>
      </c>
      <c r="G126" s="58" t="s">
        <v>216</v>
      </c>
      <c r="H126" s="58" t="s">
        <v>11</v>
      </c>
      <c r="I126" s="58" t="s">
        <v>10</v>
      </c>
      <c r="J126" s="59" t="s">
        <v>165</v>
      </c>
      <c r="K126" s="55"/>
    </row>
    <row r="127" spans="1:11" ht="12.75" customHeight="1" thickBot="1" x14ac:dyDescent="0.25">
      <c r="A127" s="60">
        <v>42</v>
      </c>
      <c r="B127" s="60">
        <v>0</v>
      </c>
      <c r="C127" s="60">
        <v>42</v>
      </c>
      <c r="D127" s="60">
        <v>0</v>
      </c>
      <c r="E127" s="60">
        <v>0</v>
      </c>
      <c r="F127" s="60">
        <v>0</v>
      </c>
      <c r="G127" s="60">
        <v>42</v>
      </c>
      <c r="H127" s="60">
        <v>0</v>
      </c>
      <c r="I127" s="60">
        <v>42</v>
      </c>
      <c r="J127" s="61" t="s">
        <v>263</v>
      </c>
      <c r="K127" s="55"/>
    </row>
    <row r="128" spans="1:11" ht="12.75" customHeight="1" thickBot="1" x14ac:dyDescent="0.25">
      <c r="A128" s="60">
        <v>58</v>
      </c>
      <c r="B128" s="60">
        <v>0</v>
      </c>
      <c r="C128" s="60">
        <v>58</v>
      </c>
      <c r="D128" s="60">
        <v>0</v>
      </c>
      <c r="E128" s="60">
        <v>0</v>
      </c>
      <c r="F128" s="60">
        <v>0</v>
      </c>
      <c r="G128" s="60">
        <v>58</v>
      </c>
      <c r="H128" s="60">
        <v>0</v>
      </c>
      <c r="I128" s="60">
        <v>58</v>
      </c>
      <c r="J128" s="61" t="s">
        <v>264</v>
      </c>
      <c r="K128" s="55"/>
    </row>
    <row r="129" spans="1:11" ht="12.75" customHeight="1" thickBot="1" x14ac:dyDescent="0.25">
      <c r="A129" s="60">
        <v>100</v>
      </c>
      <c r="B129" s="60">
        <v>0</v>
      </c>
      <c r="C129" s="60">
        <v>100</v>
      </c>
      <c r="D129" s="60">
        <v>0</v>
      </c>
      <c r="E129" s="60">
        <v>0</v>
      </c>
      <c r="F129" s="60">
        <v>0</v>
      </c>
      <c r="G129" s="60">
        <v>100</v>
      </c>
      <c r="H129" s="60">
        <v>0</v>
      </c>
      <c r="I129" s="60">
        <v>100</v>
      </c>
      <c r="J129" s="59" t="s">
        <v>211</v>
      </c>
      <c r="K129" s="55"/>
    </row>
    <row r="130" spans="1:11" ht="12.75" customHeight="1" x14ac:dyDescent="0.2">
      <c r="A130" s="177"/>
      <c r="B130" s="177"/>
      <c r="C130" s="177"/>
      <c r="D130" s="177"/>
      <c r="E130" s="177"/>
      <c r="F130" s="177"/>
      <c r="G130" s="177"/>
      <c r="H130" s="177"/>
      <c r="I130" s="177"/>
      <c r="J130" s="177"/>
      <c r="K130" s="55"/>
    </row>
    <row r="131" spans="1:11" ht="12.75" customHeight="1" x14ac:dyDescent="0.2">
      <c r="A131" s="177" t="s">
        <v>236</v>
      </c>
      <c r="B131" s="177"/>
      <c r="C131" s="177"/>
      <c r="D131" s="177"/>
      <c r="E131" s="177"/>
      <c r="F131" s="177"/>
      <c r="G131" s="177"/>
      <c r="H131" s="177"/>
      <c r="I131" s="177"/>
      <c r="J131" s="177"/>
      <c r="K131" s="55"/>
    </row>
    <row r="132" spans="1:11" ht="12.75" customHeight="1" thickBot="1" x14ac:dyDescent="0.25">
      <c r="A132" s="178" t="s">
        <v>237</v>
      </c>
      <c r="B132" s="178"/>
      <c r="C132" s="178"/>
      <c r="D132" s="178"/>
      <c r="E132" s="178"/>
      <c r="F132" s="178"/>
      <c r="G132" s="178"/>
      <c r="H132" s="178"/>
      <c r="I132" s="178"/>
      <c r="J132" s="178"/>
      <c r="K132" s="55"/>
    </row>
    <row r="133" spans="1:11" ht="12.75" customHeight="1" thickBot="1" x14ac:dyDescent="0.25">
      <c r="A133" s="179" t="s">
        <v>5</v>
      </c>
      <c r="B133" s="179"/>
      <c r="C133" s="179"/>
      <c r="D133" s="179" t="s">
        <v>162</v>
      </c>
      <c r="E133" s="179"/>
      <c r="F133" s="179"/>
      <c r="G133" s="179" t="s">
        <v>163</v>
      </c>
      <c r="H133" s="179"/>
      <c r="I133" s="179"/>
      <c r="J133" s="58" t="s">
        <v>72</v>
      </c>
      <c r="K133" s="55"/>
    </row>
    <row r="134" spans="1:11" ht="12.75" customHeight="1" thickBot="1" x14ac:dyDescent="0.25">
      <c r="A134" s="58" t="s">
        <v>216</v>
      </c>
      <c r="B134" s="58" t="s">
        <v>11</v>
      </c>
      <c r="C134" s="58" t="s">
        <v>10</v>
      </c>
      <c r="D134" s="58" t="s">
        <v>216</v>
      </c>
      <c r="E134" s="58" t="s">
        <v>11</v>
      </c>
      <c r="F134" s="58" t="s">
        <v>10</v>
      </c>
      <c r="G134" s="58" t="s">
        <v>216</v>
      </c>
      <c r="H134" s="58" t="s">
        <v>11</v>
      </c>
      <c r="I134" s="58" t="s">
        <v>10</v>
      </c>
      <c r="J134" s="59" t="s">
        <v>115</v>
      </c>
      <c r="K134" s="55"/>
    </row>
    <row r="135" spans="1:11" ht="12.75" customHeight="1" thickBot="1" x14ac:dyDescent="0.25">
      <c r="A135" s="60">
        <f t="shared" ref="A135:C139" si="29">G135+D135</f>
        <v>190</v>
      </c>
      <c r="B135" s="60">
        <f t="shared" si="29"/>
        <v>0</v>
      </c>
      <c r="C135" s="60">
        <f t="shared" si="29"/>
        <v>190</v>
      </c>
      <c r="D135" s="60">
        <f>F135+E135</f>
        <v>0</v>
      </c>
      <c r="E135" s="60">
        <v>0</v>
      </c>
      <c r="F135" s="60">
        <v>0</v>
      </c>
      <c r="G135" s="60">
        <f>I135+H135</f>
        <v>190</v>
      </c>
      <c r="H135" s="60">
        <v>0</v>
      </c>
      <c r="I135" s="60">
        <v>190</v>
      </c>
      <c r="J135" s="61" t="s">
        <v>265</v>
      </c>
      <c r="K135" s="55"/>
    </row>
    <row r="136" spans="1:11" ht="12.75" customHeight="1" thickBot="1" x14ac:dyDescent="0.25">
      <c r="A136" s="60">
        <f t="shared" si="29"/>
        <v>397</v>
      </c>
      <c r="B136" s="60">
        <f t="shared" si="29"/>
        <v>0</v>
      </c>
      <c r="C136" s="60">
        <f t="shared" si="29"/>
        <v>397</v>
      </c>
      <c r="D136" s="60">
        <f>F136+E136</f>
        <v>4</v>
      </c>
      <c r="E136" s="60">
        <v>0</v>
      </c>
      <c r="F136" s="60">
        <v>4</v>
      </c>
      <c r="G136" s="60">
        <f>I136+H136</f>
        <v>393</v>
      </c>
      <c r="H136" s="60">
        <v>0</v>
      </c>
      <c r="I136" s="60">
        <v>393</v>
      </c>
      <c r="J136" s="61" t="s">
        <v>114</v>
      </c>
      <c r="K136" s="55"/>
    </row>
    <row r="137" spans="1:11" ht="12.75" customHeight="1" thickBot="1" x14ac:dyDescent="0.25">
      <c r="A137" s="60">
        <f t="shared" si="29"/>
        <v>197</v>
      </c>
      <c r="B137" s="60">
        <f t="shared" si="29"/>
        <v>0</v>
      </c>
      <c r="C137" s="60">
        <f t="shared" si="29"/>
        <v>197</v>
      </c>
      <c r="D137" s="60">
        <f>F137+E137</f>
        <v>0</v>
      </c>
      <c r="E137" s="60">
        <v>0</v>
      </c>
      <c r="F137" s="60">
        <v>0</v>
      </c>
      <c r="G137" s="60">
        <f>I137+H137</f>
        <v>197</v>
      </c>
      <c r="H137" s="60">
        <v>0</v>
      </c>
      <c r="I137" s="60">
        <v>197</v>
      </c>
      <c r="J137" s="61" t="s">
        <v>266</v>
      </c>
      <c r="K137" s="55"/>
    </row>
    <row r="138" spans="1:11" ht="12.75" customHeight="1" thickBot="1" x14ac:dyDescent="0.25">
      <c r="A138" s="60">
        <f t="shared" si="29"/>
        <v>136</v>
      </c>
      <c r="B138" s="60">
        <f t="shared" si="29"/>
        <v>136</v>
      </c>
      <c r="C138" s="60">
        <f t="shared" si="29"/>
        <v>0</v>
      </c>
      <c r="D138" s="60">
        <f>F138+E138</f>
        <v>0</v>
      </c>
      <c r="E138" s="60">
        <v>0</v>
      </c>
      <c r="F138" s="60">
        <v>0</v>
      </c>
      <c r="G138" s="60">
        <f>I138+H138</f>
        <v>136</v>
      </c>
      <c r="H138" s="60">
        <v>136</v>
      </c>
      <c r="I138" s="60">
        <v>0</v>
      </c>
      <c r="J138" s="61" t="s">
        <v>267</v>
      </c>
      <c r="K138" s="55"/>
    </row>
    <row r="139" spans="1:11" ht="12.75" customHeight="1" thickBot="1" x14ac:dyDescent="0.25">
      <c r="A139" s="60">
        <f t="shared" si="29"/>
        <v>227</v>
      </c>
      <c r="B139" s="60">
        <f t="shared" si="29"/>
        <v>227</v>
      </c>
      <c r="C139" s="60">
        <f t="shared" si="29"/>
        <v>0</v>
      </c>
      <c r="D139" s="60">
        <f>F139+E139</f>
        <v>2</v>
      </c>
      <c r="E139" s="60">
        <v>2</v>
      </c>
      <c r="F139" s="60">
        <v>0</v>
      </c>
      <c r="G139" s="60">
        <f>I139+H139</f>
        <v>225</v>
      </c>
      <c r="H139" s="60">
        <v>225</v>
      </c>
      <c r="I139" s="60">
        <v>0</v>
      </c>
      <c r="J139" s="61" t="s">
        <v>116</v>
      </c>
      <c r="K139" s="55"/>
    </row>
    <row r="140" spans="1:11" ht="12.75" customHeight="1" thickBot="1" x14ac:dyDescent="0.25">
      <c r="A140" s="60">
        <f t="shared" ref="A140:I140" si="30">SUM(A135:A139)</f>
        <v>1147</v>
      </c>
      <c r="B140" s="60">
        <f t="shared" si="30"/>
        <v>363</v>
      </c>
      <c r="C140" s="60">
        <f t="shared" si="30"/>
        <v>784</v>
      </c>
      <c r="D140" s="60">
        <f t="shared" si="30"/>
        <v>6</v>
      </c>
      <c r="E140" s="60">
        <f t="shared" si="30"/>
        <v>2</v>
      </c>
      <c r="F140" s="60">
        <f t="shared" si="30"/>
        <v>4</v>
      </c>
      <c r="G140" s="60">
        <f>SUM(G135:G139)</f>
        <v>1141</v>
      </c>
      <c r="H140" s="60">
        <f t="shared" si="30"/>
        <v>361</v>
      </c>
      <c r="I140" s="60">
        <f t="shared" si="30"/>
        <v>780</v>
      </c>
      <c r="J140" s="59" t="s">
        <v>211</v>
      </c>
      <c r="K140" s="55"/>
    </row>
    <row r="141" spans="1:11" ht="12.75" customHeight="1" x14ac:dyDescent="0.2">
      <c r="A141" s="177"/>
      <c r="B141" s="177"/>
      <c r="C141" s="177"/>
      <c r="D141" s="177"/>
      <c r="E141" s="177"/>
      <c r="F141" s="177"/>
      <c r="G141" s="177"/>
      <c r="H141" s="177"/>
      <c r="I141" s="177"/>
      <c r="J141" s="177"/>
      <c r="K141" s="55"/>
    </row>
    <row r="142" spans="1:11" ht="12.75" customHeight="1" x14ac:dyDescent="0.2">
      <c r="A142" s="177" t="s">
        <v>236</v>
      </c>
      <c r="B142" s="177"/>
      <c r="C142" s="177"/>
      <c r="D142" s="177"/>
      <c r="E142" s="177"/>
      <c r="F142" s="177"/>
      <c r="G142" s="177"/>
      <c r="H142" s="177"/>
      <c r="I142" s="177"/>
      <c r="J142" s="177"/>
      <c r="K142" s="55"/>
    </row>
    <row r="143" spans="1:11" ht="12.75" customHeight="1" thickBot="1" x14ac:dyDescent="0.25">
      <c r="A143" s="178" t="s">
        <v>237</v>
      </c>
      <c r="B143" s="178"/>
      <c r="C143" s="178"/>
      <c r="D143" s="178"/>
      <c r="E143" s="178"/>
      <c r="F143" s="178"/>
      <c r="G143" s="178"/>
      <c r="H143" s="178"/>
      <c r="I143" s="178"/>
      <c r="J143" s="178"/>
      <c r="K143" s="55"/>
    </row>
    <row r="144" spans="1:11" ht="12.75" customHeight="1" thickBot="1" x14ac:dyDescent="0.25">
      <c r="A144" s="179" t="s">
        <v>5</v>
      </c>
      <c r="B144" s="179"/>
      <c r="C144" s="179"/>
      <c r="D144" s="179" t="s">
        <v>162</v>
      </c>
      <c r="E144" s="179"/>
      <c r="F144" s="179"/>
      <c r="G144" s="179" t="s">
        <v>163</v>
      </c>
      <c r="H144" s="179"/>
      <c r="I144" s="179"/>
      <c r="J144" s="58" t="s">
        <v>72</v>
      </c>
      <c r="K144" s="55"/>
    </row>
    <row r="145" spans="1:11" ht="12.75" customHeight="1" thickBot="1" x14ac:dyDescent="0.25">
      <c r="A145" s="58" t="s">
        <v>216</v>
      </c>
      <c r="B145" s="58" t="s">
        <v>11</v>
      </c>
      <c r="C145" s="58" t="s">
        <v>10</v>
      </c>
      <c r="D145" s="58" t="s">
        <v>216</v>
      </c>
      <c r="E145" s="58" t="s">
        <v>11</v>
      </c>
      <c r="F145" s="58" t="s">
        <v>10</v>
      </c>
      <c r="G145" s="58" t="s">
        <v>216</v>
      </c>
      <c r="H145" s="58" t="s">
        <v>11</v>
      </c>
      <c r="I145" s="58" t="s">
        <v>10</v>
      </c>
      <c r="J145" s="59" t="s">
        <v>118</v>
      </c>
      <c r="K145" s="55"/>
    </row>
    <row r="146" spans="1:11" ht="12.75" customHeight="1" thickBot="1" x14ac:dyDescent="0.25">
      <c r="A146" s="60">
        <f t="shared" ref="A146:C148" si="31">G146+D146</f>
        <v>20</v>
      </c>
      <c r="B146" s="60">
        <f t="shared" si="31"/>
        <v>0</v>
      </c>
      <c r="C146" s="60">
        <f t="shared" si="31"/>
        <v>20</v>
      </c>
      <c r="D146" s="60">
        <f>F146+E146</f>
        <v>0</v>
      </c>
      <c r="E146" s="60">
        <v>0</v>
      </c>
      <c r="F146" s="60">
        <v>0</v>
      </c>
      <c r="G146" s="60">
        <f>I146+H146</f>
        <v>20</v>
      </c>
      <c r="H146" s="60">
        <v>0</v>
      </c>
      <c r="I146" s="60">
        <v>20</v>
      </c>
      <c r="J146" s="61" t="s">
        <v>268</v>
      </c>
      <c r="K146" s="55"/>
    </row>
    <row r="147" spans="1:11" ht="12.75" customHeight="1" thickBot="1" x14ac:dyDescent="0.25">
      <c r="A147" s="60">
        <f t="shared" si="31"/>
        <v>429</v>
      </c>
      <c r="B147" s="60">
        <f t="shared" si="31"/>
        <v>402</v>
      </c>
      <c r="C147" s="60">
        <f t="shared" si="31"/>
        <v>27</v>
      </c>
      <c r="D147" s="60">
        <f>F147+E147</f>
        <v>0</v>
      </c>
      <c r="E147" s="60">
        <v>0</v>
      </c>
      <c r="F147" s="60">
        <v>0</v>
      </c>
      <c r="G147" s="60">
        <f>I147+H147</f>
        <v>429</v>
      </c>
      <c r="H147" s="60">
        <v>402</v>
      </c>
      <c r="I147" s="60">
        <v>27</v>
      </c>
      <c r="J147" s="61" t="s">
        <v>117</v>
      </c>
      <c r="K147" s="55"/>
    </row>
    <row r="148" spans="1:11" ht="12.75" customHeight="1" thickBot="1" x14ac:dyDescent="0.25">
      <c r="A148" s="60">
        <f t="shared" si="31"/>
        <v>275</v>
      </c>
      <c r="B148" s="60">
        <f t="shared" si="31"/>
        <v>116</v>
      </c>
      <c r="C148" s="60">
        <f t="shared" si="31"/>
        <v>159</v>
      </c>
      <c r="D148" s="60">
        <f>F148+E148</f>
        <v>0</v>
      </c>
      <c r="E148" s="60">
        <v>0</v>
      </c>
      <c r="F148" s="60">
        <v>0</v>
      </c>
      <c r="G148" s="60">
        <f>I148+H148</f>
        <v>275</v>
      </c>
      <c r="H148" s="60">
        <v>116</v>
      </c>
      <c r="I148" s="60">
        <v>159</v>
      </c>
      <c r="J148" s="61" t="s">
        <v>269</v>
      </c>
      <c r="K148" s="55"/>
    </row>
    <row r="149" spans="1:11" ht="12.75" customHeight="1" thickBot="1" x14ac:dyDescent="0.25">
      <c r="A149" s="60">
        <f t="shared" ref="A149:I149" si="32">SUM(A146:A148)</f>
        <v>724</v>
      </c>
      <c r="B149" s="60">
        <f t="shared" si="32"/>
        <v>518</v>
      </c>
      <c r="C149" s="60">
        <f t="shared" si="32"/>
        <v>206</v>
      </c>
      <c r="D149" s="60">
        <f t="shared" si="32"/>
        <v>0</v>
      </c>
      <c r="E149" s="60">
        <f t="shared" si="32"/>
        <v>0</v>
      </c>
      <c r="F149" s="60">
        <f t="shared" si="32"/>
        <v>0</v>
      </c>
      <c r="G149" s="60">
        <f>SUM(G146:G148)</f>
        <v>724</v>
      </c>
      <c r="H149" s="60">
        <f t="shared" si="32"/>
        <v>518</v>
      </c>
      <c r="I149" s="60">
        <f t="shared" si="32"/>
        <v>206</v>
      </c>
      <c r="J149" s="59" t="s">
        <v>211</v>
      </c>
      <c r="K149" s="55"/>
    </row>
    <row r="150" spans="1:11" ht="12.75" customHeight="1" x14ac:dyDescent="0.2">
      <c r="A150" s="177"/>
      <c r="B150" s="177"/>
      <c r="C150" s="177"/>
      <c r="D150" s="177"/>
      <c r="E150" s="177"/>
      <c r="F150" s="177"/>
      <c r="G150" s="177"/>
      <c r="H150" s="177"/>
      <c r="I150" s="177"/>
      <c r="J150" s="177"/>
      <c r="K150" s="55"/>
    </row>
    <row r="151" spans="1:11" ht="12.75" customHeight="1" x14ac:dyDescent="0.2">
      <c r="A151" s="177" t="s">
        <v>236</v>
      </c>
      <c r="B151" s="177"/>
      <c r="C151" s="177"/>
      <c r="D151" s="177"/>
      <c r="E151" s="177"/>
      <c r="F151" s="177"/>
      <c r="G151" s="177"/>
      <c r="H151" s="177"/>
      <c r="I151" s="177"/>
      <c r="J151" s="177"/>
      <c r="K151" s="55"/>
    </row>
    <row r="152" spans="1:11" ht="12.75" customHeight="1" thickBot="1" x14ac:dyDescent="0.25">
      <c r="A152" s="178" t="s">
        <v>237</v>
      </c>
      <c r="B152" s="178"/>
      <c r="C152" s="178"/>
      <c r="D152" s="178"/>
      <c r="E152" s="178"/>
      <c r="F152" s="178"/>
      <c r="G152" s="178"/>
      <c r="H152" s="178"/>
      <c r="I152" s="178"/>
      <c r="J152" s="178"/>
      <c r="K152" s="55"/>
    </row>
    <row r="153" spans="1:11" ht="12.75" customHeight="1" thickBot="1" x14ac:dyDescent="0.25">
      <c r="A153" s="179" t="s">
        <v>5</v>
      </c>
      <c r="B153" s="179"/>
      <c r="C153" s="179"/>
      <c r="D153" s="179" t="s">
        <v>162</v>
      </c>
      <c r="E153" s="179"/>
      <c r="F153" s="179"/>
      <c r="G153" s="179" t="s">
        <v>163</v>
      </c>
      <c r="H153" s="179"/>
      <c r="I153" s="179"/>
      <c r="J153" s="58" t="s">
        <v>72</v>
      </c>
      <c r="K153" s="55"/>
    </row>
    <row r="154" spans="1:11" ht="12.75" customHeight="1" thickBot="1" x14ac:dyDescent="0.25">
      <c r="A154" s="58" t="s">
        <v>216</v>
      </c>
      <c r="B154" s="58" t="s">
        <v>11</v>
      </c>
      <c r="C154" s="58" t="s">
        <v>10</v>
      </c>
      <c r="D154" s="58" t="s">
        <v>216</v>
      </c>
      <c r="E154" s="58" t="s">
        <v>11</v>
      </c>
      <c r="F154" s="58" t="s">
        <v>10</v>
      </c>
      <c r="G154" s="58" t="s">
        <v>216</v>
      </c>
      <c r="H154" s="58" t="s">
        <v>11</v>
      </c>
      <c r="I154" s="58" t="s">
        <v>10</v>
      </c>
      <c r="J154" s="59" t="s">
        <v>120</v>
      </c>
      <c r="K154" s="55"/>
    </row>
    <row r="155" spans="1:11" ht="12.75" customHeight="1" thickBot="1" x14ac:dyDescent="0.25">
      <c r="A155" s="60">
        <f t="shared" ref="A155:C161" si="33">G155+D155</f>
        <v>305</v>
      </c>
      <c r="B155" s="60">
        <f t="shared" si="33"/>
        <v>0</v>
      </c>
      <c r="C155" s="60">
        <f t="shared" si="33"/>
        <v>305</v>
      </c>
      <c r="D155" s="60">
        <f t="shared" ref="D155:D161" si="34">F155+E155</f>
        <v>0</v>
      </c>
      <c r="E155" s="60">
        <v>0</v>
      </c>
      <c r="F155" s="60">
        <v>0</v>
      </c>
      <c r="G155" s="60">
        <f t="shared" ref="G155:G161" si="35">I155+H155</f>
        <v>305</v>
      </c>
      <c r="H155" s="60">
        <v>0</v>
      </c>
      <c r="I155" s="60">
        <f>238+67</f>
        <v>305</v>
      </c>
      <c r="J155" s="61" t="s">
        <v>119</v>
      </c>
      <c r="K155" s="55"/>
    </row>
    <row r="156" spans="1:11" ht="12.75" customHeight="1" thickBot="1" x14ac:dyDescent="0.25">
      <c r="A156" s="60">
        <f t="shared" si="33"/>
        <v>64</v>
      </c>
      <c r="B156" s="60">
        <f t="shared" si="33"/>
        <v>64</v>
      </c>
      <c r="C156" s="60">
        <f t="shared" si="33"/>
        <v>0</v>
      </c>
      <c r="D156" s="60">
        <f t="shared" si="34"/>
        <v>0</v>
      </c>
      <c r="E156" s="60">
        <v>0</v>
      </c>
      <c r="F156" s="60">
        <v>0</v>
      </c>
      <c r="G156" s="60">
        <f t="shared" si="35"/>
        <v>64</v>
      </c>
      <c r="H156" s="60">
        <v>64</v>
      </c>
      <c r="I156" s="60">
        <v>0</v>
      </c>
      <c r="J156" s="61" t="s">
        <v>121</v>
      </c>
      <c r="K156" s="55"/>
    </row>
    <row r="157" spans="1:11" ht="12.75" customHeight="1" thickBot="1" x14ac:dyDescent="0.25">
      <c r="A157" s="60">
        <f t="shared" si="33"/>
        <v>72</v>
      </c>
      <c r="B157" s="60">
        <f t="shared" si="33"/>
        <v>72</v>
      </c>
      <c r="C157" s="60">
        <f t="shared" si="33"/>
        <v>0</v>
      </c>
      <c r="D157" s="60">
        <f t="shared" si="34"/>
        <v>0</v>
      </c>
      <c r="E157" s="60">
        <v>0</v>
      </c>
      <c r="F157" s="60">
        <v>0</v>
      </c>
      <c r="G157" s="60">
        <f t="shared" si="35"/>
        <v>72</v>
      </c>
      <c r="H157" s="60">
        <v>72</v>
      </c>
      <c r="I157" s="60">
        <v>0</v>
      </c>
      <c r="J157" s="61" t="s">
        <v>122</v>
      </c>
      <c r="K157" s="55"/>
    </row>
    <row r="158" spans="1:11" ht="12.75" customHeight="1" thickBot="1" x14ac:dyDescent="0.25">
      <c r="A158" s="60">
        <f t="shared" si="33"/>
        <v>47</v>
      </c>
      <c r="B158" s="60">
        <f t="shared" si="33"/>
        <v>0</v>
      </c>
      <c r="C158" s="60">
        <f t="shared" si="33"/>
        <v>47</v>
      </c>
      <c r="D158" s="60">
        <f t="shared" si="34"/>
        <v>0</v>
      </c>
      <c r="E158" s="60">
        <v>0</v>
      </c>
      <c r="F158" s="60">
        <v>0</v>
      </c>
      <c r="G158" s="60">
        <f t="shared" si="35"/>
        <v>47</v>
      </c>
      <c r="H158" s="60">
        <v>0</v>
      </c>
      <c r="I158" s="60">
        <v>47</v>
      </c>
      <c r="J158" s="61" t="s">
        <v>270</v>
      </c>
      <c r="K158" s="55"/>
    </row>
    <row r="159" spans="1:11" ht="12.75" customHeight="1" thickBot="1" x14ac:dyDescent="0.25">
      <c r="A159" s="60">
        <f t="shared" si="33"/>
        <v>134</v>
      </c>
      <c r="B159" s="60">
        <f t="shared" si="33"/>
        <v>134</v>
      </c>
      <c r="C159" s="60">
        <f t="shared" si="33"/>
        <v>0</v>
      </c>
      <c r="D159" s="60">
        <f t="shared" si="34"/>
        <v>0</v>
      </c>
      <c r="E159" s="60">
        <v>0</v>
      </c>
      <c r="F159" s="60">
        <v>0</v>
      </c>
      <c r="G159" s="60">
        <f t="shared" si="35"/>
        <v>134</v>
      </c>
      <c r="H159" s="60">
        <v>134</v>
      </c>
      <c r="I159" s="60">
        <v>0</v>
      </c>
      <c r="J159" s="61" t="s">
        <v>271</v>
      </c>
      <c r="K159" s="55"/>
    </row>
    <row r="160" spans="1:11" ht="12.75" customHeight="1" thickBot="1" x14ac:dyDescent="0.25">
      <c r="A160" s="60">
        <f t="shared" si="33"/>
        <v>321</v>
      </c>
      <c r="B160" s="60">
        <f t="shared" si="33"/>
        <v>0</v>
      </c>
      <c r="C160" s="60">
        <f t="shared" si="33"/>
        <v>321</v>
      </c>
      <c r="D160" s="60">
        <f t="shared" si="34"/>
        <v>0</v>
      </c>
      <c r="E160" s="60">
        <v>0</v>
      </c>
      <c r="F160" s="60">
        <v>0</v>
      </c>
      <c r="G160" s="60">
        <f t="shared" si="35"/>
        <v>321</v>
      </c>
      <c r="H160" s="60">
        <v>0</v>
      </c>
      <c r="I160" s="60">
        <f>226+95</f>
        <v>321</v>
      </c>
      <c r="J160" s="61" t="s">
        <v>272</v>
      </c>
      <c r="K160" s="55"/>
    </row>
    <row r="161" spans="1:11" ht="12.75" customHeight="1" thickBot="1" x14ac:dyDescent="0.25">
      <c r="A161" s="60">
        <f t="shared" si="33"/>
        <v>86</v>
      </c>
      <c r="B161" s="60">
        <f t="shared" si="33"/>
        <v>86</v>
      </c>
      <c r="C161" s="60">
        <f t="shared" si="33"/>
        <v>0</v>
      </c>
      <c r="D161" s="60">
        <f t="shared" si="34"/>
        <v>0</v>
      </c>
      <c r="E161" s="60">
        <v>0</v>
      </c>
      <c r="F161" s="60">
        <v>0</v>
      </c>
      <c r="G161" s="60">
        <f t="shared" si="35"/>
        <v>86</v>
      </c>
      <c r="H161" s="60">
        <v>86</v>
      </c>
      <c r="I161" s="60">
        <v>0</v>
      </c>
      <c r="J161" s="61" t="s">
        <v>273</v>
      </c>
      <c r="K161" s="55"/>
    </row>
    <row r="162" spans="1:11" ht="12.75" customHeight="1" thickBot="1" x14ac:dyDescent="0.25">
      <c r="A162" s="60">
        <f t="shared" ref="A162:I162" si="36">SUM(A155:A161)</f>
        <v>1029</v>
      </c>
      <c r="B162" s="60">
        <f t="shared" si="36"/>
        <v>356</v>
      </c>
      <c r="C162" s="60">
        <f t="shared" si="36"/>
        <v>673</v>
      </c>
      <c r="D162" s="60">
        <f t="shared" si="36"/>
        <v>0</v>
      </c>
      <c r="E162" s="60">
        <f t="shared" si="36"/>
        <v>0</v>
      </c>
      <c r="F162" s="60">
        <f t="shared" si="36"/>
        <v>0</v>
      </c>
      <c r="G162" s="60">
        <f t="shared" si="36"/>
        <v>1029</v>
      </c>
      <c r="H162" s="60">
        <f t="shared" si="36"/>
        <v>356</v>
      </c>
      <c r="I162" s="60">
        <f t="shared" si="36"/>
        <v>673</v>
      </c>
      <c r="J162" s="59" t="s">
        <v>211</v>
      </c>
      <c r="K162" s="55"/>
    </row>
    <row r="163" spans="1:11" ht="12.75" customHeight="1" x14ac:dyDescent="0.2">
      <c r="A163" s="177"/>
      <c r="B163" s="177"/>
      <c r="C163" s="177"/>
      <c r="D163" s="177"/>
      <c r="E163" s="177"/>
      <c r="F163" s="177"/>
      <c r="G163" s="177"/>
      <c r="H163" s="177"/>
      <c r="I163" s="177"/>
      <c r="J163" s="177"/>
      <c r="K163" s="55"/>
    </row>
    <row r="164" spans="1:11" ht="12.75" customHeight="1" x14ac:dyDescent="0.2">
      <c r="A164" s="177" t="s">
        <v>236</v>
      </c>
      <c r="B164" s="177"/>
      <c r="C164" s="177"/>
      <c r="D164" s="177"/>
      <c r="E164" s="177"/>
      <c r="F164" s="177"/>
      <c r="G164" s="177"/>
      <c r="H164" s="177"/>
      <c r="I164" s="177"/>
      <c r="J164" s="177"/>
      <c r="K164" s="55"/>
    </row>
    <row r="165" spans="1:11" ht="12.75" customHeight="1" thickBot="1" x14ac:dyDescent="0.25">
      <c r="A165" s="178" t="s">
        <v>237</v>
      </c>
      <c r="B165" s="178"/>
      <c r="C165" s="178"/>
      <c r="D165" s="178"/>
      <c r="E165" s="178"/>
      <c r="F165" s="178"/>
      <c r="G165" s="178"/>
      <c r="H165" s="178"/>
      <c r="I165" s="178"/>
      <c r="J165" s="178"/>
      <c r="K165" s="55"/>
    </row>
    <row r="166" spans="1:11" ht="12.75" customHeight="1" thickBot="1" x14ac:dyDescent="0.25">
      <c r="A166" s="179" t="s">
        <v>5</v>
      </c>
      <c r="B166" s="179"/>
      <c r="C166" s="179"/>
      <c r="D166" s="179" t="s">
        <v>162</v>
      </c>
      <c r="E166" s="179"/>
      <c r="F166" s="179"/>
      <c r="G166" s="179" t="s">
        <v>163</v>
      </c>
      <c r="H166" s="179"/>
      <c r="I166" s="179"/>
      <c r="J166" s="58" t="s">
        <v>72</v>
      </c>
      <c r="K166" s="55"/>
    </row>
    <row r="167" spans="1:11" ht="12.75" customHeight="1" thickBot="1" x14ac:dyDescent="0.25">
      <c r="A167" s="58" t="s">
        <v>216</v>
      </c>
      <c r="B167" s="58" t="s">
        <v>11</v>
      </c>
      <c r="C167" s="58" t="s">
        <v>10</v>
      </c>
      <c r="D167" s="58" t="s">
        <v>216</v>
      </c>
      <c r="E167" s="58" t="s">
        <v>11</v>
      </c>
      <c r="F167" s="58" t="s">
        <v>10</v>
      </c>
      <c r="G167" s="58" t="s">
        <v>216</v>
      </c>
      <c r="H167" s="58" t="s">
        <v>11</v>
      </c>
      <c r="I167" s="58" t="s">
        <v>10</v>
      </c>
      <c r="J167" s="59" t="s">
        <v>124</v>
      </c>
      <c r="K167" s="55"/>
    </row>
    <row r="168" spans="1:11" ht="12.75" customHeight="1" thickBot="1" x14ac:dyDescent="0.25">
      <c r="A168" s="60">
        <f t="shared" ref="A168:C171" si="37">G168+D168</f>
        <v>868</v>
      </c>
      <c r="B168" s="60">
        <f t="shared" si="37"/>
        <v>525</v>
      </c>
      <c r="C168" s="60">
        <f t="shared" si="37"/>
        <v>343</v>
      </c>
      <c r="D168" s="60">
        <f>F168+E168</f>
        <v>0</v>
      </c>
      <c r="E168" s="60">
        <v>0</v>
      </c>
      <c r="F168" s="60">
        <v>0</v>
      </c>
      <c r="G168" s="60">
        <f>I168+H168</f>
        <v>868</v>
      </c>
      <c r="H168" s="60">
        <v>525</v>
      </c>
      <c r="I168" s="60">
        <f>247+96</f>
        <v>343</v>
      </c>
      <c r="J168" s="61" t="s">
        <v>123</v>
      </c>
      <c r="K168" s="55"/>
    </row>
    <row r="169" spans="1:11" ht="12.75" customHeight="1" thickBot="1" x14ac:dyDescent="0.25">
      <c r="A169" s="60">
        <f t="shared" si="37"/>
        <v>187</v>
      </c>
      <c r="B169" s="60">
        <f t="shared" si="37"/>
        <v>0</v>
      </c>
      <c r="C169" s="60">
        <f t="shared" si="37"/>
        <v>187</v>
      </c>
      <c r="D169" s="60">
        <f>F169+E169</f>
        <v>0</v>
      </c>
      <c r="E169" s="60">
        <v>0</v>
      </c>
      <c r="F169" s="60">
        <v>0</v>
      </c>
      <c r="G169" s="60">
        <f>I169+H169</f>
        <v>187</v>
      </c>
      <c r="H169" s="60">
        <v>0</v>
      </c>
      <c r="I169" s="60">
        <f>120+67</f>
        <v>187</v>
      </c>
      <c r="J169" s="61" t="s">
        <v>274</v>
      </c>
      <c r="K169" s="55"/>
    </row>
    <row r="170" spans="1:11" ht="12.75" customHeight="1" thickBot="1" x14ac:dyDescent="0.25">
      <c r="A170" s="60">
        <f t="shared" si="37"/>
        <v>58</v>
      </c>
      <c r="B170" s="60">
        <f t="shared" si="37"/>
        <v>58</v>
      </c>
      <c r="C170" s="60">
        <f t="shared" si="37"/>
        <v>0</v>
      </c>
      <c r="D170" s="60">
        <f>F170+E170</f>
        <v>0</v>
      </c>
      <c r="E170" s="60">
        <v>0</v>
      </c>
      <c r="F170" s="60">
        <v>0</v>
      </c>
      <c r="G170" s="60">
        <f>I170+H170</f>
        <v>58</v>
      </c>
      <c r="H170" s="60">
        <v>58</v>
      </c>
      <c r="I170" s="60">
        <v>0</v>
      </c>
      <c r="J170" s="61" t="s">
        <v>275</v>
      </c>
      <c r="K170" s="55"/>
    </row>
    <row r="171" spans="1:11" ht="12.75" customHeight="1" thickBot="1" x14ac:dyDescent="0.25">
      <c r="A171" s="60">
        <f t="shared" si="37"/>
        <v>152</v>
      </c>
      <c r="B171" s="60">
        <f t="shared" si="37"/>
        <v>152</v>
      </c>
      <c r="C171" s="60">
        <f t="shared" si="37"/>
        <v>0</v>
      </c>
      <c r="D171" s="60">
        <f>F171+E171</f>
        <v>0</v>
      </c>
      <c r="E171" s="60">
        <v>0</v>
      </c>
      <c r="F171" s="60">
        <v>0</v>
      </c>
      <c r="G171" s="60">
        <f>I171+H171</f>
        <v>152</v>
      </c>
      <c r="H171" s="60">
        <v>152</v>
      </c>
      <c r="I171" s="60">
        <v>0</v>
      </c>
      <c r="J171" s="61" t="s">
        <v>276</v>
      </c>
      <c r="K171" s="55"/>
    </row>
    <row r="172" spans="1:11" ht="12.75" customHeight="1" thickBot="1" x14ac:dyDescent="0.25">
      <c r="A172" s="60">
        <f t="shared" ref="A172:I172" si="38">SUM(A168:A171)</f>
        <v>1265</v>
      </c>
      <c r="B172" s="60">
        <f t="shared" si="38"/>
        <v>735</v>
      </c>
      <c r="C172" s="60">
        <f t="shared" si="38"/>
        <v>530</v>
      </c>
      <c r="D172" s="60">
        <f t="shared" si="38"/>
        <v>0</v>
      </c>
      <c r="E172" s="60">
        <f t="shared" si="38"/>
        <v>0</v>
      </c>
      <c r="F172" s="60">
        <f t="shared" si="38"/>
        <v>0</v>
      </c>
      <c r="G172" s="60">
        <f t="shared" si="38"/>
        <v>1265</v>
      </c>
      <c r="H172" s="60">
        <f t="shared" si="38"/>
        <v>735</v>
      </c>
      <c r="I172" s="60">
        <f t="shared" si="38"/>
        <v>530</v>
      </c>
      <c r="J172" s="59" t="s">
        <v>211</v>
      </c>
      <c r="K172" s="55"/>
    </row>
    <row r="173" spans="1:11" ht="12.75" customHeight="1" x14ac:dyDescent="0.2">
      <c r="A173" s="177"/>
      <c r="B173" s="177"/>
      <c r="C173" s="177"/>
      <c r="D173" s="177"/>
      <c r="E173" s="177"/>
      <c r="F173" s="177"/>
      <c r="G173" s="177"/>
      <c r="H173" s="177"/>
      <c r="I173" s="177"/>
      <c r="J173" s="177"/>
      <c r="K173" s="55"/>
    </row>
    <row r="174" spans="1:11" ht="12.75" customHeight="1" x14ac:dyDescent="0.2">
      <c r="A174" s="177" t="s">
        <v>236</v>
      </c>
      <c r="B174" s="177"/>
      <c r="C174" s="177"/>
      <c r="D174" s="177"/>
      <c r="E174" s="177"/>
      <c r="F174" s="177"/>
      <c r="G174" s="177"/>
      <c r="H174" s="177"/>
      <c r="I174" s="177"/>
      <c r="J174" s="177"/>
      <c r="K174" s="55"/>
    </row>
    <row r="175" spans="1:11" ht="12.75" customHeight="1" thickBot="1" x14ac:dyDescent="0.25">
      <c r="A175" s="178" t="s">
        <v>237</v>
      </c>
      <c r="B175" s="178"/>
      <c r="C175" s="178"/>
      <c r="D175" s="178"/>
      <c r="E175" s="178"/>
      <c r="F175" s="178"/>
      <c r="G175" s="178"/>
      <c r="H175" s="178"/>
      <c r="I175" s="178"/>
      <c r="J175" s="178"/>
      <c r="K175" s="55"/>
    </row>
    <row r="176" spans="1:11" ht="12.75" customHeight="1" thickBot="1" x14ac:dyDescent="0.25">
      <c r="A176" s="179" t="s">
        <v>5</v>
      </c>
      <c r="B176" s="179"/>
      <c r="C176" s="179"/>
      <c r="D176" s="179" t="s">
        <v>162</v>
      </c>
      <c r="E176" s="179"/>
      <c r="F176" s="179"/>
      <c r="G176" s="179" t="s">
        <v>163</v>
      </c>
      <c r="H176" s="179"/>
      <c r="I176" s="179"/>
      <c r="J176" s="58" t="s">
        <v>72</v>
      </c>
      <c r="K176" s="55"/>
    </row>
    <row r="177" spans="1:11" ht="12.75" customHeight="1" thickBot="1" x14ac:dyDescent="0.25">
      <c r="A177" s="58" t="s">
        <v>216</v>
      </c>
      <c r="B177" s="58" t="s">
        <v>11</v>
      </c>
      <c r="C177" s="58" t="s">
        <v>10</v>
      </c>
      <c r="D177" s="58" t="s">
        <v>216</v>
      </c>
      <c r="E177" s="58" t="s">
        <v>11</v>
      </c>
      <c r="F177" s="58" t="s">
        <v>10</v>
      </c>
      <c r="G177" s="58" t="s">
        <v>216</v>
      </c>
      <c r="H177" s="58" t="s">
        <v>11</v>
      </c>
      <c r="I177" s="58" t="s">
        <v>10</v>
      </c>
      <c r="J177" s="59" t="s">
        <v>126</v>
      </c>
      <c r="K177" s="55"/>
    </row>
    <row r="178" spans="1:11" ht="12.75" customHeight="1" thickBot="1" x14ac:dyDescent="0.25">
      <c r="A178" s="60">
        <f t="shared" ref="A178:C179" si="39">G178+D178</f>
        <v>648</v>
      </c>
      <c r="B178" s="60">
        <f t="shared" si="39"/>
        <v>0</v>
      </c>
      <c r="C178" s="60">
        <f t="shared" si="39"/>
        <v>648</v>
      </c>
      <c r="D178" s="60">
        <f>F178+E178</f>
        <v>0</v>
      </c>
      <c r="E178" s="60">
        <v>0</v>
      </c>
      <c r="F178" s="60">
        <v>0</v>
      </c>
      <c r="G178" s="60">
        <f>I178+H178</f>
        <v>648</v>
      </c>
      <c r="H178" s="60">
        <v>0</v>
      </c>
      <c r="I178" s="60">
        <v>648</v>
      </c>
      <c r="J178" s="61" t="s">
        <v>125</v>
      </c>
      <c r="K178" s="55"/>
    </row>
    <row r="179" spans="1:11" ht="12.75" customHeight="1" thickBot="1" x14ac:dyDescent="0.25">
      <c r="A179" s="60">
        <f t="shared" si="39"/>
        <v>33</v>
      </c>
      <c r="B179" s="60">
        <f t="shared" si="39"/>
        <v>33</v>
      </c>
      <c r="C179" s="60">
        <f t="shared" si="39"/>
        <v>0</v>
      </c>
      <c r="D179" s="60">
        <f>F179+E179</f>
        <v>0</v>
      </c>
      <c r="E179" s="60">
        <v>0</v>
      </c>
      <c r="F179" s="60">
        <v>0</v>
      </c>
      <c r="G179" s="60">
        <f>I179+H179</f>
        <v>33</v>
      </c>
      <c r="H179" s="60">
        <v>33</v>
      </c>
      <c r="I179" s="60">
        <v>0</v>
      </c>
      <c r="J179" s="61" t="s">
        <v>127</v>
      </c>
      <c r="K179" s="55"/>
    </row>
    <row r="180" spans="1:11" ht="12.75" customHeight="1" thickBot="1" x14ac:dyDescent="0.25">
      <c r="A180" s="60">
        <f t="shared" ref="A180:H180" si="40">SUM(A178:A179)</f>
        <v>681</v>
      </c>
      <c r="B180" s="60">
        <f t="shared" si="40"/>
        <v>33</v>
      </c>
      <c r="C180" s="60">
        <f t="shared" si="40"/>
        <v>648</v>
      </c>
      <c r="D180" s="60">
        <f t="shared" si="40"/>
        <v>0</v>
      </c>
      <c r="E180" s="60">
        <f t="shared" si="40"/>
        <v>0</v>
      </c>
      <c r="F180" s="60">
        <f t="shared" si="40"/>
        <v>0</v>
      </c>
      <c r="G180" s="60">
        <f t="shared" si="40"/>
        <v>681</v>
      </c>
      <c r="H180" s="60">
        <f t="shared" si="40"/>
        <v>33</v>
      </c>
      <c r="I180" s="60">
        <f>SUM(I178:I179)</f>
        <v>648</v>
      </c>
      <c r="J180" s="59" t="s">
        <v>211</v>
      </c>
      <c r="K180" s="55"/>
    </row>
    <row r="181" spans="1:11" ht="12.75" customHeight="1" x14ac:dyDescent="0.2">
      <c r="A181" s="177"/>
      <c r="B181" s="177"/>
      <c r="C181" s="177"/>
      <c r="D181" s="177"/>
      <c r="E181" s="177"/>
      <c r="F181" s="177"/>
      <c r="G181" s="177"/>
      <c r="H181" s="177"/>
      <c r="I181" s="177"/>
      <c r="J181" s="177"/>
      <c r="K181" s="55"/>
    </row>
    <row r="182" spans="1:11" ht="12.75" customHeight="1" x14ac:dyDescent="0.2">
      <c r="A182" s="177" t="s">
        <v>236</v>
      </c>
      <c r="B182" s="177"/>
      <c r="C182" s="177"/>
      <c r="D182" s="177"/>
      <c r="E182" s="177"/>
      <c r="F182" s="177"/>
      <c r="G182" s="177"/>
      <c r="H182" s="177"/>
      <c r="I182" s="177"/>
      <c r="J182" s="177"/>
      <c r="K182" s="55"/>
    </row>
    <row r="183" spans="1:11" ht="12.75" customHeight="1" thickBot="1" x14ac:dyDescent="0.25">
      <c r="A183" s="178" t="s">
        <v>237</v>
      </c>
      <c r="B183" s="178"/>
      <c r="C183" s="178"/>
      <c r="D183" s="178"/>
      <c r="E183" s="178"/>
      <c r="F183" s="178"/>
      <c r="G183" s="178"/>
      <c r="H183" s="178"/>
      <c r="I183" s="178"/>
      <c r="J183" s="178"/>
      <c r="K183" s="55"/>
    </row>
    <row r="184" spans="1:11" ht="12.75" customHeight="1" thickBot="1" x14ac:dyDescent="0.25">
      <c r="A184" s="179" t="s">
        <v>5</v>
      </c>
      <c r="B184" s="179"/>
      <c r="C184" s="179"/>
      <c r="D184" s="179" t="s">
        <v>162</v>
      </c>
      <c r="E184" s="179"/>
      <c r="F184" s="179"/>
      <c r="G184" s="179" t="s">
        <v>163</v>
      </c>
      <c r="H184" s="179"/>
      <c r="I184" s="179"/>
      <c r="J184" s="58" t="s">
        <v>72</v>
      </c>
      <c r="K184" s="55"/>
    </row>
    <row r="185" spans="1:11" ht="12.75" customHeight="1" thickBot="1" x14ac:dyDescent="0.25">
      <c r="A185" s="58" t="s">
        <v>216</v>
      </c>
      <c r="B185" s="58" t="s">
        <v>11</v>
      </c>
      <c r="C185" s="58" t="s">
        <v>10</v>
      </c>
      <c r="D185" s="58" t="s">
        <v>216</v>
      </c>
      <c r="E185" s="58" t="s">
        <v>11</v>
      </c>
      <c r="F185" s="58" t="s">
        <v>10</v>
      </c>
      <c r="G185" s="58" t="s">
        <v>216</v>
      </c>
      <c r="H185" s="58" t="s">
        <v>11</v>
      </c>
      <c r="I185" s="58" t="s">
        <v>10</v>
      </c>
      <c r="J185" s="59" t="s">
        <v>129</v>
      </c>
      <c r="K185" s="55"/>
    </row>
    <row r="186" spans="1:11" ht="12.75" customHeight="1" thickBot="1" x14ac:dyDescent="0.25">
      <c r="A186" s="60">
        <f t="shared" ref="A186:C187" si="41">G186+D186</f>
        <v>304</v>
      </c>
      <c r="B186" s="60">
        <f t="shared" si="41"/>
        <v>304</v>
      </c>
      <c r="C186" s="60">
        <f t="shared" si="41"/>
        <v>0</v>
      </c>
      <c r="D186" s="60">
        <f>F186+E186</f>
        <v>4</v>
      </c>
      <c r="E186" s="60">
        <v>4</v>
      </c>
      <c r="F186" s="60">
        <v>0</v>
      </c>
      <c r="G186" s="60">
        <f>I186+H186</f>
        <v>300</v>
      </c>
      <c r="H186" s="60">
        <v>300</v>
      </c>
      <c r="I186" s="60">
        <v>0</v>
      </c>
      <c r="J186" s="61" t="s">
        <v>128</v>
      </c>
      <c r="K186" s="55"/>
    </row>
    <row r="187" spans="1:11" ht="12.75" customHeight="1" thickBot="1" x14ac:dyDescent="0.25">
      <c r="A187" s="60">
        <f t="shared" si="41"/>
        <v>351</v>
      </c>
      <c r="B187" s="60">
        <f t="shared" si="41"/>
        <v>0</v>
      </c>
      <c r="C187" s="60">
        <f t="shared" si="41"/>
        <v>351</v>
      </c>
      <c r="D187" s="60">
        <f>F187+E187</f>
        <v>1</v>
      </c>
      <c r="E187" s="60">
        <v>0</v>
      </c>
      <c r="F187" s="60">
        <v>1</v>
      </c>
      <c r="G187" s="60">
        <f>I187+H187</f>
        <v>350</v>
      </c>
      <c r="H187" s="60">
        <v>0</v>
      </c>
      <c r="I187" s="60">
        <v>350</v>
      </c>
      <c r="J187" s="61" t="s">
        <v>277</v>
      </c>
      <c r="K187" s="55"/>
    </row>
    <row r="188" spans="1:11" ht="12.75" customHeight="1" thickBot="1" x14ac:dyDescent="0.25">
      <c r="A188" s="60">
        <f t="shared" ref="A188:I188" si="42">SUM(A186:A187)</f>
        <v>655</v>
      </c>
      <c r="B188" s="60">
        <f t="shared" si="42"/>
        <v>304</v>
      </c>
      <c r="C188" s="60">
        <f t="shared" si="42"/>
        <v>351</v>
      </c>
      <c r="D188" s="60">
        <f t="shared" si="42"/>
        <v>5</v>
      </c>
      <c r="E188" s="60">
        <f t="shared" si="42"/>
        <v>4</v>
      </c>
      <c r="F188" s="60">
        <f t="shared" si="42"/>
        <v>1</v>
      </c>
      <c r="G188" s="60">
        <f t="shared" si="42"/>
        <v>650</v>
      </c>
      <c r="H188" s="60">
        <f t="shared" si="42"/>
        <v>300</v>
      </c>
      <c r="I188" s="60">
        <f t="shared" si="42"/>
        <v>350</v>
      </c>
      <c r="J188" s="59" t="s">
        <v>211</v>
      </c>
      <c r="K188" s="55"/>
    </row>
    <row r="189" spans="1:11" ht="12.75" customHeight="1" x14ac:dyDescent="0.2">
      <c r="A189" s="177"/>
      <c r="B189" s="177"/>
      <c r="C189" s="177"/>
      <c r="D189" s="177"/>
      <c r="E189" s="177"/>
      <c r="F189" s="177"/>
      <c r="G189" s="177"/>
      <c r="H189" s="177"/>
      <c r="I189" s="177"/>
      <c r="J189" s="177"/>
      <c r="K189" s="55"/>
    </row>
    <row r="190" spans="1:11" ht="12.75" customHeight="1" x14ac:dyDescent="0.2">
      <c r="A190" s="177" t="s">
        <v>236</v>
      </c>
      <c r="B190" s="177"/>
      <c r="C190" s="177"/>
      <c r="D190" s="177"/>
      <c r="E190" s="177"/>
      <c r="F190" s="177"/>
      <c r="G190" s="177"/>
      <c r="H190" s="177"/>
      <c r="I190" s="177"/>
      <c r="J190" s="177"/>
      <c r="K190" s="55"/>
    </row>
    <row r="191" spans="1:11" ht="12.75" customHeight="1" thickBot="1" x14ac:dyDescent="0.25">
      <c r="A191" s="178" t="s">
        <v>237</v>
      </c>
      <c r="B191" s="178"/>
      <c r="C191" s="178"/>
      <c r="D191" s="178"/>
      <c r="E191" s="178"/>
      <c r="F191" s="178"/>
      <c r="G191" s="178"/>
      <c r="H191" s="178"/>
      <c r="I191" s="178"/>
      <c r="J191" s="178"/>
      <c r="K191" s="55"/>
    </row>
    <row r="192" spans="1:11" ht="12.75" customHeight="1" thickBot="1" x14ac:dyDescent="0.25">
      <c r="A192" s="179" t="s">
        <v>5</v>
      </c>
      <c r="B192" s="179"/>
      <c r="C192" s="179"/>
      <c r="D192" s="179" t="s">
        <v>162</v>
      </c>
      <c r="E192" s="179"/>
      <c r="F192" s="179"/>
      <c r="G192" s="179" t="s">
        <v>163</v>
      </c>
      <c r="H192" s="179"/>
      <c r="I192" s="179"/>
      <c r="J192" s="58" t="s">
        <v>72</v>
      </c>
      <c r="K192" s="55"/>
    </row>
    <row r="193" spans="1:11" ht="12.75" customHeight="1" thickBot="1" x14ac:dyDescent="0.25">
      <c r="A193" s="58" t="s">
        <v>216</v>
      </c>
      <c r="B193" s="58" t="s">
        <v>11</v>
      </c>
      <c r="C193" s="58" t="s">
        <v>10</v>
      </c>
      <c r="D193" s="58" t="s">
        <v>216</v>
      </c>
      <c r="E193" s="58" t="s">
        <v>11</v>
      </c>
      <c r="F193" s="58" t="s">
        <v>10</v>
      </c>
      <c r="G193" s="58" t="s">
        <v>216</v>
      </c>
      <c r="H193" s="58" t="s">
        <v>11</v>
      </c>
      <c r="I193" s="58" t="s">
        <v>10</v>
      </c>
      <c r="J193" s="59" t="s">
        <v>131</v>
      </c>
      <c r="K193" s="55"/>
    </row>
    <row r="194" spans="1:11" ht="12.75" customHeight="1" thickBot="1" x14ac:dyDescent="0.25">
      <c r="A194" s="60">
        <f>G194+D194</f>
        <v>819</v>
      </c>
      <c r="B194" s="60">
        <f>H194+E194</f>
        <v>819</v>
      </c>
      <c r="C194" s="60">
        <f>I194+F194</f>
        <v>0</v>
      </c>
      <c r="D194" s="60">
        <f>F194+E194</f>
        <v>0</v>
      </c>
      <c r="E194" s="60">
        <v>0</v>
      </c>
      <c r="F194" s="60">
        <v>0</v>
      </c>
      <c r="G194" s="60">
        <f>I194+H194</f>
        <v>819</v>
      </c>
      <c r="H194" s="60">
        <v>819</v>
      </c>
      <c r="I194" s="60">
        <v>0</v>
      </c>
      <c r="J194" s="61" t="s">
        <v>130</v>
      </c>
      <c r="K194" s="55"/>
    </row>
    <row r="195" spans="1:11" ht="12.75" customHeight="1" thickBot="1" x14ac:dyDescent="0.25">
      <c r="A195" s="60">
        <f t="shared" ref="A195:I195" si="43">SUM(A194)</f>
        <v>819</v>
      </c>
      <c r="B195" s="60">
        <f t="shared" si="43"/>
        <v>819</v>
      </c>
      <c r="C195" s="60">
        <f t="shared" si="43"/>
        <v>0</v>
      </c>
      <c r="D195" s="60">
        <f t="shared" si="43"/>
        <v>0</v>
      </c>
      <c r="E195" s="60">
        <f t="shared" si="43"/>
        <v>0</v>
      </c>
      <c r="F195" s="60">
        <f t="shared" si="43"/>
        <v>0</v>
      </c>
      <c r="G195" s="60">
        <f t="shared" si="43"/>
        <v>819</v>
      </c>
      <c r="H195" s="60">
        <f t="shared" si="43"/>
        <v>819</v>
      </c>
      <c r="I195" s="60">
        <f t="shared" si="43"/>
        <v>0</v>
      </c>
      <c r="J195" s="59" t="s">
        <v>211</v>
      </c>
      <c r="K195" s="55"/>
    </row>
    <row r="196" spans="1:11" ht="12.75" customHeight="1" x14ac:dyDescent="0.2">
      <c r="A196" s="177"/>
      <c r="B196" s="177"/>
      <c r="C196" s="177"/>
      <c r="D196" s="177"/>
      <c r="E196" s="177"/>
      <c r="F196" s="177"/>
      <c r="G196" s="177"/>
      <c r="H196" s="177"/>
      <c r="I196" s="177"/>
      <c r="J196" s="177"/>
      <c r="K196" s="55"/>
    </row>
    <row r="197" spans="1:11" ht="12.75" customHeight="1" x14ac:dyDescent="0.2">
      <c r="A197" s="177" t="s">
        <v>236</v>
      </c>
      <c r="B197" s="177"/>
      <c r="C197" s="177"/>
      <c r="D197" s="177"/>
      <c r="E197" s="177"/>
      <c r="F197" s="177"/>
      <c r="G197" s="177"/>
      <c r="H197" s="177"/>
      <c r="I197" s="177"/>
      <c r="J197" s="177"/>
      <c r="K197" s="55"/>
    </row>
    <row r="198" spans="1:11" ht="12.75" customHeight="1" thickBot="1" x14ac:dyDescent="0.25">
      <c r="A198" s="178" t="s">
        <v>237</v>
      </c>
      <c r="B198" s="178"/>
      <c r="C198" s="178"/>
      <c r="D198" s="178"/>
      <c r="E198" s="178"/>
      <c r="F198" s="178"/>
      <c r="G198" s="178"/>
      <c r="H198" s="178"/>
      <c r="I198" s="178"/>
      <c r="J198" s="178"/>
      <c r="K198" s="55"/>
    </row>
    <row r="199" spans="1:11" ht="12.75" customHeight="1" thickBot="1" x14ac:dyDescent="0.25">
      <c r="A199" s="179" t="s">
        <v>5</v>
      </c>
      <c r="B199" s="179"/>
      <c r="C199" s="179"/>
      <c r="D199" s="179" t="s">
        <v>162</v>
      </c>
      <c r="E199" s="179"/>
      <c r="F199" s="179"/>
      <c r="G199" s="179" t="s">
        <v>163</v>
      </c>
      <c r="H199" s="179"/>
      <c r="I199" s="179"/>
      <c r="J199" s="58" t="s">
        <v>72</v>
      </c>
      <c r="K199" s="55"/>
    </row>
    <row r="200" spans="1:11" ht="12.75" customHeight="1" thickBot="1" x14ac:dyDescent="0.25">
      <c r="A200" s="58" t="s">
        <v>216</v>
      </c>
      <c r="B200" s="58" t="s">
        <v>11</v>
      </c>
      <c r="C200" s="58" t="s">
        <v>10</v>
      </c>
      <c r="D200" s="58" t="s">
        <v>216</v>
      </c>
      <c r="E200" s="58" t="s">
        <v>11</v>
      </c>
      <c r="F200" s="58" t="s">
        <v>10</v>
      </c>
      <c r="G200" s="58" t="s">
        <v>216</v>
      </c>
      <c r="H200" s="58" t="s">
        <v>11</v>
      </c>
      <c r="I200" s="58" t="s">
        <v>10</v>
      </c>
      <c r="J200" s="59" t="s">
        <v>133</v>
      </c>
      <c r="K200" s="55"/>
    </row>
    <row r="201" spans="1:11" ht="12.75" customHeight="1" thickBot="1" x14ac:dyDescent="0.25">
      <c r="A201" s="60">
        <f>SUM(B201:C201)</f>
        <v>125</v>
      </c>
      <c r="B201" s="60">
        <f>H201+E201</f>
        <v>125</v>
      </c>
      <c r="C201" s="60">
        <f>I201+F201</f>
        <v>0</v>
      </c>
      <c r="D201" s="60">
        <f>SUM(E201:F201)</f>
        <v>0</v>
      </c>
      <c r="E201" s="60">
        <v>0</v>
      </c>
      <c r="F201" s="60">
        <v>0</v>
      </c>
      <c r="G201" s="60">
        <f>SUM(H201:I201)</f>
        <v>125</v>
      </c>
      <c r="H201" s="60">
        <v>125</v>
      </c>
      <c r="I201" s="60">
        <v>0</v>
      </c>
      <c r="J201" s="61" t="s">
        <v>132</v>
      </c>
      <c r="K201" s="55"/>
    </row>
    <row r="202" spans="1:11" ht="12.75" customHeight="1" thickBot="1" x14ac:dyDescent="0.25">
      <c r="A202" s="60">
        <f t="shared" ref="A202:A204" si="44">SUM(B202:C202)</f>
        <v>10</v>
      </c>
      <c r="B202" s="60">
        <f t="shared" ref="B202:C204" si="45">H202+E202</f>
        <v>0</v>
      </c>
      <c r="C202" s="60">
        <f t="shared" si="45"/>
        <v>10</v>
      </c>
      <c r="D202" s="60">
        <f t="shared" ref="D202:D204" si="46">SUM(E202:F202)</f>
        <v>0</v>
      </c>
      <c r="E202" s="60">
        <v>0</v>
      </c>
      <c r="F202" s="60">
        <v>0</v>
      </c>
      <c r="G202" s="60">
        <f t="shared" ref="G202:G204" si="47">SUM(H202:I202)</f>
        <v>10</v>
      </c>
      <c r="H202" s="60">
        <v>0</v>
      </c>
      <c r="I202" s="60">
        <v>10</v>
      </c>
      <c r="J202" s="61" t="s">
        <v>278</v>
      </c>
      <c r="K202" s="55"/>
    </row>
    <row r="203" spans="1:11" ht="12.75" customHeight="1" thickBot="1" x14ac:dyDescent="0.25">
      <c r="A203" s="60">
        <f t="shared" si="44"/>
        <v>178</v>
      </c>
      <c r="B203" s="60">
        <f t="shared" si="45"/>
        <v>178</v>
      </c>
      <c r="C203" s="60">
        <f t="shared" si="45"/>
        <v>0</v>
      </c>
      <c r="D203" s="60">
        <f t="shared" si="46"/>
        <v>0</v>
      </c>
      <c r="E203" s="60">
        <v>0</v>
      </c>
      <c r="F203" s="60">
        <v>0</v>
      </c>
      <c r="G203" s="60">
        <f t="shared" si="47"/>
        <v>178</v>
      </c>
      <c r="H203" s="60">
        <v>178</v>
      </c>
      <c r="I203" s="60">
        <v>0</v>
      </c>
      <c r="J203" s="61" t="s">
        <v>279</v>
      </c>
      <c r="K203" s="55"/>
    </row>
    <row r="204" spans="1:11" ht="12.75" customHeight="1" thickBot="1" x14ac:dyDescent="0.25">
      <c r="A204" s="60">
        <f t="shared" si="44"/>
        <v>86</v>
      </c>
      <c r="B204" s="60">
        <f t="shared" si="45"/>
        <v>0</v>
      </c>
      <c r="C204" s="60">
        <f t="shared" si="45"/>
        <v>86</v>
      </c>
      <c r="D204" s="60">
        <f t="shared" si="46"/>
        <v>0</v>
      </c>
      <c r="E204" s="60">
        <v>0</v>
      </c>
      <c r="F204" s="60">
        <v>0</v>
      </c>
      <c r="G204" s="60">
        <f t="shared" si="47"/>
        <v>86</v>
      </c>
      <c r="H204" s="60">
        <v>0</v>
      </c>
      <c r="I204" s="60">
        <v>86</v>
      </c>
      <c r="J204" s="61" t="s">
        <v>134</v>
      </c>
      <c r="K204" s="55"/>
    </row>
    <row r="205" spans="1:11" ht="12.75" customHeight="1" thickBot="1" x14ac:dyDescent="0.25">
      <c r="A205" s="60">
        <f t="shared" ref="A205:H205" si="48">SUM(A201:A204)</f>
        <v>399</v>
      </c>
      <c r="B205" s="60">
        <f t="shared" si="48"/>
        <v>303</v>
      </c>
      <c r="C205" s="60">
        <f t="shared" si="48"/>
        <v>96</v>
      </c>
      <c r="D205" s="60">
        <f t="shared" si="48"/>
        <v>0</v>
      </c>
      <c r="E205" s="60">
        <f t="shared" si="48"/>
        <v>0</v>
      </c>
      <c r="F205" s="60">
        <f t="shared" si="48"/>
        <v>0</v>
      </c>
      <c r="G205" s="60">
        <f t="shared" si="48"/>
        <v>399</v>
      </c>
      <c r="H205" s="60">
        <f t="shared" si="48"/>
        <v>303</v>
      </c>
      <c r="I205" s="60">
        <f>SUM(I201:I204)</f>
        <v>96</v>
      </c>
      <c r="J205" s="59" t="s">
        <v>211</v>
      </c>
      <c r="K205" s="55"/>
    </row>
    <row r="206" spans="1:11" ht="12.75" customHeight="1" x14ac:dyDescent="0.2">
      <c r="A206" s="177"/>
      <c r="B206" s="177"/>
      <c r="C206" s="177"/>
      <c r="D206" s="177"/>
      <c r="E206" s="177"/>
      <c r="F206" s="177"/>
      <c r="G206" s="177"/>
      <c r="H206" s="177"/>
      <c r="I206" s="177"/>
      <c r="J206" s="177"/>
      <c r="K206" s="55"/>
    </row>
    <row r="207" spans="1:11" ht="12.75" customHeight="1" x14ac:dyDescent="0.2">
      <c r="A207" s="177" t="s">
        <v>236</v>
      </c>
      <c r="B207" s="177"/>
      <c r="C207" s="177"/>
      <c r="D207" s="177"/>
      <c r="E207" s="177"/>
      <c r="F207" s="177"/>
      <c r="G207" s="177"/>
      <c r="H207" s="177"/>
      <c r="I207" s="177"/>
      <c r="J207" s="177"/>
      <c r="K207" s="55"/>
    </row>
    <row r="208" spans="1:11" ht="12.75" customHeight="1" thickBot="1" x14ac:dyDescent="0.25">
      <c r="A208" s="178" t="s">
        <v>237</v>
      </c>
      <c r="B208" s="178"/>
      <c r="C208" s="178"/>
      <c r="D208" s="178"/>
      <c r="E208" s="178"/>
      <c r="F208" s="178"/>
      <c r="G208" s="178"/>
      <c r="H208" s="178"/>
      <c r="I208" s="178"/>
      <c r="J208" s="178"/>
      <c r="K208" s="55"/>
    </row>
    <row r="209" spans="1:11" ht="12.75" customHeight="1" thickBot="1" x14ac:dyDescent="0.25">
      <c r="A209" s="179" t="s">
        <v>5</v>
      </c>
      <c r="B209" s="179"/>
      <c r="C209" s="179"/>
      <c r="D209" s="179" t="s">
        <v>162</v>
      </c>
      <c r="E209" s="179"/>
      <c r="F209" s="179"/>
      <c r="G209" s="179" t="s">
        <v>163</v>
      </c>
      <c r="H209" s="179"/>
      <c r="I209" s="179"/>
      <c r="J209" s="58" t="s">
        <v>72</v>
      </c>
      <c r="K209" s="55"/>
    </row>
    <row r="210" spans="1:11" ht="12.75" customHeight="1" thickBot="1" x14ac:dyDescent="0.25">
      <c r="A210" s="58" t="s">
        <v>216</v>
      </c>
      <c r="B210" s="58" t="s">
        <v>11</v>
      </c>
      <c r="C210" s="58" t="s">
        <v>10</v>
      </c>
      <c r="D210" s="58" t="s">
        <v>216</v>
      </c>
      <c r="E210" s="58" t="s">
        <v>11</v>
      </c>
      <c r="F210" s="58" t="s">
        <v>10</v>
      </c>
      <c r="G210" s="58" t="s">
        <v>216</v>
      </c>
      <c r="H210" s="58" t="s">
        <v>11</v>
      </c>
      <c r="I210" s="58" t="s">
        <v>10</v>
      </c>
      <c r="J210" s="59" t="s">
        <v>168</v>
      </c>
      <c r="K210" s="55"/>
    </row>
    <row r="211" spans="1:11" ht="12.75" customHeight="1" thickBot="1" x14ac:dyDescent="0.25">
      <c r="A211" s="60">
        <f t="shared" ref="A211:C254" si="49">G211+D211</f>
        <v>2347</v>
      </c>
      <c r="B211" s="60">
        <f t="shared" si="49"/>
        <v>0</v>
      </c>
      <c r="C211" s="60">
        <f t="shared" si="49"/>
        <v>2347</v>
      </c>
      <c r="D211" s="60">
        <f t="shared" ref="D211:D254" si="50">F211+E211</f>
        <v>0</v>
      </c>
      <c r="E211" s="60">
        <v>0</v>
      </c>
      <c r="F211" s="60">
        <v>0</v>
      </c>
      <c r="G211" s="60">
        <f t="shared" ref="G211:G254" si="51">I211+H211</f>
        <v>2347</v>
      </c>
      <c r="H211" s="60">
        <v>0</v>
      </c>
      <c r="I211" s="60">
        <v>2347</v>
      </c>
      <c r="J211" s="61" t="s">
        <v>280</v>
      </c>
      <c r="K211" s="55"/>
    </row>
    <row r="212" spans="1:11" ht="12.75" customHeight="1" thickBot="1" x14ac:dyDescent="0.25">
      <c r="A212" s="60">
        <f t="shared" si="49"/>
        <v>1096</v>
      </c>
      <c r="B212" s="60">
        <f t="shared" si="49"/>
        <v>0</v>
      </c>
      <c r="C212" s="60">
        <f t="shared" si="49"/>
        <v>1096</v>
      </c>
      <c r="D212" s="60">
        <f t="shared" si="50"/>
        <v>0</v>
      </c>
      <c r="E212" s="60">
        <v>0</v>
      </c>
      <c r="F212" s="60">
        <v>0</v>
      </c>
      <c r="G212" s="60">
        <f t="shared" si="51"/>
        <v>1096</v>
      </c>
      <c r="H212" s="60">
        <v>0</v>
      </c>
      <c r="I212" s="60">
        <v>1096</v>
      </c>
      <c r="J212" s="61" t="s">
        <v>281</v>
      </c>
      <c r="K212" s="55"/>
    </row>
    <row r="213" spans="1:11" ht="12.75" customHeight="1" thickBot="1" x14ac:dyDescent="0.25">
      <c r="A213" s="60">
        <f t="shared" si="49"/>
        <v>914</v>
      </c>
      <c r="B213" s="60">
        <f t="shared" si="49"/>
        <v>0</v>
      </c>
      <c r="C213" s="60">
        <f t="shared" si="49"/>
        <v>914</v>
      </c>
      <c r="D213" s="60">
        <f t="shared" si="50"/>
        <v>0</v>
      </c>
      <c r="E213" s="60">
        <v>0</v>
      </c>
      <c r="F213" s="60">
        <v>0</v>
      </c>
      <c r="G213" s="60">
        <f t="shared" si="51"/>
        <v>914</v>
      </c>
      <c r="H213" s="60">
        <v>0</v>
      </c>
      <c r="I213" s="60">
        <v>914</v>
      </c>
      <c r="J213" s="61" t="s">
        <v>282</v>
      </c>
      <c r="K213" s="55"/>
    </row>
    <row r="214" spans="1:11" ht="12.75" customHeight="1" thickBot="1" x14ac:dyDescent="0.25">
      <c r="A214" s="60">
        <f t="shared" si="49"/>
        <v>667</v>
      </c>
      <c r="B214" s="60">
        <f t="shared" si="49"/>
        <v>0</v>
      </c>
      <c r="C214" s="60">
        <f t="shared" si="49"/>
        <v>667</v>
      </c>
      <c r="D214" s="60">
        <f t="shared" si="50"/>
        <v>0</v>
      </c>
      <c r="E214" s="60">
        <v>0</v>
      </c>
      <c r="F214" s="60">
        <v>0</v>
      </c>
      <c r="G214" s="60">
        <f t="shared" si="51"/>
        <v>667</v>
      </c>
      <c r="H214" s="60">
        <v>0</v>
      </c>
      <c r="I214" s="60">
        <v>667</v>
      </c>
      <c r="J214" s="61" t="s">
        <v>283</v>
      </c>
      <c r="K214" s="55"/>
    </row>
    <row r="215" spans="1:11" ht="12.75" customHeight="1" thickBot="1" x14ac:dyDescent="0.25">
      <c r="A215" s="60">
        <f t="shared" si="49"/>
        <v>767</v>
      </c>
      <c r="B215" s="60">
        <f t="shared" si="49"/>
        <v>0</v>
      </c>
      <c r="C215" s="60">
        <f t="shared" si="49"/>
        <v>767</v>
      </c>
      <c r="D215" s="60">
        <f t="shared" si="50"/>
        <v>0</v>
      </c>
      <c r="E215" s="60">
        <v>0</v>
      </c>
      <c r="F215" s="60">
        <v>0</v>
      </c>
      <c r="G215" s="60">
        <f t="shared" si="51"/>
        <v>767</v>
      </c>
      <c r="H215" s="60">
        <v>0</v>
      </c>
      <c r="I215" s="60">
        <v>767</v>
      </c>
      <c r="J215" s="61" t="s">
        <v>284</v>
      </c>
      <c r="K215" s="55"/>
    </row>
    <row r="216" spans="1:11" ht="12.75" customHeight="1" thickBot="1" x14ac:dyDescent="0.25">
      <c r="A216" s="60">
        <f t="shared" si="49"/>
        <v>1049</v>
      </c>
      <c r="B216" s="60">
        <f t="shared" si="49"/>
        <v>0</v>
      </c>
      <c r="C216" s="60">
        <f t="shared" si="49"/>
        <v>1049</v>
      </c>
      <c r="D216" s="60">
        <f t="shared" si="50"/>
        <v>0</v>
      </c>
      <c r="E216" s="60">
        <v>0</v>
      </c>
      <c r="F216" s="60">
        <v>0</v>
      </c>
      <c r="G216" s="60">
        <f t="shared" si="51"/>
        <v>1049</v>
      </c>
      <c r="H216" s="60">
        <v>0</v>
      </c>
      <c r="I216" s="60">
        <v>1049</v>
      </c>
      <c r="J216" s="61" t="s">
        <v>285</v>
      </c>
      <c r="K216" s="55"/>
    </row>
    <row r="217" spans="1:11" ht="12.75" customHeight="1" thickBot="1" x14ac:dyDescent="0.25">
      <c r="A217" s="60">
        <f t="shared" si="49"/>
        <v>915</v>
      </c>
      <c r="B217" s="60">
        <f t="shared" si="49"/>
        <v>0</v>
      </c>
      <c r="C217" s="60">
        <f t="shared" si="49"/>
        <v>915</v>
      </c>
      <c r="D217" s="60">
        <f t="shared" si="50"/>
        <v>0</v>
      </c>
      <c r="E217" s="60">
        <v>0</v>
      </c>
      <c r="F217" s="60">
        <v>0</v>
      </c>
      <c r="G217" s="60">
        <f t="shared" si="51"/>
        <v>915</v>
      </c>
      <c r="H217" s="60">
        <v>0</v>
      </c>
      <c r="I217" s="60">
        <v>915</v>
      </c>
      <c r="J217" s="61" t="s">
        <v>286</v>
      </c>
      <c r="K217" s="55"/>
    </row>
    <row r="218" spans="1:11" ht="12.75" customHeight="1" thickBot="1" x14ac:dyDescent="0.25">
      <c r="A218" s="60">
        <f t="shared" si="49"/>
        <v>959</v>
      </c>
      <c r="B218" s="60">
        <f t="shared" si="49"/>
        <v>0</v>
      </c>
      <c r="C218" s="60">
        <f t="shared" si="49"/>
        <v>959</v>
      </c>
      <c r="D218" s="60">
        <f t="shared" si="50"/>
        <v>0</v>
      </c>
      <c r="E218" s="60">
        <v>0</v>
      </c>
      <c r="F218" s="60">
        <v>0</v>
      </c>
      <c r="G218" s="60">
        <f t="shared" si="51"/>
        <v>959</v>
      </c>
      <c r="H218" s="60">
        <v>0</v>
      </c>
      <c r="I218" s="60">
        <v>959</v>
      </c>
      <c r="J218" s="61" t="s">
        <v>287</v>
      </c>
      <c r="K218" s="55"/>
    </row>
    <row r="219" spans="1:11" ht="12.75" customHeight="1" thickBot="1" x14ac:dyDescent="0.25">
      <c r="A219" s="60">
        <f t="shared" si="49"/>
        <v>887</v>
      </c>
      <c r="B219" s="60">
        <f t="shared" si="49"/>
        <v>0</v>
      </c>
      <c r="C219" s="60">
        <f t="shared" si="49"/>
        <v>887</v>
      </c>
      <c r="D219" s="60">
        <f t="shared" si="50"/>
        <v>0</v>
      </c>
      <c r="E219" s="60">
        <v>0</v>
      </c>
      <c r="F219" s="60">
        <v>0</v>
      </c>
      <c r="G219" s="60">
        <f t="shared" si="51"/>
        <v>887</v>
      </c>
      <c r="H219" s="60">
        <v>0</v>
      </c>
      <c r="I219" s="60">
        <v>887</v>
      </c>
      <c r="J219" s="61" t="s">
        <v>288</v>
      </c>
      <c r="K219" s="55"/>
    </row>
    <row r="220" spans="1:11" ht="12.75" customHeight="1" thickBot="1" x14ac:dyDescent="0.25">
      <c r="A220" s="60">
        <f t="shared" si="49"/>
        <v>995</v>
      </c>
      <c r="B220" s="60">
        <f t="shared" si="49"/>
        <v>0</v>
      </c>
      <c r="C220" s="60">
        <f t="shared" si="49"/>
        <v>995</v>
      </c>
      <c r="D220" s="60">
        <f t="shared" si="50"/>
        <v>0</v>
      </c>
      <c r="E220" s="60">
        <v>0</v>
      </c>
      <c r="F220" s="60">
        <v>0</v>
      </c>
      <c r="G220" s="60">
        <f t="shared" si="51"/>
        <v>995</v>
      </c>
      <c r="H220" s="60">
        <v>0</v>
      </c>
      <c r="I220" s="60">
        <v>995</v>
      </c>
      <c r="J220" s="61" t="s">
        <v>289</v>
      </c>
      <c r="K220" s="55"/>
    </row>
    <row r="221" spans="1:11" ht="12.75" customHeight="1" thickBot="1" x14ac:dyDescent="0.25">
      <c r="A221" s="60">
        <f t="shared" si="49"/>
        <v>946</v>
      </c>
      <c r="B221" s="60">
        <f t="shared" si="49"/>
        <v>0</v>
      </c>
      <c r="C221" s="60">
        <f t="shared" si="49"/>
        <v>946</v>
      </c>
      <c r="D221" s="60">
        <f t="shared" si="50"/>
        <v>0</v>
      </c>
      <c r="E221" s="60">
        <v>0</v>
      </c>
      <c r="F221" s="60">
        <v>0</v>
      </c>
      <c r="G221" s="60">
        <f t="shared" si="51"/>
        <v>946</v>
      </c>
      <c r="H221" s="60">
        <v>0</v>
      </c>
      <c r="I221" s="60">
        <v>946</v>
      </c>
      <c r="J221" s="61" t="s">
        <v>290</v>
      </c>
      <c r="K221" s="55"/>
    </row>
    <row r="222" spans="1:11" ht="12.75" customHeight="1" thickBot="1" x14ac:dyDescent="0.25">
      <c r="A222" s="60">
        <f t="shared" si="49"/>
        <v>538</v>
      </c>
      <c r="B222" s="60">
        <f t="shared" si="49"/>
        <v>0</v>
      </c>
      <c r="C222" s="60">
        <f t="shared" si="49"/>
        <v>538</v>
      </c>
      <c r="D222" s="60">
        <f t="shared" si="50"/>
        <v>0</v>
      </c>
      <c r="E222" s="60">
        <v>0</v>
      </c>
      <c r="F222" s="60">
        <v>0</v>
      </c>
      <c r="G222" s="60">
        <f t="shared" si="51"/>
        <v>538</v>
      </c>
      <c r="H222" s="60">
        <v>0</v>
      </c>
      <c r="I222" s="60">
        <v>538</v>
      </c>
      <c r="J222" s="61" t="s">
        <v>291</v>
      </c>
      <c r="K222" s="55"/>
    </row>
    <row r="223" spans="1:11" ht="12.75" customHeight="1" thickBot="1" x14ac:dyDescent="0.25">
      <c r="A223" s="60">
        <f t="shared" si="49"/>
        <v>607</v>
      </c>
      <c r="B223" s="60">
        <f t="shared" si="49"/>
        <v>0</v>
      </c>
      <c r="C223" s="60">
        <f t="shared" si="49"/>
        <v>607</v>
      </c>
      <c r="D223" s="60">
        <f t="shared" si="50"/>
        <v>0</v>
      </c>
      <c r="E223" s="60">
        <v>0</v>
      </c>
      <c r="F223" s="60">
        <v>0</v>
      </c>
      <c r="G223" s="60">
        <f t="shared" si="51"/>
        <v>607</v>
      </c>
      <c r="H223" s="60">
        <v>0</v>
      </c>
      <c r="I223" s="60">
        <v>607</v>
      </c>
      <c r="J223" s="61" t="s">
        <v>292</v>
      </c>
      <c r="K223" s="55"/>
    </row>
    <row r="224" spans="1:11" ht="12.75" customHeight="1" thickBot="1" x14ac:dyDescent="0.25">
      <c r="A224" s="60">
        <f t="shared" si="49"/>
        <v>925</v>
      </c>
      <c r="B224" s="60">
        <f t="shared" si="49"/>
        <v>0</v>
      </c>
      <c r="C224" s="60">
        <f t="shared" si="49"/>
        <v>925</v>
      </c>
      <c r="D224" s="60">
        <f t="shared" si="50"/>
        <v>0</v>
      </c>
      <c r="E224" s="60">
        <v>0</v>
      </c>
      <c r="F224" s="60">
        <v>0</v>
      </c>
      <c r="G224" s="60">
        <f t="shared" si="51"/>
        <v>925</v>
      </c>
      <c r="H224" s="60">
        <v>0</v>
      </c>
      <c r="I224" s="60">
        <v>925</v>
      </c>
      <c r="J224" s="61" t="s">
        <v>293</v>
      </c>
      <c r="K224" s="55"/>
    </row>
    <row r="225" spans="1:11" ht="12.75" customHeight="1" thickBot="1" x14ac:dyDescent="0.25">
      <c r="A225" s="60">
        <f t="shared" si="49"/>
        <v>932</v>
      </c>
      <c r="B225" s="60">
        <f t="shared" si="49"/>
        <v>0</v>
      </c>
      <c r="C225" s="60">
        <f t="shared" si="49"/>
        <v>932</v>
      </c>
      <c r="D225" s="60">
        <f t="shared" si="50"/>
        <v>0</v>
      </c>
      <c r="E225" s="60">
        <v>0</v>
      </c>
      <c r="F225" s="60">
        <v>0</v>
      </c>
      <c r="G225" s="60">
        <f t="shared" si="51"/>
        <v>932</v>
      </c>
      <c r="H225" s="60">
        <v>0</v>
      </c>
      <c r="I225" s="60">
        <v>932</v>
      </c>
      <c r="J225" s="61" t="s">
        <v>294</v>
      </c>
      <c r="K225" s="55"/>
    </row>
    <row r="226" spans="1:11" ht="12.75" customHeight="1" thickBot="1" x14ac:dyDescent="0.25">
      <c r="A226" s="60">
        <f t="shared" si="49"/>
        <v>906</v>
      </c>
      <c r="B226" s="60">
        <f t="shared" si="49"/>
        <v>0</v>
      </c>
      <c r="C226" s="60">
        <f t="shared" si="49"/>
        <v>906</v>
      </c>
      <c r="D226" s="60">
        <f t="shared" si="50"/>
        <v>0</v>
      </c>
      <c r="E226" s="60">
        <v>0</v>
      </c>
      <c r="F226" s="60">
        <v>0</v>
      </c>
      <c r="G226" s="60">
        <f t="shared" si="51"/>
        <v>906</v>
      </c>
      <c r="H226" s="60">
        <v>0</v>
      </c>
      <c r="I226" s="60">
        <v>906</v>
      </c>
      <c r="J226" s="61" t="s">
        <v>295</v>
      </c>
      <c r="K226" s="55"/>
    </row>
    <row r="227" spans="1:11" ht="12.75" customHeight="1" thickBot="1" x14ac:dyDescent="0.25">
      <c r="A227" s="60">
        <f t="shared" si="49"/>
        <v>145</v>
      </c>
      <c r="B227" s="60">
        <f t="shared" si="49"/>
        <v>0</v>
      </c>
      <c r="C227" s="60">
        <f t="shared" si="49"/>
        <v>145</v>
      </c>
      <c r="D227" s="60">
        <f t="shared" si="50"/>
        <v>0</v>
      </c>
      <c r="E227" s="60">
        <v>0</v>
      </c>
      <c r="F227" s="60">
        <v>0</v>
      </c>
      <c r="G227" s="60">
        <f t="shared" si="51"/>
        <v>145</v>
      </c>
      <c r="H227" s="60">
        <v>0</v>
      </c>
      <c r="I227" s="60">
        <v>145</v>
      </c>
      <c r="J227" s="61" t="s">
        <v>296</v>
      </c>
      <c r="K227" s="55"/>
    </row>
    <row r="228" spans="1:11" ht="12.75" customHeight="1" thickBot="1" x14ac:dyDescent="0.25">
      <c r="A228" s="60">
        <f t="shared" si="49"/>
        <v>657</v>
      </c>
      <c r="B228" s="60">
        <f t="shared" si="49"/>
        <v>0</v>
      </c>
      <c r="C228" s="60">
        <f t="shared" si="49"/>
        <v>657</v>
      </c>
      <c r="D228" s="60">
        <f t="shared" si="50"/>
        <v>0</v>
      </c>
      <c r="E228" s="60">
        <v>0</v>
      </c>
      <c r="F228" s="60">
        <v>0</v>
      </c>
      <c r="G228" s="60">
        <f t="shared" si="51"/>
        <v>657</v>
      </c>
      <c r="H228" s="60">
        <v>0</v>
      </c>
      <c r="I228" s="60">
        <v>657</v>
      </c>
      <c r="J228" s="61" t="s">
        <v>297</v>
      </c>
      <c r="K228" s="55"/>
    </row>
    <row r="229" spans="1:11" ht="12.75" customHeight="1" thickBot="1" x14ac:dyDescent="0.25">
      <c r="A229" s="60">
        <f t="shared" si="49"/>
        <v>766</v>
      </c>
      <c r="B229" s="60">
        <f t="shared" si="49"/>
        <v>0</v>
      </c>
      <c r="C229" s="60">
        <f t="shared" si="49"/>
        <v>766</v>
      </c>
      <c r="D229" s="60">
        <f t="shared" si="50"/>
        <v>0</v>
      </c>
      <c r="E229" s="60">
        <v>0</v>
      </c>
      <c r="F229" s="60">
        <v>0</v>
      </c>
      <c r="G229" s="60">
        <f t="shared" si="51"/>
        <v>766</v>
      </c>
      <c r="H229" s="60">
        <v>0</v>
      </c>
      <c r="I229" s="60">
        <v>766</v>
      </c>
      <c r="J229" s="61" t="s">
        <v>298</v>
      </c>
      <c r="K229" s="55"/>
    </row>
    <row r="230" spans="1:11" ht="12.75" customHeight="1" thickBot="1" x14ac:dyDescent="0.25">
      <c r="A230" s="60">
        <f t="shared" si="49"/>
        <v>1050</v>
      </c>
      <c r="B230" s="60">
        <f t="shared" si="49"/>
        <v>0</v>
      </c>
      <c r="C230" s="60">
        <f t="shared" si="49"/>
        <v>1050</v>
      </c>
      <c r="D230" s="60">
        <f t="shared" si="50"/>
        <v>0</v>
      </c>
      <c r="E230" s="60">
        <v>0</v>
      </c>
      <c r="F230" s="60">
        <v>0</v>
      </c>
      <c r="G230" s="60">
        <f t="shared" si="51"/>
        <v>1050</v>
      </c>
      <c r="H230" s="60">
        <v>0</v>
      </c>
      <c r="I230" s="60">
        <v>1050</v>
      </c>
      <c r="J230" s="61" t="s">
        <v>299</v>
      </c>
      <c r="K230" s="55"/>
    </row>
    <row r="231" spans="1:11" ht="12.75" customHeight="1" thickBot="1" x14ac:dyDescent="0.25">
      <c r="A231" s="60">
        <f t="shared" si="49"/>
        <v>231</v>
      </c>
      <c r="B231" s="60">
        <f t="shared" si="49"/>
        <v>0</v>
      </c>
      <c r="C231" s="60">
        <f t="shared" si="49"/>
        <v>231</v>
      </c>
      <c r="D231" s="60">
        <f t="shared" si="50"/>
        <v>0</v>
      </c>
      <c r="E231" s="60">
        <v>0</v>
      </c>
      <c r="F231" s="60">
        <v>0</v>
      </c>
      <c r="G231" s="60">
        <f t="shared" si="51"/>
        <v>231</v>
      </c>
      <c r="H231" s="60">
        <v>0</v>
      </c>
      <c r="I231" s="60">
        <v>231</v>
      </c>
      <c r="J231" s="61" t="s">
        <v>300</v>
      </c>
      <c r="K231" s="55"/>
    </row>
    <row r="232" spans="1:11" ht="12.75" customHeight="1" thickBot="1" x14ac:dyDescent="0.25">
      <c r="A232" s="60">
        <f t="shared" si="49"/>
        <v>1060</v>
      </c>
      <c r="B232" s="60">
        <f t="shared" si="49"/>
        <v>0</v>
      </c>
      <c r="C232" s="60">
        <f t="shared" si="49"/>
        <v>1060</v>
      </c>
      <c r="D232" s="60">
        <f t="shared" si="50"/>
        <v>0</v>
      </c>
      <c r="E232" s="60">
        <v>0</v>
      </c>
      <c r="F232" s="60">
        <v>0</v>
      </c>
      <c r="G232" s="60">
        <f t="shared" si="51"/>
        <v>1060</v>
      </c>
      <c r="H232" s="60">
        <v>0</v>
      </c>
      <c r="I232" s="60">
        <v>1060</v>
      </c>
      <c r="J232" s="61" t="s">
        <v>301</v>
      </c>
      <c r="K232" s="55"/>
    </row>
    <row r="233" spans="1:11" ht="12.75" customHeight="1" thickBot="1" x14ac:dyDescent="0.25">
      <c r="A233" s="60">
        <f t="shared" si="49"/>
        <v>486</v>
      </c>
      <c r="B233" s="60">
        <f t="shared" si="49"/>
        <v>0</v>
      </c>
      <c r="C233" s="60">
        <f t="shared" si="49"/>
        <v>486</v>
      </c>
      <c r="D233" s="60">
        <f t="shared" si="50"/>
        <v>0</v>
      </c>
      <c r="E233" s="60">
        <v>0</v>
      </c>
      <c r="F233" s="60">
        <v>0</v>
      </c>
      <c r="G233" s="60">
        <f t="shared" si="51"/>
        <v>486</v>
      </c>
      <c r="H233" s="60">
        <v>0</v>
      </c>
      <c r="I233" s="60">
        <v>486</v>
      </c>
      <c r="J233" s="61" t="s">
        <v>302</v>
      </c>
      <c r="K233" s="55"/>
    </row>
    <row r="234" spans="1:11" ht="12.75" customHeight="1" thickBot="1" x14ac:dyDescent="0.25">
      <c r="A234" s="60">
        <f t="shared" si="49"/>
        <v>434</v>
      </c>
      <c r="B234" s="60">
        <f t="shared" si="49"/>
        <v>0</v>
      </c>
      <c r="C234" s="60">
        <f t="shared" si="49"/>
        <v>434</v>
      </c>
      <c r="D234" s="60">
        <f t="shared" si="50"/>
        <v>0</v>
      </c>
      <c r="E234" s="60">
        <v>0</v>
      </c>
      <c r="F234" s="60">
        <v>0</v>
      </c>
      <c r="G234" s="60">
        <f t="shared" si="51"/>
        <v>434</v>
      </c>
      <c r="H234" s="60">
        <v>0</v>
      </c>
      <c r="I234" s="60">
        <v>434</v>
      </c>
      <c r="J234" s="61" t="s">
        <v>303</v>
      </c>
      <c r="K234" s="55"/>
    </row>
    <row r="235" spans="1:11" ht="12.75" customHeight="1" thickBot="1" x14ac:dyDescent="0.25">
      <c r="A235" s="60">
        <f t="shared" si="49"/>
        <v>410</v>
      </c>
      <c r="B235" s="60">
        <f t="shared" si="49"/>
        <v>0</v>
      </c>
      <c r="C235" s="60">
        <f t="shared" si="49"/>
        <v>410</v>
      </c>
      <c r="D235" s="60">
        <f t="shared" si="50"/>
        <v>0</v>
      </c>
      <c r="E235" s="60">
        <v>0</v>
      </c>
      <c r="F235" s="60">
        <v>0</v>
      </c>
      <c r="G235" s="60">
        <f t="shared" si="51"/>
        <v>410</v>
      </c>
      <c r="H235" s="60">
        <v>0</v>
      </c>
      <c r="I235" s="60">
        <v>410</v>
      </c>
      <c r="J235" s="61" t="s">
        <v>304</v>
      </c>
      <c r="K235" s="55"/>
    </row>
    <row r="236" spans="1:11" ht="12.75" customHeight="1" thickBot="1" x14ac:dyDescent="0.25">
      <c r="A236" s="60">
        <f t="shared" si="49"/>
        <v>324</v>
      </c>
      <c r="B236" s="60">
        <f t="shared" si="49"/>
        <v>0</v>
      </c>
      <c r="C236" s="60">
        <f t="shared" si="49"/>
        <v>324</v>
      </c>
      <c r="D236" s="60">
        <f t="shared" si="50"/>
        <v>0</v>
      </c>
      <c r="E236" s="60">
        <v>0</v>
      </c>
      <c r="F236" s="60">
        <v>0</v>
      </c>
      <c r="G236" s="60">
        <f t="shared" si="51"/>
        <v>324</v>
      </c>
      <c r="H236" s="60">
        <v>0</v>
      </c>
      <c r="I236" s="60">
        <v>324</v>
      </c>
      <c r="J236" s="61" t="s">
        <v>305</v>
      </c>
      <c r="K236" s="55"/>
    </row>
    <row r="237" spans="1:11" ht="12.75" customHeight="1" thickBot="1" x14ac:dyDescent="0.25">
      <c r="A237" s="60">
        <f t="shared" si="49"/>
        <v>389</v>
      </c>
      <c r="B237" s="60">
        <f t="shared" si="49"/>
        <v>0</v>
      </c>
      <c r="C237" s="60">
        <f t="shared" si="49"/>
        <v>389</v>
      </c>
      <c r="D237" s="60">
        <f t="shared" si="50"/>
        <v>0</v>
      </c>
      <c r="E237" s="60">
        <v>0</v>
      </c>
      <c r="F237" s="60">
        <v>0</v>
      </c>
      <c r="G237" s="60">
        <f t="shared" si="51"/>
        <v>389</v>
      </c>
      <c r="H237" s="60">
        <v>0</v>
      </c>
      <c r="I237" s="60">
        <v>389</v>
      </c>
      <c r="J237" s="61" t="s">
        <v>306</v>
      </c>
      <c r="K237" s="55"/>
    </row>
    <row r="238" spans="1:11" ht="12.75" customHeight="1" thickBot="1" x14ac:dyDescent="0.25">
      <c r="A238" s="60">
        <f t="shared" si="49"/>
        <v>645</v>
      </c>
      <c r="B238" s="60">
        <f t="shared" si="49"/>
        <v>0</v>
      </c>
      <c r="C238" s="60">
        <f t="shared" si="49"/>
        <v>645</v>
      </c>
      <c r="D238" s="60">
        <f t="shared" si="50"/>
        <v>0</v>
      </c>
      <c r="E238" s="60">
        <v>0</v>
      </c>
      <c r="F238" s="60">
        <v>0</v>
      </c>
      <c r="G238" s="60">
        <f t="shared" si="51"/>
        <v>645</v>
      </c>
      <c r="H238" s="60">
        <v>0</v>
      </c>
      <c r="I238" s="60">
        <v>645</v>
      </c>
      <c r="J238" s="61" t="s">
        <v>307</v>
      </c>
      <c r="K238" s="55"/>
    </row>
    <row r="239" spans="1:11" ht="12.75" customHeight="1" thickBot="1" x14ac:dyDescent="0.25">
      <c r="A239" s="60">
        <f t="shared" si="49"/>
        <v>541</v>
      </c>
      <c r="B239" s="60">
        <f t="shared" si="49"/>
        <v>0</v>
      </c>
      <c r="C239" s="60">
        <f t="shared" si="49"/>
        <v>541</v>
      </c>
      <c r="D239" s="60">
        <f t="shared" si="50"/>
        <v>0</v>
      </c>
      <c r="E239" s="60">
        <v>0</v>
      </c>
      <c r="F239" s="60">
        <v>0</v>
      </c>
      <c r="G239" s="60">
        <f t="shared" si="51"/>
        <v>541</v>
      </c>
      <c r="H239" s="60">
        <v>0</v>
      </c>
      <c r="I239" s="60">
        <v>541</v>
      </c>
      <c r="J239" s="61" t="s">
        <v>308</v>
      </c>
      <c r="K239" s="55"/>
    </row>
    <row r="240" spans="1:11" ht="12.75" customHeight="1" thickBot="1" x14ac:dyDescent="0.25">
      <c r="A240" s="60">
        <f t="shared" si="49"/>
        <v>574</v>
      </c>
      <c r="B240" s="60">
        <f t="shared" si="49"/>
        <v>0</v>
      </c>
      <c r="C240" s="60">
        <f t="shared" si="49"/>
        <v>574</v>
      </c>
      <c r="D240" s="60">
        <f t="shared" si="50"/>
        <v>0</v>
      </c>
      <c r="E240" s="60">
        <v>0</v>
      </c>
      <c r="F240" s="60">
        <v>0</v>
      </c>
      <c r="G240" s="60">
        <f t="shared" si="51"/>
        <v>574</v>
      </c>
      <c r="H240" s="60">
        <v>0</v>
      </c>
      <c r="I240" s="60">
        <v>574</v>
      </c>
      <c r="J240" s="61" t="s">
        <v>309</v>
      </c>
      <c r="K240" s="55"/>
    </row>
    <row r="241" spans="1:11" ht="12.75" customHeight="1" thickBot="1" x14ac:dyDescent="0.25">
      <c r="A241" s="60">
        <f t="shared" si="49"/>
        <v>556</v>
      </c>
      <c r="B241" s="60">
        <f t="shared" si="49"/>
        <v>0</v>
      </c>
      <c r="C241" s="60">
        <f t="shared" si="49"/>
        <v>556</v>
      </c>
      <c r="D241" s="60">
        <f t="shared" si="50"/>
        <v>0</v>
      </c>
      <c r="E241" s="60">
        <v>0</v>
      </c>
      <c r="F241" s="60">
        <v>0</v>
      </c>
      <c r="G241" s="60">
        <f t="shared" si="51"/>
        <v>556</v>
      </c>
      <c r="H241" s="60">
        <v>0</v>
      </c>
      <c r="I241" s="60">
        <v>556</v>
      </c>
      <c r="J241" s="61" t="s">
        <v>310</v>
      </c>
      <c r="K241" s="55"/>
    </row>
    <row r="242" spans="1:11" ht="12.75" customHeight="1" thickBot="1" x14ac:dyDescent="0.25">
      <c r="A242" s="60">
        <f t="shared" si="49"/>
        <v>347</v>
      </c>
      <c r="B242" s="60">
        <f t="shared" si="49"/>
        <v>0</v>
      </c>
      <c r="C242" s="60">
        <f t="shared" si="49"/>
        <v>347</v>
      </c>
      <c r="D242" s="60">
        <f t="shared" si="50"/>
        <v>0</v>
      </c>
      <c r="E242" s="60">
        <v>0</v>
      </c>
      <c r="F242" s="60">
        <v>0</v>
      </c>
      <c r="G242" s="60">
        <f t="shared" si="51"/>
        <v>347</v>
      </c>
      <c r="H242" s="60">
        <v>0</v>
      </c>
      <c r="I242" s="60">
        <v>347</v>
      </c>
      <c r="J242" s="61" t="s">
        <v>311</v>
      </c>
      <c r="K242" s="55"/>
    </row>
    <row r="243" spans="1:11" ht="12.75" customHeight="1" thickBot="1" x14ac:dyDescent="0.25">
      <c r="A243" s="60">
        <f t="shared" si="49"/>
        <v>735</v>
      </c>
      <c r="B243" s="60">
        <f t="shared" si="49"/>
        <v>0</v>
      </c>
      <c r="C243" s="60">
        <f t="shared" si="49"/>
        <v>735</v>
      </c>
      <c r="D243" s="60">
        <f t="shared" si="50"/>
        <v>0</v>
      </c>
      <c r="E243" s="60">
        <v>0</v>
      </c>
      <c r="F243" s="60">
        <v>0</v>
      </c>
      <c r="G243" s="60">
        <f t="shared" si="51"/>
        <v>735</v>
      </c>
      <c r="H243" s="60">
        <v>0</v>
      </c>
      <c r="I243" s="60">
        <v>735</v>
      </c>
      <c r="J243" s="61" t="s">
        <v>312</v>
      </c>
      <c r="K243" s="55"/>
    </row>
    <row r="244" spans="1:11" ht="12.75" customHeight="1" thickBot="1" x14ac:dyDescent="0.25">
      <c r="A244" s="60">
        <f t="shared" si="49"/>
        <v>143</v>
      </c>
      <c r="B244" s="60">
        <f t="shared" si="49"/>
        <v>0</v>
      </c>
      <c r="C244" s="60">
        <f t="shared" si="49"/>
        <v>143</v>
      </c>
      <c r="D244" s="60">
        <f t="shared" si="50"/>
        <v>0</v>
      </c>
      <c r="E244" s="60">
        <v>0</v>
      </c>
      <c r="F244" s="60">
        <v>0</v>
      </c>
      <c r="G244" s="60">
        <f t="shared" si="51"/>
        <v>143</v>
      </c>
      <c r="H244" s="60">
        <v>0</v>
      </c>
      <c r="I244" s="60">
        <v>143</v>
      </c>
      <c r="J244" s="61" t="s">
        <v>313</v>
      </c>
      <c r="K244" s="55"/>
    </row>
    <row r="245" spans="1:11" ht="12.75" customHeight="1" thickBot="1" x14ac:dyDescent="0.25">
      <c r="A245" s="60">
        <f t="shared" si="49"/>
        <v>155</v>
      </c>
      <c r="B245" s="60">
        <f t="shared" si="49"/>
        <v>0</v>
      </c>
      <c r="C245" s="60">
        <f t="shared" si="49"/>
        <v>155</v>
      </c>
      <c r="D245" s="60">
        <f t="shared" si="50"/>
        <v>0</v>
      </c>
      <c r="E245" s="60">
        <v>0</v>
      </c>
      <c r="F245" s="60">
        <v>0</v>
      </c>
      <c r="G245" s="60">
        <f t="shared" si="51"/>
        <v>155</v>
      </c>
      <c r="H245" s="60">
        <v>0</v>
      </c>
      <c r="I245" s="60">
        <v>155</v>
      </c>
      <c r="J245" s="61" t="s">
        <v>314</v>
      </c>
      <c r="K245" s="55"/>
    </row>
    <row r="246" spans="1:11" ht="12.75" customHeight="1" thickBot="1" x14ac:dyDescent="0.25">
      <c r="A246" s="60">
        <f t="shared" si="49"/>
        <v>256</v>
      </c>
      <c r="B246" s="60">
        <f t="shared" si="49"/>
        <v>256</v>
      </c>
      <c r="C246" s="60">
        <f t="shared" si="49"/>
        <v>0</v>
      </c>
      <c r="D246" s="60">
        <f t="shared" si="50"/>
        <v>0</v>
      </c>
      <c r="E246" s="60">
        <v>0</v>
      </c>
      <c r="F246" s="60">
        <v>0</v>
      </c>
      <c r="G246" s="60">
        <f t="shared" si="51"/>
        <v>256</v>
      </c>
      <c r="H246" s="60">
        <v>256</v>
      </c>
      <c r="I246" s="60">
        <v>0</v>
      </c>
      <c r="J246" s="61" t="s">
        <v>315</v>
      </c>
      <c r="K246" s="55"/>
    </row>
    <row r="247" spans="1:11" ht="12.75" customHeight="1" thickBot="1" x14ac:dyDescent="0.25">
      <c r="A247" s="60">
        <f t="shared" si="49"/>
        <v>258</v>
      </c>
      <c r="B247" s="60">
        <f t="shared" si="49"/>
        <v>258</v>
      </c>
      <c r="C247" s="60">
        <f t="shared" si="49"/>
        <v>0</v>
      </c>
      <c r="D247" s="60">
        <f t="shared" si="50"/>
        <v>0</v>
      </c>
      <c r="E247" s="60">
        <v>0</v>
      </c>
      <c r="F247" s="60">
        <v>0</v>
      </c>
      <c r="G247" s="60">
        <f t="shared" si="51"/>
        <v>258</v>
      </c>
      <c r="H247" s="60">
        <v>258</v>
      </c>
      <c r="I247" s="60">
        <v>0</v>
      </c>
      <c r="J247" s="61" t="s">
        <v>316</v>
      </c>
      <c r="K247" s="55"/>
    </row>
    <row r="248" spans="1:11" ht="12.75" customHeight="1" thickBot="1" x14ac:dyDescent="0.25">
      <c r="A248" s="60">
        <f t="shared" si="49"/>
        <v>85</v>
      </c>
      <c r="B248" s="60">
        <f t="shared" si="49"/>
        <v>85</v>
      </c>
      <c r="C248" s="60">
        <f t="shared" si="49"/>
        <v>0</v>
      </c>
      <c r="D248" s="60">
        <f t="shared" si="50"/>
        <v>0</v>
      </c>
      <c r="E248" s="60">
        <v>0</v>
      </c>
      <c r="F248" s="60">
        <v>0</v>
      </c>
      <c r="G248" s="60">
        <f t="shared" si="51"/>
        <v>85</v>
      </c>
      <c r="H248" s="60">
        <v>85</v>
      </c>
      <c r="I248" s="60">
        <v>0</v>
      </c>
      <c r="J248" s="61" t="s">
        <v>317</v>
      </c>
      <c r="K248" s="55"/>
    </row>
    <row r="249" spans="1:11" ht="12.75" customHeight="1" thickBot="1" x14ac:dyDescent="0.25">
      <c r="A249" s="60">
        <f t="shared" si="49"/>
        <v>612</v>
      </c>
      <c r="B249" s="60">
        <f t="shared" si="49"/>
        <v>612</v>
      </c>
      <c r="C249" s="60">
        <f t="shared" si="49"/>
        <v>0</v>
      </c>
      <c r="D249" s="60">
        <f t="shared" si="50"/>
        <v>0</v>
      </c>
      <c r="E249" s="60">
        <v>0</v>
      </c>
      <c r="F249" s="60">
        <v>0</v>
      </c>
      <c r="G249" s="60">
        <f t="shared" si="51"/>
        <v>612</v>
      </c>
      <c r="H249" s="60">
        <v>612</v>
      </c>
      <c r="I249" s="60">
        <v>0</v>
      </c>
      <c r="J249" s="61" t="s">
        <v>318</v>
      </c>
      <c r="K249" s="55"/>
    </row>
    <row r="250" spans="1:11" ht="12.75" customHeight="1" thickBot="1" x14ac:dyDescent="0.25">
      <c r="A250" s="60">
        <f t="shared" si="49"/>
        <v>182</v>
      </c>
      <c r="B250" s="60">
        <f t="shared" si="49"/>
        <v>182</v>
      </c>
      <c r="C250" s="60">
        <f t="shared" si="49"/>
        <v>0</v>
      </c>
      <c r="D250" s="60">
        <f t="shared" si="50"/>
        <v>0</v>
      </c>
      <c r="E250" s="60">
        <v>0</v>
      </c>
      <c r="F250" s="60">
        <v>0</v>
      </c>
      <c r="G250" s="60">
        <f t="shared" si="51"/>
        <v>182</v>
      </c>
      <c r="H250" s="60">
        <v>182</v>
      </c>
      <c r="I250" s="60">
        <v>0</v>
      </c>
      <c r="J250" s="61" t="s">
        <v>319</v>
      </c>
      <c r="K250" s="55"/>
    </row>
    <row r="251" spans="1:11" ht="12.75" customHeight="1" thickBot="1" x14ac:dyDescent="0.25">
      <c r="A251" s="60">
        <f t="shared" si="49"/>
        <v>336</v>
      </c>
      <c r="B251" s="60">
        <f t="shared" si="49"/>
        <v>336</v>
      </c>
      <c r="C251" s="60">
        <f t="shared" si="49"/>
        <v>0</v>
      </c>
      <c r="D251" s="60">
        <f t="shared" si="50"/>
        <v>0</v>
      </c>
      <c r="E251" s="60">
        <v>0</v>
      </c>
      <c r="F251" s="60">
        <v>0</v>
      </c>
      <c r="G251" s="60">
        <f t="shared" si="51"/>
        <v>336</v>
      </c>
      <c r="H251" s="60">
        <v>336</v>
      </c>
      <c r="I251" s="60">
        <v>0</v>
      </c>
      <c r="J251" s="61" t="s">
        <v>320</v>
      </c>
      <c r="K251" s="55"/>
    </row>
    <row r="252" spans="1:11" ht="12.75" customHeight="1" thickBot="1" x14ac:dyDescent="0.25">
      <c r="A252" s="60">
        <f t="shared" si="49"/>
        <v>176</v>
      </c>
      <c r="B252" s="60">
        <f t="shared" si="49"/>
        <v>176</v>
      </c>
      <c r="C252" s="60">
        <f t="shared" si="49"/>
        <v>0</v>
      </c>
      <c r="D252" s="60">
        <f t="shared" si="50"/>
        <v>0</v>
      </c>
      <c r="E252" s="60">
        <v>0</v>
      </c>
      <c r="F252" s="60">
        <v>0</v>
      </c>
      <c r="G252" s="60">
        <f t="shared" si="51"/>
        <v>176</v>
      </c>
      <c r="H252" s="60">
        <v>176</v>
      </c>
      <c r="I252" s="60">
        <v>0</v>
      </c>
      <c r="J252" s="61" t="s">
        <v>321</v>
      </c>
      <c r="K252" s="55"/>
    </row>
    <row r="253" spans="1:11" ht="12.75" customHeight="1" thickBot="1" x14ac:dyDescent="0.25">
      <c r="A253" s="60">
        <f t="shared" si="49"/>
        <v>110</v>
      </c>
      <c r="B253" s="60">
        <f t="shared" si="49"/>
        <v>110</v>
      </c>
      <c r="C253" s="60">
        <f t="shared" si="49"/>
        <v>0</v>
      </c>
      <c r="D253" s="60">
        <f t="shared" si="50"/>
        <v>0</v>
      </c>
      <c r="E253" s="60">
        <v>0</v>
      </c>
      <c r="F253" s="60">
        <v>0</v>
      </c>
      <c r="G253" s="60">
        <f t="shared" si="51"/>
        <v>110</v>
      </c>
      <c r="H253" s="60">
        <v>110</v>
      </c>
      <c r="I253" s="60">
        <v>0</v>
      </c>
      <c r="J253" s="61" t="s">
        <v>322</v>
      </c>
      <c r="K253" s="55"/>
    </row>
    <row r="254" spans="1:11" ht="12.75" customHeight="1" thickBot="1" x14ac:dyDescent="0.25">
      <c r="A254" s="60">
        <f t="shared" si="49"/>
        <v>96</v>
      </c>
      <c r="B254" s="60">
        <f t="shared" si="49"/>
        <v>96</v>
      </c>
      <c r="C254" s="60">
        <f t="shared" si="49"/>
        <v>0</v>
      </c>
      <c r="D254" s="60">
        <f t="shared" si="50"/>
        <v>0</v>
      </c>
      <c r="E254" s="60">
        <v>0</v>
      </c>
      <c r="F254" s="60">
        <v>0</v>
      </c>
      <c r="G254" s="60">
        <f t="shared" si="51"/>
        <v>96</v>
      </c>
      <c r="H254" s="60">
        <v>96</v>
      </c>
      <c r="I254" s="60">
        <v>0</v>
      </c>
      <c r="J254" s="61" t="s">
        <v>323</v>
      </c>
      <c r="K254" s="55"/>
    </row>
    <row r="255" spans="1:11" ht="12.75" customHeight="1" thickBot="1" x14ac:dyDescent="0.25">
      <c r="A255" s="60">
        <f t="shared" ref="A255:I255" si="52">SUM(A211:A254)</f>
        <v>27209</v>
      </c>
      <c r="B255" s="60">
        <f t="shared" si="52"/>
        <v>2111</v>
      </c>
      <c r="C255" s="60">
        <f t="shared" si="52"/>
        <v>25098</v>
      </c>
      <c r="D255" s="60">
        <f t="shared" si="52"/>
        <v>0</v>
      </c>
      <c r="E255" s="60">
        <f t="shared" si="52"/>
        <v>0</v>
      </c>
      <c r="F255" s="60">
        <f t="shared" si="52"/>
        <v>0</v>
      </c>
      <c r="G255" s="60">
        <f t="shared" si="52"/>
        <v>27209</v>
      </c>
      <c r="H255" s="60">
        <f t="shared" si="52"/>
        <v>2111</v>
      </c>
      <c r="I255" s="60">
        <f t="shared" si="52"/>
        <v>25098</v>
      </c>
      <c r="J255" s="59" t="s">
        <v>211</v>
      </c>
      <c r="K255" s="55"/>
    </row>
    <row r="256" spans="1:11" ht="12.75" customHeight="1" x14ac:dyDescent="0.2">
      <c r="A256" s="177"/>
      <c r="B256" s="177"/>
      <c r="C256" s="177"/>
      <c r="D256" s="177"/>
      <c r="E256" s="177"/>
      <c r="F256" s="177"/>
      <c r="G256" s="177"/>
      <c r="H256" s="177"/>
      <c r="I256" s="177"/>
      <c r="J256" s="177"/>
      <c r="K256" s="55"/>
    </row>
    <row r="257" spans="1:11" ht="12.75" customHeight="1" x14ac:dyDescent="0.2">
      <c r="A257" s="177" t="s">
        <v>236</v>
      </c>
      <c r="B257" s="177"/>
      <c r="C257" s="177"/>
      <c r="D257" s="177"/>
      <c r="E257" s="177"/>
      <c r="F257" s="177"/>
      <c r="G257" s="177"/>
      <c r="H257" s="177"/>
      <c r="I257" s="177"/>
      <c r="J257" s="177"/>
      <c r="K257" s="55"/>
    </row>
    <row r="258" spans="1:11" ht="12.75" customHeight="1" thickBot="1" x14ac:dyDescent="0.25">
      <c r="A258" s="178" t="s">
        <v>237</v>
      </c>
      <c r="B258" s="178"/>
      <c r="C258" s="178"/>
      <c r="D258" s="178"/>
      <c r="E258" s="178"/>
      <c r="F258" s="178"/>
      <c r="G258" s="178"/>
      <c r="H258" s="178"/>
      <c r="I258" s="178"/>
      <c r="J258" s="178"/>
      <c r="K258" s="55"/>
    </row>
    <row r="259" spans="1:11" ht="12.75" customHeight="1" thickBot="1" x14ac:dyDescent="0.25">
      <c r="A259" s="179" t="s">
        <v>5</v>
      </c>
      <c r="B259" s="179"/>
      <c r="C259" s="179"/>
      <c r="D259" s="179" t="s">
        <v>162</v>
      </c>
      <c r="E259" s="179"/>
      <c r="F259" s="179"/>
      <c r="G259" s="179" t="s">
        <v>163</v>
      </c>
      <c r="H259" s="179"/>
      <c r="I259" s="179"/>
      <c r="J259" s="58" t="s">
        <v>72</v>
      </c>
      <c r="K259" s="55"/>
    </row>
    <row r="260" spans="1:11" ht="12.75" customHeight="1" thickBot="1" x14ac:dyDescent="0.25">
      <c r="A260" s="58" t="s">
        <v>216</v>
      </c>
      <c r="B260" s="58" t="s">
        <v>11</v>
      </c>
      <c r="C260" s="58" t="s">
        <v>10</v>
      </c>
      <c r="D260" s="58" t="s">
        <v>216</v>
      </c>
      <c r="E260" s="58" t="s">
        <v>11</v>
      </c>
      <c r="F260" s="58" t="s">
        <v>10</v>
      </c>
      <c r="G260" s="58" t="s">
        <v>216</v>
      </c>
      <c r="H260" s="58" t="s">
        <v>11</v>
      </c>
      <c r="I260" s="58" t="s">
        <v>10</v>
      </c>
      <c r="J260" s="59" t="s">
        <v>169</v>
      </c>
      <c r="K260" s="55"/>
    </row>
    <row r="261" spans="1:11" ht="12.75" customHeight="1" thickBot="1" x14ac:dyDescent="0.25">
      <c r="A261" s="60">
        <f>SUM(B261:C261)</f>
        <v>147</v>
      </c>
      <c r="B261" s="60">
        <f>H261+E261</f>
        <v>54</v>
      </c>
      <c r="C261" s="60">
        <f>I261+F261</f>
        <v>93</v>
      </c>
      <c r="D261" s="60">
        <f>SUM(E261:F261)</f>
        <v>0</v>
      </c>
      <c r="E261" s="60">
        <v>0</v>
      </c>
      <c r="F261" s="60">
        <v>0</v>
      </c>
      <c r="G261" s="60">
        <f>SUM(H261:I261)</f>
        <v>147</v>
      </c>
      <c r="H261" s="60">
        <v>54</v>
      </c>
      <c r="I261" s="60">
        <v>93</v>
      </c>
      <c r="J261" s="61" t="s">
        <v>324</v>
      </c>
      <c r="K261" s="55"/>
    </row>
    <row r="262" spans="1:11" ht="12.75" customHeight="1" thickBot="1" x14ac:dyDescent="0.25">
      <c r="A262" s="60">
        <f t="shared" ref="A262:H262" si="53">SUM(A261)</f>
        <v>147</v>
      </c>
      <c r="B262" s="60">
        <f t="shared" si="53"/>
        <v>54</v>
      </c>
      <c r="C262" s="60">
        <f t="shared" si="53"/>
        <v>93</v>
      </c>
      <c r="D262" s="60">
        <f t="shared" si="53"/>
        <v>0</v>
      </c>
      <c r="E262" s="60">
        <f t="shared" si="53"/>
        <v>0</v>
      </c>
      <c r="F262" s="60">
        <f t="shared" si="53"/>
        <v>0</v>
      </c>
      <c r="G262" s="60">
        <f t="shared" si="53"/>
        <v>147</v>
      </c>
      <c r="H262" s="60">
        <f t="shared" si="53"/>
        <v>54</v>
      </c>
      <c r="I262" s="60">
        <f>SUM(I261)</f>
        <v>93</v>
      </c>
      <c r="J262" s="59" t="s">
        <v>211</v>
      </c>
      <c r="K262" s="55"/>
    </row>
    <row r="263" spans="1:11" ht="12.75" customHeight="1" x14ac:dyDescent="0.2">
      <c r="A263" s="177"/>
      <c r="B263" s="177"/>
      <c r="C263" s="177"/>
      <c r="D263" s="177"/>
      <c r="E263" s="177"/>
      <c r="F263" s="177"/>
      <c r="G263" s="177"/>
      <c r="H263" s="177"/>
      <c r="I263" s="177"/>
      <c r="J263" s="177"/>
      <c r="K263" s="55"/>
    </row>
    <row r="264" spans="1:11" ht="12.75" customHeight="1" x14ac:dyDescent="0.2">
      <c r="A264" s="177" t="s">
        <v>236</v>
      </c>
      <c r="B264" s="177"/>
      <c r="C264" s="177"/>
      <c r="D264" s="177"/>
      <c r="E264" s="177"/>
      <c r="F264" s="177"/>
      <c r="G264" s="177"/>
      <c r="H264" s="177"/>
      <c r="I264" s="177"/>
      <c r="J264" s="177"/>
      <c r="K264" s="55"/>
    </row>
    <row r="265" spans="1:11" ht="12.75" customHeight="1" thickBot="1" x14ac:dyDescent="0.25">
      <c r="A265" s="178" t="s">
        <v>237</v>
      </c>
      <c r="B265" s="178"/>
      <c r="C265" s="178"/>
      <c r="D265" s="178"/>
      <c r="E265" s="178"/>
      <c r="F265" s="178"/>
      <c r="G265" s="178"/>
      <c r="H265" s="178"/>
      <c r="I265" s="178"/>
      <c r="J265" s="178"/>
      <c r="K265" s="55"/>
    </row>
    <row r="266" spans="1:11" ht="12.75" customHeight="1" thickBot="1" x14ac:dyDescent="0.25">
      <c r="A266" s="179" t="s">
        <v>5</v>
      </c>
      <c r="B266" s="179"/>
      <c r="C266" s="179"/>
      <c r="D266" s="179" t="s">
        <v>162</v>
      </c>
      <c r="E266" s="179"/>
      <c r="F266" s="179"/>
      <c r="G266" s="179" t="s">
        <v>163</v>
      </c>
      <c r="H266" s="179"/>
      <c r="I266" s="179"/>
      <c r="J266" s="58" t="s">
        <v>72</v>
      </c>
      <c r="K266" s="55"/>
    </row>
    <row r="267" spans="1:11" ht="12.75" customHeight="1" thickBot="1" x14ac:dyDescent="0.25">
      <c r="A267" s="58" t="s">
        <v>216</v>
      </c>
      <c r="B267" s="58" t="s">
        <v>11</v>
      </c>
      <c r="C267" s="58" t="s">
        <v>10</v>
      </c>
      <c r="D267" s="58" t="s">
        <v>216</v>
      </c>
      <c r="E267" s="58" t="s">
        <v>11</v>
      </c>
      <c r="F267" s="58" t="s">
        <v>10</v>
      </c>
      <c r="G267" s="58" t="s">
        <v>216</v>
      </c>
      <c r="H267" s="58" t="s">
        <v>11</v>
      </c>
      <c r="I267" s="58" t="s">
        <v>10</v>
      </c>
      <c r="J267" s="59" t="s">
        <v>170</v>
      </c>
      <c r="K267" s="55"/>
    </row>
    <row r="268" spans="1:11" ht="12.75" customHeight="1" thickBot="1" x14ac:dyDescent="0.25">
      <c r="A268" s="60">
        <f>SUM(B268:C268)</f>
        <v>2445</v>
      </c>
      <c r="B268" s="60">
        <f t="shared" ref="B268:B269" si="54">H268+E268</f>
        <v>0</v>
      </c>
      <c r="C268" s="60">
        <f>I268+F268</f>
        <v>2445</v>
      </c>
      <c r="D268" s="60">
        <f>SUM(E268:F268)</f>
        <v>0</v>
      </c>
      <c r="E268" s="60">
        <v>0</v>
      </c>
      <c r="F268" s="60">
        <v>0</v>
      </c>
      <c r="G268" s="60">
        <f>SUM(H268:I268)</f>
        <v>2445</v>
      </c>
      <c r="H268" s="60">
        <v>0</v>
      </c>
      <c r="I268" s="60">
        <v>2445</v>
      </c>
      <c r="J268" s="61" t="s">
        <v>325</v>
      </c>
      <c r="K268" s="55"/>
    </row>
    <row r="269" spans="1:11" ht="12.75" customHeight="1" thickBot="1" x14ac:dyDescent="0.25">
      <c r="A269" s="60">
        <f>SUM(B269:C269)</f>
        <v>1500</v>
      </c>
      <c r="B269" s="60">
        <f t="shared" si="54"/>
        <v>0</v>
      </c>
      <c r="C269" s="60">
        <f>I269+F269</f>
        <v>1500</v>
      </c>
      <c r="D269" s="60">
        <f>SUM(E269:F269)</f>
        <v>0</v>
      </c>
      <c r="E269" s="60">
        <v>0</v>
      </c>
      <c r="F269" s="60">
        <v>0</v>
      </c>
      <c r="G269" s="60">
        <f>SUM(H269:I269)</f>
        <v>1500</v>
      </c>
      <c r="H269" s="60">
        <v>0</v>
      </c>
      <c r="I269" s="60">
        <v>1500</v>
      </c>
      <c r="J269" s="61" t="s">
        <v>326</v>
      </c>
      <c r="K269" s="55"/>
    </row>
    <row r="270" spans="1:11" ht="12.75" customHeight="1" thickBot="1" x14ac:dyDescent="0.25">
      <c r="A270" s="60">
        <f t="shared" ref="A270:H270" si="55">SUM(A268:A269)</f>
        <v>3945</v>
      </c>
      <c r="B270" s="60">
        <f t="shared" si="55"/>
        <v>0</v>
      </c>
      <c r="C270" s="60">
        <f t="shared" si="55"/>
        <v>3945</v>
      </c>
      <c r="D270" s="60">
        <f t="shared" si="55"/>
        <v>0</v>
      </c>
      <c r="E270" s="60">
        <f t="shared" si="55"/>
        <v>0</v>
      </c>
      <c r="F270" s="60">
        <f t="shared" si="55"/>
        <v>0</v>
      </c>
      <c r="G270" s="60">
        <f t="shared" si="55"/>
        <v>3945</v>
      </c>
      <c r="H270" s="60">
        <f t="shared" si="55"/>
        <v>0</v>
      </c>
      <c r="I270" s="60">
        <f>SUM(I268:I269)</f>
        <v>3945</v>
      </c>
      <c r="J270" s="59" t="s">
        <v>211</v>
      </c>
      <c r="K270" s="55"/>
    </row>
    <row r="271" spans="1:11" ht="12.75" customHeight="1" x14ac:dyDescent="0.2">
      <c r="A271" s="177"/>
      <c r="B271" s="177"/>
      <c r="C271" s="177"/>
      <c r="D271" s="177"/>
      <c r="E271" s="177"/>
      <c r="F271" s="177"/>
      <c r="G271" s="177"/>
      <c r="H271" s="177"/>
      <c r="I271" s="177"/>
      <c r="J271" s="177"/>
      <c r="K271" s="55"/>
    </row>
    <row r="272" spans="1:11" ht="12.75" customHeight="1" x14ac:dyDescent="0.2">
      <c r="A272" s="177" t="s">
        <v>236</v>
      </c>
      <c r="B272" s="177"/>
      <c r="C272" s="177"/>
      <c r="D272" s="177"/>
      <c r="E272" s="177"/>
      <c r="F272" s="177"/>
      <c r="G272" s="177"/>
      <c r="H272" s="177"/>
      <c r="I272" s="177"/>
      <c r="J272" s="177"/>
      <c r="K272" s="55"/>
    </row>
    <row r="273" spans="1:12" ht="12.75" customHeight="1" thickBot="1" x14ac:dyDescent="0.25">
      <c r="A273" s="178" t="s">
        <v>237</v>
      </c>
      <c r="B273" s="178"/>
      <c r="C273" s="178"/>
      <c r="D273" s="178"/>
      <c r="E273" s="178"/>
      <c r="F273" s="178"/>
      <c r="G273" s="178"/>
      <c r="H273" s="178"/>
      <c r="I273" s="178"/>
      <c r="J273" s="178"/>
      <c r="K273" s="55"/>
    </row>
    <row r="274" spans="1:12" ht="12.75" customHeight="1" thickBot="1" x14ac:dyDescent="0.25">
      <c r="A274" s="179" t="s">
        <v>5</v>
      </c>
      <c r="B274" s="179"/>
      <c r="C274" s="179"/>
      <c r="D274" s="179" t="s">
        <v>162</v>
      </c>
      <c r="E274" s="179"/>
      <c r="F274" s="179"/>
      <c r="G274" s="179" t="s">
        <v>163</v>
      </c>
      <c r="H274" s="179"/>
      <c r="I274" s="179"/>
      <c r="J274" s="58" t="s">
        <v>72</v>
      </c>
      <c r="K274" s="55"/>
    </row>
    <row r="275" spans="1:12" ht="12.75" customHeight="1" thickBot="1" x14ac:dyDescent="0.25">
      <c r="A275" s="58" t="s">
        <v>216</v>
      </c>
      <c r="B275" s="58" t="s">
        <v>11</v>
      </c>
      <c r="C275" s="58" t="s">
        <v>10</v>
      </c>
      <c r="D275" s="58" t="s">
        <v>216</v>
      </c>
      <c r="E275" s="58" t="s">
        <v>11</v>
      </c>
      <c r="F275" s="58" t="s">
        <v>10</v>
      </c>
      <c r="G275" s="58" t="s">
        <v>216</v>
      </c>
      <c r="H275" s="58" t="s">
        <v>11</v>
      </c>
      <c r="I275" s="58" t="s">
        <v>10</v>
      </c>
      <c r="J275" s="59" t="s">
        <v>171</v>
      </c>
      <c r="K275" s="55"/>
    </row>
    <row r="276" spans="1:12" ht="12.75" customHeight="1" thickBot="1" x14ac:dyDescent="0.25">
      <c r="A276" s="60">
        <f>SUM(B276:C276)</f>
        <v>1944</v>
      </c>
      <c r="B276" s="60">
        <f>H276+E276</f>
        <v>184</v>
      </c>
      <c r="C276" s="60">
        <f>I276+F276</f>
        <v>1760</v>
      </c>
      <c r="D276" s="60">
        <f>SUM(E276:F276)</f>
        <v>0</v>
      </c>
      <c r="E276" s="60">
        <v>0</v>
      </c>
      <c r="F276" s="60">
        <v>0</v>
      </c>
      <c r="G276" s="60">
        <f>SUM(H276:I276)</f>
        <v>1944</v>
      </c>
      <c r="H276" s="60">
        <v>184</v>
      </c>
      <c r="I276" s="60">
        <v>1760</v>
      </c>
      <c r="J276" s="61" t="s">
        <v>171</v>
      </c>
      <c r="K276" s="55"/>
    </row>
    <row r="277" spans="1:12" ht="12.75" customHeight="1" thickBot="1" x14ac:dyDescent="0.25">
      <c r="A277" s="60">
        <f t="shared" ref="A277:H277" si="56">SUM(A276)</f>
        <v>1944</v>
      </c>
      <c r="B277" s="60">
        <f t="shared" si="56"/>
        <v>184</v>
      </c>
      <c r="C277" s="60">
        <f t="shared" si="56"/>
        <v>1760</v>
      </c>
      <c r="D277" s="60">
        <f t="shared" si="56"/>
        <v>0</v>
      </c>
      <c r="E277" s="60">
        <f t="shared" si="56"/>
        <v>0</v>
      </c>
      <c r="F277" s="60">
        <f t="shared" si="56"/>
        <v>0</v>
      </c>
      <c r="G277" s="60">
        <f t="shared" si="56"/>
        <v>1944</v>
      </c>
      <c r="H277" s="60">
        <f t="shared" si="56"/>
        <v>184</v>
      </c>
      <c r="I277" s="60">
        <f>SUM(I276)</f>
        <v>1760</v>
      </c>
      <c r="J277" s="59" t="s">
        <v>211</v>
      </c>
      <c r="K277" s="55"/>
    </row>
    <row r="278" spans="1:12" ht="12.75" customHeight="1" x14ac:dyDescent="0.2">
      <c r="A278" s="177"/>
      <c r="B278" s="177"/>
      <c r="C278" s="177"/>
      <c r="D278" s="177"/>
      <c r="E278" s="177"/>
      <c r="F278" s="177"/>
      <c r="G278" s="177"/>
      <c r="H278" s="177"/>
      <c r="I278" s="177"/>
      <c r="J278" s="177"/>
      <c r="K278" s="55"/>
    </row>
    <row r="279" spans="1:12" ht="12.75" customHeight="1" x14ac:dyDescent="0.2">
      <c r="A279" s="177" t="s">
        <v>236</v>
      </c>
      <c r="B279" s="177"/>
      <c r="C279" s="177"/>
      <c r="D279" s="177"/>
      <c r="E279" s="177"/>
      <c r="F279" s="177"/>
      <c r="G279" s="177"/>
      <c r="H279" s="177"/>
      <c r="I279" s="177"/>
      <c r="J279" s="177"/>
      <c r="K279" s="55"/>
    </row>
    <row r="280" spans="1:12" ht="12.75" customHeight="1" thickBot="1" x14ac:dyDescent="0.25">
      <c r="A280" s="178" t="s">
        <v>237</v>
      </c>
      <c r="B280" s="178"/>
      <c r="C280" s="178"/>
      <c r="D280" s="178"/>
      <c r="E280" s="178"/>
      <c r="F280" s="178"/>
      <c r="G280" s="178"/>
      <c r="H280" s="178"/>
      <c r="I280" s="178"/>
      <c r="J280" s="178"/>
      <c r="K280" s="55"/>
    </row>
    <row r="281" spans="1:12" ht="12.75" customHeight="1" thickBot="1" x14ac:dyDescent="0.25">
      <c r="A281" s="179" t="s">
        <v>5</v>
      </c>
      <c r="B281" s="179"/>
      <c r="C281" s="179"/>
      <c r="D281" s="179" t="s">
        <v>162</v>
      </c>
      <c r="E281" s="179"/>
      <c r="F281" s="179"/>
      <c r="G281" s="179" t="s">
        <v>163</v>
      </c>
      <c r="H281" s="179"/>
      <c r="I281" s="179"/>
      <c r="J281" s="58" t="s">
        <v>72</v>
      </c>
      <c r="K281" s="55"/>
    </row>
    <row r="282" spans="1:12" ht="12.75" customHeight="1" thickBot="1" x14ac:dyDescent="0.25">
      <c r="A282" s="58" t="s">
        <v>216</v>
      </c>
      <c r="B282" s="58" t="s">
        <v>11</v>
      </c>
      <c r="C282" s="58" t="s">
        <v>10</v>
      </c>
      <c r="D282" s="58" t="s">
        <v>216</v>
      </c>
      <c r="E282" s="58" t="s">
        <v>11</v>
      </c>
      <c r="F282" s="58" t="s">
        <v>10</v>
      </c>
      <c r="G282" s="58" t="s">
        <v>216</v>
      </c>
      <c r="H282" s="58" t="s">
        <v>11</v>
      </c>
      <c r="I282" s="58" t="s">
        <v>10</v>
      </c>
      <c r="J282" s="59" t="s">
        <v>173</v>
      </c>
      <c r="K282" s="55"/>
    </row>
    <row r="283" spans="1:12" ht="12.75" customHeight="1" thickBot="1" x14ac:dyDescent="0.25">
      <c r="A283" s="60">
        <f>SUM(B283:C283)</f>
        <v>270</v>
      </c>
      <c r="B283" s="60">
        <f>H283+E283</f>
        <v>60</v>
      </c>
      <c r="C283" s="60">
        <f>I283+F283</f>
        <v>210</v>
      </c>
      <c r="D283" s="60">
        <f>SUM(E283:F283)</f>
        <v>5</v>
      </c>
      <c r="E283" s="60">
        <v>4</v>
      </c>
      <c r="F283" s="60">
        <v>1</v>
      </c>
      <c r="G283" s="60">
        <f>SUM(H283:I283)</f>
        <v>265</v>
      </c>
      <c r="H283" s="60">
        <v>56</v>
      </c>
      <c r="I283" s="60">
        <v>209</v>
      </c>
      <c r="J283" s="61" t="s">
        <v>139</v>
      </c>
      <c r="K283" s="55"/>
      <c r="L283" s="80"/>
    </row>
    <row r="284" spans="1:12" ht="12.75" customHeight="1" thickBot="1" x14ac:dyDescent="0.25">
      <c r="A284" s="60">
        <f t="shared" ref="A284" si="57">SUM(B284:C284)</f>
        <v>14</v>
      </c>
      <c r="B284" s="60">
        <f t="shared" ref="B284:C284" si="58">H284+E284</f>
        <v>13</v>
      </c>
      <c r="C284" s="60">
        <f t="shared" si="58"/>
        <v>1</v>
      </c>
      <c r="D284" s="60">
        <f t="shared" ref="D284" si="59">SUM(E284:F284)</f>
        <v>1</v>
      </c>
      <c r="E284" s="60">
        <v>1</v>
      </c>
      <c r="F284" s="60">
        <v>0</v>
      </c>
      <c r="G284" s="60">
        <f t="shared" ref="G284" si="60">SUM(H284:I284)</f>
        <v>13</v>
      </c>
      <c r="H284" s="60">
        <v>12</v>
      </c>
      <c r="I284" s="60">
        <v>1</v>
      </c>
      <c r="J284" s="61" t="s">
        <v>157</v>
      </c>
      <c r="K284" s="55"/>
    </row>
    <row r="285" spans="1:12" ht="12.75" customHeight="1" thickBot="1" x14ac:dyDescent="0.25">
      <c r="A285" s="60">
        <f t="shared" ref="A285:H285" si="61">SUM(A283:A284)</f>
        <v>284</v>
      </c>
      <c r="B285" s="60">
        <f t="shared" si="61"/>
        <v>73</v>
      </c>
      <c r="C285" s="60">
        <f t="shared" si="61"/>
        <v>211</v>
      </c>
      <c r="D285" s="60">
        <f t="shared" si="61"/>
        <v>6</v>
      </c>
      <c r="E285" s="60">
        <f t="shared" si="61"/>
        <v>5</v>
      </c>
      <c r="F285" s="60">
        <f t="shared" si="61"/>
        <v>1</v>
      </c>
      <c r="G285" s="60">
        <f t="shared" si="61"/>
        <v>278</v>
      </c>
      <c r="H285" s="60">
        <f t="shared" si="61"/>
        <v>68</v>
      </c>
      <c r="I285" s="60">
        <f>SUM(I283:I284)</f>
        <v>210</v>
      </c>
      <c r="J285" s="59" t="s">
        <v>211</v>
      </c>
      <c r="K285" s="55"/>
    </row>
    <row r="286" spans="1:12" ht="12.75" customHeight="1" x14ac:dyDescent="0.2">
      <c r="A286" s="177"/>
      <c r="B286" s="177"/>
      <c r="C286" s="177"/>
      <c r="D286" s="177"/>
      <c r="E286" s="177"/>
      <c r="F286" s="177"/>
      <c r="G286" s="177"/>
      <c r="H286" s="177"/>
      <c r="I286" s="177"/>
      <c r="J286" s="177"/>
      <c r="K286" s="55"/>
    </row>
  </sheetData>
  <mergeCells count="150">
    <mergeCell ref="A1:J1"/>
    <mergeCell ref="A2:J2"/>
    <mergeCell ref="A3:C3"/>
    <mergeCell ref="D3:F3"/>
    <mergeCell ref="G3:I3"/>
    <mergeCell ref="A12:J12"/>
    <mergeCell ref="A20:J20"/>
    <mergeCell ref="A21:J21"/>
    <mergeCell ref="A22:C22"/>
    <mergeCell ref="D22:F22"/>
    <mergeCell ref="G22:I22"/>
    <mergeCell ref="A29:J29"/>
    <mergeCell ref="A13:J13"/>
    <mergeCell ref="A14:J14"/>
    <mergeCell ref="A15:C15"/>
    <mergeCell ref="D15:F15"/>
    <mergeCell ref="G15:I15"/>
    <mergeCell ref="A19:J19"/>
    <mergeCell ref="A47:J47"/>
    <mergeCell ref="A48:J48"/>
    <mergeCell ref="A49:C49"/>
    <mergeCell ref="D49:F49"/>
    <mergeCell ref="G49:I49"/>
    <mergeCell ref="A57:J57"/>
    <mergeCell ref="A30:J30"/>
    <mergeCell ref="A31:J31"/>
    <mergeCell ref="A32:C32"/>
    <mergeCell ref="D32:F32"/>
    <mergeCell ref="G32:I32"/>
    <mergeCell ref="A46:J46"/>
    <mergeCell ref="A66:J66"/>
    <mergeCell ref="A67:J67"/>
    <mergeCell ref="A68:C68"/>
    <mergeCell ref="D68:F68"/>
    <mergeCell ref="G68:I68"/>
    <mergeCell ref="A81:J81"/>
    <mergeCell ref="A58:J58"/>
    <mergeCell ref="A59:J59"/>
    <mergeCell ref="A60:C60"/>
    <mergeCell ref="D60:F60"/>
    <mergeCell ref="G60:I60"/>
    <mergeCell ref="A65:J65"/>
    <mergeCell ref="A96:J96"/>
    <mergeCell ref="A97:J97"/>
    <mergeCell ref="A98:C98"/>
    <mergeCell ref="D98:F98"/>
    <mergeCell ref="G98:I98"/>
    <mergeCell ref="A103:J103"/>
    <mergeCell ref="A82:J82"/>
    <mergeCell ref="A83:J83"/>
    <mergeCell ref="A84:C84"/>
    <mergeCell ref="D84:F84"/>
    <mergeCell ref="G84:I84"/>
    <mergeCell ref="A95:J95"/>
    <mergeCell ref="A113:J113"/>
    <mergeCell ref="A114:J114"/>
    <mergeCell ref="A115:C115"/>
    <mergeCell ref="D115:F115"/>
    <mergeCell ref="G115:I115"/>
    <mergeCell ref="A122:J122"/>
    <mergeCell ref="A104:J104"/>
    <mergeCell ref="A105:J105"/>
    <mergeCell ref="A106:C106"/>
    <mergeCell ref="D106:F106"/>
    <mergeCell ref="G106:I106"/>
    <mergeCell ref="A112:J112"/>
    <mergeCell ref="A131:J131"/>
    <mergeCell ref="A132:J132"/>
    <mergeCell ref="A133:C133"/>
    <mergeCell ref="D133:F133"/>
    <mergeCell ref="G133:I133"/>
    <mergeCell ref="A141:J141"/>
    <mergeCell ref="A123:J123"/>
    <mergeCell ref="A124:J124"/>
    <mergeCell ref="A125:C125"/>
    <mergeCell ref="D125:F125"/>
    <mergeCell ref="G125:I125"/>
    <mergeCell ref="A130:J130"/>
    <mergeCell ref="A151:J151"/>
    <mergeCell ref="A152:J152"/>
    <mergeCell ref="A153:C153"/>
    <mergeCell ref="D153:F153"/>
    <mergeCell ref="G153:I153"/>
    <mergeCell ref="A163:J163"/>
    <mergeCell ref="A142:J142"/>
    <mergeCell ref="A143:J143"/>
    <mergeCell ref="A144:C144"/>
    <mergeCell ref="D144:F144"/>
    <mergeCell ref="G144:I144"/>
    <mergeCell ref="A150:J150"/>
    <mergeCell ref="A174:J174"/>
    <mergeCell ref="A175:J175"/>
    <mergeCell ref="A176:C176"/>
    <mergeCell ref="D176:F176"/>
    <mergeCell ref="G176:I176"/>
    <mergeCell ref="A181:J181"/>
    <mergeCell ref="A164:J164"/>
    <mergeCell ref="A165:J165"/>
    <mergeCell ref="A166:C166"/>
    <mergeCell ref="D166:F166"/>
    <mergeCell ref="G166:I166"/>
    <mergeCell ref="A173:J173"/>
    <mergeCell ref="A190:J190"/>
    <mergeCell ref="A191:J191"/>
    <mergeCell ref="A192:C192"/>
    <mergeCell ref="D192:F192"/>
    <mergeCell ref="G192:I192"/>
    <mergeCell ref="A196:J196"/>
    <mergeCell ref="A182:J182"/>
    <mergeCell ref="A183:J183"/>
    <mergeCell ref="A184:C184"/>
    <mergeCell ref="D184:F184"/>
    <mergeCell ref="G184:I184"/>
    <mergeCell ref="A189:J189"/>
    <mergeCell ref="A207:J207"/>
    <mergeCell ref="A208:J208"/>
    <mergeCell ref="A209:C209"/>
    <mergeCell ref="D209:F209"/>
    <mergeCell ref="G209:I209"/>
    <mergeCell ref="A256:J256"/>
    <mergeCell ref="A197:J197"/>
    <mergeCell ref="A198:J198"/>
    <mergeCell ref="A199:C199"/>
    <mergeCell ref="D199:F199"/>
    <mergeCell ref="G199:I199"/>
    <mergeCell ref="A206:J206"/>
    <mergeCell ref="A264:J264"/>
    <mergeCell ref="A265:J265"/>
    <mergeCell ref="A266:C266"/>
    <mergeCell ref="D266:F266"/>
    <mergeCell ref="G266:I266"/>
    <mergeCell ref="A271:J271"/>
    <mergeCell ref="A257:J257"/>
    <mergeCell ref="A258:J258"/>
    <mergeCell ref="A259:C259"/>
    <mergeCell ref="D259:F259"/>
    <mergeCell ref="G259:I259"/>
    <mergeCell ref="A263:J263"/>
    <mergeCell ref="A279:J279"/>
    <mergeCell ref="A280:J280"/>
    <mergeCell ref="A281:C281"/>
    <mergeCell ref="D281:F281"/>
    <mergeCell ref="G281:I281"/>
    <mergeCell ref="A286:J286"/>
    <mergeCell ref="A272:J272"/>
    <mergeCell ref="A273:J273"/>
    <mergeCell ref="A274:C274"/>
    <mergeCell ref="D274:F274"/>
    <mergeCell ref="G274:I274"/>
    <mergeCell ref="A278:J278"/>
  </mergeCells>
  <pageMargins left="0.4" right="0.4" top="0.25" bottom="0.25" header="0.25" footer="0.25"/>
  <pageSetup paperSize="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037"/>
  <sheetViews>
    <sheetView showGridLines="0" zoomScaleNormal="100" zoomScaleSheetLayoutView="100" workbookViewId="0">
      <selection activeCell="G33" sqref="G33"/>
    </sheetView>
  </sheetViews>
  <sheetFormatPr defaultRowHeight="12.75" customHeight="1" x14ac:dyDescent="0.2"/>
  <cols>
    <col min="1" max="3" width="6" style="56" bestFit="1" customWidth="1"/>
    <col min="4" max="4" width="5" style="56" bestFit="1" customWidth="1"/>
    <col min="5" max="5" width="4" style="56" bestFit="1" customWidth="1"/>
    <col min="6" max="6" width="5" style="56" bestFit="1" customWidth="1"/>
    <col min="7" max="9" width="6" style="56" bestFit="1" customWidth="1"/>
    <col min="10" max="10" width="5.75" style="56" bestFit="1" customWidth="1"/>
    <col min="11" max="11" width="35" style="56" bestFit="1" customWidth="1"/>
    <col min="12" max="12" width="2" style="56" customWidth="1"/>
    <col min="13" max="13" width="7" style="56" bestFit="1" customWidth="1"/>
    <col min="14" max="252" width="9" style="56"/>
    <col min="253" max="255" width="6" style="56" bestFit="1" customWidth="1"/>
    <col min="256" max="256" width="5" style="56" bestFit="1" customWidth="1"/>
    <col min="257" max="257" width="4" style="56" bestFit="1" customWidth="1"/>
    <col min="258" max="258" width="5" style="56" bestFit="1" customWidth="1"/>
    <col min="259" max="261" width="6" style="56" bestFit="1" customWidth="1"/>
    <col min="262" max="262" width="5.75" style="56" bestFit="1" customWidth="1"/>
    <col min="263" max="263" width="35" style="56" bestFit="1" customWidth="1"/>
    <col min="264" max="264" width="2" style="56" customWidth="1"/>
    <col min="265" max="267" width="7" style="56" bestFit="1" customWidth="1"/>
    <col min="268" max="508" width="9" style="56"/>
    <col min="509" max="511" width="6" style="56" bestFit="1" customWidth="1"/>
    <col min="512" max="512" width="5" style="56" bestFit="1" customWidth="1"/>
    <col min="513" max="513" width="4" style="56" bestFit="1" customWidth="1"/>
    <col min="514" max="514" width="5" style="56" bestFit="1" customWidth="1"/>
    <col min="515" max="517" width="6" style="56" bestFit="1" customWidth="1"/>
    <col min="518" max="518" width="5.75" style="56" bestFit="1" customWidth="1"/>
    <col min="519" max="519" width="35" style="56" bestFit="1" customWidth="1"/>
    <col min="520" max="520" width="2" style="56" customWidth="1"/>
    <col min="521" max="523" width="7" style="56" bestFit="1" customWidth="1"/>
    <col min="524" max="764" width="9" style="56"/>
    <col min="765" max="767" width="6" style="56" bestFit="1" customWidth="1"/>
    <col min="768" max="768" width="5" style="56" bestFit="1" customWidth="1"/>
    <col min="769" max="769" width="4" style="56" bestFit="1" customWidth="1"/>
    <col min="770" max="770" width="5" style="56" bestFit="1" customWidth="1"/>
    <col min="771" max="773" width="6" style="56" bestFit="1" customWidth="1"/>
    <col min="774" max="774" width="5.75" style="56" bestFit="1" customWidth="1"/>
    <col min="775" max="775" width="35" style="56" bestFit="1" customWidth="1"/>
    <col min="776" max="776" width="2" style="56" customWidth="1"/>
    <col min="777" max="779" width="7" style="56" bestFit="1" customWidth="1"/>
    <col min="780" max="1020" width="9" style="56"/>
    <col min="1021" max="1023" width="6" style="56" bestFit="1" customWidth="1"/>
    <col min="1024" max="1024" width="5" style="56" bestFit="1" customWidth="1"/>
    <col min="1025" max="1025" width="4" style="56" bestFit="1" customWidth="1"/>
    <col min="1026" max="1026" width="5" style="56" bestFit="1" customWidth="1"/>
    <col min="1027" max="1029" width="6" style="56" bestFit="1" customWidth="1"/>
    <col min="1030" max="1030" width="5.75" style="56" bestFit="1" customWidth="1"/>
    <col min="1031" max="1031" width="35" style="56" bestFit="1" customWidth="1"/>
    <col min="1032" max="1032" width="2" style="56" customWidth="1"/>
    <col min="1033" max="1035" width="7" style="56" bestFit="1" customWidth="1"/>
    <col min="1036" max="1276" width="9" style="56"/>
    <col min="1277" max="1279" width="6" style="56" bestFit="1" customWidth="1"/>
    <col min="1280" max="1280" width="5" style="56" bestFit="1" customWidth="1"/>
    <col min="1281" max="1281" width="4" style="56" bestFit="1" customWidth="1"/>
    <col min="1282" max="1282" width="5" style="56" bestFit="1" customWidth="1"/>
    <col min="1283" max="1285" width="6" style="56" bestFit="1" customWidth="1"/>
    <col min="1286" max="1286" width="5.75" style="56" bestFit="1" customWidth="1"/>
    <col min="1287" max="1287" width="35" style="56" bestFit="1" customWidth="1"/>
    <col min="1288" max="1288" width="2" style="56" customWidth="1"/>
    <col min="1289" max="1291" width="7" style="56" bestFit="1" customWidth="1"/>
    <col min="1292" max="1532" width="9" style="56"/>
    <col min="1533" max="1535" width="6" style="56" bestFit="1" customWidth="1"/>
    <col min="1536" max="1536" width="5" style="56" bestFit="1" customWidth="1"/>
    <col min="1537" max="1537" width="4" style="56" bestFit="1" customWidth="1"/>
    <col min="1538" max="1538" width="5" style="56" bestFit="1" customWidth="1"/>
    <col min="1539" max="1541" width="6" style="56" bestFit="1" customWidth="1"/>
    <col min="1542" max="1542" width="5.75" style="56" bestFit="1" customWidth="1"/>
    <col min="1543" max="1543" width="35" style="56" bestFit="1" customWidth="1"/>
    <col min="1544" max="1544" width="2" style="56" customWidth="1"/>
    <col min="1545" max="1547" width="7" style="56" bestFit="1" customWidth="1"/>
    <col min="1548" max="1788" width="9" style="56"/>
    <col min="1789" max="1791" width="6" style="56" bestFit="1" customWidth="1"/>
    <col min="1792" max="1792" width="5" style="56" bestFit="1" customWidth="1"/>
    <col min="1793" max="1793" width="4" style="56" bestFit="1" customWidth="1"/>
    <col min="1794" max="1794" width="5" style="56" bestFit="1" customWidth="1"/>
    <col min="1795" max="1797" width="6" style="56" bestFit="1" customWidth="1"/>
    <col min="1798" max="1798" width="5.75" style="56" bestFit="1" customWidth="1"/>
    <col min="1799" max="1799" width="35" style="56" bestFit="1" customWidth="1"/>
    <col min="1800" max="1800" width="2" style="56" customWidth="1"/>
    <col min="1801" max="1803" width="7" style="56" bestFit="1" customWidth="1"/>
    <col min="1804" max="2044" width="9" style="56"/>
    <col min="2045" max="2047" width="6" style="56" bestFit="1" customWidth="1"/>
    <col min="2048" max="2048" width="5" style="56" bestFit="1" customWidth="1"/>
    <col min="2049" max="2049" width="4" style="56" bestFit="1" customWidth="1"/>
    <col min="2050" max="2050" width="5" style="56" bestFit="1" customWidth="1"/>
    <col min="2051" max="2053" width="6" style="56" bestFit="1" customWidth="1"/>
    <col min="2054" max="2054" width="5.75" style="56" bestFit="1" customWidth="1"/>
    <col min="2055" max="2055" width="35" style="56" bestFit="1" customWidth="1"/>
    <col min="2056" max="2056" width="2" style="56" customWidth="1"/>
    <col min="2057" max="2059" width="7" style="56" bestFit="1" customWidth="1"/>
    <col min="2060" max="2300" width="9" style="56"/>
    <col min="2301" max="2303" width="6" style="56" bestFit="1" customWidth="1"/>
    <col min="2304" max="2304" width="5" style="56" bestFit="1" customWidth="1"/>
    <col min="2305" max="2305" width="4" style="56" bestFit="1" customWidth="1"/>
    <col min="2306" max="2306" width="5" style="56" bestFit="1" customWidth="1"/>
    <col min="2307" max="2309" width="6" style="56" bestFit="1" customWidth="1"/>
    <col min="2310" max="2310" width="5.75" style="56" bestFit="1" customWidth="1"/>
    <col min="2311" max="2311" width="35" style="56" bestFit="1" customWidth="1"/>
    <col min="2312" max="2312" width="2" style="56" customWidth="1"/>
    <col min="2313" max="2315" width="7" style="56" bestFit="1" customWidth="1"/>
    <col min="2316" max="2556" width="9" style="56"/>
    <col min="2557" max="2559" width="6" style="56" bestFit="1" customWidth="1"/>
    <col min="2560" max="2560" width="5" style="56" bestFit="1" customWidth="1"/>
    <col min="2561" max="2561" width="4" style="56" bestFit="1" customWidth="1"/>
    <col min="2562" max="2562" width="5" style="56" bestFit="1" customWidth="1"/>
    <col min="2563" max="2565" width="6" style="56" bestFit="1" customWidth="1"/>
    <col min="2566" max="2566" width="5.75" style="56" bestFit="1" customWidth="1"/>
    <col min="2567" max="2567" width="35" style="56" bestFit="1" customWidth="1"/>
    <col min="2568" max="2568" width="2" style="56" customWidth="1"/>
    <col min="2569" max="2571" width="7" style="56" bestFit="1" customWidth="1"/>
    <col min="2572" max="2812" width="9" style="56"/>
    <col min="2813" max="2815" width="6" style="56" bestFit="1" customWidth="1"/>
    <col min="2816" max="2816" width="5" style="56" bestFit="1" customWidth="1"/>
    <col min="2817" max="2817" width="4" style="56" bestFit="1" customWidth="1"/>
    <col min="2818" max="2818" width="5" style="56" bestFit="1" customWidth="1"/>
    <col min="2819" max="2821" width="6" style="56" bestFit="1" customWidth="1"/>
    <col min="2822" max="2822" width="5.75" style="56" bestFit="1" customWidth="1"/>
    <col min="2823" max="2823" width="35" style="56" bestFit="1" customWidth="1"/>
    <col min="2824" max="2824" width="2" style="56" customWidth="1"/>
    <col min="2825" max="2827" width="7" style="56" bestFit="1" customWidth="1"/>
    <col min="2828" max="3068" width="9" style="56"/>
    <col min="3069" max="3071" width="6" style="56" bestFit="1" customWidth="1"/>
    <col min="3072" max="3072" width="5" style="56" bestFit="1" customWidth="1"/>
    <col min="3073" max="3073" width="4" style="56" bestFit="1" customWidth="1"/>
    <col min="3074" max="3074" width="5" style="56" bestFit="1" customWidth="1"/>
    <col min="3075" max="3077" width="6" style="56" bestFit="1" customWidth="1"/>
    <col min="3078" max="3078" width="5.75" style="56" bestFit="1" customWidth="1"/>
    <col min="3079" max="3079" width="35" style="56" bestFit="1" customWidth="1"/>
    <col min="3080" max="3080" width="2" style="56" customWidth="1"/>
    <col min="3081" max="3083" width="7" style="56" bestFit="1" customWidth="1"/>
    <col min="3084" max="3324" width="9" style="56"/>
    <col min="3325" max="3327" width="6" style="56" bestFit="1" customWidth="1"/>
    <col min="3328" max="3328" width="5" style="56" bestFit="1" customWidth="1"/>
    <col min="3329" max="3329" width="4" style="56" bestFit="1" customWidth="1"/>
    <col min="3330" max="3330" width="5" style="56" bestFit="1" customWidth="1"/>
    <col min="3331" max="3333" width="6" style="56" bestFit="1" customWidth="1"/>
    <col min="3334" max="3334" width="5.75" style="56" bestFit="1" customWidth="1"/>
    <col min="3335" max="3335" width="35" style="56" bestFit="1" customWidth="1"/>
    <col min="3336" max="3336" width="2" style="56" customWidth="1"/>
    <col min="3337" max="3339" width="7" style="56" bestFit="1" customWidth="1"/>
    <col min="3340" max="3580" width="9" style="56"/>
    <col min="3581" max="3583" width="6" style="56" bestFit="1" customWidth="1"/>
    <col min="3584" max="3584" width="5" style="56" bestFit="1" customWidth="1"/>
    <col min="3585" max="3585" width="4" style="56" bestFit="1" customWidth="1"/>
    <col min="3586" max="3586" width="5" style="56" bestFit="1" customWidth="1"/>
    <col min="3587" max="3589" width="6" style="56" bestFit="1" customWidth="1"/>
    <col min="3590" max="3590" width="5.75" style="56" bestFit="1" customWidth="1"/>
    <col min="3591" max="3591" width="35" style="56" bestFit="1" customWidth="1"/>
    <col min="3592" max="3592" width="2" style="56" customWidth="1"/>
    <col min="3593" max="3595" width="7" style="56" bestFit="1" customWidth="1"/>
    <col min="3596" max="3836" width="9" style="56"/>
    <col min="3837" max="3839" width="6" style="56" bestFit="1" customWidth="1"/>
    <col min="3840" max="3840" width="5" style="56" bestFit="1" customWidth="1"/>
    <col min="3841" max="3841" width="4" style="56" bestFit="1" customWidth="1"/>
    <col min="3842" max="3842" width="5" style="56" bestFit="1" customWidth="1"/>
    <col min="3843" max="3845" width="6" style="56" bestFit="1" customWidth="1"/>
    <col min="3846" max="3846" width="5.75" style="56" bestFit="1" customWidth="1"/>
    <col min="3847" max="3847" width="35" style="56" bestFit="1" customWidth="1"/>
    <col min="3848" max="3848" width="2" style="56" customWidth="1"/>
    <col min="3849" max="3851" width="7" style="56" bestFit="1" customWidth="1"/>
    <col min="3852" max="4092" width="9" style="56"/>
    <col min="4093" max="4095" width="6" style="56" bestFit="1" customWidth="1"/>
    <col min="4096" max="4096" width="5" style="56" bestFit="1" customWidth="1"/>
    <col min="4097" max="4097" width="4" style="56" bestFit="1" customWidth="1"/>
    <col min="4098" max="4098" width="5" style="56" bestFit="1" customWidth="1"/>
    <col min="4099" max="4101" width="6" style="56" bestFit="1" customWidth="1"/>
    <col min="4102" max="4102" width="5.75" style="56" bestFit="1" customWidth="1"/>
    <col min="4103" max="4103" width="35" style="56" bestFit="1" customWidth="1"/>
    <col min="4104" max="4104" width="2" style="56" customWidth="1"/>
    <col min="4105" max="4107" width="7" style="56" bestFit="1" customWidth="1"/>
    <col min="4108" max="4348" width="9" style="56"/>
    <col min="4349" max="4351" width="6" style="56" bestFit="1" customWidth="1"/>
    <col min="4352" max="4352" width="5" style="56" bestFit="1" customWidth="1"/>
    <col min="4353" max="4353" width="4" style="56" bestFit="1" customWidth="1"/>
    <col min="4354" max="4354" width="5" style="56" bestFit="1" customWidth="1"/>
    <col min="4355" max="4357" width="6" style="56" bestFit="1" customWidth="1"/>
    <col min="4358" max="4358" width="5.75" style="56" bestFit="1" customWidth="1"/>
    <col min="4359" max="4359" width="35" style="56" bestFit="1" customWidth="1"/>
    <col min="4360" max="4360" width="2" style="56" customWidth="1"/>
    <col min="4361" max="4363" width="7" style="56" bestFit="1" customWidth="1"/>
    <col min="4364" max="4604" width="9" style="56"/>
    <col min="4605" max="4607" width="6" style="56" bestFit="1" customWidth="1"/>
    <col min="4608" max="4608" width="5" style="56" bestFit="1" customWidth="1"/>
    <col min="4609" max="4609" width="4" style="56" bestFit="1" customWidth="1"/>
    <col min="4610" max="4610" width="5" style="56" bestFit="1" customWidth="1"/>
    <col min="4611" max="4613" width="6" style="56" bestFit="1" customWidth="1"/>
    <col min="4614" max="4614" width="5.75" style="56" bestFit="1" customWidth="1"/>
    <col min="4615" max="4615" width="35" style="56" bestFit="1" customWidth="1"/>
    <col min="4616" max="4616" width="2" style="56" customWidth="1"/>
    <col min="4617" max="4619" width="7" style="56" bestFit="1" customWidth="1"/>
    <col min="4620" max="4860" width="9" style="56"/>
    <col min="4861" max="4863" width="6" style="56" bestFit="1" customWidth="1"/>
    <col min="4864" max="4864" width="5" style="56" bestFit="1" customWidth="1"/>
    <col min="4865" max="4865" width="4" style="56" bestFit="1" customWidth="1"/>
    <col min="4866" max="4866" width="5" style="56" bestFit="1" customWidth="1"/>
    <col min="4867" max="4869" width="6" style="56" bestFit="1" customWidth="1"/>
    <col min="4870" max="4870" width="5.75" style="56" bestFit="1" customWidth="1"/>
    <col min="4871" max="4871" width="35" style="56" bestFit="1" customWidth="1"/>
    <col min="4872" max="4872" width="2" style="56" customWidth="1"/>
    <col min="4873" max="4875" width="7" style="56" bestFit="1" customWidth="1"/>
    <col min="4876" max="5116" width="9" style="56"/>
    <col min="5117" max="5119" width="6" style="56" bestFit="1" customWidth="1"/>
    <col min="5120" max="5120" width="5" style="56" bestFit="1" customWidth="1"/>
    <col min="5121" max="5121" width="4" style="56" bestFit="1" customWidth="1"/>
    <col min="5122" max="5122" width="5" style="56" bestFit="1" customWidth="1"/>
    <col min="5123" max="5125" width="6" style="56" bestFit="1" customWidth="1"/>
    <col min="5126" max="5126" width="5.75" style="56" bestFit="1" customWidth="1"/>
    <col min="5127" max="5127" width="35" style="56" bestFit="1" customWidth="1"/>
    <col min="5128" max="5128" width="2" style="56" customWidth="1"/>
    <col min="5129" max="5131" width="7" style="56" bestFit="1" customWidth="1"/>
    <col min="5132" max="5372" width="9" style="56"/>
    <col min="5373" max="5375" width="6" style="56" bestFit="1" customWidth="1"/>
    <col min="5376" max="5376" width="5" style="56" bestFit="1" customWidth="1"/>
    <col min="5377" max="5377" width="4" style="56" bestFit="1" customWidth="1"/>
    <col min="5378" max="5378" width="5" style="56" bestFit="1" customWidth="1"/>
    <col min="5379" max="5381" width="6" style="56" bestFit="1" customWidth="1"/>
    <col min="5382" max="5382" width="5.75" style="56" bestFit="1" customWidth="1"/>
    <col min="5383" max="5383" width="35" style="56" bestFit="1" customWidth="1"/>
    <col min="5384" max="5384" width="2" style="56" customWidth="1"/>
    <col min="5385" max="5387" width="7" style="56" bestFit="1" customWidth="1"/>
    <col min="5388" max="5628" width="9" style="56"/>
    <col min="5629" max="5631" width="6" style="56" bestFit="1" customWidth="1"/>
    <col min="5632" max="5632" width="5" style="56" bestFit="1" customWidth="1"/>
    <col min="5633" max="5633" width="4" style="56" bestFit="1" customWidth="1"/>
    <col min="5634" max="5634" width="5" style="56" bestFit="1" customWidth="1"/>
    <col min="5635" max="5637" width="6" style="56" bestFit="1" customWidth="1"/>
    <col min="5638" max="5638" width="5.75" style="56" bestFit="1" customWidth="1"/>
    <col min="5639" max="5639" width="35" style="56" bestFit="1" customWidth="1"/>
    <col min="5640" max="5640" width="2" style="56" customWidth="1"/>
    <col min="5641" max="5643" width="7" style="56" bestFit="1" customWidth="1"/>
    <col min="5644" max="5884" width="9" style="56"/>
    <col min="5885" max="5887" width="6" style="56" bestFit="1" customWidth="1"/>
    <col min="5888" max="5888" width="5" style="56" bestFit="1" customWidth="1"/>
    <col min="5889" max="5889" width="4" style="56" bestFit="1" customWidth="1"/>
    <col min="5890" max="5890" width="5" style="56" bestFit="1" customWidth="1"/>
    <col min="5891" max="5893" width="6" style="56" bestFit="1" customWidth="1"/>
    <col min="5894" max="5894" width="5.75" style="56" bestFit="1" customWidth="1"/>
    <col min="5895" max="5895" width="35" style="56" bestFit="1" customWidth="1"/>
    <col min="5896" max="5896" width="2" style="56" customWidth="1"/>
    <col min="5897" max="5899" width="7" style="56" bestFit="1" customWidth="1"/>
    <col min="5900" max="6140" width="9" style="56"/>
    <col min="6141" max="6143" width="6" style="56" bestFit="1" customWidth="1"/>
    <col min="6144" max="6144" width="5" style="56" bestFit="1" customWidth="1"/>
    <col min="6145" max="6145" width="4" style="56" bestFit="1" customWidth="1"/>
    <col min="6146" max="6146" width="5" style="56" bestFit="1" customWidth="1"/>
    <col min="6147" max="6149" width="6" style="56" bestFit="1" customWidth="1"/>
    <col min="6150" max="6150" width="5.75" style="56" bestFit="1" customWidth="1"/>
    <col min="6151" max="6151" width="35" style="56" bestFit="1" customWidth="1"/>
    <col min="6152" max="6152" width="2" style="56" customWidth="1"/>
    <col min="6153" max="6155" width="7" style="56" bestFit="1" customWidth="1"/>
    <col min="6156" max="6396" width="9" style="56"/>
    <col min="6397" max="6399" width="6" style="56" bestFit="1" customWidth="1"/>
    <col min="6400" max="6400" width="5" style="56" bestFit="1" customWidth="1"/>
    <col min="6401" max="6401" width="4" style="56" bestFit="1" customWidth="1"/>
    <col min="6402" max="6402" width="5" style="56" bestFit="1" customWidth="1"/>
    <col min="6403" max="6405" width="6" style="56" bestFit="1" customWidth="1"/>
    <col min="6406" max="6406" width="5.75" style="56" bestFit="1" customWidth="1"/>
    <col min="6407" max="6407" width="35" style="56" bestFit="1" customWidth="1"/>
    <col min="6408" max="6408" width="2" style="56" customWidth="1"/>
    <col min="6409" max="6411" width="7" style="56" bestFit="1" customWidth="1"/>
    <col min="6412" max="6652" width="9" style="56"/>
    <col min="6653" max="6655" width="6" style="56" bestFit="1" customWidth="1"/>
    <col min="6656" max="6656" width="5" style="56" bestFit="1" customWidth="1"/>
    <col min="6657" max="6657" width="4" style="56" bestFit="1" customWidth="1"/>
    <col min="6658" max="6658" width="5" style="56" bestFit="1" customWidth="1"/>
    <col min="6659" max="6661" width="6" style="56" bestFit="1" customWidth="1"/>
    <col min="6662" max="6662" width="5.75" style="56" bestFit="1" customWidth="1"/>
    <col min="6663" max="6663" width="35" style="56" bestFit="1" customWidth="1"/>
    <col min="6664" max="6664" width="2" style="56" customWidth="1"/>
    <col min="6665" max="6667" width="7" style="56" bestFit="1" customWidth="1"/>
    <col min="6668" max="6908" width="9" style="56"/>
    <col min="6909" max="6911" width="6" style="56" bestFit="1" customWidth="1"/>
    <col min="6912" max="6912" width="5" style="56" bestFit="1" customWidth="1"/>
    <col min="6913" max="6913" width="4" style="56" bestFit="1" customWidth="1"/>
    <col min="6914" max="6914" width="5" style="56" bestFit="1" customWidth="1"/>
    <col min="6915" max="6917" width="6" style="56" bestFit="1" customWidth="1"/>
    <col min="6918" max="6918" width="5.75" style="56" bestFit="1" customWidth="1"/>
    <col min="6919" max="6919" width="35" style="56" bestFit="1" customWidth="1"/>
    <col min="6920" max="6920" width="2" style="56" customWidth="1"/>
    <col min="6921" max="6923" width="7" style="56" bestFit="1" customWidth="1"/>
    <col min="6924" max="7164" width="9" style="56"/>
    <col min="7165" max="7167" width="6" style="56" bestFit="1" customWidth="1"/>
    <col min="7168" max="7168" width="5" style="56" bestFit="1" customWidth="1"/>
    <col min="7169" max="7169" width="4" style="56" bestFit="1" customWidth="1"/>
    <col min="7170" max="7170" width="5" style="56" bestFit="1" customWidth="1"/>
    <col min="7171" max="7173" width="6" style="56" bestFit="1" customWidth="1"/>
    <col min="7174" max="7174" width="5.75" style="56" bestFit="1" customWidth="1"/>
    <col min="7175" max="7175" width="35" style="56" bestFit="1" customWidth="1"/>
    <col min="7176" max="7176" width="2" style="56" customWidth="1"/>
    <col min="7177" max="7179" width="7" style="56" bestFit="1" customWidth="1"/>
    <col min="7180" max="7420" width="9" style="56"/>
    <col min="7421" max="7423" width="6" style="56" bestFit="1" customWidth="1"/>
    <col min="7424" max="7424" width="5" style="56" bestFit="1" customWidth="1"/>
    <col min="7425" max="7425" width="4" style="56" bestFit="1" customWidth="1"/>
    <col min="7426" max="7426" width="5" style="56" bestFit="1" customWidth="1"/>
    <col min="7427" max="7429" width="6" style="56" bestFit="1" customWidth="1"/>
    <col min="7430" max="7430" width="5.75" style="56" bestFit="1" customWidth="1"/>
    <col min="7431" max="7431" width="35" style="56" bestFit="1" customWidth="1"/>
    <col min="7432" max="7432" width="2" style="56" customWidth="1"/>
    <col min="7433" max="7435" width="7" style="56" bestFit="1" customWidth="1"/>
    <col min="7436" max="7676" width="9" style="56"/>
    <col min="7677" max="7679" width="6" style="56" bestFit="1" customWidth="1"/>
    <col min="7680" max="7680" width="5" style="56" bestFit="1" customWidth="1"/>
    <col min="7681" max="7681" width="4" style="56" bestFit="1" customWidth="1"/>
    <col min="7682" max="7682" width="5" style="56" bestFit="1" customWidth="1"/>
    <col min="7683" max="7685" width="6" style="56" bestFit="1" customWidth="1"/>
    <col min="7686" max="7686" width="5.75" style="56" bestFit="1" customWidth="1"/>
    <col min="7687" max="7687" width="35" style="56" bestFit="1" customWidth="1"/>
    <col min="7688" max="7688" width="2" style="56" customWidth="1"/>
    <col min="7689" max="7691" width="7" style="56" bestFit="1" customWidth="1"/>
    <col min="7692" max="7932" width="9" style="56"/>
    <col min="7933" max="7935" width="6" style="56" bestFit="1" customWidth="1"/>
    <col min="7936" max="7936" width="5" style="56" bestFit="1" customWidth="1"/>
    <col min="7937" max="7937" width="4" style="56" bestFit="1" customWidth="1"/>
    <col min="7938" max="7938" width="5" style="56" bestFit="1" customWidth="1"/>
    <col min="7939" max="7941" width="6" style="56" bestFit="1" customWidth="1"/>
    <col min="7942" max="7942" width="5.75" style="56" bestFit="1" customWidth="1"/>
    <col min="7943" max="7943" width="35" style="56" bestFit="1" customWidth="1"/>
    <col min="7944" max="7944" width="2" style="56" customWidth="1"/>
    <col min="7945" max="7947" width="7" style="56" bestFit="1" customWidth="1"/>
    <col min="7948" max="8188" width="9" style="56"/>
    <col min="8189" max="8191" width="6" style="56" bestFit="1" customWidth="1"/>
    <col min="8192" max="8192" width="5" style="56" bestFit="1" customWidth="1"/>
    <col min="8193" max="8193" width="4" style="56" bestFit="1" customWidth="1"/>
    <col min="8194" max="8194" width="5" style="56" bestFit="1" customWidth="1"/>
    <col min="8195" max="8197" width="6" style="56" bestFit="1" customWidth="1"/>
    <col min="8198" max="8198" width="5.75" style="56" bestFit="1" customWidth="1"/>
    <col min="8199" max="8199" width="35" style="56" bestFit="1" customWidth="1"/>
    <col min="8200" max="8200" width="2" style="56" customWidth="1"/>
    <col min="8201" max="8203" width="7" style="56" bestFit="1" customWidth="1"/>
    <col min="8204" max="8444" width="9" style="56"/>
    <col min="8445" max="8447" width="6" style="56" bestFit="1" customWidth="1"/>
    <col min="8448" max="8448" width="5" style="56" bestFit="1" customWidth="1"/>
    <col min="8449" max="8449" width="4" style="56" bestFit="1" customWidth="1"/>
    <col min="8450" max="8450" width="5" style="56" bestFit="1" customWidth="1"/>
    <col min="8451" max="8453" width="6" style="56" bestFit="1" customWidth="1"/>
    <col min="8454" max="8454" width="5.75" style="56" bestFit="1" customWidth="1"/>
    <col min="8455" max="8455" width="35" style="56" bestFit="1" customWidth="1"/>
    <col min="8456" max="8456" width="2" style="56" customWidth="1"/>
    <col min="8457" max="8459" width="7" style="56" bestFit="1" customWidth="1"/>
    <col min="8460" max="8700" width="9" style="56"/>
    <col min="8701" max="8703" width="6" style="56" bestFit="1" customWidth="1"/>
    <col min="8704" max="8704" width="5" style="56" bestFit="1" customWidth="1"/>
    <col min="8705" max="8705" width="4" style="56" bestFit="1" customWidth="1"/>
    <col min="8706" max="8706" width="5" style="56" bestFit="1" customWidth="1"/>
    <col min="8707" max="8709" width="6" style="56" bestFit="1" customWidth="1"/>
    <col min="8710" max="8710" width="5.75" style="56" bestFit="1" customWidth="1"/>
    <col min="8711" max="8711" width="35" style="56" bestFit="1" customWidth="1"/>
    <col min="8712" max="8712" width="2" style="56" customWidth="1"/>
    <col min="8713" max="8715" width="7" style="56" bestFit="1" customWidth="1"/>
    <col min="8716" max="8956" width="9" style="56"/>
    <col min="8957" max="8959" width="6" style="56" bestFit="1" customWidth="1"/>
    <col min="8960" max="8960" width="5" style="56" bestFit="1" customWidth="1"/>
    <col min="8961" max="8961" width="4" style="56" bestFit="1" customWidth="1"/>
    <col min="8962" max="8962" width="5" style="56" bestFit="1" customWidth="1"/>
    <col min="8963" max="8965" width="6" style="56" bestFit="1" customWidth="1"/>
    <col min="8966" max="8966" width="5.75" style="56" bestFit="1" customWidth="1"/>
    <col min="8967" max="8967" width="35" style="56" bestFit="1" customWidth="1"/>
    <col min="8968" max="8968" width="2" style="56" customWidth="1"/>
    <col min="8969" max="8971" width="7" style="56" bestFit="1" customWidth="1"/>
    <col min="8972" max="9212" width="9" style="56"/>
    <col min="9213" max="9215" width="6" style="56" bestFit="1" customWidth="1"/>
    <col min="9216" max="9216" width="5" style="56" bestFit="1" customWidth="1"/>
    <col min="9217" max="9217" width="4" style="56" bestFit="1" customWidth="1"/>
    <col min="9218" max="9218" width="5" style="56" bestFit="1" customWidth="1"/>
    <col min="9219" max="9221" width="6" style="56" bestFit="1" customWidth="1"/>
    <col min="9222" max="9222" width="5.75" style="56" bestFit="1" customWidth="1"/>
    <col min="9223" max="9223" width="35" style="56" bestFit="1" customWidth="1"/>
    <col min="9224" max="9224" width="2" style="56" customWidth="1"/>
    <col min="9225" max="9227" width="7" style="56" bestFit="1" customWidth="1"/>
    <col min="9228" max="9468" width="9" style="56"/>
    <col min="9469" max="9471" width="6" style="56" bestFit="1" customWidth="1"/>
    <col min="9472" max="9472" width="5" style="56" bestFit="1" customWidth="1"/>
    <col min="9473" max="9473" width="4" style="56" bestFit="1" customWidth="1"/>
    <col min="9474" max="9474" width="5" style="56" bestFit="1" customWidth="1"/>
    <col min="9475" max="9477" width="6" style="56" bestFit="1" customWidth="1"/>
    <col min="9478" max="9478" width="5.75" style="56" bestFit="1" customWidth="1"/>
    <col min="9479" max="9479" width="35" style="56" bestFit="1" customWidth="1"/>
    <col min="9480" max="9480" width="2" style="56" customWidth="1"/>
    <col min="9481" max="9483" width="7" style="56" bestFit="1" customWidth="1"/>
    <col min="9484" max="9724" width="9" style="56"/>
    <col min="9725" max="9727" width="6" style="56" bestFit="1" customWidth="1"/>
    <col min="9728" max="9728" width="5" style="56" bestFit="1" customWidth="1"/>
    <col min="9729" max="9729" width="4" style="56" bestFit="1" customWidth="1"/>
    <col min="9730" max="9730" width="5" style="56" bestFit="1" customWidth="1"/>
    <col min="9731" max="9733" width="6" style="56" bestFit="1" customWidth="1"/>
    <col min="9734" max="9734" width="5.75" style="56" bestFit="1" customWidth="1"/>
    <col min="9735" max="9735" width="35" style="56" bestFit="1" customWidth="1"/>
    <col min="9736" max="9736" width="2" style="56" customWidth="1"/>
    <col min="9737" max="9739" width="7" style="56" bestFit="1" customWidth="1"/>
    <col min="9740" max="9980" width="9" style="56"/>
    <col min="9981" max="9983" width="6" style="56" bestFit="1" customWidth="1"/>
    <col min="9984" max="9984" width="5" style="56" bestFit="1" customWidth="1"/>
    <col min="9985" max="9985" width="4" style="56" bestFit="1" customWidth="1"/>
    <col min="9986" max="9986" width="5" style="56" bestFit="1" customWidth="1"/>
    <col min="9987" max="9989" width="6" style="56" bestFit="1" customWidth="1"/>
    <col min="9990" max="9990" width="5.75" style="56" bestFit="1" customWidth="1"/>
    <col min="9991" max="9991" width="35" style="56" bestFit="1" customWidth="1"/>
    <col min="9992" max="9992" width="2" style="56" customWidth="1"/>
    <col min="9993" max="9995" width="7" style="56" bestFit="1" customWidth="1"/>
    <col min="9996" max="10236" width="9" style="56"/>
    <col min="10237" max="10239" width="6" style="56" bestFit="1" customWidth="1"/>
    <col min="10240" max="10240" width="5" style="56" bestFit="1" customWidth="1"/>
    <col min="10241" max="10241" width="4" style="56" bestFit="1" customWidth="1"/>
    <col min="10242" max="10242" width="5" style="56" bestFit="1" customWidth="1"/>
    <col min="10243" max="10245" width="6" style="56" bestFit="1" customWidth="1"/>
    <col min="10246" max="10246" width="5.75" style="56" bestFit="1" customWidth="1"/>
    <col min="10247" max="10247" width="35" style="56" bestFit="1" customWidth="1"/>
    <col min="10248" max="10248" width="2" style="56" customWidth="1"/>
    <col min="10249" max="10251" width="7" style="56" bestFit="1" customWidth="1"/>
    <col min="10252" max="10492" width="9" style="56"/>
    <col min="10493" max="10495" width="6" style="56" bestFit="1" customWidth="1"/>
    <col min="10496" max="10496" width="5" style="56" bestFit="1" customWidth="1"/>
    <col min="10497" max="10497" width="4" style="56" bestFit="1" customWidth="1"/>
    <col min="10498" max="10498" width="5" style="56" bestFit="1" customWidth="1"/>
    <col min="10499" max="10501" width="6" style="56" bestFit="1" customWidth="1"/>
    <col min="10502" max="10502" width="5.75" style="56" bestFit="1" customWidth="1"/>
    <col min="10503" max="10503" width="35" style="56" bestFit="1" customWidth="1"/>
    <col min="10504" max="10504" width="2" style="56" customWidth="1"/>
    <col min="10505" max="10507" width="7" style="56" bestFit="1" customWidth="1"/>
    <col min="10508" max="10748" width="9" style="56"/>
    <col min="10749" max="10751" width="6" style="56" bestFit="1" customWidth="1"/>
    <col min="10752" max="10752" width="5" style="56" bestFit="1" customWidth="1"/>
    <col min="10753" max="10753" width="4" style="56" bestFit="1" customWidth="1"/>
    <col min="10754" max="10754" width="5" style="56" bestFit="1" customWidth="1"/>
    <col min="10755" max="10757" width="6" style="56" bestFit="1" customWidth="1"/>
    <col min="10758" max="10758" width="5.75" style="56" bestFit="1" customWidth="1"/>
    <col min="10759" max="10759" width="35" style="56" bestFit="1" customWidth="1"/>
    <col min="10760" max="10760" width="2" style="56" customWidth="1"/>
    <col min="10761" max="10763" width="7" style="56" bestFit="1" customWidth="1"/>
    <col min="10764" max="11004" width="9" style="56"/>
    <col min="11005" max="11007" width="6" style="56" bestFit="1" customWidth="1"/>
    <col min="11008" max="11008" width="5" style="56" bestFit="1" customWidth="1"/>
    <col min="11009" max="11009" width="4" style="56" bestFit="1" customWidth="1"/>
    <col min="11010" max="11010" width="5" style="56" bestFit="1" customWidth="1"/>
    <col min="11011" max="11013" width="6" style="56" bestFit="1" customWidth="1"/>
    <col min="11014" max="11014" width="5.75" style="56" bestFit="1" customWidth="1"/>
    <col min="11015" max="11015" width="35" style="56" bestFit="1" customWidth="1"/>
    <col min="11016" max="11016" width="2" style="56" customWidth="1"/>
    <col min="11017" max="11019" width="7" style="56" bestFit="1" customWidth="1"/>
    <col min="11020" max="11260" width="9" style="56"/>
    <col min="11261" max="11263" width="6" style="56" bestFit="1" customWidth="1"/>
    <col min="11264" max="11264" width="5" style="56" bestFit="1" customWidth="1"/>
    <col min="11265" max="11265" width="4" style="56" bestFit="1" customWidth="1"/>
    <col min="11266" max="11266" width="5" style="56" bestFit="1" customWidth="1"/>
    <col min="11267" max="11269" width="6" style="56" bestFit="1" customWidth="1"/>
    <col min="11270" max="11270" width="5.75" style="56" bestFit="1" customWidth="1"/>
    <col min="11271" max="11271" width="35" style="56" bestFit="1" customWidth="1"/>
    <col min="11272" max="11272" width="2" style="56" customWidth="1"/>
    <col min="11273" max="11275" width="7" style="56" bestFit="1" customWidth="1"/>
    <col min="11276" max="11516" width="9" style="56"/>
    <col min="11517" max="11519" width="6" style="56" bestFit="1" customWidth="1"/>
    <col min="11520" max="11520" width="5" style="56" bestFit="1" customWidth="1"/>
    <col min="11521" max="11521" width="4" style="56" bestFit="1" customWidth="1"/>
    <col min="11522" max="11522" width="5" style="56" bestFit="1" customWidth="1"/>
    <col min="11523" max="11525" width="6" style="56" bestFit="1" customWidth="1"/>
    <col min="11526" max="11526" width="5.75" style="56" bestFit="1" customWidth="1"/>
    <col min="11527" max="11527" width="35" style="56" bestFit="1" customWidth="1"/>
    <col min="11528" max="11528" width="2" style="56" customWidth="1"/>
    <col min="11529" max="11531" width="7" style="56" bestFit="1" customWidth="1"/>
    <col min="11532" max="11772" width="9" style="56"/>
    <col min="11773" max="11775" width="6" style="56" bestFit="1" customWidth="1"/>
    <col min="11776" max="11776" width="5" style="56" bestFit="1" customWidth="1"/>
    <col min="11777" max="11777" width="4" style="56" bestFit="1" customWidth="1"/>
    <col min="11778" max="11778" width="5" style="56" bestFit="1" customWidth="1"/>
    <col min="11779" max="11781" width="6" style="56" bestFit="1" customWidth="1"/>
    <col min="11782" max="11782" width="5.75" style="56" bestFit="1" customWidth="1"/>
    <col min="11783" max="11783" width="35" style="56" bestFit="1" customWidth="1"/>
    <col min="11784" max="11784" width="2" style="56" customWidth="1"/>
    <col min="11785" max="11787" width="7" style="56" bestFit="1" customWidth="1"/>
    <col min="11788" max="12028" width="9" style="56"/>
    <col min="12029" max="12031" width="6" style="56" bestFit="1" customWidth="1"/>
    <col min="12032" max="12032" width="5" style="56" bestFit="1" customWidth="1"/>
    <col min="12033" max="12033" width="4" style="56" bestFit="1" customWidth="1"/>
    <col min="12034" max="12034" width="5" style="56" bestFit="1" customWidth="1"/>
    <col min="12035" max="12037" width="6" style="56" bestFit="1" customWidth="1"/>
    <col min="12038" max="12038" width="5.75" style="56" bestFit="1" customWidth="1"/>
    <col min="12039" max="12039" width="35" style="56" bestFit="1" customWidth="1"/>
    <col min="12040" max="12040" width="2" style="56" customWidth="1"/>
    <col min="12041" max="12043" width="7" style="56" bestFit="1" customWidth="1"/>
    <col min="12044" max="12284" width="9" style="56"/>
    <col min="12285" max="12287" width="6" style="56" bestFit="1" customWidth="1"/>
    <col min="12288" max="12288" width="5" style="56" bestFit="1" customWidth="1"/>
    <col min="12289" max="12289" width="4" style="56" bestFit="1" customWidth="1"/>
    <col min="12290" max="12290" width="5" style="56" bestFit="1" customWidth="1"/>
    <col min="12291" max="12293" width="6" style="56" bestFit="1" customWidth="1"/>
    <col min="12294" max="12294" width="5.75" style="56" bestFit="1" customWidth="1"/>
    <col min="12295" max="12295" width="35" style="56" bestFit="1" customWidth="1"/>
    <col min="12296" max="12296" width="2" style="56" customWidth="1"/>
    <col min="12297" max="12299" width="7" style="56" bestFit="1" customWidth="1"/>
    <col min="12300" max="12540" width="9" style="56"/>
    <col min="12541" max="12543" width="6" style="56" bestFit="1" customWidth="1"/>
    <col min="12544" max="12544" width="5" style="56" bestFit="1" customWidth="1"/>
    <col min="12545" max="12545" width="4" style="56" bestFit="1" customWidth="1"/>
    <col min="12546" max="12546" width="5" style="56" bestFit="1" customWidth="1"/>
    <col min="12547" max="12549" width="6" style="56" bestFit="1" customWidth="1"/>
    <col min="12550" max="12550" width="5.75" style="56" bestFit="1" customWidth="1"/>
    <col min="12551" max="12551" width="35" style="56" bestFit="1" customWidth="1"/>
    <col min="12552" max="12552" width="2" style="56" customWidth="1"/>
    <col min="12553" max="12555" width="7" style="56" bestFit="1" customWidth="1"/>
    <col min="12556" max="12796" width="9" style="56"/>
    <col min="12797" max="12799" width="6" style="56" bestFit="1" customWidth="1"/>
    <col min="12800" max="12800" width="5" style="56" bestFit="1" customWidth="1"/>
    <col min="12801" max="12801" width="4" style="56" bestFit="1" customWidth="1"/>
    <col min="12802" max="12802" width="5" style="56" bestFit="1" customWidth="1"/>
    <col min="12803" max="12805" width="6" style="56" bestFit="1" customWidth="1"/>
    <col min="12806" max="12806" width="5.75" style="56" bestFit="1" customWidth="1"/>
    <col min="12807" max="12807" width="35" style="56" bestFit="1" customWidth="1"/>
    <col min="12808" max="12808" width="2" style="56" customWidth="1"/>
    <col min="12809" max="12811" width="7" style="56" bestFit="1" customWidth="1"/>
    <col min="12812" max="13052" width="9" style="56"/>
    <col min="13053" max="13055" width="6" style="56" bestFit="1" customWidth="1"/>
    <col min="13056" max="13056" width="5" style="56" bestFit="1" customWidth="1"/>
    <col min="13057" max="13057" width="4" style="56" bestFit="1" customWidth="1"/>
    <col min="13058" max="13058" width="5" style="56" bestFit="1" customWidth="1"/>
    <col min="13059" max="13061" width="6" style="56" bestFit="1" customWidth="1"/>
    <col min="13062" max="13062" width="5.75" style="56" bestFit="1" customWidth="1"/>
    <col min="13063" max="13063" width="35" style="56" bestFit="1" customWidth="1"/>
    <col min="13064" max="13064" width="2" style="56" customWidth="1"/>
    <col min="13065" max="13067" width="7" style="56" bestFit="1" customWidth="1"/>
    <col min="13068" max="13308" width="9" style="56"/>
    <col min="13309" max="13311" width="6" style="56" bestFit="1" customWidth="1"/>
    <col min="13312" max="13312" width="5" style="56" bestFit="1" customWidth="1"/>
    <col min="13313" max="13313" width="4" style="56" bestFit="1" customWidth="1"/>
    <col min="13314" max="13314" width="5" style="56" bestFit="1" customWidth="1"/>
    <col min="13315" max="13317" width="6" style="56" bestFit="1" customWidth="1"/>
    <col min="13318" max="13318" width="5.75" style="56" bestFit="1" customWidth="1"/>
    <col min="13319" max="13319" width="35" style="56" bestFit="1" customWidth="1"/>
    <col min="13320" max="13320" width="2" style="56" customWidth="1"/>
    <col min="13321" max="13323" width="7" style="56" bestFit="1" customWidth="1"/>
    <col min="13324" max="13564" width="9" style="56"/>
    <col min="13565" max="13567" width="6" style="56" bestFit="1" customWidth="1"/>
    <col min="13568" max="13568" width="5" style="56" bestFit="1" customWidth="1"/>
    <col min="13569" max="13569" width="4" style="56" bestFit="1" customWidth="1"/>
    <col min="13570" max="13570" width="5" style="56" bestFit="1" customWidth="1"/>
    <col min="13571" max="13573" width="6" style="56" bestFit="1" customWidth="1"/>
    <col min="13574" max="13574" width="5.75" style="56" bestFit="1" customWidth="1"/>
    <col min="13575" max="13575" width="35" style="56" bestFit="1" customWidth="1"/>
    <col min="13576" max="13576" width="2" style="56" customWidth="1"/>
    <col min="13577" max="13579" width="7" style="56" bestFit="1" customWidth="1"/>
    <col min="13580" max="13820" width="9" style="56"/>
    <col min="13821" max="13823" width="6" style="56" bestFit="1" customWidth="1"/>
    <col min="13824" max="13824" width="5" style="56" bestFit="1" customWidth="1"/>
    <col min="13825" max="13825" width="4" style="56" bestFit="1" customWidth="1"/>
    <col min="13826" max="13826" width="5" style="56" bestFit="1" customWidth="1"/>
    <col min="13827" max="13829" width="6" style="56" bestFit="1" customWidth="1"/>
    <col min="13830" max="13830" width="5.75" style="56" bestFit="1" customWidth="1"/>
    <col min="13831" max="13831" width="35" style="56" bestFit="1" customWidth="1"/>
    <col min="13832" max="13832" width="2" style="56" customWidth="1"/>
    <col min="13833" max="13835" width="7" style="56" bestFit="1" customWidth="1"/>
    <col min="13836" max="14076" width="9" style="56"/>
    <col min="14077" max="14079" width="6" style="56" bestFit="1" customWidth="1"/>
    <col min="14080" max="14080" width="5" style="56" bestFit="1" customWidth="1"/>
    <col min="14081" max="14081" width="4" style="56" bestFit="1" customWidth="1"/>
    <col min="14082" max="14082" width="5" style="56" bestFit="1" customWidth="1"/>
    <col min="14083" max="14085" width="6" style="56" bestFit="1" customWidth="1"/>
    <col min="14086" max="14086" width="5.75" style="56" bestFit="1" customWidth="1"/>
    <col min="14087" max="14087" width="35" style="56" bestFit="1" customWidth="1"/>
    <col min="14088" max="14088" width="2" style="56" customWidth="1"/>
    <col min="14089" max="14091" width="7" style="56" bestFit="1" customWidth="1"/>
    <col min="14092" max="14332" width="9" style="56"/>
    <col min="14333" max="14335" width="6" style="56" bestFit="1" customWidth="1"/>
    <col min="14336" max="14336" width="5" style="56" bestFit="1" customWidth="1"/>
    <col min="14337" max="14337" width="4" style="56" bestFit="1" customWidth="1"/>
    <col min="14338" max="14338" width="5" style="56" bestFit="1" customWidth="1"/>
    <col min="14339" max="14341" width="6" style="56" bestFit="1" customWidth="1"/>
    <col min="14342" max="14342" width="5.75" style="56" bestFit="1" customWidth="1"/>
    <col min="14343" max="14343" width="35" style="56" bestFit="1" customWidth="1"/>
    <col min="14344" max="14344" width="2" style="56" customWidth="1"/>
    <col min="14345" max="14347" width="7" style="56" bestFit="1" customWidth="1"/>
    <col min="14348" max="14588" width="9" style="56"/>
    <col min="14589" max="14591" width="6" style="56" bestFit="1" customWidth="1"/>
    <col min="14592" max="14592" width="5" style="56" bestFit="1" customWidth="1"/>
    <col min="14593" max="14593" width="4" style="56" bestFit="1" customWidth="1"/>
    <col min="14594" max="14594" width="5" style="56" bestFit="1" customWidth="1"/>
    <col min="14595" max="14597" width="6" style="56" bestFit="1" customWidth="1"/>
    <col min="14598" max="14598" width="5.75" style="56" bestFit="1" customWidth="1"/>
    <col min="14599" max="14599" width="35" style="56" bestFit="1" customWidth="1"/>
    <col min="14600" max="14600" width="2" style="56" customWidth="1"/>
    <col min="14601" max="14603" width="7" style="56" bestFit="1" customWidth="1"/>
    <col min="14604" max="14844" width="9" style="56"/>
    <col min="14845" max="14847" width="6" style="56" bestFit="1" customWidth="1"/>
    <col min="14848" max="14848" width="5" style="56" bestFit="1" customWidth="1"/>
    <col min="14849" max="14849" width="4" style="56" bestFit="1" customWidth="1"/>
    <col min="14850" max="14850" width="5" style="56" bestFit="1" customWidth="1"/>
    <col min="14851" max="14853" width="6" style="56" bestFit="1" customWidth="1"/>
    <col min="14854" max="14854" width="5.75" style="56" bestFit="1" customWidth="1"/>
    <col min="14855" max="14855" width="35" style="56" bestFit="1" customWidth="1"/>
    <col min="14856" max="14856" width="2" style="56" customWidth="1"/>
    <col min="14857" max="14859" width="7" style="56" bestFit="1" customWidth="1"/>
    <col min="14860" max="15100" width="9" style="56"/>
    <col min="15101" max="15103" width="6" style="56" bestFit="1" customWidth="1"/>
    <col min="15104" max="15104" width="5" style="56" bestFit="1" customWidth="1"/>
    <col min="15105" max="15105" width="4" style="56" bestFit="1" customWidth="1"/>
    <col min="15106" max="15106" width="5" style="56" bestFit="1" customWidth="1"/>
    <col min="15107" max="15109" width="6" style="56" bestFit="1" customWidth="1"/>
    <col min="15110" max="15110" width="5.75" style="56" bestFit="1" customWidth="1"/>
    <col min="15111" max="15111" width="35" style="56" bestFit="1" customWidth="1"/>
    <col min="15112" max="15112" width="2" style="56" customWidth="1"/>
    <col min="15113" max="15115" width="7" style="56" bestFit="1" customWidth="1"/>
    <col min="15116" max="15356" width="9" style="56"/>
    <col min="15357" max="15359" width="6" style="56" bestFit="1" customWidth="1"/>
    <col min="15360" max="15360" width="5" style="56" bestFit="1" customWidth="1"/>
    <col min="15361" max="15361" width="4" style="56" bestFit="1" customWidth="1"/>
    <col min="15362" max="15362" width="5" style="56" bestFit="1" customWidth="1"/>
    <col min="15363" max="15365" width="6" style="56" bestFit="1" customWidth="1"/>
    <col min="15366" max="15366" width="5.75" style="56" bestFit="1" customWidth="1"/>
    <col min="15367" max="15367" width="35" style="56" bestFit="1" customWidth="1"/>
    <col min="15368" max="15368" width="2" style="56" customWidth="1"/>
    <col min="15369" max="15371" width="7" style="56" bestFit="1" customWidth="1"/>
    <col min="15372" max="15612" width="9" style="56"/>
    <col min="15613" max="15615" width="6" style="56" bestFit="1" customWidth="1"/>
    <col min="15616" max="15616" width="5" style="56" bestFit="1" customWidth="1"/>
    <col min="15617" max="15617" width="4" style="56" bestFit="1" customWidth="1"/>
    <col min="15618" max="15618" width="5" style="56" bestFit="1" customWidth="1"/>
    <col min="15619" max="15621" width="6" style="56" bestFit="1" customWidth="1"/>
    <col min="15622" max="15622" width="5.75" style="56" bestFit="1" customWidth="1"/>
    <col min="15623" max="15623" width="35" style="56" bestFit="1" customWidth="1"/>
    <col min="15624" max="15624" width="2" style="56" customWidth="1"/>
    <col min="15625" max="15627" width="7" style="56" bestFit="1" customWidth="1"/>
    <col min="15628" max="15868" width="9" style="56"/>
    <col min="15869" max="15871" width="6" style="56" bestFit="1" customWidth="1"/>
    <col min="15872" max="15872" width="5" style="56" bestFit="1" customWidth="1"/>
    <col min="15873" max="15873" width="4" style="56" bestFit="1" customWidth="1"/>
    <col min="15874" max="15874" width="5" style="56" bestFit="1" customWidth="1"/>
    <col min="15875" max="15877" width="6" style="56" bestFit="1" customWidth="1"/>
    <col min="15878" max="15878" width="5.75" style="56" bestFit="1" customWidth="1"/>
    <col min="15879" max="15879" width="35" style="56" bestFit="1" customWidth="1"/>
    <col min="15880" max="15880" width="2" style="56" customWidth="1"/>
    <col min="15881" max="15883" width="7" style="56" bestFit="1" customWidth="1"/>
    <col min="15884" max="16124" width="9" style="56"/>
    <col min="16125" max="16127" width="6" style="56" bestFit="1" customWidth="1"/>
    <col min="16128" max="16128" width="5" style="56" bestFit="1" customWidth="1"/>
    <col min="16129" max="16129" width="4" style="56" bestFit="1" customWidth="1"/>
    <col min="16130" max="16130" width="5" style="56" bestFit="1" customWidth="1"/>
    <col min="16131" max="16133" width="6" style="56" bestFit="1" customWidth="1"/>
    <col min="16134" max="16134" width="5.75" style="56" bestFit="1" customWidth="1"/>
    <col min="16135" max="16135" width="35" style="56" bestFit="1" customWidth="1"/>
    <col min="16136" max="16136" width="2" style="56" customWidth="1"/>
    <col min="16137" max="16139" width="7" style="56" bestFit="1" customWidth="1"/>
    <col min="16140" max="16380" width="9" style="56"/>
    <col min="16381" max="16384" width="9.125" style="56" customWidth="1"/>
  </cols>
  <sheetData>
    <row r="1" spans="1:13" ht="12.75" customHeight="1" x14ac:dyDescent="0.2">
      <c r="A1" s="177" t="s">
        <v>327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3" ht="12.75" customHeight="1" thickBot="1" x14ac:dyDescent="0.25">
      <c r="A2" s="178" t="s">
        <v>328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  <c r="M2" s="81"/>
    </row>
    <row r="3" spans="1:13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  <c r="L3" s="55"/>
    </row>
    <row r="4" spans="1:13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  <c r="L4" s="55"/>
    </row>
    <row r="5" spans="1:13" ht="12.75" customHeight="1" thickBot="1" x14ac:dyDescent="0.25">
      <c r="A5" s="60">
        <f t="shared" ref="A5:C20" si="0">G5+D5</f>
        <v>457</v>
      </c>
      <c r="B5" s="60">
        <f t="shared" si="0"/>
        <v>0</v>
      </c>
      <c r="C5" s="60">
        <f>I5+F5</f>
        <v>457</v>
      </c>
      <c r="D5" s="60">
        <f>F5+E5</f>
        <v>0</v>
      </c>
      <c r="E5" s="60">
        <v>0</v>
      </c>
      <c r="F5" s="60">
        <v>0</v>
      </c>
      <c r="G5" s="60">
        <f>I5+H5</f>
        <v>457</v>
      </c>
      <c r="H5" s="60">
        <v>0</v>
      </c>
      <c r="I5" s="60">
        <v>457</v>
      </c>
      <c r="J5" s="65" t="s">
        <v>221</v>
      </c>
      <c r="K5" s="66"/>
      <c r="L5" s="55"/>
    </row>
    <row r="6" spans="1:13" ht="12.75" customHeight="1" thickBot="1" x14ac:dyDescent="0.25">
      <c r="A6" s="60">
        <f t="shared" si="0"/>
        <v>0</v>
      </c>
      <c r="B6" s="60">
        <f t="shared" si="0"/>
        <v>0</v>
      </c>
      <c r="C6" s="60">
        <f t="shared" si="0"/>
        <v>0</v>
      </c>
      <c r="D6" s="60">
        <f t="shared" ref="D6:D60" si="1">F6+E6</f>
        <v>0</v>
      </c>
      <c r="E6" s="60">
        <v>0</v>
      </c>
      <c r="F6" s="60">
        <v>0</v>
      </c>
      <c r="G6" s="60">
        <f t="shared" ref="G6:G60" si="2">I6+H6</f>
        <v>0</v>
      </c>
      <c r="H6" s="60">
        <v>0</v>
      </c>
      <c r="I6" s="60">
        <v>0</v>
      </c>
      <c r="J6" s="65" t="s">
        <v>222</v>
      </c>
      <c r="K6" s="66" t="s">
        <v>329</v>
      </c>
      <c r="L6" s="55"/>
    </row>
    <row r="7" spans="1:13" ht="12.75" customHeight="1" thickBot="1" x14ac:dyDescent="0.25">
      <c r="A7" s="60">
        <f t="shared" si="0"/>
        <v>457</v>
      </c>
      <c r="B7" s="60">
        <f t="shared" si="0"/>
        <v>0</v>
      </c>
      <c r="C7" s="60">
        <f t="shared" si="0"/>
        <v>457</v>
      </c>
      <c r="D7" s="60">
        <f t="shared" ref="D7:I7" si="3">SUM(D5:D6)</f>
        <v>0</v>
      </c>
      <c r="E7" s="60">
        <f t="shared" si="3"/>
        <v>0</v>
      </c>
      <c r="F7" s="60">
        <f t="shared" si="3"/>
        <v>0</v>
      </c>
      <c r="G7" s="60">
        <f t="shared" si="3"/>
        <v>457</v>
      </c>
      <c r="H7" s="60">
        <f t="shared" si="3"/>
        <v>0</v>
      </c>
      <c r="I7" s="60">
        <f t="shared" si="3"/>
        <v>457</v>
      </c>
      <c r="J7" s="65" t="s">
        <v>13</v>
      </c>
      <c r="K7" s="67"/>
      <c r="L7" s="55"/>
    </row>
    <row r="8" spans="1:13" ht="12.75" customHeight="1" thickBot="1" x14ac:dyDescent="0.25">
      <c r="A8" s="60">
        <f t="shared" si="0"/>
        <v>1382</v>
      </c>
      <c r="B8" s="60">
        <f t="shared" si="0"/>
        <v>434</v>
      </c>
      <c r="C8" s="60">
        <f t="shared" si="0"/>
        <v>948</v>
      </c>
      <c r="D8" s="60">
        <f t="shared" si="1"/>
        <v>37</v>
      </c>
      <c r="E8" s="60">
        <v>7</v>
      </c>
      <c r="F8" s="60">
        <v>30</v>
      </c>
      <c r="G8" s="60">
        <f t="shared" si="2"/>
        <v>1345</v>
      </c>
      <c r="H8" s="60">
        <v>427</v>
      </c>
      <c r="I8" s="60">
        <v>918</v>
      </c>
      <c r="J8" s="65" t="s">
        <v>221</v>
      </c>
      <c r="K8" s="66"/>
      <c r="L8" s="55"/>
      <c r="M8" s="69"/>
    </row>
    <row r="9" spans="1:13" ht="12.75" customHeight="1" thickBot="1" x14ac:dyDescent="0.25">
      <c r="A9" s="60">
        <f t="shared" si="0"/>
        <v>0</v>
      </c>
      <c r="B9" s="60">
        <f t="shared" si="0"/>
        <v>0</v>
      </c>
      <c r="C9" s="60">
        <f t="shared" si="0"/>
        <v>0</v>
      </c>
      <c r="D9" s="60">
        <f t="shared" si="1"/>
        <v>0</v>
      </c>
      <c r="E9" s="60">
        <v>0</v>
      </c>
      <c r="F9" s="60">
        <v>0</v>
      </c>
      <c r="G9" s="60">
        <f t="shared" si="2"/>
        <v>0</v>
      </c>
      <c r="H9" s="60">
        <v>0</v>
      </c>
      <c r="I9" s="60">
        <v>0</v>
      </c>
      <c r="J9" s="65" t="s">
        <v>222</v>
      </c>
      <c r="K9" s="66" t="s">
        <v>330</v>
      </c>
      <c r="L9" s="55"/>
    </row>
    <row r="10" spans="1:13" ht="12.75" customHeight="1" thickBot="1" x14ac:dyDescent="0.25">
      <c r="A10" s="60">
        <f t="shared" si="0"/>
        <v>1382</v>
      </c>
      <c r="B10" s="60">
        <f t="shared" si="0"/>
        <v>434</v>
      </c>
      <c r="C10" s="60">
        <f t="shared" si="0"/>
        <v>948</v>
      </c>
      <c r="D10" s="60">
        <f t="shared" ref="D10:I10" si="4">SUM(D8:D9)</f>
        <v>37</v>
      </c>
      <c r="E10" s="60">
        <f t="shared" si="4"/>
        <v>7</v>
      </c>
      <c r="F10" s="60">
        <f t="shared" si="4"/>
        <v>30</v>
      </c>
      <c r="G10" s="60">
        <f t="shared" si="4"/>
        <v>1345</v>
      </c>
      <c r="H10" s="60">
        <f t="shared" si="4"/>
        <v>427</v>
      </c>
      <c r="I10" s="60">
        <f t="shared" si="4"/>
        <v>918</v>
      </c>
      <c r="J10" s="65" t="s">
        <v>13</v>
      </c>
      <c r="K10" s="67"/>
      <c r="L10" s="55"/>
    </row>
    <row r="11" spans="1:13" ht="12.75" customHeight="1" thickBot="1" x14ac:dyDescent="0.25">
      <c r="A11" s="60">
        <f t="shared" si="0"/>
        <v>959</v>
      </c>
      <c r="B11" s="60">
        <f t="shared" si="0"/>
        <v>179</v>
      </c>
      <c r="C11" s="60">
        <f t="shared" si="0"/>
        <v>780</v>
      </c>
      <c r="D11" s="60">
        <f t="shared" si="1"/>
        <v>6</v>
      </c>
      <c r="E11" s="60">
        <v>6</v>
      </c>
      <c r="F11" s="60">
        <v>0</v>
      </c>
      <c r="G11" s="60">
        <f t="shared" si="2"/>
        <v>953</v>
      </c>
      <c r="H11" s="60">
        <v>173</v>
      </c>
      <c r="I11" s="60">
        <v>780</v>
      </c>
      <c r="J11" s="65" t="s">
        <v>221</v>
      </c>
      <c r="K11" s="66"/>
      <c r="L11" s="55"/>
    </row>
    <row r="12" spans="1:13" ht="12.75" customHeight="1" thickBot="1" x14ac:dyDescent="0.25">
      <c r="A12" s="60">
        <f t="shared" si="0"/>
        <v>0</v>
      </c>
      <c r="B12" s="60">
        <f t="shared" si="0"/>
        <v>0</v>
      </c>
      <c r="C12" s="60">
        <f t="shared" si="0"/>
        <v>0</v>
      </c>
      <c r="D12" s="60">
        <f t="shared" si="1"/>
        <v>0</v>
      </c>
      <c r="E12" s="60">
        <v>0</v>
      </c>
      <c r="F12" s="60">
        <v>0</v>
      </c>
      <c r="G12" s="60">
        <f t="shared" si="2"/>
        <v>0</v>
      </c>
      <c r="H12" s="60">
        <v>0</v>
      </c>
      <c r="I12" s="60">
        <v>0</v>
      </c>
      <c r="J12" s="65" t="s">
        <v>222</v>
      </c>
      <c r="K12" s="66" t="s">
        <v>331</v>
      </c>
      <c r="L12" s="55"/>
    </row>
    <row r="13" spans="1:13" ht="12.75" customHeight="1" thickBot="1" x14ac:dyDescent="0.25">
      <c r="A13" s="60">
        <f t="shared" si="0"/>
        <v>959</v>
      </c>
      <c r="B13" s="60">
        <f t="shared" si="0"/>
        <v>179</v>
      </c>
      <c r="C13" s="60">
        <f t="shared" si="0"/>
        <v>780</v>
      </c>
      <c r="D13" s="60">
        <f t="shared" ref="D13:I13" si="5">SUM(D11:D12)</f>
        <v>6</v>
      </c>
      <c r="E13" s="60">
        <f t="shared" si="5"/>
        <v>6</v>
      </c>
      <c r="F13" s="60">
        <f t="shared" si="5"/>
        <v>0</v>
      </c>
      <c r="G13" s="60">
        <f t="shared" si="5"/>
        <v>953</v>
      </c>
      <c r="H13" s="60">
        <f t="shared" si="5"/>
        <v>173</v>
      </c>
      <c r="I13" s="60">
        <f t="shared" si="5"/>
        <v>780</v>
      </c>
      <c r="J13" s="65" t="s">
        <v>13</v>
      </c>
      <c r="K13" s="67"/>
      <c r="L13" s="55"/>
    </row>
    <row r="14" spans="1:13" ht="12.75" customHeight="1" thickBot="1" x14ac:dyDescent="0.25">
      <c r="A14" s="60">
        <f t="shared" si="0"/>
        <v>990</v>
      </c>
      <c r="B14" s="60">
        <f t="shared" si="0"/>
        <v>397</v>
      </c>
      <c r="C14" s="60">
        <f t="shared" si="0"/>
        <v>593</v>
      </c>
      <c r="D14" s="60">
        <f t="shared" si="1"/>
        <v>5</v>
      </c>
      <c r="E14" s="60">
        <v>2</v>
      </c>
      <c r="F14" s="60">
        <v>3</v>
      </c>
      <c r="G14" s="60">
        <f t="shared" si="2"/>
        <v>985</v>
      </c>
      <c r="H14" s="60">
        <f>55+340</f>
        <v>395</v>
      </c>
      <c r="I14" s="60">
        <v>590</v>
      </c>
      <c r="J14" s="65" t="s">
        <v>221</v>
      </c>
      <c r="K14" s="66"/>
      <c r="L14" s="55"/>
    </row>
    <row r="15" spans="1:13" ht="12.75" customHeight="1" thickBot="1" x14ac:dyDescent="0.25">
      <c r="A15" s="60">
        <f t="shared" si="0"/>
        <v>0</v>
      </c>
      <c r="B15" s="60">
        <f t="shared" si="0"/>
        <v>0</v>
      </c>
      <c r="C15" s="60">
        <f t="shared" si="0"/>
        <v>0</v>
      </c>
      <c r="D15" s="60">
        <f t="shared" si="1"/>
        <v>0</v>
      </c>
      <c r="E15" s="60">
        <v>0</v>
      </c>
      <c r="F15" s="60">
        <v>0</v>
      </c>
      <c r="G15" s="60">
        <f t="shared" si="2"/>
        <v>0</v>
      </c>
      <c r="H15" s="60">
        <v>0</v>
      </c>
      <c r="I15" s="60">
        <v>0</v>
      </c>
      <c r="J15" s="65" t="s">
        <v>222</v>
      </c>
      <c r="K15" s="66" t="s">
        <v>332</v>
      </c>
      <c r="L15" s="55"/>
    </row>
    <row r="16" spans="1:13" ht="12.75" customHeight="1" thickBot="1" x14ac:dyDescent="0.25">
      <c r="A16" s="60">
        <f t="shared" si="0"/>
        <v>990</v>
      </c>
      <c r="B16" s="60">
        <f t="shared" si="0"/>
        <v>397</v>
      </c>
      <c r="C16" s="60">
        <f t="shared" si="0"/>
        <v>593</v>
      </c>
      <c r="D16" s="60">
        <f t="shared" ref="D16:I16" si="6">SUM(D14:D15)</f>
        <v>5</v>
      </c>
      <c r="E16" s="60">
        <f t="shared" si="6"/>
        <v>2</v>
      </c>
      <c r="F16" s="60">
        <f t="shared" si="6"/>
        <v>3</v>
      </c>
      <c r="G16" s="60">
        <f t="shared" si="6"/>
        <v>985</v>
      </c>
      <c r="H16" s="60">
        <f t="shared" si="6"/>
        <v>395</v>
      </c>
      <c r="I16" s="60">
        <f t="shared" si="6"/>
        <v>590</v>
      </c>
      <c r="J16" s="65" t="s">
        <v>13</v>
      </c>
      <c r="K16" s="67"/>
      <c r="L16" s="55"/>
    </row>
    <row r="17" spans="1:12" ht="12.75" customHeight="1" thickBot="1" x14ac:dyDescent="0.25">
      <c r="A17" s="60">
        <f t="shared" si="0"/>
        <v>1565</v>
      </c>
      <c r="B17" s="60">
        <f t="shared" si="0"/>
        <v>694</v>
      </c>
      <c r="C17" s="60">
        <f t="shared" si="0"/>
        <v>871</v>
      </c>
      <c r="D17" s="60">
        <f t="shared" si="1"/>
        <v>18</v>
      </c>
      <c r="E17" s="60">
        <v>11</v>
      </c>
      <c r="F17" s="60">
        <v>7</v>
      </c>
      <c r="G17" s="60">
        <f t="shared" si="2"/>
        <v>1547</v>
      </c>
      <c r="H17" s="60">
        <f>47+636</f>
        <v>683</v>
      </c>
      <c r="I17" s="60">
        <f>26+838</f>
        <v>864</v>
      </c>
      <c r="J17" s="65" t="s">
        <v>221</v>
      </c>
      <c r="K17" s="66"/>
      <c r="L17" s="55"/>
    </row>
    <row r="18" spans="1:12" ht="12.75" customHeight="1" thickBot="1" x14ac:dyDescent="0.25">
      <c r="A18" s="60">
        <f t="shared" si="0"/>
        <v>0</v>
      </c>
      <c r="B18" s="60">
        <f t="shared" si="0"/>
        <v>0</v>
      </c>
      <c r="C18" s="60">
        <f t="shared" si="0"/>
        <v>0</v>
      </c>
      <c r="D18" s="60">
        <f t="shared" si="1"/>
        <v>0</v>
      </c>
      <c r="E18" s="60">
        <v>0</v>
      </c>
      <c r="F18" s="60">
        <v>0</v>
      </c>
      <c r="G18" s="60">
        <f t="shared" si="2"/>
        <v>0</v>
      </c>
      <c r="H18" s="60">
        <v>0</v>
      </c>
      <c r="I18" s="60">
        <v>0</v>
      </c>
      <c r="J18" s="65" t="s">
        <v>222</v>
      </c>
      <c r="K18" s="66" t="s">
        <v>333</v>
      </c>
      <c r="L18" s="55"/>
    </row>
    <row r="19" spans="1:12" ht="12.75" customHeight="1" thickBot="1" x14ac:dyDescent="0.25">
      <c r="A19" s="60">
        <f t="shared" si="0"/>
        <v>1565</v>
      </c>
      <c r="B19" s="60">
        <f t="shared" si="0"/>
        <v>694</v>
      </c>
      <c r="C19" s="60">
        <f t="shared" si="0"/>
        <v>871</v>
      </c>
      <c r="D19" s="60">
        <f t="shared" ref="D19:I19" si="7">SUM(D17:D18)</f>
        <v>18</v>
      </c>
      <c r="E19" s="60">
        <f t="shared" si="7"/>
        <v>11</v>
      </c>
      <c r="F19" s="60">
        <f t="shared" si="7"/>
        <v>7</v>
      </c>
      <c r="G19" s="60">
        <f t="shared" si="7"/>
        <v>1547</v>
      </c>
      <c r="H19" s="60">
        <f t="shared" si="7"/>
        <v>683</v>
      </c>
      <c r="I19" s="60">
        <f t="shared" si="7"/>
        <v>864</v>
      </c>
      <c r="J19" s="65" t="s">
        <v>13</v>
      </c>
      <c r="K19" s="67"/>
      <c r="L19" s="55"/>
    </row>
    <row r="20" spans="1:12" ht="12.75" customHeight="1" thickBot="1" x14ac:dyDescent="0.25">
      <c r="A20" s="60">
        <f t="shared" si="0"/>
        <v>610</v>
      </c>
      <c r="B20" s="60">
        <f t="shared" si="0"/>
        <v>0</v>
      </c>
      <c r="C20" s="60">
        <f t="shared" si="0"/>
        <v>610</v>
      </c>
      <c r="D20" s="60">
        <f t="shared" si="1"/>
        <v>10</v>
      </c>
      <c r="E20" s="60">
        <v>0</v>
      </c>
      <c r="F20" s="60">
        <v>10</v>
      </c>
      <c r="G20" s="60">
        <f t="shared" si="2"/>
        <v>600</v>
      </c>
      <c r="H20" s="60">
        <v>0</v>
      </c>
      <c r="I20" s="60">
        <v>600</v>
      </c>
      <c r="J20" s="65" t="s">
        <v>221</v>
      </c>
      <c r="K20" s="66"/>
      <c r="L20" s="55"/>
    </row>
    <row r="21" spans="1:12" ht="12.75" customHeight="1" thickBot="1" x14ac:dyDescent="0.25">
      <c r="A21" s="60">
        <f t="shared" ref="A21:C61" si="8">G21+D21</f>
        <v>0</v>
      </c>
      <c r="B21" s="60">
        <f t="shared" si="8"/>
        <v>0</v>
      </c>
      <c r="C21" s="60">
        <f t="shared" si="8"/>
        <v>0</v>
      </c>
      <c r="D21" s="60">
        <f t="shared" si="1"/>
        <v>0</v>
      </c>
      <c r="E21" s="60">
        <v>0</v>
      </c>
      <c r="F21" s="60">
        <v>0</v>
      </c>
      <c r="G21" s="60">
        <f t="shared" si="2"/>
        <v>0</v>
      </c>
      <c r="H21" s="60">
        <v>0</v>
      </c>
      <c r="I21" s="60">
        <v>0</v>
      </c>
      <c r="J21" s="65" t="s">
        <v>222</v>
      </c>
      <c r="K21" s="66" t="s">
        <v>334</v>
      </c>
      <c r="L21" s="55"/>
    </row>
    <row r="22" spans="1:12" ht="12.75" customHeight="1" thickBot="1" x14ac:dyDescent="0.25">
      <c r="A22" s="60">
        <f t="shared" si="8"/>
        <v>610</v>
      </c>
      <c r="B22" s="60">
        <f t="shared" si="8"/>
        <v>0</v>
      </c>
      <c r="C22" s="60">
        <f t="shared" si="8"/>
        <v>610</v>
      </c>
      <c r="D22" s="60">
        <f t="shared" ref="D22:I22" si="9">SUM(D20:D21)</f>
        <v>10</v>
      </c>
      <c r="E22" s="60">
        <f t="shared" si="9"/>
        <v>0</v>
      </c>
      <c r="F22" s="60">
        <f t="shared" si="9"/>
        <v>10</v>
      </c>
      <c r="G22" s="60">
        <f t="shared" si="9"/>
        <v>600</v>
      </c>
      <c r="H22" s="60">
        <f t="shared" si="9"/>
        <v>0</v>
      </c>
      <c r="I22" s="60">
        <f t="shared" si="9"/>
        <v>600</v>
      </c>
      <c r="J22" s="65" t="s">
        <v>13</v>
      </c>
      <c r="K22" s="67"/>
      <c r="L22" s="55"/>
    </row>
    <row r="23" spans="1:12" ht="12.75" customHeight="1" thickBot="1" x14ac:dyDescent="0.25">
      <c r="A23" s="60">
        <f t="shared" si="8"/>
        <v>274</v>
      </c>
      <c r="B23" s="60">
        <f t="shared" si="8"/>
        <v>127</v>
      </c>
      <c r="C23" s="60">
        <f t="shared" si="8"/>
        <v>147</v>
      </c>
      <c r="D23" s="60">
        <f t="shared" si="1"/>
        <v>0</v>
      </c>
      <c r="E23" s="60">
        <v>0</v>
      </c>
      <c r="F23" s="60">
        <v>0</v>
      </c>
      <c r="G23" s="60">
        <f t="shared" si="2"/>
        <v>274</v>
      </c>
      <c r="H23" s="60">
        <v>127</v>
      </c>
      <c r="I23" s="60">
        <v>147</v>
      </c>
      <c r="J23" s="65" t="s">
        <v>221</v>
      </c>
      <c r="K23" s="66"/>
      <c r="L23" s="55"/>
    </row>
    <row r="24" spans="1:12" ht="12.75" customHeight="1" thickBot="1" x14ac:dyDescent="0.25">
      <c r="A24" s="60">
        <f t="shared" si="8"/>
        <v>0</v>
      </c>
      <c r="B24" s="60">
        <f t="shared" si="8"/>
        <v>0</v>
      </c>
      <c r="C24" s="60">
        <f t="shared" si="8"/>
        <v>0</v>
      </c>
      <c r="D24" s="60">
        <f t="shared" si="1"/>
        <v>0</v>
      </c>
      <c r="E24" s="60">
        <v>0</v>
      </c>
      <c r="F24" s="60">
        <v>0</v>
      </c>
      <c r="G24" s="60">
        <f t="shared" si="2"/>
        <v>0</v>
      </c>
      <c r="H24" s="60">
        <v>0</v>
      </c>
      <c r="I24" s="60">
        <v>0</v>
      </c>
      <c r="J24" s="65" t="s">
        <v>222</v>
      </c>
      <c r="K24" s="66" t="s">
        <v>263</v>
      </c>
      <c r="L24" s="55"/>
    </row>
    <row r="25" spans="1:12" ht="12.75" customHeight="1" thickBot="1" x14ac:dyDescent="0.25">
      <c r="A25" s="60">
        <f t="shared" si="8"/>
        <v>274</v>
      </c>
      <c r="B25" s="60">
        <f t="shared" si="8"/>
        <v>127</v>
      </c>
      <c r="C25" s="60">
        <f t="shared" si="8"/>
        <v>147</v>
      </c>
      <c r="D25" s="60">
        <f t="shared" ref="D25:I25" si="10">SUM(D23:D24)</f>
        <v>0</v>
      </c>
      <c r="E25" s="60">
        <f t="shared" si="10"/>
        <v>0</v>
      </c>
      <c r="F25" s="60">
        <f t="shared" si="10"/>
        <v>0</v>
      </c>
      <c r="G25" s="60">
        <f t="shared" si="10"/>
        <v>274</v>
      </c>
      <c r="H25" s="60">
        <f t="shared" si="10"/>
        <v>127</v>
      </c>
      <c r="I25" s="60">
        <f t="shared" si="10"/>
        <v>147</v>
      </c>
      <c r="J25" s="65" t="s">
        <v>13</v>
      </c>
      <c r="K25" s="67"/>
      <c r="L25" s="55"/>
    </row>
    <row r="26" spans="1:12" ht="12.75" customHeight="1" thickBot="1" x14ac:dyDescent="0.25">
      <c r="A26" s="60">
        <f t="shared" si="8"/>
        <v>1314</v>
      </c>
      <c r="B26" s="60">
        <f t="shared" si="8"/>
        <v>507</v>
      </c>
      <c r="C26" s="60">
        <f t="shared" si="8"/>
        <v>807</v>
      </c>
      <c r="D26" s="60">
        <f t="shared" si="1"/>
        <v>29</v>
      </c>
      <c r="E26" s="60">
        <v>15</v>
      </c>
      <c r="F26" s="60">
        <v>14</v>
      </c>
      <c r="G26" s="60">
        <f t="shared" si="2"/>
        <v>1285</v>
      </c>
      <c r="H26" s="60">
        <f>101+391</f>
        <v>492</v>
      </c>
      <c r="I26" s="60">
        <v>793</v>
      </c>
      <c r="J26" s="65" t="s">
        <v>221</v>
      </c>
      <c r="K26" s="66"/>
      <c r="L26" s="55"/>
    </row>
    <row r="27" spans="1:12" ht="12.75" customHeight="1" thickBot="1" x14ac:dyDescent="0.25">
      <c r="A27" s="60">
        <f t="shared" si="8"/>
        <v>0</v>
      </c>
      <c r="B27" s="60">
        <f t="shared" si="8"/>
        <v>0</v>
      </c>
      <c r="C27" s="60">
        <f t="shared" si="8"/>
        <v>0</v>
      </c>
      <c r="D27" s="60">
        <f t="shared" si="1"/>
        <v>0</v>
      </c>
      <c r="E27" s="60">
        <v>0</v>
      </c>
      <c r="F27" s="60">
        <v>0</v>
      </c>
      <c r="G27" s="60">
        <f t="shared" si="2"/>
        <v>0</v>
      </c>
      <c r="H27" s="60">
        <v>0</v>
      </c>
      <c r="I27" s="60">
        <v>0</v>
      </c>
      <c r="J27" s="65" t="s">
        <v>222</v>
      </c>
      <c r="K27" s="66" t="s">
        <v>335</v>
      </c>
      <c r="L27" s="55"/>
    </row>
    <row r="28" spans="1:12" ht="12.75" customHeight="1" thickBot="1" x14ac:dyDescent="0.25">
      <c r="A28" s="60">
        <f t="shared" si="8"/>
        <v>1314</v>
      </c>
      <c r="B28" s="60">
        <f t="shared" si="8"/>
        <v>507</v>
      </c>
      <c r="C28" s="60">
        <f t="shared" si="8"/>
        <v>807</v>
      </c>
      <c r="D28" s="60">
        <f t="shared" ref="D28:I28" si="11">SUM(D26:D27)</f>
        <v>29</v>
      </c>
      <c r="E28" s="60">
        <f t="shared" si="11"/>
        <v>15</v>
      </c>
      <c r="F28" s="60">
        <f t="shared" si="11"/>
        <v>14</v>
      </c>
      <c r="G28" s="60">
        <f t="shared" si="11"/>
        <v>1285</v>
      </c>
      <c r="H28" s="60">
        <f t="shared" si="11"/>
        <v>492</v>
      </c>
      <c r="I28" s="60">
        <f t="shared" si="11"/>
        <v>793</v>
      </c>
      <c r="J28" s="65" t="s">
        <v>13</v>
      </c>
      <c r="K28" s="67"/>
      <c r="L28" s="55"/>
    </row>
    <row r="29" spans="1:12" ht="12.75" customHeight="1" thickBot="1" x14ac:dyDescent="0.25">
      <c r="A29" s="60">
        <f t="shared" si="8"/>
        <v>1256</v>
      </c>
      <c r="B29" s="60">
        <f t="shared" si="8"/>
        <v>482</v>
      </c>
      <c r="C29" s="60">
        <f t="shared" si="8"/>
        <v>774</v>
      </c>
      <c r="D29" s="60">
        <f t="shared" si="1"/>
        <v>95</v>
      </c>
      <c r="E29" s="60">
        <v>20</v>
      </c>
      <c r="F29" s="60">
        <v>75</v>
      </c>
      <c r="G29" s="60">
        <f t="shared" si="2"/>
        <v>1161</v>
      </c>
      <c r="H29" s="60">
        <f>131+331</f>
        <v>462</v>
      </c>
      <c r="I29" s="60">
        <v>699</v>
      </c>
      <c r="J29" s="65" t="s">
        <v>221</v>
      </c>
      <c r="K29" s="66"/>
      <c r="L29" s="55"/>
    </row>
    <row r="30" spans="1:12" ht="12.75" customHeight="1" thickBot="1" x14ac:dyDescent="0.25">
      <c r="A30" s="60">
        <f t="shared" si="8"/>
        <v>0</v>
      </c>
      <c r="B30" s="60">
        <f t="shared" si="8"/>
        <v>0</v>
      </c>
      <c r="C30" s="60">
        <f t="shared" si="8"/>
        <v>0</v>
      </c>
      <c r="D30" s="60">
        <f t="shared" si="1"/>
        <v>0</v>
      </c>
      <c r="E30" s="60">
        <v>0</v>
      </c>
      <c r="F30" s="60">
        <v>0</v>
      </c>
      <c r="G30" s="60">
        <f t="shared" si="2"/>
        <v>0</v>
      </c>
      <c r="H30" s="60">
        <v>0</v>
      </c>
      <c r="I30" s="60">
        <v>0</v>
      </c>
      <c r="J30" s="65" t="s">
        <v>222</v>
      </c>
      <c r="K30" s="66" t="s">
        <v>336</v>
      </c>
      <c r="L30" s="55"/>
    </row>
    <row r="31" spans="1:12" ht="12.75" customHeight="1" thickBot="1" x14ac:dyDescent="0.25">
      <c r="A31" s="60">
        <f t="shared" si="8"/>
        <v>1256</v>
      </c>
      <c r="B31" s="60">
        <f t="shared" si="8"/>
        <v>482</v>
      </c>
      <c r="C31" s="60">
        <f t="shared" si="8"/>
        <v>774</v>
      </c>
      <c r="D31" s="60">
        <f t="shared" ref="D31:I31" si="12">SUM(D29:D30)</f>
        <v>95</v>
      </c>
      <c r="E31" s="60">
        <f t="shared" si="12"/>
        <v>20</v>
      </c>
      <c r="F31" s="60">
        <f t="shared" si="12"/>
        <v>75</v>
      </c>
      <c r="G31" s="60">
        <f t="shared" si="12"/>
        <v>1161</v>
      </c>
      <c r="H31" s="60">
        <f t="shared" si="12"/>
        <v>462</v>
      </c>
      <c r="I31" s="60">
        <f t="shared" si="12"/>
        <v>699</v>
      </c>
      <c r="J31" s="65" t="s">
        <v>13</v>
      </c>
      <c r="K31" s="67"/>
      <c r="L31" s="55"/>
    </row>
    <row r="32" spans="1:12" ht="12.75" customHeight="1" thickBot="1" x14ac:dyDescent="0.25">
      <c r="A32" s="60">
        <f t="shared" si="8"/>
        <v>452</v>
      </c>
      <c r="B32" s="60">
        <f t="shared" si="8"/>
        <v>263</v>
      </c>
      <c r="C32" s="60">
        <f t="shared" si="8"/>
        <v>189</v>
      </c>
      <c r="D32" s="60">
        <f t="shared" si="1"/>
        <v>0</v>
      </c>
      <c r="E32" s="60">
        <v>0</v>
      </c>
      <c r="F32" s="60">
        <v>0</v>
      </c>
      <c r="G32" s="60">
        <f t="shared" si="2"/>
        <v>452</v>
      </c>
      <c r="H32" s="60">
        <v>263</v>
      </c>
      <c r="I32" s="60">
        <v>189</v>
      </c>
      <c r="J32" s="65" t="s">
        <v>221</v>
      </c>
      <c r="K32" s="66"/>
      <c r="L32" s="55"/>
    </row>
    <row r="33" spans="1:12" ht="12.75" customHeight="1" thickBot="1" x14ac:dyDescent="0.25">
      <c r="A33" s="60">
        <f t="shared" si="8"/>
        <v>0</v>
      </c>
      <c r="B33" s="60">
        <f t="shared" si="8"/>
        <v>0</v>
      </c>
      <c r="C33" s="60">
        <f t="shared" si="8"/>
        <v>0</v>
      </c>
      <c r="D33" s="60">
        <f t="shared" si="1"/>
        <v>0</v>
      </c>
      <c r="E33" s="60">
        <v>0</v>
      </c>
      <c r="F33" s="60">
        <v>0</v>
      </c>
      <c r="G33" s="60">
        <f t="shared" si="2"/>
        <v>0</v>
      </c>
      <c r="H33" s="60">
        <v>0</v>
      </c>
      <c r="I33" s="60">
        <v>0</v>
      </c>
      <c r="J33" s="65" t="s">
        <v>222</v>
      </c>
      <c r="K33" s="66" t="s">
        <v>264</v>
      </c>
      <c r="L33" s="55"/>
    </row>
    <row r="34" spans="1:12" ht="12.75" customHeight="1" thickBot="1" x14ac:dyDescent="0.25">
      <c r="A34" s="60">
        <f t="shared" si="8"/>
        <v>452</v>
      </c>
      <c r="B34" s="60">
        <f t="shared" si="8"/>
        <v>263</v>
      </c>
      <c r="C34" s="60">
        <f t="shared" si="8"/>
        <v>189</v>
      </c>
      <c r="D34" s="60">
        <f t="shared" ref="D34:I34" si="13">SUM(D32:D33)</f>
        <v>0</v>
      </c>
      <c r="E34" s="60">
        <f t="shared" si="13"/>
        <v>0</v>
      </c>
      <c r="F34" s="60">
        <f t="shared" si="13"/>
        <v>0</v>
      </c>
      <c r="G34" s="60">
        <f t="shared" si="13"/>
        <v>452</v>
      </c>
      <c r="H34" s="60">
        <f t="shared" si="13"/>
        <v>263</v>
      </c>
      <c r="I34" s="60">
        <f t="shared" si="13"/>
        <v>189</v>
      </c>
      <c r="J34" s="65" t="s">
        <v>13</v>
      </c>
      <c r="K34" s="67"/>
      <c r="L34" s="55"/>
    </row>
    <row r="35" spans="1:12" ht="12.75" customHeight="1" thickBot="1" x14ac:dyDescent="0.25">
      <c r="A35" s="60">
        <f t="shared" si="8"/>
        <v>156</v>
      </c>
      <c r="B35" s="60">
        <f t="shared" si="8"/>
        <v>81</v>
      </c>
      <c r="C35" s="60">
        <f t="shared" si="8"/>
        <v>75</v>
      </c>
      <c r="D35" s="60">
        <f t="shared" si="1"/>
        <v>0</v>
      </c>
      <c r="E35" s="60">
        <v>0</v>
      </c>
      <c r="F35" s="60">
        <v>0</v>
      </c>
      <c r="G35" s="60">
        <f t="shared" si="2"/>
        <v>156</v>
      </c>
      <c r="H35" s="60">
        <v>81</v>
      </c>
      <c r="I35" s="60">
        <v>75</v>
      </c>
      <c r="J35" s="65" t="s">
        <v>221</v>
      </c>
      <c r="K35" s="66"/>
      <c r="L35" s="55"/>
    </row>
    <row r="36" spans="1:12" ht="12.75" customHeight="1" thickBot="1" x14ac:dyDescent="0.25">
      <c r="A36" s="60">
        <f t="shared" si="8"/>
        <v>0</v>
      </c>
      <c r="B36" s="60">
        <f t="shared" si="8"/>
        <v>0</v>
      </c>
      <c r="C36" s="60">
        <f t="shared" si="8"/>
        <v>0</v>
      </c>
      <c r="D36" s="60">
        <f t="shared" si="1"/>
        <v>0</v>
      </c>
      <c r="E36" s="60">
        <v>0</v>
      </c>
      <c r="F36" s="60">
        <v>0</v>
      </c>
      <c r="G36" s="60">
        <f t="shared" si="2"/>
        <v>0</v>
      </c>
      <c r="H36" s="60">
        <v>0</v>
      </c>
      <c r="I36" s="60">
        <v>0</v>
      </c>
      <c r="J36" s="65" t="s">
        <v>222</v>
      </c>
      <c r="K36" s="66" t="s">
        <v>337</v>
      </c>
      <c r="L36" s="55"/>
    </row>
    <row r="37" spans="1:12" ht="12.75" customHeight="1" thickBot="1" x14ac:dyDescent="0.25">
      <c r="A37" s="60">
        <f t="shared" si="8"/>
        <v>156</v>
      </c>
      <c r="B37" s="60">
        <f t="shared" si="8"/>
        <v>81</v>
      </c>
      <c r="C37" s="60">
        <f t="shared" si="8"/>
        <v>75</v>
      </c>
      <c r="D37" s="60">
        <f t="shared" ref="D37:I37" si="14">SUM(D35:D36)</f>
        <v>0</v>
      </c>
      <c r="E37" s="60">
        <f t="shared" si="14"/>
        <v>0</v>
      </c>
      <c r="F37" s="60">
        <f t="shared" si="14"/>
        <v>0</v>
      </c>
      <c r="G37" s="60">
        <f t="shared" si="14"/>
        <v>156</v>
      </c>
      <c r="H37" s="60">
        <f t="shared" si="14"/>
        <v>81</v>
      </c>
      <c r="I37" s="60">
        <f t="shared" si="14"/>
        <v>75</v>
      </c>
      <c r="J37" s="65" t="s">
        <v>13</v>
      </c>
      <c r="K37" s="67"/>
      <c r="L37" s="55"/>
    </row>
    <row r="38" spans="1:12" ht="12.75" customHeight="1" thickBot="1" x14ac:dyDescent="0.25">
      <c r="A38" s="60">
        <f t="shared" si="8"/>
        <v>388</v>
      </c>
      <c r="B38" s="60">
        <f t="shared" si="8"/>
        <v>123</v>
      </c>
      <c r="C38" s="60">
        <f t="shared" si="8"/>
        <v>265</v>
      </c>
      <c r="D38" s="60">
        <f t="shared" si="1"/>
        <v>0</v>
      </c>
      <c r="E38" s="60">
        <v>0</v>
      </c>
      <c r="F38" s="60">
        <v>0</v>
      </c>
      <c r="G38" s="60">
        <f t="shared" si="2"/>
        <v>388</v>
      </c>
      <c r="H38" s="60">
        <v>123</v>
      </c>
      <c r="I38" s="60">
        <v>265</v>
      </c>
      <c r="J38" s="65" t="s">
        <v>221</v>
      </c>
      <c r="K38" s="66"/>
      <c r="L38" s="55"/>
    </row>
    <row r="39" spans="1:12" ht="12.75" customHeight="1" thickBot="1" x14ac:dyDescent="0.25">
      <c r="A39" s="60">
        <f t="shared" si="8"/>
        <v>0</v>
      </c>
      <c r="B39" s="60">
        <f t="shared" si="8"/>
        <v>0</v>
      </c>
      <c r="C39" s="60">
        <f t="shared" si="8"/>
        <v>0</v>
      </c>
      <c r="D39" s="60">
        <f t="shared" si="1"/>
        <v>0</v>
      </c>
      <c r="E39" s="60">
        <v>0</v>
      </c>
      <c r="F39" s="60">
        <v>0</v>
      </c>
      <c r="G39" s="60">
        <f t="shared" si="2"/>
        <v>0</v>
      </c>
      <c r="H39" s="60">
        <v>0</v>
      </c>
      <c r="I39" s="60">
        <v>0</v>
      </c>
      <c r="J39" s="65" t="s">
        <v>222</v>
      </c>
      <c r="K39" s="66" t="s">
        <v>338</v>
      </c>
      <c r="L39" s="55"/>
    </row>
    <row r="40" spans="1:12" ht="12.75" customHeight="1" thickBot="1" x14ac:dyDescent="0.25">
      <c r="A40" s="60">
        <f t="shared" si="8"/>
        <v>388</v>
      </c>
      <c r="B40" s="60">
        <f t="shared" si="8"/>
        <v>123</v>
      </c>
      <c r="C40" s="60">
        <f t="shared" si="8"/>
        <v>265</v>
      </c>
      <c r="D40" s="60">
        <f t="shared" ref="D40:I40" si="15">SUM(D38:D39)</f>
        <v>0</v>
      </c>
      <c r="E40" s="60">
        <f t="shared" si="15"/>
        <v>0</v>
      </c>
      <c r="F40" s="60">
        <f t="shared" si="15"/>
        <v>0</v>
      </c>
      <c r="G40" s="60">
        <f t="shared" si="15"/>
        <v>388</v>
      </c>
      <c r="H40" s="60">
        <f t="shared" si="15"/>
        <v>123</v>
      </c>
      <c r="I40" s="60">
        <f t="shared" si="15"/>
        <v>265</v>
      </c>
      <c r="J40" s="65" t="s">
        <v>13</v>
      </c>
      <c r="K40" s="67"/>
      <c r="L40" s="55"/>
    </row>
    <row r="41" spans="1:12" ht="12.75" customHeight="1" thickBot="1" x14ac:dyDescent="0.25">
      <c r="A41" s="60">
        <f t="shared" si="8"/>
        <v>352</v>
      </c>
      <c r="B41" s="60">
        <f t="shared" si="8"/>
        <v>352</v>
      </c>
      <c r="C41" s="60">
        <f t="shared" si="8"/>
        <v>0</v>
      </c>
      <c r="D41" s="60">
        <f t="shared" si="1"/>
        <v>1</v>
      </c>
      <c r="E41" s="60">
        <v>1</v>
      </c>
      <c r="F41" s="60">
        <v>0</v>
      </c>
      <c r="G41" s="60">
        <f t="shared" si="2"/>
        <v>351</v>
      </c>
      <c r="H41" s="60">
        <v>351</v>
      </c>
      <c r="I41" s="60">
        <v>0</v>
      </c>
      <c r="J41" s="65" t="s">
        <v>221</v>
      </c>
      <c r="K41" s="66"/>
      <c r="L41" s="55"/>
    </row>
    <row r="42" spans="1:12" ht="12.75" customHeight="1" thickBot="1" x14ac:dyDescent="0.25">
      <c r="A42" s="60">
        <f t="shared" si="8"/>
        <v>0</v>
      </c>
      <c r="B42" s="60">
        <f t="shared" si="8"/>
        <v>0</v>
      </c>
      <c r="C42" s="60">
        <f t="shared" si="8"/>
        <v>0</v>
      </c>
      <c r="D42" s="60">
        <f t="shared" si="1"/>
        <v>0</v>
      </c>
      <c r="E42" s="60">
        <v>0</v>
      </c>
      <c r="F42" s="60">
        <v>0</v>
      </c>
      <c r="G42" s="60">
        <f t="shared" si="2"/>
        <v>0</v>
      </c>
      <c r="H42" s="60">
        <v>0</v>
      </c>
      <c r="I42" s="60">
        <v>0</v>
      </c>
      <c r="J42" s="65" t="s">
        <v>222</v>
      </c>
      <c r="K42" s="66" t="s">
        <v>339</v>
      </c>
      <c r="L42" s="55"/>
    </row>
    <row r="43" spans="1:12" ht="12.75" customHeight="1" thickBot="1" x14ac:dyDescent="0.25">
      <c r="A43" s="60">
        <f t="shared" si="8"/>
        <v>352</v>
      </c>
      <c r="B43" s="60">
        <f t="shared" si="8"/>
        <v>352</v>
      </c>
      <c r="C43" s="60">
        <f t="shared" si="8"/>
        <v>0</v>
      </c>
      <c r="D43" s="60">
        <f t="shared" ref="D43:I43" si="16">SUM(D41:D42)</f>
        <v>1</v>
      </c>
      <c r="E43" s="60">
        <f t="shared" si="16"/>
        <v>1</v>
      </c>
      <c r="F43" s="60">
        <f t="shared" si="16"/>
        <v>0</v>
      </c>
      <c r="G43" s="60">
        <f t="shared" si="16"/>
        <v>351</v>
      </c>
      <c r="H43" s="60">
        <f t="shared" si="16"/>
        <v>351</v>
      </c>
      <c r="I43" s="60">
        <f t="shared" si="16"/>
        <v>0</v>
      </c>
      <c r="J43" s="65" t="s">
        <v>13</v>
      </c>
      <c r="K43" s="67"/>
      <c r="L43" s="55"/>
    </row>
    <row r="44" spans="1:12" ht="12.75" customHeight="1" thickBot="1" x14ac:dyDescent="0.25">
      <c r="A44" s="60">
        <f t="shared" si="8"/>
        <v>359</v>
      </c>
      <c r="B44" s="60">
        <f t="shared" si="8"/>
        <v>359</v>
      </c>
      <c r="C44" s="60">
        <f t="shared" si="8"/>
        <v>0</v>
      </c>
      <c r="D44" s="60">
        <f t="shared" si="1"/>
        <v>22</v>
      </c>
      <c r="E44" s="60">
        <v>22</v>
      </c>
      <c r="F44" s="60">
        <v>0</v>
      </c>
      <c r="G44" s="60">
        <f t="shared" si="2"/>
        <v>337</v>
      </c>
      <c r="H44" s="60">
        <v>337</v>
      </c>
      <c r="I44" s="60">
        <v>0</v>
      </c>
      <c r="J44" s="65" t="s">
        <v>221</v>
      </c>
      <c r="K44" s="66"/>
      <c r="L44" s="55"/>
    </row>
    <row r="45" spans="1:12" ht="12.75" customHeight="1" thickBot="1" x14ac:dyDescent="0.25">
      <c r="A45" s="60">
        <f t="shared" si="8"/>
        <v>0</v>
      </c>
      <c r="B45" s="60">
        <f t="shared" si="8"/>
        <v>0</v>
      </c>
      <c r="C45" s="60">
        <f t="shared" si="8"/>
        <v>0</v>
      </c>
      <c r="D45" s="60">
        <f t="shared" si="1"/>
        <v>0</v>
      </c>
      <c r="E45" s="60">
        <v>0</v>
      </c>
      <c r="F45" s="60">
        <v>0</v>
      </c>
      <c r="G45" s="60">
        <f t="shared" si="2"/>
        <v>0</v>
      </c>
      <c r="H45" s="60">
        <v>0</v>
      </c>
      <c r="I45" s="60">
        <v>0</v>
      </c>
      <c r="J45" s="65" t="s">
        <v>222</v>
      </c>
      <c r="K45" s="66" t="s">
        <v>340</v>
      </c>
      <c r="L45" s="55"/>
    </row>
    <row r="46" spans="1:12" ht="12.75" customHeight="1" thickBot="1" x14ac:dyDescent="0.25">
      <c r="A46" s="60">
        <f t="shared" si="8"/>
        <v>359</v>
      </c>
      <c r="B46" s="60">
        <f t="shared" si="8"/>
        <v>359</v>
      </c>
      <c r="C46" s="60">
        <f t="shared" si="8"/>
        <v>0</v>
      </c>
      <c r="D46" s="60">
        <f t="shared" ref="D46:I46" si="17">SUM(D44:D45)</f>
        <v>22</v>
      </c>
      <c r="E46" s="60">
        <f t="shared" si="17"/>
        <v>22</v>
      </c>
      <c r="F46" s="60">
        <f t="shared" si="17"/>
        <v>0</v>
      </c>
      <c r="G46" s="60">
        <f t="shared" si="17"/>
        <v>337</v>
      </c>
      <c r="H46" s="60">
        <f t="shared" si="17"/>
        <v>337</v>
      </c>
      <c r="I46" s="60">
        <f t="shared" si="17"/>
        <v>0</v>
      </c>
      <c r="J46" s="65" t="s">
        <v>13</v>
      </c>
      <c r="K46" s="67"/>
      <c r="L46" s="55"/>
    </row>
    <row r="47" spans="1:12" ht="12.75" customHeight="1" thickBot="1" x14ac:dyDescent="0.25">
      <c r="A47" s="60">
        <f t="shared" si="8"/>
        <v>770</v>
      </c>
      <c r="B47" s="60">
        <f t="shared" si="8"/>
        <v>770</v>
      </c>
      <c r="C47" s="60">
        <f t="shared" si="8"/>
        <v>0</v>
      </c>
      <c r="D47" s="60">
        <f t="shared" si="1"/>
        <v>1</v>
      </c>
      <c r="E47" s="60">
        <v>1</v>
      </c>
      <c r="F47" s="60">
        <v>0</v>
      </c>
      <c r="G47" s="60">
        <f t="shared" si="2"/>
        <v>769</v>
      </c>
      <c r="H47" s="60">
        <v>769</v>
      </c>
      <c r="I47" s="60">
        <v>0</v>
      </c>
      <c r="J47" s="65" t="s">
        <v>221</v>
      </c>
      <c r="K47" s="66"/>
      <c r="L47" s="55"/>
    </row>
    <row r="48" spans="1:12" ht="12.75" customHeight="1" thickBot="1" x14ac:dyDescent="0.25">
      <c r="A48" s="60">
        <f t="shared" si="8"/>
        <v>484</v>
      </c>
      <c r="B48" s="60">
        <f t="shared" si="8"/>
        <v>484</v>
      </c>
      <c r="C48" s="60">
        <f t="shared" si="8"/>
        <v>0</v>
      </c>
      <c r="D48" s="60">
        <f t="shared" si="1"/>
        <v>0</v>
      </c>
      <c r="E48" s="60">
        <v>0</v>
      </c>
      <c r="F48" s="60">
        <v>0</v>
      </c>
      <c r="G48" s="60">
        <f t="shared" si="2"/>
        <v>484</v>
      </c>
      <c r="H48" s="60">
        <f>355+129</f>
        <v>484</v>
      </c>
      <c r="I48" s="60">
        <v>0</v>
      </c>
      <c r="J48" s="65" t="s">
        <v>222</v>
      </c>
      <c r="K48" s="66" t="s">
        <v>341</v>
      </c>
      <c r="L48" s="55"/>
    </row>
    <row r="49" spans="1:12" ht="12.75" customHeight="1" thickBot="1" x14ac:dyDescent="0.25">
      <c r="A49" s="60">
        <f t="shared" si="8"/>
        <v>1254</v>
      </c>
      <c r="B49" s="60">
        <f t="shared" si="8"/>
        <v>1254</v>
      </c>
      <c r="C49" s="60">
        <f t="shared" si="8"/>
        <v>0</v>
      </c>
      <c r="D49" s="60">
        <f t="shared" ref="D49:I49" si="18">SUM(D47:D48)</f>
        <v>1</v>
      </c>
      <c r="E49" s="60">
        <f t="shared" si="18"/>
        <v>1</v>
      </c>
      <c r="F49" s="60">
        <f t="shared" si="18"/>
        <v>0</v>
      </c>
      <c r="G49" s="60">
        <f t="shared" si="18"/>
        <v>1253</v>
      </c>
      <c r="H49" s="60">
        <f t="shared" si="18"/>
        <v>1253</v>
      </c>
      <c r="I49" s="60">
        <f t="shared" si="18"/>
        <v>0</v>
      </c>
      <c r="J49" s="65" t="s">
        <v>13</v>
      </c>
      <c r="K49" s="67"/>
      <c r="L49" s="55"/>
    </row>
    <row r="50" spans="1:12" ht="12.75" customHeight="1" thickBot="1" x14ac:dyDescent="0.25">
      <c r="A50" s="60">
        <f t="shared" si="8"/>
        <v>751</v>
      </c>
      <c r="B50" s="60">
        <f t="shared" si="8"/>
        <v>751</v>
      </c>
      <c r="C50" s="60">
        <f t="shared" si="8"/>
        <v>0</v>
      </c>
      <c r="D50" s="60">
        <f t="shared" si="1"/>
        <v>0</v>
      </c>
      <c r="E50" s="60">
        <v>0</v>
      </c>
      <c r="F50" s="60">
        <v>0</v>
      </c>
      <c r="G50" s="60">
        <f t="shared" si="2"/>
        <v>751</v>
      </c>
      <c r="H50" s="60">
        <v>751</v>
      </c>
      <c r="I50" s="60">
        <v>0</v>
      </c>
      <c r="J50" s="65" t="s">
        <v>221</v>
      </c>
      <c r="K50" s="66"/>
      <c r="L50" s="55"/>
    </row>
    <row r="51" spans="1:12" ht="12.75" customHeight="1" thickBot="1" x14ac:dyDescent="0.25">
      <c r="A51" s="60">
        <f t="shared" si="8"/>
        <v>0</v>
      </c>
      <c r="B51" s="60">
        <f t="shared" si="8"/>
        <v>0</v>
      </c>
      <c r="C51" s="60">
        <f t="shared" si="8"/>
        <v>0</v>
      </c>
      <c r="D51" s="60">
        <f t="shared" si="1"/>
        <v>0</v>
      </c>
      <c r="E51" s="60">
        <v>0</v>
      </c>
      <c r="F51" s="60">
        <v>0</v>
      </c>
      <c r="G51" s="60">
        <f t="shared" si="2"/>
        <v>0</v>
      </c>
      <c r="H51" s="60">
        <v>0</v>
      </c>
      <c r="I51" s="60">
        <v>0</v>
      </c>
      <c r="J51" s="65" t="s">
        <v>222</v>
      </c>
      <c r="K51" s="66" t="s">
        <v>342</v>
      </c>
      <c r="L51" s="55"/>
    </row>
    <row r="52" spans="1:12" ht="12.75" customHeight="1" thickBot="1" x14ac:dyDescent="0.25">
      <c r="A52" s="60">
        <f t="shared" si="8"/>
        <v>751</v>
      </c>
      <c r="B52" s="60">
        <f t="shared" si="8"/>
        <v>751</v>
      </c>
      <c r="C52" s="60">
        <f t="shared" si="8"/>
        <v>0</v>
      </c>
      <c r="D52" s="60">
        <f t="shared" ref="D52:I52" si="19">SUM(D50:D51)</f>
        <v>0</v>
      </c>
      <c r="E52" s="60">
        <f t="shared" si="19"/>
        <v>0</v>
      </c>
      <c r="F52" s="60">
        <f t="shared" si="19"/>
        <v>0</v>
      </c>
      <c r="G52" s="60">
        <f t="shared" si="19"/>
        <v>751</v>
      </c>
      <c r="H52" s="60">
        <f t="shared" si="19"/>
        <v>751</v>
      </c>
      <c r="I52" s="60">
        <f t="shared" si="19"/>
        <v>0</v>
      </c>
      <c r="J52" s="65" t="s">
        <v>13</v>
      </c>
      <c r="K52" s="67"/>
      <c r="L52" s="55"/>
    </row>
    <row r="53" spans="1:12" ht="12.75" customHeight="1" thickBot="1" x14ac:dyDescent="0.25">
      <c r="A53" s="60">
        <f t="shared" si="8"/>
        <v>548</v>
      </c>
      <c r="B53" s="60">
        <f t="shared" si="8"/>
        <v>0</v>
      </c>
      <c r="C53" s="60">
        <f t="shared" si="8"/>
        <v>548</v>
      </c>
      <c r="D53" s="60">
        <f t="shared" si="1"/>
        <v>0</v>
      </c>
      <c r="E53" s="60">
        <v>0</v>
      </c>
      <c r="F53" s="60">
        <v>0</v>
      </c>
      <c r="G53" s="60">
        <f t="shared" si="2"/>
        <v>548</v>
      </c>
      <c r="H53" s="60">
        <v>0</v>
      </c>
      <c r="I53" s="60">
        <v>548</v>
      </c>
      <c r="J53" s="65" t="s">
        <v>221</v>
      </c>
      <c r="K53" s="66"/>
      <c r="L53" s="55"/>
    </row>
    <row r="54" spans="1:12" ht="12.75" customHeight="1" thickBot="1" x14ac:dyDescent="0.25">
      <c r="A54" s="60">
        <f t="shared" si="8"/>
        <v>0</v>
      </c>
      <c r="B54" s="60">
        <f t="shared" si="8"/>
        <v>0</v>
      </c>
      <c r="C54" s="60">
        <f t="shared" si="8"/>
        <v>0</v>
      </c>
      <c r="D54" s="60">
        <f t="shared" si="1"/>
        <v>0</v>
      </c>
      <c r="E54" s="60">
        <v>0</v>
      </c>
      <c r="F54" s="60">
        <v>0</v>
      </c>
      <c r="G54" s="60">
        <f t="shared" si="2"/>
        <v>0</v>
      </c>
      <c r="H54" s="60">
        <v>0</v>
      </c>
      <c r="I54" s="60">
        <v>0</v>
      </c>
      <c r="J54" s="65" t="s">
        <v>222</v>
      </c>
      <c r="K54" s="66" t="s">
        <v>343</v>
      </c>
      <c r="L54" s="55"/>
    </row>
    <row r="55" spans="1:12" ht="12.75" customHeight="1" thickBot="1" x14ac:dyDescent="0.25">
      <c r="A55" s="60">
        <f t="shared" si="8"/>
        <v>548</v>
      </c>
      <c r="B55" s="60">
        <f t="shared" si="8"/>
        <v>0</v>
      </c>
      <c r="C55" s="60">
        <f t="shared" si="8"/>
        <v>548</v>
      </c>
      <c r="D55" s="60">
        <f t="shared" ref="D55:I55" si="20">SUM(D53:D54)</f>
        <v>0</v>
      </c>
      <c r="E55" s="60">
        <f t="shared" si="20"/>
        <v>0</v>
      </c>
      <c r="F55" s="60">
        <f t="shared" si="20"/>
        <v>0</v>
      </c>
      <c r="G55" s="60">
        <f t="shared" si="20"/>
        <v>548</v>
      </c>
      <c r="H55" s="60">
        <f t="shared" si="20"/>
        <v>0</v>
      </c>
      <c r="I55" s="60">
        <f t="shared" si="20"/>
        <v>548</v>
      </c>
      <c r="J55" s="65" t="s">
        <v>13</v>
      </c>
      <c r="K55" s="67"/>
      <c r="L55" s="55"/>
    </row>
    <row r="56" spans="1:12" ht="12.75" customHeight="1" thickBot="1" x14ac:dyDescent="0.25">
      <c r="A56" s="60">
        <f t="shared" si="8"/>
        <v>599</v>
      </c>
      <c r="B56" s="60">
        <f t="shared" si="8"/>
        <v>599</v>
      </c>
      <c r="C56" s="60">
        <f t="shared" si="8"/>
        <v>0</v>
      </c>
      <c r="D56" s="60">
        <f t="shared" si="1"/>
        <v>0</v>
      </c>
      <c r="E56" s="60">
        <v>0</v>
      </c>
      <c r="F56" s="60">
        <v>0</v>
      </c>
      <c r="G56" s="60">
        <f t="shared" si="2"/>
        <v>599</v>
      </c>
      <c r="H56" s="60">
        <v>599</v>
      </c>
      <c r="I56" s="60">
        <v>0</v>
      </c>
      <c r="J56" s="65" t="s">
        <v>221</v>
      </c>
      <c r="K56" s="66"/>
      <c r="L56" s="55"/>
    </row>
    <row r="57" spans="1:12" ht="12.75" customHeight="1" thickBot="1" x14ac:dyDescent="0.25">
      <c r="A57" s="60">
        <f t="shared" si="8"/>
        <v>1091</v>
      </c>
      <c r="B57" s="60">
        <f t="shared" si="8"/>
        <v>1091</v>
      </c>
      <c r="C57" s="60">
        <f t="shared" si="8"/>
        <v>0</v>
      </c>
      <c r="D57" s="60">
        <f t="shared" si="1"/>
        <v>0</v>
      </c>
      <c r="E57" s="60">
        <v>0</v>
      </c>
      <c r="F57" s="60">
        <v>0</v>
      </c>
      <c r="G57" s="60">
        <f t="shared" si="2"/>
        <v>1091</v>
      </c>
      <c r="H57" s="60">
        <v>1091</v>
      </c>
      <c r="I57" s="60">
        <v>0</v>
      </c>
      <c r="J57" s="65" t="s">
        <v>222</v>
      </c>
      <c r="K57" s="66" t="s">
        <v>344</v>
      </c>
      <c r="L57" s="55"/>
    </row>
    <row r="58" spans="1:12" ht="12.75" customHeight="1" thickBot="1" x14ac:dyDescent="0.25">
      <c r="A58" s="60">
        <f t="shared" si="8"/>
        <v>1690</v>
      </c>
      <c r="B58" s="60">
        <f t="shared" si="8"/>
        <v>1690</v>
      </c>
      <c r="C58" s="60">
        <f t="shared" si="8"/>
        <v>0</v>
      </c>
      <c r="D58" s="60">
        <f t="shared" ref="D58:I58" si="21">SUM(D56:D57)</f>
        <v>0</v>
      </c>
      <c r="E58" s="60">
        <f t="shared" si="21"/>
        <v>0</v>
      </c>
      <c r="F58" s="60">
        <f t="shared" si="21"/>
        <v>0</v>
      </c>
      <c r="G58" s="60">
        <f t="shared" si="21"/>
        <v>1690</v>
      </c>
      <c r="H58" s="60">
        <f t="shared" si="21"/>
        <v>1690</v>
      </c>
      <c r="I58" s="60">
        <f t="shared" si="21"/>
        <v>0</v>
      </c>
      <c r="J58" s="65" t="s">
        <v>13</v>
      </c>
      <c r="K58" s="67"/>
      <c r="L58" s="55"/>
    </row>
    <row r="59" spans="1:12" ht="12.75" customHeight="1" thickBot="1" x14ac:dyDescent="0.25">
      <c r="A59" s="60">
        <f t="shared" si="8"/>
        <v>693</v>
      </c>
      <c r="B59" s="60">
        <f t="shared" si="8"/>
        <v>693</v>
      </c>
      <c r="C59" s="60">
        <f t="shared" si="8"/>
        <v>0</v>
      </c>
      <c r="D59" s="60">
        <f t="shared" si="1"/>
        <v>6</v>
      </c>
      <c r="E59" s="60">
        <v>6</v>
      </c>
      <c r="F59" s="60">
        <v>0</v>
      </c>
      <c r="G59" s="60">
        <f t="shared" si="2"/>
        <v>687</v>
      </c>
      <c r="H59" s="60">
        <v>687</v>
      </c>
      <c r="I59" s="60">
        <v>0</v>
      </c>
      <c r="J59" s="65" t="s">
        <v>221</v>
      </c>
      <c r="K59" s="66"/>
      <c r="L59" s="55"/>
    </row>
    <row r="60" spans="1:12" ht="12.75" customHeight="1" thickBot="1" x14ac:dyDescent="0.25">
      <c r="A60" s="60">
        <f t="shared" si="8"/>
        <v>1247</v>
      </c>
      <c r="B60" s="60">
        <f t="shared" si="8"/>
        <v>1247</v>
      </c>
      <c r="C60" s="60">
        <f t="shared" si="8"/>
        <v>0</v>
      </c>
      <c r="D60" s="60">
        <f t="shared" si="1"/>
        <v>0</v>
      </c>
      <c r="E60" s="60">
        <v>0</v>
      </c>
      <c r="F60" s="60">
        <v>0</v>
      </c>
      <c r="G60" s="60">
        <f t="shared" si="2"/>
        <v>1247</v>
      </c>
      <c r="H60" s="60">
        <v>1247</v>
      </c>
      <c r="I60" s="60">
        <v>0</v>
      </c>
      <c r="J60" s="65" t="s">
        <v>222</v>
      </c>
      <c r="K60" s="66" t="s">
        <v>345</v>
      </c>
      <c r="L60" s="55"/>
    </row>
    <row r="61" spans="1:12" ht="12.75" customHeight="1" thickBot="1" x14ac:dyDescent="0.25">
      <c r="A61" s="60">
        <f t="shared" si="8"/>
        <v>1940</v>
      </c>
      <c r="B61" s="60">
        <f t="shared" si="8"/>
        <v>1940</v>
      </c>
      <c r="C61" s="60">
        <f t="shared" si="8"/>
        <v>0</v>
      </c>
      <c r="D61" s="60">
        <f t="shared" ref="D61:I61" si="22">SUM(D59:D60)</f>
        <v>6</v>
      </c>
      <c r="E61" s="60">
        <f t="shared" si="22"/>
        <v>6</v>
      </c>
      <c r="F61" s="60">
        <f t="shared" si="22"/>
        <v>0</v>
      </c>
      <c r="G61" s="60">
        <f t="shared" si="22"/>
        <v>1934</v>
      </c>
      <c r="H61" s="60">
        <f t="shared" si="22"/>
        <v>1934</v>
      </c>
      <c r="I61" s="60">
        <f t="shared" si="22"/>
        <v>0</v>
      </c>
      <c r="J61" s="65" t="s">
        <v>13</v>
      </c>
      <c r="K61" s="67"/>
      <c r="L61" s="55"/>
    </row>
    <row r="62" spans="1:12" ht="12.75" customHeight="1" thickBot="1" x14ac:dyDescent="0.25">
      <c r="A62" s="60">
        <f t="shared" ref="A62:H64" si="23">A5+A8+A11+A14+A17+A20+A23+A26+A29+A32+A35+A38+A41+A44+A47+A50+A53+A56+A59</f>
        <v>13875</v>
      </c>
      <c r="B62" s="60">
        <f t="shared" si="23"/>
        <v>6811</v>
      </c>
      <c r="C62" s="60">
        <f t="shared" si="23"/>
        <v>7064</v>
      </c>
      <c r="D62" s="60">
        <f t="shared" si="23"/>
        <v>230</v>
      </c>
      <c r="E62" s="60">
        <f t="shared" si="23"/>
        <v>91</v>
      </c>
      <c r="F62" s="60">
        <f t="shared" si="23"/>
        <v>139</v>
      </c>
      <c r="G62" s="60">
        <f t="shared" si="23"/>
        <v>13645</v>
      </c>
      <c r="H62" s="60">
        <f t="shared" si="23"/>
        <v>6720</v>
      </c>
      <c r="I62" s="60">
        <f>I5+I8+I11+I14+I17+I20+I23+I26+I29+I32+I35+I38+I41+I44+I47+I50+I53+I56+I59</f>
        <v>6925</v>
      </c>
      <c r="J62" s="65" t="s">
        <v>224</v>
      </c>
      <c r="K62" s="57"/>
      <c r="L62" s="55"/>
    </row>
    <row r="63" spans="1:12" ht="12.75" customHeight="1" thickBot="1" x14ac:dyDescent="0.25">
      <c r="A63" s="60">
        <f t="shared" si="23"/>
        <v>2822</v>
      </c>
      <c r="B63" s="60">
        <f t="shared" si="23"/>
        <v>2822</v>
      </c>
      <c r="C63" s="60">
        <f t="shared" si="23"/>
        <v>0</v>
      </c>
      <c r="D63" s="60">
        <f t="shared" si="23"/>
        <v>0</v>
      </c>
      <c r="E63" s="60">
        <f t="shared" si="23"/>
        <v>0</v>
      </c>
      <c r="F63" s="60">
        <f t="shared" si="23"/>
        <v>0</v>
      </c>
      <c r="G63" s="60">
        <f t="shared" si="23"/>
        <v>2822</v>
      </c>
      <c r="H63" s="60">
        <f t="shared" si="23"/>
        <v>2822</v>
      </c>
      <c r="I63" s="60">
        <f>I6+I9+I12+I15+I18+I21+I24+I27+I30+I33+I36+I39+I42+I45+I48+I51+I54+I57+I60</f>
        <v>0</v>
      </c>
      <c r="J63" s="65" t="s">
        <v>225</v>
      </c>
      <c r="K63" s="68" t="s">
        <v>211</v>
      </c>
      <c r="L63" s="55"/>
    </row>
    <row r="64" spans="1:12" ht="12.75" customHeight="1" thickBot="1" x14ac:dyDescent="0.25">
      <c r="A64" s="60">
        <f t="shared" si="23"/>
        <v>16697</v>
      </c>
      <c r="B64" s="60">
        <f t="shared" si="23"/>
        <v>9633</v>
      </c>
      <c r="C64" s="60">
        <f t="shared" si="23"/>
        <v>7064</v>
      </c>
      <c r="D64" s="60">
        <f t="shared" si="23"/>
        <v>230</v>
      </c>
      <c r="E64" s="60">
        <f t="shared" si="23"/>
        <v>91</v>
      </c>
      <c r="F64" s="60">
        <f t="shared" si="23"/>
        <v>139</v>
      </c>
      <c r="G64" s="60">
        <f t="shared" si="23"/>
        <v>16467</v>
      </c>
      <c r="H64" s="60">
        <f t="shared" si="23"/>
        <v>9542</v>
      </c>
      <c r="I64" s="60">
        <f>I7+I10+I13+I16+I19+I22+I25+I28+I31+I34+I37+I40+I43+I46+I49+I52+I55+I58+I61</f>
        <v>6925</v>
      </c>
      <c r="J64" s="65" t="s">
        <v>13</v>
      </c>
      <c r="K64" s="59"/>
      <c r="L64" s="55"/>
    </row>
    <row r="65" spans="1:12" ht="12.75" customHeight="1" x14ac:dyDescent="0.2">
      <c r="A65" s="177" t="s">
        <v>327</v>
      </c>
      <c r="B65" s="177"/>
      <c r="C65" s="177"/>
      <c r="D65" s="177"/>
      <c r="E65" s="177"/>
      <c r="F65" s="177"/>
      <c r="G65" s="177"/>
      <c r="H65" s="177"/>
      <c r="I65" s="177"/>
      <c r="J65" s="177"/>
      <c r="K65" s="177"/>
      <c r="L65" s="55"/>
    </row>
    <row r="66" spans="1:12" ht="12.75" customHeight="1" thickBot="1" x14ac:dyDescent="0.25">
      <c r="A66" s="178" t="s">
        <v>328</v>
      </c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55"/>
    </row>
    <row r="67" spans="1:12" ht="12.75" customHeight="1" thickBot="1" x14ac:dyDescent="0.25">
      <c r="A67" s="179" t="s">
        <v>5</v>
      </c>
      <c r="B67" s="179"/>
      <c r="C67" s="179"/>
      <c r="D67" s="179" t="s">
        <v>162</v>
      </c>
      <c r="E67" s="179"/>
      <c r="F67" s="179"/>
      <c r="G67" s="179" t="s">
        <v>163</v>
      </c>
      <c r="H67" s="179"/>
      <c r="I67" s="179"/>
      <c r="J67" s="179" t="s">
        <v>72</v>
      </c>
      <c r="K67" s="179"/>
      <c r="L67" s="55"/>
    </row>
    <row r="68" spans="1:12" ht="12.75" customHeight="1" thickBot="1" x14ac:dyDescent="0.25">
      <c r="A68" s="58" t="s">
        <v>216</v>
      </c>
      <c r="B68" s="58" t="s">
        <v>11</v>
      </c>
      <c r="C68" s="58" t="s">
        <v>10</v>
      </c>
      <c r="D68" s="58" t="s">
        <v>216</v>
      </c>
      <c r="E68" s="58" t="s">
        <v>11</v>
      </c>
      <c r="F68" s="58" t="s">
        <v>10</v>
      </c>
      <c r="G68" s="58" t="s">
        <v>216</v>
      </c>
      <c r="H68" s="58" t="s">
        <v>11</v>
      </c>
      <c r="I68" s="58" t="s">
        <v>10</v>
      </c>
      <c r="J68" s="180" t="s">
        <v>164</v>
      </c>
      <c r="K68" s="180"/>
      <c r="L68" s="55"/>
    </row>
    <row r="69" spans="1:12" ht="12.75" customHeight="1" thickBot="1" x14ac:dyDescent="0.25">
      <c r="A69" s="60">
        <f>G69+D69</f>
        <v>51</v>
      </c>
      <c r="B69" s="60">
        <f>H69+E69</f>
        <v>0</v>
      </c>
      <c r="C69" s="60">
        <f>I69+F69</f>
        <v>51</v>
      </c>
      <c r="D69" s="60">
        <f>F69+E69</f>
        <v>30</v>
      </c>
      <c r="E69" s="60">
        <v>0</v>
      </c>
      <c r="F69" s="60">
        <v>30</v>
      </c>
      <c r="G69" s="60">
        <f t="shared" ref="G69:G82" si="24">I69+H69</f>
        <v>21</v>
      </c>
      <c r="H69" s="60">
        <v>0</v>
      </c>
      <c r="I69" s="60">
        <v>21</v>
      </c>
      <c r="J69" s="65" t="s">
        <v>221</v>
      </c>
      <c r="K69" s="66"/>
      <c r="L69" s="55"/>
    </row>
    <row r="70" spans="1:12" ht="12.75" customHeight="1" thickBot="1" x14ac:dyDescent="0.25">
      <c r="A70" s="60">
        <f>G70+D70</f>
        <v>0</v>
      </c>
      <c r="B70" s="60">
        <f t="shared" ref="B70:C83" si="25">H70+E70</f>
        <v>0</v>
      </c>
      <c r="C70" s="60">
        <f t="shared" si="25"/>
        <v>0</v>
      </c>
      <c r="D70" s="60">
        <f t="shared" ref="D70:D82" si="26">F70+E70</f>
        <v>0</v>
      </c>
      <c r="E70" s="60">
        <v>0</v>
      </c>
      <c r="F70" s="60">
        <v>0</v>
      </c>
      <c r="G70" s="60">
        <f t="shared" si="24"/>
        <v>0</v>
      </c>
      <c r="H70" s="60">
        <v>0</v>
      </c>
      <c r="I70" s="60">
        <v>0</v>
      </c>
      <c r="J70" s="65" t="s">
        <v>222</v>
      </c>
      <c r="K70" s="66" t="s">
        <v>346</v>
      </c>
      <c r="L70" s="55"/>
    </row>
    <row r="71" spans="1:12" ht="12.75" customHeight="1" thickBot="1" x14ac:dyDescent="0.25">
      <c r="A71" s="60">
        <f>G71+D71</f>
        <v>51</v>
      </c>
      <c r="B71" s="60">
        <f t="shared" si="25"/>
        <v>0</v>
      </c>
      <c r="C71" s="60">
        <f t="shared" si="25"/>
        <v>51</v>
      </c>
      <c r="D71" s="60">
        <f t="shared" ref="D71:I71" si="27">SUM(D69:D70)</f>
        <v>30</v>
      </c>
      <c r="E71" s="60">
        <f t="shared" si="27"/>
        <v>0</v>
      </c>
      <c r="F71" s="60">
        <f t="shared" si="27"/>
        <v>30</v>
      </c>
      <c r="G71" s="60">
        <f t="shared" si="27"/>
        <v>21</v>
      </c>
      <c r="H71" s="60">
        <f t="shared" si="27"/>
        <v>0</v>
      </c>
      <c r="I71" s="60">
        <f t="shared" si="27"/>
        <v>21</v>
      </c>
      <c r="J71" s="65" t="s">
        <v>13</v>
      </c>
      <c r="K71" s="67"/>
      <c r="L71" s="55"/>
    </row>
    <row r="72" spans="1:12" ht="12.75" customHeight="1" thickBot="1" x14ac:dyDescent="0.25">
      <c r="A72" s="60">
        <f t="shared" ref="A72:A83" si="28">G72+D72</f>
        <v>150</v>
      </c>
      <c r="B72" s="60">
        <f t="shared" si="25"/>
        <v>0</v>
      </c>
      <c r="C72" s="60">
        <f t="shared" si="25"/>
        <v>150</v>
      </c>
      <c r="D72" s="60">
        <f t="shared" si="26"/>
        <v>139</v>
      </c>
      <c r="E72" s="60">
        <v>0</v>
      </c>
      <c r="F72" s="60">
        <v>139</v>
      </c>
      <c r="G72" s="60">
        <f t="shared" si="24"/>
        <v>11</v>
      </c>
      <c r="H72" s="60">
        <v>0</v>
      </c>
      <c r="I72" s="60">
        <v>11</v>
      </c>
      <c r="J72" s="65" t="s">
        <v>221</v>
      </c>
      <c r="K72" s="66"/>
      <c r="L72" s="55"/>
    </row>
    <row r="73" spans="1:12" ht="12.75" customHeight="1" thickBot="1" x14ac:dyDescent="0.25">
      <c r="A73" s="60">
        <f t="shared" si="28"/>
        <v>0</v>
      </c>
      <c r="B73" s="60">
        <f t="shared" si="25"/>
        <v>0</v>
      </c>
      <c r="C73" s="60">
        <f t="shared" si="25"/>
        <v>0</v>
      </c>
      <c r="D73" s="60">
        <f t="shared" si="26"/>
        <v>0</v>
      </c>
      <c r="E73" s="60">
        <v>0</v>
      </c>
      <c r="F73" s="60">
        <v>0</v>
      </c>
      <c r="G73" s="60">
        <f t="shared" si="24"/>
        <v>0</v>
      </c>
      <c r="H73" s="60">
        <v>0</v>
      </c>
      <c r="I73" s="60">
        <v>0</v>
      </c>
      <c r="J73" s="65" t="s">
        <v>222</v>
      </c>
      <c r="K73" s="66" t="s">
        <v>347</v>
      </c>
      <c r="L73" s="55"/>
    </row>
    <row r="74" spans="1:12" ht="12.75" customHeight="1" thickBot="1" x14ac:dyDescent="0.25">
      <c r="A74" s="60">
        <f t="shared" si="28"/>
        <v>150</v>
      </c>
      <c r="B74" s="60">
        <f t="shared" si="25"/>
        <v>0</v>
      </c>
      <c r="C74" s="60">
        <f t="shared" si="25"/>
        <v>150</v>
      </c>
      <c r="D74" s="60">
        <f t="shared" ref="D74:I74" si="29">SUM(D72:D73)</f>
        <v>139</v>
      </c>
      <c r="E74" s="60">
        <f t="shared" si="29"/>
        <v>0</v>
      </c>
      <c r="F74" s="60">
        <f t="shared" si="29"/>
        <v>139</v>
      </c>
      <c r="G74" s="60">
        <f t="shared" si="29"/>
        <v>11</v>
      </c>
      <c r="H74" s="60">
        <f t="shared" si="29"/>
        <v>0</v>
      </c>
      <c r="I74" s="60">
        <f t="shared" si="29"/>
        <v>11</v>
      </c>
      <c r="J74" s="65" t="s">
        <v>13</v>
      </c>
      <c r="K74" s="67"/>
      <c r="L74" s="55"/>
    </row>
    <row r="75" spans="1:12" ht="12.75" customHeight="1" thickBot="1" x14ac:dyDescent="0.25">
      <c r="A75" s="60">
        <f t="shared" si="28"/>
        <v>1486</v>
      </c>
      <c r="B75" s="60">
        <f t="shared" si="25"/>
        <v>0</v>
      </c>
      <c r="C75" s="60">
        <f t="shared" si="25"/>
        <v>1486</v>
      </c>
      <c r="D75" s="60">
        <f t="shared" si="26"/>
        <v>413</v>
      </c>
      <c r="E75" s="60">
        <v>0</v>
      </c>
      <c r="F75" s="60">
        <v>413</v>
      </c>
      <c r="G75" s="60">
        <f t="shared" si="24"/>
        <v>1073</v>
      </c>
      <c r="H75" s="60">
        <v>0</v>
      </c>
      <c r="I75" s="60">
        <f>1092-19</f>
        <v>1073</v>
      </c>
      <c r="J75" s="65" t="s">
        <v>221</v>
      </c>
      <c r="K75" s="66"/>
      <c r="L75" s="55"/>
    </row>
    <row r="76" spans="1:12" ht="12.75" customHeight="1" thickBot="1" x14ac:dyDescent="0.25">
      <c r="A76" s="60">
        <f t="shared" si="28"/>
        <v>257</v>
      </c>
      <c r="B76" s="60">
        <f t="shared" si="25"/>
        <v>0</v>
      </c>
      <c r="C76" s="60">
        <f t="shared" si="25"/>
        <v>257</v>
      </c>
      <c r="D76" s="60">
        <f t="shared" si="26"/>
        <v>47</v>
      </c>
      <c r="E76" s="60">
        <v>0</v>
      </c>
      <c r="F76" s="60">
        <v>47</v>
      </c>
      <c r="G76" s="60">
        <f t="shared" si="24"/>
        <v>210</v>
      </c>
      <c r="H76" s="60">
        <v>0</v>
      </c>
      <c r="I76" s="60">
        <v>210</v>
      </c>
      <c r="J76" s="65" t="s">
        <v>222</v>
      </c>
      <c r="K76" s="66" t="s">
        <v>348</v>
      </c>
      <c r="L76" s="55"/>
    </row>
    <row r="77" spans="1:12" ht="12.75" customHeight="1" thickBot="1" x14ac:dyDescent="0.25">
      <c r="A77" s="60">
        <f t="shared" si="28"/>
        <v>1743</v>
      </c>
      <c r="B77" s="60">
        <f t="shared" si="25"/>
        <v>0</v>
      </c>
      <c r="C77" s="60">
        <f t="shared" si="25"/>
        <v>1743</v>
      </c>
      <c r="D77" s="60">
        <f t="shared" ref="D77:I77" si="30">SUM(D75:D76)</f>
        <v>460</v>
      </c>
      <c r="E77" s="60">
        <f t="shared" si="30"/>
        <v>0</v>
      </c>
      <c r="F77" s="60">
        <f t="shared" si="30"/>
        <v>460</v>
      </c>
      <c r="G77" s="60">
        <f t="shared" si="30"/>
        <v>1283</v>
      </c>
      <c r="H77" s="60">
        <f t="shared" si="30"/>
        <v>0</v>
      </c>
      <c r="I77" s="60">
        <f t="shared" si="30"/>
        <v>1283</v>
      </c>
      <c r="J77" s="65" t="s">
        <v>13</v>
      </c>
      <c r="K77" s="67"/>
      <c r="L77" s="55"/>
    </row>
    <row r="78" spans="1:12" ht="12.75" customHeight="1" thickBot="1" x14ac:dyDescent="0.25">
      <c r="A78" s="60">
        <f t="shared" si="28"/>
        <v>213</v>
      </c>
      <c r="B78" s="60">
        <f t="shared" si="25"/>
        <v>0</v>
      </c>
      <c r="C78" s="60">
        <f t="shared" si="25"/>
        <v>213</v>
      </c>
      <c r="D78" s="60">
        <f t="shared" si="26"/>
        <v>162</v>
      </c>
      <c r="E78" s="60">
        <v>0</v>
      </c>
      <c r="F78" s="60">
        <v>162</v>
      </c>
      <c r="G78" s="60">
        <f t="shared" si="24"/>
        <v>51</v>
      </c>
      <c r="H78" s="60">
        <v>0</v>
      </c>
      <c r="I78" s="60">
        <v>51</v>
      </c>
      <c r="J78" s="65" t="s">
        <v>221</v>
      </c>
      <c r="K78" s="66"/>
      <c r="L78" s="55"/>
    </row>
    <row r="79" spans="1:12" ht="12.75" customHeight="1" thickBot="1" x14ac:dyDescent="0.25">
      <c r="A79" s="60">
        <f t="shared" si="28"/>
        <v>0</v>
      </c>
      <c r="B79" s="60">
        <f t="shared" si="25"/>
        <v>0</v>
      </c>
      <c r="C79" s="60">
        <f t="shared" si="25"/>
        <v>0</v>
      </c>
      <c r="D79" s="60">
        <f t="shared" si="26"/>
        <v>0</v>
      </c>
      <c r="E79" s="60">
        <v>0</v>
      </c>
      <c r="F79" s="60">
        <v>0</v>
      </c>
      <c r="G79" s="60">
        <f t="shared" si="24"/>
        <v>0</v>
      </c>
      <c r="H79" s="60">
        <v>0</v>
      </c>
      <c r="I79" s="60">
        <v>0</v>
      </c>
      <c r="J79" s="65" t="s">
        <v>222</v>
      </c>
      <c r="K79" s="66" t="s">
        <v>349</v>
      </c>
      <c r="L79" s="55"/>
    </row>
    <row r="80" spans="1:12" ht="12.75" customHeight="1" thickBot="1" x14ac:dyDescent="0.25">
      <c r="A80" s="60">
        <f t="shared" si="28"/>
        <v>213</v>
      </c>
      <c r="B80" s="60">
        <f t="shared" si="25"/>
        <v>0</v>
      </c>
      <c r="C80" s="60">
        <f t="shared" si="25"/>
        <v>213</v>
      </c>
      <c r="D80" s="60">
        <f t="shared" ref="D80:I80" si="31">SUM(D78:D79)</f>
        <v>162</v>
      </c>
      <c r="E80" s="60">
        <f t="shared" si="31"/>
        <v>0</v>
      </c>
      <c r="F80" s="60">
        <f t="shared" si="31"/>
        <v>162</v>
      </c>
      <c r="G80" s="60">
        <f t="shared" si="31"/>
        <v>51</v>
      </c>
      <c r="H80" s="60">
        <f t="shared" si="31"/>
        <v>0</v>
      </c>
      <c r="I80" s="60">
        <f t="shared" si="31"/>
        <v>51</v>
      </c>
      <c r="J80" s="65" t="s">
        <v>13</v>
      </c>
      <c r="K80" s="67"/>
      <c r="L80" s="55"/>
    </row>
    <row r="81" spans="1:12" ht="12.75" customHeight="1" thickBot="1" x14ac:dyDescent="0.25">
      <c r="A81" s="60">
        <f t="shared" si="28"/>
        <v>181</v>
      </c>
      <c r="B81" s="60">
        <f t="shared" si="25"/>
        <v>0</v>
      </c>
      <c r="C81" s="60">
        <f t="shared" si="25"/>
        <v>181</v>
      </c>
      <c r="D81" s="60">
        <f t="shared" si="26"/>
        <v>62</v>
      </c>
      <c r="E81" s="60">
        <v>0</v>
      </c>
      <c r="F81" s="60">
        <v>62</v>
      </c>
      <c r="G81" s="60">
        <f t="shared" si="24"/>
        <v>119</v>
      </c>
      <c r="H81" s="60">
        <v>0</v>
      </c>
      <c r="I81" s="60">
        <v>119</v>
      </c>
      <c r="J81" s="65" t="s">
        <v>221</v>
      </c>
      <c r="K81" s="66"/>
      <c r="L81" s="55"/>
    </row>
    <row r="82" spans="1:12" ht="12.75" customHeight="1" thickBot="1" x14ac:dyDescent="0.25">
      <c r="A82" s="60">
        <f t="shared" si="28"/>
        <v>0</v>
      </c>
      <c r="B82" s="60">
        <f t="shared" si="25"/>
        <v>0</v>
      </c>
      <c r="C82" s="60">
        <f t="shared" si="25"/>
        <v>0</v>
      </c>
      <c r="D82" s="60">
        <f t="shared" si="26"/>
        <v>0</v>
      </c>
      <c r="E82" s="60">
        <v>0</v>
      </c>
      <c r="F82" s="60">
        <v>0</v>
      </c>
      <c r="G82" s="60">
        <f t="shared" si="24"/>
        <v>0</v>
      </c>
      <c r="H82" s="60">
        <v>0</v>
      </c>
      <c r="I82" s="60">
        <v>0</v>
      </c>
      <c r="J82" s="65" t="s">
        <v>222</v>
      </c>
      <c r="K82" s="66" t="s">
        <v>350</v>
      </c>
      <c r="L82" s="55"/>
    </row>
    <row r="83" spans="1:12" ht="12.75" customHeight="1" thickBot="1" x14ac:dyDescent="0.25">
      <c r="A83" s="60">
        <f t="shared" si="28"/>
        <v>181</v>
      </c>
      <c r="B83" s="60">
        <f t="shared" si="25"/>
        <v>0</v>
      </c>
      <c r="C83" s="60">
        <f t="shared" si="25"/>
        <v>181</v>
      </c>
      <c r="D83" s="60">
        <f t="shared" ref="D83:I83" si="32">SUM(D81:D82)</f>
        <v>62</v>
      </c>
      <c r="E83" s="60">
        <f t="shared" si="32"/>
        <v>0</v>
      </c>
      <c r="F83" s="60">
        <f t="shared" si="32"/>
        <v>62</v>
      </c>
      <c r="G83" s="60">
        <f t="shared" si="32"/>
        <v>119</v>
      </c>
      <c r="H83" s="60">
        <f t="shared" si="32"/>
        <v>0</v>
      </c>
      <c r="I83" s="60">
        <f t="shared" si="32"/>
        <v>119</v>
      </c>
      <c r="J83" s="65" t="s">
        <v>13</v>
      </c>
      <c r="K83" s="67"/>
      <c r="L83" s="55"/>
    </row>
    <row r="84" spans="1:12" ht="12.75" customHeight="1" thickBot="1" x14ac:dyDescent="0.25">
      <c r="A84" s="60">
        <f t="shared" ref="A84:H86" si="33">A69+A72+A75+A78+A81</f>
        <v>2081</v>
      </c>
      <c r="B84" s="60">
        <f t="shared" si="33"/>
        <v>0</v>
      </c>
      <c r="C84" s="60">
        <f t="shared" si="33"/>
        <v>2081</v>
      </c>
      <c r="D84" s="60">
        <f t="shared" si="33"/>
        <v>806</v>
      </c>
      <c r="E84" s="60">
        <f t="shared" si="33"/>
        <v>0</v>
      </c>
      <c r="F84" s="60">
        <f t="shared" si="33"/>
        <v>806</v>
      </c>
      <c r="G84" s="60">
        <f t="shared" si="33"/>
        <v>1275</v>
      </c>
      <c r="H84" s="60">
        <f t="shared" si="33"/>
        <v>0</v>
      </c>
      <c r="I84" s="60">
        <f>I69+I72+I75+I78+I81</f>
        <v>1275</v>
      </c>
      <c r="J84" s="65" t="s">
        <v>224</v>
      </c>
      <c r="K84" s="57"/>
      <c r="L84" s="55"/>
    </row>
    <row r="85" spans="1:12" ht="12.75" customHeight="1" thickBot="1" x14ac:dyDescent="0.25">
      <c r="A85" s="60">
        <f t="shared" si="33"/>
        <v>257</v>
      </c>
      <c r="B85" s="60">
        <f t="shared" si="33"/>
        <v>0</v>
      </c>
      <c r="C85" s="60">
        <f t="shared" si="33"/>
        <v>257</v>
      </c>
      <c r="D85" s="60">
        <f t="shared" si="33"/>
        <v>47</v>
      </c>
      <c r="E85" s="60">
        <f t="shared" si="33"/>
        <v>0</v>
      </c>
      <c r="F85" s="60">
        <f t="shared" si="33"/>
        <v>47</v>
      </c>
      <c r="G85" s="60">
        <f t="shared" si="33"/>
        <v>210</v>
      </c>
      <c r="H85" s="60">
        <f t="shared" si="33"/>
        <v>0</v>
      </c>
      <c r="I85" s="60">
        <f>I70+I73+I76+I79+I82</f>
        <v>210</v>
      </c>
      <c r="J85" s="65" t="s">
        <v>225</v>
      </c>
      <c r="K85" s="68" t="s">
        <v>211</v>
      </c>
      <c r="L85" s="55"/>
    </row>
    <row r="86" spans="1:12" ht="12.75" customHeight="1" thickBot="1" x14ac:dyDescent="0.25">
      <c r="A86" s="60">
        <f t="shared" si="33"/>
        <v>2338</v>
      </c>
      <c r="B86" s="60">
        <f t="shared" si="33"/>
        <v>0</v>
      </c>
      <c r="C86" s="60">
        <f t="shared" si="33"/>
        <v>2338</v>
      </c>
      <c r="D86" s="60">
        <f t="shared" si="33"/>
        <v>853</v>
      </c>
      <c r="E86" s="60">
        <f t="shared" si="33"/>
        <v>0</v>
      </c>
      <c r="F86" s="60">
        <f t="shared" si="33"/>
        <v>853</v>
      </c>
      <c r="G86" s="60">
        <f t="shared" si="33"/>
        <v>1485</v>
      </c>
      <c r="H86" s="60">
        <f t="shared" si="33"/>
        <v>0</v>
      </c>
      <c r="I86" s="60">
        <f>I71+I74+I77+I80+I83</f>
        <v>1485</v>
      </c>
      <c r="J86" s="65" t="s">
        <v>13</v>
      </c>
      <c r="K86" s="59"/>
      <c r="L86" s="55"/>
    </row>
    <row r="87" spans="1:12" ht="12.75" customHeight="1" x14ac:dyDescent="0.2">
      <c r="A87" s="177" t="s">
        <v>327</v>
      </c>
      <c r="B87" s="177"/>
      <c r="C87" s="177"/>
      <c r="D87" s="177"/>
      <c r="E87" s="177"/>
      <c r="F87" s="177"/>
      <c r="G87" s="177"/>
      <c r="H87" s="177"/>
      <c r="I87" s="177"/>
      <c r="J87" s="177"/>
      <c r="K87" s="177"/>
      <c r="L87" s="55"/>
    </row>
    <row r="88" spans="1:12" ht="12.75" customHeight="1" thickBot="1" x14ac:dyDescent="0.25">
      <c r="A88" s="178" t="s">
        <v>328</v>
      </c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55"/>
    </row>
    <row r="89" spans="1:12" ht="12.75" customHeight="1" thickBot="1" x14ac:dyDescent="0.25">
      <c r="A89" s="179" t="s">
        <v>5</v>
      </c>
      <c r="B89" s="179"/>
      <c r="C89" s="179"/>
      <c r="D89" s="179" t="s">
        <v>162</v>
      </c>
      <c r="E89" s="179"/>
      <c r="F89" s="179"/>
      <c r="G89" s="179" t="s">
        <v>163</v>
      </c>
      <c r="H89" s="179"/>
      <c r="I89" s="179"/>
      <c r="J89" s="179" t="s">
        <v>72</v>
      </c>
      <c r="K89" s="179"/>
      <c r="L89" s="55"/>
    </row>
    <row r="90" spans="1:12" ht="12.75" customHeight="1" thickBot="1" x14ac:dyDescent="0.25">
      <c r="A90" s="58" t="s">
        <v>216</v>
      </c>
      <c r="B90" s="58" t="s">
        <v>11</v>
      </c>
      <c r="C90" s="58" t="s">
        <v>10</v>
      </c>
      <c r="D90" s="58" t="s">
        <v>216</v>
      </c>
      <c r="E90" s="58" t="s">
        <v>11</v>
      </c>
      <c r="F90" s="58" t="s">
        <v>10</v>
      </c>
      <c r="G90" s="58" t="s">
        <v>216</v>
      </c>
      <c r="H90" s="58" t="s">
        <v>11</v>
      </c>
      <c r="I90" s="58" t="s">
        <v>10</v>
      </c>
      <c r="J90" s="180" t="s">
        <v>76</v>
      </c>
      <c r="K90" s="180"/>
      <c r="L90" s="55"/>
    </row>
    <row r="91" spans="1:12" ht="12.75" customHeight="1" thickBot="1" x14ac:dyDescent="0.25">
      <c r="A91" s="60">
        <f t="shared" ref="A91:C92" si="34">G91+D91</f>
        <v>625</v>
      </c>
      <c r="B91" s="60">
        <f t="shared" si="34"/>
        <v>0</v>
      </c>
      <c r="C91" s="60">
        <f t="shared" si="34"/>
        <v>625</v>
      </c>
      <c r="D91" s="60">
        <f>F91+E91</f>
        <v>5</v>
      </c>
      <c r="E91" s="60">
        <v>0</v>
      </c>
      <c r="F91" s="60">
        <v>5</v>
      </c>
      <c r="G91" s="60">
        <f>I91+H91</f>
        <v>620</v>
      </c>
      <c r="H91" s="60">
        <v>0</v>
      </c>
      <c r="I91" s="60">
        <v>620</v>
      </c>
      <c r="J91" s="65" t="s">
        <v>221</v>
      </c>
      <c r="K91" s="66"/>
      <c r="L91" s="55"/>
    </row>
    <row r="92" spans="1:12" ht="12.75" customHeight="1" thickBot="1" x14ac:dyDescent="0.25">
      <c r="A92" s="60">
        <f t="shared" si="34"/>
        <v>140</v>
      </c>
      <c r="B92" s="60">
        <f t="shared" si="34"/>
        <v>5</v>
      </c>
      <c r="C92" s="60">
        <f t="shared" si="34"/>
        <v>135</v>
      </c>
      <c r="D92" s="60">
        <f>F92+E92</f>
        <v>1</v>
      </c>
      <c r="E92" s="60">
        <v>1</v>
      </c>
      <c r="F92" s="60">
        <v>0</v>
      </c>
      <c r="G92" s="60">
        <f>I92+H92</f>
        <v>139</v>
      </c>
      <c r="H92" s="60">
        <v>4</v>
      </c>
      <c r="I92" s="60">
        <v>135</v>
      </c>
      <c r="J92" s="65" t="s">
        <v>222</v>
      </c>
      <c r="K92" s="66" t="s">
        <v>351</v>
      </c>
      <c r="L92" s="55"/>
    </row>
    <row r="93" spans="1:12" ht="12.75" customHeight="1" thickBot="1" x14ac:dyDescent="0.25">
      <c r="A93" s="60">
        <f t="shared" ref="A93:I93" si="35">SUM(A91:A92)</f>
        <v>765</v>
      </c>
      <c r="B93" s="60">
        <f t="shared" si="35"/>
        <v>5</v>
      </c>
      <c r="C93" s="60">
        <f t="shared" si="35"/>
        <v>760</v>
      </c>
      <c r="D93" s="60">
        <f t="shared" si="35"/>
        <v>6</v>
      </c>
      <c r="E93" s="60">
        <f t="shared" si="35"/>
        <v>1</v>
      </c>
      <c r="F93" s="60">
        <f t="shared" si="35"/>
        <v>5</v>
      </c>
      <c r="G93" s="60">
        <f t="shared" si="35"/>
        <v>759</v>
      </c>
      <c r="H93" s="60">
        <f t="shared" si="35"/>
        <v>4</v>
      </c>
      <c r="I93" s="60">
        <f t="shared" si="35"/>
        <v>755</v>
      </c>
      <c r="J93" s="65" t="s">
        <v>13</v>
      </c>
      <c r="K93" s="67"/>
      <c r="L93" s="55"/>
    </row>
    <row r="94" spans="1:12" ht="12.75" customHeight="1" thickBot="1" x14ac:dyDescent="0.25">
      <c r="A94" s="60">
        <f t="shared" ref="A94:C122" si="36">G94+D94</f>
        <v>1404</v>
      </c>
      <c r="B94" s="60">
        <f t="shared" si="36"/>
        <v>644</v>
      </c>
      <c r="C94" s="60">
        <f t="shared" si="36"/>
        <v>760</v>
      </c>
      <c r="D94" s="60">
        <f>F94+E94</f>
        <v>31</v>
      </c>
      <c r="E94" s="60">
        <v>9</v>
      </c>
      <c r="F94" s="60">
        <v>22</v>
      </c>
      <c r="G94" s="60">
        <f>I94+H94</f>
        <v>1373</v>
      </c>
      <c r="H94" s="60">
        <v>635</v>
      </c>
      <c r="I94" s="60">
        <v>738</v>
      </c>
      <c r="J94" s="65" t="s">
        <v>221</v>
      </c>
      <c r="K94" s="66"/>
      <c r="L94" s="55"/>
    </row>
    <row r="95" spans="1:12" ht="12.75" customHeight="1" thickBot="1" x14ac:dyDescent="0.25">
      <c r="A95" s="60">
        <f t="shared" si="36"/>
        <v>895</v>
      </c>
      <c r="B95" s="60">
        <f t="shared" si="36"/>
        <v>247</v>
      </c>
      <c r="C95" s="60">
        <f t="shared" si="36"/>
        <v>648</v>
      </c>
      <c r="D95" s="60">
        <f>F95+E95</f>
        <v>1</v>
      </c>
      <c r="E95" s="60">
        <v>1</v>
      </c>
      <c r="F95" s="60">
        <v>0</v>
      </c>
      <c r="G95" s="60">
        <f>I95+H95</f>
        <v>894</v>
      </c>
      <c r="H95" s="60">
        <v>246</v>
      </c>
      <c r="I95" s="60">
        <v>648</v>
      </c>
      <c r="J95" s="65" t="s">
        <v>222</v>
      </c>
      <c r="K95" s="66" t="s">
        <v>352</v>
      </c>
      <c r="L95" s="55"/>
    </row>
    <row r="96" spans="1:12" ht="12.75" customHeight="1" thickBot="1" x14ac:dyDescent="0.25">
      <c r="A96" s="60">
        <f t="shared" ref="A96:I96" si="37">SUM(A94:A95)</f>
        <v>2299</v>
      </c>
      <c r="B96" s="60">
        <f t="shared" si="37"/>
        <v>891</v>
      </c>
      <c r="C96" s="60">
        <f t="shared" si="37"/>
        <v>1408</v>
      </c>
      <c r="D96" s="60">
        <f t="shared" si="37"/>
        <v>32</v>
      </c>
      <c r="E96" s="60">
        <f t="shared" si="37"/>
        <v>10</v>
      </c>
      <c r="F96" s="60">
        <f t="shared" si="37"/>
        <v>22</v>
      </c>
      <c r="G96" s="60">
        <f t="shared" si="37"/>
        <v>2267</v>
      </c>
      <c r="H96" s="60">
        <f t="shared" si="37"/>
        <v>881</v>
      </c>
      <c r="I96" s="60">
        <f t="shared" si="37"/>
        <v>1386</v>
      </c>
      <c r="J96" s="65" t="s">
        <v>13</v>
      </c>
      <c r="K96" s="67"/>
      <c r="L96" s="55"/>
    </row>
    <row r="97" spans="1:12" ht="12.75" customHeight="1" thickBot="1" x14ac:dyDescent="0.25">
      <c r="A97" s="60">
        <f t="shared" si="36"/>
        <v>1815</v>
      </c>
      <c r="B97" s="60">
        <f t="shared" si="36"/>
        <v>1006</v>
      </c>
      <c r="C97" s="60">
        <f t="shared" si="36"/>
        <v>809</v>
      </c>
      <c r="D97" s="60">
        <f>F97+E97</f>
        <v>41</v>
      </c>
      <c r="E97" s="60">
        <v>10</v>
      </c>
      <c r="F97" s="60">
        <v>31</v>
      </c>
      <c r="G97" s="60">
        <f>I97+H97</f>
        <v>1774</v>
      </c>
      <c r="H97" s="60">
        <v>996</v>
      </c>
      <c r="I97" s="60">
        <v>778</v>
      </c>
      <c r="J97" s="65" t="s">
        <v>221</v>
      </c>
      <c r="K97" s="66"/>
      <c r="L97" s="55"/>
    </row>
    <row r="98" spans="1:12" ht="12.75" customHeight="1" thickBot="1" x14ac:dyDescent="0.25">
      <c r="A98" s="60">
        <f t="shared" si="36"/>
        <v>993</v>
      </c>
      <c r="B98" s="60">
        <f t="shared" si="36"/>
        <v>495</v>
      </c>
      <c r="C98" s="60">
        <f t="shared" si="36"/>
        <v>498</v>
      </c>
      <c r="D98" s="60">
        <f>F98+E98</f>
        <v>2</v>
      </c>
      <c r="E98" s="60">
        <v>2</v>
      </c>
      <c r="F98" s="60">
        <v>0</v>
      </c>
      <c r="G98" s="60">
        <f>I98+H98</f>
        <v>991</v>
      </c>
      <c r="H98" s="60">
        <v>493</v>
      </c>
      <c r="I98" s="60">
        <v>498</v>
      </c>
      <c r="J98" s="65" t="s">
        <v>222</v>
      </c>
      <c r="K98" s="66" t="s">
        <v>353</v>
      </c>
      <c r="L98" s="55"/>
    </row>
    <row r="99" spans="1:12" ht="12.75" customHeight="1" thickBot="1" x14ac:dyDescent="0.25">
      <c r="A99" s="60">
        <f t="shared" ref="A99:I99" si="38">SUM(A97:A98)</f>
        <v>2808</v>
      </c>
      <c r="B99" s="60">
        <f t="shared" si="38"/>
        <v>1501</v>
      </c>
      <c r="C99" s="60">
        <f t="shared" si="38"/>
        <v>1307</v>
      </c>
      <c r="D99" s="60">
        <f t="shared" si="38"/>
        <v>43</v>
      </c>
      <c r="E99" s="60">
        <f t="shared" si="38"/>
        <v>12</v>
      </c>
      <c r="F99" s="60">
        <f t="shared" si="38"/>
        <v>31</v>
      </c>
      <c r="G99" s="60">
        <f t="shared" si="38"/>
        <v>2765</v>
      </c>
      <c r="H99" s="60">
        <f t="shared" si="38"/>
        <v>1489</v>
      </c>
      <c r="I99" s="60">
        <f t="shared" si="38"/>
        <v>1276</v>
      </c>
      <c r="J99" s="65" t="s">
        <v>13</v>
      </c>
      <c r="K99" s="67"/>
      <c r="L99" s="55"/>
    </row>
    <row r="100" spans="1:12" ht="12.75" customHeight="1" thickBot="1" x14ac:dyDescent="0.25">
      <c r="A100" s="60">
        <f t="shared" si="36"/>
        <v>799</v>
      </c>
      <c r="B100" s="60">
        <f t="shared" si="36"/>
        <v>503</v>
      </c>
      <c r="C100" s="60">
        <f t="shared" si="36"/>
        <v>296</v>
      </c>
      <c r="D100" s="60">
        <f>F100+E100</f>
        <v>13</v>
      </c>
      <c r="E100" s="60">
        <v>8</v>
      </c>
      <c r="F100" s="60">
        <v>5</v>
      </c>
      <c r="G100" s="60">
        <f>I100+H100</f>
        <v>786</v>
      </c>
      <c r="H100" s="60">
        <v>495</v>
      </c>
      <c r="I100" s="60">
        <v>291</v>
      </c>
      <c r="J100" s="65" t="s">
        <v>221</v>
      </c>
      <c r="K100" s="66"/>
      <c r="L100" s="55"/>
    </row>
    <row r="101" spans="1:12" ht="12.75" customHeight="1" thickBot="1" x14ac:dyDescent="0.25">
      <c r="A101" s="60">
        <f t="shared" si="36"/>
        <v>0</v>
      </c>
      <c r="B101" s="60">
        <f t="shared" si="36"/>
        <v>0</v>
      </c>
      <c r="C101" s="60">
        <f t="shared" si="36"/>
        <v>0</v>
      </c>
      <c r="D101" s="60">
        <f>F101+E101</f>
        <v>0</v>
      </c>
      <c r="E101" s="60">
        <v>0</v>
      </c>
      <c r="F101" s="60">
        <v>0</v>
      </c>
      <c r="G101" s="60">
        <f>I101+H101</f>
        <v>0</v>
      </c>
      <c r="H101" s="60">
        <v>0</v>
      </c>
      <c r="I101" s="60">
        <v>0</v>
      </c>
      <c r="J101" s="65" t="s">
        <v>222</v>
      </c>
      <c r="K101" s="66" t="s">
        <v>354</v>
      </c>
      <c r="L101" s="55"/>
    </row>
    <row r="102" spans="1:12" ht="12.75" customHeight="1" thickBot="1" x14ac:dyDescent="0.25">
      <c r="A102" s="60">
        <f t="shared" ref="A102:I102" si="39">SUM(A100:A101)</f>
        <v>799</v>
      </c>
      <c r="B102" s="60">
        <f t="shared" si="39"/>
        <v>503</v>
      </c>
      <c r="C102" s="60">
        <f t="shared" si="39"/>
        <v>296</v>
      </c>
      <c r="D102" s="60">
        <f t="shared" si="39"/>
        <v>13</v>
      </c>
      <c r="E102" s="60">
        <f t="shared" si="39"/>
        <v>8</v>
      </c>
      <c r="F102" s="60">
        <f t="shared" si="39"/>
        <v>5</v>
      </c>
      <c r="G102" s="60">
        <f t="shared" si="39"/>
        <v>786</v>
      </c>
      <c r="H102" s="60">
        <f t="shared" si="39"/>
        <v>495</v>
      </c>
      <c r="I102" s="60">
        <f t="shared" si="39"/>
        <v>291</v>
      </c>
      <c r="J102" s="65" t="s">
        <v>13</v>
      </c>
      <c r="K102" s="67"/>
      <c r="L102" s="55"/>
    </row>
    <row r="103" spans="1:12" ht="12.75" customHeight="1" thickBot="1" x14ac:dyDescent="0.25">
      <c r="A103" s="60">
        <f t="shared" si="36"/>
        <v>999</v>
      </c>
      <c r="B103" s="60">
        <f t="shared" si="36"/>
        <v>501</v>
      </c>
      <c r="C103" s="60">
        <f t="shared" si="36"/>
        <v>498</v>
      </c>
      <c r="D103" s="60">
        <f>F103+E103</f>
        <v>6</v>
      </c>
      <c r="E103" s="60">
        <v>3</v>
      </c>
      <c r="F103" s="60">
        <v>3</v>
      </c>
      <c r="G103" s="60">
        <f>I103+H103</f>
        <v>993</v>
      </c>
      <c r="H103" s="60">
        <v>498</v>
      </c>
      <c r="I103" s="60">
        <v>495</v>
      </c>
      <c r="J103" s="65" t="s">
        <v>221</v>
      </c>
      <c r="K103" s="66"/>
      <c r="L103" s="55"/>
    </row>
    <row r="104" spans="1:12" ht="12.75" customHeight="1" thickBot="1" x14ac:dyDescent="0.25">
      <c r="A104" s="60">
        <f t="shared" si="36"/>
        <v>0</v>
      </c>
      <c r="B104" s="60">
        <f t="shared" si="36"/>
        <v>0</v>
      </c>
      <c r="C104" s="60">
        <f t="shared" si="36"/>
        <v>0</v>
      </c>
      <c r="D104" s="60">
        <f>F104+E104</f>
        <v>0</v>
      </c>
      <c r="E104" s="60">
        <v>0</v>
      </c>
      <c r="F104" s="60">
        <v>0</v>
      </c>
      <c r="G104" s="60">
        <f>I104+H104</f>
        <v>0</v>
      </c>
      <c r="H104" s="60">
        <v>0</v>
      </c>
      <c r="I104" s="60">
        <v>0</v>
      </c>
      <c r="J104" s="65" t="s">
        <v>222</v>
      </c>
      <c r="K104" s="66" t="s">
        <v>355</v>
      </c>
      <c r="L104" s="55"/>
    </row>
    <row r="105" spans="1:12" ht="12.75" customHeight="1" thickBot="1" x14ac:dyDescent="0.25">
      <c r="A105" s="60">
        <f t="shared" ref="A105:I105" si="40">SUM(A103:A104)</f>
        <v>999</v>
      </c>
      <c r="B105" s="60">
        <f t="shared" si="40"/>
        <v>501</v>
      </c>
      <c r="C105" s="60">
        <f t="shared" si="40"/>
        <v>498</v>
      </c>
      <c r="D105" s="60">
        <f t="shared" si="40"/>
        <v>6</v>
      </c>
      <c r="E105" s="60">
        <f t="shared" si="40"/>
        <v>3</v>
      </c>
      <c r="F105" s="60">
        <f t="shared" si="40"/>
        <v>3</v>
      </c>
      <c r="G105" s="60">
        <f t="shared" si="40"/>
        <v>993</v>
      </c>
      <c r="H105" s="60">
        <f t="shared" si="40"/>
        <v>498</v>
      </c>
      <c r="I105" s="60">
        <f t="shared" si="40"/>
        <v>495</v>
      </c>
      <c r="J105" s="65" t="s">
        <v>13</v>
      </c>
      <c r="K105" s="67"/>
      <c r="L105" s="55"/>
    </row>
    <row r="106" spans="1:12" ht="12.75" customHeight="1" thickBot="1" x14ac:dyDescent="0.25">
      <c r="A106" s="60">
        <f t="shared" si="36"/>
        <v>1084</v>
      </c>
      <c r="B106" s="60">
        <f t="shared" si="36"/>
        <v>657</v>
      </c>
      <c r="C106" s="60">
        <f t="shared" si="36"/>
        <v>427</v>
      </c>
      <c r="D106" s="60">
        <f>F106+E106</f>
        <v>23</v>
      </c>
      <c r="E106" s="60">
        <v>11</v>
      </c>
      <c r="F106" s="60">
        <v>12</v>
      </c>
      <c r="G106" s="60">
        <f>I106+H106</f>
        <v>1061</v>
      </c>
      <c r="H106" s="60">
        <v>646</v>
      </c>
      <c r="I106" s="60">
        <v>415</v>
      </c>
      <c r="J106" s="65" t="s">
        <v>221</v>
      </c>
      <c r="K106" s="66"/>
      <c r="L106" s="55"/>
    </row>
    <row r="107" spans="1:12" ht="12.75" customHeight="1" thickBot="1" x14ac:dyDescent="0.25">
      <c r="A107" s="60">
        <f t="shared" si="36"/>
        <v>127</v>
      </c>
      <c r="B107" s="60">
        <f t="shared" si="36"/>
        <v>60</v>
      </c>
      <c r="C107" s="60">
        <f t="shared" si="36"/>
        <v>67</v>
      </c>
      <c r="D107" s="60">
        <f>F107+E107</f>
        <v>0</v>
      </c>
      <c r="E107" s="60">
        <v>0</v>
      </c>
      <c r="F107" s="60">
        <v>0</v>
      </c>
      <c r="G107" s="60">
        <f>I107+H107</f>
        <v>127</v>
      </c>
      <c r="H107" s="60">
        <v>60</v>
      </c>
      <c r="I107" s="60">
        <v>67</v>
      </c>
      <c r="J107" s="65" t="s">
        <v>222</v>
      </c>
      <c r="K107" s="66" t="s">
        <v>356</v>
      </c>
      <c r="L107" s="55"/>
    </row>
    <row r="108" spans="1:12" ht="12.75" customHeight="1" thickBot="1" x14ac:dyDescent="0.25">
      <c r="A108" s="60">
        <f t="shared" ref="A108:I108" si="41">SUM(A106:A107)</f>
        <v>1211</v>
      </c>
      <c r="B108" s="60">
        <f t="shared" si="41"/>
        <v>717</v>
      </c>
      <c r="C108" s="60">
        <f t="shared" si="41"/>
        <v>494</v>
      </c>
      <c r="D108" s="60">
        <f t="shared" si="41"/>
        <v>23</v>
      </c>
      <c r="E108" s="60">
        <f t="shared" si="41"/>
        <v>11</v>
      </c>
      <c r="F108" s="60">
        <f t="shared" si="41"/>
        <v>12</v>
      </c>
      <c r="G108" s="60">
        <f t="shared" si="41"/>
        <v>1188</v>
      </c>
      <c r="H108" s="60">
        <f t="shared" si="41"/>
        <v>706</v>
      </c>
      <c r="I108" s="60">
        <f t="shared" si="41"/>
        <v>482</v>
      </c>
      <c r="J108" s="65" t="s">
        <v>13</v>
      </c>
      <c r="K108" s="67"/>
      <c r="L108" s="55"/>
    </row>
    <row r="109" spans="1:12" ht="12.75" customHeight="1" thickBot="1" x14ac:dyDescent="0.25">
      <c r="A109" s="60">
        <f t="shared" si="36"/>
        <v>1929</v>
      </c>
      <c r="B109" s="60">
        <f t="shared" si="36"/>
        <v>663</v>
      </c>
      <c r="C109" s="60">
        <f t="shared" si="36"/>
        <v>1266</v>
      </c>
      <c r="D109" s="60">
        <f>F109+E109</f>
        <v>66</v>
      </c>
      <c r="E109" s="60">
        <v>19</v>
      </c>
      <c r="F109" s="60">
        <v>47</v>
      </c>
      <c r="G109" s="60">
        <f>I109+H109</f>
        <v>1863</v>
      </c>
      <c r="H109" s="60">
        <v>644</v>
      </c>
      <c r="I109" s="60">
        <v>1219</v>
      </c>
      <c r="J109" s="65" t="s">
        <v>221</v>
      </c>
      <c r="K109" s="66"/>
      <c r="L109" s="55"/>
    </row>
    <row r="110" spans="1:12" ht="12.75" customHeight="1" thickBot="1" x14ac:dyDescent="0.25">
      <c r="A110" s="60">
        <f t="shared" si="36"/>
        <v>648</v>
      </c>
      <c r="B110" s="60">
        <f t="shared" si="36"/>
        <v>141</v>
      </c>
      <c r="C110" s="60">
        <f t="shared" si="36"/>
        <v>507</v>
      </c>
      <c r="D110" s="60">
        <f>F110+E110</f>
        <v>12</v>
      </c>
      <c r="E110" s="60">
        <v>6</v>
      </c>
      <c r="F110" s="60">
        <v>6</v>
      </c>
      <c r="G110" s="60">
        <f>I110+H110</f>
        <v>636</v>
      </c>
      <c r="H110" s="60">
        <v>135</v>
      </c>
      <c r="I110" s="60">
        <v>501</v>
      </c>
      <c r="J110" s="65" t="s">
        <v>222</v>
      </c>
      <c r="K110" s="66" t="s">
        <v>348</v>
      </c>
      <c r="L110" s="55"/>
    </row>
    <row r="111" spans="1:12" ht="12.75" customHeight="1" thickBot="1" x14ac:dyDescent="0.25">
      <c r="A111" s="60">
        <f t="shared" ref="A111:I111" si="42">SUM(A109:A110)</f>
        <v>2577</v>
      </c>
      <c r="B111" s="60">
        <f t="shared" si="42"/>
        <v>804</v>
      </c>
      <c r="C111" s="60">
        <f t="shared" si="42"/>
        <v>1773</v>
      </c>
      <c r="D111" s="60">
        <f t="shared" si="42"/>
        <v>78</v>
      </c>
      <c r="E111" s="60">
        <f t="shared" si="42"/>
        <v>25</v>
      </c>
      <c r="F111" s="60">
        <f t="shared" si="42"/>
        <v>53</v>
      </c>
      <c r="G111" s="60">
        <f t="shared" si="42"/>
        <v>2499</v>
      </c>
      <c r="H111" s="60">
        <f t="shared" si="42"/>
        <v>779</v>
      </c>
      <c r="I111" s="60">
        <f t="shared" si="42"/>
        <v>1720</v>
      </c>
      <c r="J111" s="65" t="s">
        <v>13</v>
      </c>
      <c r="K111" s="67"/>
      <c r="L111" s="55"/>
    </row>
    <row r="112" spans="1:12" ht="12.75" customHeight="1" thickBot="1" x14ac:dyDescent="0.25">
      <c r="A112" s="60">
        <f t="shared" si="36"/>
        <v>828</v>
      </c>
      <c r="B112" s="60">
        <f t="shared" si="36"/>
        <v>0</v>
      </c>
      <c r="C112" s="60">
        <f t="shared" si="36"/>
        <v>828</v>
      </c>
      <c r="D112" s="60">
        <f>F112+E112</f>
        <v>11</v>
      </c>
      <c r="E112" s="60">
        <v>0</v>
      </c>
      <c r="F112" s="60">
        <v>11</v>
      </c>
      <c r="G112" s="60">
        <f>I112+H112</f>
        <v>817</v>
      </c>
      <c r="H112" s="60">
        <v>0</v>
      </c>
      <c r="I112" s="60">
        <v>817</v>
      </c>
      <c r="J112" s="65" t="s">
        <v>221</v>
      </c>
      <c r="K112" s="66"/>
      <c r="L112" s="55"/>
    </row>
    <row r="113" spans="1:12" ht="12.75" customHeight="1" thickBot="1" x14ac:dyDescent="0.25">
      <c r="A113" s="60">
        <f t="shared" si="36"/>
        <v>0</v>
      </c>
      <c r="B113" s="60">
        <f t="shared" si="36"/>
        <v>0</v>
      </c>
      <c r="C113" s="60">
        <f t="shared" si="36"/>
        <v>0</v>
      </c>
      <c r="D113" s="60">
        <f>F113+E113</f>
        <v>0</v>
      </c>
      <c r="E113" s="60">
        <v>0</v>
      </c>
      <c r="F113" s="60">
        <v>0</v>
      </c>
      <c r="G113" s="60">
        <f>I113+H113</f>
        <v>0</v>
      </c>
      <c r="H113" s="60">
        <v>0</v>
      </c>
      <c r="I113" s="60">
        <v>0</v>
      </c>
      <c r="J113" s="65" t="s">
        <v>222</v>
      </c>
      <c r="K113" s="66" t="s">
        <v>357</v>
      </c>
      <c r="L113" s="55"/>
    </row>
    <row r="114" spans="1:12" ht="12.75" customHeight="1" thickBot="1" x14ac:dyDescent="0.25">
      <c r="A114" s="60">
        <f t="shared" ref="A114:I114" si="43">SUM(A112:A113)</f>
        <v>828</v>
      </c>
      <c r="B114" s="60">
        <f t="shared" si="43"/>
        <v>0</v>
      </c>
      <c r="C114" s="60">
        <f t="shared" si="43"/>
        <v>828</v>
      </c>
      <c r="D114" s="60">
        <f t="shared" si="43"/>
        <v>11</v>
      </c>
      <c r="E114" s="60">
        <f t="shared" si="43"/>
        <v>0</v>
      </c>
      <c r="F114" s="60">
        <f t="shared" si="43"/>
        <v>11</v>
      </c>
      <c r="G114" s="60">
        <f t="shared" si="43"/>
        <v>817</v>
      </c>
      <c r="H114" s="60">
        <f t="shared" si="43"/>
        <v>0</v>
      </c>
      <c r="I114" s="60">
        <f t="shared" si="43"/>
        <v>817</v>
      </c>
      <c r="J114" s="65" t="s">
        <v>13</v>
      </c>
      <c r="K114" s="67"/>
      <c r="L114" s="55"/>
    </row>
    <row r="115" spans="1:12" ht="12.75" customHeight="1" thickBot="1" x14ac:dyDescent="0.25">
      <c r="A115" s="60">
        <f t="shared" si="36"/>
        <v>953</v>
      </c>
      <c r="B115" s="60">
        <f t="shared" si="36"/>
        <v>0</v>
      </c>
      <c r="C115" s="60">
        <f t="shared" si="36"/>
        <v>953</v>
      </c>
      <c r="D115" s="60">
        <f>F115+E115</f>
        <v>7</v>
      </c>
      <c r="E115" s="60">
        <v>0</v>
      </c>
      <c r="F115" s="60">
        <v>7</v>
      </c>
      <c r="G115" s="60">
        <f>I115+H115</f>
        <v>946</v>
      </c>
      <c r="H115" s="60">
        <v>0</v>
      </c>
      <c r="I115" s="60">
        <v>946</v>
      </c>
      <c r="J115" s="65" t="s">
        <v>221</v>
      </c>
      <c r="K115" s="66"/>
      <c r="L115" s="55"/>
    </row>
    <row r="116" spans="1:12" ht="12.75" customHeight="1" thickBot="1" x14ac:dyDescent="0.25">
      <c r="A116" s="60">
        <f t="shared" si="36"/>
        <v>0</v>
      </c>
      <c r="B116" s="60">
        <f t="shared" si="36"/>
        <v>0</v>
      </c>
      <c r="C116" s="60">
        <f t="shared" si="36"/>
        <v>0</v>
      </c>
      <c r="D116" s="60">
        <f>F116+E116</f>
        <v>0</v>
      </c>
      <c r="E116" s="60">
        <v>0</v>
      </c>
      <c r="F116" s="60">
        <v>0</v>
      </c>
      <c r="G116" s="60">
        <f>I116+H116</f>
        <v>0</v>
      </c>
      <c r="H116" s="60">
        <v>0</v>
      </c>
      <c r="I116" s="60">
        <v>0</v>
      </c>
      <c r="J116" s="65" t="s">
        <v>222</v>
      </c>
      <c r="K116" s="66" t="s">
        <v>358</v>
      </c>
      <c r="L116" s="55"/>
    </row>
    <row r="117" spans="1:12" ht="12.75" customHeight="1" thickBot="1" x14ac:dyDescent="0.25">
      <c r="A117" s="60">
        <f t="shared" ref="A117:I117" si="44">SUM(A115:A116)</f>
        <v>953</v>
      </c>
      <c r="B117" s="60">
        <f t="shared" si="44"/>
        <v>0</v>
      </c>
      <c r="C117" s="60">
        <f t="shared" si="44"/>
        <v>953</v>
      </c>
      <c r="D117" s="60">
        <f t="shared" si="44"/>
        <v>7</v>
      </c>
      <c r="E117" s="60">
        <f t="shared" si="44"/>
        <v>0</v>
      </c>
      <c r="F117" s="60">
        <f t="shared" si="44"/>
        <v>7</v>
      </c>
      <c r="G117" s="60">
        <f t="shared" si="44"/>
        <v>946</v>
      </c>
      <c r="H117" s="60">
        <f t="shared" si="44"/>
        <v>0</v>
      </c>
      <c r="I117" s="60">
        <f t="shared" si="44"/>
        <v>946</v>
      </c>
      <c r="J117" s="65" t="s">
        <v>13</v>
      </c>
      <c r="K117" s="67"/>
      <c r="L117" s="55"/>
    </row>
    <row r="118" spans="1:12" ht="12.75" customHeight="1" thickBot="1" x14ac:dyDescent="0.25">
      <c r="A118" s="60">
        <f>G118+D118</f>
        <v>179</v>
      </c>
      <c r="B118" s="60">
        <f t="shared" si="36"/>
        <v>0</v>
      </c>
      <c r="C118" s="60">
        <f t="shared" si="36"/>
        <v>179</v>
      </c>
      <c r="D118" s="60">
        <f>F118+E118</f>
        <v>0</v>
      </c>
      <c r="E118" s="60">
        <v>0</v>
      </c>
      <c r="F118" s="60">
        <v>0</v>
      </c>
      <c r="G118" s="60">
        <f>I118+H118</f>
        <v>179</v>
      </c>
      <c r="H118" s="60">
        <v>0</v>
      </c>
      <c r="I118" s="60">
        <v>179</v>
      </c>
      <c r="J118" s="65" t="s">
        <v>221</v>
      </c>
      <c r="K118" s="66"/>
      <c r="L118" s="55"/>
    </row>
    <row r="119" spans="1:12" ht="12.75" customHeight="1" thickBot="1" x14ac:dyDescent="0.25">
      <c r="A119" s="60">
        <f t="shared" si="36"/>
        <v>0</v>
      </c>
      <c r="B119" s="60">
        <f t="shared" si="36"/>
        <v>0</v>
      </c>
      <c r="C119" s="60">
        <f t="shared" si="36"/>
        <v>0</v>
      </c>
      <c r="D119" s="60">
        <f>F119+E119</f>
        <v>0</v>
      </c>
      <c r="E119" s="60">
        <v>0</v>
      </c>
      <c r="F119" s="60">
        <v>0</v>
      </c>
      <c r="G119" s="60">
        <f>I119+H119</f>
        <v>0</v>
      </c>
      <c r="H119" s="60">
        <v>0</v>
      </c>
      <c r="I119" s="60">
        <v>0</v>
      </c>
      <c r="J119" s="65" t="s">
        <v>222</v>
      </c>
      <c r="K119" s="66" t="s">
        <v>359</v>
      </c>
      <c r="L119" s="55"/>
    </row>
    <row r="120" spans="1:12" ht="12.75" customHeight="1" thickBot="1" x14ac:dyDescent="0.25">
      <c r="A120" s="60">
        <f t="shared" ref="A120:I120" si="45">SUM(A118:A119)</f>
        <v>179</v>
      </c>
      <c r="B120" s="60">
        <f t="shared" si="45"/>
        <v>0</v>
      </c>
      <c r="C120" s="60">
        <f t="shared" si="45"/>
        <v>179</v>
      </c>
      <c r="D120" s="60">
        <f t="shared" si="45"/>
        <v>0</v>
      </c>
      <c r="E120" s="60">
        <f t="shared" si="45"/>
        <v>0</v>
      </c>
      <c r="F120" s="60">
        <f t="shared" si="45"/>
        <v>0</v>
      </c>
      <c r="G120" s="60">
        <f t="shared" si="45"/>
        <v>179</v>
      </c>
      <c r="H120" s="60">
        <f t="shared" si="45"/>
        <v>0</v>
      </c>
      <c r="I120" s="60">
        <f t="shared" si="45"/>
        <v>179</v>
      </c>
      <c r="J120" s="65" t="s">
        <v>13</v>
      </c>
      <c r="K120" s="67"/>
      <c r="L120" s="55"/>
    </row>
    <row r="121" spans="1:12" ht="12.75" customHeight="1" thickBot="1" x14ac:dyDescent="0.25">
      <c r="A121" s="60">
        <f t="shared" si="36"/>
        <v>380</v>
      </c>
      <c r="B121" s="60">
        <f t="shared" si="36"/>
        <v>70</v>
      </c>
      <c r="C121" s="60">
        <f t="shared" si="36"/>
        <v>310</v>
      </c>
      <c r="D121" s="60">
        <f>F121+E121</f>
        <v>0</v>
      </c>
      <c r="E121" s="60">
        <v>0</v>
      </c>
      <c r="F121" s="60">
        <v>0</v>
      </c>
      <c r="G121" s="60">
        <f>I121+H121</f>
        <v>380</v>
      </c>
      <c r="H121" s="60">
        <v>70</v>
      </c>
      <c r="I121" s="60">
        <v>310</v>
      </c>
      <c r="J121" s="65" t="s">
        <v>221</v>
      </c>
      <c r="K121" s="66"/>
      <c r="L121" s="55"/>
    </row>
    <row r="122" spans="1:12" ht="12.75" customHeight="1" thickBot="1" x14ac:dyDescent="0.25">
      <c r="A122" s="60">
        <f t="shared" si="36"/>
        <v>3</v>
      </c>
      <c r="B122" s="60">
        <f t="shared" si="36"/>
        <v>2</v>
      </c>
      <c r="C122" s="60">
        <f t="shared" si="36"/>
        <v>1</v>
      </c>
      <c r="D122" s="60">
        <f>F122+E122</f>
        <v>0</v>
      </c>
      <c r="E122" s="60">
        <v>0</v>
      </c>
      <c r="F122" s="60">
        <v>0</v>
      </c>
      <c r="G122" s="60">
        <f>I122+H122</f>
        <v>3</v>
      </c>
      <c r="H122" s="60">
        <v>2</v>
      </c>
      <c r="I122" s="60">
        <v>1</v>
      </c>
      <c r="J122" s="65" t="s">
        <v>222</v>
      </c>
      <c r="K122" s="66" t="s">
        <v>75</v>
      </c>
      <c r="L122" s="55"/>
    </row>
    <row r="123" spans="1:12" ht="12.75" customHeight="1" thickBot="1" x14ac:dyDescent="0.25">
      <c r="A123" s="60">
        <f t="shared" ref="A123:F123" si="46">SUM(A121:A122)</f>
        <v>383</v>
      </c>
      <c r="B123" s="60">
        <f t="shared" si="46"/>
        <v>72</v>
      </c>
      <c r="C123" s="60">
        <f t="shared" si="46"/>
        <v>311</v>
      </c>
      <c r="D123" s="60">
        <f t="shared" si="46"/>
        <v>0</v>
      </c>
      <c r="E123" s="60">
        <f t="shared" si="46"/>
        <v>0</v>
      </c>
      <c r="F123" s="60">
        <f t="shared" si="46"/>
        <v>0</v>
      </c>
      <c r="G123" s="60">
        <f>SUM(G121:G122)</f>
        <v>383</v>
      </c>
      <c r="H123" s="60">
        <f>SUM(H121:H122)</f>
        <v>72</v>
      </c>
      <c r="I123" s="60">
        <f>SUM(I121:I122)</f>
        <v>311</v>
      </c>
      <c r="J123" s="65" t="s">
        <v>13</v>
      </c>
      <c r="K123" s="67"/>
      <c r="L123" s="55"/>
    </row>
    <row r="124" spans="1:12" ht="12.75" customHeight="1" thickBot="1" x14ac:dyDescent="0.25">
      <c r="A124" s="60">
        <f t="shared" ref="A124:H126" si="47">A91+A94+A97+A100+A103+A106+A109+A112+A115+A118+A121</f>
        <v>10995</v>
      </c>
      <c r="B124" s="60">
        <f t="shared" si="47"/>
        <v>4044</v>
      </c>
      <c r="C124" s="60">
        <f t="shared" si="47"/>
        <v>6951</v>
      </c>
      <c r="D124" s="60">
        <f t="shared" si="47"/>
        <v>203</v>
      </c>
      <c r="E124" s="60">
        <f t="shared" si="47"/>
        <v>60</v>
      </c>
      <c r="F124" s="60">
        <f t="shared" si="47"/>
        <v>143</v>
      </c>
      <c r="G124" s="60">
        <f t="shared" si="47"/>
        <v>10792</v>
      </c>
      <c r="H124" s="60">
        <f t="shared" si="47"/>
        <v>3984</v>
      </c>
      <c r="I124" s="60">
        <f>I91+I94+I97+I100+I103+I106+I109+I112+I115+I118+I121</f>
        <v>6808</v>
      </c>
      <c r="J124" s="65" t="s">
        <v>224</v>
      </c>
      <c r="K124" s="57"/>
      <c r="L124" s="55"/>
    </row>
    <row r="125" spans="1:12" ht="12.75" customHeight="1" thickBot="1" x14ac:dyDescent="0.25">
      <c r="A125" s="60">
        <f t="shared" si="47"/>
        <v>2806</v>
      </c>
      <c r="B125" s="60">
        <f t="shared" si="47"/>
        <v>950</v>
      </c>
      <c r="C125" s="60">
        <f>C92+C95+C98+C101+C104+C107+C110+C113+C116+C119+C122</f>
        <v>1856</v>
      </c>
      <c r="D125" s="60">
        <f t="shared" si="47"/>
        <v>16</v>
      </c>
      <c r="E125" s="60">
        <f t="shared" si="47"/>
        <v>10</v>
      </c>
      <c r="F125" s="60">
        <f t="shared" si="47"/>
        <v>6</v>
      </c>
      <c r="G125" s="60">
        <f>G92+G95+G98+G101+G104+G107+G110+G113+G116+G119+G122</f>
        <v>2790</v>
      </c>
      <c r="H125" s="60">
        <f t="shared" si="47"/>
        <v>940</v>
      </c>
      <c r="I125" s="60">
        <f>I92+I95+I98+I101+I104+I107+I110+I113+I116+I119+I122</f>
        <v>1850</v>
      </c>
      <c r="J125" s="65" t="s">
        <v>225</v>
      </c>
      <c r="K125" s="68" t="s">
        <v>211</v>
      </c>
      <c r="L125" s="55"/>
    </row>
    <row r="126" spans="1:12" ht="12.75" customHeight="1" thickBot="1" x14ac:dyDescent="0.25">
      <c r="A126" s="60">
        <f t="shared" si="47"/>
        <v>13801</v>
      </c>
      <c r="B126" s="60">
        <f t="shared" si="47"/>
        <v>4994</v>
      </c>
      <c r="C126" s="60">
        <f>C93+C96+C99+C102+C105+C108+C111+C114+C117+C120+C123</f>
        <v>8807</v>
      </c>
      <c r="D126" s="60">
        <f t="shared" si="47"/>
        <v>219</v>
      </c>
      <c r="E126" s="60">
        <f t="shared" si="47"/>
        <v>70</v>
      </c>
      <c r="F126" s="60">
        <f t="shared" si="47"/>
        <v>149</v>
      </c>
      <c r="G126" s="60">
        <f t="shared" si="47"/>
        <v>13582</v>
      </c>
      <c r="H126" s="60">
        <f t="shared" si="47"/>
        <v>4924</v>
      </c>
      <c r="I126" s="60">
        <f>I93+I96+I99+I102+I105+I108+I111+I114+I117+I120+I123</f>
        <v>8658</v>
      </c>
      <c r="J126" s="65" t="s">
        <v>13</v>
      </c>
      <c r="K126" s="59"/>
      <c r="L126" s="55"/>
    </row>
    <row r="127" spans="1:12" ht="12.75" customHeight="1" x14ac:dyDescent="0.2">
      <c r="A127" s="177" t="s">
        <v>327</v>
      </c>
      <c r="B127" s="177"/>
      <c r="C127" s="177"/>
      <c r="D127" s="177"/>
      <c r="E127" s="177"/>
      <c r="F127" s="177"/>
      <c r="G127" s="177"/>
      <c r="H127" s="177"/>
      <c r="I127" s="177"/>
      <c r="J127" s="177"/>
      <c r="K127" s="177"/>
      <c r="L127" s="55"/>
    </row>
    <row r="128" spans="1:12" ht="12.75" customHeight="1" thickBot="1" x14ac:dyDescent="0.25">
      <c r="A128" s="178" t="s">
        <v>328</v>
      </c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55"/>
    </row>
    <row r="129" spans="1:12" ht="12.75" customHeight="1" thickBot="1" x14ac:dyDescent="0.25">
      <c r="A129" s="179" t="s">
        <v>5</v>
      </c>
      <c r="B129" s="179"/>
      <c r="C129" s="179"/>
      <c r="D129" s="179" t="s">
        <v>162</v>
      </c>
      <c r="E129" s="179"/>
      <c r="F129" s="179"/>
      <c r="G129" s="179" t="s">
        <v>163</v>
      </c>
      <c r="H129" s="179"/>
      <c r="I129" s="179"/>
      <c r="J129" s="179" t="s">
        <v>72</v>
      </c>
      <c r="K129" s="179"/>
      <c r="L129" s="55"/>
    </row>
    <row r="130" spans="1:12" ht="12.75" customHeight="1" thickBot="1" x14ac:dyDescent="0.25">
      <c r="A130" s="58" t="s">
        <v>216</v>
      </c>
      <c r="B130" s="58" t="s">
        <v>11</v>
      </c>
      <c r="C130" s="58" t="s">
        <v>10</v>
      </c>
      <c r="D130" s="58" t="s">
        <v>216</v>
      </c>
      <c r="E130" s="58" t="s">
        <v>11</v>
      </c>
      <c r="F130" s="58" t="s">
        <v>10</v>
      </c>
      <c r="G130" s="58" t="s">
        <v>216</v>
      </c>
      <c r="H130" s="58" t="s">
        <v>11</v>
      </c>
      <c r="I130" s="58" t="s">
        <v>10</v>
      </c>
      <c r="J130" s="180" t="s">
        <v>78</v>
      </c>
      <c r="K130" s="180"/>
      <c r="L130" s="55"/>
    </row>
    <row r="131" spans="1:12" ht="12.75" customHeight="1" thickBot="1" x14ac:dyDescent="0.25">
      <c r="A131" s="60">
        <f t="shared" ref="A131:C132" si="48">G131+D131</f>
        <v>378</v>
      </c>
      <c r="B131" s="60">
        <f t="shared" si="48"/>
        <v>90</v>
      </c>
      <c r="C131" s="60">
        <f t="shared" si="48"/>
        <v>288</v>
      </c>
      <c r="D131" s="60">
        <f>F131+E131</f>
        <v>10</v>
      </c>
      <c r="E131" s="60">
        <v>2</v>
      </c>
      <c r="F131" s="60">
        <v>8</v>
      </c>
      <c r="G131" s="60">
        <f>I131+H131</f>
        <v>368</v>
      </c>
      <c r="H131" s="60">
        <v>88</v>
      </c>
      <c r="I131" s="60">
        <v>280</v>
      </c>
      <c r="J131" s="65" t="s">
        <v>221</v>
      </c>
      <c r="K131" s="66"/>
      <c r="L131" s="55"/>
    </row>
    <row r="132" spans="1:12" ht="12.75" customHeight="1" thickBot="1" x14ac:dyDescent="0.25">
      <c r="A132" s="60">
        <f t="shared" si="48"/>
        <v>0</v>
      </c>
      <c r="B132" s="60">
        <f t="shared" si="48"/>
        <v>0</v>
      </c>
      <c r="C132" s="60">
        <f t="shared" si="48"/>
        <v>0</v>
      </c>
      <c r="D132" s="60">
        <f>F132+E132</f>
        <v>0</v>
      </c>
      <c r="E132" s="60">
        <v>0</v>
      </c>
      <c r="F132" s="60">
        <v>0</v>
      </c>
      <c r="G132" s="60">
        <f>I132+H132</f>
        <v>0</v>
      </c>
      <c r="H132" s="60">
        <v>0</v>
      </c>
      <c r="I132" s="60">
        <v>0</v>
      </c>
      <c r="J132" s="65" t="s">
        <v>222</v>
      </c>
      <c r="K132" s="66" t="s">
        <v>360</v>
      </c>
      <c r="L132" s="55"/>
    </row>
    <row r="133" spans="1:12" ht="12.75" customHeight="1" thickBot="1" x14ac:dyDescent="0.25">
      <c r="A133" s="60">
        <f t="shared" ref="A133:I133" si="49">SUM(A131:A132)</f>
        <v>378</v>
      </c>
      <c r="B133" s="60">
        <f t="shared" si="49"/>
        <v>90</v>
      </c>
      <c r="C133" s="60">
        <f t="shared" si="49"/>
        <v>288</v>
      </c>
      <c r="D133" s="60">
        <f t="shared" si="49"/>
        <v>10</v>
      </c>
      <c r="E133" s="60">
        <f t="shared" si="49"/>
        <v>2</v>
      </c>
      <c r="F133" s="60">
        <f t="shared" si="49"/>
        <v>8</v>
      </c>
      <c r="G133" s="60">
        <f t="shared" si="49"/>
        <v>368</v>
      </c>
      <c r="H133" s="60">
        <f t="shared" si="49"/>
        <v>88</v>
      </c>
      <c r="I133" s="60">
        <f t="shared" si="49"/>
        <v>280</v>
      </c>
      <c r="J133" s="65" t="s">
        <v>13</v>
      </c>
      <c r="K133" s="67"/>
      <c r="L133" s="55"/>
    </row>
    <row r="134" spans="1:12" ht="12.75" customHeight="1" thickBot="1" x14ac:dyDescent="0.25">
      <c r="A134" s="60">
        <f t="shared" ref="A134:C135" si="50">G134+D134</f>
        <v>1383</v>
      </c>
      <c r="B134" s="60">
        <f t="shared" si="50"/>
        <v>530</v>
      </c>
      <c r="C134" s="60">
        <f t="shared" si="50"/>
        <v>853</v>
      </c>
      <c r="D134" s="60">
        <f>F134+E134</f>
        <v>33</v>
      </c>
      <c r="E134" s="60">
        <v>21</v>
      </c>
      <c r="F134" s="60">
        <v>12</v>
      </c>
      <c r="G134" s="60">
        <f>I134+H134</f>
        <v>1350</v>
      </c>
      <c r="H134" s="60">
        <v>509</v>
      </c>
      <c r="I134" s="60">
        <v>841</v>
      </c>
      <c r="J134" s="65" t="s">
        <v>221</v>
      </c>
      <c r="K134" s="66"/>
      <c r="L134" s="55"/>
    </row>
    <row r="135" spans="1:12" ht="12.75" customHeight="1" thickBot="1" x14ac:dyDescent="0.25">
      <c r="A135" s="60">
        <f t="shared" si="50"/>
        <v>0</v>
      </c>
      <c r="B135" s="60">
        <f t="shared" si="50"/>
        <v>0</v>
      </c>
      <c r="C135" s="60">
        <f t="shared" si="50"/>
        <v>0</v>
      </c>
      <c r="D135" s="60">
        <f>F135+E135</f>
        <v>0</v>
      </c>
      <c r="E135" s="60">
        <v>0</v>
      </c>
      <c r="F135" s="60">
        <v>0</v>
      </c>
      <c r="G135" s="60">
        <f>I135+H135</f>
        <v>0</v>
      </c>
      <c r="H135" s="60">
        <v>0</v>
      </c>
      <c r="I135" s="60">
        <v>0</v>
      </c>
      <c r="J135" s="65" t="s">
        <v>222</v>
      </c>
      <c r="K135" s="66" t="s">
        <v>361</v>
      </c>
      <c r="L135" s="55"/>
    </row>
    <row r="136" spans="1:12" ht="12.75" customHeight="1" thickBot="1" x14ac:dyDescent="0.25">
      <c r="A136" s="60">
        <f t="shared" ref="A136:I136" si="51">SUM(A134:A135)</f>
        <v>1383</v>
      </c>
      <c r="B136" s="60">
        <f t="shared" si="51"/>
        <v>530</v>
      </c>
      <c r="C136" s="60">
        <f t="shared" si="51"/>
        <v>853</v>
      </c>
      <c r="D136" s="60">
        <f t="shared" si="51"/>
        <v>33</v>
      </c>
      <c r="E136" s="60">
        <f t="shared" si="51"/>
        <v>21</v>
      </c>
      <c r="F136" s="60">
        <f t="shared" si="51"/>
        <v>12</v>
      </c>
      <c r="G136" s="60">
        <f t="shared" si="51"/>
        <v>1350</v>
      </c>
      <c r="H136" s="60">
        <f t="shared" si="51"/>
        <v>509</v>
      </c>
      <c r="I136" s="60">
        <f t="shared" si="51"/>
        <v>841</v>
      </c>
      <c r="J136" s="65" t="s">
        <v>13</v>
      </c>
      <c r="K136" s="67"/>
      <c r="L136" s="55"/>
    </row>
    <row r="137" spans="1:12" ht="12.75" customHeight="1" thickBot="1" x14ac:dyDescent="0.25">
      <c r="A137" s="60">
        <f t="shared" ref="A137:C138" si="52">G137+D137</f>
        <v>873</v>
      </c>
      <c r="B137" s="60">
        <f t="shared" si="52"/>
        <v>393</v>
      </c>
      <c r="C137" s="60">
        <f t="shared" si="52"/>
        <v>480</v>
      </c>
      <c r="D137" s="60">
        <f>F137+E137</f>
        <v>18</v>
      </c>
      <c r="E137" s="60">
        <v>14</v>
      </c>
      <c r="F137" s="60">
        <v>4</v>
      </c>
      <c r="G137" s="60">
        <f>I137+H137</f>
        <v>855</v>
      </c>
      <c r="H137" s="60">
        <v>379</v>
      </c>
      <c r="I137" s="60">
        <v>476</v>
      </c>
      <c r="J137" s="65" t="s">
        <v>221</v>
      </c>
      <c r="K137" s="66"/>
      <c r="L137" s="55"/>
    </row>
    <row r="138" spans="1:12" ht="12.75" customHeight="1" thickBot="1" x14ac:dyDescent="0.25">
      <c r="A138" s="60">
        <f t="shared" si="52"/>
        <v>0</v>
      </c>
      <c r="B138" s="60">
        <f t="shared" si="52"/>
        <v>0</v>
      </c>
      <c r="C138" s="60">
        <f t="shared" si="52"/>
        <v>0</v>
      </c>
      <c r="D138" s="60">
        <f>F138+E138</f>
        <v>0</v>
      </c>
      <c r="E138" s="60">
        <v>0</v>
      </c>
      <c r="F138" s="60">
        <v>0</v>
      </c>
      <c r="G138" s="60">
        <f>I138+H138</f>
        <v>0</v>
      </c>
      <c r="H138" s="60">
        <v>0</v>
      </c>
      <c r="I138" s="60">
        <v>0</v>
      </c>
      <c r="J138" s="65" t="s">
        <v>222</v>
      </c>
      <c r="K138" s="66" t="s">
        <v>354</v>
      </c>
      <c r="L138" s="55"/>
    </row>
    <row r="139" spans="1:12" ht="12.75" customHeight="1" thickBot="1" x14ac:dyDescent="0.25">
      <c r="A139" s="60">
        <f t="shared" ref="A139:I139" si="53">SUM(A137:A138)</f>
        <v>873</v>
      </c>
      <c r="B139" s="60">
        <f t="shared" si="53"/>
        <v>393</v>
      </c>
      <c r="C139" s="60">
        <f t="shared" si="53"/>
        <v>480</v>
      </c>
      <c r="D139" s="60">
        <f t="shared" si="53"/>
        <v>18</v>
      </c>
      <c r="E139" s="60">
        <f t="shared" si="53"/>
        <v>14</v>
      </c>
      <c r="F139" s="60">
        <f t="shared" si="53"/>
        <v>4</v>
      </c>
      <c r="G139" s="60">
        <f t="shared" si="53"/>
        <v>855</v>
      </c>
      <c r="H139" s="60">
        <f t="shared" si="53"/>
        <v>379</v>
      </c>
      <c r="I139" s="60">
        <f t="shared" si="53"/>
        <v>476</v>
      </c>
      <c r="J139" s="65" t="s">
        <v>13</v>
      </c>
      <c r="K139" s="67"/>
      <c r="L139" s="55"/>
    </row>
    <row r="140" spans="1:12" ht="12.75" customHeight="1" thickBot="1" x14ac:dyDescent="0.25">
      <c r="A140" s="60">
        <f t="shared" ref="A140:C141" si="54">G140+D140</f>
        <v>450</v>
      </c>
      <c r="B140" s="60">
        <f t="shared" si="54"/>
        <v>0</v>
      </c>
      <c r="C140" s="60">
        <f t="shared" si="54"/>
        <v>450</v>
      </c>
      <c r="D140" s="60">
        <f>F140+E140</f>
        <v>0</v>
      </c>
      <c r="E140" s="60">
        <v>0</v>
      </c>
      <c r="F140" s="60">
        <v>0</v>
      </c>
      <c r="G140" s="60">
        <f>I140+H140</f>
        <v>450</v>
      </c>
      <c r="H140" s="60">
        <v>0</v>
      </c>
      <c r="I140" s="60">
        <v>450</v>
      </c>
      <c r="J140" s="65" t="s">
        <v>221</v>
      </c>
      <c r="K140" s="66"/>
      <c r="L140" s="55"/>
    </row>
    <row r="141" spans="1:12" ht="12.75" customHeight="1" thickBot="1" x14ac:dyDescent="0.25">
      <c r="A141" s="60">
        <f t="shared" si="54"/>
        <v>0</v>
      </c>
      <c r="B141" s="60">
        <f t="shared" si="54"/>
        <v>0</v>
      </c>
      <c r="C141" s="60">
        <f t="shared" si="54"/>
        <v>0</v>
      </c>
      <c r="D141" s="60">
        <f>F141+E141</f>
        <v>0</v>
      </c>
      <c r="E141" s="60">
        <v>0</v>
      </c>
      <c r="F141" s="60">
        <v>0</v>
      </c>
      <c r="G141" s="60">
        <f>I141+H141</f>
        <v>0</v>
      </c>
      <c r="H141" s="60">
        <v>0</v>
      </c>
      <c r="I141" s="60">
        <v>0</v>
      </c>
      <c r="J141" s="65" t="s">
        <v>222</v>
      </c>
      <c r="K141" s="66" t="s">
        <v>362</v>
      </c>
      <c r="L141" s="55"/>
    </row>
    <row r="142" spans="1:12" ht="12.75" customHeight="1" thickBot="1" x14ac:dyDescent="0.25">
      <c r="A142" s="60">
        <f t="shared" ref="A142:I142" si="55">SUM(A140:A141)</f>
        <v>450</v>
      </c>
      <c r="B142" s="60">
        <f t="shared" si="55"/>
        <v>0</v>
      </c>
      <c r="C142" s="60">
        <f t="shared" si="55"/>
        <v>450</v>
      </c>
      <c r="D142" s="60">
        <f t="shared" si="55"/>
        <v>0</v>
      </c>
      <c r="E142" s="60">
        <f t="shared" si="55"/>
        <v>0</v>
      </c>
      <c r="F142" s="60">
        <f t="shared" si="55"/>
        <v>0</v>
      </c>
      <c r="G142" s="60">
        <f t="shared" si="55"/>
        <v>450</v>
      </c>
      <c r="H142" s="60">
        <f t="shared" si="55"/>
        <v>0</v>
      </c>
      <c r="I142" s="60">
        <f t="shared" si="55"/>
        <v>450</v>
      </c>
      <c r="J142" s="65" t="s">
        <v>13</v>
      </c>
      <c r="K142" s="67"/>
      <c r="L142" s="55"/>
    </row>
    <row r="143" spans="1:12" ht="12.75" customHeight="1" thickBot="1" x14ac:dyDescent="0.25">
      <c r="A143" s="60">
        <f t="shared" ref="A143:C144" si="56">G143+D143</f>
        <v>248</v>
      </c>
      <c r="B143" s="60">
        <f t="shared" si="56"/>
        <v>0</v>
      </c>
      <c r="C143" s="60">
        <f t="shared" si="56"/>
        <v>248</v>
      </c>
      <c r="D143" s="60">
        <f>F143+E143</f>
        <v>0</v>
      </c>
      <c r="E143" s="60">
        <v>0</v>
      </c>
      <c r="F143" s="60">
        <v>0</v>
      </c>
      <c r="G143" s="60">
        <f>I143+H143</f>
        <v>248</v>
      </c>
      <c r="H143" s="60">
        <v>0</v>
      </c>
      <c r="I143" s="60">
        <v>248</v>
      </c>
      <c r="J143" s="65" t="s">
        <v>221</v>
      </c>
      <c r="K143" s="66"/>
      <c r="L143" s="55"/>
    </row>
    <row r="144" spans="1:12" ht="12.75" customHeight="1" thickBot="1" x14ac:dyDescent="0.25">
      <c r="A144" s="60">
        <f t="shared" si="56"/>
        <v>0</v>
      </c>
      <c r="B144" s="60">
        <f t="shared" si="56"/>
        <v>0</v>
      </c>
      <c r="C144" s="60">
        <f t="shared" si="56"/>
        <v>0</v>
      </c>
      <c r="D144" s="60">
        <f>F144+E144</f>
        <v>0</v>
      </c>
      <c r="E144" s="60">
        <v>0</v>
      </c>
      <c r="F144" s="60">
        <v>0</v>
      </c>
      <c r="G144" s="60">
        <f>I144+H144</f>
        <v>0</v>
      </c>
      <c r="H144" s="60">
        <v>0</v>
      </c>
      <c r="I144" s="60">
        <v>0</v>
      </c>
      <c r="J144" s="65" t="s">
        <v>222</v>
      </c>
      <c r="K144" s="66" t="s">
        <v>243</v>
      </c>
      <c r="L144" s="55"/>
    </row>
    <row r="145" spans="1:12" ht="12.75" customHeight="1" thickBot="1" x14ac:dyDescent="0.25">
      <c r="A145" s="60">
        <f t="shared" ref="A145:I145" si="57">SUM(A143:A144)</f>
        <v>248</v>
      </c>
      <c r="B145" s="60">
        <f t="shared" si="57"/>
        <v>0</v>
      </c>
      <c r="C145" s="60">
        <f t="shared" si="57"/>
        <v>248</v>
      </c>
      <c r="D145" s="60">
        <f t="shared" si="57"/>
        <v>0</v>
      </c>
      <c r="E145" s="60">
        <f t="shared" si="57"/>
        <v>0</v>
      </c>
      <c r="F145" s="60">
        <f t="shared" si="57"/>
        <v>0</v>
      </c>
      <c r="G145" s="60">
        <f t="shared" si="57"/>
        <v>248</v>
      </c>
      <c r="H145" s="60">
        <f t="shared" si="57"/>
        <v>0</v>
      </c>
      <c r="I145" s="60">
        <f t="shared" si="57"/>
        <v>248</v>
      </c>
      <c r="J145" s="65" t="s">
        <v>13</v>
      </c>
      <c r="K145" s="67"/>
      <c r="L145" s="55"/>
    </row>
    <row r="146" spans="1:12" ht="12.75" customHeight="1" thickBot="1" x14ac:dyDescent="0.25">
      <c r="A146" s="60">
        <f t="shared" ref="A146:C147" si="58">G146+D146</f>
        <v>2686</v>
      </c>
      <c r="B146" s="60">
        <f t="shared" si="58"/>
        <v>1495</v>
      </c>
      <c r="C146" s="60">
        <f t="shared" si="58"/>
        <v>1191</v>
      </c>
      <c r="D146" s="60">
        <f>F146+E146</f>
        <v>38</v>
      </c>
      <c r="E146" s="60">
        <v>23</v>
      </c>
      <c r="F146" s="60">
        <v>15</v>
      </c>
      <c r="G146" s="60">
        <f>I146+H146</f>
        <v>2648</v>
      </c>
      <c r="H146" s="60">
        <v>1472</v>
      </c>
      <c r="I146" s="60">
        <v>1176</v>
      </c>
      <c r="J146" s="65" t="s">
        <v>221</v>
      </c>
      <c r="K146" s="66"/>
      <c r="L146" s="55"/>
    </row>
    <row r="147" spans="1:12" ht="12.75" customHeight="1" thickBot="1" x14ac:dyDescent="0.25">
      <c r="A147" s="60">
        <f t="shared" si="58"/>
        <v>0</v>
      </c>
      <c r="B147" s="60">
        <f t="shared" si="58"/>
        <v>0</v>
      </c>
      <c r="C147" s="60">
        <f t="shared" si="58"/>
        <v>0</v>
      </c>
      <c r="D147" s="60">
        <f>F147+E147</f>
        <v>0</v>
      </c>
      <c r="E147" s="60">
        <v>0</v>
      </c>
      <c r="F147" s="60">
        <v>0</v>
      </c>
      <c r="G147" s="60">
        <f>I147+H147</f>
        <v>0</v>
      </c>
      <c r="H147" s="60">
        <v>0</v>
      </c>
      <c r="I147" s="60">
        <v>0</v>
      </c>
      <c r="J147" s="65" t="s">
        <v>222</v>
      </c>
      <c r="K147" s="66" t="s">
        <v>363</v>
      </c>
      <c r="L147" s="55"/>
    </row>
    <row r="148" spans="1:12" ht="12.75" customHeight="1" thickBot="1" x14ac:dyDescent="0.25">
      <c r="A148" s="60">
        <f t="shared" ref="A148:I148" si="59">SUM(A146:A147)</f>
        <v>2686</v>
      </c>
      <c r="B148" s="60">
        <f t="shared" si="59"/>
        <v>1495</v>
      </c>
      <c r="C148" s="60">
        <f t="shared" si="59"/>
        <v>1191</v>
      </c>
      <c r="D148" s="60">
        <f t="shared" si="59"/>
        <v>38</v>
      </c>
      <c r="E148" s="60">
        <f t="shared" si="59"/>
        <v>23</v>
      </c>
      <c r="F148" s="60">
        <f t="shared" si="59"/>
        <v>15</v>
      </c>
      <c r="G148" s="60">
        <f t="shared" si="59"/>
        <v>2648</v>
      </c>
      <c r="H148" s="60">
        <f t="shared" si="59"/>
        <v>1472</v>
      </c>
      <c r="I148" s="60">
        <f t="shared" si="59"/>
        <v>1176</v>
      </c>
      <c r="J148" s="65" t="s">
        <v>13</v>
      </c>
      <c r="K148" s="67"/>
      <c r="L148" s="55"/>
    </row>
    <row r="149" spans="1:12" ht="12.75" customHeight="1" thickBot="1" x14ac:dyDescent="0.25">
      <c r="A149" s="60">
        <f t="shared" ref="A149:C150" si="60">G149+D149</f>
        <v>1713</v>
      </c>
      <c r="B149" s="60">
        <f t="shared" si="60"/>
        <v>945</v>
      </c>
      <c r="C149" s="60">
        <f t="shared" si="60"/>
        <v>768</v>
      </c>
      <c r="D149" s="60">
        <f>F149+E149</f>
        <v>50</v>
      </c>
      <c r="E149" s="60">
        <v>15</v>
      </c>
      <c r="F149" s="60">
        <v>35</v>
      </c>
      <c r="G149" s="60">
        <f>I149+H149</f>
        <v>1663</v>
      </c>
      <c r="H149" s="60">
        <v>930</v>
      </c>
      <c r="I149" s="60">
        <v>733</v>
      </c>
      <c r="J149" s="65" t="s">
        <v>221</v>
      </c>
      <c r="K149" s="66"/>
      <c r="L149" s="55"/>
    </row>
    <row r="150" spans="1:12" ht="12.75" customHeight="1" thickBot="1" x14ac:dyDescent="0.25">
      <c r="A150" s="60">
        <f t="shared" si="60"/>
        <v>0</v>
      </c>
      <c r="B150" s="60">
        <f t="shared" si="60"/>
        <v>0</v>
      </c>
      <c r="C150" s="60">
        <f t="shared" si="60"/>
        <v>0</v>
      </c>
      <c r="D150" s="60">
        <f>F150+E150</f>
        <v>0</v>
      </c>
      <c r="E150" s="60">
        <v>0</v>
      </c>
      <c r="F150" s="60">
        <v>0</v>
      </c>
      <c r="G150" s="60">
        <f>I150+H150</f>
        <v>0</v>
      </c>
      <c r="H150" s="60">
        <v>0</v>
      </c>
      <c r="I150" s="60">
        <v>0</v>
      </c>
      <c r="J150" s="65" t="s">
        <v>222</v>
      </c>
      <c r="K150" s="66" t="s">
        <v>364</v>
      </c>
      <c r="L150" s="55"/>
    </row>
    <row r="151" spans="1:12" ht="12.75" customHeight="1" thickBot="1" x14ac:dyDescent="0.25">
      <c r="A151" s="60">
        <f t="shared" ref="A151:I151" si="61">SUM(A149:A150)</f>
        <v>1713</v>
      </c>
      <c r="B151" s="60">
        <f t="shared" si="61"/>
        <v>945</v>
      </c>
      <c r="C151" s="60">
        <f t="shared" si="61"/>
        <v>768</v>
      </c>
      <c r="D151" s="60">
        <f t="shared" si="61"/>
        <v>50</v>
      </c>
      <c r="E151" s="60">
        <f t="shared" si="61"/>
        <v>15</v>
      </c>
      <c r="F151" s="60">
        <f t="shared" si="61"/>
        <v>35</v>
      </c>
      <c r="G151" s="60">
        <f t="shared" si="61"/>
        <v>1663</v>
      </c>
      <c r="H151" s="60">
        <f t="shared" si="61"/>
        <v>930</v>
      </c>
      <c r="I151" s="60">
        <f t="shared" si="61"/>
        <v>733</v>
      </c>
      <c r="J151" s="65" t="s">
        <v>13</v>
      </c>
      <c r="K151" s="67"/>
      <c r="L151" s="55"/>
    </row>
    <row r="152" spans="1:12" ht="12.75" customHeight="1" thickBot="1" x14ac:dyDescent="0.25">
      <c r="A152" s="60">
        <f t="shared" ref="A152:C153" si="62">G152+D152</f>
        <v>1074</v>
      </c>
      <c r="B152" s="60">
        <f t="shared" si="62"/>
        <v>319</v>
      </c>
      <c r="C152" s="60">
        <f t="shared" si="62"/>
        <v>755</v>
      </c>
      <c r="D152" s="60">
        <f>F152+E152</f>
        <v>58</v>
      </c>
      <c r="E152" s="60">
        <v>29</v>
      </c>
      <c r="F152" s="60">
        <v>29</v>
      </c>
      <c r="G152" s="60">
        <f>I152+H152</f>
        <v>1016</v>
      </c>
      <c r="H152" s="60">
        <v>290</v>
      </c>
      <c r="I152" s="60">
        <v>726</v>
      </c>
      <c r="J152" s="65" t="s">
        <v>221</v>
      </c>
      <c r="K152" s="66"/>
      <c r="L152" s="55"/>
    </row>
    <row r="153" spans="1:12" ht="12.75" customHeight="1" thickBot="1" x14ac:dyDescent="0.25">
      <c r="A153" s="60">
        <f t="shared" si="62"/>
        <v>0</v>
      </c>
      <c r="B153" s="60">
        <f t="shared" si="62"/>
        <v>0</v>
      </c>
      <c r="C153" s="60">
        <f t="shared" si="62"/>
        <v>0</v>
      </c>
      <c r="D153" s="60">
        <f>F153+E153</f>
        <v>0</v>
      </c>
      <c r="E153" s="60">
        <v>0</v>
      </c>
      <c r="F153" s="60">
        <v>0</v>
      </c>
      <c r="G153" s="60">
        <f>I153+H153</f>
        <v>0</v>
      </c>
      <c r="H153" s="60">
        <v>0</v>
      </c>
      <c r="I153" s="60">
        <v>0</v>
      </c>
      <c r="J153" s="65" t="s">
        <v>222</v>
      </c>
      <c r="K153" s="66" t="s">
        <v>365</v>
      </c>
      <c r="L153" s="55"/>
    </row>
    <row r="154" spans="1:12" ht="12.75" customHeight="1" thickBot="1" x14ac:dyDescent="0.25">
      <c r="A154" s="60">
        <f t="shared" ref="A154:I154" si="63">SUM(A152:A153)</f>
        <v>1074</v>
      </c>
      <c r="B154" s="60">
        <f t="shared" si="63"/>
        <v>319</v>
      </c>
      <c r="C154" s="60">
        <f t="shared" si="63"/>
        <v>755</v>
      </c>
      <c r="D154" s="60">
        <f t="shared" si="63"/>
        <v>58</v>
      </c>
      <c r="E154" s="60">
        <f t="shared" si="63"/>
        <v>29</v>
      </c>
      <c r="F154" s="60">
        <f t="shared" si="63"/>
        <v>29</v>
      </c>
      <c r="G154" s="60">
        <f t="shared" si="63"/>
        <v>1016</v>
      </c>
      <c r="H154" s="60">
        <f t="shared" si="63"/>
        <v>290</v>
      </c>
      <c r="I154" s="60">
        <f t="shared" si="63"/>
        <v>726</v>
      </c>
      <c r="J154" s="65" t="s">
        <v>13</v>
      </c>
      <c r="K154" s="67"/>
      <c r="L154" s="55"/>
    </row>
    <row r="155" spans="1:12" ht="12.75" customHeight="1" thickBot="1" x14ac:dyDescent="0.25">
      <c r="A155" s="60">
        <f t="shared" ref="A155:C156" si="64">G155+D155</f>
        <v>1427</v>
      </c>
      <c r="B155" s="60">
        <f t="shared" si="64"/>
        <v>993</v>
      </c>
      <c r="C155" s="60">
        <f t="shared" si="64"/>
        <v>434</v>
      </c>
      <c r="D155" s="60">
        <f>F155+E155</f>
        <v>8</v>
      </c>
      <c r="E155" s="60">
        <v>4</v>
      </c>
      <c r="F155" s="60">
        <v>4</v>
      </c>
      <c r="G155" s="60">
        <f>I155+H155</f>
        <v>1419</v>
      </c>
      <c r="H155" s="60">
        <v>989</v>
      </c>
      <c r="I155" s="60">
        <v>430</v>
      </c>
      <c r="J155" s="65" t="s">
        <v>221</v>
      </c>
      <c r="K155" s="66"/>
      <c r="L155" s="55"/>
    </row>
    <row r="156" spans="1:12" ht="12.75" customHeight="1" thickBot="1" x14ac:dyDescent="0.25">
      <c r="A156" s="60">
        <f t="shared" si="64"/>
        <v>0</v>
      </c>
      <c r="B156" s="60">
        <f t="shared" si="64"/>
        <v>0</v>
      </c>
      <c r="C156" s="60">
        <f t="shared" si="64"/>
        <v>0</v>
      </c>
      <c r="D156" s="60">
        <f>F156+E156</f>
        <v>0</v>
      </c>
      <c r="E156" s="60">
        <v>0</v>
      </c>
      <c r="F156" s="60">
        <v>0</v>
      </c>
      <c r="G156" s="60">
        <f>I156+H156</f>
        <v>0</v>
      </c>
      <c r="H156" s="60">
        <v>0</v>
      </c>
      <c r="I156" s="60">
        <v>0</v>
      </c>
      <c r="J156" s="65" t="s">
        <v>222</v>
      </c>
      <c r="K156" s="66" t="s">
        <v>366</v>
      </c>
      <c r="L156" s="55"/>
    </row>
    <row r="157" spans="1:12" ht="12.75" customHeight="1" thickBot="1" x14ac:dyDescent="0.25">
      <c r="A157" s="60">
        <f t="shared" ref="A157:I157" si="65">SUM(A155:A156)</f>
        <v>1427</v>
      </c>
      <c r="B157" s="60">
        <f t="shared" si="65"/>
        <v>993</v>
      </c>
      <c r="C157" s="60">
        <f t="shared" si="65"/>
        <v>434</v>
      </c>
      <c r="D157" s="60">
        <f t="shared" si="65"/>
        <v>8</v>
      </c>
      <c r="E157" s="60">
        <f t="shared" si="65"/>
        <v>4</v>
      </c>
      <c r="F157" s="60">
        <f t="shared" si="65"/>
        <v>4</v>
      </c>
      <c r="G157" s="60">
        <f t="shared" si="65"/>
        <v>1419</v>
      </c>
      <c r="H157" s="60">
        <f t="shared" si="65"/>
        <v>989</v>
      </c>
      <c r="I157" s="60">
        <f t="shared" si="65"/>
        <v>430</v>
      </c>
      <c r="J157" s="65" t="s">
        <v>13</v>
      </c>
      <c r="K157" s="67"/>
      <c r="L157" s="55"/>
    </row>
    <row r="158" spans="1:12" ht="12.75" customHeight="1" thickBot="1" x14ac:dyDescent="0.25">
      <c r="A158" s="60">
        <f t="shared" ref="A158:C159" si="66">G158+D158</f>
        <v>211</v>
      </c>
      <c r="B158" s="60">
        <f t="shared" si="66"/>
        <v>211</v>
      </c>
      <c r="C158" s="60">
        <f t="shared" si="66"/>
        <v>0</v>
      </c>
      <c r="D158" s="60">
        <f>F158+E158</f>
        <v>7</v>
      </c>
      <c r="E158" s="60">
        <v>7</v>
      </c>
      <c r="F158" s="60">
        <v>0</v>
      </c>
      <c r="G158" s="60">
        <f>I158+H158</f>
        <v>204</v>
      </c>
      <c r="H158" s="60">
        <v>204</v>
      </c>
      <c r="I158" s="60">
        <v>0</v>
      </c>
      <c r="J158" s="65" t="s">
        <v>221</v>
      </c>
      <c r="K158" s="66"/>
      <c r="L158" s="55"/>
    </row>
    <row r="159" spans="1:12" ht="12.75" customHeight="1" thickBot="1" x14ac:dyDescent="0.25">
      <c r="A159" s="60">
        <f t="shared" si="66"/>
        <v>0</v>
      </c>
      <c r="B159" s="60">
        <f t="shared" si="66"/>
        <v>0</v>
      </c>
      <c r="C159" s="60">
        <f t="shared" si="66"/>
        <v>0</v>
      </c>
      <c r="D159" s="60">
        <f>F159+E159</f>
        <v>0</v>
      </c>
      <c r="E159" s="60">
        <v>0</v>
      </c>
      <c r="F159" s="60">
        <v>0</v>
      </c>
      <c r="G159" s="60">
        <f>I159+H159</f>
        <v>0</v>
      </c>
      <c r="H159" s="60">
        <v>0</v>
      </c>
      <c r="I159" s="60">
        <v>0</v>
      </c>
      <c r="J159" s="65" t="s">
        <v>222</v>
      </c>
      <c r="K159" s="66" t="s">
        <v>355</v>
      </c>
      <c r="L159" s="55"/>
    </row>
    <row r="160" spans="1:12" ht="12.75" customHeight="1" thickBot="1" x14ac:dyDescent="0.25">
      <c r="A160" s="60">
        <f t="shared" ref="A160:I160" si="67">SUM(A158:A159)</f>
        <v>211</v>
      </c>
      <c r="B160" s="60">
        <f t="shared" si="67"/>
        <v>211</v>
      </c>
      <c r="C160" s="60">
        <f t="shared" si="67"/>
        <v>0</v>
      </c>
      <c r="D160" s="60">
        <f t="shared" si="67"/>
        <v>7</v>
      </c>
      <c r="E160" s="60">
        <f t="shared" si="67"/>
        <v>7</v>
      </c>
      <c r="F160" s="60">
        <f t="shared" si="67"/>
        <v>0</v>
      </c>
      <c r="G160" s="60">
        <f t="shared" si="67"/>
        <v>204</v>
      </c>
      <c r="H160" s="60">
        <f t="shared" si="67"/>
        <v>204</v>
      </c>
      <c r="I160" s="60">
        <f t="shared" si="67"/>
        <v>0</v>
      </c>
      <c r="J160" s="65" t="s">
        <v>13</v>
      </c>
      <c r="K160" s="67"/>
      <c r="L160" s="55"/>
    </row>
    <row r="161" spans="1:12" ht="12.75" customHeight="1" thickBot="1" x14ac:dyDescent="0.25">
      <c r="A161" s="60">
        <f t="shared" ref="A161:C162" si="68">G161+D161</f>
        <v>212</v>
      </c>
      <c r="B161" s="60">
        <f t="shared" si="68"/>
        <v>78</v>
      </c>
      <c r="C161" s="60">
        <f t="shared" si="68"/>
        <v>134</v>
      </c>
      <c r="D161" s="60">
        <f>F161+E161</f>
        <v>1</v>
      </c>
      <c r="E161" s="60">
        <v>1</v>
      </c>
      <c r="F161" s="60">
        <v>0</v>
      </c>
      <c r="G161" s="60">
        <f>I161+H161</f>
        <v>211</v>
      </c>
      <c r="H161" s="60">
        <v>77</v>
      </c>
      <c r="I161" s="60">
        <v>134</v>
      </c>
      <c r="J161" s="65" t="s">
        <v>221</v>
      </c>
      <c r="K161" s="66"/>
      <c r="L161" s="55"/>
    </row>
    <row r="162" spans="1:12" ht="12.75" customHeight="1" thickBot="1" x14ac:dyDescent="0.25">
      <c r="A162" s="60">
        <f t="shared" si="68"/>
        <v>0</v>
      </c>
      <c r="B162" s="60">
        <f t="shared" si="68"/>
        <v>0</v>
      </c>
      <c r="C162" s="60">
        <f t="shared" si="68"/>
        <v>0</v>
      </c>
      <c r="D162" s="60">
        <f>F162+E162</f>
        <v>0</v>
      </c>
      <c r="E162" s="60">
        <v>0</v>
      </c>
      <c r="F162" s="60">
        <v>0</v>
      </c>
      <c r="G162" s="60">
        <f>I162+H162</f>
        <v>0</v>
      </c>
      <c r="H162" s="60">
        <v>0</v>
      </c>
      <c r="I162" s="60">
        <v>0</v>
      </c>
      <c r="J162" s="65" t="s">
        <v>222</v>
      </c>
      <c r="K162" s="66" t="s">
        <v>367</v>
      </c>
      <c r="L162" s="55"/>
    </row>
    <row r="163" spans="1:12" ht="12.75" customHeight="1" thickBot="1" x14ac:dyDescent="0.25">
      <c r="A163" s="60">
        <f t="shared" ref="A163:I163" si="69">SUM(A161:A162)</f>
        <v>212</v>
      </c>
      <c r="B163" s="60">
        <f t="shared" si="69"/>
        <v>78</v>
      </c>
      <c r="C163" s="60">
        <f t="shared" si="69"/>
        <v>134</v>
      </c>
      <c r="D163" s="60">
        <f t="shared" si="69"/>
        <v>1</v>
      </c>
      <c r="E163" s="60">
        <f t="shared" si="69"/>
        <v>1</v>
      </c>
      <c r="F163" s="60">
        <f t="shared" si="69"/>
        <v>0</v>
      </c>
      <c r="G163" s="60">
        <f t="shared" si="69"/>
        <v>211</v>
      </c>
      <c r="H163" s="60">
        <f t="shared" si="69"/>
        <v>77</v>
      </c>
      <c r="I163" s="60">
        <f t="shared" si="69"/>
        <v>134</v>
      </c>
      <c r="J163" s="65" t="s">
        <v>13</v>
      </c>
      <c r="K163" s="67"/>
      <c r="L163" s="55"/>
    </row>
    <row r="164" spans="1:12" ht="12.75" customHeight="1" thickBot="1" x14ac:dyDescent="0.25">
      <c r="A164" s="60">
        <f t="shared" ref="A164:C165" si="70">G164+D164</f>
        <v>248</v>
      </c>
      <c r="B164" s="60">
        <f t="shared" si="70"/>
        <v>0</v>
      </c>
      <c r="C164" s="60">
        <f t="shared" si="70"/>
        <v>248</v>
      </c>
      <c r="D164" s="60">
        <f>F164+E164</f>
        <v>8</v>
      </c>
      <c r="E164" s="60">
        <v>0</v>
      </c>
      <c r="F164" s="60">
        <v>8</v>
      </c>
      <c r="G164" s="60">
        <f>I164+H164</f>
        <v>240</v>
      </c>
      <c r="H164" s="60">
        <v>0</v>
      </c>
      <c r="I164" s="60">
        <v>240</v>
      </c>
      <c r="J164" s="65" t="s">
        <v>221</v>
      </c>
      <c r="K164" s="66"/>
      <c r="L164" s="55"/>
    </row>
    <row r="165" spans="1:12" ht="12.75" customHeight="1" thickBot="1" x14ac:dyDescent="0.25">
      <c r="A165" s="60">
        <f t="shared" si="70"/>
        <v>0</v>
      </c>
      <c r="B165" s="60">
        <f t="shared" si="70"/>
        <v>0</v>
      </c>
      <c r="C165" s="60">
        <f t="shared" si="70"/>
        <v>0</v>
      </c>
      <c r="D165" s="60">
        <f>F165+E165</f>
        <v>0</v>
      </c>
      <c r="E165" s="60">
        <v>0</v>
      </c>
      <c r="F165" s="60">
        <v>0</v>
      </c>
      <c r="G165" s="60">
        <f>I165+H165</f>
        <v>0</v>
      </c>
      <c r="H165" s="60">
        <v>0</v>
      </c>
      <c r="I165" s="60">
        <v>0</v>
      </c>
      <c r="J165" s="65" t="s">
        <v>222</v>
      </c>
      <c r="K165" s="66" t="s">
        <v>368</v>
      </c>
      <c r="L165" s="55"/>
    </row>
    <row r="166" spans="1:12" ht="12.75" customHeight="1" thickBot="1" x14ac:dyDescent="0.25">
      <c r="A166" s="60">
        <f t="shared" ref="A166:I166" si="71">SUM(A164:A165)</f>
        <v>248</v>
      </c>
      <c r="B166" s="60">
        <f t="shared" si="71"/>
        <v>0</v>
      </c>
      <c r="C166" s="60">
        <f t="shared" si="71"/>
        <v>248</v>
      </c>
      <c r="D166" s="60">
        <f t="shared" si="71"/>
        <v>8</v>
      </c>
      <c r="E166" s="60">
        <f t="shared" si="71"/>
        <v>0</v>
      </c>
      <c r="F166" s="60">
        <f t="shared" si="71"/>
        <v>8</v>
      </c>
      <c r="G166" s="60">
        <f t="shared" si="71"/>
        <v>240</v>
      </c>
      <c r="H166" s="60">
        <f t="shared" si="71"/>
        <v>0</v>
      </c>
      <c r="I166" s="60">
        <f t="shared" si="71"/>
        <v>240</v>
      </c>
      <c r="J166" s="65" t="s">
        <v>13</v>
      </c>
      <c r="K166" s="67"/>
      <c r="L166" s="55"/>
    </row>
    <row r="167" spans="1:12" ht="12.75" customHeight="1" thickBot="1" x14ac:dyDescent="0.25">
      <c r="A167" s="60">
        <f t="shared" ref="A167:C168" si="72">G167+D167</f>
        <v>37</v>
      </c>
      <c r="B167" s="60">
        <f t="shared" si="72"/>
        <v>0</v>
      </c>
      <c r="C167" s="60">
        <f t="shared" si="72"/>
        <v>37</v>
      </c>
      <c r="D167" s="60">
        <f>F167+E167</f>
        <v>0</v>
      </c>
      <c r="E167" s="60">
        <v>0</v>
      </c>
      <c r="F167" s="60">
        <v>0</v>
      </c>
      <c r="G167" s="60">
        <f>I167+H167</f>
        <v>37</v>
      </c>
      <c r="H167" s="60">
        <v>0</v>
      </c>
      <c r="I167" s="60">
        <v>37</v>
      </c>
      <c r="J167" s="65" t="s">
        <v>221</v>
      </c>
      <c r="K167" s="66"/>
      <c r="L167" s="55"/>
    </row>
    <row r="168" spans="1:12" ht="12.75" customHeight="1" thickBot="1" x14ac:dyDescent="0.25">
      <c r="A168" s="60">
        <f t="shared" si="72"/>
        <v>0</v>
      </c>
      <c r="B168" s="60">
        <f t="shared" si="72"/>
        <v>0</v>
      </c>
      <c r="C168" s="60">
        <f t="shared" si="72"/>
        <v>0</v>
      </c>
      <c r="D168" s="60">
        <f>F168+E168</f>
        <v>0</v>
      </c>
      <c r="E168" s="60">
        <v>0</v>
      </c>
      <c r="F168" s="60">
        <v>0</v>
      </c>
      <c r="G168" s="60">
        <f>I168+H168</f>
        <v>0</v>
      </c>
      <c r="H168" s="60">
        <v>0</v>
      </c>
      <c r="I168" s="60">
        <v>0</v>
      </c>
      <c r="J168" s="65" t="s">
        <v>222</v>
      </c>
      <c r="K168" s="66" t="s">
        <v>369</v>
      </c>
      <c r="L168" s="55"/>
    </row>
    <row r="169" spans="1:12" ht="12.75" customHeight="1" thickBot="1" x14ac:dyDescent="0.25">
      <c r="A169" s="60">
        <f t="shared" ref="A169:I169" si="73">SUM(A167:A168)</f>
        <v>37</v>
      </c>
      <c r="B169" s="60">
        <f t="shared" si="73"/>
        <v>0</v>
      </c>
      <c r="C169" s="60">
        <f t="shared" si="73"/>
        <v>37</v>
      </c>
      <c r="D169" s="60">
        <f t="shared" si="73"/>
        <v>0</v>
      </c>
      <c r="E169" s="60">
        <f t="shared" si="73"/>
        <v>0</v>
      </c>
      <c r="F169" s="60">
        <f t="shared" si="73"/>
        <v>0</v>
      </c>
      <c r="G169" s="60">
        <f t="shared" si="73"/>
        <v>37</v>
      </c>
      <c r="H169" s="60">
        <f t="shared" si="73"/>
        <v>0</v>
      </c>
      <c r="I169" s="60">
        <f t="shared" si="73"/>
        <v>37</v>
      </c>
      <c r="J169" s="65" t="s">
        <v>13</v>
      </c>
      <c r="K169" s="67"/>
      <c r="L169" s="55"/>
    </row>
    <row r="170" spans="1:12" ht="12.75" customHeight="1" thickBot="1" x14ac:dyDescent="0.25">
      <c r="A170" s="60">
        <f t="shared" ref="A170:C171" si="74">G170+D170</f>
        <v>127</v>
      </c>
      <c r="B170" s="60">
        <f t="shared" si="74"/>
        <v>0</v>
      </c>
      <c r="C170" s="60">
        <f t="shared" si="74"/>
        <v>127</v>
      </c>
      <c r="D170" s="60">
        <f>F170+E170</f>
        <v>2</v>
      </c>
      <c r="E170" s="60">
        <v>0</v>
      </c>
      <c r="F170" s="60">
        <v>2</v>
      </c>
      <c r="G170" s="60">
        <f>I170+H170</f>
        <v>125</v>
      </c>
      <c r="H170" s="60">
        <v>0</v>
      </c>
      <c r="I170" s="60">
        <v>125</v>
      </c>
      <c r="J170" s="65" t="s">
        <v>221</v>
      </c>
      <c r="K170" s="66"/>
      <c r="L170" s="55"/>
    </row>
    <row r="171" spans="1:12" ht="12.75" customHeight="1" thickBot="1" x14ac:dyDescent="0.25">
      <c r="A171" s="60">
        <f t="shared" si="74"/>
        <v>0</v>
      </c>
      <c r="B171" s="60">
        <f t="shared" si="74"/>
        <v>0</v>
      </c>
      <c r="C171" s="60">
        <f t="shared" si="74"/>
        <v>0</v>
      </c>
      <c r="D171" s="60">
        <f>F171+E171</f>
        <v>0</v>
      </c>
      <c r="E171" s="60">
        <v>0</v>
      </c>
      <c r="F171" s="60">
        <v>0</v>
      </c>
      <c r="G171" s="60">
        <f>I171+H171</f>
        <v>0</v>
      </c>
      <c r="H171" s="60">
        <v>0</v>
      </c>
      <c r="I171" s="60">
        <v>0</v>
      </c>
      <c r="J171" s="65" t="s">
        <v>222</v>
      </c>
      <c r="K171" s="66" t="s">
        <v>370</v>
      </c>
      <c r="L171" s="55"/>
    </row>
    <row r="172" spans="1:12" ht="12.75" customHeight="1" thickBot="1" x14ac:dyDescent="0.25">
      <c r="A172" s="60">
        <f t="shared" ref="A172:I172" si="75">SUM(A170:A171)</f>
        <v>127</v>
      </c>
      <c r="B172" s="60">
        <f t="shared" si="75"/>
        <v>0</v>
      </c>
      <c r="C172" s="60">
        <f t="shared" si="75"/>
        <v>127</v>
      </c>
      <c r="D172" s="60">
        <f t="shared" si="75"/>
        <v>2</v>
      </c>
      <c r="E172" s="60">
        <f t="shared" si="75"/>
        <v>0</v>
      </c>
      <c r="F172" s="60">
        <f t="shared" si="75"/>
        <v>2</v>
      </c>
      <c r="G172" s="60">
        <f t="shared" si="75"/>
        <v>125</v>
      </c>
      <c r="H172" s="60">
        <f t="shared" si="75"/>
        <v>0</v>
      </c>
      <c r="I172" s="60">
        <f t="shared" si="75"/>
        <v>125</v>
      </c>
      <c r="J172" s="65" t="s">
        <v>13</v>
      </c>
      <c r="K172" s="67"/>
      <c r="L172" s="55"/>
    </row>
    <row r="173" spans="1:12" ht="12.75" customHeight="1" thickBot="1" x14ac:dyDescent="0.25">
      <c r="A173" s="60">
        <f t="shared" ref="A173:C174" si="76">G173+D173</f>
        <v>342</v>
      </c>
      <c r="B173" s="60">
        <f t="shared" si="76"/>
        <v>0</v>
      </c>
      <c r="C173" s="60">
        <f t="shared" si="76"/>
        <v>342</v>
      </c>
      <c r="D173" s="60">
        <f>F173+E173</f>
        <v>2</v>
      </c>
      <c r="E173" s="60">
        <v>0</v>
      </c>
      <c r="F173" s="60">
        <v>2</v>
      </c>
      <c r="G173" s="60">
        <f>I173+H173</f>
        <v>340</v>
      </c>
      <c r="H173" s="60">
        <v>0</v>
      </c>
      <c r="I173" s="60">
        <v>340</v>
      </c>
      <c r="J173" s="65" t="s">
        <v>221</v>
      </c>
      <c r="K173" s="66"/>
      <c r="L173" s="55"/>
    </row>
    <row r="174" spans="1:12" ht="12.75" customHeight="1" thickBot="1" x14ac:dyDescent="0.25">
      <c r="A174" s="60">
        <f t="shared" si="76"/>
        <v>0</v>
      </c>
      <c r="B174" s="60">
        <f t="shared" si="76"/>
        <v>0</v>
      </c>
      <c r="C174" s="60">
        <f t="shared" si="76"/>
        <v>0</v>
      </c>
      <c r="D174" s="60">
        <f>F174+E174</f>
        <v>0</v>
      </c>
      <c r="E174" s="60">
        <v>0</v>
      </c>
      <c r="F174" s="60">
        <v>0</v>
      </c>
      <c r="G174" s="60">
        <f>I174+H174</f>
        <v>0</v>
      </c>
      <c r="H174" s="60">
        <v>0</v>
      </c>
      <c r="I174" s="60">
        <v>0</v>
      </c>
      <c r="J174" s="65" t="s">
        <v>222</v>
      </c>
      <c r="K174" s="66" t="s">
        <v>371</v>
      </c>
      <c r="L174" s="55"/>
    </row>
    <row r="175" spans="1:12" ht="12.75" customHeight="1" thickBot="1" x14ac:dyDescent="0.25">
      <c r="A175" s="60">
        <f t="shared" ref="A175:I175" si="77">SUM(A173:A174)</f>
        <v>342</v>
      </c>
      <c r="B175" s="60">
        <f t="shared" si="77"/>
        <v>0</v>
      </c>
      <c r="C175" s="60">
        <f t="shared" si="77"/>
        <v>342</v>
      </c>
      <c r="D175" s="60">
        <f t="shared" si="77"/>
        <v>2</v>
      </c>
      <c r="E175" s="60">
        <f t="shared" si="77"/>
        <v>0</v>
      </c>
      <c r="F175" s="60">
        <f t="shared" si="77"/>
        <v>2</v>
      </c>
      <c r="G175" s="60">
        <f t="shared" si="77"/>
        <v>340</v>
      </c>
      <c r="H175" s="60">
        <f t="shared" si="77"/>
        <v>0</v>
      </c>
      <c r="I175" s="60">
        <f t="shared" si="77"/>
        <v>340</v>
      </c>
      <c r="J175" s="65" t="s">
        <v>13</v>
      </c>
      <c r="K175" s="67"/>
      <c r="L175" s="55"/>
    </row>
    <row r="176" spans="1:12" ht="12.75" customHeight="1" thickBot="1" x14ac:dyDescent="0.25">
      <c r="A176" s="60">
        <f t="shared" ref="A176:C177" si="78">G176+D176</f>
        <v>81</v>
      </c>
      <c r="B176" s="60">
        <f t="shared" si="78"/>
        <v>0</v>
      </c>
      <c r="C176" s="60">
        <f t="shared" si="78"/>
        <v>81</v>
      </c>
      <c r="D176" s="60">
        <f>F176+E176</f>
        <v>0</v>
      </c>
      <c r="E176" s="60">
        <v>0</v>
      </c>
      <c r="F176" s="60">
        <v>0</v>
      </c>
      <c r="G176" s="60">
        <f>I176+H176</f>
        <v>81</v>
      </c>
      <c r="H176" s="60">
        <v>0</v>
      </c>
      <c r="I176" s="60">
        <v>81</v>
      </c>
      <c r="J176" s="65" t="s">
        <v>221</v>
      </c>
      <c r="K176" s="66"/>
      <c r="L176" s="55"/>
    </row>
    <row r="177" spans="1:13" ht="12.75" customHeight="1" thickBot="1" x14ac:dyDescent="0.25">
      <c r="A177" s="60">
        <f t="shared" si="78"/>
        <v>0</v>
      </c>
      <c r="B177" s="60">
        <f t="shared" si="78"/>
        <v>0</v>
      </c>
      <c r="C177" s="60">
        <f t="shared" si="78"/>
        <v>0</v>
      </c>
      <c r="D177" s="60">
        <f>F177+E177</f>
        <v>0</v>
      </c>
      <c r="E177" s="60">
        <v>0</v>
      </c>
      <c r="F177" s="60">
        <v>0</v>
      </c>
      <c r="G177" s="60">
        <f>I177+H177</f>
        <v>0</v>
      </c>
      <c r="H177" s="60">
        <v>0</v>
      </c>
      <c r="I177" s="60">
        <v>0</v>
      </c>
      <c r="J177" s="65" t="s">
        <v>222</v>
      </c>
      <c r="K177" s="66" t="s">
        <v>372</v>
      </c>
      <c r="L177" s="55"/>
    </row>
    <row r="178" spans="1:13" ht="12.75" customHeight="1" thickBot="1" x14ac:dyDescent="0.25">
      <c r="A178" s="60">
        <f t="shared" ref="A178:I178" si="79">SUM(A176:A177)</f>
        <v>81</v>
      </c>
      <c r="B178" s="60">
        <f t="shared" si="79"/>
        <v>0</v>
      </c>
      <c r="C178" s="60">
        <f t="shared" si="79"/>
        <v>81</v>
      </c>
      <c r="D178" s="60">
        <f t="shared" si="79"/>
        <v>0</v>
      </c>
      <c r="E178" s="60">
        <f t="shared" si="79"/>
        <v>0</v>
      </c>
      <c r="F178" s="60">
        <f t="shared" si="79"/>
        <v>0</v>
      </c>
      <c r="G178" s="60">
        <f t="shared" si="79"/>
        <v>81</v>
      </c>
      <c r="H178" s="60">
        <f t="shared" si="79"/>
        <v>0</v>
      </c>
      <c r="I178" s="60">
        <f t="shared" si="79"/>
        <v>81</v>
      </c>
      <c r="J178" s="65" t="s">
        <v>13</v>
      </c>
      <c r="K178" s="67"/>
      <c r="L178" s="55"/>
    </row>
    <row r="179" spans="1:13" ht="12.75" customHeight="1" thickBot="1" x14ac:dyDescent="0.25">
      <c r="A179" s="60">
        <f t="shared" ref="A179:C180" si="80">G179+D179</f>
        <v>372</v>
      </c>
      <c r="B179" s="60">
        <f t="shared" si="80"/>
        <v>0</v>
      </c>
      <c r="C179" s="60">
        <f t="shared" si="80"/>
        <v>372</v>
      </c>
      <c r="D179" s="60">
        <f>F179+E179</f>
        <v>0</v>
      </c>
      <c r="E179" s="60">
        <v>0</v>
      </c>
      <c r="F179" s="60">
        <v>0</v>
      </c>
      <c r="G179" s="60">
        <f>I179+H179</f>
        <v>372</v>
      </c>
      <c r="H179" s="60">
        <v>0</v>
      </c>
      <c r="I179" s="60">
        <v>372</v>
      </c>
      <c r="J179" s="65" t="s">
        <v>221</v>
      </c>
      <c r="K179" s="66"/>
      <c r="L179" s="55"/>
    </row>
    <row r="180" spans="1:13" ht="12.75" customHeight="1" thickBot="1" x14ac:dyDescent="0.25">
      <c r="A180" s="60">
        <f t="shared" si="80"/>
        <v>0</v>
      </c>
      <c r="B180" s="60">
        <f t="shared" si="80"/>
        <v>0</v>
      </c>
      <c r="C180" s="60">
        <f t="shared" si="80"/>
        <v>0</v>
      </c>
      <c r="D180" s="60">
        <f>F180+E180</f>
        <v>0</v>
      </c>
      <c r="E180" s="60">
        <v>0</v>
      </c>
      <c r="F180" s="60">
        <v>0</v>
      </c>
      <c r="G180" s="60">
        <f>I180+H180</f>
        <v>0</v>
      </c>
      <c r="H180" s="60">
        <v>0</v>
      </c>
      <c r="I180" s="60">
        <v>0</v>
      </c>
      <c r="J180" s="65" t="s">
        <v>222</v>
      </c>
      <c r="K180" s="66" t="s">
        <v>373</v>
      </c>
      <c r="L180" s="55"/>
    </row>
    <row r="181" spans="1:13" ht="12.75" customHeight="1" thickBot="1" x14ac:dyDescent="0.25">
      <c r="A181" s="60">
        <f t="shared" ref="A181:I181" si="81">SUM(A179:A180)</f>
        <v>372</v>
      </c>
      <c r="B181" s="60">
        <f t="shared" si="81"/>
        <v>0</v>
      </c>
      <c r="C181" s="60">
        <f t="shared" si="81"/>
        <v>372</v>
      </c>
      <c r="D181" s="60">
        <f t="shared" si="81"/>
        <v>0</v>
      </c>
      <c r="E181" s="60">
        <f t="shared" si="81"/>
        <v>0</v>
      </c>
      <c r="F181" s="60">
        <f t="shared" si="81"/>
        <v>0</v>
      </c>
      <c r="G181" s="60">
        <f t="shared" si="81"/>
        <v>372</v>
      </c>
      <c r="H181" s="60">
        <f t="shared" si="81"/>
        <v>0</v>
      </c>
      <c r="I181" s="60">
        <f t="shared" si="81"/>
        <v>372</v>
      </c>
      <c r="J181" s="65" t="s">
        <v>13</v>
      </c>
      <c r="K181" s="67"/>
      <c r="L181" s="55"/>
    </row>
    <row r="182" spans="1:13" ht="12.75" customHeight="1" thickBot="1" x14ac:dyDescent="0.25">
      <c r="A182" s="60">
        <f t="shared" ref="A182:C183" si="82">G182+D182</f>
        <v>191</v>
      </c>
      <c r="B182" s="60">
        <f t="shared" si="82"/>
        <v>0</v>
      </c>
      <c r="C182" s="60">
        <f t="shared" si="82"/>
        <v>191</v>
      </c>
      <c r="D182" s="60">
        <f>F182+E182</f>
        <v>0</v>
      </c>
      <c r="E182" s="60">
        <v>0</v>
      </c>
      <c r="F182" s="60">
        <v>0</v>
      </c>
      <c r="G182" s="60">
        <f>I182+H182</f>
        <v>191</v>
      </c>
      <c r="H182" s="60">
        <v>0</v>
      </c>
      <c r="I182" s="60">
        <v>191</v>
      </c>
      <c r="J182" s="65" t="s">
        <v>221</v>
      </c>
      <c r="K182" s="66"/>
      <c r="L182" s="55"/>
    </row>
    <row r="183" spans="1:13" ht="12.75" customHeight="1" thickBot="1" x14ac:dyDescent="0.25">
      <c r="A183" s="60">
        <f t="shared" si="82"/>
        <v>0</v>
      </c>
      <c r="B183" s="60">
        <f t="shared" si="82"/>
        <v>0</v>
      </c>
      <c r="C183" s="60">
        <f t="shared" si="82"/>
        <v>0</v>
      </c>
      <c r="D183" s="60">
        <f>F183+E183</f>
        <v>0</v>
      </c>
      <c r="E183" s="60">
        <v>0</v>
      </c>
      <c r="F183" s="60">
        <v>0</v>
      </c>
      <c r="G183" s="60">
        <f>I183+H183</f>
        <v>0</v>
      </c>
      <c r="H183" s="60">
        <v>0</v>
      </c>
      <c r="I183" s="60">
        <v>0</v>
      </c>
      <c r="J183" s="65" t="s">
        <v>222</v>
      </c>
      <c r="K183" s="66" t="s">
        <v>374</v>
      </c>
      <c r="L183" s="55"/>
    </row>
    <row r="184" spans="1:13" ht="12.75" customHeight="1" thickBot="1" x14ac:dyDescent="0.25">
      <c r="A184" s="60">
        <f t="shared" ref="A184:I184" si="83">SUM(A182:A183)</f>
        <v>191</v>
      </c>
      <c r="B184" s="60">
        <f t="shared" si="83"/>
        <v>0</v>
      </c>
      <c r="C184" s="60">
        <f t="shared" si="83"/>
        <v>191</v>
      </c>
      <c r="D184" s="60">
        <f t="shared" si="83"/>
        <v>0</v>
      </c>
      <c r="E184" s="60">
        <f t="shared" si="83"/>
        <v>0</v>
      </c>
      <c r="F184" s="60">
        <f t="shared" si="83"/>
        <v>0</v>
      </c>
      <c r="G184" s="60">
        <f t="shared" si="83"/>
        <v>191</v>
      </c>
      <c r="H184" s="60">
        <f t="shared" si="83"/>
        <v>0</v>
      </c>
      <c r="I184" s="60">
        <f t="shared" si="83"/>
        <v>191</v>
      </c>
      <c r="J184" s="65" t="s">
        <v>13</v>
      </c>
      <c r="K184" s="67"/>
      <c r="L184" s="55"/>
    </row>
    <row r="185" spans="1:13" ht="12.75" customHeight="1" thickBot="1" x14ac:dyDescent="0.25">
      <c r="A185" s="60">
        <f t="shared" ref="A185:I187" si="84">A131+A134+A137+A140+A143+A146+A149+A152+A155+A158+A161+A164+A167+A170+A173+A176+A179+A182</f>
        <v>12053</v>
      </c>
      <c r="B185" s="60">
        <f t="shared" si="84"/>
        <v>5054</v>
      </c>
      <c r="C185" s="60">
        <f t="shared" si="84"/>
        <v>6999</v>
      </c>
      <c r="D185" s="60">
        <f t="shared" si="84"/>
        <v>235</v>
      </c>
      <c r="E185" s="60">
        <f t="shared" si="84"/>
        <v>116</v>
      </c>
      <c r="F185" s="60">
        <f t="shared" si="84"/>
        <v>119</v>
      </c>
      <c r="G185" s="60">
        <f t="shared" si="84"/>
        <v>11818</v>
      </c>
      <c r="H185" s="60">
        <f t="shared" si="84"/>
        <v>4938</v>
      </c>
      <c r="I185" s="60">
        <f>I131+I134+I137+I140+I143+I146+I149+I152+I155+I158+I161+I164+I167+I170+I173+I176+I179+I182</f>
        <v>6880</v>
      </c>
      <c r="J185" s="65" t="s">
        <v>224</v>
      </c>
      <c r="K185" s="57"/>
      <c r="L185" s="55"/>
    </row>
    <row r="186" spans="1:13" ht="12.75" customHeight="1" thickBot="1" x14ac:dyDescent="0.25">
      <c r="A186" s="60">
        <f t="shared" si="84"/>
        <v>0</v>
      </c>
      <c r="B186" s="60">
        <f t="shared" si="84"/>
        <v>0</v>
      </c>
      <c r="C186" s="60">
        <f t="shared" si="84"/>
        <v>0</v>
      </c>
      <c r="D186" s="60">
        <f t="shared" si="84"/>
        <v>0</v>
      </c>
      <c r="E186" s="60">
        <f t="shared" si="84"/>
        <v>0</v>
      </c>
      <c r="F186" s="60">
        <f t="shared" si="84"/>
        <v>0</v>
      </c>
      <c r="G186" s="60">
        <f t="shared" si="84"/>
        <v>0</v>
      </c>
      <c r="H186" s="60">
        <f t="shared" si="84"/>
        <v>0</v>
      </c>
      <c r="I186" s="60">
        <f t="shared" si="84"/>
        <v>0</v>
      </c>
      <c r="J186" s="65" t="s">
        <v>225</v>
      </c>
      <c r="K186" s="68" t="s">
        <v>211</v>
      </c>
      <c r="L186" s="55"/>
    </row>
    <row r="187" spans="1:13" ht="12.75" customHeight="1" thickBot="1" x14ac:dyDescent="0.25">
      <c r="A187" s="60">
        <f t="shared" si="84"/>
        <v>12053</v>
      </c>
      <c r="B187" s="60">
        <f t="shared" si="84"/>
        <v>5054</v>
      </c>
      <c r="C187" s="60">
        <f t="shared" si="84"/>
        <v>6999</v>
      </c>
      <c r="D187" s="60">
        <f t="shared" si="84"/>
        <v>235</v>
      </c>
      <c r="E187" s="60">
        <f t="shared" si="84"/>
        <v>116</v>
      </c>
      <c r="F187" s="60">
        <f t="shared" si="84"/>
        <v>119</v>
      </c>
      <c r="G187" s="60">
        <f t="shared" si="84"/>
        <v>11818</v>
      </c>
      <c r="H187" s="60">
        <f t="shared" si="84"/>
        <v>4938</v>
      </c>
      <c r="I187" s="60">
        <f t="shared" si="84"/>
        <v>6880</v>
      </c>
      <c r="J187" s="65" t="s">
        <v>13</v>
      </c>
      <c r="K187" s="59"/>
      <c r="L187" s="55"/>
    </row>
    <row r="188" spans="1:13" ht="12.75" customHeight="1" x14ac:dyDescent="0.2">
      <c r="A188" s="177" t="s">
        <v>327</v>
      </c>
      <c r="B188" s="177"/>
      <c r="C188" s="177"/>
      <c r="D188" s="177"/>
      <c r="E188" s="177"/>
      <c r="F188" s="177"/>
      <c r="G188" s="177"/>
      <c r="H188" s="177"/>
      <c r="I188" s="177"/>
      <c r="J188" s="177"/>
      <c r="K188" s="177"/>
      <c r="L188" s="55"/>
    </row>
    <row r="189" spans="1:13" ht="12.75" customHeight="1" thickBot="1" x14ac:dyDescent="0.25">
      <c r="A189" s="178" t="s">
        <v>328</v>
      </c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55"/>
    </row>
    <row r="190" spans="1:13" ht="12.75" customHeight="1" thickBot="1" x14ac:dyDescent="0.25">
      <c r="A190" s="179" t="s">
        <v>5</v>
      </c>
      <c r="B190" s="179"/>
      <c r="C190" s="179"/>
      <c r="D190" s="179" t="s">
        <v>162</v>
      </c>
      <c r="E190" s="179"/>
      <c r="F190" s="179"/>
      <c r="G190" s="179" t="s">
        <v>163</v>
      </c>
      <c r="H190" s="179"/>
      <c r="I190" s="179"/>
      <c r="J190" s="179" t="s">
        <v>72</v>
      </c>
      <c r="K190" s="179"/>
      <c r="L190" s="55"/>
    </row>
    <row r="191" spans="1:13" ht="12.75" customHeight="1" thickBot="1" x14ac:dyDescent="0.25">
      <c r="A191" s="58" t="s">
        <v>216</v>
      </c>
      <c r="B191" s="58" t="s">
        <v>11</v>
      </c>
      <c r="C191" s="58" t="s">
        <v>10</v>
      </c>
      <c r="D191" s="58" t="s">
        <v>216</v>
      </c>
      <c r="E191" s="58" t="s">
        <v>11</v>
      </c>
      <c r="F191" s="58" t="s">
        <v>10</v>
      </c>
      <c r="G191" s="58" t="s">
        <v>216</v>
      </c>
      <c r="H191" s="58" t="s">
        <v>11</v>
      </c>
      <c r="I191" s="58" t="s">
        <v>10</v>
      </c>
      <c r="J191" s="180" t="s">
        <v>79</v>
      </c>
      <c r="K191" s="180"/>
      <c r="L191" s="55"/>
    </row>
    <row r="192" spans="1:13" ht="12.75" customHeight="1" thickBot="1" x14ac:dyDescent="0.25">
      <c r="A192" s="60">
        <f t="shared" ref="A192:C193" si="85">G192+D192</f>
        <v>1810</v>
      </c>
      <c r="B192" s="60">
        <f t="shared" si="85"/>
        <v>1197</v>
      </c>
      <c r="C192" s="60">
        <f t="shared" si="85"/>
        <v>613</v>
      </c>
      <c r="D192" s="60">
        <f>F192+E192</f>
        <v>61</v>
      </c>
      <c r="E192" s="60">
        <v>52</v>
      </c>
      <c r="F192" s="60">
        <v>9</v>
      </c>
      <c r="G192" s="60">
        <f>I192+H192</f>
        <v>1749</v>
      </c>
      <c r="H192" s="60">
        <v>1145</v>
      </c>
      <c r="I192" s="60">
        <v>604</v>
      </c>
      <c r="J192" s="65" t="s">
        <v>221</v>
      </c>
      <c r="K192" s="66"/>
      <c r="L192" s="55"/>
      <c r="M192" s="82"/>
    </row>
    <row r="193" spans="1:13" ht="12.75" customHeight="1" thickBot="1" x14ac:dyDescent="0.25">
      <c r="A193" s="60">
        <f t="shared" si="85"/>
        <v>0</v>
      </c>
      <c r="B193" s="60">
        <f t="shared" si="85"/>
        <v>0</v>
      </c>
      <c r="C193" s="60">
        <f t="shared" si="85"/>
        <v>0</v>
      </c>
      <c r="D193" s="60">
        <f>F193+E193</f>
        <v>0</v>
      </c>
      <c r="E193" s="60">
        <v>0</v>
      </c>
      <c r="F193" s="60">
        <v>0</v>
      </c>
      <c r="G193" s="60">
        <f>I193+H193</f>
        <v>0</v>
      </c>
      <c r="H193" s="60">
        <v>0</v>
      </c>
      <c r="I193" s="60">
        <v>0</v>
      </c>
      <c r="J193" s="65" t="s">
        <v>222</v>
      </c>
      <c r="K193" s="66" t="s">
        <v>375</v>
      </c>
      <c r="L193" s="55"/>
      <c r="M193" s="82"/>
    </row>
    <row r="194" spans="1:13" ht="12.75" customHeight="1" thickBot="1" x14ac:dyDescent="0.25">
      <c r="A194" s="60">
        <f t="shared" ref="A194:I194" si="86">SUM(A192:A193)</f>
        <v>1810</v>
      </c>
      <c r="B194" s="60">
        <f t="shared" si="86"/>
        <v>1197</v>
      </c>
      <c r="C194" s="60">
        <f t="shared" si="86"/>
        <v>613</v>
      </c>
      <c r="D194" s="60">
        <f t="shared" si="86"/>
        <v>61</v>
      </c>
      <c r="E194" s="60">
        <f t="shared" si="86"/>
        <v>52</v>
      </c>
      <c r="F194" s="60">
        <f t="shared" si="86"/>
        <v>9</v>
      </c>
      <c r="G194" s="60">
        <f t="shared" si="86"/>
        <v>1749</v>
      </c>
      <c r="H194" s="60">
        <f t="shared" si="86"/>
        <v>1145</v>
      </c>
      <c r="I194" s="60">
        <f t="shared" si="86"/>
        <v>604</v>
      </c>
      <c r="J194" s="65" t="s">
        <v>13</v>
      </c>
      <c r="K194" s="67"/>
      <c r="L194" s="55"/>
      <c r="M194" s="82"/>
    </row>
    <row r="195" spans="1:13" ht="12.75" customHeight="1" thickBot="1" x14ac:dyDescent="0.25">
      <c r="A195" s="60">
        <f t="shared" ref="A195:C196" si="87">G195+D195</f>
        <v>331</v>
      </c>
      <c r="B195" s="60">
        <f t="shared" si="87"/>
        <v>161</v>
      </c>
      <c r="C195" s="60">
        <f t="shared" si="87"/>
        <v>170</v>
      </c>
      <c r="D195" s="60">
        <f t="shared" ref="D195:D244" si="88">F195+E195</f>
        <v>5</v>
      </c>
      <c r="E195" s="60">
        <v>4</v>
      </c>
      <c r="F195" s="60">
        <v>1</v>
      </c>
      <c r="G195" s="60">
        <f t="shared" ref="G195:G244" si="89">I195+H195</f>
        <v>326</v>
      </c>
      <c r="H195" s="60">
        <v>157</v>
      </c>
      <c r="I195" s="60">
        <v>169</v>
      </c>
      <c r="J195" s="65" t="s">
        <v>221</v>
      </c>
      <c r="K195" s="66"/>
      <c r="L195" s="55"/>
      <c r="M195" s="82"/>
    </row>
    <row r="196" spans="1:13" ht="12.75" customHeight="1" thickBot="1" x14ac:dyDescent="0.25">
      <c r="A196" s="60">
        <f t="shared" si="87"/>
        <v>0</v>
      </c>
      <c r="B196" s="60">
        <f t="shared" si="87"/>
        <v>0</v>
      </c>
      <c r="C196" s="60">
        <f t="shared" si="87"/>
        <v>0</v>
      </c>
      <c r="D196" s="60">
        <f t="shared" si="88"/>
        <v>0</v>
      </c>
      <c r="E196" s="60">
        <v>0</v>
      </c>
      <c r="F196" s="60">
        <v>0</v>
      </c>
      <c r="G196" s="60">
        <f t="shared" si="89"/>
        <v>0</v>
      </c>
      <c r="H196" s="60">
        <v>0</v>
      </c>
      <c r="I196" s="60">
        <v>0</v>
      </c>
      <c r="J196" s="65" t="s">
        <v>222</v>
      </c>
      <c r="K196" s="66" t="s">
        <v>263</v>
      </c>
      <c r="L196" s="55"/>
      <c r="M196" s="82"/>
    </row>
    <row r="197" spans="1:13" ht="12.75" customHeight="1" thickBot="1" x14ac:dyDescent="0.25">
      <c r="A197" s="60">
        <f t="shared" ref="A197:I197" si="90">SUM(A195:A196)</f>
        <v>331</v>
      </c>
      <c r="B197" s="60">
        <f t="shared" si="90"/>
        <v>161</v>
      </c>
      <c r="C197" s="60">
        <f t="shared" si="90"/>
        <v>170</v>
      </c>
      <c r="D197" s="60">
        <f t="shared" si="90"/>
        <v>5</v>
      </c>
      <c r="E197" s="60">
        <f t="shared" si="90"/>
        <v>4</v>
      </c>
      <c r="F197" s="60">
        <f t="shared" si="90"/>
        <v>1</v>
      </c>
      <c r="G197" s="60">
        <f t="shared" si="90"/>
        <v>326</v>
      </c>
      <c r="H197" s="60">
        <f t="shared" si="90"/>
        <v>157</v>
      </c>
      <c r="I197" s="60">
        <f t="shared" si="90"/>
        <v>169</v>
      </c>
      <c r="J197" s="65" t="s">
        <v>13</v>
      </c>
      <c r="K197" s="67"/>
      <c r="L197" s="55"/>
      <c r="M197" s="82"/>
    </row>
    <row r="198" spans="1:13" ht="12.75" customHeight="1" thickBot="1" x14ac:dyDescent="0.25">
      <c r="A198" s="60">
        <f t="shared" ref="A198:C199" si="91">G198+D198</f>
        <v>219</v>
      </c>
      <c r="B198" s="60">
        <f t="shared" si="91"/>
        <v>109</v>
      </c>
      <c r="C198" s="60">
        <f t="shared" si="91"/>
        <v>110</v>
      </c>
      <c r="D198" s="60">
        <f t="shared" si="88"/>
        <v>8</v>
      </c>
      <c r="E198" s="60">
        <v>2</v>
      </c>
      <c r="F198" s="60">
        <v>6</v>
      </c>
      <c r="G198" s="60">
        <f t="shared" si="89"/>
        <v>211</v>
      </c>
      <c r="H198" s="60">
        <v>107</v>
      </c>
      <c r="I198" s="60">
        <v>104</v>
      </c>
      <c r="J198" s="65" t="s">
        <v>221</v>
      </c>
      <c r="K198" s="66"/>
      <c r="L198" s="55"/>
      <c r="M198" s="82"/>
    </row>
    <row r="199" spans="1:13" ht="12.75" customHeight="1" thickBot="1" x14ac:dyDescent="0.25">
      <c r="A199" s="60">
        <f t="shared" si="91"/>
        <v>0</v>
      </c>
      <c r="B199" s="60">
        <f t="shared" si="91"/>
        <v>0</v>
      </c>
      <c r="C199" s="60">
        <f t="shared" si="91"/>
        <v>0</v>
      </c>
      <c r="D199" s="60">
        <f t="shared" si="88"/>
        <v>0</v>
      </c>
      <c r="E199" s="60">
        <v>0</v>
      </c>
      <c r="F199" s="60">
        <v>0</v>
      </c>
      <c r="G199" s="60">
        <f t="shared" si="89"/>
        <v>0</v>
      </c>
      <c r="H199" s="60">
        <v>0</v>
      </c>
      <c r="I199" s="60">
        <v>0</v>
      </c>
      <c r="J199" s="65" t="s">
        <v>222</v>
      </c>
      <c r="K199" s="66" t="s">
        <v>376</v>
      </c>
      <c r="L199" s="55"/>
      <c r="M199" s="82"/>
    </row>
    <row r="200" spans="1:13" ht="12.75" customHeight="1" thickBot="1" x14ac:dyDescent="0.25">
      <c r="A200" s="60">
        <f t="shared" ref="A200:I200" si="92">SUM(A198:A199)</f>
        <v>219</v>
      </c>
      <c r="B200" s="60">
        <f t="shared" si="92"/>
        <v>109</v>
      </c>
      <c r="C200" s="60">
        <f t="shared" si="92"/>
        <v>110</v>
      </c>
      <c r="D200" s="60">
        <f t="shared" si="92"/>
        <v>8</v>
      </c>
      <c r="E200" s="60">
        <f t="shared" si="92"/>
        <v>2</v>
      </c>
      <c r="F200" s="60">
        <f t="shared" si="92"/>
        <v>6</v>
      </c>
      <c r="G200" s="60">
        <f t="shared" si="92"/>
        <v>211</v>
      </c>
      <c r="H200" s="60">
        <f t="shared" si="92"/>
        <v>107</v>
      </c>
      <c r="I200" s="60">
        <f t="shared" si="92"/>
        <v>104</v>
      </c>
      <c r="J200" s="65" t="s">
        <v>13</v>
      </c>
      <c r="K200" s="67"/>
      <c r="L200" s="55"/>
      <c r="M200" s="82"/>
    </row>
    <row r="201" spans="1:13" ht="12.75" customHeight="1" thickBot="1" x14ac:dyDescent="0.25">
      <c r="A201" s="60">
        <f t="shared" ref="A201:C202" si="93">G201+D201</f>
        <v>95</v>
      </c>
      <c r="B201" s="60">
        <f t="shared" si="93"/>
        <v>27</v>
      </c>
      <c r="C201" s="60">
        <f t="shared" si="93"/>
        <v>68</v>
      </c>
      <c r="D201" s="60">
        <f t="shared" si="88"/>
        <v>6</v>
      </c>
      <c r="E201" s="60">
        <v>1</v>
      </c>
      <c r="F201" s="60">
        <v>5</v>
      </c>
      <c r="G201" s="60">
        <f t="shared" si="89"/>
        <v>89</v>
      </c>
      <c r="H201" s="60">
        <v>26</v>
      </c>
      <c r="I201" s="60">
        <v>63</v>
      </c>
      <c r="J201" s="65" t="s">
        <v>221</v>
      </c>
      <c r="K201" s="66"/>
      <c r="L201" s="55"/>
      <c r="M201" s="82"/>
    </row>
    <row r="202" spans="1:13" ht="12.75" customHeight="1" thickBot="1" x14ac:dyDescent="0.25">
      <c r="A202" s="60">
        <f t="shared" si="93"/>
        <v>0</v>
      </c>
      <c r="B202" s="60">
        <f t="shared" si="93"/>
        <v>0</v>
      </c>
      <c r="C202" s="60">
        <f t="shared" si="93"/>
        <v>0</v>
      </c>
      <c r="D202" s="60">
        <f t="shared" si="88"/>
        <v>0</v>
      </c>
      <c r="E202" s="60">
        <v>0</v>
      </c>
      <c r="F202" s="60">
        <v>0</v>
      </c>
      <c r="G202" s="60">
        <f t="shared" si="89"/>
        <v>0</v>
      </c>
      <c r="H202" s="60">
        <v>0</v>
      </c>
      <c r="I202" s="60">
        <v>0</v>
      </c>
      <c r="J202" s="65" t="s">
        <v>222</v>
      </c>
      <c r="K202" s="66" t="s">
        <v>359</v>
      </c>
      <c r="L202" s="55"/>
      <c r="M202" s="82"/>
    </row>
    <row r="203" spans="1:13" ht="12.75" customHeight="1" thickBot="1" x14ac:dyDescent="0.25">
      <c r="A203" s="60">
        <f t="shared" ref="A203:I203" si="94">SUM(A201:A202)</f>
        <v>95</v>
      </c>
      <c r="B203" s="60">
        <f t="shared" si="94"/>
        <v>27</v>
      </c>
      <c r="C203" s="60">
        <f t="shared" si="94"/>
        <v>68</v>
      </c>
      <c r="D203" s="60">
        <f t="shared" si="94"/>
        <v>6</v>
      </c>
      <c r="E203" s="60">
        <f t="shared" si="94"/>
        <v>1</v>
      </c>
      <c r="F203" s="60">
        <f t="shared" si="94"/>
        <v>5</v>
      </c>
      <c r="G203" s="60">
        <f t="shared" si="94"/>
        <v>89</v>
      </c>
      <c r="H203" s="60">
        <f t="shared" si="94"/>
        <v>26</v>
      </c>
      <c r="I203" s="60">
        <f t="shared" si="94"/>
        <v>63</v>
      </c>
      <c r="J203" s="65" t="s">
        <v>13</v>
      </c>
      <c r="K203" s="67"/>
      <c r="L203" s="55"/>
      <c r="M203" s="82"/>
    </row>
    <row r="204" spans="1:13" ht="12.75" customHeight="1" thickBot="1" x14ac:dyDescent="0.25">
      <c r="A204" s="60">
        <f t="shared" ref="A204:C205" si="95">G204+D204</f>
        <v>2735</v>
      </c>
      <c r="B204" s="60">
        <f t="shared" si="95"/>
        <v>0</v>
      </c>
      <c r="C204" s="60">
        <f t="shared" si="95"/>
        <v>2735</v>
      </c>
      <c r="D204" s="60">
        <f t="shared" si="88"/>
        <v>115</v>
      </c>
      <c r="E204" s="60">
        <v>0</v>
      </c>
      <c r="F204" s="60">
        <v>115</v>
      </c>
      <c r="G204" s="60">
        <f t="shared" si="89"/>
        <v>2620</v>
      </c>
      <c r="H204" s="60">
        <v>0</v>
      </c>
      <c r="I204" s="60">
        <v>2620</v>
      </c>
      <c r="J204" s="65" t="s">
        <v>221</v>
      </c>
      <c r="K204" s="66"/>
      <c r="L204" s="55"/>
      <c r="M204" s="82"/>
    </row>
    <row r="205" spans="1:13" ht="12.75" customHeight="1" thickBot="1" x14ac:dyDescent="0.25">
      <c r="A205" s="60">
        <f t="shared" si="95"/>
        <v>0</v>
      </c>
      <c r="B205" s="60">
        <f t="shared" si="95"/>
        <v>0</v>
      </c>
      <c r="C205" s="60">
        <f t="shared" si="95"/>
        <v>0</v>
      </c>
      <c r="D205" s="60">
        <f t="shared" si="88"/>
        <v>0</v>
      </c>
      <c r="E205" s="60">
        <v>0</v>
      </c>
      <c r="F205" s="60">
        <v>0</v>
      </c>
      <c r="G205" s="60">
        <f t="shared" si="89"/>
        <v>0</v>
      </c>
      <c r="H205" s="60">
        <v>0</v>
      </c>
      <c r="I205" s="60">
        <v>0</v>
      </c>
      <c r="J205" s="65" t="s">
        <v>222</v>
      </c>
      <c r="K205" s="66" t="s">
        <v>377</v>
      </c>
      <c r="L205" s="55"/>
      <c r="M205" s="82"/>
    </row>
    <row r="206" spans="1:13" ht="12.75" customHeight="1" thickBot="1" x14ac:dyDescent="0.25">
      <c r="A206" s="60">
        <f t="shared" ref="A206:I206" si="96">SUM(A204:A205)</f>
        <v>2735</v>
      </c>
      <c r="B206" s="60">
        <f t="shared" si="96"/>
        <v>0</v>
      </c>
      <c r="C206" s="60">
        <f t="shared" si="96"/>
        <v>2735</v>
      </c>
      <c r="D206" s="60">
        <f t="shared" si="96"/>
        <v>115</v>
      </c>
      <c r="E206" s="60">
        <f t="shared" si="96"/>
        <v>0</v>
      </c>
      <c r="F206" s="60">
        <f t="shared" si="96"/>
        <v>115</v>
      </c>
      <c r="G206" s="60">
        <f t="shared" si="96"/>
        <v>2620</v>
      </c>
      <c r="H206" s="60">
        <f t="shared" si="96"/>
        <v>0</v>
      </c>
      <c r="I206" s="60">
        <f t="shared" si="96"/>
        <v>2620</v>
      </c>
      <c r="J206" s="65" t="s">
        <v>13</v>
      </c>
      <c r="K206" s="67"/>
      <c r="L206" s="55"/>
      <c r="M206" s="82"/>
    </row>
    <row r="207" spans="1:13" ht="12.75" customHeight="1" thickBot="1" x14ac:dyDescent="0.25">
      <c r="A207" s="60">
        <f t="shared" ref="A207:C208" si="97">G207+D207</f>
        <v>1401</v>
      </c>
      <c r="B207" s="60">
        <f t="shared" si="97"/>
        <v>490</v>
      </c>
      <c r="C207" s="60">
        <f t="shared" si="97"/>
        <v>911</v>
      </c>
      <c r="D207" s="60">
        <f t="shared" si="88"/>
        <v>64</v>
      </c>
      <c r="E207" s="60">
        <v>28</v>
      </c>
      <c r="F207" s="60">
        <v>36</v>
      </c>
      <c r="G207" s="60">
        <f t="shared" si="89"/>
        <v>1337</v>
      </c>
      <c r="H207" s="60">
        <v>462</v>
      </c>
      <c r="I207" s="60">
        <v>875</v>
      </c>
      <c r="J207" s="65" t="s">
        <v>221</v>
      </c>
      <c r="K207" s="66"/>
      <c r="L207" s="55"/>
      <c r="M207" s="82"/>
    </row>
    <row r="208" spans="1:13" ht="12.75" customHeight="1" thickBot="1" x14ac:dyDescent="0.25">
      <c r="A208" s="60">
        <f t="shared" si="97"/>
        <v>0</v>
      </c>
      <c r="B208" s="60">
        <f t="shared" si="97"/>
        <v>0</v>
      </c>
      <c r="C208" s="60">
        <f t="shared" si="97"/>
        <v>0</v>
      </c>
      <c r="D208" s="60">
        <f t="shared" si="88"/>
        <v>0</v>
      </c>
      <c r="E208" s="60">
        <v>0</v>
      </c>
      <c r="F208" s="60">
        <v>0</v>
      </c>
      <c r="G208" s="60">
        <f t="shared" si="89"/>
        <v>0</v>
      </c>
      <c r="H208" s="60">
        <v>0</v>
      </c>
      <c r="I208" s="60">
        <v>0</v>
      </c>
      <c r="J208" s="65" t="s">
        <v>222</v>
      </c>
      <c r="K208" s="66" t="s">
        <v>378</v>
      </c>
      <c r="L208" s="55"/>
      <c r="M208" s="82"/>
    </row>
    <row r="209" spans="1:13" ht="12.75" customHeight="1" thickBot="1" x14ac:dyDescent="0.25">
      <c r="A209" s="60">
        <f t="shared" ref="A209:I209" si="98">SUM(A207:A208)</f>
        <v>1401</v>
      </c>
      <c r="B209" s="60">
        <f t="shared" si="98"/>
        <v>490</v>
      </c>
      <c r="C209" s="60">
        <f t="shared" si="98"/>
        <v>911</v>
      </c>
      <c r="D209" s="60">
        <f t="shared" si="98"/>
        <v>64</v>
      </c>
      <c r="E209" s="60">
        <f t="shared" si="98"/>
        <v>28</v>
      </c>
      <c r="F209" s="60">
        <f t="shared" si="98"/>
        <v>36</v>
      </c>
      <c r="G209" s="60">
        <f t="shared" si="98"/>
        <v>1337</v>
      </c>
      <c r="H209" s="60">
        <f t="shared" si="98"/>
        <v>462</v>
      </c>
      <c r="I209" s="60">
        <f t="shared" si="98"/>
        <v>875</v>
      </c>
      <c r="J209" s="65" t="s">
        <v>13</v>
      </c>
      <c r="K209" s="67"/>
      <c r="L209" s="55"/>
      <c r="M209" s="82"/>
    </row>
    <row r="210" spans="1:13" ht="12.75" customHeight="1" thickBot="1" x14ac:dyDescent="0.25">
      <c r="A210" s="60">
        <f t="shared" ref="A210:C211" si="99">G210+D210</f>
        <v>3</v>
      </c>
      <c r="B210" s="60">
        <f t="shared" si="99"/>
        <v>0</v>
      </c>
      <c r="C210" s="60">
        <f t="shared" si="99"/>
        <v>3</v>
      </c>
      <c r="D210" s="60">
        <f t="shared" si="88"/>
        <v>0</v>
      </c>
      <c r="E210" s="60">
        <v>0</v>
      </c>
      <c r="F210" s="60">
        <v>0</v>
      </c>
      <c r="G210" s="60">
        <f t="shared" si="89"/>
        <v>3</v>
      </c>
      <c r="H210" s="60">
        <v>0</v>
      </c>
      <c r="I210" s="60">
        <v>3</v>
      </c>
      <c r="J210" s="65" t="s">
        <v>221</v>
      </c>
      <c r="K210" s="66"/>
      <c r="L210" s="55"/>
      <c r="M210" s="82"/>
    </row>
    <row r="211" spans="1:13" ht="12.75" customHeight="1" thickBot="1" x14ac:dyDescent="0.25">
      <c r="A211" s="60">
        <f t="shared" si="99"/>
        <v>0</v>
      </c>
      <c r="B211" s="60">
        <f t="shared" si="99"/>
        <v>0</v>
      </c>
      <c r="C211" s="60">
        <f t="shared" si="99"/>
        <v>0</v>
      </c>
      <c r="D211" s="60">
        <f t="shared" si="88"/>
        <v>0</v>
      </c>
      <c r="E211" s="60">
        <v>0</v>
      </c>
      <c r="F211" s="60">
        <v>0</v>
      </c>
      <c r="G211" s="60">
        <f t="shared" si="89"/>
        <v>0</v>
      </c>
      <c r="H211" s="60">
        <v>0</v>
      </c>
      <c r="I211" s="60">
        <v>0</v>
      </c>
      <c r="J211" s="65" t="s">
        <v>222</v>
      </c>
      <c r="K211" s="66" t="s">
        <v>379</v>
      </c>
      <c r="L211" s="55"/>
      <c r="M211" s="82"/>
    </row>
    <row r="212" spans="1:13" ht="12.75" customHeight="1" thickBot="1" x14ac:dyDescent="0.25">
      <c r="A212" s="60">
        <f t="shared" ref="A212:I212" si="100">SUM(A210:A211)</f>
        <v>3</v>
      </c>
      <c r="B212" s="60">
        <f t="shared" si="100"/>
        <v>0</v>
      </c>
      <c r="C212" s="60">
        <f t="shared" si="100"/>
        <v>3</v>
      </c>
      <c r="D212" s="60">
        <f t="shared" si="100"/>
        <v>0</v>
      </c>
      <c r="E212" s="60">
        <f t="shared" si="100"/>
        <v>0</v>
      </c>
      <c r="F212" s="60">
        <f t="shared" si="100"/>
        <v>0</v>
      </c>
      <c r="G212" s="60">
        <f t="shared" si="100"/>
        <v>3</v>
      </c>
      <c r="H212" s="60">
        <f t="shared" si="100"/>
        <v>0</v>
      </c>
      <c r="I212" s="60">
        <f t="shared" si="100"/>
        <v>3</v>
      </c>
      <c r="J212" s="65" t="s">
        <v>13</v>
      </c>
      <c r="K212" s="67"/>
      <c r="L212" s="55"/>
      <c r="M212" s="82"/>
    </row>
    <row r="213" spans="1:13" ht="12.75" customHeight="1" thickBot="1" x14ac:dyDescent="0.25">
      <c r="A213" s="60">
        <f t="shared" ref="A213:C214" si="101">G213+D213</f>
        <v>305</v>
      </c>
      <c r="B213" s="60">
        <f t="shared" si="101"/>
        <v>305</v>
      </c>
      <c r="C213" s="60">
        <f t="shared" si="101"/>
        <v>0</v>
      </c>
      <c r="D213" s="60">
        <f t="shared" si="88"/>
        <v>11</v>
      </c>
      <c r="E213" s="60">
        <v>11</v>
      </c>
      <c r="F213" s="60">
        <v>0</v>
      </c>
      <c r="G213" s="60">
        <f t="shared" si="89"/>
        <v>294</v>
      </c>
      <c r="H213" s="60">
        <v>294</v>
      </c>
      <c r="I213" s="60">
        <v>0</v>
      </c>
      <c r="J213" s="65" t="s">
        <v>221</v>
      </c>
      <c r="K213" s="66"/>
      <c r="L213" s="55"/>
      <c r="M213" s="82"/>
    </row>
    <row r="214" spans="1:13" ht="12.75" customHeight="1" thickBot="1" x14ac:dyDescent="0.25">
      <c r="A214" s="60">
        <f t="shared" si="101"/>
        <v>0</v>
      </c>
      <c r="B214" s="60">
        <f t="shared" si="101"/>
        <v>0</v>
      </c>
      <c r="C214" s="60">
        <f t="shared" si="101"/>
        <v>0</v>
      </c>
      <c r="D214" s="60">
        <f t="shared" si="88"/>
        <v>0</v>
      </c>
      <c r="E214" s="60">
        <v>0</v>
      </c>
      <c r="F214" s="60">
        <v>0</v>
      </c>
      <c r="G214" s="60">
        <f t="shared" si="89"/>
        <v>0</v>
      </c>
      <c r="H214" s="60">
        <v>0</v>
      </c>
      <c r="I214" s="60">
        <v>0</v>
      </c>
      <c r="J214" s="65" t="s">
        <v>222</v>
      </c>
      <c r="K214" s="66" t="s">
        <v>380</v>
      </c>
      <c r="L214" s="55"/>
      <c r="M214" s="82"/>
    </row>
    <row r="215" spans="1:13" ht="12.75" customHeight="1" thickBot="1" x14ac:dyDescent="0.25">
      <c r="A215" s="60">
        <f t="shared" ref="A215:I215" si="102">SUM(A213:A214)</f>
        <v>305</v>
      </c>
      <c r="B215" s="60">
        <f t="shared" si="102"/>
        <v>305</v>
      </c>
      <c r="C215" s="60">
        <f t="shared" si="102"/>
        <v>0</v>
      </c>
      <c r="D215" s="60">
        <f t="shared" si="102"/>
        <v>11</v>
      </c>
      <c r="E215" s="60">
        <f t="shared" si="102"/>
        <v>11</v>
      </c>
      <c r="F215" s="60">
        <f t="shared" si="102"/>
        <v>0</v>
      </c>
      <c r="G215" s="60">
        <f t="shared" si="102"/>
        <v>294</v>
      </c>
      <c r="H215" s="60">
        <f t="shared" si="102"/>
        <v>294</v>
      </c>
      <c r="I215" s="60">
        <f t="shared" si="102"/>
        <v>0</v>
      </c>
      <c r="J215" s="65" t="s">
        <v>13</v>
      </c>
      <c r="K215" s="67"/>
      <c r="L215" s="55"/>
      <c r="M215" s="82"/>
    </row>
    <row r="216" spans="1:13" ht="12.75" customHeight="1" thickBot="1" x14ac:dyDescent="0.25">
      <c r="A216" s="60">
        <f t="shared" ref="A216:C217" si="103">G216+D216</f>
        <v>286</v>
      </c>
      <c r="B216" s="60">
        <f t="shared" si="103"/>
        <v>197</v>
      </c>
      <c r="C216" s="60">
        <f t="shared" si="103"/>
        <v>89</v>
      </c>
      <c r="D216" s="60">
        <f t="shared" si="88"/>
        <v>0</v>
      </c>
      <c r="E216" s="60">
        <v>0</v>
      </c>
      <c r="F216" s="60">
        <v>0</v>
      </c>
      <c r="G216" s="60">
        <f t="shared" si="89"/>
        <v>286</v>
      </c>
      <c r="H216" s="60">
        <v>197</v>
      </c>
      <c r="I216" s="60">
        <v>89</v>
      </c>
      <c r="J216" s="65" t="s">
        <v>221</v>
      </c>
      <c r="K216" s="66"/>
      <c r="L216" s="55"/>
      <c r="M216" s="82"/>
    </row>
    <row r="217" spans="1:13" ht="12.75" customHeight="1" thickBot="1" x14ac:dyDescent="0.25">
      <c r="A217" s="60">
        <f t="shared" si="103"/>
        <v>0</v>
      </c>
      <c r="B217" s="60">
        <f t="shared" si="103"/>
        <v>0</v>
      </c>
      <c r="C217" s="60">
        <f t="shared" si="103"/>
        <v>0</v>
      </c>
      <c r="D217" s="60">
        <f t="shared" si="88"/>
        <v>0</v>
      </c>
      <c r="E217" s="60">
        <v>0</v>
      </c>
      <c r="F217" s="60">
        <v>0</v>
      </c>
      <c r="G217" s="60">
        <f t="shared" si="89"/>
        <v>0</v>
      </c>
      <c r="H217" s="60">
        <v>0</v>
      </c>
      <c r="I217" s="60">
        <v>0</v>
      </c>
      <c r="J217" s="65" t="s">
        <v>222</v>
      </c>
      <c r="K217" s="66" t="s">
        <v>264</v>
      </c>
      <c r="L217" s="55"/>
      <c r="M217" s="82"/>
    </row>
    <row r="218" spans="1:13" ht="12.75" customHeight="1" thickBot="1" x14ac:dyDescent="0.25">
      <c r="A218" s="60">
        <f t="shared" ref="A218:I218" si="104">SUM(A216:A217)</f>
        <v>286</v>
      </c>
      <c r="B218" s="60">
        <f t="shared" si="104"/>
        <v>197</v>
      </c>
      <c r="C218" s="60">
        <f t="shared" si="104"/>
        <v>89</v>
      </c>
      <c r="D218" s="60">
        <f t="shared" si="104"/>
        <v>0</v>
      </c>
      <c r="E218" s="60">
        <f t="shared" si="104"/>
        <v>0</v>
      </c>
      <c r="F218" s="60">
        <f t="shared" si="104"/>
        <v>0</v>
      </c>
      <c r="G218" s="60">
        <f t="shared" si="104"/>
        <v>286</v>
      </c>
      <c r="H218" s="60">
        <f t="shared" si="104"/>
        <v>197</v>
      </c>
      <c r="I218" s="60">
        <f t="shared" si="104"/>
        <v>89</v>
      </c>
      <c r="J218" s="65" t="s">
        <v>13</v>
      </c>
      <c r="K218" s="67"/>
      <c r="L218" s="55"/>
      <c r="M218" s="82"/>
    </row>
    <row r="219" spans="1:13" ht="12.75" customHeight="1" thickBot="1" x14ac:dyDescent="0.25">
      <c r="A219" s="60">
        <f t="shared" ref="A219:C220" si="105">G219+D219</f>
        <v>140</v>
      </c>
      <c r="B219" s="60">
        <f t="shared" si="105"/>
        <v>65</v>
      </c>
      <c r="C219" s="60">
        <f t="shared" si="105"/>
        <v>75</v>
      </c>
      <c r="D219" s="60">
        <f t="shared" si="88"/>
        <v>8</v>
      </c>
      <c r="E219" s="60">
        <v>2</v>
      </c>
      <c r="F219" s="60">
        <v>6</v>
      </c>
      <c r="G219" s="60">
        <f t="shared" si="89"/>
        <v>132</v>
      </c>
      <c r="H219" s="60">
        <v>63</v>
      </c>
      <c r="I219" s="60">
        <v>69</v>
      </c>
      <c r="J219" s="65" t="s">
        <v>221</v>
      </c>
      <c r="K219" s="66"/>
      <c r="L219" s="55"/>
      <c r="M219" s="82"/>
    </row>
    <row r="220" spans="1:13" ht="12.75" customHeight="1" thickBot="1" x14ac:dyDescent="0.25">
      <c r="A220" s="60">
        <f t="shared" si="105"/>
        <v>0</v>
      </c>
      <c r="B220" s="60">
        <f t="shared" si="105"/>
        <v>0</v>
      </c>
      <c r="C220" s="60">
        <f t="shared" si="105"/>
        <v>0</v>
      </c>
      <c r="D220" s="60">
        <f t="shared" si="88"/>
        <v>0</v>
      </c>
      <c r="E220" s="60">
        <v>0</v>
      </c>
      <c r="F220" s="60">
        <v>0</v>
      </c>
      <c r="G220" s="60">
        <f t="shared" si="89"/>
        <v>0</v>
      </c>
      <c r="H220" s="60">
        <v>0</v>
      </c>
      <c r="I220" s="60">
        <v>0</v>
      </c>
      <c r="J220" s="65" t="s">
        <v>222</v>
      </c>
      <c r="K220" s="66" t="s">
        <v>337</v>
      </c>
      <c r="L220" s="55"/>
      <c r="M220" s="82"/>
    </row>
    <row r="221" spans="1:13" ht="12.75" customHeight="1" thickBot="1" x14ac:dyDescent="0.25">
      <c r="A221" s="60">
        <f t="shared" ref="A221:I221" si="106">SUM(A219:A220)</f>
        <v>140</v>
      </c>
      <c r="B221" s="60">
        <f t="shared" si="106"/>
        <v>65</v>
      </c>
      <c r="C221" s="60">
        <f t="shared" si="106"/>
        <v>75</v>
      </c>
      <c r="D221" s="60">
        <f t="shared" si="106"/>
        <v>8</v>
      </c>
      <c r="E221" s="60">
        <f t="shared" si="106"/>
        <v>2</v>
      </c>
      <c r="F221" s="60">
        <f t="shared" si="106"/>
        <v>6</v>
      </c>
      <c r="G221" s="60">
        <f t="shared" si="106"/>
        <v>132</v>
      </c>
      <c r="H221" s="60">
        <f t="shared" si="106"/>
        <v>63</v>
      </c>
      <c r="I221" s="60">
        <f t="shared" si="106"/>
        <v>69</v>
      </c>
      <c r="J221" s="65" t="s">
        <v>13</v>
      </c>
      <c r="K221" s="67"/>
      <c r="L221" s="55"/>
      <c r="M221" s="82"/>
    </row>
    <row r="222" spans="1:13" ht="12.75" customHeight="1" thickBot="1" x14ac:dyDescent="0.25">
      <c r="A222" s="60">
        <f t="shared" ref="A222:C223" si="107">G222+D222</f>
        <v>1806</v>
      </c>
      <c r="B222" s="60">
        <f t="shared" si="107"/>
        <v>547</v>
      </c>
      <c r="C222" s="60">
        <f t="shared" si="107"/>
        <v>1259</v>
      </c>
      <c r="D222" s="60">
        <f t="shared" si="88"/>
        <v>28</v>
      </c>
      <c r="E222" s="60">
        <v>4</v>
      </c>
      <c r="F222" s="60">
        <v>24</v>
      </c>
      <c r="G222" s="60">
        <f t="shared" si="89"/>
        <v>1778</v>
      </c>
      <c r="H222" s="60">
        <v>543</v>
      </c>
      <c r="I222" s="60">
        <v>1235</v>
      </c>
      <c r="J222" s="65" t="s">
        <v>221</v>
      </c>
      <c r="K222" s="66"/>
      <c r="L222" s="55"/>
      <c r="M222" s="82"/>
    </row>
    <row r="223" spans="1:13" ht="12.75" customHeight="1" thickBot="1" x14ac:dyDescent="0.25">
      <c r="A223" s="60">
        <f t="shared" si="107"/>
        <v>14464</v>
      </c>
      <c r="B223" s="60">
        <f t="shared" si="107"/>
        <v>4466</v>
      </c>
      <c r="C223" s="60">
        <f t="shared" si="107"/>
        <v>9998</v>
      </c>
      <c r="D223" s="60">
        <f t="shared" si="88"/>
        <v>507</v>
      </c>
      <c r="E223" s="60">
        <v>330</v>
      </c>
      <c r="F223" s="60">
        <v>177</v>
      </c>
      <c r="G223" s="60">
        <f t="shared" si="89"/>
        <v>13957</v>
      </c>
      <c r="H223" s="60">
        <v>4136</v>
      </c>
      <c r="I223" s="60">
        <v>9821</v>
      </c>
      <c r="J223" s="65" t="s">
        <v>222</v>
      </c>
      <c r="K223" s="66" t="s">
        <v>75</v>
      </c>
      <c r="L223" s="55"/>
      <c r="M223" s="82"/>
    </row>
    <row r="224" spans="1:13" ht="12.75" customHeight="1" thickBot="1" x14ac:dyDescent="0.25">
      <c r="A224" s="60">
        <f t="shared" ref="A224:I224" si="108">SUM(A222:A223)</f>
        <v>16270</v>
      </c>
      <c r="B224" s="60">
        <f t="shared" si="108"/>
        <v>5013</v>
      </c>
      <c r="C224" s="60">
        <f t="shared" si="108"/>
        <v>11257</v>
      </c>
      <c r="D224" s="60">
        <f t="shared" si="108"/>
        <v>535</v>
      </c>
      <c r="E224" s="60">
        <f t="shared" si="108"/>
        <v>334</v>
      </c>
      <c r="F224" s="60">
        <f t="shared" si="108"/>
        <v>201</v>
      </c>
      <c r="G224" s="60">
        <f t="shared" si="108"/>
        <v>15735</v>
      </c>
      <c r="H224" s="60">
        <f t="shared" si="108"/>
        <v>4679</v>
      </c>
      <c r="I224" s="60">
        <f t="shared" si="108"/>
        <v>11056</v>
      </c>
      <c r="J224" s="65" t="s">
        <v>13</v>
      </c>
      <c r="K224" s="67"/>
      <c r="L224" s="55"/>
      <c r="M224" s="82"/>
    </row>
    <row r="225" spans="1:13" ht="12.75" customHeight="1" thickBot="1" x14ac:dyDescent="0.25">
      <c r="A225" s="60">
        <f t="shared" ref="A225:C226" si="109">G225+D225</f>
        <v>24</v>
      </c>
      <c r="B225" s="60">
        <f t="shared" si="109"/>
        <v>3</v>
      </c>
      <c r="C225" s="60">
        <f t="shared" si="109"/>
        <v>21</v>
      </c>
      <c r="D225" s="60">
        <f t="shared" si="88"/>
        <v>1</v>
      </c>
      <c r="E225" s="60">
        <v>0</v>
      </c>
      <c r="F225" s="60">
        <v>1</v>
      </c>
      <c r="G225" s="60">
        <f t="shared" si="89"/>
        <v>23</v>
      </c>
      <c r="H225" s="60">
        <v>3</v>
      </c>
      <c r="I225" s="60">
        <v>20</v>
      </c>
      <c r="J225" s="65" t="s">
        <v>221</v>
      </c>
      <c r="K225" s="66"/>
      <c r="L225" s="55"/>
      <c r="M225" s="82"/>
    </row>
    <row r="226" spans="1:13" ht="12.75" customHeight="1" thickBot="1" x14ac:dyDescent="0.25">
      <c r="A226" s="60">
        <f t="shared" si="109"/>
        <v>0</v>
      </c>
      <c r="B226" s="60">
        <f t="shared" si="109"/>
        <v>0</v>
      </c>
      <c r="C226" s="60">
        <f t="shared" si="109"/>
        <v>0</v>
      </c>
      <c r="D226" s="60">
        <f t="shared" si="88"/>
        <v>0</v>
      </c>
      <c r="E226" s="60">
        <v>0</v>
      </c>
      <c r="F226" s="60">
        <v>0</v>
      </c>
      <c r="G226" s="60">
        <f t="shared" si="89"/>
        <v>0</v>
      </c>
      <c r="H226" s="60">
        <v>0</v>
      </c>
      <c r="I226" s="60">
        <v>0</v>
      </c>
      <c r="J226" s="65" t="s">
        <v>222</v>
      </c>
      <c r="K226" s="66" t="s">
        <v>381</v>
      </c>
      <c r="L226" s="55"/>
      <c r="M226" s="82"/>
    </row>
    <row r="227" spans="1:13" ht="12.75" customHeight="1" thickBot="1" x14ac:dyDescent="0.25">
      <c r="A227" s="60">
        <f t="shared" ref="A227:I227" si="110">SUM(A225:A226)</f>
        <v>24</v>
      </c>
      <c r="B227" s="60">
        <f t="shared" si="110"/>
        <v>3</v>
      </c>
      <c r="C227" s="60">
        <f t="shared" si="110"/>
        <v>21</v>
      </c>
      <c r="D227" s="60">
        <f t="shared" si="110"/>
        <v>1</v>
      </c>
      <c r="E227" s="60">
        <f t="shared" si="110"/>
        <v>0</v>
      </c>
      <c r="F227" s="60">
        <f t="shared" si="110"/>
        <v>1</v>
      </c>
      <c r="G227" s="60">
        <f t="shared" si="110"/>
        <v>23</v>
      </c>
      <c r="H227" s="60">
        <f t="shared" si="110"/>
        <v>3</v>
      </c>
      <c r="I227" s="60">
        <f t="shared" si="110"/>
        <v>20</v>
      </c>
      <c r="J227" s="65" t="s">
        <v>13</v>
      </c>
      <c r="K227" s="67"/>
      <c r="L227" s="55"/>
      <c r="M227" s="82"/>
    </row>
    <row r="228" spans="1:13" ht="12.75" customHeight="1" thickBot="1" x14ac:dyDescent="0.25">
      <c r="A228" s="60">
        <f t="shared" ref="A228:C229" si="111">G228+D228</f>
        <v>1986</v>
      </c>
      <c r="B228" s="60">
        <f t="shared" si="111"/>
        <v>744</v>
      </c>
      <c r="C228" s="60">
        <f t="shared" si="111"/>
        <v>1242</v>
      </c>
      <c r="D228" s="60">
        <f t="shared" si="88"/>
        <v>95</v>
      </c>
      <c r="E228" s="60">
        <v>56</v>
      </c>
      <c r="F228" s="60">
        <v>39</v>
      </c>
      <c r="G228" s="60">
        <f t="shared" si="89"/>
        <v>1891</v>
      </c>
      <c r="H228" s="60">
        <v>688</v>
      </c>
      <c r="I228" s="60">
        <v>1203</v>
      </c>
      <c r="J228" s="65" t="s">
        <v>221</v>
      </c>
      <c r="K228" s="66"/>
      <c r="L228" s="55"/>
      <c r="M228" s="82"/>
    </row>
    <row r="229" spans="1:13" ht="12.75" customHeight="1" thickBot="1" x14ac:dyDescent="0.25">
      <c r="A229" s="60">
        <f t="shared" si="111"/>
        <v>0</v>
      </c>
      <c r="B229" s="60">
        <f t="shared" si="111"/>
        <v>0</v>
      </c>
      <c r="C229" s="60">
        <f t="shared" si="111"/>
        <v>0</v>
      </c>
      <c r="D229" s="60">
        <f t="shared" si="88"/>
        <v>0</v>
      </c>
      <c r="E229" s="60">
        <v>0</v>
      </c>
      <c r="F229" s="60">
        <v>0</v>
      </c>
      <c r="G229" s="60">
        <f t="shared" si="89"/>
        <v>0</v>
      </c>
      <c r="H229" s="60">
        <v>0</v>
      </c>
      <c r="I229" s="60">
        <v>0</v>
      </c>
      <c r="J229" s="65" t="s">
        <v>222</v>
      </c>
      <c r="K229" s="66" t="s">
        <v>382</v>
      </c>
      <c r="L229" s="55"/>
      <c r="M229" s="82"/>
    </row>
    <row r="230" spans="1:13" ht="12.75" customHeight="1" thickBot="1" x14ac:dyDescent="0.25">
      <c r="A230" s="60">
        <f t="shared" ref="A230:I230" si="112">SUM(A228:A229)</f>
        <v>1986</v>
      </c>
      <c r="B230" s="60">
        <f t="shared" si="112"/>
        <v>744</v>
      </c>
      <c r="C230" s="60">
        <f t="shared" si="112"/>
        <v>1242</v>
      </c>
      <c r="D230" s="60">
        <f t="shared" si="112"/>
        <v>95</v>
      </c>
      <c r="E230" s="60">
        <f t="shared" si="112"/>
        <v>56</v>
      </c>
      <c r="F230" s="60">
        <f t="shared" si="112"/>
        <v>39</v>
      </c>
      <c r="G230" s="60">
        <f t="shared" si="112"/>
        <v>1891</v>
      </c>
      <c r="H230" s="60">
        <f t="shared" si="112"/>
        <v>688</v>
      </c>
      <c r="I230" s="60">
        <f t="shared" si="112"/>
        <v>1203</v>
      </c>
      <c r="J230" s="65" t="s">
        <v>13</v>
      </c>
      <c r="K230" s="67"/>
      <c r="L230" s="55"/>
    </row>
    <row r="231" spans="1:13" ht="12.75" customHeight="1" thickBot="1" x14ac:dyDescent="0.25">
      <c r="A231" s="60">
        <f t="shared" ref="A231:C232" si="113">G231+D231</f>
        <v>954</v>
      </c>
      <c r="B231" s="60">
        <f t="shared" si="113"/>
        <v>954</v>
      </c>
      <c r="C231" s="60">
        <f t="shared" si="113"/>
        <v>0</v>
      </c>
      <c r="D231" s="60">
        <f t="shared" si="88"/>
        <v>11</v>
      </c>
      <c r="E231" s="60">
        <v>11</v>
      </c>
      <c r="F231" s="60">
        <v>0</v>
      </c>
      <c r="G231" s="60">
        <f t="shared" si="89"/>
        <v>943</v>
      </c>
      <c r="H231" s="60">
        <v>943</v>
      </c>
      <c r="I231" s="60">
        <v>0</v>
      </c>
      <c r="J231" s="65" t="s">
        <v>221</v>
      </c>
      <c r="K231" s="66"/>
      <c r="L231" s="55"/>
      <c r="M231" s="69"/>
    </row>
    <row r="232" spans="1:13" ht="12.75" customHeight="1" thickBot="1" x14ac:dyDescent="0.25">
      <c r="A232" s="60">
        <f t="shared" si="113"/>
        <v>0</v>
      </c>
      <c r="B232" s="60">
        <f t="shared" si="113"/>
        <v>0</v>
      </c>
      <c r="C232" s="60">
        <f t="shared" si="113"/>
        <v>0</v>
      </c>
      <c r="D232" s="60">
        <f t="shared" si="88"/>
        <v>0</v>
      </c>
      <c r="E232" s="60">
        <v>0</v>
      </c>
      <c r="F232" s="60">
        <v>0</v>
      </c>
      <c r="G232" s="60">
        <f t="shared" si="89"/>
        <v>0</v>
      </c>
      <c r="H232" s="60">
        <v>0</v>
      </c>
      <c r="I232" s="60">
        <v>0</v>
      </c>
      <c r="J232" s="65" t="s">
        <v>222</v>
      </c>
      <c r="K232" s="66" t="s">
        <v>383</v>
      </c>
      <c r="L232" s="55"/>
    </row>
    <row r="233" spans="1:13" ht="12.75" customHeight="1" thickBot="1" x14ac:dyDescent="0.25">
      <c r="A233" s="60">
        <f t="shared" ref="A233:I233" si="114">SUM(A231:A232)</f>
        <v>954</v>
      </c>
      <c r="B233" s="60">
        <f t="shared" si="114"/>
        <v>954</v>
      </c>
      <c r="C233" s="60">
        <f t="shared" si="114"/>
        <v>0</v>
      </c>
      <c r="D233" s="60">
        <f t="shared" si="114"/>
        <v>11</v>
      </c>
      <c r="E233" s="60">
        <f t="shared" si="114"/>
        <v>11</v>
      </c>
      <c r="F233" s="60">
        <f t="shared" si="114"/>
        <v>0</v>
      </c>
      <c r="G233" s="60">
        <f t="shared" si="114"/>
        <v>943</v>
      </c>
      <c r="H233" s="60">
        <f t="shared" si="114"/>
        <v>943</v>
      </c>
      <c r="I233" s="60">
        <f t="shared" si="114"/>
        <v>0</v>
      </c>
      <c r="J233" s="65" t="s">
        <v>13</v>
      </c>
      <c r="K233" s="67"/>
      <c r="L233" s="55"/>
    </row>
    <row r="234" spans="1:13" ht="12.75" customHeight="1" thickBot="1" x14ac:dyDescent="0.25">
      <c r="A234" s="60">
        <f t="shared" ref="A234:C235" si="115">G234+D234</f>
        <v>387</v>
      </c>
      <c r="B234" s="60">
        <f t="shared" si="115"/>
        <v>387</v>
      </c>
      <c r="C234" s="60">
        <f t="shared" si="115"/>
        <v>0</v>
      </c>
      <c r="D234" s="60">
        <f t="shared" si="88"/>
        <v>0</v>
      </c>
      <c r="E234" s="60">
        <v>0</v>
      </c>
      <c r="F234" s="60">
        <v>0</v>
      </c>
      <c r="G234" s="60">
        <f t="shared" si="89"/>
        <v>387</v>
      </c>
      <c r="H234" s="60">
        <v>387</v>
      </c>
      <c r="I234" s="60">
        <v>0</v>
      </c>
      <c r="J234" s="65" t="s">
        <v>221</v>
      </c>
      <c r="K234" s="66"/>
      <c r="L234" s="55"/>
    </row>
    <row r="235" spans="1:13" ht="12.75" customHeight="1" thickBot="1" x14ac:dyDescent="0.25">
      <c r="A235" s="60">
        <f t="shared" si="115"/>
        <v>0</v>
      </c>
      <c r="B235" s="60">
        <f t="shared" si="115"/>
        <v>0</v>
      </c>
      <c r="C235" s="60">
        <f t="shared" si="115"/>
        <v>0</v>
      </c>
      <c r="D235" s="60">
        <f t="shared" si="88"/>
        <v>0</v>
      </c>
      <c r="E235" s="60">
        <v>0</v>
      </c>
      <c r="F235" s="60">
        <v>0</v>
      </c>
      <c r="G235" s="60">
        <f t="shared" si="89"/>
        <v>0</v>
      </c>
      <c r="H235" s="60">
        <v>0</v>
      </c>
      <c r="I235" s="60">
        <v>0</v>
      </c>
      <c r="J235" s="65" t="s">
        <v>222</v>
      </c>
      <c r="K235" s="66" t="s">
        <v>384</v>
      </c>
      <c r="L235" s="55"/>
    </row>
    <row r="236" spans="1:13" ht="12.75" customHeight="1" thickBot="1" x14ac:dyDescent="0.25">
      <c r="A236" s="60">
        <f t="shared" ref="A236:I236" si="116">SUM(A234:A235)</f>
        <v>387</v>
      </c>
      <c r="B236" s="60">
        <f t="shared" si="116"/>
        <v>387</v>
      </c>
      <c r="C236" s="60">
        <f t="shared" si="116"/>
        <v>0</v>
      </c>
      <c r="D236" s="60">
        <f t="shared" si="116"/>
        <v>0</v>
      </c>
      <c r="E236" s="60">
        <f t="shared" si="116"/>
        <v>0</v>
      </c>
      <c r="F236" s="60">
        <f t="shared" si="116"/>
        <v>0</v>
      </c>
      <c r="G236" s="60">
        <f t="shared" si="116"/>
        <v>387</v>
      </c>
      <c r="H236" s="60">
        <f t="shared" si="116"/>
        <v>387</v>
      </c>
      <c r="I236" s="60">
        <f t="shared" si="116"/>
        <v>0</v>
      </c>
      <c r="J236" s="65" t="s">
        <v>13</v>
      </c>
      <c r="K236" s="67"/>
      <c r="L236" s="55"/>
    </row>
    <row r="237" spans="1:13" ht="12.75" customHeight="1" thickBot="1" x14ac:dyDescent="0.25">
      <c r="A237" s="60">
        <f t="shared" ref="A237:C238" si="117">G237+D237</f>
        <v>499</v>
      </c>
      <c r="B237" s="60">
        <f t="shared" si="117"/>
        <v>499</v>
      </c>
      <c r="C237" s="60">
        <f t="shared" si="117"/>
        <v>0</v>
      </c>
      <c r="D237" s="60">
        <f t="shared" si="88"/>
        <v>0</v>
      </c>
      <c r="E237" s="60">
        <v>0</v>
      </c>
      <c r="F237" s="60">
        <v>0</v>
      </c>
      <c r="G237" s="60">
        <f t="shared" si="89"/>
        <v>499</v>
      </c>
      <c r="H237" s="60">
        <v>499</v>
      </c>
      <c r="I237" s="60">
        <v>0</v>
      </c>
      <c r="J237" s="65" t="s">
        <v>221</v>
      </c>
      <c r="K237" s="66"/>
      <c r="L237" s="55"/>
    </row>
    <row r="238" spans="1:13" ht="12.75" customHeight="1" thickBot="1" x14ac:dyDescent="0.25">
      <c r="A238" s="60">
        <f t="shared" si="117"/>
        <v>0</v>
      </c>
      <c r="B238" s="60">
        <f t="shared" si="117"/>
        <v>0</v>
      </c>
      <c r="C238" s="60">
        <f t="shared" si="117"/>
        <v>0</v>
      </c>
      <c r="D238" s="60">
        <f t="shared" si="88"/>
        <v>0</v>
      </c>
      <c r="E238" s="60">
        <v>0</v>
      </c>
      <c r="F238" s="60">
        <v>0</v>
      </c>
      <c r="G238" s="60">
        <f t="shared" si="89"/>
        <v>0</v>
      </c>
      <c r="H238" s="60">
        <v>0</v>
      </c>
      <c r="I238" s="60">
        <v>0</v>
      </c>
      <c r="J238" s="65" t="s">
        <v>222</v>
      </c>
      <c r="K238" s="66" t="s">
        <v>385</v>
      </c>
      <c r="L238" s="55"/>
    </row>
    <row r="239" spans="1:13" ht="12.75" customHeight="1" thickBot="1" x14ac:dyDescent="0.25">
      <c r="A239" s="60">
        <f t="shared" ref="A239:I239" si="118">SUM(A237:A238)</f>
        <v>499</v>
      </c>
      <c r="B239" s="60">
        <f t="shared" si="118"/>
        <v>499</v>
      </c>
      <c r="C239" s="60">
        <f t="shared" si="118"/>
        <v>0</v>
      </c>
      <c r="D239" s="60">
        <f t="shared" si="118"/>
        <v>0</v>
      </c>
      <c r="E239" s="60">
        <f t="shared" si="118"/>
        <v>0</v>
      </c>
      <c r="F239" s="60">
        <f t="shared" si="118"/>
        <v>0</v>
      </c>
      <c r="G239" s="60">
        <f t="shared" si="118"/>
        <v>499</v>
      </c>
      <c r="H239" s="60">
        <f t="shared" si="118"/>
        <v>499</v>
      </c>
      <c r="I239" s="60">
        <f t="shared" si="118"/>
        <v>0</v>
      </c>
      <c r="J239" s="65" t="s">
        <v>13</v>
      </c>
      <c r="K239" s="67"/>
      <c r="L239" s="55"/>
    </row>
    <row r="240" spans="1:13" ht="12.75" customHeight="1" thickBot="1" x14ac:dyDescent="0.25">
      <c r="A240" s="60">
        <f t="shared" ref="A240:C241" si="119">G240+D240</f>
        <v>1536</v>
      </c>
      <c r="B240" s="60">
        <f t="shared" si="119"/>
        <v>1536</v>
      </c>
      <c r="C240" s="60">
        <f t="shared" si="119"/>
        <v>0</v>
      </c>
      <c r="D240" s="60">
        <f t="shared" si="88"/>
        <v>10</v>
      </c>
      <c r="E240" s="60">
        <v>10</v>
      </c>
      <c r="F240" s="60">
        <v>0</v>
      </c>
      <c r="G240" s="60">
        <f t="shared" si="89"/>
        <v>1526</v>
      </c>
      <c r="H240" s="60">
        <v>1526</v>
      </c>
      <c r="I240" s="60">
        <v>0</v>
      </c>
      <c r="J240" s="65" t="s">
        <v>221</v>
      </c>
      <c r="K240" s="66"/>
      <c r="L240" s="55"/>
    </row>
    <row r="241" spans="1:13" ht="12.75" customHeight="1" thickBot="1" x14ac:dyDescent="0.25">
      <c r="A241" s="60">
        <f t="shared" si="119"/>
        <v>896</v>
      </c>
      <c r="B241" s="60">
        <f t="shared" si="119"/>
        <v>896</v>
      </c>
      <c r="C241" s="60">
        <f t="shared" si="119"/>
        <v>0</v>
      </c>
      <c r="D241" s="60">
        <f t="shared" si="88"/>
        <v>9</v>
      </c>
      <c r="E241" s="60">
        <v>9</v>
      </c>
      <c r="F241" s="60">
        <v>0</v>
      </c>
      <c r="G241" s="60">
        <f t="shared" si="89"/>
        <v>887</v>
      </c>
      <c r="H241" s="60">
        <v>887</v>
      </c>
      <c r="I241" s="60">
        <v>0</v>
      </c>
      <c r="J241" s="65" t="s">
        <v>222</v>
      </c>
      <c r="K241" s="66" t="s">
        <v>386</v>
      </c>
      <c r="L241" s="55"/>
    </row>
    <row r="242" spans="1:13" ht="12.75" customHeight="1" thickBot="1" x14ac:dyDescent="0.25">
      <c r="A242" s="60">
        <f t="shared" ref="A242:I242" si="120">SUM(A240:A241)</f>
        <v>2432</v>
      </c>
      <c r="B242" s="60">
        <f t="shared" si="120"/>
        <v>2432</v>
      </c>
      <c r="C242" s="60">
        <f t="shared" si="120"/>
        <v>0</v>
      </c>
      <c r="D242" s="60">
        <f t="shared" si="120"/>
        <v>19</v>
      </c>
      <c r="E242" s="60">
        <f t="shared" si="120"/>
        <v>19</v>
      </c>
      <c r="F242" s="60">
        <f t="shared" si="120"/>
        <v>0</v>
      </c>
      <c r="G242" s="60">
        <f t="shared" si="120"/>
        <v>2413</v>
      </c>
      <c r="H242" s="60">
        <f t="shared" si="120"/>
        <v>2413</v>
      </c>
      <c r="I242" s="60">
        <f t="shared" si="120"/>
        <v>0</v>
      </c>
      <c r="J242" s="65" t="s">
        <v>13</v>
      </c>
      <c r="K242" s="67"/>
      <c r="L242" s="55"/>
    </row>
    <row r="243" spans="1:13" ht="12.75" customHeight="1" thickBot="1" x14ac:dyDescent="0.25">
      <c r="A243" s="60">
        <f t="shared" ref="A243:C244" si="121">G243+D243</f>
        <v>339</v>
      </c>
      <c r="B243" s="60">
        <f t="shared" si="121"/>
        <v>0</v>
      </c>
      <c r="C243" s="60">
        <f t="shared" si="121"/>
        <v>339</v>
      </c>
      <c r="D243" s="60">
        <f t="shared" si="88"/>
        <v>0</v>
      </c>
      <c r="E243" s="60">
        <v>0</v>
      </c>
      <c r="F243" s="60">
        <v>0</v>
      </c>
      <c r="G243" s="60">
        <f t="shared" si="89"/>
        <v>339</v>
      </c>
      <c r="H243" s="60">
        <v>0</v>
      </c>
      <c r="I243" s="60">
        <v>339</v>
      </c>
      <c r="J243" s="65" t="s">
        <v>221</v>
      </c>
      <c r="K243" s="66"/>
      <c r="L243" s="55"/>
    </row>
    <row r="244" spans="1:13" ht="12.75" customHeight="1" thickBot="1" x14ac:dyDescent="0.25">
      <c r="A244" s="60">
        <f t="shared" si="121"/>
        <v>0</v>
      </c>
      <c r="B244" s="60">
        <f t="shared" si="121"/>
        <v>0</v>
      </c>
      <c r="C244" s="60">
        <f t="shared" si="121"/>
        <v>0</v>
      </c>
      <c r="D244" s="60">
        <f t="shared" si="88"/>
        <v>0</v>
      </c>
      <c r="E244" s="60">
        <v>0</v>
      </c>
      <c r="F244" s="60">
        <v>0</v>
      </c>
      <c r="G244" s="60">
        <f t="shared" si="89"/>
        <v>0</v>
      </c>
      <c r="H244" s="60">
        <v>0</v>
      </c>
      <c r="I244" s="60">
        <v>0</v>
      </c>
      <c r="J244" s="65" t="s">
        <v>222</v>
      </c>
      <c r="K244" s="66" t="s">
        <v>248</v>
      </c>
      <c r="L244" s="55"/>
      <c r="M244" s="82"/>
    </row>
    <row r="245" spans="1:13" ht="12.75" customHeight="1" thickBot="1" x14ac:dyDescent="0.25">
      <c r="A245" s="60">
        <f t="shared" ref="A245:I245" si="122">SUM(A243:A244)</f>
        <v>339</v>
      </c>
      <c r="B245" s="60">
        <f t="shared" si="122"/>
        <v>0</v>
      </c>
      <c r="C245" s="60">
        <f t="shared" si="122"/>
        <v>339</v>
      </c>
      <c r="D245" s="60">
        <f t="shared" si="122"/>
        <v>0</v>
      </c>
      <c r="E245" s="60">
        <f t="shared" si="122"/>
        <v>0</v>
      </c>
      <c r="F245" s="60">
        <f t="shared" si="122"/>
        <v>0</v>
      </c>
      <c r="G245" s="60">
        <f t="shared" si="122"/>
        <v>339</v>
      </c>
      <c r="H245" s="60">
        <f t="shared" si="122"/>
        <v>0</v>
      </c>
      <c r="I245" s="60">
        <f t="shared" si="122"/>
        <v>339</v>
      </c>
      <c r="J245" s="65" t="s">
        <v>13</v>
      </c>
      <c r="K245" s="67"/>
      <c r="L245" s="55"/>
      <c r="M245" s="82"/>
    </row>
    <row r="246" spans="1:13" ht="12.75" customHeight="1" thickBot="1" x14ac:dyDescent="0.25">
      <c r="A246" s="60">
        <f t="shared" ref="A246:C247" si="123">G246+D246</f>
        <v>170</v>
      </c>
      <c r="B246" s="60">
        <f t="shared" si="123"/>
        <v>0</v>
      </c>
      <c r="C246" s="60">
        <f t="shared" si="123"/>
        <v>170</v>
      </c>
      <c r="D246" s="60">
        <f t="shared" ref="D246:D247" si="124">F246+E246</f>
        <v>6</v>
      </c>
      <c r="E246" s="60">
        <v>0</v>
      </c>
      <c r="F246" s="60">
        <v>6</v>
      </c>
      <c r="G246" s="60">
        <f t="shared" ref="G246:G247" si="125">I246+H246</f>
        <v>164</v>
      </c>
      <c r="H246" s="60">
        <v>0</v>
      </c>
      <c r="I246" s="60">
        <v>164</v>
      </c>
      <c r="J246" s="65" t="s">
        <v>221</v>
      </c>
      <c r="K246" s="66"/>
      <c r="L246" s="55"/>
      <c r="M246" s="82"/>
    </row>
    <row r="247" spans="1:13" ht="12.75" customHeight="1" thickBot="1" x14ac:dyDescent="0.25">
      <c r="A247" s="60">
        <f t="shared" si="123"/>
        <v>0</v>
      </c>
      <c r="B247" s="60">
        <f t="shared" si="123"/>
        <v>0</v>
      </c>
      <c r="C247" s="60">
        <f t="shared" si="123"/>
        <v>0</v>
      </c>
      <c r="D247" s="60">
        <f t="shared" si="124"/>
        <v>0</v>
      </c>
      <c r="E247" s="60">
        <v>0</v>
      </c>
      <c r="F247" s="60">
        <v>0</v>
      </c>
      <c r="G247" s="60">
        <f t="shared" si="125"/>
        <v>0</v>
      </c>
      <c r="H247" s="60">
        <v>0</v>
      </c>
      <c r="I247" s="60">
        <v>0</v>
      </c>
      <c r="J247" s="65" t="s">
        <v>222</v>
      </c>
      <c r="K247" s="66" t="s">
        <v>387</v>
      </c>
      <c r="L247" s="55"/>
      <c r="M247" s="82"/>
    </row>
    <row r="248" spans="1:13" ht="12.75" customHeight="1" thickBot="1" x14ac:dyDescent="0.25">
      <c r="A248" s="60">
        <f t="shared" ref="A248:I248" si="126">SUM(A246:A247)</f>
        <v>170</v>
      </c>
      <c r="B248" s="60">
        <f t="shared" si="126"/>
        <v>0</v>
      </c>
      <c r="C248" s="60">
        <f t="shared" si="126"/>
        <v>170</v>
      </c>
      <c r="D248" s="60">
        <f t="shared" si="126"/>
        <v>6</v>
      </c>
      <c r="E248" s="60">
        <f t="shared" si="126"/>
        <v>0</v>
      </c>
      <c r="F248" s="60">
        <f t="shared" si="126"/>
        <v>6</v>
      </c>
      <c r="G248" s="60">
        <f t="shared" si="126"/>
        <v>164</v>
      </c>
      <c r="H248" s="60">
        <f t="shared" si="126"/>
        <v>0</v>
      </c>
      <c r="I248" s="60">
        <f t="shared" si="126"/>
        <v>164</v>
      </c>
      <c r="J248" s="65" t="s">
        <v>13</v>
      </c>
      <c r="K248" s="67"/>
      <c r="L248" s="55"/>
      <c r="M248" s="82"/>
    </row>
    <row r="249" spans="1:13" ht="12.75" customHeight="1" thickBot="1" x14ac:dyDescent="0.25">
      <c r="A249" s="60">
        <f t="shared" ref="A249:I251" si="127">A192+A195+A198+A201+A204+A207+A210+A213+A216+A219+A222+A225+A228+A231+A234+A237+A240+A243+A246</f>
        <v>15026</v>
      </c>
      <c r="B249" s="60">
        <f t="shared" si="127"/>
        <v>7221</v>
      </c>
      <c r="C249" s="60">
        <f t="shared" si="127"/>
        <v>7805</v>
      </c>
      <c r="D249" s="60">
        <f t="shared" si="127"/>
        <v>429</v>
      </c>
      <c r="E249" s="60">
        <f t="shared" si="127"/>
        <v>181</v>
      </c>
      <c r="F249" s="60">
        <f t="shared" si="127"/>
        <v>248</v>
      </c>
      <c r="G249" s="60">
        <f t="shared" si="127"/>
        <v>14597</v>
      </c>
      <c r="H249" s="60">
        <f t="shared" si="127"/>
        <v>7040</v>
      </c>
      <c r="I249" s="60">
        <f>I192+I195+I198+I201+I204+I207+I210+I213+I216+I219+I222+I225+I228+I231+I234+I237+I240+I243+I246</f>
        <v>7557</v>
      </c>
      <c r="J249" s="65" t="s">
        <v>224</v>
      </c>
      <c r="K249" s="57"/>
      <c r="L249" s="55"/>
      <c r="M249" s="82"/>
    </row>
    <row r="250" spans="1:13" ht="12.75" customHeight="1" thickBot="1" x14ac:dyDescent="0.25">
      <c r="A250" s="60">
        <f t="shared" si="127"/>
        <v>15360</v>
      </c>
      <c r="B250" s="60">
        <f t="shared" si="127"/>
        <v>5362</v>
      </c>
      <c r="C250" s="60">
        <f t="shared" si="127"/>
        <v>9998</v>
      </c>
      <c r="D250" s="60">
        <f t="shared" si="127"/>
        <v>516</v>
      </c>
      <c r="E250" s="60">
        <f t="shared" si="127"/>
        <v>339</v>
      </c>
      <c r="F250" s="60">
        <f t="shared" si="127"/>
        <v>177</v>
      </c>
      <c r="G250" s="60">
        <f t="shared" si="127"/>
        <v>14844</v>
      </c>
      <c r="H250" s="60">
        <f t="shared" si="127"/>
        <v>5023</v>
      </c>
      <c r="I250" s="60">
        <f t="shared" si="127"/>
        <v>9821</v>
      </c>
      <c r="J250" s="65" t="s">
        <v>225</v>
      </c>
      <c r="K250" s="68" t="s">
        <v>211</v>
      </c>
      <c r="L250" s="55"/>
      <c r="M250" s="82"/>
    </row>
    <row r="251" spans="1:13" ht="12.75" customHeight="1" thickBot="1" x14ac:dyDescent="0.25">
      <c r="A251" s="60">
        <f t="shared" si="127"/>
        <v>30386</v>
      </c>
      <c r="B251" s="60">
        <f t="shared" si="127"/>
        <v>12583</v>
      </c>
      <c r="C251" s="60">
        <f t="shared" si="127"/>
        <v>17803</v>
      </c>
      <c r="D251" s="60">
        <f t="shared" si="127"/>
        <v>945</v>
      </c>
      <c r="E251" s="60">
        <f t="shared" si="127"/>
        <v>520</v>
      </c>
      <c r="F251" s="60">
        <f t="shared" si="127"/>
        <v>425</v>
      </c>
      <c r="G251" s="60">
        <f t="shared" si="127"/>
        <v>29441</v>
      </c>
      <c r="H251" s="60">
        <f t="shared" si="127"/>
        <v>12063</v>
      </c>
      <c r="I251" s="60">
        <f t="shared" si="127"/>
        <v>17378</v>
      </c>
      <c r="J251" s="65" t="s">
        <v>13</v>
      </c>
      <c r="K251" s="59"/>
      <c r="L251" s="55"/>
      <c r="M251" s="82"/>
    </row>
    <row r="252" spans="1:13" ht="12.75" customHeight="1" x14ac:dyDescent="0.2">
      <c r="A252" s="177" t="s">
        <v>327</v>
      </c>
      <c r="B252" s="177"/>
      <c r="C252" s="177"/>
      <c r="D252" s="177"/>
      <c r="E252" s="177"/>
      <c r="F252" s="177"/>
      <c r="G252" s="177"/>
      <c r="H252" s="177"/>
      <c r="I252" s="177"/>
      <c r="J252" s="177"/>
      <c r="K252" s="177"/>
      <c r="L252" s="55"/>
      <c r="M252" s="82"/>
    </row>
    <row r="253" spans="1:13" ht="12.75" customHeight="1" thickBot="1" x14ac:dyDescent="0.25">
      <c r="A253" s="178" t="s">
        <v>328</v>
      </c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55"/>
      <c r="M253" s="82"/>
    </row>
    <row r="254" spans="1:13" ht="12.75" customHeight="1" thickBot="1" x14ac:dyDescent="0.25">
      <c r="A254" s="179" t="s">
        <v>5</v>
      </c>
      <c r="B254" s="179"/>
      <c r="C254" s="179"/>
      <c r="D254" s="179" t="s">
        <v>162</v>
      </c>
      <c r="E254" s="179"/>
      <c r="F254" s="179"/>
      <c r="G254" s="179" t="s">
        <v>163</v>
      </c>
      <c r="H254" s="179"/>
      <c r="I254" s="179"/>
      <c r="J254" s="179" t="s">
        <v>72</v>
      </c>
      <c r="K254" s="179"/>
      <c r="L254" s="55"/>
      <c r="M254" s="82"/>
    </row>
    <row r="255" spans="1:13" ht="12.75" customHeight="1" thickBot="1" x14ac:dyDescent="0.25">
      <c r="A255" s="58" t="s">
        <v>216</v>
      </c>
      <c r="B255" s="58" t="s">
        <v>11</v>
      </c>
      <c r="C255" s="58" t="s">
        <v>10</v>
      </c>
      <c r="D255" s="58" t="s">
        <v>216</v>
      </c>
      <c r="E255" s="58" t="s">
        <v>11</v>
      </c>
      <c r="F255" s="58" t="s">
        <v>10</v>
      </c>
      <c r="G255" s="58" t="s">
        <v>216</v>
      </c>
      <c r="H255" s="58" t="s">
        <v>11</v>
      </c>
      <c r="I255" s="58" t="s">
        <v>10</v>
      </c>
      <c r="J255" s="180" t="s">
        <v>98</v>
      </c>
      <c r="K255" s="180"/>
      <c r="L255" s="55"/>
      <c r="M255" s="82"/>
    </row>
    <row r="256" spans="1:13" ht="12.75" customHeight="1" thickBot="1" x14ac:dyDescent="0.25">
      <c r="A256" s="60">
        <f t="shared" ref="A256:C257" si="128">G256+D256</f>
        <v>51</v>
      </c>
      <c r="B256" s="60">
        <f t="shared" si="128"/>
        <v>0</v>
      </c>
      <c r="C256" s="60">
        <f t="shared" si="128"/>
        <v>51</v>
      </c>
      <c r="D256" s="60">
        <f>F256+E256</f>
        <v>1</v>
      </c>
      <c r="E256" s="60">
        <v>0</v>
      </c>
      <c r="F256" s="60">
        <v>1</v>
      </c>
      <c r="G256" s="60">
        <f>I256+H256</f>
        <v>50</v>
      </c>
      <c r="H256" s="60">
        <v>0</v>
      </c>
      <c r="I256" s="60">
        <v>50</v>
      </c>
      <c r="J256" s="65" t="s">
        <v>221</v>
      </c>
      <c r="K256" s="66"/>
      <c r="L256" s="55"/>
      <c r="M256" s="82"/>
    </row>
    <row r="257" spans="1:13" ht="12.75" customHeight="1" thickBot="1" x14ac:dyDescent="0.25">
      <c r="A257" s="60">
        <f t="shared" si="128"/>
        <v>0</v>
      </c>
      <c r="B257" s="60">
        <f t="shared" si="128"/>
        <v>0</v>
      </c>
      <c r="C257" s="60">
        <f t="shared" si="128"/>
        <v>0</v>
      </c>
      <c r="D257" s="60">
        <f>F257+E257</f>
        <v>0</v>
      </c>
      <c r="E257" s="60">
        <v>0</v>
      </c>
      <c r="F257" s="60">
        <v>0</v>
      </c>
      <c r="G257" s="60">
        <f>I257+H257</f>
        <v>0</v>
      </c>
      <c r="H257" s="60">
        <v>0</v>
      </c>
      <c r="I257" s="60">
        <v>0</v>
      </c>
      <c r="J257" s="65" t="s">
        <v>222</v>
      </c>
      <c r="K257" s="66" t="s">
        <v>388</v>
      </c>
      <c r="L257" s="55"/>
      <c r="M257" s="82"/>
    </row>
    <row r="258" spans="1:13" ht="12.75" customHeight="1" thickBot="1" x14ac:dyDescent="0.25">
      <c r="A258" s="60">
        <f t="shared" ref="A258:I258" si="129">SUM(A256:A257)</f>
        <v>51</v>
      </c>
      <c r="B258" s="60">
        <f t="shared" si="129"/>
        <v>0</v>
      </c>
      <c r="C258" s="60">
        <f t="shared" si="129"/>
        <v>51</v>
      </c>
      <c r="D258" s="60">
        <f t="shared" si="129"/>
        <v>1</v>
      </c>
      <c r="E258" s="60">
        <f t="shared" si="129"/>
        <v>0</v>
      </c>
      <c r="F258" s="60">
        <f t="shared" si="129"/>
        <v>1</v>
      </c>
      <c r="G258" s="60">
        <f t="shared" si="129"/>
        <v>50</v>
      </c>
      <c r="H258" s="60">
        <f t="shared" si="129"/>
        <v>0</v>
      </c>
      <c r="I258" s="60">
        <f t="shared" si="129"/>
        <v>50</v>
      </c>
      <c r="J258" s="65" t="s">
        <v>13</v>
      </c>
      <c r="K258" s="67"/>
      <c r="L258" s="55"/>
      <c r="M258" s="82"/>
    </row>
    <row r="259" spans="1:13" ht="12.75" customHeight="1" thickBot="1" x14ac:dyDescent="0.25">
      <c r="A259" s="60">
        <f t="shared" ref="A259:C260" si="130">G259+D259</f>
        <v>21</v>
      </c>
      <c r="B259" s="60">
        <f t="shared" si="130"/>
        <v>0</v>
      </c>
      <c r="C259" s="60">
        <f t="shared" si="130"/>
        <v>21</v>
      </c>
      <c r="D259" s="60">
        <f>F259+E259</f>
        <v>0</v>
      </c>
      <c r="E259" s="60">
        <v>0</v>
      </c>
      <c r="F259" s="60">
        <v>0</v>
      </c>
      <c r="G259" s="60">
        <f>I259+H259</f>
        <v>21</v>
      </c>
      <c r="H259" s="60">
        <v>0</v>
      </c>
      <c r="I259" s="60">
        <v>21</v>
      </c>
      <c r="J259" s="65" t="s">
        <v>221</v>
      </c>
      <c r="K259" s="66"/>
      <c r="L259" s="55"/>
      <c r="M259" s="82"/>
    </row>
    <row r="260" spans="1:13" ht="12.75" customHeight="1" thickBot="1" x14ac:dyDescent="0.25">
      <c r="A260" s="60">
        <f t="shared" si="130"/>
        <v>0</v>
      </c>
      <c r="B260" s="60">
        <f t="shared" si="130"/>
        <v>0</v>
      </c>
      <c r="C260" s="60">
        <f t="shared" si="130"/>
        <v>0</v>
      </c>
      <c r="D260" s="60">
        <f>F260+E260</f>
        <v>0</v>
      </c>
      <c r="E260" s="60">
        <v>0</v>
      </c>
      <c r="F260" s="60">
        <v>0</v>
      </c>
      <c r="G260" s="60">
        <f>I260+H260</f>
        <v>0</v>
      </c>
      <c r="H260" s="60">
        <v>0</v>
      </c>
      <c r="I260" s="60">
        <v>0</v>
      </c>
      <c r="J260" s="65" t="s">
        <v>222</v>
      </c>
      <c r="K260" s="66" t="s">
        <v>389</v>
      </c>
      <c r="L260" s="55"/>
      <c r="M260" s="82"/>
    </row>
    <row r="261" spans="1:13" ht="12.75" customHeight="1" thickBot="1" x14ac:dyDescent="0.25">
      <c r="A261" s="60">
        <f t="shared" ref="A261:I261" si="131">SUM(A259:A260)</f>
        <v>21</v>
      </c>
      <c r="B261" s="60">
        <f t="shared" si="131"/>
        <v>0</v>
      </c>
      <c r="C261" s="60">
        <f t="shared" si="131"/>
        <v>21</v>
      </c>
      <c r="D261" s="60">
        <f t="shared" si="131"/>
        <v>0</v>
      </c>
      <c r="E261" s="60">
        <f t="shared" si="131"/>
        <v>0</v>
      </c>
      <c r="F261" s="60">
        <f t="shared" si="131"/>
        <v>0</v>
      </c>
      <c r="G261" s="60">
        <f t="shared" si="131"/>
        <v>21</v>
      </c>
      <c r="H261" s="60">
        <f t="shared" si="131"/>
        <v>0</v>
      </c>
      <c r="I261" s="60">
        <f t="shared" si="131"/>
        <v>21</v>
      </c>
      <c r="J261" s="65" t="s">
        <v>13</v>
      </c>
      <c r="K261" s="67"/>
      <c r="L261" s="55"/>
      <c r="M261" s="82"/>
    </row>
    <row r="262" spans="1:13" ht="12.75" customHeight="1" thickBot="1" x14ac:dyDescent="0.25">
      <c r="A262" s="60">
        <f t="shared" ref="A262:C263" si="132">G262+D262</f>
        <v>67</v>
      </c>
      <c r="B262" s="60">
        <f t="shared" si="132"/>
        <v>0</v>
      </c>
      <c r="C262" s="60">
        <f t="shared" si="132"/>
        <v>67</v>
      </c>
      <c r="D262" s="60">
        <f>F262+E262</f>
        <v>5</v>
      </c>
      <c r="E262" s="60">
        <v>0</v>
      </c>
      <c r="F262" s="60">
        <v>5</v>
      </c>
      <c r="G262" s="60">
        <f>I262+H262</f>
        <v>62</v>
      </c>
      <c r="H262" s="60">
        <v>0</v>
      </c>
      <c r="I262" s="60">
        <v>62</v>
      </c>
      <c r="J262" s="65" t="s">
        <v>221</v>
      </c>
      <c r="K262" s="66"/>
      <c r="L262" s="55"/>
      <c r="M262" s="82"/>
    </row>
    <row r="263" spans="1:13" ht="12.75" customHeight="1" thickBot="1" x14ac:dyDescent="0.25">
      <c r="A263" s="60">
        <f t="shared" si="132"/>
        <v>0</v>
      </c>
      <c r="B263" s="60">
        <f t="shared" si="132"/>
        <v>0</v>
      </c>
      <c r="C263" s="60">
        <f t="shared" si="132"/>
        <v>0</v>
      </c>
      <c r="D263" s="60">
        <f>F263+E263</f>
        <v>0</v>
      </c>
      <c r="E263" s="60">
        <v>0</v>
      </c>
      <c r="F263" s="60">
        <v>0</v>
      </c>
      <c r="G263" s="60">
        <f>I263+H263</f>
        <v>0</v>
      </c>
      <c r="H263" s="60">
        <v>0</v>
      </c>
      <c r="I263" s="60">
        <v>0</v>
      </c>
      <c r="J263" s="65" t="s">
        <v>222</v>
      </c>
      <c r="K263" s="66" t="s">
        <v>390</v>
      </c>
      <c r="L263" s="55"/>
      <c r="M263" s="82"/>
    </row>
    <row r="264" spans="1:13" ht="12.75" customHeight="1" thickBot="1" x14ac:dyDescent="0.25">
      <c r="A264" s="60">
        <f t="shared" ref="A264:I264" si="133">SUM(A262:A263)</f>
        <v>67</v>
      </c>
      <c r="B264" s="60">
        <f t="shared" si="133"/>
        <v>0</v>
      </c>
      <c r="C264" s="60">
        <f t="shared" si="133"/>
        <v>67</v>
      </c>
      <c r="D264" s="60">
        <f t="shared" si="133"/>
        <v>5</v>
      </c>
      <c r="E264" s="60">
        <f t="shared" si="133"/>
        <v>0</v>
      </c>
      <c r="F264" s="60">
        <f t="shared" si="133"/>
        <v>5</v>
      </c>
      <c r="G264" s="60">
        <f t="shared" si="133"/>
        <v>62</v>
      </c>
      <c r="H264" s="60">
        <f t="shared" si="133"/>
        <v>0</v>
      </c>
      <c r="I264" s="60">
        <f t="shared" si="133"/>
        <v>62</v>
      </c>
      <c r="J264" s="65" t="s">
        <v>13</v>
      </c>
      <c r="K264" s="67"/>
      <c r="L264" s="55"/>
      <c r="M264" s="82"/>
    </row>
    <row r="265" spans="1:13" ht="12.75" customHeight="1" thickBot="1" x14ac:dyDescent="0.25">
      <c r="A265" s="60">
        <f t="shared" ref="A265:C266" si="134">G265+D265</f>
        <v>60</v>
      </c>
      <c r="B265" s="60">
        <f t="shared" si="134"/>
        <v>0</v>
      </c>
      <c r="C265" s="60">
        <f t="shared" si="134"/>
        <v>60</v>
      </c>
      <c r="D265" s="60">
        <f>F265+E265</f>
        <v>7</v>
      </c>
      <c r="E265" s="60">
        <v>0</v>
      </c>
      <c r="F265" s="60">
        <v>7</v>
      </c>
      <c r="G265" s="60">
        <f>I265+H265</f>
        <v>53</v>
      </c>
      <c r="H265" s="60">
        <v>0</v>
      </c>
      <c r="I265" s="60">
        <v>53</v>
      </c>
      <c r="J265" s="65" t="s">
        <v>221</v>
      </c>
      <c r="K265" s="66"/>
      <c r="L265" s="55"/>
      <c r="M265" s="82"/>
    </row>
    <row r="266" spans="1:13" ht="12.75" customHeight="1" thickBot="1" x14ac:dyDescent="0.25">
      <c r="A266" s="60">
        <f t="shared" si="134"/>
        <v>0</v>
      </c>
      <c r="B266" s="60">
        <f t="shared" si="134"/>
        <v>0</v>
      </c>
      <c r="C266" s="60">
        <f t="shared" si="134"/>
        <v>0</v>
      </c>
      <c r="D266" s="60">
        <f>F266+E266</f>
        <v>0</v>
      </c>
      <c r="E266" s="60">
        <v>0</v>
      </c>
      <c r="F266" s="60">
        <v>0</v>
      </c>
      <c r="G266" s="60">
        <f>I266+H266</f>
        <v>0</v>
      </c>
      <c r="H266" s="60">
        <v>0</v>
      </c>
      <c r="I266" s="60">
        <v>0</v>
      </c>
      <c r="J266" s="65" t="s">
        <v>222</v>
      </c>
      <c r="K266" s="66" t="s">
        <v>391</v>
      </c>
      <c r="L266" s="55"/>
      <c r="M266" s="82"/>
    </row>
    <row r="267" spans="1:13" ht="12.75" customHeight="1" thickBot="1" x14ac:dyDescent="0.25">
      <c r="A267" s="60">
        <f t="shared" ref="A267:I267" si="135">SUM(A265:A266)</f>
        <v>60</v>
      </c>
      <c r="B267" s="60">
        <f t="shared" si="135"/>
        <v>0</v>
      </c>
      <c r="C267" s="60">
        <f t="shared" si="135"/>
        <v>60</v>
      </c>
      <c r="D267" s="60">
        <f t="shared" si="135"/>
        <v>7</v>
      </c>
      <c r="E267" s="60">
        <f t="shared" si="135"/>
        <v>0</v>
      </c>
      <c r="F267" s="60">
        <f t="shared" si="135"/>
        <v>7</v>
      </c>
      <c r="G267" s="60">
        <f t="shared" si="135"/>
        <v>53</v>
      </c>
      <c r="H267" s="60">
        <f t="shared" si="135"/>
        <v>0</v>
      </c>
      <c r="I267" s="60">
        <f t="shared" si="135"/>
        <v>53</v>
      </c>
      <c r="J267" s="65" t="s">
        <v>13</v>
      </c>
      <c r="K267" s="67"/>
      <c r="L267" s="55"/>
      <c r="M267" s="82"/>
    </row>
    <row r="268" spans="1:13" ht="12.75" customHeight="1" thickBot="1" x14ac:dyDescent="0.25">
      <c r="A268" s="60">
        <f t="shared" ref="A268:C269" si="136">G268+D268</f>
        <v>37</v>
      </c>
      <c r="B268" s="60">
        <f t="shared" si="136"/>
        <v>0</v>
      </c>
      <c r="C268" s="60">
        <f t="shared" si="136"/>
        <v>37</v>
      </c>
      <c r="D268" s="60">
        <f>F268+E268</f>
        <v>0</v>
      </c>
      <c r="E268" s="60">
        <v>0</v>
      </c>
      <c r="F268" s="60">
        <v>0</v>
      </c>
      <c r="G268" s="60">
        <f>I268+H268</f>
        <v>37</v>
      </c>
      <c r="H268" s="60">
        <v>0</v>
      </c>
      <c r="I268" s="60">
        <v>37</v>
      </c>
      <c r="J268" s="65" t="s">
        <v>221</v>
      </c>
      <c r="K268" s="66"/>
      <c r="L268" s="55"/>
      <c r="M268" s="82"/>
    </row>
    <row r="269" spans="1:13" ht="12.75" customHeight="1" thickBot="1" x14ac:dyDescent="0.25">
      <c r="A269" s="60">
        <f t="shared" si="136"/>
        <v>0</v>
      </c>
      <c r="B269" s="60">
        <f t="shared" si="136"/>
        <v>0</v>
      </c>
      <c r="C269" s="60">
        <f t="shared" si="136"/>
        <v>0</v>
      </c>
      <c r="D269" s="60">
        <f>F269+E269</f>
        <v>0</v>
      </c>
      <c r="E269" s="60">
        <v>0</v>
      </c>
      <c r="F269" s="60">
        <v>0</v>
      </c>
      <c r="G269" s="60">
        <f>I269+H269</f>
        <v>0</v>
      </c>
      <c r="H269" s="60">
        <v>0</v>
      </c>
      <c r="I269" s="60">
        <v>0</v>
      </c>
      <c r="J269" s="65" t="s">
        <v>222</v>
      </c>
      <c r="K269" s="66" t="s">
        <v>359</v>
      </c>
      <c r="L269" s="55"/>
      <c r="M269" s="82"/>
    </row>
    <row r="270" spans="1:13" ht="12.75" customHeight="1" thickBot="1" x14ac:dyDescent="0.25">
      <c r="A270" s="60">
        <f t="shared" ref="A270:I270" si="137">SUM(A268:A269)</f>
        <v>37</v>
      </c>
      <c r="B270" s="60">
        <f t="shared" si="137"/>
        <v>0</v>
      </c>
      <c r="C270" s="60">
        <f t="shared" si="137"/>
        <v>37</v>
      </c>
      <c r="D270" s="60">
        <f t="shared" si="137"/>
        <v>0</v>
      </c>
      <c r="E270" s="60">
        <f t="shared" si="137"/>
        <v>0</v>
      </c>
      <c r="F270" s="60">
        <f t="shared" si="137"/>
        <v>0</v>
      </c>
      <c r="G270" s="60">
        <f t="shared" si="137"/>
        <v>37</v>
      </c>
      <c r="H270" s="60">
        <f t="shared" si="137"/>
        <v>0</v>
      </c>
      <c r="I270" s="60">
        <f t="shared" si="137"/>
        <v>37</v>
      </c>
      <c r="J270" s="65" t="s">
        <v>13</v>
      </c>
      <c r="K270" s="67"/>
      <c r="L270" s="55"/>
      <c r="M270" s="82"/>
    </row>
    <row r="271" spans="1:13" ht="12.75" customHeight="1" thickBot="1" x14ac:dyDescent="0.25">
      <c r="A271" s="60">
        <f t="shared" ref="A271:C272" si="138">G271+D271</f>
        <v>2498</v>
      </c>
      <c r="B271" s="60">
        <f t="shared" si="138"/>
        <v>0</v>
      </c>
      <c r="C271" s="60">
        <f t="shared" si="138"/>
        <v>2498</v>
      </c>
      <c r="D271" s="60">
        <f>F271+E271</f>
        <v>28</v>
      </c>
      <c r="E271" s="60">
        <v>0</v>
      </c>
      <c r="F271" s="60">
        <v>28</v>
      </c>
      <c r="G271" s="60">
        <f>I271+H271</f>
        <v>2470</v>
      </c>
      <c r="H271" s="60">
        <v>0</v>
      </c>
      <c r="I271" s="60">
        <v>2470</v>
      </c>
      <c r="J271" s="65" t="s">
        <v>221</v>
      </c>
      <c r="K271" s="66"/>
      <c r="L271" s="55"/>
      <c r="M271" s="82"/>
    </row>
    <row r="272" spans="1:13" ht="12.75" customHeight="1" thickBot="1" x14ac:dyDescent="0.25">
      <c r="A272" s="60">
        <f t="shared" si="138"/>
        <v>0</v>
      </c>
      <c r="B272" s="60">
        <f t="shared" si="138"/>
        <v>0</v>
      </c>
      <c r="C272" s="60">
        <f t="shared" si="138"/>
        <v>0</v>
      </c>
      <c r="D272" s="60">
        <f>F272+E272</f>
        <v>0</v>
      </c>
      <c r="E272" s="60">
        <v>0</v>
      </c>
      <c r="F272" s="60">
        <v>0</v>
      </c>
      <c r="G272" s="60">
        <f>I272+H272</f>
        <v>0</v>
      </c>
      <c r="H272" s="60">
        <v>0</v>
      </c>
      <c r="I272" s="60">
        <v>0</v>
      </c>
      <c r="J272" s="65" t="s">
        <v>222</v>
      </c>
      <c r="K272" s="66" t="s">
        <v>392</v>
      </c>
      <c r="L272" s="55"/>
      <c r="M272" s="82"/>
    </row>
    <row r="273" spans="1:13" ht="12.75" customHeight="1" thickBot="1" x14ac:dyDescent="0.25">
      <c r="A273" s="60">
        <f t="shared" ref="A273:I273" si="139">SUM(A271:A272)</f>
        <v>2498</v>
      </c>
      <c r="B273" s="60">
        <f t="shared" si="139"/>
        <v>0</v>
      </c>
      <c r="C273" s="60">
        <f t="shared" si="139"/>
        <v>2498</v>
      </c>
      <c r="D273" s="60">
        <f t="shared" si="139"/>
        <v>28</v>
      </c>
      <c r="E273" s="60">
        <f t="shared" si="139"/>
        <v>0</v>
      </c>
      <c r="F273" s="60">
        <f t="shared" si="139"/>
        <v>28</v>
      </c>
      <c r="G273" s="60">
        <f t="shared" si="139"/>
        <v>2470</v>
      </c>
      <c r="H273" s="60">
        <f t="shared" si="139"/>
        <v>0</v>
      </c>
      <c r="I273" s="60">
        <f t="shared" si="139"/>
        <v>2470</v>
      </c>
      <c r="J273" s="65" t="s">
        <v>13</v>
      </c>
      <c r="K273" s="67"/>
      <c r="L273" s="55"/>
      <c r="M273" s="82"/>
    </row>
    <row r="274" spans="1:13" ht="12.75" customHeight="1" thickBot="1" x14ac:dyDescent="0.25">
      <c r="A274" s="60">
        <f t="shared" ref="A274:H276" si="140">A256+A259+A262+A265+A268+A271</f>
        <v>2734</v>
      </c>
      <c r="B274" s="60">
        <f t="shared" si="140"/>
        <v>0</v>
      </c>
      <c r="C274" s="60">
        <f t="shared" si="140"/>
        <v>2734</v>
      </c>
      <c r="D274" s="60">
        <f t="shared" si="140"/>
        <v>41</v>
      </c>
      <c r="E274" s="60">
        <f t="shared" si="140"/>
        <v>0</v>
      </c>
      <c r="F274" s="60">
        <f t="shared" si="140"/>
        <v>41</v>
      </c>
      <c r="G274" s="60">
        <f t="shared" si="140"/>
        <v>2693</v>
      </c>
      <c r="H274" s="60">
        <f t="shared" si="140"/>
        <v>0</v>
      </c>
      <c r="I274" s="60">
        <f>I256+I259+I262+I265+I268+I271</f>
        <v>2693</v>
      </c>
      <c r="J274" s="65" t="s">
        <v>224</v>
      </c>
      <c r="K274" s="57"/>
      <c r="L274" s="55"/>
      <c r="M274" s="82"/>
    </row>
    <row r="275" spans="1:13" ht="12.75" customHeight="1" thickBot="1" x14ac:dyDescent="0.25">
      <c r="A275" s="60">
        <f t="shared" si="140"/>
        <v>0</v>
      </c>
      <c r="B275" s="60">
        <f t="shared" si="140"/>
        <v>0</v>
      </c>
      <c r="C275" s="60">
        <f t="shared" si="140"/>
        <v>0</v>
      </c>
      <c r="D275" s="60">
        <f t="shared" si="140"/>
        <v>0</v>
      </c>
      <c r="E275" s="60">
        <f t="shared" si="140"/>
        <v>0</v>
      </c>
      <c r="F275" s="60">
        <f t="shared" si="140"/>
        <v>0</v>
      </c>
      <c r="G275" s="60">
        <f t="shared" si="140"/>
        <v>0</v>
      </c>
      <c r="H275" s="60">
        <f t="shared" si="140"/>
        <v>0</v>
      </c>
      <c r="I275" s="60">
        <f>I257+I260+I263+I266+I269+I272</f>
        <v>0</v>
      </c>
      <c r="J275" s="65" t="s">
        <v>225</v>
      </c>
      <c r="K275" s="68" t="s">
        <v>211</v>
      </c>
      <c r="L275" s="55"/>
      <c r="M275" s="82"/>
    </row>
    <row r="276" spans="1:13" ht="12.75" customHeight="1" thickBot="1" x14ac:dyDescent="0.25">
      <c r="A276" s="60">
        <f t="shared" si="140"/>
        <v>2734</v>
      </c>
      <c r="B276" s="60">
        <f t="shared" si="140"/>
        <v>0</v>
      </c>
      <c r="C276" s="60">
        <f t="shared" si="140"/>
        <v>2734</v>
      </c>
      <c r="D276" s="60">
        <f t="shared" si="140"/>
        <v>41</v>
      </c>
      <c r="E276" s="60">
        <f t="shared" si="140"/>
        <v>0</v>
      </c>
      <c r="F276" s="60">
        <f t="shared" si="140"/>
        <v>41</v>
      </c>
      <c r="G276" s="60">
        <f t="shared" si="140"/>
        <v>2693</v>
      </c>
      <c r="H276" s="60">
        <f t="shared" si="140"/>
        <v>0</v>
      </c>
      <c r="I276" s="60">
        <f>I258+I261+I264+I267+I270+I273</f>
        <v>2693</v>
      </c>
      <c r="J276" s="65" t="s">
        <v>13</v>
      </c>
      <c r="K276" s="59"/>
      <c r="L276" s="55"/>
      <c r="M276" s="82"/>
    </row>
    <row r="277" spans="1:13" ht="12.75" customHeight="1" x14ac:dyDescent="0.2">
      <c r="A277" s="177" t="s">
        <v>327</v>
      </c>
      <c r="B277" s="177"/>
      <c r="C277" s="177"/>
      <c r="D277" s="177"/>
      <c r="E277" s="177"/>
      <c r="F277" s="177"/>
      <c r="G277" s="177"/>
      <c r="H277" s="177"/>
      <c r="I277" s="177"/>
      <c r="J277" s="177"/>
      <c r="K277" s="177"/>
      <c r="L277" s="55"/>
      <c r="M277" s="82"/>
    </row>
    <row r="278" spans="1:13" ht="12.75" customHeight="1" thickBot="1" x14ac:dyDescent="0.25">
      <c r="A278" s="178" t="s">
        <v>328</v>
      </c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55"/>
      <c r="M278" s="82"/>
    </row>
    <row r="279" spans="1:13" ht="12.75" customHeight="1" thickBot="1" x14ac:dyDescent="0.25">
      <c r="A279" s="179" t="s">
        <v>5</v>
      </c>
      <c r="B279" s="179"/>
      <c r="C279" s="179"/>
      <c r="D279" s="179" t="s">
        <v>162</v>
      </c>
      <c r="E279" s="179"/>
      <c r="F279" s="179"/>
      <c r="G279" s="179" t="s">
        <v>163</v>
      </c>
      <c r="H279" s="179"/>
      <c r="I279" s="179"/>
      <c r="J279" s="179" t="s">
        <v>72</v>
      </c>
      <c r="K279" s="179"/>
      <c r="L279" s="55"/>
      <c r="M279" s="82"/>
    </row>
    <row r="280" spans="1:13" ht="12.75" customHeight="1" thickBot="1" x14ac:dyDescent="0.25">
      <c r="A280" s="58" t="s">
        <v>216</v>
      </c>
      <c r="B280" s="58" t="s">
        <v>11</v>
      </c>
      <c r="C280" s="58" t="s">
        <v>10</v>
      </c>
      <c r="D280" s="58" t="s">
        <v>216</v>
      </c>
      <c r="E280" s="58" t="s">
        <v>11</v>
      </c>
      <c r="F280" s="58" t="s">
        <v>10</v>
      </c>
      <c r="G280" s="58" t="s">
        <v>216</v>
      </c>
      <c r="H280" s="58" t="s">
        <v>11</v>
      </c>
      <c r="I280" s="58" t="s">
        <v>10</v>
      </c>
      <c r="J280" s="180" t="s">
        <v>80</v>
      </c>
      <c r="K280" s="180"/>
      <c r="L280" s="55"/>
      <c r="M280" s="82"/>
    </row>
    <row r="281" spans="1:13" ht="12.75" customHeight="1" thickBot="1" x14ac:dyDescent="0.25">
      <c r="A281" s="60">
        <f t="shared" ref="A281:C282" si="141">G281+D281</f>
        <v>165</v>
      </c>
      <c r="B281" s="60">
        <f t="shared" si="141"/>
        <v>0</v>
      </c>
      <c r="C281" s="60">
        <f t="shared" si="141"/>
        <v>165</v>
      </c>
      <c r="D281" s="60">
        <f>F281+E281</f>
        <v>0</v>
      </c>
      <c r="E281" s="60">
        <v>0</v>
      </c>
      <c r="F281" s="60">
        <v>0</v>
      </c>
      <c r="G281" s="60">
        <f>I281+H281</f>
        <v>165</v>
      </c>
      <c r="H281" s="60">
        <v>0</v>
      </c>
      <c r="I281" s="60">
        <v>165</v>
      </c>
      <c r="J281" s="65" t="s">
        <v>221</v>
      </c>
      <c r="K281" s="66"/>
      <c r="L281" s="55"/>
      <c r="M281" s="82"/>
    </row>
    <row r="282" spans="1:13" ht="12.75" customHeight="1" thickBot="1" x14ac:dyDescent="0.25">
      <c r="A282" s="60">
        <f t="shared" si="141"/>
        <v>0</v>
      </c>
      <c r="B282" s="60">
        <f t="shared" si="141"/>
        <v>0</v>
      </c>
      <c r="C282" s="60">
        <f t="shared" si="141"/>
        <v>0</v>
      </c>
      <c r="D282" s="60">
        <f>F282+E282</f>
        <v>0</v>
      </c>
      <c r="E282" s="60">
        <v>0</v>
      </c>
      <c r="F282" s="60">
        <v>0</v>
      </c>
      <c r="G282" s="60">
        <f>I282+H282</f>
        <v>0</v>
      </c>
      <c r="H282" s="60">
        <v>0</v>
      </c>
      <c r="I282" s="60">
        <v>0</v>
      </c>
      <c r="J282" s="65" t="s">
        <v>222</v>
      </c>
      <c r="K282" s="66" t="s">
        <v>250</v>
      </c>
      <c r="L282" s="55"/>
      <c r="M282" s="82"/>
    </row>
    <row r="283" spans="1:13" ht="12.75" customHeight="1" thickBot="1" x14ac:dyDescent="0.25">
      <c r="A283" s="60">
        <f t="shared" ref="A283:I283" si="142">SUM(A281:A282)</f>
        <v>165</v>
      </c>
      <c r="B283" s="60">
        <f t="shared" si="142"/>
        <v>0</v>
      </c>
      <c r="C283" s="60">
        <f t="shared" si="142"/>
        <v>165</v>
      </c>
      <c r="D283" s="60">
        <f t="shared" si="142"/>
        <v>0</v>
      </c>
      <c r="E283" s="60">
        <f t="shared" si="142"/>
        <v>0</v>
      </c>
      <c r="F283" s="60">
        <f t="shared" si="142"/>
        <v>0</v>
      </c>
      <c r="G283" s="60">
        <f t="shared" si="142"/>
        <v>165</v>
      </c>
      <c r="H283" s="60">
        <f t="shared" si="142"/>
        <v>0</v>
      </c>
      <c r="I283" s="60">
        <f t="shared" si="142"/>
        <v>165</v>
      </c>
      <c r="J283" s="65" t="s">
        <v>13</v>
      </c>
      <c r="K283" s="67"/>
      <c r="L283" s="55"/>
      <c r="M283" s="82"/>
    </row>
    <row r="284" spans="1:13" ht="12.75" customHeight="1" thickBot="1" x14ac:dyDescent="0.25">
      <c r="A284" s="60">
        <f t="shared" ref="A284:C285" si="143">G284+D284</f>
        <v>196</v>
      </c>
      <c r="B284" s="60">
        <f t="shared" si="143"/>
        <v>0</v>
      </c>
      <c r="C284" s="60">
        <f t="shared" si="143"/>
        <v>196</v>
      </c>
      <c r="D284" s="60">
        <f>F284+E284</f>
        <v>3</v>
      </c>
      <c r="E284" s="60">
        <v>0</v>
      </c>
      <c r="F284" s="60">
        <v>3</v>
      </c>
      <c r="G284" s="60">
        <f>I284+H284</f>
        <v>193</v>
      </c>
      <c r="H284" s="60">
        <v>0</v>
      </c>
      <c r="I284" s="60">
        <v>193</v>
      </c>
      <c r="J284" s="65" t="s">
        <v>221</v>
      </c>
      <c r="K284" s="66"/>
      <c r="L284" s="55"/>
      <c r="M284" s="82"/>
    </row>
    <row r="285" spans="1:13" ht="12.75" customHeight="1" thickBot="1" x14ac:dyDescent="0.25">
      <c r="A285" s="60">
        <f t="shared" si="143"/>
        <v>0</v>
      </c>
      <c r="B285" s="60">
        <f t="shared" si="143"/>
        <v>0</v>
      </c>
      <c r="C285" s="60">
        <f t="shared" si="143"/>
        <v>0</v>
      </c>
      <c r="D285" s="60">
        <f>F285+E285</f>
        <v>0</v>
      </c>
      <c r="E285" s="60">
        <v>0</v>
      </c>
      <c r="F285" s="60">
        <v>0</v>
      </c>
      <c r="G285" s="60">
        <f>I285+H285</f>
        <v>0</v>
      </c>
      <c r="H285" s="60">
        <v>0</v>
      </c>
      <c r="I285" s="60">
        <v>0</v>
      </c>
      <c r="J285" s="65" t="s">
        <v>222</v>
      </c>
      <c r="K285" s="66" t="s">
        <v>393</v>
      </c>
      <c r="L285" s="55"/>
      <c r="M285" s="82"/>
    </row>
    <row r="286" spans="1:13" ht="12.75" customHeight="1" thickBot="1" x14ac:dyDescent="0.25">
      <c r="A286" s="60">
        <f t="shared" ref="A286:I286" si="144">SUM(A284:A285)</f>
        <v>196</v>
      </c>
      <c r="B286" s="60">
        <f t="shared" si="144"/>
        <v>0</v>
      </c>
      <c r="C286" s="60">
        <f t="shared" si="144"/>
        <v>196</v>
      </c>
      <c r="D286" s="60">
        <f t="shared" si="144"/>
        <v>3</v>
      </c>
      <c r="E286" s="60">
        <f t="shared" si="144"/>
        <v>0</v>
      </c>
      <c r="F286" s="60">
        <f t="shared" si="144"/>
        <v>3</v>
      </c>
      <c r="G286" s="60">
        <f t="shared" si="144"/>
        <v>193</v>
      </c>
      <c r="H286" s="60">
        <f t="shared" si="144"/>
        <v>0</v>
      </c>
      <c r="I286" s="60">
        <f t="shared" si="144"/>
        <v>193</v>
      </c>
      <c r="J286" s="65" t="s">
        <v>13</v>
      </c>
      <c r="K286" s="67"/>
      <c r="L286" s="55"/>
      <c r="M286" s="82"/>
    </row>
    <row r="287" spans="1:13" ht="12.75" customHeight="1" thickBot="1" x14ac:dyDescent="0.25">
      <c r="A287" s="60">
        <f t="shared" ref="A287:C288" si="145">G287+D287</f>
        <v>737</v>
      </c>
      <c r="B287" s="60">
        <f t="shared" si="145"/>
        <v>362</v>
      </c>
      <c r="C287" s="60">
        <f t="shared" si="145"/>
        <v>375</v>
      </c>
      <c r="D287" s="60">
        <f>F287+E287</f>
        <v>3</v>
      </c>
      <c r="E287" s="60">
        <v>3</v>
      </c>
      <c r="F287" s="60">
        <v>0</v>
      </c>
      <c r="G287" s="60">
        <f>I287+H287</f>
        <v>734</v>
      </c>
      <c r="H287" s="60">
        <v>359</v>
      </c>
      <c r="I287" s="60">
        <v>375</v>
      </c>
      <c r="J287" s="65" t="s">
        <v>221</v>
      </c>
      <c r="K287" s="66"/>
      <c r="L287" s="55"/>
      <c r="M287" s="82"/>
    </row>
    <row r="288" spans="1:13" ht="12.75" customHeight="1" thickBot="1" x14ac:dyDescent="0.25">
      <c r="A288" s="60">
        <f t="shared" si="145"/>
        <v>0</v>
      </c>
      <c r="B288" s="60">
        <f t="shared" si="145"/>
        <v>0</v>
      </c>
      <c r="C288" s="60">
        <f t="shared" si="145"/>
        <v>0</v>
      </c>
      <c r="D288" s="60">
        <f>F288+E288</f>
        <v>0</v>
      </c>
      <c r="E288" s="60">
        <v>0</v>
      </c>
      <c r="F288" s="60">
        <v>0</v>
      </c>
      <c r="G288" s="60">
        <f>I288+H288</f>
        <v>0</v>
      </c>
      <c r="H288" s="60">
        <v>0</v>
      </c>
      <c r="I288" s="60">
        <v>0</v>
      </c>
      <c r="J288" s="65" t="s">
        <v>222</v>
      </c>
      <c r="K288" s="66" t="s">
        <v>394</v>
      </c>
      <c r="L288" s="55"/>
      <c r="M288" s="82"/>
    </row>
    <row r="289" spans="1:13" ht="12.75" customHeight="1" thickBot="1" x14ac:dyDescent="0.25">
      <c r="A289" s="60">
        <f t="shared" ref="A289:I289" si="146">SUM(A287:A288)</f>
        <v>737</v>
      </c>
      <c r="B289" s="60">
        <f t="shared" si="146"/>
        <v>362</v>
      </c>
      <c r="C289" s="60">
        <f t="shared" si="146"/>
        <v>375</v>
      </c>
      <c r="D289" s="60">
        <f t="shared" si="146"/>
        <v>3</v>
      </c>
      <c r="E289" s="60">
        <f t="shared" si="146"/>
        <v>3</v>
      </c>
      <c r="F289" s="60">
        <f t="shared" si="146"/>
        <v>0</v>
      </c>
      <c r="G289" s="60">
        <f t="shared" si="146"/>
        <v>734</v>
      </c>
      <c r="H289" s="60">
        <f t="shared" si="146"/>
        <v>359</v>
      </c>
      <c r="I289" s="60">
        <f t="shared" si="146"/>
        <v>375</v>
      </c>
      <c r="J289" s="65" t="s">
        <v>13</v>
      </c>
      <c r="K289" s="67"/>
      <c r="L289" s="55"/>
      <c r="M289" s="82"/>
    </row>
    <row r="290" spans="1:13" ht="12.75" customHeight="1" thickBot="1" x14ac:dyDescent="0.25">
      <c r="A290" s="60">
        <f t="shared" ref="A290:C291" si="147">G290+D290</f>
        <v>165</v>
      </c>
      <c r="B290" s="60">
        <f t="shared" si="147"/>
        <v>0</v>
      </c>
      <c r="C290" s="60">
        <f t="shared" si="147"/>
        <v>165</v>
      </c>
      <c r="D290" s="60">
        <f>F290+E290</f>
        <v>0</v>
      </c>
      <c r="E290" s="60">
        <v>0</v>
      </c>
      <c r="F290" s="60">
        <v>0</v>
      </c>
      <c r="G290" s="60">
        <f>I290+H290</f>
        <v>165</v>
      </c>
      <c r="H290" s="60">
        <v>0</v>
      </c>
      <c r="I290" s="60">
        <v>165</v>
      </c>
      <c r="J290" s="65" t="s">
        <v>221</v>
      </c>
      <c r="K290" s="66"/>
      <c r="L290" s="55"/>
      <c r="M290" s="82"/>
    </row>
    <row r="291" spans="1:13" ht="12.75" customHeight="1" thickBot="1" x14ac:dyDescent="0.25">
      <c r="A291" s="60">
        <f t="shared" si="147"/>
        <v>0</v>
      </c>
      <c r="B291" s="60">
        <f t="shared" si="147"/>
        <v>0</v>
      </c>
      <c r="C291" s="60">
        <f t="shared" si="147"/>
        <v>0</v>
      </c>
      <c r="D291" s="60">
        <f>F291+E291</f>
        <v>0</v>
      </c>
      <c r="E291" s="60">
        <v>0</v>
      </c>
      <c r="F291" s="60">
        <v>0</v>
      </c>
      <c r="G291" s="60">
        <f>I291+H291</f>
        <v>0</v>
      </c>
      <c r="H291" s="60">
        <v>0</v>
      </c>
      <c r="I291" s="60">
        <v>0</v>
      </c>
      <c r="J291" s="65" t="s">
        <v>222</v>
      </c>
      <c r="K291" s="66" t="s">
        <v>395</v>
      </c>
      <c r="L291" s="55"/>
      <c r="M291" s="82"/>
    </row>
    <row r="292" spans="1:13" ht="12.75" customHeight="1" thickBot="1" x14ac:dyDescent="0.25">
      <c r="A292" s="60">
        <f t="shared" ref="A292:I292" si="148">SUM(A290:A291)</f>
        <v>165</v>
      </c>
      <c r="B292" s="60">
        <f t="shared" si="148"/>
        <v>0</v>
      </c>
      <c r="C292" s="60">
        <f t="shared" si="148"/>
        <v>165</v>
      </c>
      <c r="D292" s="60">
        <f t="shared" si="148"/>
        <v>0</v>
      </c>
      <c r="E292" s="60">
        <f t="shared" si="148"/>
        <v>0</v>
      </c>
      <c r="F292" s="60">
        <f t="shared" si="148"/>
        <v>0</v>
      </c>
      <c r="G292" s="60">
        <f t="shared" si="148"/>
        <v>165</v>
      </c>
      <c r="H292" s="60">
        <f t="shared" si="148"/>
        <v>0</v>
      </c>
      <c r="I292" s="60">
        <f t="shared" si="148"/>
        <v>165</v>
      </c>
      <c r="J292" s="65" t="s">
        <v>13</v>
      </c>
      <c r="K292" s="67"/>
      <c r="L292" s="55"/>
      <c r="M292" s="82"/>
    </row>
    <row r="293" spans="1:13" ht="12.75" customHeight="1" thickBot="1" x14ac:dyDescent="0.25">
      <c r="A293" s="60">
        <f t="shared" ref="A293:C294" si="149">G293+D293</f>
        <v>850</v>
      </c>
      <c r="B293" s="60">
        <f t="shared" si="149"/>
        <v>508</v>
      </c>
      <c r="C293" s="60">
        <f t="shared" si="149"/>
        <v>342</v>
      </c>
      <c r="D293" s="60">
        <f>F293+E293</f>
        <v>8</v>
      </c>
      <c r="E293" s="60">
        <v>8</v>
      </c>
      <c r="F293" s="60">
        <v>0</v>
      </c>
      <c r="G293" s="60">
        <f>I293+H293</f>
        <v>842</v>
      </c>
      <c r="H293" s="60">
        <v>500</v>
      </c>
      <c r="I293" s="60">
        <v>342</v>
      </c>
      <c r="J293" s="65" t="s">
        <v>221</v>
      </c>
      <c r="K293" s="66"/>
      <c r="L293" s="55"/>
      <c r="M293" s="82"/>
    </row>
    <row r="294" spans="1:13" ht="12.75" customHeight="1" thickBot="1" x14ac:dyDescent="0.25">
      <c r="A294" s="60">
        <f t="shared" si="149"/>
        <v>0</v>
      </c>
      <c r="B294" s="60">
        <f t="shared" si="149"/>
        <v>0</v>
      </c>
      <c r="C294" s="60">
        <f t="shared" si="149"/>
        <v>0</v>
      </c>
      <c r="D294" s="60">
        <f>F294+E294</f>
        <v>0</v>
      </c>
      <c r="E294" s="60">
        <v>0</v>
      </c>
      <c r="F294" s="60">
        <v>0</v>
      </c>
      <c r="G294" s="60">
        <f>I294+H294</f>
        <v>0</v>
      </c>
      <c r="H294" s="60">
        <v>0</v>
      </c>
      <c r="I294" s="60">
        <v>0</v>
      </c>
      <c r="J294" s="65" t="s">
        <v>222</v>
      </c>
      <c r="K294" s="66" t="s">
        <v>396</v>
      </c>
      <c r="L294" s="55"/>
      <c r="M294" s="82"/>
    </row>
    <row r="295" spans="1:13" ht="12.75" customHeight="1" thickBot="1" x14ac:dyDescent="0.25">
      <c r="A295" s="60">
        <f t="shared" ref="A295:I295" si="150">SUM(A293:A294)</f>
        <v>850</v>
      </c>
      <c r="B295" s="60">
        <f t="shared" si="150"/>
        <v>508</v>
      </c>
      <c r="C295" s="60">
        <f t="shared" si="150"/>
        <v>342</v>
      </c>
      <c r="D295" s="60">
        <f t="shared" si="150"/>
        <v>8</v>
      </c>
      <c r="E295" s="60">
        <f t="shared" si="150"/>
        <v>8</v>
      </c>
      <c r="F295" s="60">
        <f t="shared" si="150"/>
        <v>0</v>
      </c>
      <c r="G295" s="60">
        <f t="shared" si="150"/>
        <v>842</v>
      </c>
      <c r="H295" s="60">
        <f t="shared" si="150"/>
        <v>500</v>
      </c>
      <c r="I295" s="60">
        <f t="shared" si="150"/>
        <v>342</v>
      </c>
      <c r="J295" s="65" t="s">
        <v>13</v>
      </c>
      <c r="K295" s="67"/>
      <c r="L295" s="55"/>
      <c r="M295" s="82"/>
    </row>
    <row r="296" spans="1:13" ht="12.75" customHeight="1" thickBot="1" x14ac:dyDescent="0.25">
      <c r="A296" s="60">
        <f t="shared" ref="A296:C297" si="151">G296+D296</f>
        <v>347</v>
      </c>
      <c r="B296" s="60">
        <f t="shared" si="151"/>
        <v>0</v>
      </c>
      <c r="C296" s="60">
        <f t="shared" si="151"/>
        <v>347</v>
      </c>
      <c r="D296" s="60">
        <f>F296+E296</f>
        <v>3</v>
      </c>
      <c r="E296" s="60">
        <v>0</v>
      </c>
      <c r="F296" s="60">
        <v>3</v>
      </c>
      <c r="G296" s="60">
        <f>I296+H296</f>
        <v>344</v>
      </c>
      <c r="H296" s="60">
        <v>0</v>
      </c>
      <c r="I296" s="60">
        <v>344</v>
      </c>
      <c r="J296" s="65" t="s">
        <v>221</v>
      </c>
      <c r="K296" s="66"/>
      <c r="L296" s="55"/>
      <c r="M296" s="82"/>
    </row>
    <row r="297" spans="1:13" ht="12.75" customHeight="1" thickBot="1" x14ac:dyDescent="0.25">
      <c r="A297" s="60">
        <f t="shared" si="151"/>
        <v>0</v>
      </c>
      <c r="B297" s="60">
        <f t="shared" si="151"/>
        <v>0</v>
      </c>
      <c r="C297" s="60">
        <f t="shared" si="151"/>
        <v>0</v>
      </c>
      <c r="D297" s="60">
        <f>F297+E297</f>
        <v>0</v>
      </c>
      <c r="E297" s="60">
        <v>0</v>
      </c>
      <c r="F297" s="60">
        <v>0</v>
      </c>
      <c r="G297" s="60">
        <f>I297+H297</f>
        <v>0</v>
      </c>
      <c r="H297" s="60">
        <v>0</v>
      </c>
      <c r="I297" s="60">
        <v>0</v>
      </c>
      <c r="J297" s="65" t="s">
        <v>222</v>
      </c>
      <c r="K297" s="66" t="s">
        <v>397</v>
      </c>
      <c r="L297" s="55"/>
      <c r="M297" s="82"/>
    </row>
    <row r="298" spans="1:13" ht="12.75" customHeight="1" thickBot="1" x14ac:dyDescent="0.25">
      <c r="A298" s="60">
        <f t="shared" ref="A298:I298" si="152">SUM(A296:A297)</f>
        <v>347</v>
      </c>
      <c r="B298" s="60">
        <f t="shared" si="152"/>
        <v>0</v>
      </c>
      <c r="C298" s="60">
        <f t="shared" si="152"/>
        <v>347</v>
      </c>
      <c r="D298" s="60">
        <f t="shared" si="152"/>
        <v>3</v>
      </c>
      <c r="E298" s="60">
        <f t="shared" si="152"/>
        <v>0</v>
      </c>
      <c r="F298" s="60">
        <f t="shared" si="152"/>
        <v>3</v>
      </c>
      <c r="G298" s="60">
        <f t="shared" si="152"/>
        <v>344</v>
      </c>
      <c r="H298" s="60">
        <f t="shared" si="152"/>
        <v>0</v>
      </c>
      <c r="I298" s="60">
        <f t="shared" si="152"/>
        <v>344</v>
      </c>
      <c r="J298" s="65" t="s">
        <v>13</v>
      </c>
      <c r="K298" s="67"/>
      <c r="L298" s="55"/>
      <c r="M298" s="82"/>
    </row>
    <row r="299" spans="1:13" ht="12.75" customHeight="1" thickBot="1" x14ac:dyDescent="0.25">
      <c r="A299" s="60">
        <f t="shared" ref="A299:C300" si="153">G299+D299</f>
        <v>175</v>
      </c>
      <c r="B299" s="60">
        <f t="shared" si="153"/>
        <v>75</v>
      </c>
      <c r="C299" s="60">
        <f t="shared" si="153"/>
        <v>100</v>
      </c>
      <c r="D299" s="60">
        <f>F299+E299</f>
        <v>0</v>
      </c>
      <c r="E299" s="60">
        <v>0</v>
      </c>
      <c r="F299" s="60">
        <v>0</v>
      </c>
      <c r="G299" s="60">
        <f>I299+H299</f>
        <v>175</v>
      </c>
      <c r="H299" s="60">
        <v>75</v>
      </c>
      <c r="I299" s="60">
        <v>100</v>
      </c>
      <c r="J299" s="65" t="s">
        <v>221</v>
      </c>
      <c r="K299" s="66"/>
      <c r="L299" s="55"/>
      <c r="M299" s="82"/>
    </row>
    <row r="300" spans="1:13" ht="12.75" customHeight="1" thickBot="1" x14ac:dyDescent="0.25">
      <c r="A300" s="60">
        <f t="shared" si="153"/>
        <v>0</v>
      </c>
      <c r="B300" s="60">
        <f t="shared" si="153"/>
        <v>0</v>
      </c>
      <c r="C300" s="60">
        <f t="shared" si="153"/>
        <v>0</v>
      </c>
      <c r="D300" s="60">
        <f>F300+E300</f>
        <v>0</v>
      </c>
      <c r="E300" s="60">
        <v>0</v>
      </c>
      <c r="F300" s="60">
        <v>0</v>
      </c>
      <c r="G300" s="60">
        <f>I300+H300</f>
        <v>0</v>
      </c>
      <c r="H300" s="60">
        <v>0</v>
      </c>
      <c r="I300" s="60">
        <v>0</v>
      </c>
      <c r="J300" s="65" t="s">
        <v>222</v>
      </c>
      <c r="K300" s="66" t="s">
        <v>398</v>
      </c>
      <c r="L300" s="55"/>
      <c r="M300" s="82"/>
    </row>
    <row r="301" spans="1:13" ht="12.75" customHeight="1" thickBot="1" x14ac:dyDescent="0.25">
      <c r="A301" s="60">
        <f t="shared" ref="A301:I301" si="154">SUM(A299:A300)</f>
        <v>175</v>
      </c>
      <c r="B301" s="60">
        <f t="shared" si="154"/>
        <v>75</v>
      </c>
      <c r="C301" s="60">
        <f t="shared" si="154"/>
        <v>100</v>
      </c>
      <c r="D301" s="60">
        <f t="shared" si="154"/>
        <v>0</v>
      </c>
      <c r="E301" s="60">
        <f t="shared" si="154"/>
        <v>0</v>
      </c>
      <c r="F301" s="60">
        <f t="shared" si="154"/>
        <v>0</v>
      </c>
      <c r="G301" s="60">
        <f t="shared" si="154"/>
        <v>175</v>
      </c>
      <c r="H301" s="60">
        <f t="shared" si="154"/>
        <v>75</v>
      </c>
      <c r="I301" s="60">
        <f t="shared" si="154"/>
        <v>100</v>
      </c>
      <c r="J301" s="65" t="s">
        <v>13</v>
      </c>
      <c r="K301" s="67"/>
      <c r="L301" s="55"/>
      <c r="M301" s="82"/>
    </row>
    <row r="302" spans="1:13" ht="12.75" customHeight="1" thickBot="1" x14ac:dyDescent="0.25">
      <c r="A302" s="60">
        <f t="shared" ref="A302:C303" si="155">G302+D302</f>
        <v>733</v>
      </c>
      <c r="B302" s="60">
        <f t="shared" si="155"/>
        <v>410</v>
      </c>
      <c r="C302" s="60">
        <f t="shared" si="155"/>
        <v>323</v>
      </c>
      <c r="D302" s="60">
        <f>F302+E302</f>
        <v>7</v>
      </c>
      <c r="E302" s="60">
        <v>5</v>
      </c>
      <c r="F302" s="60">
        <v>2</v>
      </c>
      <c r="G302" s="60">
        <f>I302+H302</f>
        <v>726</v>
      </c>
      <c r="H302" s="60">
        <v>405</v>
      </c>
      <c r="I302" s="60">
        <v>321</v>
      </c>
      <c r="J302" s="65" t="s">
        <v>221</v>
      </c>
      <c r="K302" s="66"/>
      <c r="L302" s="55"/>
      <c r="M302" s="82"/>
    </row>
    <row r="303" spans="1:13" ht="12.75" customHeight="1" thickBot="1" x14ac:dyDescent="0.25">
      <c r="A303" s="60">
        <f t="shared" si="155"/>
        <v>0</v>
      </c>
      <c r="B303" s="60">
        <f t="shared" si="155"/>
        <v>0</v>
      </c>
      <c r="C303" s="60">
        <f t="shared" si="155"/>
        <v>0</v>
      </c>
      <c r="D303" s="60">
        <f>F303+E303</f>
        <v>0</v>
      </c>
      <c r="E303" s="60">
        <v>0</v>
      </c>
      <c r="F303" s="60">
        <v>0</v>
      </c>
      <c r="G303" s="60">
        <f>I303+H303</f>
        <v>0</v>
      </c>
      <c r="H303" s="60">
        <v>0</v>
      </c>
      <c r="I303" s="60">
        <v>0</v>
      </c>
      <c r="J303" s="65" t="s">
        <v>222</v>
      </c>
      <c r="K303" s="66" t="s">
        <v>399</v>
      </c>
      <c r="L303" s="55"/>
      <c r="M303" s="82"/>
    </row>
    <row r="304" spans="1:13" ht="12.75" customHeight="1" thickBot="1" x14ac:dyDescent="0.25">
      <c r="A304" s="60">
        <f t="shared" ref="A304:I304" si="156">SUM(A302:A303)</f>
        <v>733</v>
      </c>
      <c r="B304" s="60">
        <f t="shared" si="156"/>
        <v>410</v>
      </c>
      <c r="C304" s="60">
        <f t="shared" si="156"/>
        <v>323</v>
      </c>
      <c r="D304" s="60">
        <f t="shared" si="156"/>
        <v>7</v>
      </c>
      <c r="E304" s="60">
        <f t="shared" si="156"/>
        <v>5</v>
      </c>
      <c r="F304" s="60">
        <f t="shared" si="156"/>
        <v>2</v>
      </c>
      <c r="G304" s="60">
        <f t="shared" si="156"/>
        <v>726</v>
      </c>
      <c r="H304" s="60">
        <f t="shared" si="156"/>
        <v>405</v>
      </c>
      <c r="I304" s="60">
        <f t="shared" si="156"/>
        <v>321</v>
      </c>
      <c r="J304" s="65" t="s">
        <v>13</v>
      </c>
      <c r="K304" s="67"/>
      <c r="L304" s="55"/>
      <c r="M304" s="82"/>
    </row>
    <row r="305" spans="1:13" ht="12.75" customHeight="1" thickBot="1" x14ac:dyDescent="0.25">
      <c r="A305" s="60">
        <f t="shared" ref="A305:C306" si="157">G305+D305</f>
        <v>152</v>
      </c>
      <c r="B305" s="60">
        <f t="shared" si="157"/>
        <v>0</v>
      </c>
      <c r="C305" s="60">
        <f t="shared" si="157"/>
        <v>152</v>
      </c>
      <c r="D305" s="60">
        <f>F305+E305</f>
        <v>2</v>
      </c>
      <c r="E305" s="60">
        <v>0</v>
      </c>
      <c r="F305" s="60">
        <v>2</v>
      </c>
      <c r="G305" s="60">
        <f>I305+H305</f>
        <v>150</v>
      </c>
      <c r="H305" s="60">
        <v>0</v>
      </c>
      <c r="I305" s="60">
        <v>150</v>
      </c>
      <c r="J305" s="65" t="s">
        <v>221</v>
      </c>
      <c r="K305" s="66"/>
      <c r="L305" s="55"/>
      <c r="M305" s="82"/>
    </row>
    <row r="306" spans="1:13" ht="12.75" customHeight="1" thickBot="1" x14ac:dyDescent="0.25">
      <c r="A306" s="60">
        <f t="shared" si="157"/>
        <v>0</v>
      </c>
      <c r="B306" s="60">
        <f t="shared" si="157"/>
        <v>0</v>
      </c>
      <c r="C306" s="60">
        <f t="shared" si="157"/>
        <v>0</v>
      </c>
      <c r="D306" s="60">
        <f>F306+E306</f>
        <v>0</v>
      </c>
      <c r="E306" s="60">
        <v>0</v>
      </c>
      <c r="F306" s="60">
        <v>0</v>
      </c>
      <c r="G306" s="60">
        <f>I306+H306</f>
        <v>0</v>
      </c>
      <c r="H306" s="60">
        <v>0</v>
      </c>
      <c r="I306" s="60">
        <v>0</v>
      </c>
      <c r="J306" s="65" t="s">
        <v>222</v>
      </c>
      <c r="K306" s="66" t="s">
        <v>400</v>
      </c>
      <c r="L306" s="55"/>
      <c r="M306" s="82"/>
    </row>
    <row r="307" spans="1:13" ht="12.75" customHeight="1" thickBot="1" x14ac:dyDescent="0.25">
      <c r="A307" s="60">
        <f t="shared" ref="A307:I307" si="158">SUM(A305:A306)</f>
        <v>152</v>
      </c>
      <c r="B307" s="60">
        <f t="shared" si="158"/>
        <v>0</v>
      </c>
      <c r="C307" s="60">
        <f t="shared" si="158"/>
        <v>152</v>
      </c>
      <c r="D307" s="60">
        <f t="shared" si="158"/>
        <v>2</v>
      </c>
      <c r="E307" s="60">
        <f t="shared" si="158"/>
        <v>0</v>
      </c>
      <c r="F307" s="60">
        <f t="shared" si="158"/>
        <v>2</v>
      </c>
      <c r="G307" s="60">
        <f t="shared" si="158"/>
        <v>150</v>
      </c>
      <c r="H307" s="60">
        <f t="shared" si="158"/>
        <v>0</v>
      </c>
      <c r="I307" s="60">
        <f t="shared" si="158"/>
        <v>150</v>
      </c>
      <c r="J307" s="65" t="s">
        <v>13</v>
      </c>
      <c r="K307" s="67"/>
      <c r="L307" s="55"/>
      <c r="M307" s="82"/>
    </row>
    <row r="308" spans="1:13" ht="12.75" customHeight="1" thickBot="1" x14ac:dyDescent="0.25">
      <c r="A308" s="60">
        <f t="shared" ref="A308:C309" si="159">G308+D308</f>
        <v>209</v>
      </c>
      <c r="B308" s="60">
        <f t="shared" si="159"/>
        <v>45</v>
      </c>
      <c r="C308" s="60">
        <f t="shared" si="159"/>
        <v>164</v>
      </c>
      <c r="D308" s="60">
        <f>F308+E308</f>
        <v>4</v>
      </c>
      <c r="E308" s="60">
        <v>0</v>
      </c>
      <c r="F308" s="60">
        <v>4</v>
      </c>
      <c r="G308" s="60">
        <f>I308+H308</f>
        <v>205</v>
      </c>
      <c r="H308" s="60">
        <v>45</v>
      </c>
      <c r="I308" s="60">
        <v>160</v>
      </c>
      <c r="J308" s="65" t="s">
        <v>221</v>
      </c>
      <c r="K308" s="66"/>
      <c r="L308" s="55"/>
      <c r="M308" s="82"/>
    </row>
    <row r="309" spans="1:13" ht="12.75" customHeight="1" thickBot="1" x14ac:dyDescent="0.25">
      <c r="A309" s="60">
        <f t="shared" si="159"/>
        <v>0</v>
      </c>
      <c r="B309" s="60">
        <f t="shared" si="159"/>
        <v>0</v>
      </c>
      <c r="C309" s="60">
        <f t="shared" si="159"/>
        <v>0</v>
      </c>
      <c r="D309" s="60">
        <f>F309+E309</f>
        <v>0</v>
      </c>
      <c r="E309" s="60">
        <v>0</v>
      </c>
      <c r="F309" s="60">
        <v>0</v>
      </c>
      <c r="G309" s="60">
        <f>I309+H309</f>
        <v>0</v>
      </c>
      <c r="H309" s="60">
        <v>0</v>
      </c>
      <c r="I309" s="60">
        <v>0</v>
      </c>
      <c r="J309" s="65" t="s">
        <v>222</v>
      </c>
      <c r="K309" s="66" t="s">
        <v>401</v>
      </c>
      <c r="L309" s="55"/>
      <c r="M309" s="82"/>
    </row>
    <row r="310" spans="1:13" ht="12.75" customHeight="1" thickBot="1" x14ac:dyDescent="0.25">
      <c r="A310" s="60">
        <f t="shared" ref="A310:I310" si="160">SUM(A308:A309)</f>
        <v>209</v>
      </c>
      <c r="B310" s="60">
        <f t="shared" si="160"/>
        <v>45</v>
      </c>
      <c r="C310" s="60">
        <f t="shared" si="160"/>
        <v>164</v>
      </c>
      <c r="D310" s="60">
        <f t="shared" si="160"/>
        <v>4</v>
      </c>
      <c r="E310" s="60">
        <f t="shared" si="160"/>
        <v>0</v>
      </c>
      <c r="F310" s="60">
        <f t="shared" si="160"/>
        <v>4</v>
      </c>
      <c r="G310" s="60">
        <f t="shared" si="160"/>
        <v>205</v>
      </c>
      <c r="H310" s="60">
        <f t="shared" si="160"/>
        <v>45</v>
      </c>
      <c r="I310" s="60">
        <f t="shared" si="160"/>
        <v>160</v>
      </c>
      <c r="J310" s="65" t="s">
        <v>13</v>
      </c>
      <c r="K310" s="67"/>
      <c r="L310" s="55"/>
      <c r="M310" s="82"/>
    </row>
    <row r="311" spans="1:13" ht="12.75" customHeight="1" thickBot="1" x14ac:dyDescent="0.25">
      <c r="A311" s="60">
        <f t="shared" ref="A311:C312" si="161">G311+D311</f>
        <v>220</v>
      </c>
      <c r="B311" s="60">
        <f t="shared" si="161"/>
        <v>100</v>
      </c>
      <c r="C311" s="60">
        <f t="shared" si="161"/>
        <v>120</v>
      </c>
      <c r="D311" s="60">
        <f>F311+E311</f>
        <v>0</v>
      </c>
      <c r="E311" s="60">
        <v>0</v>
      </c>
      <c r="F311" s="60">
        <v>0</v>
      </c>
      <c r="G311" s="60">
        <f>I311+H311</f>
        <v>220</v>
      </c>
      <c r="H311" s="60">
        <v>100</v>
      </c>
      <c r="I311" s="60">
        <v>120</v>
      </c>
      <c r="J311" s="65" t="s">
        <v>221</v>
      </c>
      <c r="K311" s="66"/>
      <c r="L311" s="55"/>
      <c r="M311" s="82"/>
    </row>
    <row r="312" spans="1:13" ht="12.75" customHeight="1" thickBot="1" x14ac:dyDescent="0.25">
      <c r="A312" s="60">
        <f t="shared" si="161"/>
        <v>0</v>
      </c>
      <c r="B312" s="60">
        <f t="shared" si="161"/>
        <v>0</v>
      </c>
      <c r="C312" s="60">
        <f t="shared" si="161"/>
        <v>0</v>
      </c>
      <c r="D312" s="60">
        <f>F312+E312</f>
        <v>0</v>
      </c>
      <c r="E312" s="60">
        <v>0</v>
      </c>
      <c r="F312" s="60">
        <v>0</v>
      </c>
      <c r="G312" s="60">
        <f>I312+H312</f>
        <v>0</v>
      </c>
      <c r="H312" s="60">
        <v>0</v>
      </c>
      <c r="I312" s="60">
        <v>0</v>
      </c>
      <c r="J312" s="65" t="s">
        <v>222</v>
      </c>
      <c r="K312" s="66" t="s">
        <v>402</v>
      </c>
      <c r="L312" s="55"/>
      <c r="M312" s="82"/>
    </row>
    <row r="313" spans="1:13" ht="12.75" customHeight="1" thickBot="1" x14ac:dyDescent="0.25">
      <c r="A313" s="60">
        <f t="shared" ref="A313:I313" si="162">SUM(A311:A312)</f>
        <v>220</v>
      </c>
      <c r="B313" s="60">
        <f t="shared" si="162"/>
        <v>100</v>
      </c>
      <c r="C313" s="60">
        <f t="shared" si="162"/>
        <v>120</v>
      </c>
      <c r="D313" s="60">
        <f t="shared" si="162"/>
        <v>0</v>
      </c>
      <c r="E313" s="60">
        <f t="shared" si="162"/>
        <v>0</v>
      </c>
      <c r="F313" s="60">
        <f t="shared" si="162"/>
        <v>0</v>
      </c>
      <c r="G313" s="60">
        <f t="shared" si="162"/>
        <v>220</v>
      </c>
      <c r="H313" s="60">
        <f t="shared" si="162"/>
        <v>100</v>
      </c>
      <c r="I313" s="60">
        <f t="shared" si="162"/>
        <v>120</v>
      </c>
      <c r="J313" s="65" t="s">
        <v>13</v>
      </c>
      <c r="K313" s="67"/>
      <c r="L313" s="55"/>
      <c r="M313" s="82"/>
    </row>
    <row r="314" spans="1:13" ht="12.75" customHeight="1" thickBot="1" x14ac:dyDescent="0.25">
      <c r="A314" s="60">
        <f t="shared" ref="A314:C315" si="163">G314+D314</f>
        <v>45</v>
      </c>
      <c r="B314" s="60">
        <f t="shared" si="163"/>
        <v>0</v>
      </c>
      <c r="C314" s="60">
        <f t="shared" si="163"/>
        <v>45</v>
      </c>
      <c r="D314" s="60">
        <f>F314+E314</f>
        <v>0</v>
      </c>
      <c r="E314" s="60">
        <v>0</v>
      </c>
      <c r="F314" s="60">
        <v>0</v>
      </c>
      <c r="G314" s="60">
        <f>I314+H314</f>
        <v>45</v>
      </c>
      <c r="H314" s="60">
        <v>0</v>
      </c>
      <c r="I314" s="60">
        <v>45</v>
      </c>
      <c r="J314" s="65" t="s">
        <v>221</v>
      </c>
      <c r="K314" s="66"/>
      <c r="L314" s="55"/>
      <c r="M314" s="82"/>
    </row>
    <row r="315" spans="1:13" ht="12.75" customHeight="1" thickBot="1" x14ac:dyDescent="0.25">
      <c r="A315" s="60">
        <f t="shared" si="163"/>
        <v>0</v>
      </c>
      <c r="B315" s="60">
        <f t="shared" si="163"/>
        <v>0</v>
      </c>
      <c r="C315" s="60">
        <f t="shared" si="163"/>
        <v>0</v>
      </c>
      <c r="D315" s="60">
        <f>F315+E315</f>
        <v>0</v>
      </c>
      <c r="E315" s="60">
        <v>0</v>
      </c>
      <c r="F315" s="60">
        <v>0</v>
      </c>
      <c r="G315" s="60">
        <f>I315+H315</f>
        <v>0</v>
      </c>
      <c r="H315" s="60">
        <v>0</v>
      </c>
      <c r="I315" s="60">
        <v>0</v>
      </c>
      <c r="J315" s="65" t="s">
        <v>222</v>
      </c>
      <c r="K315" s="66" t="s">
        <v>403</v>
      </c>
      <c r="L315" s="55"/>
      <c r="M315" s="82"/>
    </row>
    <row r="316" spans="1:13" ht="12.75" customHeight="1" thickBot="1" x14ac:dyDescent="0.25">
      <c r="A316" s="60">
        <f t="shared" ref="A316:I316" si="164">SUM(A314:A315)</f>
        <v>45</v>
      </c>
      <c r="B316" s="60">
        <f t="shared" si="164"/>
        <v>0</v>
      </c>
      <c r="C316" s="60">
        <f t="shared" si="164"/>
        <v>45</v>
      </c>
      <c r="D316" s="60">
        <f t="shared" si="164"/>
        <v>0</v>
      </c>
      <c r="E316" s="60">
        <f t="shared" si="164"/>
        <v>0</v>
      </c>
      <c r="F316" s="60">
        <f t="shared" si="164"/>
        <v>0</v>
      </c>
      <c r="G316" s="60">
        <f t="shared" si="164"/>
        <v>45</v>
      </c>
      <c r="H316" s="60">
        <f t="shared" si="164"/>
        <v>0</v>
      </c>
      <c r="I316" s="60">
        <f t="shared" si="164"/>
        <v>45</v>
      </c>
      <c r="J316" s="65" t="s">
        <v>13</v>
      </c>
      <c r="K316" s="67"/>
      <c r="L316" s="55"/>
      <c r="M316" s="82"/>
    </row>
    <row r="317" spans="1:13" ht="12.75" customHeight="1" thickBot="1" x14ac:dyDescent="0.25">
      <c r="A317" s="60">
        <f t="shared" ref="A317:C318" si="165">G317+D317</f>
        <v>201</v>
      </c>
      <c r="B317" s="60">
        <f t="shared" si="165"/>
        <v>124</v>
      </c>
      <c r="C317" s="60">
        <f t="shared" si="165"/>
        <v>77</v>
      </c>
      <c r="D317" s="60">
        <f>F317+E317</f>
        <v>4</v>
      </c>
      <c r="E317" s="60">
        <v>4</v>
      </c>
      <c r="F317" s="60">
        <v>0</v>
      </c>
      <c r="G317" s="60">
        <f>I317+H317</f>
        <v>197</v>
      </c>
      <c r="H317" s="60">
        <v>120</v>
      </c>
      <c r="I317" s="60">
        <v>77</v>
      </c>
      <c r="J317" s="65" t="s">
        <v>221</v>
      </c>
      <c r="K317" s="66"/>
      <c r="L317" s="55"/>
      <c r="M317" s="82"/>
    </row>
    <row r="318" spans="1:13" ht="12.75" customHeight="1" thickBot="1" x14ac:dyDescent="0.25">
      <c r="A318" s="60">
        <f t="shared" si="165"/>
        <v>0</v>
      </c>
      <c r="B318" s="60">
        <f t="shared" si="165"/>
        <v>0</v>
      </c>
      <c r="C318" s="60">
        <f t="shared" si="165"/>
        <v>0</v>
      </c>
      <c r="D318" s="60">
        <f>F318+E318</f>
        <v>0</v>
      </c>
      <c r="E318" s="60">
        <v>0</v>
      </c>
      <c r="F318" s="60">
        <v>0</v>
      </c>
      <c r="G318" s="60">
        <f>I318+H318</f>
        <v>0</v>
      </c>
      <c r="H318" s="60">
        <v>0</v>
      </c>
      <c r="I318" s="60">
        <v>0</v>
      </c>
      <c r="J318" s="65" t="s">
        <v>222</v>
      </c>
      <c r="K318" s="66" t="s">
        <v>404</v>
      </c>
      <c r="L318" s="55"/>
      <c r="M318" s="82"/>
    </row>
    <row r="319" spans="1:13" ht="12.75" customHeight="1" thickBot="1" x14ac:dyDescent="0.25">
      <c r="A319" s="60">
        <f t="shared" ref="A319:I319" si="166">SUM(A317:A318)</f>
        <v>201</v>
      </c>
      <c r="B319" s="60">
        <f t="shared" si="166"/>
        <v>124</v>
      </c>
      <c r="C319" s="60">
        <f t="shared" si="166"/>
        <v>77</v>
      </c>
      <c r="D319" s="60">
        <f t="shared" si="166"/>
        <v>4</v>
      </c>
      <c r="E319" s="60">
        <f t="shared" si="166"/>
        <v>4</v>
      </c>
      <c r="F319" s="60">
        <f t="shared" si="166"/>
        <v>0</v>
      </c>
      <c r="G319" s="60">
        <f t="shared" si="166"/>
        <v>197</v>
      </c>
      <c r="H319" s="60">
        <f t="shared" si="166"/>
        <v>120</v>
      </c>
      <c r="I319" s="60">
        <f t="shared" si="166"/>
        <v>77</v>
      </c>
      <c r="J319" s="65" t="s">
        <v>13</v>
      </c>
      <c r="K319" s="67"/>
      <c r="L319" s="55"/>
      <c r="M319" s="82"/>
    </row>
    <row r="320" spans="1:13" ht="12.75" customHeight="1" thickBot="1" x14ac:dyDescent="0.25">
      <c r="A320" s="60">
        <f t="shared" ref="A320:C321" si="167">G320+D320</f>
        <v>112</v>
      </c>
      <c r="B320" s="60">
        <f t="shared" si="167"/>
        <v>112</v>
      </c>
      <c r="C320" s="60">
        <f t="shared" si="167"/>
        <v>0</v>
      </c>
      <c r="D320" s="60">
        <f>F320+E320</f>
        <v>2</v>
      </c>
      <c r="E320" s="60">
        <v>2</v>
      </c>
      <c r="F320" s="60">
        <v>0</v>
      </c>
      <c r="G320" s="60">
        <f>I320+H320</f>
        <v>110</v>
      </c>
      <c r="H320" s="60">
        <v>110</v>
      </c>
      <c r="I320" s="60">
        <v>0</v>
      </c>
      <c r="J320" s="65" t="s">
        <v>221</v>
      </c>
      <c r="K320" s="66"/>
      <c r="L320" s="55"/>
      <c r="M320" s="82"/>
    </row>
    <row r="321" spans="1:13" ht="12.75" customHeight="1" thickBot="1" x14ac:dyDescent="0.25">
      <c r="A321" s="60">
        <f t="shared" si="167"/>
        <v>0</v>
      </c>
      <c r="B321" s="60">
        <f t="shared" si="167"/>
        <v>0</v>
      </c>
      <c r="C321" s="60">
        <f t="shared" si="167"/>
        <v>0</v>
      </c>
      <c r="D321" s="60">
        <f>F321+E321</f>
        <v>0</v>
      </c>
      <c r="E321" s="60">
        <v>0</v>
      </c>
      <c r="F321" s="60">
        <v>0</v>
      </c>
      <c r="G321" s="60">
        <f>I321+H321</f>
        <v>0</v>
      </c>
      <c r="H321" s="60">
        <v>0</v>
      </c>
      <c r="I321" s="60">
        <v>0</v>
      </c>
      <c r="J321" s="65" t="s">
        <v>222</v>
      </c>
      <c r="K321" s="66" t="s">
        <v>405</v>
      </c>
      <c r="L321" s="55"/>
      <c r="M321" s="82"/>
    </row>
    <row r="322" spans="1:13" ht="12.75" customHeight="1" thickBot="1" x14ac:dyDescent="0.25">
      <c r="A322" s="60">
        <f t="shared" ref="A322:I322" si="168">SUM(A320:A321)</f>
        <v>112</v>
      </c>
      <c r="B322" s="60">
        <f t="shared" si="168"/>
        <v>112</v>
      </c>
      <c r="C322" s="60">
        <f t="shared" si="168"/>
        <v>0</v>
      </c>
      <c r="D322" s="60">
        <f t="shared" si="168"/>
        <v>2</v>
      </c>
      <c r="E322" s="60">
        <f t="shared" si="168"/>
        <v>2</v>
      </c>
      <c r="F322" s="60">
        <f t="shared" si="168"/>
        <v>0</v>
      </c>
      <c r="G322" s="60">
        <f t="shared" si="168"/>
        <v>110</v>
      </c>
      <c r="H322" s="60">
        <f t="shared" si="168"/>
        <v>110</v>
      </c>
      <c r="I322" s="60">
        <f t="shared" si="168"/>
        <v>0</v>
      </c>
      <c r="J322" s="65" t="s">
        <v>13</v>
      </c>
      <c r="K322" s="67"/>
      <c r="L322" s="55"/>
      <c r="M322" s="82"/>
    </row>
    <row r="323" spans="1:13" ht="12.75" customHeight="1" thickBot="1" x14ac:dyDescent="0.25">
      <c r="A323" s="60">
        <f t="shared" ref="A323:C324" si="169">G323+D323</f>
        <v>60</v>
      </c>
      <c r="B323" s="60">
        <f t="shared" si="169"/>
        <v>0</v>
      </c>
      <c r="C323" s="60">
        <f t="shared" si="169"/>
        <v>60</v>
      </c>
      <c r="D323" s="60">
        <f>F323+E323</f>
        <v>0</v>
      </c>
      <c r="E323" s="60">
        <v>0</v>
      </c>
      <c r="F323" s="60">
        <v>0</v>
      </c>
      <c r="G323" s="60">
        <f>I323+H323</f>
        <v>60</v>
      </c>
      <c r="H323" s="60">
        <v>0</v>
      </c>
      <c r="I323" s="60">
        <v>60</v>
      </c>
      <c r="J323" s="65" t="s">
        <v>221</v>
      </c>
      <c r="K323" s="66"/>
      <c r="L323" s="55"/>
      <c r="M323" s="82"/>
    </row>
    <row r="324" spans="1:13" ht="12.75" customHeight="1" thickBot="1" x14ac:dyDescent="0.25">
      <c r="A324" s="60">
        <f t="shared" si="169"/>
        <v>0</v>
      </c>
      <c r="B324" s="60">
        <f t="shared" si="169"/>
        <v>0</v>
      </c>
      <c r="C324" s="60">
        <f t="shared" si="169"/>
        <v>0</v>
      </c>
      <c r="D324" s="60">
        <f>F324+E324</f>
        <v>0</v>
      </c>
      <c r="E324" s="60">
        <v>0</v>
      </c>
      <c r="F324" s="60">
        <v>0</v>
      </c>
      <c r="G324" s="60">
        <f>I324+H324</f>
        <v>0</v>
      </c>
      <c r="H324" s="60">
        <v>0</v>
      </c>
      <c r="I324" s="60">
        <v>0</v>
      </c>
      <c r="J324" s="65" t="s">
        <v>222</v>
      </c>
      <c r="K324" s="66" t="s">
        <v>406</v>
      </c>
      <c r="L324" s="55"/>
      <c r="M324" s="82"/>
    </row>
    <row r="325" spans="1:13" ht="12.75" customHeight="1" thickBot="1" x14ac:dyDescent="0.25">
      <c r="A325" s="60">
        <f t="shared" ref="A325:I325" si="170">SUM(A323:A324)</f>
        <v>60</v>
      </c>
      <c r="B325" s="60">
        <f t="shared" si="170"/>
        <v>0</v>
      </c>
      <c r="C325" s="60">
        <f t="shared" si="170"/>
        <v>60</v>
      </c>
      <c r="D325" s="60">
        <f t="shared" si="170"/>
        <v>0</v>
      </c>
      <c r="E325" s="60">
        <f t="shared" si="170"/>
        <v>0</v>
      </c>
      <c r="F325" s="60">
        <f t="shared" si="170"/>
        <v>0</v>
      </c>
      <c r="G325" s="60">
        <f t="shared" si="170"/>
        <v>60</v>
      </c>
      <c r="H325" s="60">
        <f t="shared" si="170"/>
        <v>0</v>
      </c>
      <c r="I325" s="60">
        <f t="shared" si="170"/>
        <v>60</v>
      </c>
      <c r="J325" s="65" t="s">
        <v>13</v>
      </c>
      <c r="K325" s="67"/>
      <c r="L325" s="55"/>
      <c r="M325" s="83"/>
    </row>
    <row r="326" spans="1:13" ht="12.75" customHeight="1" thickBot="1" x14ac:dyDescent="0.25">
      <c r="A326" s="60">
        <f t="shared" ref="A326:C327" si="171">G326+D326</f>
        <v>1093</v>
      </c>
      <c r="B326" s="60">
        <f t="shared" si="171"/>
        <v>1093</v>
      </c>
      <c r="C326" s="60">
        <f t="shared" si="171"/>
        <v>0</v>
      </c>
      <c r="D326" s="60">
        <f>F326+E326</f>
        <v>0</v>
      </c>
      <c r="E326" s="60">
        <v>0</v>
      </c>
      <c r="F326" s="60">
        <v>0</v>
      </c>
      <c r="G326" s="60">
        <f>I326+H326</f>
        <v>1093</v>
      </c>
      <c r="H326" s="60">
        <v>1093</v>
      </c>
      <c r="I326" s="60">
        <v>0</v>
      </c>
      <c r="J326" s="65" t="s">
        <v>221</v>
      </c>
      <c r="K326" s="66"/>
      <c r="L326" s="55"/>
      <c r="M326" s="82"/>
    </row>
    <row r="327" spans="1:13" ht="12.75" customHeight="1" thickBot="1" x14ac:dyDescent="0.25">
      <c r="A327" s="60">
        <f t="shared" si="171"/>
        <v>1028</v>
      </c>
      <c r="B327" s="60">
        <f t="shared" si="171"/>
        <v>1028</v>
      </c>
      <c r="C327" s="60">
        <f t="shared" si="171"/>
        <v>0</v>
      </c>
      <c r="D327" s="60">
        <f>F327+E327</f>
        <v>0</v>
      </c>
      <c r="E327" s="60">
        <v>0</v>
      </c>
      <c r="F327" s="60">
        <v>0</v>
      </c>
      <c r="G327" s="60">
        <f>I327+H327</f>
        <v>1028</v>
      </c>
      <c r="H327" s="60">
        <v>1028</v>
      </c>
      <c r="I327" s="60">
        <v>0</v>
      </c>
      <c r="J327" s="65" t="s">
        <v>222</v>
      </c>
      <c r="K327" s="66" t="s">
        <v>407</v>
      </c>
      <c r="L327" s="55"/>
      <c r="M327" s="82"/>
    </row>
    <row r="328" spans="1:13" ht="12.75" customHeight="1" thickBot="1" x14ac:dyDescent="0.25">
      <c r="A328" s="60">
        <f t="shared" ref="A328:I328" si="172">SUM(A326:A327)</f>
        <v>2121</v>
      </c>
      <c r="B328" s="60">
        <f t="shared" si="172"/>
        <v>2121</v>
      </c>
      <c r="C328" s="60">
        <f t="shared" si="172"/>
        <v>0</v>
      </c>
      <c r="D328" s="60">
        <f t="shared" si="172"/>
        <v>0</v>
      </c>
      <c r="E328" s="60">
        <f t="shared" si="172"/>
        <v>0</v>
      </c>
      <c r="F328" s="60">
        <f t="shared" si="172"/>
        <v>0</v>
      </c>
      <c r="G328" s="60">
        <f t="shared" si="172"/>
        <v>2121</v>
      </c>
      <c r="H328" s="60">
        <f t="shared" si="172"/>
        <v>2121</v>
      </c>
      <c r="I328" s="60">
        <f t="shared" si="172"/>
        <v>0</v>
      </c>
      <c r="J328" s="65" t="s">
        <v>13</v>
      </c>
      <c r="K328" s="67"/>
      <c r="L328" s="55"/>
      <c r="M328" s="82"/>
    </row>
    <row r="329" spans="1:13" ht="12.75" customHeight="1" thickBot="1" x14ac:dyDescent="0.25">
      <c r="A329" s="60">
        <f t="shared" ref="A329:C330" si="173">G329+D329</f>
        <v>568</v>
      </c>
      <c r="B329" s="60">
        <f t="shared" si="173"/>
        <v>568</v>
      </c>
      <c r="C329" s="60">
        <f t="shared" si="173"/>
        <v>0</v>
      </c>
      <c r="D329" s="60">
        <f>F329+E329</f>
        <v>2</v>
      </c>
      <c r="E329" s="60">
        <v>2</v>
      </c>
      <c r="F329" s="60">
        <v>0</v>
      </c>
      <c r="G329" s="60">
        <f>I329+H329</f>
        <v>566</v>
      </c>
      <c r="H329" s="60">
        <v>566</v>
      </c>
      <c r="I329" s="60">
        <v>0</v>
      </c>
      <c r="J329" s="65" t="s">
        <v>221</v>
      </c>
      <c r="K329" s="66"/>
      <c r="L329" s="55"/>
      <c r="M329" s="82"/>
    </row>
    <row r="330" spans="1:13" ht="12.75" customHeight="1" thickBot="1" x14ac:dyDescent="0.25">
      <c r="A330" s="60">
        <f t="shared" si="173"/>
        <v>0</v>
      </c>
      <c r="B330" s="60">
        <f t="shared" si="173"/>
        <v>0</v>
      </c>
      <c r="C330" s="60">
        <f t="shared" si="173"/>
        <v>0</v>
      </c>
      <c r="D330" s="60">
        <f>F330+E330</f>
        <v>0</v>
      </c>
      <c r="E330" s="60">
        <v>0</v>
      </c>
      <c r="F330" s="60">
        <v>0</v>
      </c>
      <c r="G330" s="60">
        <f>I330+H330</f>
        <v>0</v>
      </c>
      <c r="H330" s="60">
        <v>0</v>
      </c>
      <c r="I330" s="60">
        <v>0</v>
      </c>
      <c r="J330" s="65" t="s">
        <v>222</v>
      </c>
      <c r="K330" s="66" t="s">
        <v>408</v>
      </c>
      <c r="L330" s="55"/>
      <c r="M330" s="82"/>
    </row>
    <row r="331" spans="1:13" ht="12.75" customHeight="1" thickBot="1" x14ac:dyDescent="0.25">
      <c r="A331" s="60">
        <f t="shared" ref="A331:I331" si="174">SUM(A329:A330)</f>
        <v>568</v>
      </c>
      <c r="B331" s="60">
        <f t="shared" si="174"/>
        <v>568</v>
      </c>
      <c r="C331" s="60">
        <f t="shared" si="174"/>
        <v>0</v>
      </c>
      <c r="D331" s="60">
        <f t="shared" si="174"/>
        <v>2</v>
      </c>
      <c r="E331" s="60">
        <f t="shared" si="174"/>
        <v>2</v>
      </c>
      <c r="F331" s="60">
        <f t="shared" si="174"/>
        <v>0</v>
      </c>
      <c r="G331" s="60">
        <f t="shared" si="174"/>
        <v>566</v>
      </c>
      <c r="H331" s="60">
        <f t="shared" si="174"/>
        <v>566</v>
      </c>
      <c r="I331" s="60">
        <f t="shared" si="174"/>
        <v>0</v>
      </c>
      <c r="J331" s="65" t="s">
        <v>13</v>
      </c>
      <c r="K331" s="67"/>
      <c r="L331" s="55"/>
      <c r="M331" s="82"/>
    </row>
    <row r="332" spans="1:13" ht="12.75" customHeight="1" thickBot="1" x14ac:dyDescent="0.25">
      <c r="A332" s="60">
        <f t="shared" ref="A332:C333" si="175">G332+D332</f>
        <v>380</v>
      </c>
      <c r="B332" s="60">
        <f t="shared" si="175"/>
        <v>380</v>
      </c>
      <c r="C332" s="60">
        <f t="shared" si="175"/>
        <v>0</v>
      </c>
      <c r="D332" s="60">
        <f>F332+E332</f>
        <v>0</v>
      </c>
      <c r="E332" s="60">
        <v>0</v>
      </c>
      <c r="F332" s="60">
        <v>0</v>
      </c>
      <c r="G332" s="60">
        <f>I332+H332</f>
        <v>380</v>
      </c>
      <c r="H332" s="60">
        <v>380</v>
      </c>
      <c r="I332" s="60">
        <v>0</v>
      </c>
      <c r="J332" s="65" t="s">
        <v>221</v>
      </c>
      <c r="K332" s="66"/>
      <c r="L332" s="55"/>
      <c r="M332" s="82"/>
    </row>
    <row r="333" spans="1:13" ht="12.75" customHeight="1" thickBot="1" x14ac:dyDescent="0.25">
      <c r="A333" s="60">
        <f t="shared" si="175"/>
        <v>47</v>
      </c>
      <c r="B333" s="60">
        <f t="shared" si="175"/>
        <v>47</v>
      </c>
      <c r="C333" s="60">
        <f t="shared" si="175"/>
        <v>0</v>
      </c>
      <c r="D333" s="60">
        <f>F333+E333</f>
        <v>0</v>
      </c>
      <c r="E333" s="60">
        <v>0</v>
      </c>
      <c r="F333" s="60">
        <v>0</v>
      </c>
      <c r="G333" s="60">
        <f>I333+H333</f>
        <v>47</v>
      </c>
      <c r="H333" s="60">
        <v>47</v>
      </c>
      <c r="I333" s="60">
        <v>0</v>
      </c>
      <c r="J333" s="65" t="s">
        <v>222</v>
      </c>
      <c r="K333" s="66" t="s">
        <v>409</v>
      </c>
      <c r="L333" s="55"/>
      <c r="M333" s="82"/>
    </row>
    <row r="334" spans="1:13" ht="12.75" customHeight="1" thickBot="1" x14ac:dyDescent="0.25">
      <c r="A334" s="60">
        <f t="shared" ref="A334:I334" si="176">SUM(A332:A333)</f>
        <v>427</v>
      </c>
      <c r="B334" s="60">
        <f t="shared" si="176"/>
        <v>427</v>
      </c>
      <c r="C334" s="60">
        <f t="shared" si="176"/>
        <v>0</v>
      </c>
      <c r="D334" s="60">
        <f t="shared" si="176"/>
        <v>0</v>
      </c>
      <c r="E334" s="60">
        <f t="shared" si="176"/>
        <v>0</v>
      </c>
      <c r="F334" s="60">
        <f t="shared" si="176"/>
        <v>0</v>
      </c>
      <c r="G334" s="60">
        <f t="shared" si="176"/>
        <v>427</v>
      </c>
      <c r="H334" s="60">
        <f t="shared" si="176"/>
        <v>427</v>
      </c>
      <c r="I334" s="60">
        <f t="shared" si="176"/>
        <v>0</v>
      </c>
      <c r="J334" s="65" t="s">
        <v>13</v>
      </c>
      <c r="K334" s="67"/>
      <c r="L334" s="55"/>
      <c r="M334" s="82"/>
    </row>
    <row r="335" spans="1:13" ht="12.75" customHeight="1" thickBot="1" x14ac:dyDescent="0.25">
      <c r="A335" s="60">
        <f t="shared" ref="A335:C336" si="177">G335+D335</f>
        <v>435</v>
      </c>
      <c r="B335" s="60">
        <f t="shared" si="177"/>
        <v>435</v>
      </c>
      <c r="C335" s="60">
        <f t="shared" si="177"/>
        <v>0</v>
      </c>
      <c r="D335" s="60">
        <f>F335+E335</f>
        <v>1</v>
      </c>
      <c r="E335" s="60">
        <v>1</v>
      </c>
      <c r="F335" s="60">
        <v>0</v>
      </c>
      <c r="G335" s="60">
        <f>I335+H335</f>
        <v>434</v>
      </c>
      <c r="H335" s="60">
        <v>434</v>
      </c>
      <c r="I335" s="60">
        <v>0</v>
      </c>
      <c r="J335" s="65" t="s">
        <v>221</v>
      </c>
      <c r="K335" s="66"/>
      <c r="L335" s="55"/>
      <c r="M335" s="82"/>
    </row>
    <row r="336" spans="1:13" ht="12.75" customHeight="1" thickBot="1" x14ac:dyDescent="0.25">
      <c r="A336" s="60">
        <f t="shared" si="177"/>
        <v>819</v>
      </c>
      <c r="B336" s="60">
        <f t="shared" si="177"/>
        <v>819</v>
      </c>
      <c r="C336" s="60">
        <f t="shared" si="177"/>
        <v>0</v>
      </c>
      <c r="D336" s="60">
        <f>F336+E336</f>
        <v>2</v>
      </c>
      <c r="E336" s="60">
        <v>2</v>
      </c>
      <c r="F336" s="60">
        <v>0</v>
      </c>
      <c r="G336" s="60">
        <f>I336+H336</f>
        <v>817</v>
      </c>
      <c r="H336" s="60">
        <v>817</v>
      </c>
      <c r="I336" s="60">
        <v>0</v>
      </c>
      <c r="J336" s="65" t="s">
        <v>222</v>
      </c>
      <c r="K336" s="66" t="s">
        <v>410</v>
      </c>
      <c r="L336" s="55"/>
      <c r="M336" s="82"/>
    </row>
    <row r="337" spans="1:13" ht="12.75" customHeight="1" thickBot="1" x14ac:dyDescent="0.25">
      <c r="A337" s="60">
        <f t="shared" ref="A337:I337" si="178">SUM(A335:A336)</f>
        <v>1254</v>
      </c>
      <c r="B337" s="60">
        <f t="shared" si="178"/>
        <v>1254</v>
      </c>
      <c r="C337" s="60">
        <f t="shared" si="178"/>
        <v>0</v>
      </c>
      <c r="D337" s="60">
        <f t="shared" si="178"/>
        <v>3</v>
      </c>
      <c r="E337" s="60">
        <f t="shared" si="178"/>
        <v>3</v>
      </c>
      <c r="F337" s="60">
        <f t="shared" si="178"/>
        <v>0</v>
      </c>
      <c r="G337" s="60">
        <f t="shared" si="178"/>
        <v>1251</v>
      </c>
      <c r="H337" s="60">
        <f t="shared" si="178"/>
        <v>1251</v>
      </c>
      <c r="I337" s="60">
        <f t="shared" si="178"/>
        <v>0</v>
      </c>
      <c r="J337" s="65" t="s">
        <v>13</v>
      </c>
      <c r="K337" s="67"/>
      <c r="L337" s="55"/>
      <c r="M337" s="82"/>
    </row>
    <row r="338" spans="1:13" ht="12.75" customHeight="1" thickBot="1" x14ac:dyDescent="0.25">
      <c r="A338" s="60">
        <f t="shared" ref="A338:C339" si="179">G338+D338</f>
        <v>1720</v>
      </c>
      <c r="B338" s="60">
        <f t="shared" si="179"/>
        <v>1720</v>
      </c>
      <c r="C338" s="60">
        <f t="shared" si="179"/>
        <v>0</v>
      </c>
      <c r="D338" s="60">
        <f>F338+E338</f>
        <v>0</v>
      </c>
      <c r="E338" s="60">
        <v>0</v>
      </c>
      <c r="F338" s="60">
        <v>0</v>
      </c>
      <c r="G338" s="60">
        <f>I338+H338</f>
        <v>1720</v>
      </c>
      <c r="H338" s="60">
        <v>1720</v>
      </c>
      <c r="I338" s="60">
        <v>0</v>
      </c>
      <c r="J338" s="65" t="s">
        <v>221</v>
      </c>
      <c r="K338" s="66"/>
      <c r="L338" s="55"/>
      <c r="M338" s="82"/>
    </row>
    <row r="339" spans="1:13" ht="12.75" customHeight="1" thickBot="1" x14ac:dyDescent="0.25">
      <c r="A339" s="60">
        <f t="shared" si="179"/>
        <v>1042</v>
      </c>
      <c r="B339" s="60">
        <f t="shared" si="179"/>
        <v>1042</v>
      </c>
      <c r="C339" s="60">
        <f t="shared" si="179"/>
        <v>0</v>
      </c>
      <c r="D339" s="60">
        <f>F339+E339</f>
        <v>5</v>
      </c>
      <c r="E339" s="60">
        <v>5</v>
      </c>
      <c r="F339" s="60">
        <v>0</v>
      </c>
      <c r="G339" s="60">
        <f>I339+H339</f>
        <v>1037</v>
      </c>
      <c r="H339" s="60">
        <v>1037</v>
      </c>
      <c r="I339" s="60">
        <v>0</v>
      </c>
      <c r="J339" s="65" t="s">
        <v>222</v>
      </c>
      <c r="K339" s="66" t="s">
        <v>411</v>
      </c>
      <c r="L339" s="55"/>
      <c r="M339" s="82"/>
    </row>
    <row r="340" spans="1:13" ht="12.75" customHeight="1" thickBot="1" x14ac:dyDescent="0.25">
      <c r="A340" s="60">
        <f t="shared" ref="A340:I340" si="180">SUM(A338:A339)</f>
        <v>2762</v>
      </c>
      <c r="B340" s="60">
        <f t="shared" si="180"/>
        <v>2762</v>
      </c>
      <c r="C340" s="60">
        <f t="shared" si="180"/>
        <v>0</v>
      </c>
      <c r="D340" s="60">
        <f t="shared" si="180"/>
        <v>5</v>
      </c>
      <c r="E340" s="60">
        <f t="shared" si="180"/>
        <v>5</v>
      </c>
      <c r="F340" s="60">
        <f t="shared" si="180"/>
        <v>0</v>
      </c>
      <c r="G340" s="60">
        <f t="shared" si="180"/>
        <v>2757</v>
      </c>
      <c r="H340" s="60">
        <f t="shared" si="180"/>
        <v>2757</v>
      </c>
      <c r="I340" s="60">
        <f t="shared" si="180"/>
        <v>0</v>
      </c>
      <c r="J340" s="65" t="s">
        <v>13</v>
      </c>
      <c r="K340" s="67"/>
      <c r="L340" s="55"/>
      <c r="M340" s="82"/>
    </row>
    <row r="341" spans="1:13" ht="12.75" customHeight="1" thickBot="1" x14ac:dyDescent="0.25">
      <c r="A341" s="60">
        <f t="shared" ref="A341:C342" si="181">G341+D341</f>
        <v>462</v>
      </c>
      <c r="B341" s="60">
        <f t="shared" si="181"/>
        <v>462</v>
      </c>
      <c r="C341" s="60">
        <f t="shared" si="181"/>
        <v>0</v>
      </c>
      <c r="D341" s="60">
        <f>F341+E341</f>
        <v>0</v>
      </c>
      <c r="E341" s="60">
        <v>0</v>
      </c>
      <c r="F341" s="60">
        <v>0</v>
      </c>
      <c r="G341" s="60">
        <f>I341+H341</f>
        <v>462</v>
      </c>
      <c r="H341" s="60">
        <v>462</v>
      </c>
      <c r="I341" s="60">
        <v>0</v>
      </c>
      <c r="J341" s="65" t="s">
        <v>221</v>
      </c>
      <c r="K341" s="66"/>
      <c r="L341" s="55"/>
      <c r="M341" s="82"/>
    </row>
    <row r="342" spans="1:13" ht="12.75" customHeight="1" thickBot="1" x14ac:dyDescent="0.25">
      <c r="A342" s="60">
        <f t="shared" si="181"/>
        <v>0</v>
      </c>
      <c r="B342" s="60">
        <f t="shared" si="181"/>
        <v>0</v>
      </c>
      <c r="C342" s="60">
        <f t="shared" si="181"/>
        <v>0</v>
      </c>
      <c r="D342" s="60">
        <f>F342+E342</f>
        <v>0</v>
      </c>
      <c r="E342" s="60">
        <v>0</v>
      </c>
      <c r="F342" s="60">
        <v>0</v>
      </c>
      <c r="G342" s="60">
        <f>I342+H342</f>
        <v>0</v>
      </c>
      <c r="H342" s="60">
        <v>0</v>
      </c>
      <c r="I342" s="60">
        <v>0</v>
      </c>
      <c r="J342" s="65" t="s">
        <v>222</v>
      </c>
      <c r="K342" s="66" t="s">
        <v>412</v>
      </c>
      <c r="L342" s="55"/>
      <c r="M342" s="82"/>
    </row>
    <row r="343" spans="1:13" ht="12.75" customHeight="1" thickBot="1" x14ac:dyDescent="0.25">
      <c r="A343" s="60">
        <f t="shared" ref="A343:I343" si="182">SUM(A341:A342)</f>
        <v>462</v>
      </c>
      <c r="B343" s="60">
        <f t="shared" si="182"/>
        <v>462</v>
      </c>
      <c r="C343" s="60">
        <f t="shared" si="182"/>
        <v>0</v>
      </c>
      <c r="D343" s="60">
        <f t="shared" si="182"/>
        <v>0</v>
      </c>
      <c r="E343" s="60">
        <f t="shared" si="182"/>
        <v>0</v>
      </c>
      <c r="F343" s="60">
        <f t="shared" si="182"/>
        <v>0</v>
      </c>
      <c r="G343" s="60">
        <f t="shared" si="182"/>
        <v>462</v>
      </c>
      <c r="H343" s="60">
        <f t="shared" si="182"/>
        <v>462</v>
      </c>
      <c r="I343" s="60">
        <f t="shared" si="182"/>
        <v>0</v>
      </c>
      <c r="J343" s="65" t="s">
        <v>13</v>
      </c>
      <c r="K343" s="67"/>
      <c r="L343" s="55"/>
      <c r="M343" s="82"/>
    </row>
    <row r="344" spans="1:13" ht="12.75" customHeight="1" thickBot="1" x14ac:dyDescent="0.25">
      <c r="A344" s="60">
        <f t="shared" ref="A344:C345" si="183">G344+D344</f>
        <v>715</v>
      </c>
      <c r="B344" s="60">
        <f t="shared" si="183"/>
        <v>715</v>
      </c>
      <c r="C344" s="60">
        <f t="shared" si="183"/>
        <v>0</v>
      </c>
      <c r="D344" s="60">
        <f>F344+E344</f>
        <v>9</v>
      </c>
      <c r="E344" s="60">
        <v>9</v>
      </c>
      <c r="F344" s="60">
        <v>0</v>
      </c>
      <c r="G344" s="60">
        <f>I344+H344</f>
        <v>706</v>
      </c>
      <c r="H344" s="60">
        <v>706</v>
      </c>
      <c r="I344" s="60">
        <v>0</v>
      </c>
      <c r="J344" s="65" t="s">
        <v>221</v>
      </c>
      <c r="K344" s="66"/>
      <c r="L344" s="55"/>
      <c r="M344" s="82"/>
    </row>
    <row r="345" spans="1:13" ht="12.75" customHeight="1" thickBot="1" x14ac:dyDescent="0.25">
      <c r="A345" s="60">
        <f t="shared" si="183"/>
        <v>0</v>
      </c>
      <c r="B345" s="60">
        <f t="shared" si="183"/>
        <v>0</v>
      </c>
      <c r="C345" s="60">
        <f t="shared" si="183"/>
        <v>0</v>
      </c>
      <c r="D345" s="60">
        <f>F345+E345</f>
        <v>0</v>
      </c>
      <c r="E345" s="60">
        <v>0</v>
      </c>
      <c r="F345" s="60">
        <v>0</v>
      </c>
      <c r="G345" s="60">
        <f>I345+H345</f>
        <v>0</v>
      </c>
      <c r="H345" s="60">
        <v>0</v>
      </c>
      <c r="I345" s="60">
        <v>0</v>
      </c>
      <c r="J345" s="65" t="s">
        <v>222</v>
      </c>
      <c r="K345" s="66" t="s">
        <v>413</v>
      </c>
      <c r="L345" s="55"/>
      <c r="M345" s="82"/>
    </row>
    <row r="346" spans="1:13" ht="12.75" customHeight="1" thickBot="1" x14ac:dyDescent="0.25">
      <c r="A346" s="60">
        <f t="shared" ref="A346:I346" si="184">SUM(A344:A345)</f>
        <v>715</v>
      </c>
      <c r="B346" s="60">
        <f t="shared" si="184"/>
        <v>715</v>
      </c>
      <c r="C346" s="60">
        <f t="shared" si="184"/>
        <v>0</v>
      </c>
      <c r="D346" s="60">
        <f t="shared" si="184"/>
        <v>9</v>
      </c>
      <c r="E346" s="60">
        <f t="shared" si="184"/>
        <v>9</v>
      </c>
      <c r="F346" s="60">
        <f t="shared" si="184"/>
        <v>0</v>
      </c>
      <c r="G346" s="60">
        <f t="shared" si="184"/>
        <v>706</v>
      </c>
      <c r="H346" s="60">
        <f t="shared" si="184"/>
        <v>706</v>
      </c>
      <c r="I346" s="60">
        <f t="shared" si="184"/>
        <v>0</v>
      </c>
      <c r="J346" s="65" t="s">
        <v>13</v>
      </c>
      <c r="K346" s="67"/>
      <c r="L346" s="55"/>
      <c r="M346" s="82"/>
    </row>
    <row r="347" spans="1:13" ht="12.75" customHeight="1" thickBot="1" x14ac:dyDescent="0.25">
      <c r="A347" s="60">
        <f t="shared" ref="A347:C348" si="185">G347+D347</f>
        <v>260</v>
      </c>
      <c r="B347" s="60">
        <f t="shared" si="185"/>
        <v>260</v>
      </c>
      <c r="C347" s="60">
        <f t="shared" si="185"/>
        <v>0</v>
      </c>
      <c r="D347" s="60">
        <f>F347+E347</f>
        <v>0</v>
      </c>
      <c r="E347" s="60">
        <v>0</v>
      </c>
      <c r="F347" s="60">
        <v>0</v>
      </c>
      <c r="G347" s="60">
        <f>I347+H347</f>
        <v>260</v>
      </c>
      <c r="H347" s="60">
        <v>260</v>
      </c>
      <c r="I347" s="60">
        <v>0</v>
      </c>
      <c r="J347" s="65" t="s">
        <v>221</v>
      </c>
      <c r="K347" s="66"/>
      <c r="L347" s="55"/>
      <c r="M347" s="82"/>
    </row>
    <row r="348" spans="1:13" ht="12.75" customHeight="1" thickBot="1" x14ac:dyDescent="0.25">
      <c r="A348" s="60">
        <f t="shared" si="185"/>
        <v>140</v>
      </c>
      <c r="B348" s="60">
        <f t="shared" si="185"/>
        <v>140</v>
      </c>
      <c r="C348" s="60">
        <f t="shared" si="185"/>
        <v>0</v>
      </c>
      <c r="D348" s="60">
        <f>F348+E348</f>
        <v>0</v>
      </c>
      <c r="E348" s="60">
        <v>0</v>
      </c>
      <c r="F348" s="60">
        <v>0</v>
      </c>
      <c r="G348" s="60">
        <f>I348+H348</f>
        <v>140</v>
      </c>
      <c r="H348" s="60">
        <v>140</v>
      </c>
      <c r="I348" s="60">
        <v>0</v>
      </c>
      <c r="J348" s="65" t="s">
        <v>222</v>
      </c>
      <c r="K348" s="66" t="s">
        <v>414</v>
      </c>
      <c r="L348" s="55"/>
      <c r="M348" s="82"/>
    </row>
    <row r="349" spans="1:13" ht="12.75" customHeight="1" thickBot="1" x14ac:dyDescent="0.25">
      <c r="A349" s="60">
        <f t="shared" ref="A349:I349" si="186">SUM(A347:A348)</f>
        <v>400</v>
      </c>
      <c r="B349" s="60">
        <f t="shared" si="186"/>
        <v>400</v>
      </c>
      <c r="C349" s="60">
        <f t="shared" si="186"/>
        <v>0</v>
      </c>
      <c r="D349" s="60">
        <f t="shared" si="186"/>
        <v>0</v>
      </c>
      <c r="E349" s="60">
        <f t="shared" si="186"/>
        <v>0</v>
      </c>
      <c r="F349" s="60">
        <f t="shared" si="186"/>
        <v>0</v>
      </c>
      <c r="G349" s="60">
        <f t="shared" si="186"/>
        <v>400</v>
      </c>
      <c r="H349" s="60">
        <f t="shared" si="186"/>
        <v>400</v>
      </c>
      <c r="I349" s="60">
        <f t="shared" si="186"/>
        <v>0</v>
      </c>
      <c r="J349" s="65" t="s">
        <v>13</v>
      </c>
      <c r="K349" s="67"/>
      <c r="L349" s="55"/>
      <c r="M349" s="82"/>
    </row>
    <row r="350" spans="1:13" ht="12.75" customHeight="1" thickBot="1" x14ac:dyDescent="0.25">
      <c r="A350" s="60">
        <f t="shared" ref="A350:C351" si="187">G350+D350</f>
        <v>650</v>
      </c>
      <c r="B350" s="60">
        <f t="shared" si="187"/>
        <v>650</v>
      </c>
      <c r="C350" s="60">
        <f t="shared" si="187"/>
        <v>0</v>
      </c>
      <c r="D350" s="60">
        <f>F350+E350</f>
        <v>0</v>
      </c>
      <c r="E350" s="60">
        <v>0</v>
      </c>
      <c r="F350" s="60">
        <v>0</v>
      </c>
      <c r="G350" s="60">
        <f>I350+H350</f>
        <v>650</v>
      </c>
      <c r="H350" s="60">
        <v>650</v>
      </c>
      <c r="I350" s="60">
        <v>0</v>
      </c>
      <c r="J350" s="65" t="s">
        <v>221</v>
      </c>
      <c r="K350" s="66"/>
      <c r="L350" s="55"/>
      <c r="M350" s="82"/>
    </row>
    <row r="351" spans="1:13" ht="12.75" customHeight="1" thickBot="1" x14ac:dyDescent="0.25">
      <c r="A351" s="60">
        <f t="shared" si="187"/>
        <v>0</v>
      </c>
      <c r="B351" s="60">
        <f t="shared" si="187"/>
        <v>0</v>
      </c>
      <c r="C351" s="60">
        <f t="shared" si="187"/>
        <v>0</v>
      </c>
      <c r="D351" s="60">
        <f>F351+E351</f>
        <v>0</v>
      </c>
      <c r="E351" s="60">
        <v>0</v>
      </c>
      <c r="F351" s="60">
        <v>0</v>
      </c>
      <c r="G351" s="60">
        <f>I351+H351</f>
        <v>0</v>
      </c>
      <c r="H351" s="60">
        <v>0</v>
      </c>
      <c r="I351" s="60">
        <v>0</v>
      </c>
      <c r="J351" s="65" t="s">
        <v>222</v>
      </c>
      <c r="K351" s="66" t="s">
        <v>415</v>
      </c>
      <c r="L351" s="55"/>
      <c r="M351" s="82"/>
    </row>
    <row r="352" spans="1:13" ht="12.75" customHeight="1" thickBot="1" x14ac:dyDescent="0.25">
      <c r="A352" s="60">
        <f t="shared" ref="A352:I352" si="188">SUM(A350:A351)</f>
        <v>650</v>
      </c>
      <c r="B352" s="60">
        <f t="shared" si="188"/>
        <v>650</v>
      </c>
      <c r="C352" s="60">
        <f t="shared" si="188"/>
        <v>0</v>
      </c>
      <c r="D352" s="60">
        <f t="shared" si="188"/>
        <v>0</v>
      </c>
      <c r="E352" s="60">
        <f t="shared" si="188"/>
        <v>0</v>
      </c>
      <c r="F352" s="60">
        <f t="shared" si="188"/>
        <v>0</v>
      </c>
      <c r="G352" s="60">
        <f t="shared" si="188"/>
        <v>650</v>
      </c>
      <c r="H352" s="60">
        <f t="shared" si="188"/>
        <v>650</v>
      </c>
      <c r="I352" s="60">
        <f t="shared" si="188"/>
        <v>0</v>
      </c>
      <c r="J352" s="65" t="s">
        <v>13</v>
      </c>
      <c r="K352" s="67"/>
      <c r="L352" s="55"/>
      <c r="M352" s="82"/>
    </row>
    <row r="353" spans="1:13" ht="12.75" customHeight="1" x14ac:dyDescent="0.2">
      <c r="A353" s="84">
        <f t="shared" ref="A353:I355" si="189">A281+A284+A287+A290+A293+A296+A299+A302+A305+A308+A311+A314+A317+A320+A323+A326+A329+A332+A335+A338+A341+A344+A347+A350</f>
        <v>10650</v>
      </c>
      <c r="B353" s="84">
        <f t="shared" si="189"/>
        <v>8019</v>
      </c>
      <c r="C353" s="84">
        <f t="shared" si="189"/>
        <v>2631</v>
      </c>
      <c r="D353" s="84">
        <f t="shared" si="189"/>
        <v>48</v>
      </c>
      <c r="E353" s="84">
        <f t="shared" si="189"/>
        <v>34</v>
      </c>
      <c r="F353" s="84">
        <f t="shared" si="189"/>
        <v>14</v>
      </c>
      <c r="G353" s="84">
        <f t="shared" si="189"/>
        <v>10602</v>
      </c>
      <c r="H353" s="84">
        <f t="shared" si="189"/>
        <v>7985</v>
      </c>
      <c r="I353" s="84">
        <f>I281+I284+I287+I290+I293+I296+I299+I302+I305+I308+I311+I314+I317+I320+I323+I326+I329+I332+I335+I338+I341+I344+I347+I350</f>
        <v>2617</v>
      </c>
      <c r="J353" s="85" t="s">
        <v>224</v>
      </c>
      <c r="K353" s="188" t="s">
        <v>211</v>
      </c>
      <c r="L353" s="55"/>
      <c r="M353" s="82"/>
    </row>
    <row r="354" spans="1:13" ht="12.75" customHeight="1" x14ac:dyDescent="0.2">
      <c r="A354" s="84">
        <f t="shared" si="189"/>
        <v>3076</v>
      </c>
      <c r="B354" s="84">
        <f t="shared" si="189"/>
        <v>3076</v>
      </c>
      <c r="C354" s="84">
        <f t="shared" si="189"/>
        <v>0</v>
      </c>
      <c r="D354" s="84">
        <f t="shared" si="189"/>
        <v>7</v>
      </c>
      <c r="E354" s="84">
        <f t="shared" si="189"/>
        <v>7</v>
      </c>
      <c r="F354" s="84">
        <f t="shared" si="189"/>
        <v>0</v>
      </c>
      <c r="G354" s="84">
        <f t="shared" si="189"/>
        <v>3069</v>
      </c>
      <c r="H354" s="84">
        <f t="shared" si="189"/>
        <v>3069</v>
      </c>
      <c r="I354" s="84">
        <f t="shared" si="189"/>
        <v>0</v>
      </c>
      <c r="J354" s="85" t="s">
        <v>225</v>
      </c>
      <c r="K354" s="189"/>
      <c r="L354" s="55"/>
      <c r="M354" s="82"/>
    </row>
    <row r="355" spans="1:13" ht="12.75" customHeight="1" x14ac:dyDescent="0.2">
      <c r="A355" s="84">
        <f t="shared" si="189"/>
        <v>13726</v>
      </c>
      <c r="B355" s="84">
        <f t="shared" si="189"/>
        <v>11095</v>
      </c>
      <c r="C355" s="84">
        <f t="shared" si="189"/>
        <v>2631</v>
      </c>
      <c r="D355" s="84">
        <f t="shared" si="189"/>
        <v>55</v>
      </c>
      <c r="E355" s="84">
        <f t="shared" si="189"/>
        <v>41</v>
      </c>
      <c r="F355" s="84">
        <f t="shared" si="189"/>
        <v>14</v>
      </c>
      <c r="G355" s="84">
        <f t="shared" si="189"/>
        <v>13671</v>
      </c>
      <c r="H355" s="84">
        <f t="shared" si="189"/>
        <v>11054</v>
      </c>
      <c r="I355" s="84">
        <f t="shared" si="189"/>
        <v>2617</v>
      </c>
      <c r="J355" s="85" t="s">
        <v>13</v>
      </c>
      <c r="K355" s="190"/>
      <c r="L355" s="55"/>
      <c r="M355" s="82"/>
    </row>
    <row r="356" spans="1:13" ht="12.75" customHeight="1" x14ac:dyDescent="0.2">
      <c r="A356" s="177" t="s">
        <v>327</v>
      </c>
      <c r="B356" s="177"/>
      <c r="C356" s="177"/>
      <c r="D356" s="177"/>
      <c r="E356" s="177"/>
      <c r="F356" s="177"/>
      <c r="G356" s="177"/>
      <c r="H356" s="177"/>
      <c r="I356" s="177"/>
      <c r="J356" s="177"/>
      <c r="K356" s="177"/>
      <c r="L356" s="55"/>
      <c r="M356" s="82"/>
    </row>
    <row r="357" spans="1:13" ht="12.75" customHeight="1" x14ac:dyDescent="0.2">
      <c r="A357" s="178" t="s">
        <v>328</v>
      </c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55"/>
      <c r="M357" s="82"/>
    </row>
    <row r="358" spans="1:13" ht="12.75" customHeight="1" x14ac:dyDescent="0.2">
      <c r="A358" s="86" t="s">
        <v>216</v>
      </c>
      <c r="B358" s="86" t="s">
        <v>11</v>
      </c>
      <c r="C358" s="86" t="s">
        <v>10</v>
      </c>
      <c r="D358" s="86" t="s">
        <v>216</v>
      </c>
      <c r="E358" s="86" t="s">
        <v>11</v>
      </c>
      <c r="F358" s="86" t="s">
        <v>10</v>
      </c>
      <c r="G358" s="86" t="s">
        <v>216</v>
      </c>
      <c r="H358" s="86" t="s">
        <v>11</v>
      </c>
      <c r="I358" s="86" t="s">
        <v>10</v>
      </c>
      <c r="J358" s="191" t="s">
        <v>81</v>
      </c>
      <c r="K358" s="191"/>
      <c r="L358" s="55"/>
      <c r="M358" s="82"/>
    </row>
    <row r="359" spans="1:13" ht="12.75" customHeight="1" thickBot="1" x14ac:dyDescent="0.25">
      <c r="A359" s="87">
        <f t="shared" ref="A359:C360" si="190">G359+D359</f>
        <v>562</v>
      </c>
      <c r="B359" s="87">
        <f t="shared" si="190"/>
        <v>122</v>
      </c>
      <c r="C359" s="87">
        <f t="shared" si="190"/>
        <v>440</v>
      </c>
      <c r="D359" s="87">
        <f>F359+E359</f>
        <v>3</v>
      </c>
      <c r="E359" s="87">
        <v>2</v>
      </c>
      <c r="F359" s="87">
        <v>1</v>
      </c>
      <c r="G359" s="87">
        <f>I359+H359</f>
        <v>559</v>
      </c>
      <c r="H359" s="87">
        <v>120</v>
      </c>
      <c r="I359" s="87">
        <v>439</v>
      </c>
      <c r="J359" s="88" t="s">
        <v>221</v>
      </c>
      <c r="K359" s="66"/>
      <c r="L359" s="55"/>
      <c r="M359" s="82"/>
    </row>
    <row r="360" spans="1:13" ht="12.75" customHeight="1" thickBot="1" x14ac:dyDescent="0.25">
      <c r="A360" s="60">
        <f t="shared" si="190"/>
        <v>0</v>
      </c>
      <c r="B360" s="60">
        <f t="shared" si="190"/>
        <v>0</v>
      </c>
      <c r="C360" s="60">
        <f t="shared" si="190"/>
        <v>0</v>
      </c>
      <c r="D360" s="60">
        <f>F360+E360</f>
        <v>0</v>
      </c>
      <c r="E360" s="60">
        <v>0</v>
      </c>
      <c r="F360" s="60">
        <v>0</v>
      </c>
      <c r="G360" s="60">
        <f>I360+H360</f>
        <v>0</v>
      </c>
      <c r="H360" s="60">
        <v>0</v>
      </c>
      <c r="I360" s="60">
        <v>0</v>
      </c>
      <c r="J360" s="65" t="s">
        <v>222</v>
      </c>
      <c r="K360" s="66" t="s">
        <v>416</v>
      </c>
      <c r="L360" s="55"/>
      <c r="M360" s="82"/>
    </row>
    <row r="361" spans="1:13" ht="12.75" customHeight="1" thickBot="1" x14ac:dyDescent="0.25">
      <c r="A361" s="60">
        <f t="shared" ref="A361:I361" si="191">SUM(A359:A360)</f>
        <v>562</v>
      </c>
      <c r="B361" s="60">
        <f t="shared" si="191"/>
        <v>122</v>
      </c>
      <c r="C361" s="60">
        <f t="shared" si="191"/>
        <v>440</v>
      </c>
      <c r="D361" s="60">
        <f t="shared" si="191"/>
        <v>3</v>
      </c>
      <c r="E361" s="60">
        <f t="shared" si="191"/>
        <v>2</v>
      </c>
      <c r="F361" s="60">
        <f t="shared" si="191"/>
        <v>1</v>
      </c>
      <c r="G361" s="60">
        <f t="shared" si="191"/>
        <v>559</v>
      </c>
      <c r="H361" s="60">
        <f t="shared" si="191"/>
        <v>120</v>
      </c>
      <c r="I361" s="60">
        <f t="shared" si="191"/>
        <v>439</v>
      </c>
      <c r="J361" s="65" t="s">
        <v>13</v>
      </c>
      <c r="K361" s="67"/>
      <c r="L361" s="55"/>
      <c r="M361" s="82"/>
    </row>
    <row r="362" spans="1:13" ht="12.75" customHeight="1" thickBot="1" x14ac:dyDescent="0.25">
      <c r="A362" s="60">
        <f t="shared" ref="A362:C363" si="192">G362+D362</f>
        <v>412</v>
      </c>
      <c r="B362" s="60">
        <f t="shared" si="192"/>
        <v>0</v>
      </c>
      <c r="C362" s="60">
        <f t="shared" si="192"/>
        <v>412</v>
      </c>
      <c r="D362" s="60">
        <f>F362+E362</f>
        <v>0</v>
      </c>
      <c r="E362" s="60">
        <v>0</v>
      </c>
      <c r="F362" s="60">
        <v>0</v>
      </c>
      <c r="G362" s="60">
        <f>I362+H362</f>
        <v>412</v>
      </c>
      <c r="H362" s="60">
        <v>0</v>
      </c>
      <c r="I362" s="60">
        <v>412</v>
      </c>
      <c r="J362" s="65" t="s">
        <v>221</v>
      </c>
      <c r="K362" s="66"/>
      <c r="L362" s="55"/>
      <c r="M362" s="82"/>
    </row>
    <row r="363" spans="1:13" ht="12.75" customHeight="1" thickBot="1" x14ac:dyDescent="0.25">
      <c r="A363" s="60">
        <f t="shared" si="192"/>
        <v>0</v>
      </c>
      <c r="B363" s="60">
        <f t="shared" si="192"/>
        <v>0</v>
      </c>
      <c r="C363" s="60">
        <f t="shared" si="192"/>
        <v>0</v>
      </c>
      <c r="D363" s="60">
        <f>F363+E363</f>
        <v>0</v>
      </c>
      <c r="E363" s="60">
        <v>0</v>
      </c>
      <c r="F363" s="60">
        <v>0</v>
      </c>
      <c r="G363" s="60">
        <f>I363+H363</f>
        <v>0</v>
      </c>
      <c r="H363" s="60">
        <v>0</v>
      </c>
      <c r="I363" s="60">
        <v>0</v>
      </c>
      <c r="J363" s="65" t="s">
        <v>222</v>
      </c>
      <c r="K363" s="66" t="s">
        <v>417</v>
      </c>
      <c r="L363" s="55"/>
      <c r="M363" s="82"/>
    </row>
    <row r="364" spans="1:13" ht="12.75" customHeight="1" thickBot="1" x14ac:dyDescent="0.25">
      <c r="A364" s="60">
        <f t="shared" ref="A364:I364" si="193">SUM(A362:A363)</f>
        <v>412</v>
      </c>
      <c r="B364" s="60">
        <f t="shared" si="193"/>
        <v>0</v>
      </c>
      <c r="C364" s="60">
        <f t="shared" si="193"/>
        <v>412</v>
      </c>
      <c r="D364" s="60">
        <f t="shared" si="193"/>
        <v>0</v>
      </c>
      <c r="E364" s="60">
        <f t="shared" si="193"/>
        <v>0</v>
      </c>
      <c r="F364" s="60">
        <f t="shared" si="193"/>
        <v>0</v>
      </c>
      <c r="G364" s="60">
        <f t="shared" si="193"/>
        <v>412</v>
      </c>
      <c r="H364" s="60">
        <f t="shared" si="193"/>
        <v>0</v>
      </c>
      <c r="I364" s="60">
        <f t="shared" si="193"/>
        <v>412</v>
      </c>
      <c r="J364" s="65" t="s">
        <v>13</v>
      </c>
      <c r="K364" s="67"/>
      <c r="L364" s="55"/>
      <c r="M364" s="82"/>
    </row>
    <row r="365" spans="1:13" ht="12.75" customHeight="1" thickBot="1" x14ac:dyDescent="0.25">
      <c r="A365" s="60">
        <f t="shared" ref="A365:C366" si="194">G365+D365</f>
        <v>554</v>
      </c>
      <c r="B365" s="60">
        <f t="shared" si="194"/>
        <v>0</v>
      </c>
      <c r="C365" s="60">
        <f t="shared" si="194"/>
        <v>554</v>
      </c>
      <c r="D365" s="60">
        <f>F365+E365</f>
        <v>0</v>
      </c>
      <c r="E365" s="60">
        <v>0</v>
      </c>
      <c r="F365" s="60">
        <v>0</v>
      </c>
      <c r="G365" s="60">
        <f>I365+H365</f>
        <v>554</v>
      </c>
      <c r="H365" s="60">
        <v>0</v>
      </c>
      <c r="I365" s="60">
        <v>554</v>
      </c>
      <c r="J365" s="65" t="s">
        <v>221</v>
      </c>
      <c r="K365" s="66"/>
      <c r="L365" s="55"/>
      <c r="M365" s="82"/>
    </row>
    <row r="366" spans="1:13" ht="12.75" customHeight="1" thickBot="1" x14ac:dyDescent="0.25">
      <c r="A366" s="60">
        <f t="shared" si="194"/>
        <v>0</v>
      </c>
      <c r="B366" s="60">
        <f t="shared" si="194"/>
        <v>0</v>
      </c>
      <c r="C366" s="60">
        <f t="shared" si="194"/>
        <v>0</v>
      </c>
      <c r="D366" s="60">
        <f>F366+E366</f>
        <v>0</v>
      </c>
      <c r="E366" s="60">
        <v>0</v>
      </c>
      <c r="F366" s="60">
        <v>0</v>
      </c>
      <c r="G366" s="60">
        <f>I366+H366</f>
        <v>0</v>
      </c>
      <c r="H366" s="60">
        <v>0</v>
      </c>
      <c r="I366" s="60">
        <v>0</v>
      </c>
      <c r="J366" s="65" t="s">
        <v>222</v>
      </c>
      <c r="K366" s="66" t="s">
        <v>257</v>
      </c>
      <c r="L366" s="55"/>
      <c r="M366" s="82"/>
    </row>
    <row r="367" spans="1:13" ht="12.75" customHeight="1" thickBot="1" x14ac:dyDescent="0.25">
      <c r="A367" s="60">
        <f t="shared" ref="A367:I367" si="195">SUM(A365:A366)</f>
        <v>554</v>
      </c>
      <c r="B367" s="60">
        <f t="shared" si="195"/>
        <v>0</v>
      </c>
      <c r="C367" s="60">
        <f t="shared" si="195"/>
        <v>554</v>
      </c>
      <c r="D367" s="60">
        <f t="shared" si="195"/>
        <v>0</v>
      </c>
      <c r="E367" s="60">
        <f t="shared" si="195"/>
        <v>0</v>
      </c>
      <c r="F367" s="60">
        <f t="shared" si="195"/>
        <v>0</v>
      </c>
      <c r="G367" s="60">
        <f t="shared" si="195"/>
        <v>554</v>
      </c>
      <c r="H367" s="60">
        <f t="shared" si="195"/>
        <v>0</v>
      </c>
      <c r="I367" s="60">
        <f t="shared" si="195"/>
        <v>554</v>
      </c>
      <c r="J367" s="65" t="s">
        <v>13</v>
      </c>
      <c r="K367" s="67"/>
      <c r="L367" s="55"/>
    </row>
    <row r="368" spans="1:13" ht="12.75" customHeight="1" thickBot="1" x14ac:dyDescent="0.25">
      <c r="A368" s="60">
        <f t="shared" ref="A368:C369" si="196">G368+D368</f>
        <v>521</v>
      </c>
      <c r="B368" s="60">
        <f t="shared" si="196"/>
        <v>0</v>
      </c>
      <c r="C368" s="60">
        <f t="shared" si="196"/>
        <v>521</v>
      </c>
      <c r="D368" s="60">
        <f>F368+E368</f>
        <v>4</v>
      </c>
      <c r="E368" s="60">
        <v>0</v>
      </c>
      <c r="F368" s="60">
        <v>4</v>
      </c>
      <c r="G368" s="60">
        <f>I368+H368</f>
        <v>517</v>
      </c>
      <c r="H368" s="60">
        <v>0</v>
      </c>
      <c r="I368" s="60">
        <v>517</v>
      </c>
      <c r="J368" s="65" t="s">
        <v>221</v>
      </c>
      <c r="K368" s="66"/>
      <c r="L368" s="55"/>
    </row>
    <row r="369" spans="1:12" ht="12.75" customHeight="1" thickBot="1" x14ac:dyDescent="0.25">
      <c r="A369" s="60">
        <f t="shared" si="196"/>
        <v>0</v>
      </c>
      <c r="B369" s="60">
        <f t="shared" si="196"/>
        <v>0</v>
      </c>
      <c r="C369" s="60">
        <f t="shared" si="196"/>
        <v>0</v>
      </c>
      <c r="D369" s="60">
        <f>F369+E369</f>
        <v>0</v>
      </c>
      <c r="E369" s="60">
        <v>0</v>
      </c>
      <c r="F369" s="60">
        <v>0</v>
      </c>
      <c r="G369" s="60">
        <f>I369+H369</f>
        <v>0</v>
      </c>
      <c r="H369" s="60">
        <v>0</v>
      </c>
      <c r="I369" s="60">
        <v>0</v>
      </c>
      <c r="J369" s="65" t="s">
        <v>222</v>
      </c>
      <c r="K369" s="66" t="s">
        <v>418</v>
      </c>
      <c r="L369" s="55"/>
    </row>
    <row r="370" spans="1:12" ht="12.75" customHeight="1" thickBot="1" x14ac:dyDescent="0.25">
      <c r="A370" s="60">
        <f t="shared" ref="A370:I370" si="197">SUM(A368:A369)</f>
        <v>521</v>
      </c>
      <c r="B370" s="60">
        <f t="shared" si="197"/>
        <v>0</v>
      </c>
      <c r="C370" s="60">
        <f t="shared" si="197"/>
        <v>521</v>
      </c>
      <c r="D370" s="60">
        <f t="shared" si="197"/>
        <v>4</v>
      </c>
      <c r="E370" s="60">
        <f t="shared" si="197"/>
        <v>0</v>
      </c>
      <c r="F370" s="60">
        <f t="shared" si="197"/>
        <v>4</v>
      </c>
      <c r="G370" s="60">
        <f t="shared" si="197"/>
        <v>517</v>
      </c>
      <c r="H370" s="60">
        <f t="shared" si="197"/>
        <v>0</v>
      </c>
      <c r="I370" s="60">
        <f t="shared" si="197"/>
        <v>517</v>
      </c>
      <c r="J370" s="65" t="s">
        <v>13</v>
      </c>
      <c r="K370" s="67"/>
      <c r="L370" s="55"/>
    </row>
    <row r="371" spans="1:12" ht="12.75" customHeight="1" thickBot="1" x14ac:dyDescent="0.25">
      <c r="A371" s="60">
        <f t="shared" ref="A371:C372" si="198">G371+D371</f>
        <v>340</v>
      </c>
      <c r="B371" s="60">
        <f t="shared" si="198"/>
        <v>0</v>
      </c>
      <c r="C371" s="60">
        <f t="shared" si="198"/>
        <v>340</v>
      </c>
      <c r="D371" s="60">
        <f>F371+E371</f>
        <v>0</v>
      </c>
      <c r="E371" s="60">
        <v>0</v>
      </c>
      <c r="F371" s="60">
        <v>0</v>
      </c>
      <c r="G371" s="60">
        <f>I371+H371</f>
        <v>340</v>
      </c>
      <c r="H371" s="60">
        <v>0</v>
      </c>
      <c r="I371" s="60">
        <v>340</v>
      </c>
      <c r="J371" s="65" t="s">
        <v>221</v>
      </c>
      <c r="K371" s="66"/>
      <c r="L371" s="55"/>
    </row>
    <row r="372" spans="1:12" ht="12.75" customHeight="1" thickBot="1" x14ac:dyDescent="0.25">
      <c r="A372" s="60">
        <f t="shared" si="198"/>
        <v>0</v>
      </c>
      <c r="B372" s="60">
        <f t="shared" si="198"/>
        <v>0</v>
      </c>
      <c r="C372" s="60">
        <f t="shared" si="198"/>
        <v>0</v>
      </c>
      <c r="D372" s="60">
        <f>F372+E372</f>
        <v>0</v>
      </c>
      <c r="E372" s="60">
        <v>0</v>
      </c>
      <c r="F372" s="60">
        <v>0</v>
      </c>
      <c r="G372" s="60">
        <f>I372+H372</f>
        <v>0</v>
      </c>
      <c r="H372" s="60">
        <v>0</v>
      </c>
      <c r="I372" s="60">
        <v>0</v>
      </c>
      <c r="J372" s="65" t="s">
        <v>222</v>
      </c>
      <c r="K372" s="66" t="s">
        <v>419</v>
      </c>
      <c r="L372" s="55"/>
    </row>
    <row r="373" spans="1:12" ht="12.75" customHeight="1" thickBot="1" x14ac:dyDescent="0.25">
      <c r="A373" s="60">
        <f t="shared" ref="A373:I373" si="199">SUM(A371:A372)</f>
        <v>340</v>
      </c>
      <c r="B373" s="60">
        <f t="shared" si="199"/>
        <v>0</v>
      </c>
      <c r="C373" s="60">
        <f t="shared" si="199"/>
        <v>340</v>
      </c>
      <c r="D373" s="60">
        <f t="shared" si="199"/>
        <v>0</v>
      </c>
      <c r="E373" s="60">
        <f t="shared" si="199"/>
        <v>0</v>
      </c>
      <c r="F373" s="60">
        <f t="shared" si="199"/>
        <v>0</v>
      </c>
      <c r="G373" s="60">
        <f t="shared" si="199"/>
        <v>340</v>
      </c>
      <c r="H373" s="60">
        <f t="shared" si="199"/>
        <v>0</v>
      </c>
      <c r="I373" s="60">
        <f t="shared" si="199"/>
        <v>340</v>
      </c>
      <c r="J373" s="65" t="s">
        <v>13</v>
      </c>
      <c r="K373" s="67"/>
      <c r="L373" s="55"/>
    </row>
    <row r="374" spans="1:12" ht="12.75" customHeight="1" thickBot="1" x14ac:dyDescent="0.25">
      <c r="A374" s="60">
        <f t="shared" ref="A374:C375" si="200">G374+D374</f>
        <v>81</v>
      </c>
      <c r="B374" s="60">
        <f t="shared" si="200"/>
        <v>0</v>
      </c>
      <c r="C374" s="60">
        <f t="shared" si="200"/>
        <v>81</v>
      </c>
      <c r="D374" s="60">
        <f>F374+E374</f>
        <v>0</v>
      </c>
      <c r="E374" s="60">
        <v>0</v>
      </c>
      <c r="F374" s="60">
        <v>0</v>
      </c>
      <c r="G374" s="60">
        <f>I374+H374</f>
        <v>81</v>
      </c>
      <c r="H374" s="60">
        <v>0</v>
      </c>
      <c r="I374" s="60">
        <v>81</v>
      </c>
      <c r="J374" s="65" t="s">
        <v>221</v>
      </c>
      <c r="K374" s="66"/>
      <c r="L374" s="55"/>
    </row>
    <row r="375" spans="1:12" ht="12.75" customHeight="1" thickBot="1" x14ac:dyDescent="0.25">
      <c r="A375" s="60">
        <f t="shared" si="200"/>
        <v>0</v>
      </c>
      <c r="B375" s="60">
        <f t="shared" si="200"/>
        <v>0</v>
      </c>
      <c r="C375" s="60">
        <f t="shared" si="200"/>
        <v>0</v>
      </c>
      <c r="D375" s="60">
        <f>F375+E375</f>
        <v>0</v>
      </c>
      <c r="E375" s="60">
        <v>0</v>
      </c>
      <c r="F375" s="60">
        <v>0</v>
      </c>
      <c r="G375" s="60">
        <f>I375+H375</f>
        <v>0</v>
      </c>
      <c r="H375" s="60">
        <v>0</v>
      </c>
      <c r="I375" s="60">
        <v>0</v>
      </c>
      <c r="J375" s="65" t="s">
        <v>222</v>
      </c>
      <c r="K375" s="66" t="s">
        <v>244</v>
      </c>
      <c r="L375" s="55"/>
    </row>
    <row r="376" spans="1:12" ht="12.75" customHeight="1" thickBot="1" x14ac:dyDescent="0.25">
      <c r="A376" s="60">
        <f t="shared" ref="A376:I376" si="201">SUM(A374:A375)</f>
        <v>81</v>
      </c>
      <c r="B376" s="60">
        <f t="shared" si="201"/>
        <v>0</v>
      </c>
      <c r="C376" s="60">
        <f t="shared" si="201"/>
        <v>81</v>
      </c>
      <c r="D376" s="60">
        <f t="shared" si="201"/>
        <v>0</v>
      </c>
      <c r="E376" s="60">
        <f t="shared" si="201"/>
        <v>0</v>
      </c>
      <c r="F376" s="60">
        <f t="shared" si="201"/>
        <v>0</v>
      </c>
      <c r="G376" s="60">
        <f t="shared" si="201"/>
        <v>81</v>
      </c>
      <c r="H376" s="60">
        <f t="shared" si="201"/>
        <v>0</v>
      </c>
      <c r="I376" s="60">
        <f t="shared" si="201"/>
        <v>81</v>
      </c>
      <c r="J376" s="65" t="s">
        <v>13</v>
      </c>
      <c r="K376" s="67"/>
      <c r="L376" s="55"/>
    </row>
    <row r="377" spans="1:12" ht="12.75" customHeight="1" thickBot="1" x14ac:dyDescent="0.25">
      <c r="A377" s="60">
        <f t="shared" ref="A377:C378" si="202">G377+D377</f>
        <v>119</v>
      </c>
      <c r="B377" s="60">
        <f t="shared" si="202"/>
        <v>29</v>
      </c>
      <c r="C377" s="60">
        <f t="shared" si="202"/>
        <v>90</v>
      </c>
      <c r="D377" s="60">
        <f>F377+E377</f>
        <v>0</v>
      </c>
      <c r="E377" s="60">
        <v>0</v>
      </c>
      <c r="F377" s="60">
        <v>0</v>
      </c>
      <c r="G377" s="60">
        <f>I377+H377</f>
        <v>119</v>
      </c>
      <c r="H377" s="60">
        <v>29</v>
      </c>
      <c r="I377" s="60">
        <v>90</v>
      </c>
      <c r="J377" s="65" t="s">
        <v>221</v>
      </c>
      <c r="K377" s="66"/>
      <c r="L377" s="55"/>
    </row>
    <row r="378" spans="1:12" ht="12.75" customHeight="1" thickBot="1" x14ac:dyDescent="0.25">
      <c r="A378" s="60">
        <f t="shared" si="202"/>
        <v>0</v>
      </c>
      <c r="B378" s="60">
        <f t="shared" si="202"/>
        <v>0</v>
      </c>
      <c r="C378" s="60">
        <f t="shared" si="202"/>
        <v>0</v>
      </c>
      <c r="D378" s="60">
        <f>F378+E378</f>
        <v>0</v>
      </c>
      <c r="E378" s="60">
        <v>0</v>
      </c>
      <c r="F378" s="60">
        <v>0</v>
      </c>
      <c r="G378" s="60">
        <f>I378+H378</f>
        <v>0</v>
      </c>
      <c r="H378" s="60">
        <v>0</v>
      </c>
      <c r="I378" s="60">
        <v>0</v>
      </c>
      <c r="J378" s="65" t="s">
        <v>222</v>
      </c>
      <c r="K378" s="66" t="s">
        <v>337</v>
      </c>
      <c r="L378" s="55"/>
    </row>
    <row r="379" spans="1:12" ht="12.75" customHeight="1" thickBot="1" x14ac:dyDescent="0.25">
      <c r="A379" s="60">
        <f t="shared" ref="A379:I379" si="203">SUM(A377:A378)</f>
        <v>119</v>
      </c>
      <c r="B379" s="60">
        <f t="shared" si="203"/>
        <v>29</v>
      </c>
      <c r="C379" s="60">
        <f t="shared" si="203"/>
        <v>90</v>
      </c>
      <c r="D379" s="60">
        <f t="shared" si="203"/>
        <v>0</v>
      </c>
      <c r="E379" s="60">
        <f t="shared" si="203"/>
        <v>0</v>
      </c>
      <c r="F379" s="60">
        <f t="shared" si="203"/>
        <v>0</v>
      </c>
      <c r="G379" s="60">
        <f t="shared" si="203"/>
        <v>119</v>
      </c>
      <c r="H379" s="60">
        <f t="shared" si="203"/>
        <v>29</v>
      </c>
      <c r="I379" s="60">
        <f t="shared" si="203"/>
        <v>90</v>
      </c>
      <c r="J379" s="65" t="s">
        <v>13</v>
      </c>
      <c r="K379" s="67"/>
      <c r="L379" s="55"/>
    </row>
    <row r="380" spans="1:12" ht="12.75" customHeight="1" thickBot="1" x14ac:dyDescent="0.25">
      <c r="A380" s="60">
        <f t="shared" ref="A380:C381" si="204">G380+D380</f>
        <v>131</v>
      </c>
      <c r="B380" s="60">
        <f t="shared" si="204"/>
        <v>0</v>
      </c>
      <c r="C380" s="60">
        <f t="shared" si="204"/>
        <v>131</v>
      </c>
      <c r="D380" s="60">
        <f>F380+E380</f>
        <v>0</v>
      </c>
      <c r="E380" s="60">
        <v>0</v>
      </c>
      <c r="F380" s="60">
        <v>0</v>
      </c>
      <c r="G380" s="60">
        <f>I380+H380</f>
        <v>131</v>
      </c>
      <c r="H380" s="60">
        <v>0</v>
      </c>
      <c r="I380" s="60">
        <v>131</v>
      </c>
      <c r="J380" s="65" t="s">
        <v>221</v>
      </c>
      <c r="K380" s="66"/>
      <c r="L380" s="55"/>
    </row>
    <row r="381" spans="1:12" ht="12.75" customHeight="1" thickBot="1" x14ac:dyDescent="0.25">
      <c r="A381" s="60">
        <f t="shared" si="204"/>
        <v>0</v>
      </c>
      <c r="B381" s="60">
        <f t="shared" si="204"/>
        <v>0</v>
      </c>
      <c r="C381" s="60">
        <f t="shared" si="204"/>
        <v>0</v>
      </c>
      <c r="D381" s="60">
        <f>F381+E381</f>
        <v>0</v>
      </c>
      <c r="E381" s="60">
        <v>0</v>
      </c>
      <c r="F381" s="60">
        <v>0</v>
      </c>
      <c r="G381" s="60">
        <f>I381+H381</f>
        <v>0</v>
      </c>
      <c r="H381" s="60">
        <v>0</v>
      </c>
      <c r="I381" s="60">
        <v>0</v>
      </c>
      <c r="J381" s="65" t="s">
        <v>222</v>
      </c>
      <c r="K381" s="66" t="s">
        <v>264</v>
      </c>
      <c r="L381" s="55"/>
    </row>
    <row r="382" spans="1:12" ht="12.75" customHeight="1" thickBot="1" x14ac:dyDescent="0.25">
      <c r="A382" s="60">
        <f t="shared" ref="A382:I382" si="205">SUM(A380:A381)</f>
        <v>131</v>
      </c>
      <c r="B382" s="60">
        <f t="shared" si="205"/>
        <v>0</v>
      </c>
      <c r="C382" s="60">
        <f t="shared" si="205"/>
        <v>131</v>
      </c>
      <c r="D382" s="60">
        <f t="shared" si="205"/>
        <v>0</v>
      </c>
      <c r="E382" s="60">
        <f t="shared" si="205"/>
        <v>0</v>
      </c>
      <c r="F382" s="60">
        <f t="shared" si="205"/>
        <v>0</v>
      </c>
      <c r="G382" s="60">
        <f t="shared" si="205"/>
        <v>131</v>
      </c>
      <c r="H382" s="60">
        <f t="shared" si="205"/>
        <v>0</v>
      </c>
      <c r="I382" s="60">
        <f t="shared" si="205"/>
        <v>131</v>
      </c>
      <c r="J382" s="65" t="s">
        <v>13</v>
      </c>
      <c r="K382" s="67"/>
      <c r="L382" s="55"/>
    </row>
    <row r="383" spans="1:12" ht="12.75" customHeight="1" thickBot="1" x14ac:dyDescent="0.25">
      <c r="A383" s="60">
        <f t="shared" ref="A383:C384" si="206">G383+D383</f>
        <v>523</v>
      </c>
      <c r="B383" s="60">
        <f t="shared" si="206"/>
        <v>0</v>
      </c>
      <c r="C383" s="60">
        <f t="shared" si="206"/>
        <v>523</v>
      </c>
      <c r="D383" s="60">
        <f>F383+E383</f>
        <v>13</v>
      </c>
      <c r="E383" s="60">
        <v>0</v>
      </c>
      <c r="F383" s="60">
        <v>13</v>
      </c>
      <c r="G383" s="60">
        <f>I383+H383</f>
        <v>510</v>
      </c>
      <c r="H383" s="60">
        <v>0</v>
      </c>
      <c r="I383" s="60">
        <v>510</v>
      </c>
      <c r="J383" s="65" t="s">
        <v>221</v>
      </c>
      <c r="K383" s="66"/>
      <c r="L383" s="55"/>
    </row>
    <row r="384" spans="1:12" ht="12.75" customHeight="1" thickBot="1" x14ac:dyDescent="0.25">
      <c r="A384" s="60">
        <f t="shared" si="206"/>
        <v>0</v>
      </c>
      <c r="B384" s="60">
        <f t="shared" si="206"/>
        <v>0</v>
      </c>
      <c r="C384" s="60">
        <f t="shared" si="206"/>
        <v>0</v>
      </c>
      <c r="D384" s="60">
        <f>F384+E384</f>
        <v>0</v>
      </c>
      <c r="E384" s="60">
        <v>0</v>
      </c>
      <c r="F384" s="60">
        <v>0</v>
      </c>
      <c r="G384" s="60">
        <f>I384+H384</f>
        <v>0</v>
      </c>
      <c r="H384" s="60">
        <v>0</v>
      </c>
      <c r="I384" s="60">
        <v>0</v>
      </c>
      <c r="J384" s="65" t="s">
        <v>222</v>
      </c>
      <c r="K384" s="66" t="s">
        <v>377</v>
      </c>
      <c r="L384" s="55"/>
    </row>
    <row r="385" spans="1:12" ht="12.75" customHeight="1" thickBot="1" x14ac:dyDescent="0.25">
      <c r="A385" s="60">
        <f t="shared" ref="A385:I385" si="207">SUM(A383:A384)</f>
        <v>523</v>
      </c>
      <c r="B385" s="60">
        <f t="shared" si="207"/>
        <v>0</v>
      </c>
      <c r="C385" s="60">
        <f t="shared" si="207"/>
        <v>523</v>
      </c>
      <c r="D385" s="60">
        <f t="shared" si="207"/>
        <v>13</v>
      </c>
      <c r="E385" s="60">
        <f t="shared" si="207"/>
        <v>0</v>
      </c>
      <c r="F385" s="60">
        <f t="shared" si="207"/>
        <v>13</v>
      </c>
      <c r="G385" s="60">
        <f t="shared" si="207"/>
        <v>510</v>
      </c>
      <c r="H385" s="60">
        <f t="shared" si="207"/>
        <v>0</v>
      </c>
      <c r="I385" s="60">
        <f t="shared" si="207"/>
        <v>510</v>
      </c>
      <c r="J385" s="65" t="s">
        <v>13</v>
      </c>
      <c r="K385" s="67"/>
      <c r="L385" s="55"/>
    </row>
    <row r="386" spans="1:12" ht="12.75" customHeight="1" thickBot="1" x14ac:dyDescent="0.25">
      <c r="A386" s="60">
        <f t="shared" ref="A386:C387" si="208">G386+D386</f>
        <v>511</v>
      </c>
      <c r="B386" s="60">
        <f t="shared" si="208"/>
        <v>211</v>
      </c>
      <c r="C386" s="60">
        <f t="shared" si="208"/>
        <v>300</v>
      </c>
      <c r="D386" s="60">
        <f>F386+E386</f>
        <v>0</v>
      </c>
      <c r="E386" s="60">
        <v>0</v>
      </c>
      <c r="F386" s="60">
        <v>0</v>
      </c>
      <c r="G386" s="60">
        <f>I386+H386</f>
        <v>511</v>
      </c>
      <c r="H386" s="60">
        <v>211</v>
      </c>
      <c r="I386" s="60">
        <v>300</v>
      </c>
      <c r="J386" s="65" t="s">
        <v>221</v>
      </c>
      <c r="K386" s="66"/>
      <c r="L386" s="55"/>
    </row>
    <row r="387" spans="1:12" ht="12.75" customHeight="1" thickBot="1" x14ac:dyDescent="0.25">
      <c r="A387" s="60">
        <f t="shared" si="208"/>
        <v>0</v>
      </c>
      <c r="B387" s="60">
        <f t="shared" si="208"/>
        <v>0</v>
      </c>
      <c r="C387" s="60">
        <f t="shared" si="208"/>
        <v>0</v>
      </c>
      <c r="D387" s="60">
        <f>F387+E387</f>
        <v>0</v>
      </c>
      <c r="E387" s="60">
        <v>0</v>
      </c>
      <c r="F387" s="60">
        <v>0</v>
      </c>
      <c r="G387" s="60">
        <f>I387+H387</f>
        <v>0</v>
      </c>
      <c r="H387" s="60">
        <v>0</v>
      </c>
      <c r="I387" s="60">
        <v>0</v>
      </c>
      <c r="J387" s="65" t="s">
        <v>222</v>
      </c>
      <c r="K387" s="66" t="s">
        <v>354</v>
      </c>
      <c r="L387" s="55"/>
    </row>
    <row r="388" spans="1:12" ht="12.75" customHeight="1" thickBot="1" x14ac:dyDescent="0.25">
      <c r="A388" s="60">
        <f t="shared" ref="A388:I388" si="209">SUM(A386:A387)</f>
        <v>511</v>
      </c>
      <c r="B388" s="60">
        <f t="shared" si="209"/>
        <v>211</v>
      </c>
      <c r="C388" s="60">
        <f t="shared" si="209"/>
        <v>300</v>
      </c>
      <c r="D388" s="60">
        <f t="shared" si="209"/>
        <v>0</v>
      </c>
      <c r="E388" s="60">
        <f t="shared" si="209"/>
        <v>0</v>
      </c>
      <c r="F388" s="60">
        <f t="shared" si="209"/>
        <v>0</v>
      </c>
      <c r="G388" s="60">
        <f t="shared" si="209"/>
        <v>511</v>
      </c>
      <c r="H388" s="60">
        <f t="shared" si="209"/>
        <v>211</v>
      </c>
      <c r="I388" s="60">
        <f t="shared" si="209"/>
        <v>300</v>
      </c>
      <c r="J388" s="65" t="s">
        <v>13</v>
      </c>
      <c r="K388" s="67"/>
      <c r="L388" s="55"/>
    </row>
    <row r="389" spans="1:12" ht="12.75" customHeight="1" thickBot="1" x14ac:dyDescent="0.25">
      <c r="A389" s="60">
        <f t="shared" ref="A389:C390" si="210">G389+D389</f>
        <v>544</v>
      </c>
      <c r="B389" s="60">
        <f t="shared" si="210"/>
        <v>47</v>
      </c>
      <c r="C389" s="60">
        <f t="shared" si="210"/>
        <v>497</v>
      </c>
      <c r="D389" s="60">
        <f>F389+E389</f>
        <v>2</v>
      </c>
      <c r="E389" s="60">
        <v>0</v>
      </c>
      <c r="F389" s="60">
        <v>2</v>
      </c>
      <c r="G389" s="60">
        <f>I389+H389</f>
        <v>542</v>
      </c>
      <c r="H389" s="60">
        <v>47</v>
      </c>
      <c r="I389" s="60">
        <v>495</v>
      </c>
      <c r="J389" s="65" t="s">
        <v>221</v>
      </c>
      <c r="K389" s="66"/>
      <c r="L389" s="55"/>
    </row>
    <row r="390" spans="1:12" ht="12.75" customHeight="1" thickBot="1" x14ac:dyDescent="0.25">
      <c r="A390" s="60">
        <f t="shared" si="210"/>
        <v>0</v>
      </c>
      <c r="B390" s="60">
        <f t="shared" si="210"/>
        <v>0</v>
      </c>
      <c r="C390" s="60">
        <f t="shared" si="210"/>
        <v>0</v>
      </c>
      <c r="D390" s="60">
        <f>F390+E390</f>
        <v>0</v>
      </c>
      <c r="E390" s="60">
        <v>0</v>
      </c>
      <c r="F390" s="60">
        <v>0</v>
      </c>
      <c r="G390" s="60">
        <f>I390+H390</f>
        <v>0</v>
      </c>
      <c r="H390" s="60">
        <v>0</v>
      </c>
      <c r="I390" s="60">
        <v>0</v>
      </c>
      <c r="J390" s="65" t="s">
        <v>222</v>
      </c>
      <c r="K390" s="66" t="s">
        <v>365</v>
      </c>
      <c r="L390" s="55"/>
    </row>
    <row r="391" spans="1:12" ht="12.75" customHeight="1" thickBot="1" x14ac:dyDescent="0.25">
      <c r="A391" s="60">
        <f t="shared" ref="A391:I391" si="211">SUM(A389:A390)</f>
        <v>544</v>
      </c>
      <c r="B391" s="60">
        <f t="shared" si="211"/>
        <v>47</v>
      </c>
      <c r="C391" s="60">
        <f t="shared" si="211"/>
        <v>497</v>
      </c>
      <c r="D391" s="60">
        <f t="shared" si="211"/>
        <v>2</v>
      </c>
      <c r="E391" s="60">
        <f t="shared" si="211"/>
        <v>0</v>
      </c>
      <c r="F391" s="60">
        <f t="shared" si="211"/>
        <v>2</v>
      </c>
      <c r="G391" s="60">
        <f t="shared" si="211"/>
        <v>542</v>
      </c>
      <c r="H391" s="60">
        <f t="shared" si="211"/>
        <v>47</v>
      </c>
      <c r="I391" s="60">
        <f t="shared" si="211"/>
        <v>495</v>
      </c>
      <c r="J391" s="65" t="s">
        <v>13</v>
      </c>
      <c r="K391" s="67"/>
      <c r="L391" s="55"/>
    </row>
    <row r="392" spans="1:12" ht="12.75" customHeight="1" thickBot="1" x14ac:dyDescent="0.25">
      <c r="A392" s="60">
        <f t="shared" ref="A392:C393" si="212">G392+D392</f>
        <v>263</v>
      </c>
      <c r="B392" s="60">
        <f t="shared" si="212"/>
        <v>111</v>
      </c>
      <c r="C392" s="60">
        <f t="shared" si="212"/>
        <v>152</v>
      </c>
      <c r="D392" s="60">
        <f>F392+E392</f>
        <v>0</v>
      </c>
      <c r="E392" s="60">
        <v>0</v>
      </c>
      <c r="F392" s="60">
        <v>0</v>
      </c>
      <c r="G392" s="60">
        <f>I392+H392</f>
        <v>263</v>
      </c>
      <c r="H392" s="60">
        <v>111</v>
      </c>
      <c r="I392" s="60">
        <v>152</v>
      </c>
      <c r="J392" s="65" t="s">
        <v>221</v>
      </c>
      <c r="K392" s="66"/>
      <c r="L392" s="55"/>
    </row>
    <row r="393" spans="1:12" ht="12.75" customHeight="1" thickBot="1" x14ac:dyDescent="0.25">
      <c r="A393" s="60">
        <f t="shared" si="212"/>
        <v>0</v>
      </c>
      <c r="B393" s="60">
        <f t="shared" si="212"/>
        <v>0</v>
      </c>
      <c r="C393" s="60">
        <f t="shared" si="212"/>
        <v>0</v>
      </c>
      <c r="D393" s="60">
        <f>F393+E393</f>
        <v>0</v>
      </c>
      <c r="E393" s="60">
        <v>0</v>
      </c>
      <c r="F393" s="60">
        <v>0</v>
      </c>
      <c r="G393" s="60">
        <f>I393+H393</f>
        <v>0</v>
      </c>
      <c r="H393" s="60">
        <v>0</v>
      </c>
      <c r="I393" s="60">
        <v>0</v>
      </c>
      <c r="J393" s="65" t="s">
        <v>222</v>
      </c>
      <c r="K393" s="66" t="s">
        <v>263</v>
      </c>
      <c r="L393" s="55"/>
    </row>
    <row r="394" spans="1:12" ht="12.75" customHeight="1" thickBot="1" x14ac:dyDescent="0.25">
      <c r="A394" s="60">
        <f t="shared" ref="A394:I394" si="213">SUM(A392:A393)</f>
        <v>263</v>
      </c>
      <c r="B394" s="60">
        <f t="shared" si="213"/>
        <v>111</v>
      </c>
      <c r="C394" s="60">
        <f t="shared" si="213"/>
        <v>152</v>
      </c>
      <c r="D394" s="60">
        <f t="shared" si="213"/>
        <v>0</v>
      </c>
      <c r="E394" s="60">
        <f t="shared" si="213"/>
        <v>0</v>
      </c>
      <c r="F394" s="60">
        <f t="shared" si="213"/>
        <v>0</v>
      </c>
      <c r="G394" s="60">
        <f t="shared" si="213"/>
        <v>263</v>
      </c>
      <c r="H394" s="60">
        <f t="shared" si="213"/>
        <v>111</v>
      </c>
      <c r="I394" s="60">
        <f t="shared" si="213"/>
        <v>152</v>
      </c>
      <c r="J394" s="65" t="s">
        <v>13</v>
      </c>
      <c r="K394" s="67"/>
      <c r="L394" s="55"/>
    </row>
    <row r="395" spans="1:12" ht="12.75" customHeight="1" thickBot="1" x14ac:dyDescent="0.25">
      <c r="A395" s="60">
        <f t="shared" ref="A395:C396" si="214">G395+D395</f>
        <v>562</v>
      </c>
      <c r="B395" s="60">
        <f t="shared" si="214"/>
        <v>562</v>
      </c>
      <c r="C395" s="60">
        <f t="shared" si="214"/>
        <v>0</v>
      </c>
      <c r="D395" s="60">
        <f>F395+E395</f>
        <v>1</v>
      </c>
      <c r="E395" s="60">
        <v>1</v>
      </c>
      <c r="F395" s="60">
        <v>0</v>
      </c>
      <c r="G395" s="60">
        <f>I395+H395</f>
        <v>561</v>
      </c>
      <c r="H395" s="60">
        <v>561</v>
      </c>
      <c r="I395" s="60">
        <v>0</v>
      </c>
      <c r="J395" s="65" t="s">
        <v>221</v>
      </c>
      <c r="K395" s="66"/>
      <c r="L395" s="55"/>
    </row>
    <row r="396" spans="1:12" ht="12.75" customHeight="1" thickBot="1" x14ac:dyDescent="0.25">
      <c r="A396" s="60">
        <f t="shared" si="214"/>
        <v>495</v>
      </c>
      <c r="B396" s="60">
        <f t="shared" si="214"/>
        <v>495</v>
      </c>
      <c r="C396" s="60">
        <f t="shared" si="214"/>
        <v>0</v>
      </c>
      <c r="D396" s="60">
        <f>F396+E396</f>
        <v>1</v>
      </c>
      <c r="E396" s="60">
        <v>1</v>
      </c>
      <c r="F396" s="60">
        <v>0</v>
      </c>
      <c r="G396" s="60">
        <f>I396+H396</f>
        <v>494</v>
      </c>
      <c r="H396" s="60">
        <v>494</v>
      </c>
      <c r="I396" s="60">
        <v>0</v>
      </c>
      <c r="J396" s="65" t="s">
        <v>222</v>
      </c>
      <c r="K396" s="66" t="s">
        <v>420</v>
      </c>
      <c r="L396" s="55"/>
    </row>
    <row r="397" spans="1:12" ht="12.75" customHeight="1" thickBot="1" x14ac:dyDescent="0.25">
      <c r="A397" s="60">
        <f t="shared" ref="A397:I397" si="215">SUM(A395:A396)</f>
        <v>1057</v>
      </c>
      <c r="B397" s="60">
        <f t="shared" si="215"/>
        <v>1057</v>
      </c>
      <c r="C397" s="60">
        <f t="shared" si="215"/>
        <v>0</v>
      </c>
      <c r="D397" s="60">
        <f t="shared" si="215"/>
        <v>2</v>
      </c>
      <c r="E397" s="60">
        <f t="shared" si="215"/>
        <v>2</v>
      </c>
      <c r="F397" s="60">
        <f t="shared" si="215"/>
        <v>0</v>
      </c>
      <c r="G397" s="60">
        <f t="shared" si="215"/>
        <v>1055</v>
      </c>
      <c r="H397" s="60">
        <f t="shared" si="215"/>
        <v>1055</v>
      </c>
      <c r="I397" s="60">
        <f t="shared" si="215"/>
        <v>0</v>
      </c>
      <c r="J397" s="65" t="s">
        <v>13</v>
      </c>
      <c r="K397" s="67"/>
      <c r="L397" s="55"/>
    </row>
    <row r="398" spans="1:12" ht="12.75" customHeight="1" thickBot="1" x14ac:dyDescent="0.25">
      <c r="A398" s="60">
        <f t="shared" ref="A398:C399" si="216">G398+D398</f>
        <v>997</v>
      </c>
      <c r="B398" s="60">
        <f t="shared" si="216"/>
        <v>997</v>
      </c>
      <c r="C398" s="60">
        <f t="shared" si="216"/>
        <v>0</v>
      </c>
      <c r="D398" s="60">
        <f>F398+E398</f>
        <v>0</v>
      </c>
      <c r="E398" s="60">
        <v>0</v>
      </c>
      <c r="F398" s="60">
        <v>0</v>
      </c>
      <c r="G398" s="60">
        <f>I398+H398</f>
        <v>997</v>
      </c>
      <c r="H398" s="60">
        <v>997</v>
      </c>
      <c r="I398" s="60">
        <v>0</v>
      </c>
      <c r="J398" s="65" t="s">
        <v>221</v>
      </c>
      <c r="K398" s="66"/>
      <c r="L398" s="55"/>
    </row>
    <row r="399" spans="1:12" ht="12.75" customHeight="1" thickBot="1" x14ac:dyDescent="0.25">
      <c r="A399" s="60">
        <f t="shared" si="216"/>
        <v>0</v>
      </c>
      <c r="B399" s="60">
        <f t="shared" si="216"/>
        <v>0</v>
      </c>
      <c r="C399" s="60">
        <f t="shared" si="216"/>
        <v>0</v>
      </c>
      <c r="D399" s="60">
        <f>F399+E399</f>
        <v>0</v>
      </c>
      <c r="E399" s="60">
        <v>0</v>
      </c>
      <c r="F399" s="60">
        <v>0</v>
      </c>
      <c r="G399" s="60">
        <f>I399+H399</f>
        <v>0</v>
      </c>
      <c r="H399" s="60">
        <v>0</v>
      </c>
      <c r="I399" s="60">
        <v>0</v>
      </c>
      <c r="J399" s="65" t="s">
        <v>222</v>
      </c>
      <c r="K399" s="66" t="s">
        <v>421</v>
      </c>
      <c r="L399" s="55"/>
    </row>
    <row r="400" spans="1:12" ht="12.75" customHeight="1" thickBot="1" x14ac:dyDescent="0.25">
      <c r="A400" s="60">
        <f t="shared" ref="A400:I400" si="217">SUM(A398:A399)</f>
        <v>997</v>
      </c>
      <c r="B400" s="60">
        <f t="shared" si="217"/>
        <v>997</v>
      </c>
      <c r="C400" s="60">
        <f t="shared" si="217"/>
        <v>0</v>
      </c>
      <c r="D400" s="60">
        <f t="shared" si="217"/>
        <v>0</v>
      </c>
      <c r="E400" s="60">
        <f t="shared" si="217"/>
        <v>0</v>
      </c>
      <c r="F400" s="60">
        <f t="shared" si="217"/>
        <v>0</v>
      </c>
      <c r="G400" s="60">
        <f t="shared" si="217"/>
        <v>997</v>
      </c>
      <c r="H400" s="60">
        <f t="shared" si="217"/>
        <v>997</v>
      </c>
      <c r="I400" s="60">
        <f t="shared" si="217"/>
        <v>0</v>
      </c>
      <c r="J400" s="65" t="s">
        <v>13</v>
      </c>
      <c r="K400" s="67"/>
      <c r="L400" s="55"/>
    </row>
    <row r="401" spans="1:12" ht="12.75" customHeight="1" thickBot="1" x14ac:dyDescent="0.25">
      <c r="A401" s="60">
        <f t="shared" ref="A401:C402" si="218">G401+D401</f>
        <v>932</v>
      </c>
      <c r="B401" s="60">
        <f t="shared" si="218"/>
        <v>932</v>
      </c>
      <c r="C401" s="60">
        <f t="shared" si="218"/>
        <v>0</v>
      </c>
      <c r="D401" s="60">
        <f>F401+E401</f>
        <v>0</v>
      </c>
      <c r="E401" s="60">
        <v>0</v>
      </c>
      <c r="F401" s="60">
        <v>0</v>
      </c>
      <c r="G401" s="60">
        <f>I401+H401</f>
        <v>932</v>
      </c>
      <c r="H401" s="60">
        <v>932</v>
      </c>
      <c r="I401" s="60">
        <v>0</v>
      </c>
      <c r="J401" s="65" t="s">
        <v>221</v>
      </c>
      <c r="K401" s="66"/>
      <c r="L401" s="55"/>
    </row>
    <row r="402" spans="1:12" ht="12.75" customHeight="1" thickBot="1" x14ac:dyDescent="0.25">
      <c r="A402" s="60">
        <f t="shared" si="218"/>
        <v>952</v>
      </c>
      <c r="B402" s="60">
        <f t="shared" si="218"/>
        <v>952</v>
      </c>
      <c r="C402" s="60">
        <f t="shared" si="218"/>
        <v>0</v>
      </c>
      <c r="D402" s="60">
        <f>F402+E402</f>
        <v>0</v>
      </c>
      <c r="E402" s="60">
        <v>0</v>
      </c>
      <c r="F402" s="60">
        <v>0</v>
      </c>
      <c r="G402" s="60">
        <f>I402+H402</f>
        <v>952</v>
      </c>
      <c r="H402" s="60">
        <v>952</v>
      </c>
      <c r="I402" s="60">
        <v>0</v>
      </c>
      <c r="J402" s="65" t="s">
        <v>222</v>
      </c>
      <c r="K402" s="66" t="s">
        <v>422</v>
      </c>
      <c r="L402" s="55"/>
    </row>
    <row r="403" spans="1:12" ht="12.75" customHeight="1" thickBot="1" x14ac:dyDescent="0.25">
      <c r="A403" s="60">
        <f t="shared" ref="A403:I403" si="219">SUM(A401:A402)</f>
        <v>1884</v>
      </c>
      <c r="B403" s="60">
        <f t="shared" si="219"/>
        <v>1884</v>
      </c>
      <c r="C403" s="60">
        <f t="shared" si="219"/>
        <v>0</v>
      </c>
      <c r="D403" s="60">
        <f t="shared" si="219"/>
        <v>0</v>
      </c>
      <c r="E403" s="60">
        <f t="shared" si="219"/>
        <v>0</v>
      </c>
      <c r="F403" s="60">
        <f t="shared" si="219"/>
        <v>0</v>
      </c>
      <c r="G403" s="60">
        <f t="shared" si="219"/>
        <v>1884</v>
      </c>
      <c r="H403" s="60">
        <f t="shared" si="219"/>
        <v>1884</v>
      </c>
      <c r="I403" s="60">
        <f t="shared" si="219"/>
        <v>0</v>
      </c>
      <c r="J403" s="65" t="s">
        <v>13</v>
      </c>
      <c r="K403" s="67"/>
      <c r="L403" s="55"/>
    </row>
    <row r="404" spans="1:12" ht="12.75" customHeight="1" thickBot="1" x14ac:dyDescent="0.25">
      <c r="A404" s="60">
        <f t="shared" ref="A404:C405" si="220">G404+D404</f>
        <v>228</v>
      </c>
      <c r="B404" s="60">
        <f t="shared" si="220"/>
        <v>228</v>
      </c>
      <c r="C404" s="60">
        <f t="shared" si="220"/>
        <v>0</v>
      </c>
      <c r="D404" s="60">
        <f>F404+E404</f>
        <v>0</v>
      </c>
      <c r="E404" s="60">
        <v>0</v>
      </c>
      <c r="F404" s="60">
        <v>0</v>
      </c>
      <c r="G404" s="60">
        <f>I404+H404</f>
        <v>228</v>
      </c>
      <c r="H404" s="60">
        <v>228</v>
      </c>
      <c r="I404" s="60">
        <v>0</v>
      </c>
      <c r="J404" s="65" t="s">
        <v>221</v>
      </c>
      <c r="K404" s="66"/>
      <c r="L404" s="55"/>
    </row>
    <row r="405" spans="1:12" ht="12.75" customHeight="1" thickBot="1" x14ac:dyDescent="0.25">
      <c r="A405" s="60">
        <f t="shared" si="220"/>
        <v>0</v>
      </c>
      <c r="B405" s="60">
        <f t="shared" si="220"/>
        <v>0</v>
      </c>
      <c r="C405" s="60">
        <f t="shared" si="220"/>
        <v>0</v>
      </c>
      <c r="D405" s="60">
        <f>F405+E405</f>
        <v>0</v>
      </c>
      <c r="E405" s="60">
        <v>0</v>
      </c>
      <c r="F405" s="60">
        <v>0</v>
      </c>
      <c r="G405" s="60">
        <f>I405+H405</f>
        <v>0</v>
      </c>
      <c r="H405" s="60">
        <v>0</v>
      </c>
      <c r="I405" s="60">
        <v>0</v>
      </c>
      <c r="J405" s="65" t="s">
        <v>222</v>
      </c>
      <c r="K405" s="66" t="s">
        <v>423</v>
      </c>
      <c r="L405" s="55"/>
    </row>
    <row r="406" spans="1:12" ht="12.75" customHeight="1" thickBot="1" x14ac:dyDescent="0.25">
      <c r="A406" s="60">
        <f t="shared" ref="A406:I406" si="221">SUM(A404:A405)</f>
        <v>228</v>
      </c>
      <c r="B406" s="60">
        <f t="shared" si="221"/>
        <v>228</v>
      </c>
      <c r="C406" s="60">
        <f t="shared" si="221"/>
        <v>0</v>
      </c>
      <c r="D406" s="60">
        <f t="shared" si="221"/>
        <v>0</v>
      </c>
      <c r="E406" s="60">
        <f t="shared" si="221"/>
        <v>0</v>
      </c>
      <c r="F406" s="60">
        <f t="shared" si="221"/>
        <v>0</v>
      </c>
      <c r="G406" s="60">
        <f t="shared" si="221"/>
        <v>228</v>
      </c>
      <c r="H406" s="60">
        <f t="shared" si="221"/>
        <v>228</v>
      </c>
      <c r="I406" s="60">
        <f t="shared" si="221"/>
        <v>0</v>
      </c>
      <c r="J406" s="65" t="s">
        <v>13</v>
      </c>
      <c r="K406" s="67"/>
      <c r="L406" s="55"/>
    </row>
    <row r="407" spans="1:12" ht="12.75" customHeight="1" thickBot="1" x14ac:dyDescent="0.25">
      <c r="A407" s="60">
        <f t="shared" ref="A407:C408" si="222">G407+D407</f>
        <v>527</v>
      </c>
      <c r="B407" s="60">
        <f t="shared" si="222"/>
        <v>527</v>
      </c>
      <c r="C407" s="60">
        <f t="shared" si="222"/>
        <v>0</v>
      </c>
      <c r="D407" s="60">
        <f>F407+E407</f>
        <v>1</v>
      </c>
      <c r="E407" s="60">
        <v>1</v>
      </c>
      <c r="F407" s="60">
        <v>0</v>
      </c>
      <c r="G407" s="60">
        <f>I407+H407</f>
        <v>526</v>
      </c>
      <c r="H407" s="60">
        <v>526</v>
      </c>
      <c r="I407" s="60">
        <v>0</v>
      </c>
      <c r="J407" s="65" t="s">
        <v>221</v>
      </c>
      <c r="K407" s="66"/>
      <c r="L407" s="55"/>
    </row>
    <row r="408" spans="1:12" ht="12.75" customHeight="1" thickBot="1" x14ac:dyDescent="0.25">
      <c r="A408" s="60">
        <f t="shared" si="222"/>
        <v>307</v>
      </c>
      <c r="B408" s="60">
        <f t="shared" si="222"/>
        <v>307</v>
      </c>
      <c r="C408" s="60">
        <f t="shared" si="222"/>
        <v>0</v>
      </c>
      <c r="D408" s="60">
        <f>F408+E408</f>
        <v>0</v>
      </c>
      <c r="E408" s="60">
        <v>0</v>
      </c>
      <c r="F408" s="60">
        <v>0</v>
      </c>
      <c r="G408" s="60">
        <f>I408+H408</f>
        <v>307</v>
      </c>
      <c r="H408" s="60">
        <v>307</v>
      </c>
      <c r="I408" s="60">
        <v>0</v>
      </c>
      <c r="J408" s="65" t="s">
        <v>222</v>
      </c>
      <c r="K408" s="66" t="s">
        <v>424</v>
      </c>
      <c r="L408" s="55"/>
    </row>
    <row r="409" spans="1:12" ht="12.75" customHeight="1" thickBot="1" x14ac:dyDescent="0.25">
      <c r="A409" s="60">
        <f t="shared" ref="A409:I409" si="223">SUM(A407:A408)</f>
        <v>834</v>
      </c>
      <c r="B409" s="60">
        <f t="shared" si="223"/>
        <v>834</v>
      </c>
      <c r="C409" s="60">
        <f t="shared" si="223"/>
        <v>0</v>
      </c>
      <c r="D409" s="60">
        <f t="shared" si="223"/>
        <v>1</v>
      </c>
      <c r="E409" s="60">
        <f t="shared" si="223"/>
        <v>1</v>
      </c>
      <c r="F409" s="60">
        <f t="shared" si="223"/>
        <v>0</v>
      </c>
      <c r="G409" s="60">
        <f t="shared" si="223"/>
        <v>833</v>
      </c>
      <c r="H409" s="60">
        <f t="shared" si="223"/>
        <v>833</v>
      </c>
      <c r="I409" s="60">
        <f t="shared" si="223"/>
        <v>0</v>
      </c>
      <c r="J409" s="65" t="s">
        <v>13</v>
      </c>
      <c r="K409" s="67"/>
      <c r="L409" s="55"/>
    </row>
    <row r="410" spans="1:12" ht="12.75" customHeight="1" thickBot="1" x14ac:dyDescent="0.25">
      <c r="A410" s="60">
        <f t="shared" ref="A410:C411" si="224">G410+D410</f>
        <v>370</v>
      </c>
      <c r="B410" s="60">
        <f t="shared" si="224"/>
        <v>370</v>
      </c>
      <c r="C410" s="60">
        <f t="shared" si="224"/>
        <v>0</v>
      </c>
      <c r="D410" s="60">
        <f>F410+E410</f>
        <v>0</v>
      </c>
      <c r="E410" s="60">
        <v>0</v>
      </c>
      <c r="F410" s="60">
        <v>0</v>
      </c>
      <c r="G410" s="60">
        <f>I410+H410</f>
        <v>370</v>
      </c>
      <c r="H410" s="60">
        <v>370</v>
      </c>
      <c r="I410" s="60">
        <v>0</v>
      </c>
      <c r="J410" s="65" t="s">
        <v>221</v>
      </c>
      <c r="K410" s="66"/>
      <c r="L410" s="55"/>
    </row>
    <row r="411" spans="1:12" ht="12.75" customHeight="1" thickBot="1" x14ac:dyDescent="0.25">
      <c r="A411" s="60">
        <f t="shared" si="224"/>
        <v>53</v>
      </c>
      <c r="B411" s="60">
        <f t="shared" si="224"/>
        <v>53</v>
      </c>
      <c r="C411" s="60">
        <f t="shared" si="224"/>
        <v>0</v>
      </c>
      <c r="D411" s="60">
        <f>F411+E411</f>
        <v>0</v>
      </c>
      <c r="E411" s="60">
        <v>0</v>
      </c>
      <c r="F411" s="60">
        <v>0</v>
      </c>
      <c r="G411" s="60">
        <f>I411+H411</f>
        <v>53</v>
      </c>
      <c r="H411" s="60">
        <v>53</v>
      </c>
      <c r="I411" s="60">
        <v>0</v>
      </c>
      <c r="J411" s="65" t="s">
        <v>222</v>
      </c>
      <c r="K411" s="66" t="s">
        <v>425</v>
      </c>
      <c r="L411" s="55"/>
    </row>
    <row r="412" spans="1:12" ht="12.75" customHeight="1" thickBot="1" x14ac:dyDescent="0.25">
      <c r="A412" s="60">
        <f t="shared" ref="A412:I412" si="225">SUM(A410:A411)</f>
        <v>423</v>
      </c>
      <c r="B412" s="60">
        <f t="shared" si="225"/>
        <v>423</v>
      </c>
      <c r="C412" s="60">
        <f t="shared" si="225"/>
        <v>0</v>
      </c>
      <c r="D412" s="60">
        <f t="shared" si="225"/>
        <v>0</v>
      </c>
      <c r="E412" s="60">
        <f t="shared" si="225"/>
        <v>0</v>
      </c>
      <c r="F412" s="60">
        <f t="shared" si="225"/>
        <v>0</v>
      </c>
      <c r="G412" s="60">
        <f t="shared" si="225"/>
        <v>423</v>
      </c>
      <c r="H412" s="60">
        <f t="shared" si="225"/>
        <v>423</v>
      </c>
      <c r="I412" s="60">
        <f t="shared" si="225"/>
        <v>0</v>
      </c>
      <c r="J412" s="65" t="s">
        <v>13</v>
      </c>
      <c r="K412" s="67"/>
      <c r="L412" s="55"/>
    </row>
    <row r="413" spans="1:12" ht="12.75" customHeight="1" thickBot="1" x14ac:dyDescent="0.25">
      <c r="A413" s="60">
        <f t="shared" ref="A413:C414" si="226">G413+D413</f>
        <v>422</v>
      </c>
      <c r="B413" s="60">
        <f t="shared" si="226"/>
        <v>422</v>
      </c>
      <c r="C413" s="60">
        <f t="shared" si="226"/>
        <v>0</v>
      </c>
      <c r="D413" s="60">
        <f>F413+E413</f>
        <v>0</v>
      </c>
      <c r="E413" s="60">
        <v>0</v>
      </c>
      <c r="F413" s="60">
        <v>0</v>
      </c>
      <c r="G413" s="60">
        <f>I413+H413</f>
        <v>422</v>
      </c>
      <c r="H413" s="60">
        <v>422</v>
      </c>
      <c r="I413" s="60">
        <v>0</v>
      </c>
      <c r="J413" s="65" t="s">
        <v>221</v>
      </c>
      <c r="K413" s="66"/>
      <c r="L413" s="55"/>
    </row>
    <row r="414" spans="1:12" ht="12.75" customHeight="1" thickBot="1" x14ac:dyDescent="0.25">
      <c r="A414" s="60">
        <f t="shared" si="226"/>
        <v>510</v>
      </c>
      <c r="B414" s="60">
        <f t="shared" si="226"/>
        <v>510</v>
      </c>
      <c r="C414" s="60">
        <f t="shared" si="226"/>
        <v>0</v>
      </c>
      <c r="D414" s="60">
        <f>F414+E414</f>
        <v>1</v>
      </c>
      <c r="E414" s="60">
        <v>1</v>
      </c>
      <c r="F414" s="60">
        <v>0</v>
      </c>
      <c r="G414" s="60">
        <f>I414+H414</f>
        <v>509</v>
      </c>
      <c r="H414" s="60">
        <v>509</v>
      </c>
      <c r="I414" s="60">
        <v>0</v>
      </c>
      <c r="J414" s="65" t="s">
        <v>222</v>
      </c>
      <c r="K414" s="66" t="s">
        <v>426</v>
      </c>
      <c r="L414" s="55"/>
    </row>
    <row r="415" spans="1:12" ht="12.75" customHeight="1" thickBot="1" x14ac:dyDescent="0.25">
      <c r="A415" s="60">
        <f t="shared" ref="A415:I415" si="227">SUM(A413:A414)</f>
        <v>932</v>
      </c>
      <c r="B415" s="60">
        <f t="shared" si="227"/>
        <v>932</v>
      </c>
      <c r="C415" s="60">
        <f t="shared" si="227"/>
        <v>0</v>
      </c>
      <c r="D415" s="60">
        <f t="shared" si="227"/>
        <v>1</v>
      </c>
      <c r="E415" s="60">
        <f t="shared" si="227"/>
        <v>1</v>
      </c>
      <c r="F415" s="60">
        <f t="shared" si="227"/>
        <v>0</v>
      </c>
      <c r="G415" s="60">
        <f t="shared" si="227"/>
        <v>931</v>
      </c>
      <c r="H415" s="60">
        <f t="shared" si="227"/>
        <v>931</v>
      </c>
      <c r="I415" s="60">
        <f t="shared" si="227"/>
        <v>0</v>
      </c>
      <c r="J415" s="65" t="s">
        <v>13</v>
      </c>
      <c r="K415" s="67"/>
      <c r="L415" s="55"/>
    </row>
    <row r="416" spans="1:12" ht="12.75" customHeight="1" thickBot="1" x14ac:dyDescent="0.25">
      <c r="A416" s="60">
        <f t="shared" ref="A416:C417" si="228">G416+D416</f>
        <v>367</v>
      </c>
      <c r="B416" s="60">
        <f t="shared" si="228"/>
        <v>367</v>
      </c>
      <c r="C416" s="60">
        <f t="shared" si="228"/>
        <v>0</v>
      </c>
      <c r="D416" s="60">
        <f>F416+E416</f>
        <v>0</v>
      </c>
      <c r="E416" s="60">
        <v>0</v>
      </c>
      <c r="F416" s="60">
        <v>0</v>
      </c>
      <c r="G416" s="60">
        <f>I416+H416</f>
        <v>367</v>
      </c>
      <c r="H416" s="60">
        <v>367</v>
      </c>
      <c r="I416" s="60">
        <v>0</v>
      </c>
      <c r="J416" s="65" t="s">
        <v>221</v>
      </c>
      <c r="K416" s="66"/>
      <c r="L416" s="55"/>
    </row>
    <row r="417" spans="1:13" ht="12.75" customHeight="1" thickBot="1" x14ac:dyDescent="0.25">
      <c r="A417" s="60">
        <f t="shared" si="228"/>
        <v>92</v>
      </c>
      <c r="B417" s="60">
        <f t="shared" si="228"/>
        <v>92</v>
      </c>
      <c r="C417" s="60">
        <f t="shared" si="228"/>
        <v>0</v>
      </c>
      <c r="D417" s="60">
        <f>F417+E417</f>
        <v>0</v>
      </c>
      <c r="E417" s="60">
        <v>0</v>
      </c>
      <c r="F417" s="60">
        <v>0</v>
      </c>
      <c r="G417" s="60">
        <f>I417+H417</f>
        <v>92</v>
      </c>
      <c r="H417" s="60">
        <v>92</v>
      </c>
      <c r="I417" s="60">
        <v>0</v>
      </c>
      <c r="J417" s="65" t="s">
        <v>222</v>
      </c>
      <c r="K417" s="66" t="s">
        <v>427</v>
      </c>
      <c r="L417" s="55"/>
    </row>
    <row r="418" spans="1:13" ht="12.75" customHeight="1" thickBot="1" x14ac:dyDescent="0.25">
      <c r="A418" s="60">
        <f t="shared" ref="A418:I418" si="229">SUM(A416:A417)</f>
        <v>459</v>
      </c>
      <c r="B418" s="60">
        <f t="shared" si="229"/>
        <v>459</v>
      </c>
      <c r="C418" s="60">
        <f t="shared" si="229"/>
        <v>0</v>
      </c>
      <c r="D418" s="60">
        <f t="shared" si="229"/>
        <v>0</v>
      </c>
      <c r="E418" s="60">
        <f t="shared" si="229"/>
        <v>0</v>
      </c>
      <c r="F418" s="60">
        <f t="shared" si="229"/>
        <v>0</v>
      </c>
      <c r="G418" s="60">
        <f t="shared" si="229"/>
        <v>459</v>
      </c>
      <c r="H418" s="60">
        <f t="shared" si="229"/>
        <v>459</v>
      </c>
      <c r="I418" s="60">
        <f t="shared" si="229"/>
        <v>0</v>
      </c>
      <c r="J418" s="65" t="s">
        <v>13</v>
      </c>
      <c r="K418" s="67"/>
      <c r="L418" s="55"/>
    </row>
    <row r="419" spans="1:13" ht="12.75" customHeight="1" thickBot="1" x14ac:dyDescent="0.25">
      <c r="A419" s="60">
        <f t="shared" ref="A419:C420" si="230">G419+D419</f>
        <v>88</v>
      </c>
      <c r="B419" s="60">
        <f t="shared" si="230"/>
        <v>88</v>
      </c>
      <c r="C419" s="60">
        <f t="shared" si="230"/>
        <v>0</v>
      </c>
      <c r="D419" s="60">
        <f>F419+E419</f>
        <v>0</v>
      </c>
      <c r="E419" s="60">
        <v>0</v>
      </c>
      <c r="F419" s="60">
        <v>0</v>
      </c>
      <c r="G419" s="60">
        <f>I419+H419</f>
        <v>88</v>
      </c>
      <c r="H419" s="60">
        <v>88</v>
      </c>
      <c r="I419" s="60">
        <v>0</v>
      </c>
      <c r="J419" s="65" t="s">
        <v>221</v>
      </c>
      <c r="K419" s="66"/>
      <c r="L419" s="55"/>
    </row>
    <row r="420" spans="1:13" ht="12.75" customHeight="1" thickBot="1" x14ac:dyDescent="0.25">
      <c r="A420" s="60">
        <f t="shared" si="230"/>
        <v>0</v>
      </c>
      <c r="B420" s="60">
        <f t="shared" si="230"/>
        <v>0</v>
      </c>
      <c r="C420" s="60">
        <f t="shared" si="230"/>
        <v>0</v>
      </c>
      <c r="D420" s="60">
        <f>F420+E420</f>
        <v>0</v>
      </c>
      <c r="E420" s="60">
        <v>0</v>
      </c>
      <c r="F420" s="60">
        <v>0</v>
      </c>
      <c r="G420" s="60">
        <f>I420+H420</f>
        <v>0</v>
      </c>
      <c r="H420" s="60">
        <v>0</v>
      </c>
      <c r="I420" s="60">
        <v>0</v>
      </c>
      <c r="J420" s="65" t="s">
        <v>222</v>
      </c>
      <c r="K420" s="66" t="s">
        <v>428</v>
      </c>
      <c r="L420" s="55"/>
    </row>
    <row r="421" spans="1:13" ht="12.75" customHeight="1" thickBot="1" x14ac:dyDescent="0.25">
      <c r="A421" s="60">
        <f t="shared" ref="A421:I421" si="231">SUM(A419:A420)</f>
        <v>88</v>
      </c>
      <c r="B421" s="60">
        <f t="shared" si="231"/>
        <v>88</v>
      </c>
      <c r="C421" s="60">
        <f t="shared" si="231"/>
        <v>0</v>
      </c>
      <c r="D421" s="60">
        <f t="shared" si="231"/>
        <v>0</v>
      </c>
      <c r="E421" s="60">
        <f t="shared" si="231"/>
        <v>0</v>
      </c>
      <c r="F421" s="60">
        <f t="shared" si="231"/>
        <v>0</v>
      </c>
      <c r="G421" s="60">
        <f t="shared" si="231"/>
        <v>88</v>
      </c>
      <c r="H421" s="60">
        <f t="shared" si="231"/>
        <v>88</v>
      </c>
      <c r="I421" s="60">
        <f t="shared" si="231"/>
        <v>0</v>
      </c>
      <c r="J421" s="65" t="s">
        <v>13</v>
      </c>
      <c r="K421" s="67"/>
      <c r="L421" s="55"/>
    </row>
    <row r="422" spans="1:13" ht="12.75" customHeight="1" thickBot="1" x14ac:dyDescent="0.25">
      <c r="A422" s="60">
        <f t="shared" ref="A422:C423" si="232">G422+D422</f>
        <v>483</v>
      </c>
      <c r="B422" s="60">
        <f t="shared" si="232"/>
        <v>483</v>
      </c>
      <c r="C422" s="60">
        <f t="shared" si="232"/>
        <v>0</v>
      </c>
      <c r="D422" s="60">
        <f>F422+E422</f>
        <v>0</v>
      </c>
      <c r="E422" s="60">
        <v>0</v>
      </c>
      <c r="F422" s="60">
        <v>0</v>
      </c>
      <c r="G422" s="60">
        <f>I422+H422</f>
        <v>483</v>
      </c>
      <c r="H422" s="60">
        <v>483</v>
      </c>
      <c r="I422" s="60">
        <v>0</v>
      </c>
      <c r="J422" s="65" t="s">
        <v>221</v>
      </c>
      <c r="K422" s="66"/>
      <c r="L422" s="55"/>
    </row>
    <row r="423" spans="1:13" ht="12.75" customHeight="1" thickBot="1" x14ac:dyDescent="0.25">
      <c r="A423" s="60">
        <f t="shared" si="232"/>
        <v>105</v>
      </c>
      <c r="B423" s="60">
        <f t="shared" si="232"/>
        <v>105</v>
      </c>
      <c r="C423" s="60">
        <f t="shared" si="232"/>
        <v>0</v>
      </c>
      <c r="D423" s="60">
        <f>F423+E423</f>
        <v>0</v>
      </c>
      <c r="E423" s="60">
        <v>0</v>
      </c>
      <c r="F423" s="60">
        <v>0</v>
      </c>
      <c r="G423" s="60">
        <f>I423+H423</f>
        <v>105</v>
      </c>
      <c r="H423" s="60">
        <v>105</v>
      </c>
      <c r="I423" s="60">
        <v>0</v>
      </c>
      <c r="J423" s="65" t="s">
        <v>222</v>
      </c>
      <c r="K423" s="66" t="s">
        <v>429</v>
      </c>
      <c r="L423" s="55"/>
    </row>
    <row r="424" spans="1:13" ht="12.75" customHeight="1" thickBot="1" x14ac:dyDescent="0.25">
      <c r="A424" s="60">
        <f t="shared" ref="A424:I424" si="233">SUM(A422:A423)</f>
        <v>588</v>
      </c>
      <c r="B424" s="60">
        <f t="shared" si="233"/>
        <v>588</v>
      </c>
      <c r="C424" s="60">
        <f t="shared" si="233"/>
        <v>0</v>
      </c>
      <c r="D424" s="60">
        <f t="shared" si="233"/>
        <v>0</v>
      </c>
      <c r="E424" s="60">
        <f t="shared" si="233"/>
        <v>0</v>
      </c>
      <c r="F424" s="60">
        <f t="shared" si="233"/>
        <v>0</v>
      </c>
      <c r="G424" s="60">
        <f t="shared" si="233"/>
        <v>588</v>
      </c>
      <c r="H424" s="60">
        <f t="shared" si="233"/>
        <v>588</v>
      </c>
      <c r="I424" s="60">
        <f t="shared" si="233"/>
        <v>0</v>
      </c>
      <c r="J424" s="65" t="s">
        <v>13</v>
      </c>
      <c r="K424" s="67"/>
      <c r="L424" s="55"/>
    </row>
    <row r="425" spans="1:13" ht="12.75" customHeight="1" thickBot="1" x14ac:dyDescent="0.25">
      <c r="A425" s="60">
        <f t="shared" ref="A425:C426" si="234">G425+D425</f>
        <v>58</v>
      </c>
      <c r="B425" s="60">
        <f t="shared" si="234"/>
        <v>58</v>
      </c>
      <c r="C425" s="60">
        <f t="shared" si="234"/>
        <v>0</v>
      </c>
      <c r="D425" s="60">
        <f>F425+E425</f>
        <v>0</v>
      </c>
      <c r="E425" s="60">
        <v>0</v>
      </c>
      <c r="F425" s="60">
        <v>0</v>
      </c>
      <c r="G425" s="60">
        <f>I425+H425</f>
        <v>58</v>
      </c>
      <c r="H425" s="60">
        <v>58</v>
      </c>
      <c r="I425" s="60">
        <v>0</v>
      </c>
      <c r="J425" s="65" t="s">
        <v>221</v>
      </c>
      <c r="K425" s="66"/>
      <c r="L425" s="55"/>
    </row>
    <row r="426" spans="1:13" ht="12.75" customHeight="1" thickBot="1" x14ac:dyDescent="0.25">
      <c r="A426" s="60">
        <f t="shared" si="234"/>
        <v>0</v>
      </c>
      <c r="B426" s="60">
        <f t="shared" si="234"/>
        <v>0</v>
      </c>
      <c r="C426" s="60">
        <f t="shared" si="234"/>
        <v>0</v>
      </c>
      <c r="D426" s="60">
        <f>F426+E426</f>
        <v>0</v>
      </c>
      <c r="E426" s="60">
        <v>0</v>
      </c>
      <c r="F426" s="60">
        <v>0</v>
      </c>
      <c r="G426" s="60">
        <f>I426+H426</f>
        <v>0</v>
      </c>
      <c r="H426" s="60">
        <v>0</v>
      </c>
      <c r="I426" s="60">
        <v>0</v>
      </c>
      <c r="J426" s="65" t="s">
        <v>222</v>
      </c>
      <c r="K426" s="66" t="s">
        <v>430</v>
      </c>
      <c r="L426" s="55"/>
    </row>
    <row r="427" spans="1:13" ht="12.75" customHeight="1" thickBot="1" x14ac:dyDescent="0.25">
      <c r="A427" s="60">
        <f t="shared" ref="A427:I427" si="235">SUM(A425:A426)</f>
        <v>58</v>
      </c>
      <c r="B427" s="60">
        <f t="shared" si="235"/>
        <v>58</v>
      </c>
      <c r="C427" s="60">
        <f t="shared" si="235"/>
        <v>0</v>
      </c>
      <c r="D427" s="60">
        <f t="shared" si="235"/>
        <v>0</v>
      </c>
      <c r="E427" s="60">
        <f t="shared" si="235"/>
        <v>0</v>
      </c>
      <c r="F427" s="60">
        <f t="shared" si="235"/>
        <v>0</v>
      </c>
      <c r="G427" s="60">
        <f t="shared" si="235"/>
        <v>58</v>
      </c>
      <c r="H427" s="60">
        <f t="shared" si="235"/>
        <v>58</v>
      </c>
      <c r="I427" s="60">
        <f t="shared" si="235"/>
        <v>0</v>
      </c>
      <c r="J427" s="65" t="s">
        <v>13</v>
      </c>
      <c r="K427" s="67"/>
      <c r="L427" s="55"/>
    </row>
    <row r="428" spans="1:13" ht="12.75" customHeight="1" thickBot="1" x14ac:dyDescent="0.25">
      <c r="A428" s="60">
        <f t="shared" ref="A428:C429" si="236">G428+D428</f>
        <v>330</v>
      </c>
      <c r="B428" s="60">
        <f t="shared" si="236"/>
        <v>330</v>
      </c>
      <c r="C428" s="60">
        <f t="shared" si="236"/>
        <v>0</v>
      </c>
      <c r="D428" s="60">
        <f>F428+E428</f>
        <v>0</v>
      </c>
      <c r="E428" s="60">
        <v>0</v>
      </c>
      <c r="F428" s="60">
        <v>0</v>
      </c>
      <c r="G428" s="60">
        <f>I428+H428</f>
        <v>330</v>
      </c>
      <c r="H428" s="60">
        <v>330</v>
      </c>
      <c r="I428" s="60">
        <v>0</v>
      </c>
      <c r="J428" s="65" t="s">
        <v>221</v>
      </c>
      <c r="K428" s="66"/>
      <c r="L428" s="55"/>
      <c r="M428" s="69"/>
    </row>
    <row r="429" spans="1:13" ht="12.75" customHeight="1" thickBot="1" x14ac:dyDescent="0.25">
      <c r="A429" s="60">
        <f t="shared" si="236"/>
        <v>116</v>
      </c>
      <c r="B429" s="60">
        <f t="shared" si="236"/>
        <v>116</v>
      </c>
      <c r="C429" s="60">
        <f t="shared" si="236"/>
        <v>0</v>
      </c>
      <c r="D429" s="60">
        <f>F429+E429</f>
        <v>0</v>
      </c>
      <c r="E429" s="60">
        <v>0</v>
      </c>
      <c r="F429" s="60">
        <v>0</v>
      </c>
      <c r="G429" s="60">
        <f>I429+H429</f>
        <v>116</v>
      </c>
      <c r="H429" s="60">
        <v>116</v>
      </c>
      <c r="I429" s="60">
        <v>0</v>
      </c>
      <c r="J429" s="65" t="s">
        <v>222</v>
      </c>
      <c r="K429" s="66" t="s">
        <v>431</v>
      </c>
      <c r="L429" s="55"/>
    </row>
    <row r="430" spans="1:13" ht="12.75" customHeight="1" thickBot="1" x14ac:dyDescent="0.25">
      <c r="A430" s="60">
        <f t="shared" ref="A430:I430" si="237">SUM(A428:A429)</f>
        <v>446</v>
      </c>
      <c r="B430" s="60">
        <f t="shared" si="237"/>
        <v>446</v>
      </c>
      <c r="C430" s="60">
        <f t="shared" si="237"/>
        <v>0</v>
      </c>
      <c r="D430" s="60">
        <f t="shared" si="237"/>
        <v>0</v>
      </c>
      <c r="E430" s="60">
        <f t="shared" si="237"/>
        <v>0</v>
      </c>
      <c r="F430" s="60">
        <f t="shared" si="237"/>
        <v>0</v>
      </c>
      <c r="G430" s="60">
        <f t="shared" si="237"/>
        <v>446</v>
      </c>
      <c r="H430" s="60">
        <f t="shared" si="237"/>
        <v>446</v>
      </c>
      <c r="I430" s="60">
        <f t="shared" si="237"/>
        <v>0</v>
      </c>
      <c r="J430" s="65" t="s">
        <v>13</v>
      </c>
      <c r="K430" s="67"/>
      <c r="L430" s="55"/>
    </row>
    <row r="431" spans="1:13" ht="12.75" customHeight="1" thickBot="1" x14ac:dyDescent="0.25">
      <c r="A431" s="60">
        <f t="shared" ref="A431:C432" si="238">G431+D431</f>
        <v>181</v>
      </c>
      <c r="B431" s="60">
        <f t="shared" si="238"/>
        <v>0</v>
      </c>
      <c r="C431" s="60">
        <f t="shared" si="238"/>
        <v>181</v>
      </c>
      <c r="D431" s="60">
        <f>F431+E431</f>
        <v>0</v>
      </c>
      <c r="E431" s="60">
        <v>0</v>
      </c>
      <c r="F431" s="60">
        <v>0</v>
      </c>
      <c r="G431" s="60">
        <f>I431+H431</f>
        <v>181</v>
      </c>
      <c r="H431" s="60">
        <v>0</v>
      </c>
      <c r="I431" s="60">
        <v>181</v>
      </c>
      <c r="J431" s="65" t="s">
        <v>221</v>
      </c>
      <c r="K431" s="66"/>
      <c r="L431" s="55"/>
    </row>
    <row r="432" spans="1:13" ht="12.75" customHeight="1" thickBot="1" x14ac:dyDescent="0.25">
      <c r="A432" s="60">
        <f t="shared" si="238"/>
        <v>0</v>
      </c>
      <c r="B432" s="60">
        <f t="shared" si="238"/>
        <v>0</v>
      </c>
      <c r="C432" s="60">
        <f t="shared" si="238"/>
        <v>0</v>
      </c>
      <c r="D432" s="60">
        <f>F432+E432</f>
        <v>0</v>
      </c>
      <c r="E432" s="60">
        <v>0</v>
      </c>
      <c r="F432" s="60">
        <v>0</v>
      </c>
      <c r="G432" s="60">
        <f>I432+H432</f>
        <v>0</v>
      </c>
      <c r="H432" s="60">
        <v>0</v>
      </c>
      <c r="I432" s="60">
        <v>0</v>
      </c>
      <c r="J432" s="65" t="s">
        <v>222</v>
      </c>
      <c r="K432" s="66" t="s">
        <v>432</v>
      </c>
      <c r="L432" s="55"/>
    </row>
    <row r="433" spans="1:12" ht="12.75" customHeight="1" thickBot="1" x14ac:dyDescent="0.25">
      <c r="A433" s="60">
        <f t="shared" ref="A433:I433" si="239">SUM(A431:A432)</f>
        <v>181</v>
      </c>
      <c r="B433" s="60">
        <f t="shared" si="239"/>
        <v>0</v>
      </c>
      <c r="C433" s="60">
        <f t="shared" si="239"/>
        <v>181</v>
      </c>
      <c r="D433" s="60">
        <f t="shared" si="239"/>
        <v>0</v>
      </c>
      <c r="E433" s="60">
        <f t="shared" si="239"/>
        <v>0</v>
      </c>
      <c r="F433" s="60">
        <f t="shared" si="239"/>
        <v>0</v>
      </c>
      <c r="G433" s="60">
        <f t="shared" si="239"/>
        <v>181</v>
      </c>
      <c r="H433" s="60">
        <f t="shared" si="239"/>
        <v>0</v>
      </c>
      <c r="I433" s="60">
        <f t="shared" si="239"/>
        <v>181</v>
      </c>
      <c r="J433" s="65" t="s">
        <v>13</v>
      </c>
      <c r="K433" s="67"/>
      <c r="L433" s="55"/>
    </row>
    <row r="434" spans="1:12" ht="12.75" customHeight="1" thickBot="1" x14ac:dyDescent="0.25">
      <c r="A434" s="60">
        <f t="shared" ref="A434:C435" si="240">G434+D434</f>
        <v>99</v>
      </c>
      <c r="B434" s="60">
        <f t="shared" si="240"/>
        <v>0</v>
      </c>
      <c r="C434" s="60">
        <f t="shared" si="240"/>
        <v>99</v>
      </c>
      <c r="D434" s="60">
        <f>F434+E434</f>
        <v>0</v>
      </c>
      <c r="E434" s="60">
        <v>0</v>
      </c>
      <c r="F434" s="60">
        <v>0</v>
      </c>
      <c r="G434" s="60">
        <f>I434+H434</f>
        <v>99</v>
      </c>
      <c r="H434" s="60">
        <v>0</v>
      </c>
      <c r="I434" s="60">
        <v>99</v>
      </c>
      <c r="J434" s="65" t="s">
        <v>221</v>
      </c>
      <c r="K434" s="66"/>
      <c r="L434" s="55"/>
    </row>
    <row r="435" spans="1:12" ht="12.75" customHeight="1" thickBot="1" x14ac:dyDescent="0.25">
      <c r="A435" s="60">
        <f t="shared" si="240"/>
        <v>0</v>
      </c>
      <c r="B435" s="60">
        <f t="shared" si="240"/>
        <v>0</v>
      </c>
      <c r="C435" s="60">
        <f t="shared" si="240"/>
        <v>0</v>
      </c>
      <c r="D435" s="60">
        <f>F435+E435</f>
        <v>0</v>
      </c>
      <c r="E435" s="60">
        <v>0</v>
      </c>
      <c r="F435" s="60">
        <v>0</v>
      </c>
      <c r="G435" s="60">
        <f>I435+H435</f>
        <v>0</v>
      </c>
      <c r="H435" s="60">
        <v>0</v>
      </c>
      <c r="I435" s="60">
        <v>0</v>
      </c>
      <c r="J435" s="65" t="s">
        <v>222</v>
      </c>
      <c r="K435" s="66" t="s">
        <v>433</v>
      </c>
      <c r="L435" s="55"/>
    </row>
    <row r="436" spans="1:12" ht="12.75" customHeight="1" thickBot="1" x14ac:dyDescent="0.25">
      <c r="A436" s="60">
        <f t="shared" ref="A436:I436" si="241">SUM(A434:A435)</f>
        <v>99</v>
      </c>
      <c r="B436" s="60">
        <f t="shared" si="241"/>
        <v>0</v>
      </c>
      <c r="C436" s="60">
        <f t="shared" si="241"/>
        <v>99</v>
      </c>
      <c r="D436" s="60">
        <f t="shared" si="241"/>
        <v>0</v>
      </c>
      <c r="E436" s="60">
        <f t="shared" si="241"/>
        <v>0</v>
      </c>
      <c r="F436" s="60">
        <f t="shared" si="241"/>
        <v>0</v>
      </c>
      <c r="G436" s="60">
        <f t="shared" si="241"/>
        <v>99</v>
      </c>
      <c r="H436" s="60">
        <f t="shared" si="241"/>
        <v>0</v>
      </c>
      <c r="I436" s="60">
        <f t="shared" si="241"/>
        <v>99</v>
      </c>
      <c r="J436" s="65" t="s">
        <v>13</v>
      </c>
      <c r="K436" s="67"/>
      <c r="L436" s="55"/>
    </row>
    <row r="437" spans="1:12" ht="12.75" customHeight="1" thickBot="1" x14ac:dyDescent="0.25">
      <c r="A437" s="60">
        <f t="shared" ref="A437:C438" si="242">G437+D437</f>
        <v>60</v>
      </c>
      <c r="B437" s="60">
        <f t="shared" si="242"/>
        <v>60</v>
      </c>
      <c r="C437" s="60">
        <f t="shared" si="242"/>
        <v>0</v>
      </c>
      <c r="D437" s="60">
        <f>F437+E437</f>
        <v>0</v>
      </c>
      <c r="E437" s="60">
        <v>0</v>
      </c>
      <c r="F437" s="60">
        <v>0</v>
      </c>
      <c r="G437" s="60">
        <f>I437+H437</f>
        <v>60</v>
      </c>
      <c r="H437" s="60">
        <v>60</v>
      </c>
      <c r="I437" s="60">
        <v>0</v>
      </c>
      <c r="J437" s="65" t="s">
        <v>221</v>
      </c>
      <c r="K437" s="66"/>
      <c r="L437" s="55"/>
    </row>
    <row r="438" spans="1:12" ht="12.75" customHeight="1" thickBot="1" x14ac:dyDescent="0.25">
      <c r="A438" s="60">
        <f t="shared" si="242"/>
        <v>0</v>
      </c>
      <c r="B438" s="60">
        <f t="shared" si="242"/>
        <v>0</v>
      </c>
      <c r="C438" s="60">
        <f t="shared" si="242"/>
        <v>0</v>
      </c>
      <c r="D438" s="60">
        <f>F438+E438</f>
        <v>0</v>
      </c>
      <c r="E438" s="60">
        <v>0</v>
      </c>
      <c r="F438" s="60">
        <v>0</v>
      </c>
      <c r="G438" s="60">
        <f>I438+H438</f>
        <v>0</v>
      </c>
      <c r="H438" s="60">
        <v>0</v>
      </c>
      <c r="I438" s="60">
        <v>0</v>
      </c>
      <c r="J438" s="65" t="s">
        <v>222</v>
      </c>
      <c r="K438" s="66" t="s">
        <v>434</v>
      </c>
      <c r="L438" s="55"/>
    </row>
    <row r="439" spans="1:12" ht="12.75" customHeight="1" thickBot="1" x14ac:dyDescent="0.25">
      <c r="A439" s="60">
        <f t="shared" ref="A439:I439" si="243">SUM(A437:A438)</f>
        <v>60</v>
      </c>
      <c r="B439" s="60">
        <f t="shared" si="243"/>
        <v>60</v>
      </c>
      <c r="C439" s="60">
        <f t="shared" si="243"/>
        <v>0</v>
      </c>
      <c r="D439" s="60">
        <f t="shared" si="243"/>
        <v>0</v>
      </c>
      <c r="E439" s="60">
        <f t="shared" si="243"/>
        <v>0</v>
      </c>
      <c r="F439" s="60">
        <f t="shared" si="243"/>
        <v>0</v>
      </c>
      <c r="G439" s="60">
        <f t="shared" si="243"/>
        <v>60</v>
      </c>
      <c r="H439" s="60">
        <f t="shared" si="243"/>
        <v>60</v>
      </c>
      <c r="I439" s="60">
        <f t="shared" si="243"/>
        <v>0</v>
      </c>
      <c r="J439" s="65" t="s">
        <v>13</v>
      </c>
      <c r="K439" s="67"/>
      <c r="L439" s="55"/>
    </row>
    <row r="440" spans="1:12" ht="12.75" customHeight="1" thickBot="1" x14ac:dyDescent="0.25">
      <c r="A440" s="60">
        <f t="shared" ref="A440:C441" si="244">G440+D440</f>
        <v>145</v>
      </c>
      <c r="B440" s="60">
        <f t="shared" si="244"/>
        <v>0</v>
      </c>
      <c r="C440" s="60">
        <f t="shared" si="244"/>
        <v>145</v>
      </c>
      <c r="D440" s="60">
        <f>F440+E440</f>
        <v>6</v>
      </c>
      <c r="E440" s="60">
        <v>0</v>
      </c>
      <c r="F440" s="60">
        <v>6</v>
      </c>
      <c r="G440" s="60">
        <f>I440+H440</f>
        <v>139</v>
      </c>
      <c r="H440" s="60">
        <v>0</v>
      </c>
      <c r="I440" s="60">
        <v>139</v>
      </c>
      <c r="J440" s="65" t="s">
        <v>221</v>
      </c>
      <c r="K440" s="66"/>
      <c r="L440" s="55"/>
    </row>
    <row r="441" spans="1:12" ht="12.75" customHeight="1" thickBot="1" x14ac:dyDescent="0.25">
      <c r="A441" s="60">
        <f t="shared" si="244"/>
        <v>0</v>
      </c>
      <c r="B441" s="60">
        <f t="shared" si="244"/>
        <v>0</v>
      </c>
      <c r="C441" s="60">
        <f t="shared" si="244"/>
        <v>0</v>
      </c>
      <c r="D441" s="60">
        <f>F441+E441</f>
        <v>0</v>
      </c>
      <c r="E441" s="60">
        <v>0</v>
      </c>
      <c r="F441" s="60">
        <v>0</v>
      </c>
      <c r="G441" s="60">
        <f>I441+H441</f>
        <v>0</v>
      </c>
      <c r="H441" s="60">
        <v>0</v>
      </c>
      <c r="I441" s="60">
        <v>0</v>
      </c>
      <c r="J441" s="65" t="s">
        <v>222</v>
      </c>
      <c r="K441" s="66" t="s">
        <v>435</v>
      </c>
      <c r="L441" s="55"/>
    </row>
    <row r="442" spans="1:12" ht="12.75" customHeight="1" thickBot="1" x14ac:dyDescent="0.25">
      <c r="A442" s="60">
        <f t="shared" ref="A442:I442" si="245">SUM(A440:A441)</f>
        <v>145</v>
      </c>
      <c r="B442" s="60">
        <f t="shared" si="245"/>
        <v>0</v>
      </c>
      <c r="C442" s="60">
        <f t="shared" si="245"/>
        <v>145</v>
      </c>
      <c r="D442" s="60">
        <f t="shared" si="245"/>
        <v>6</v>
      </c>
      <c r="E442" s="60">
        <f t="shared" si="245"/>
        <v>0</v>
      </c>
      <c r="F442" s="60">
        <f t="shared" si="245"/>
        <v>6</v>
      </c>
      <c r="G442" s="60">
        <f t="shared" si="245"/>
        <v>139</v>
      </c>
      <c r="H442" s="60">
        <f t="shared" si="245"/>
        <v>0</v>
      </c>
      <c r="I442" s="60">
        <f t="shared" si="245"/>
        <v>139</v>
      </c>
      <c r="J442" s="65" t="s">
        <v>13</v>
      </c>
      <c r="K442" s="67"/>
      <c r="L442" s="55"/>
    </row>
    <row r="443" spans="1:12" ht="12.75" customHeight="1" thickBot="1" x14ac:dyDescent="0.25">
      <c r="A443" s="60">
        <f t="shared" ref="A443:C444" si="246">G443+D443</f>
        <v>143</v>
      </c>
      <c r="B443" s="60">
        <f t="shared" si="246"/>
        <v>143</v>
      </c>
      <c r="C443" s="60">
        <f t="shared" si="246"/>
        <v>0</v>
      </c>
      <c r="D443" s="60">
        <f>F443+E443</f>
        <v>0</v>
      </c>
      <c r="E443" s="60">
        <v>0</v>
      </c>
      <c r="F443" s="60">
        <v>0</v>
      </c>
      <c r="G443" s="60">
        <f>I443+H443</f>
        <v>143</v>
      </c>
      <c r="H443" s="60">
        <v>143</v>
      </c>
      <c r="I443" s="60">
        <v>0</v>
      </c>
      <c r="J443" s="65" t="s">
        <v>221</v>
      </c>
      <c r="K443" s="66"/>
      <c r="L443" s="55"/>
    </row>
    <row r="444" spans="1:12" ht="12.75" customHeight="1" thickBot="1" x14ac:dyDescent="0.25">
      <c r="A444" s="60">
        <f t="shared" si="246"/>
        <v>0</v>
      </c>
      <c r="B444" s="60">
        <f t="shared" si="246"/>
        <v>0</v>
      </c>
      <c r="C444" s="60">
        <f t="shared" si="246"/>
        <v>0</v>
      </c>
      <c r="D444" s="60">
        <f>F444+E444</f>
        <v>0</v>
      </c>
      <c r="E444" s="60">
        <v>0</v>
      </c>
      <c r="F444" s="60">
        <v>0</v>
      </c>
      <c r="G444" s="60">
        <f>I444+H444</f>
        <v>0</v>
      </c>
      <c r="H444" s="60">
        <v>0</v>
      </c>
      <c r="I444" s="60">
        <v>0</v>
      </c>
      <c r="J444" s="65" t="s">
        <v>222</v>
      </c>
      <c r="K444" s="66" t="s">
        <v>436</v>
      </c>
      <c r="L444" s="55"/>
    </row>
    <row r="445" spans="1:12" ht="12.75" customHeight="1" thickBot="1" x14ac:dyDescent="0.25">
      <c r="A445" s="60">
        <f t="shared" ref="A445:I445" si="247">SUM(A443:A444)</f>
        <v>143</v>
      </c>
      <c r="B445" s="60">
        <f t="shared" si="247"/>
        <v>143</v>
      </c>
      <c r="C445" s="60">
        <f t="shared" si="247"/>
        <v>0</v>
      </c>
      <c r="D445" s="60">
        <f t="shared" si="247"/>
        <v>0</v>
      </c>
      <c r="E445" s="60">
        <f t="shared" si="247"/>
        <v>0</v>
      </c>
      <c r="F445" s="60">
        <f t="shared" si="247"/>
        <v>0</v>
      </c>
      <c r="G445" s="60">
        <f t="shared" si="247"/>
        <v>143</v>
      </c>
      <c r="H445" s="60">
        <f t="shared" si="247"/>
        <v>143</v>
      </c>
      <c r="I445" s="60">
        <f t="shared" si="247"/>
        <v>0</v>
      </c>
      <c r="J445" s="65" t="s">
        <v>13</v>
      </c>
      <c r="K445" s="67"/>
      <c r="L445" s="55"/>
    </row>
    <row r="446" spans="1:12" ht="12.75" customHeight="1" thickBot="1" x14ac:dyDescent="0.25">
      <c r="A446" s="60">
        <f t="shared" ref="A446:H448" si="248">A359+A362+A365+A368+A371+A374+A377+A380+A383+A386+A389+A392+A395+A398+A401+A404+A407+A410+A413+A416+A419+A422+A425+A428+A431+A434+A437+A440+A443</f>
        <v>10553</v>
      </c>
      <c r="B446" s="60">
        <f t="shared" si="248"/>
        <v>6087</v>
      </c>
      <c r="C446" s="60">
        <f t="shared" si="248"/>
        <v>4466</v>
      </c>
      <c r="D446" s="60">
        <f t="shared" si="248"/>
        <v>30</v>
      </c>
      <c r="E446" s="60">
        <f t="shared" si="248"/>
        <v>4</v>
      </c>
      <c r="F446" s="60">
        <f t="shared" si="248"/>
        <v>26</v>
      </c>
      <c r="G446" s="60">
        <f t="shared" si="248"/>
        <v>10523</v>
      </c>
      <c r="H446" s="60">
        <f t="shared" si="248"/>
        <v>6083</v>
      </c>
      <c r="I446" s="60">
        <f>I359+I362+I365+I368+I371+I374+I377+I380+I383+I386+I389+I392+I395+I398+I401+I404+I407+I410+I413+I416+I419+I422+I425+I428+I431+I434+I437+I440+I443</f>
        <v>4440</v>
      </c>
      <c r="J446" s="65" t="s">
        <v>224</v>
      </c>
      <c r="K446" s="57"/>
      <c r="L446" s="55"/>
    </row>
    <row r="447" spans="1:12" ht="12.75" customHeight="1" thickBot="1" x14ac:dyDescent="0.25">
      <c r="A447" s="60">
        <f t="shared" si="248"/>
        <v>2630</v>
      </c>
      <c r="B447" s="60">
        <f t="shared" si="248"/>
        <v>2630</v>
      </c>
      <c r="C447" s="60">
        <f t="shared" si="248"/>
        <v>0</v>
      </c>
      <c r="D447" s="60">
        <f t="shared" si="248"/>
        <v>2</v>
      </c>
      <c r="E447" s="60">
        <f t="shared" si="248"/>
        <v>2</v>
      </c>
      <c r="F447" s="60">
        <f t="shared" si="248"/>
        <v>0</v>
      </c>
      <c r="G447" s="60">
        <f t="shared" si="248"/>
        <v>2628</v>
      </c>
      <c r="H447" s="60">
        <f t="shared" si="248"/>
        <v>2628</v>
      </c>
      <c r="I447" s="60">
        <f>I360+I363+I366+I369+I372+I375+I378+I381+I384+I387+I390+I393+I396+I399+I402+I405+I408+I411+I414+I417+I420+I423+I426+I429+I432+I435+I438+I441+I444</f>
        <v>0</v>
      </c>
      <c r="J447" s="65" t="s">
        <v>225</v>
      </c>
      <c r="K447" s="68" t="s">
        <v>211</v>
      </c>
      <c r="L447" s="55"/>
    </row>
    <row r="448" spans="1:12" ht="12.75" customHeight="1" thickBot="1" x14ac:dyDescent="0.25">
      <c r="A448" s="60">
        <f t="shared" si="248"/>
        <v>13183</v>
      </c>
      <c r="B448" s="60">
        <f t="shared" si="248"/>
        <v>8717</v>
      </c>
      <c r="C448" s="60">
        <f t="shared" si="248"/>
        <v>4466</v>
      </c>
      <c r="D448" s="60">
        <f t="shared" si="248"/>
        <v>32</v>
      </c>
      <c r="E448" s="60">
        <f t="shared" si="248"/>
        <v>6</v>
      </c>
      <c r="F448" s="60">
        <f t="shared" si="248"/>
        <v>26</v>
      </c>
      <c r="G448" s="60">
        <f t="shared" si="248"/>
        <v>13151</v>
      </c>
      <c r="H448" s="60">
        <f t="shared" si="248"/>
        <v>8711</v>
      </c>
      <c r="I448" s="60">
        <f>I361+I364+I367+I370+I373+I376+I379+I382+I385+I388+I391+I394+I397+I400+I403+I406+I409+I412+I415+I418+I421+I424+I427+I430+I433+I436+I439+I442+I445</f>
        <v>4440</v>
      </c>
      <c r="J448" s="65" t="s">
        <v>13</v>
      </c>
      <c r="K448" s="59"/>
      <c r="L448" s="55"/>
    </row>
    <row r="449" spans="1:12" ht="12.75" customHeight="1" x14ac:dyDescent="0.2">
      <c r="A449" s="177" t="s">
        <v>327</v>
      </c>
      <c r="B449" s="177"/>
      <c r="C449" s="177"/>
      <c r="D449" s="177"/>
      <c r="E449" s="177"/>
      <c r="F449" s="177"/>
      <c r="G449" s="177"/>
      <c r="H449" s="177"/>
      <c r="I449" s="177"/>
      <c r="J449" s="177"/>
      <c r="K449" s="177"/>
      <c r="L449" s="55"/>
    </row>
    <row r="450" spans="1:12" ht="12.75" customHeight="1" thickBot="1" x14ac:dyDescent="0.25">
      <c r="A450" s="178" t="s">
        <v>328</v>
      </c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55"/>
    </row>
    <row r="451" spans="1:12" ht="12.75" customHeight="1" thickBot="1" x14ac:dyDescent="0.25">
      <c r="A451" s="179" t="s">
        <v>5</v>
      </c>
      <c r="B451" s="179"/>
      <c r="C451" s="179"/>
      <c r="D451" s="179" t="s">
        <v>162</v>
      </c>
      <c r="E451" s="179"/>
      <c r="F451" s="179"/>
      <c r="G451" s="179" t="s">
        <v>163</v>
      </c>
      <c r="H451" s="179"/>
      <c r="I451" s="179"/>
      <c r="J451" s="179" t="s">
        <v>72</v>
      </c>
      <c r="K451" s="179"/>
      <c r="L451" s="55"/>
    </row>
    <row r="452" spans="1:12" ht="12.75" customHeight="1" thickBot="1" x14ac:dyDescent="0.25">
      <c r="A452" s="58" t="s">
        <v>216</v>
      </c>
      <c r="B452" s="58" t="s">
        <v>11</v>
      </c>
      <c r="C452" s="58" t="s">
        <v>10</v>
      </c>
      <c r="D452" s="58" t="s">
        <v>216</v>
      </c>
      <c r="E452" s="58" t="s">
        <v>11</v>
      </c>
      <c r="F452" s="58" t="s">
        <v>10</v>
      </c>
      <c r="G452" s="58" t="s">
        <v>216</v>
      </c>
      <c r="H452" s="58" t="s">
        <v>11</v>
      </c>
      <c r="I452" s="58" t="s">
        <v>10</v>
      </c>
      <c r="J452" s="180" t="s">
        <v>108</v>
      </c>
      <c r="K452" s="180"/>
      <c r="L452" s="55"/>
    </row>
    <row r="453" spans="1:12" ht="12.75" customHeight="1" thickBot="1" x14ac:dyDescent="0.25">
      <c r="A453" s="60">
        <f t="shared" ref="A453:C454" si="249">G453+D453</f>
        <v>404</v>
      </c>
      <c r="B453" s="60">
        <f t="shared" si="249"/>
        <v>0</v>
      </c>
      <c r="C453" s="60">
        <f t="shared" si="249"/>
        <v>404</v>
      </c>
      <c r="D453" s="60">
        <f>F453+E453</f>
        <v>0</v>
      </c>
      <c r="E453" s="60">
        <v>0</v>
      </c>
      <c r="F453" s="60">
        <v>0</v>
      </c>
      <c r="G453" s="60">
        <f>I453+H453</f>
        <v>404</v>
      </c>
      <c r="H453" s="60">
        <v>0</v>
      </c>
      <c r="I453" s="60">
        <v>404</v>
      </c>
      <c r="J453" s="65" t="s">
        <v>221</v>
      </c>
      <c r="K453" s="66"/>
      <c r="L453" s="55"/>
    </row>
    <row r="454" spans="1:12" ht="12.75" customHeight="1" thickBot="1" x14ac:dyDescent="0.25">
      <c r="A454" s="60">
        <f t="shared" si="249"/>
        <v>0</v>
      </c>
      <c r="B454" s="60">
        <f t="shared" si="249"/>
        <v>0</v>
      </c>
      <c r="C454" s="60">
        <f t="shared" si="249"/>
        <v>0</v>
      </c>
      <c r="D454" s="60">
        <f>F454+E454</f>
        <v>0</v>
      </c>
      <c r="E454" s="60">
        <v>0</v>
      </c>
      <c r="F454" s="60">
        <v>0</v>
      </c>
      <c r="G454" s="60">
        <f>I454+H454</f>
        <v>0</v>
      </c>
      <c r="H454" s="60">
        <v>0</v>
      </c>
      <c r="I454" s="60">
        <v>0</v>
      </c>
      <c r="J454" s="65" t="s">
        <v>222</v>
      </c>
      <c r="K454" s="66" t="s">
        <v>437</v>
      </c>
      <c r="L454" s="55"/>
    </row>
    <row r="455" spans="1:12" ht="12.75" customHeight="1" thickBot="1" x14ac:dyDescent="0.25">
      <c r="A455" s="60">
        <f t="shared" ref="A455:I455" si="250">SUM(A453:A454)</f>
        <v>404</v>
      </c>
      <c r="B455" s="60">
        <f t="shared" si="250"/>
        <v>0</v>
      </c>
      <c r="C455" s="60">
        <f t="shared" si="250"/>
        <v>404</v>
      </c>
      <c r="D455" s="60">
        <f t="shared" si="250"/>
        <v>0</v>
      </c>
      <c r="E455" s="60">
        <f t="shared" si="250"/>
        <v>0</v>
      </c>
      <c r="F455" s="60">
        <f t="shared" si="250"/>
        <v>0</v>
      </c>
      <c r="G455" s="60">
        <f t="shared" si="250"/>
        <v>404</v>
      </c>
      <c r="H455" s="60">
        <f t="shared" si="250"/>
        <v>0</v>
      </c>
      <c r="I455" s="60">
        <f t="shared" si="250"/>
        <v>404</v>
      </c>
      <c r="J455" s="65" t="s">
        <v>13</v>
      </c>
      <c r="K455" s="67"/>
      <c r="L455" s="55"/>
    </row>
    <row r="456" spans="1:12" ht="12.75" customHeight="1" thickBot="1" x14ac:dyDescent="0.25">
      <c r="A456" s="60">
        <f t="shared" ref="A456:C457" si="251">G456+D456</f>
        <v>826</v>
      </c>
      <c r="B456" s="60">
        <f t="shared" si="251"/>
        <v>0</v>
      </c>
      <c r="C456" s="60">
        <f t="shared" si="251"/>
        <v>826</v>
      </c>
      <c r="D456" s="60">
        <f>F456+E456</f>
        <v>8</v>
      </c>
      <c r="E456" s="60">
        <v>0</v>
      </c>
      <c r="F456" s="60">
        <v>8</v>
      </c>
      <c r="G456" s="60">
        <f>I456+H456</f>
        <v>818</v>
      </c>
      <c r="H456" s="60">
        <v>0</v>
      </c>
      <c r="I456" s="60">
        <v>818</v>
      </c>
      <c r="J456" s="65" t="s">
        <v>221</v>
      </c>
      <c r="K456" s="66"/>
      <c r="L456" s="55"/>
    </row>
    <row r="457" spans="1:12" ht="12.75" customHeight="1" thickBot="1" x14ac:dyDescent="0.25">
      <c r="A457" s="60">
        <f t="shared" si="251"/>
        <v>0</v>
      </c>
      <c r="B457" s="60">
        <f t="shared" si="251"/>
        <v>0</v>
      </c>
      <c r="C457" s="60">
        <f t="shared" si="251"/>
        <v>0</v>
      </c>
      <c r="D457" s="60">
        <f>F457+E457</f>
        <v>0</v>
      </c>
      <c r="E457" s="60">
        <v>0</v>
      </c>
      <c r="F457" s="60">
        <v>0</v>
      </c>
      <c r="G457" s="60">
        <f>I457+H457</f>
        <v>0</v>
      </c>
      <c r="H457" s="60">
        <v>0</v>
      </c>
      <c r="I457" s="60">
        <v>0</v>
      </c>
      <c r="J457" s="65" t="s">
        <v>222</v>
      </c>
      <c r="K457" s="66" t="s">
        <v>419</v>
      </c>
      <c r="L457" s="55"/>
    </row>
    <row r="458" spans="1:12" ht="12.75" customHeight="1" thickBot="1" x14ac:dyDescent="0.25">
      <c r="A458" s="60">
        <f t="shared" ref="A458:I458" si="252">SUM(A456:A457)</f>
        <v>826</v>
      </c>
      <c r="B458" s="60">
        <f t="shared" si="252"/>
        <v>0</v>
      </c>
      <c r="C458" s="60">
        <f t="shared" si="252"/>
        <v>826</v>
      </c>
      <c r="D458" s="60">
        <f t="shared" si="252"/>
        <v>8</v>
      </c>
      <c r="E458" s="60">
        <f t="shared" si="252"/>
        <v>0</v>
      </c>
      <c r="F458" s="60">
        <f t="shared" si="252"/>
        <v>8</v>
      </c>
      <c r="G458" s="60">
        <f t="shared" si="252"/>
        <v>818</v>
      </c>
      <c r="H458" s="60">
        <f t="shared" si="252"/>
        <v>0</v>
      </c>
      <c r="I458" s="60">
        <f t="shared" si="252"/>
        <v>818</v>
      </c>
      <c r="J458" s="65" t="s">
        <v>13</v>
      </c>
      <c r="K458" s="67"/>
      <c r="L458" s="55"/>
    </row>
    <row r="459" spans="1:12" ht="12.75" customHeight="1" thickBot="1" x14ac:dyDescent="0.25">
      <c r="A459" s="60">
        <f t="shared" ref="A459:C460" si="253">G459+D459</f>
        <v>493</v>
      </c>
      <c r="B459" s="60">
        <f t="shared" si="253"/>
        <v>0</v>
      </c>
      <c r="C459" s="60">
        <f t="shared" si="253"/>
        <v>493</v>
      </c>
      <c r="D459" s="60">
        <f>F459+E459</f>
        <v>1</v>
      </c>
      <c r="E459" s="60">
        <v>0</v>
      </c>
      <c r="F459" s="60">
        <v>1</v>
      </c>
      <c r="G459" s="60">
        <f>I459+H459</f>
        <v>492</v>
      </c>
      <c r="H459" s="60">
        <v>0</v>
      </c>
      <c r="I459" s="60">
        <v>492</v>
      </c>
      <c r="J459" s="65" t="s">
        <v>221</v>
      </c>
      <c r="K459" s="66"/>
      <c r="L459" s="55"/>
    </row>
    <row r="460" spans="1:12" ht="12.75" customHeight="1" thickBot="1" x14ac:dyDescent="0.25">
      <c r="A460" s="60">
        <f t="shared" si="253"/>
        <v>0</v>
      </c>
      <c r="B460" s="60">
        <f t="shared" si="253"/>
        <v>0</v>
      </c>
      <c r="C460" s="60">
        <f t="shared" si="253"/>
        <v>0</v>
      </c>
      <c r="D460" s="60">
        <f>F460+E460</f>
        <v>0</v>
      </c>
      <c r="E460" s="60">
        <v>0</v>
      </c>
      <c r="F460" s="60">
        <v>0</v>
      </c>
      <c r="G460" s="60">
        <f>I460+H460</f>
        <v>0</v>
      </c>
      <c r="H460" s="60">
        <v>0</v>
      </c>
      <c r="I460" s="60">
        <v>0</v>
      </c>
      <c r="J460" s="65" t="s">
        <v>222</v>
      </c>
      <c r="K460" s="66" t="s">
        <v>438</v>
      </c>
      <c r="L460" s="55"/>
    </row>
    <row r="461" spans="1:12" ht="12.75" customHeight="1" thickBot="1" x14ac:dyDescent="0.25">
      <c r="A461" s="60">
        <f t="shared" ref="A461:I461" si="254">SUM(A459:A460)</f>
        <v>493</v>
      </c>
      <c r="B461" s="60">
        <f t="shared" si="254"/>
        <v>0</v>
      </c>
      <c r="C461" s="60">
        <f t="shared" si="254"/>
        <v>493</v>
      </c>
      <c r="D461" s="60">
        <f t="shared" si="254"/>
        <v>1</v>
      </c>
      <c r="E461" s="60">
        <f t="shared" si="254"/>
        <v>0</v>
      </c>
      <c r="F461" s="60">
        <f t="shared" si="254"/>
        <v>1</v>
      </c>
      <c r="G461" s="60">
        <f t="shared" si="254"/>
        <v>492</v>
      </c>
      <c r="H461" s="60">
        <f t="shared" si="254"/>
        <v>0</v>
      </c>
      <c r="I461" s="60">
        <f t="shared" si="254"/>
        <v>492</v>
      </c>
      <c r="J461" s="65" t="s">
        <v>13</v>
      </c>
      <c r="K461" s="67"/>
      <c r="L461" s="55"/>
    </row>
    <row r="462" spans="1:12" ht="12.75" customHeight="1" thickBot="1" x14ac:dyDescent="0.25">
      <c r="A462" s="60">
        <f t="shared" ref="A462:C463" si="255">G462+D462</f>
        <v>1120</v>
      </c>
      <c r="B462" s="60">
        <f t="shared" si="255"/>
        <v>292</v>
      </c>
      <c r="C462" s="60">
        <f t="shared" si="255"/>
        <v>828</v>
      </c>
      <c r="D462" s="60">
        <f>F462+E462</f>
        <v>11</v>
      </c>
      <c r="E462" s="60">
        <v>3</v>
      </c>
      <c r="F462" s="60">
        <v>8</v>
      </c>
      <c r="G462" s="60">
        <f>I462+H462</f>
        <v>1109</v>
      </c>
      <c r="H462" s="60">
        <v>289</v>
      </c>
      <c r="I462" s="60">
        <v>820</v>
      </c>
      <c r="J462" s="65" t="s">
        <v>221</v>
      </c>
      <c r="K462" s="66"/>
      <c r="L462" s="55"/>
    </row>
    <row r="463" spans="1:12" ht="12.75" customHeight="1" thickBot="1" x14ac:dyDescent="0.25">
      <c r="A463" s="60">
        <f t="shared" si="255"/>
        <v>0</v>
      </c>
      <c r="B463" s="60">
        <f t="shared" si="255"/>
        <v>0</v>
      </c>
      <c r="C463" s="60">
        <f t="shared" si="255"/>
        <v>0</v>
      </c>
      <c r="D463" s="60">
        <f>F463+E463</f>
        <v>0</v>
      </c>
      <c r="E463" s="60">
        <v>0</v>
      </c>
      <c r="F463" s="60">
        <v>0</v>
      </c>
      <c r="G463" s="60">
        <f>I463+H463</f>
        <v>0</v>
      </c>
      <c r="H463" s="60">
        <v>0</v>
      </c>
      <c r="I463" s="60">
        <v>0</v>
      </c>
      <c r="J463" s="65" t="s">
        <v>222</v>
      </c>
      <c r="K463" s="66" t="s">
        <v>439</v>
      </c>
      <c r="L463" s="55"/>
    </row>
    <row r="464" spans="1:12" ht="12.75" customHeight="1" thickBot="1" x14ac:dyDescent="0.25">
      <c r="A464" s="60">
        <f t="shared" ref="A464:I464" si="256">SUM(A462:A463)</f>
        <v>1120</v>
      </c>
      <c r="B464" s="60">
        <f t="shared" si="256"/>
        <v>292</v>
      </c>
      <c r="C464" s="60">
        <f t="shared" si="256"/>
        <v>828</v>
      </c>
      <c r="D464" s="60">
        <f t="shared" si="256"/>
        <v>11</v>
      </c>
      <c r="E464" s="60">
        <f t="shared" si="256"/>
        <v>3</v>
      </c>
      <c r="F464" s="60">
        <f t="shared" si="256"/>
        <v>8</v>
      </c>
      <c r="G464" s="60">
        <f t="shared" si="256"/>
        <v>1109</v>
      </c>
      <c r="H464" s="60">
        <f t="shared" si="256"/>
        <v>289</v>
      </c>
      <c r="I464" s="60">
        <f t="shared" si="256"/>
        <v>820</v>
      </c>
      <c r="J464" s="65" t="s">
        <v>13</v>
      </c>
      <c r="K464" s="67"/>
      <c r="L464" s="55"/>
    </row>
    <row r="465" spans="1:12" ht="12.75" customHeight="1" thickBot="1" x14ac:dyDescent="0.25">
      <c r="A465" s="60">
        <f t="shared" ref="A465:C466" si="257">G465+D465</f>
        <v>494</v>
      </c>
      <c r="B465" s="60">
        <f t="shared" si="257"/>
        <v>0</v>
      </c>
      <c r="C465" s="60">
        <f t="shared" si="257"/>
        <v>494</v>
      </c>
      <c r="D465" s="60">
        <f>F465+E465</f>
        <v>3</v>
      </c>
      <c r="E465" s="60">
        <v>0</v>
      </c>
      <c r="F465" s="60">
        <v>3</v>
      </c>
      <c r="G465" s="60">
        <f>I465+H465</f>
        <v>491</v>
      </c>
      <c r="H465" s="60">
        <v>0</v>
      </c>
      <c r="I465" s="60">
        <v>491</v>
      </c>
      <c r="J465" s="65" t="s">
        <v>221</v>
      </c>
      <c r="K465" s="66"/>
      <c r="L465" s="55"/>
    </row>
    <row r="466" spans="1:12" ht="12.75" customHeight="1" thickBot="1" x14ac:dyDescent="0.25">
      <c r="A466" s="60">
        <f t="shared" si="257"/>
        <v>0</v>
      </c>
      <c r="B466" s="60">
        <f t="shared" si="257"/>
        <v>0</v>
      </c>
      <c r="C466" s="60">
        <f t="shared" si="257"/>
        <v>0</v>
      </c>
      <c r="D466" s="60">
        <f>F466+E466</f>
        <v>0</v>
      </c>
      <c r="E466" s="60">
        <v>0</v>
      </c>
      <c r="F466" s="60">
        <v>0</v>
      </c>
      <c r="G466" s="60">
        <f>I466+H466</f>
        <v>0</v>
      </c>
      <c r="H466" s="60">
        <v>0</v>
      </c>
      <c r="I466" s="60">
        <v>0</v>
      </c>
      <c r="J466" s="65" t="s">
        <v>222</v>
      </c>
      <c r="K466" s="66" t="s">
        <v>440</v>
      </c>
      <c r="L466" s="55"/>
    </row>
    <row r="467" spans="1:12" ht="12.75" customHeight="1" thickBot="1" x14ac:dyDescent="0.25">
      <c r="A467" s="60">
        <f t="shared" ref="A467:I467" si="258">SUM(A465:A466)</f>
        <v>494</v>
      </c>
      <c r="B467" s="60">
        <f t="shared" si="258"/>
        <v>0</v>
      </c>
      <c r="C467" s="60">
        <f t="shared" si="258"/>
        <v>494</v>
      </c>
      <c r="D467" s="60">
        <f t="shared" si="258"/>
        <v>3</v>
      </c>
      <c r="E467" s="60">
        <f t="shared" si="258"/>
        <v>0</v>
      </c>
      <c r="F467" s="60">
        <f t="shared" si="258"/>
        <v>3</v>
      </c>
      <c r="G467" s="60">
        <f t="shared" si="258"/>
        <v>491</v>
      </c>
      <c r="H467" s="60">
        <f t="shared" si="258"/>
        <v>0</v>
      </c>
      <c r="I467" s="60">
        <f t="shared" si="258"/>
        <v>491</v>
      </c>
      <c r="J467" s="65" t="s">
        <v>13</v>
      </c>
      <c r="K467" s="67"/>
      <c r="L467" s="55"/>
    </row>
    <row r="468" spans="1:12" ht="12.75" customHeight="1" thickBot="1" x14ac:dyDescent="0.25">
      <c r="A468" s="60">
        <f t="shared" ref="A468:C469" si="259">G468+D468</f>
        <v>116</v>
      </c>
      <c r="B468" s="60">
        <f t="shared" si="259"/>
        <v>39</v>
      </c>
      <c r="C468" s="60">
        <f t="shared" si="259"/>
        <v>77</v>
      </c>
      <c r="D468" s="60">
        <f>F468+E468</f>
        <v>2</v>
      </c>
      <c r="E468" s="60">
        <v>0</v>
      </c>
      <c r="F468" s="60">
        <v>2</v>
      </c>
      <c r="G468" s="60">
        <f>I468+H468</f>
        <v>114</v>
      </c>
      <c r="H468" s="60">
        <v>39</v>
      </c>
      <c r="I468" s="60">
        <v>75</v>
      </c>
      <c r="J468" s="65" t="s">
        <v>221</v>
      </c>
      <c r="K468" s="66"/>
      <c r="L468" s="55"/>
    </row>
    <row r="469" spans="1:12" ht="12.75" customHeight="1" thickBot="1" x14ac:dyDescent="0.25">
      <c r="A469" s="60">
        <f t="shared" si="259"/>
        <v>0</v>
      </c>
      <c r="B469" s="60">
        <f t="shared" si="259"/>
        <v>0</v>
      </c>
      <c r="C469" s="60">
        <f t="shared" si="259"/>
        <v>0</v>
      </c>
      <c r="D469" s="60">
        <f>F469+E469</f>
        <v>0</v>
      </c>
      <c r="E469" s="60">
        <v>0</v>
      </c>
      <c r="F469" s="60">
        <v>0</v>
      </c>
      <c r="G469" s="60">
        <f>I469+H469</f>
        <v>0</v>
      </c>
      <c r="H469" s="60">
        <v>0</v>
      </c>
      <c r="I469" s="60">
        <v>0</v>
      </c>
      <c r="J469" s="65" t="s">
        <v>222</v>
      </c>
      <c r="K469" s="66" t="s">
        <v>441</v>
      </c>
      <c r="L469" s="55"/>
    </row>
    <row r="470" spans="1:12" ht="12.75" customHeight="1" thickBot="1" x14ac:dyDescent="0.25">
      <c r="A470" s="60">
        <f t="shared" ref="A470:I470" si="260">SUM(A468:A469)</f>
        <v>116</v>
      </c>
      <c r="B470" s="60">
        <f t="shared" si="260"/>
        <v>39</v>
      </c>
      <c r="C470" s="60">
        <f t="shared" si="260"/>
        <v>77</v>
      </c>
      <c r="D470" s="60">
        <f t="shared" si="260"/>
        <v>2</v>
      </c>
      <c r="E470" s="60">
        <f t="shared" si="260"/>
        <v>0</v>
      </c>
      <c r="F470" s="60">
        <f t="shared" si="260"/>
        <v>2</v>
      </c>
      <c r="G470" s="60">
        <f t="shared" si="260"/>
        <v>114</v>
      </c>
      <c r="H470" s="60">
        <f t="shared" si="260"/>
        <v>39</v>
      </c>
      <c r="I470" s="60">
        <f t="shared" si="260"/>
        <v>75</v>
      </c>
      <c r="J470" s="65" t="s">
        <v>13</v>
      </c>
      <c r="K470" s="67"/>
      <c r="L470" s="55"/>
    </row>
    <row r="471" spans="1:12" ht="12.75" customHeight="1" thickBot="1" x14ac:dyDescent="0.25">
      <c r="A471" s="60">
        <f t="shared" ref="A471:C472" si="261">G471+D471</f>
        <v>205</v>
      </c>
      <c r="B471" s="60">
        <f t="shared" si="261"/>
        <v>0</v>
      </c>
      <c r="C471" s="60">
        <f t="shared" si="261"/>
        <v>205</v>
      </c>
      <c r="D471" s="60">
        <f>F471+E471</f>
        <v>1</v>
      </c>
      <c r="E471" s="60">
        <v>0</v>
      </c>
      <c r="F471" s="60">
        <v>1</v>
      </c>
      <c r="G471" s="60">
        <f>I471+H471</f>
        <v>204</v>
      </c>
      <c r="H471" s="60">
        <v>0</v>
      </c>
      <c r="I471" s="60">
        <v>204</v>
      </c>
      <c r="J471" s="65" t="s">
        <v>221</v>
      </c>
      <c r="K471" s="66"/>
      <c r="L471" s="55"/>
    </row>
    <row r="472" spans="1:12" ht="12.75" customHeight="1" thickBot="1" x14ac:dyDescent="0.25">
      <c r="A472" s="60">
        <f t="shared" si="261"/>
        <v>0</v>
      </c>
      <c r="B472" s="60">
        <f t="shared" si="261"/>
        <v>0</v>
      </c>
      <c r="C472" s="60">
        <f t="shared" si="261"/>
        <v>0</v>
      </c>
      <c r="D472" s="60">
        <f>F472+E472</f>
        <v>0</v>
      </c>
      <c r="E472" s="60">
        <v>0</v>
      </c>
      <c r="F472" s="60">
        <v>0</v>
      </c>
      <c r="G472" s="60">
        <f>I472+H472</f>
        <v>0</v>
      </c>
      <c r="H472" s="60">
        <v>0</v>
      </c>
      <c r="I472" s="60">
        <v>0</v>
      </c>
      <c r="J472" s="65" t="s">
        <v>222</v>
      </c>
      <c r="K472" s="66" t="s">
        <v>377</v>
      </c>
      <c r="L472" s="55"/>
    </row>
    <row r="473" spans="1:12" ht="12.75" customHeight="1" thickBot="1" x14ac:dyDescent="0.25">
      <c r="A473" s="60">
        <f t="shared" ref="A473:I473" si="262">SUM(A471:A472)</f>
        <v>205</v>
      </c>
      <c r="B473" s="60">
        <f t="shared" si="262"/>
        <v>0</v>
      </c>
      <c r="C473" s="60">
        <f t="shared" si="262"/>
        <v>205</v>
      </c>
      <c r="D473" s="60">
        <f t="shared" si="262"/>
        <v>1</v>
      </c>
      <c r="E473" s="60">
        <f t="shared" si="262"/>
        <v>0</v>
      </c>
      <c r="F473" s="60">
        <f t="shared" si="262"/>
        <v>1</v>
      </c>
      <c r="G473" s="60">
        <f t="shared" si="262"/>
        <v>204</v>
      </c>
      <c r="H473" s="60">
        <f t="shared" si="262"/>
        <v>0</v>
      </c>
      <c r="I473" s="60">
        <f t="shared" si="262"/>
        <v>204</v>
      </c>
      <c r="J473" s="65" t="s">
        <v>13</v>
      </c>
      <c r="K473" s="67"/>
      <c r="L473" s="55"/>
    </row>
    <row r="474" spans="1:12" ht="12.75" customHeight="1" thickBot="1" x14ac:dyDescent="0.25">
      <c r="A474" s="60">
        <f t="shared" ref="A474:C475" si="263">G474+D474</f>
        <v>556</v>
      </c>
      <c r="B474" s="60">
        <f t="shared" si="263"/>
        <v>168</v>
      </c>
      <c r="C474" s="60">
        <f t="shared" si="263"/>
        <v>388</v>
      </c>
      <c r="D474" s="60">
        <f>F474+E474</f>
        <v>0</v>
      </c>
      <c r="E474" s="60">
        <v>0</v>
      </c>
      <c r="F474" s="60">
        <v>0</v>
      </c>
      <c r="G474" s="60">
        <f>I474+H474</f>
        <v>556</v>
      </c>
      <c r="H474" s="60">
        <v>168</v>
      </c>
      <c r="I474" s="60">
        <v>388</v>
      </c>
      <c r="J474" s="65" t="s">
        <v>221</v>
      </c>
      <c r="K474" s="66"/>
      <c r="L474" s="55"/>
    </row>
    <row r="475" spans="1:12" ht="12.75" customHeight="1" thickBot="1" x14ac:dyDescent="0.25">
      <c r="A475" s="60">
        <f t="shared" si="263"/>
        <v>0</v>
      </c>
      <c r="B475" s="60">
        <f t="shared" si="263"/>
        <v>0</v>
      </c>
      <c r="C475" s="60">
        <f t="shared" si="263"/>
        <v>0</v>
      </c>
      <c r="D475" s="60">
        <f>F475+E475</f>
        <v>0</v>
      </c>
      <c r="E475" s="60">
        <v>0</v>
      </c>
      <c r="F475" s="60">
        <v>0</v>
      </c>
      <c r="G475" s="60">
        <f>I475+H475</f>
        <v>0</v>
      </c>
      <c r="H475" s="60">
        <v>0</v>
      </c>
      <c r="I475" s="60">
        <v>0</v>
      </c>
      <c r="J475" s="65" t="s">
        <v>222</v>
      </c>
      <c r="K475" s="66" t="s">
        <v>359</v>
      </c>
      <c r="L475" s="55"/>
    </row>
    <row r="476" spans="1:12" ht="12.75" customHeight="1" thickBot="1" x14ac:dyDescent="0.25">
      <c r="A476" s="60">
        <f t="shared" ref="A476:I476" si="264">SUM(A474:A475)</f>
        <v>556</v>
      </c>
      <c r="B476" s="60">
        <f t="shared" si="264"/>
        <v>168</v>
      </c>
      <c r="C476" s="60">
        <f t="shared" si="264"/>
        <v>388</v>
      </c>
      <c r="D476" s="60">
        <f t="shared" si="264"/>
        <v>0</v>
      </c>
      <c r="E476" s="60">
        <f t="shared" si="264"/>
        <v>0</v>
      </c>
      <c r="F476" s="60">
        <f t="shared" si="264"/>
        <v>0</v>
      </c>
      <c r="G476" s="60">
        <f t="shared" si="264"/>
        <v>556</v>
      </c>
      <c r="H476" s="60">
        <f t="shared" si="264"/>
        <v>168</v>
      </c>
      <c r="I476" s="60">
        <f t="shared" si="264"/>
        <v>388</v>
      </c>
      <c r="J476" s="65" t="s">
        <v>13</v>
      </c>
      <c r="K476" s="67"/>
      <c r="L476" s="55"/>
    </row>
    <row r="477" spans="1:12" ht="12.75" customHeight="1" thickBot="1" x14ac:dyDescent="0.25">
      <c r="A477" s="60">
        <f t="shared" ref="A477:C478" si="265">G477+D477</f>
        <v>279</v>
      </c>
      <c r="B477" s="60">
        <f t="shared" si="265"/>
        <v>0</v>
      </c>
      <c r="C477" s="60">
        <f t="shared" si="265"/>
        <v>279</v>
      </c>
      <c r="D477" s="60">
        <f>F477+E477</f>
        <v>0</v>
      </c>
      <c r="E477" s="60">
        <v>0</v>
      </c>
      <c r="F477" s="60">
        <v>0</v>
      </c>
      <c r="G477" s="60">
        <f>I477+H477</f>
        <v>279</v>
      </c>
      <c r="H477" s="60">
        <v>0</v>
      </c>
      <c r="I477" s="60">
        <v>279</v>
      </c>
      <c r="J477" s="65" t="s">
        <v>221</v>
      </c>
      <c r="K477" s="66"/>
      <c r="L477" s="55"/>
    </row>
    <row r="478" spans="1:12" ht="12.75" customHeight="1" thickBot="1" x14ac:dyDescent="0.25">
      <c r="A478" s="60">
        <f t="shared" si="265"/>
        <v>0</v>
      </c>
      <c r="B478" s="60">
        <f t="shared" si="265"/>
        <v>0</v>
      </c>
      <c r="C478" s="60">
        <f t="shared" si="265"/>
        <v>0</v>
      </c>
      <c r="D478" s="60">
        <f>F478+E478</f>
        <v>0</v>
      </c>
      <c r="E478" s="60">
        <v>0</v>
      </c>
      <c r="F478" s="60">
        <v>0</v>
      </c>
      <c r="G478" s="60">
        <f>I478+H478</f>
        <v>0</v>
      </c>
      <c r="H478" s="60">
        <v>0</v>
      </c>
      <c r="I478" s="60">
        <v>0</v>
      </c>
      <c r="J478" s="65" t="s">
        <v>222</v>
      </c>
      <c r="K478" s="66" t="s">
        <v>442</v>
      </c>
      <c r="L478" s="55"/>
    </row>
    <row r="479" spans="1:12" ht="12.75" customHeight="1" thickBot="1" x14ac:dyDescent="0.25">
      <c r="A479" s="60">
        <f t="shared" ref="A479:I479" si="266">SUM(A477:A478)</f>
        <v>279</v>
      </c>
      <c r="B479" s="60">
        <f t="shared" si="266"/>
        <v>0</v>
      </c>
      <c r="C479" s="60">
        <f t="shared" si="266"/>
        <v>279</v>
      </c>
      <c r="D479" s="60">
        <f t="shared" si="266"/>
        <v>0</v>
      </c>
      <c r="E479" s="60">
        <f t="shared" si="266"/>
        <v>0</v>
      </c>
      <c r="F479" s="60">
        <f t="shared" si="266"/>
        <v>0</v>
      </c>
      <c r="G479" s="60">
        <f t="shared" si="266"/>
        <v>279</v>
      </c>
      <c r="H479" s="60">
        <f t="shared" si="266"/>
        <v>0</v>
      </c>
      <c r="I479" s="60">
        <f t="shared" si="266"/>
        <v>279</v>
      </c>
      <c r="J479" s="65" t="s">
        <v>13</v>
      </c>
      <c r="K479" s="67"/>
      <c r="L479" s="55"/>
    </row>
    <row r="480" spans="1:12" ht="12.75" customHeight="1" thickBot="1" x14ac:dyDescent="0.25">
      <c r="A480" s="60">
        <f t="shared" ref="A480:C481" si="267">G480+D480</f>
        <v>340</v>
      </c>
      <c r="B480" s="60">
        <f t="shared" si="267"/>
        <v>40</v>
      </c>
      <c r="C480" s="60">
        <f t="shared" si="267"/>
        <v>300</v>
      </c>
      <c r="D480" s="60">
        <f>F480+E480</f>
        <v>0</v>
      </c>
      <c r="E480" s="60">
        <v>0</v>
      </c>
      <c r="F480" s="60">
        <v>0</v>
      </c>
      <c r="G480" s="60">
        <f>I480+H480</f>
        <v>340</v>
      </c>
      <c r="H480" s="60">
        <v>40</v>
      </c>
      <c r="I480" s="60">
        <v>300</v>
      </c>
      <c r="J480" s="65" t="s">
        <v>221</v>
      </c>
      <c r="K480" s="66"/>
      <c r="L480" s="55"/>
    </row>
    <row r="481" spans="1:12" ht="12.75" customHeight="1" thickBot="1" x14ac:dyDescent="0.25">
      <c r="A481" s="60">
        <f t="shared" si="267"/>
        <v>0</v>
      </c>
      <c r="B481" s="60">
        <f t="shared" si="267"/>
        <v>0</v>
      </c>
      <c r="C481" s="60">
        <f t="shared" si="267"/>
        <v>0</v>
      </c>
      <c r="D481" s="60">
        <f>F481+E481</f>
        <v>0</v>
      </c>
      <c r="E481" s="60">
        <v>0</v>
      </c>
      <c r="F481" s="60">
        <v>0</v>
      </c>
      <c r="G481" s="60">
        <f>I481+H481</f>
        <v>0</v>
      </c>
      <c r="H481" s="60">
        <v>0</v>
      </c>
      <c r="I481" s="60">
        <v>0</v>
      </c>
      <c r="J481" s="65" t="s">
        <v>222</v>
      </c>
      <c r="K481" s="66" t="s">
        <v>443</v>
      </c>
      <c r="L481" s="55"/>
    </row>
    <row r="482" spans="1:12" ht="12.75" customHeight="1" thickBot="1" x14ac:dyDescent="0.25">
      <c r="A482" s="60">
        <f t="shared" ref="A482:I482" si="268">SUM(A480:A481)</f>
        <v>340</v>
      </c>
      <c r="B482" s="60">
        <f t="shared" si="268"/>
        <v>40</v>
      </c>
      <c r="C482" s="60">
        <f t="shared" si="268"/>
        <v>300</v>
      </c>
      <c r="D482" s="60">
        <f t="shared" si="268"/>
        <v>0</v>
      </c>
      <c r="E482" s="60">
        <f t="shared" si="268"/>
        <v>0</v>
      </c>
      <c r="F482" s="60">
        <f t="shared" si="268"/>
        <v>0</v>
      </c>
      <c r="G482" s="60">
        <f t="shared" si="268"/>
        <v>340</v>
      </c>
      <c r="H482" s="60">
        <f t="shared" si="268"/>
        <v>40</v>
      </c>
      <c r="I482" s="60">
        <f t="shared" si="268"/>
        <v>300</v>
      </c>
      <c r="J482" s="65" t="s">
        <v>13</v>
      </c>
      <c r="K482" s="67"/>
      <c r="L482" s="55"/>
    </row>
    <row r="483" spans="1:12" ht="12.75" customHeight="1" thickBot="1" x14ac:dyDescent="0.25">
      <c r="A483" s="60">
        <f t="shared" ref="A483:C484" si="269">G483+D483</f>
        <v>190</v>
      </c>
      <c r="B483" s="60">
        <f t="shared" si="269"/>
        <v>190</v>
      </c>
      <c r="C483" s="60">
        <f t="shared" si="269"/>
        <v>0</v>
      </c>
      <c r="D483" s="60">
        <f>F483+E483</f>
        <v>0</v>
      </c>
      <c r="E483" s="60">
        <v>0</v>
      </c>
      <c r="F483" s="60">
        <v>0</v>
      </c>
      <c r="G483" s="60">
        <f>I483+H483</f>
        <v>190</v>
      </c>
      <c r="H483" s="60">
        <v>190</v>
      </c>
      <c r="I483" s="60">
        <v>0</v>
      </c>
      <c r="J483" s="65" t="s">
        <v>221</v>
      </c>
      <c r="K483" s="66"/>
      <c r="L483" s="55"/>
    </row>
    <row r="484" spans="1:12" ht="12.75" customHeight="1" thickBot="1" x14ac:dyDescent="0.25">
      <c r="A484" s="60">
        <f t="shared" si="269"/>
        <v>0</v>
      </c>
      <c r="B484" s="60">
        <f t="shared" si="269"/>
        <v>0</v>
      </c>
      <c r="C484" s="60">
        <f t="shared" si="269"/>
        <v>0</v>
      </c>
      <c r="D484" s="60">
        <f>F484+E484</f>
        <v>0</v>
      </c>
      <c r="E484" s="60">
        <v>0</v>
      </c>
      <c r="F484" s="60">
        <v>0</v>
      </c>
      <c r="G484" s="60">
        <f>I484+H484</f>
        <v>0</v>
      </c>
      <c r="H484" s="60">
        <v>0</v>
      </c>
      <c r="I484" s="60">
        <v>0</v>
      </c>
      <c r="J484" s="65" t="s">
        <v>222</v>
      </c>
      <c r="K484" s="66" t="s">
        <v>444</v>
      </c>
      <c r="L484" s="55"/>
    </row>
    <row r="485" spans="1:12" ht="12.75" customHeight="1" thickBot="1" x14ac:dyDescent="0.25">
      <c r="A485" s="60">
        <f t="shared" ref="A485:I485" si="270">SUM(A483:A484)</f>
        <v>190</v>
      </c>
      <c r="B485" s="60">
        <f t="shared" si="270"/>
        <v>190</v>
      </c>
      <c r="C485" s="60">
        <f t="shared" si="270"/>
        <v>0</v>
      </c>
      <c r="D485" s="60">
        <f t="shared" si="270"/>
        <v>0</v>
      </c>
      <c r="E485" s="60">
        <f t="shared" si="270"/>
        <v>0</v>
      </c>
      <c r="F485" s="60">
        <f t="shared" si="270"/>
        <v>0</v>
      </c>
      <c r="G485" s="60">
        <f t="shared" si="270"/>
        <v>190</v>
      </c>
      <c r="H485" s="60">
        <f t="shared" si="270"/>
        <v>190</v>
      </c>
      <c r="I485" s="60">
        <f t="shared" si="270"/>
        <v>0</v>
      </c>
      <c r="J485" s="65" t="s">
        <v>13</v>
      </c>
      <c r="K485" s="67"/>
      <c r="L485" s="55"/>
    </row>
    <row r="486" spans="1:12" ht="12.75" customHeight="1" thickBot="1" x14ac:dyDescent="0.25">
      <c r="A486" s="60">
        <f t="shared" ref="A486:C487" si="271">G486+D486</f>
        <v>277</v>
      </c>
      <c r="B486" s="60">
        <f t="shared" si="271"/>
        <v>277</v>
      </c>
      <c r="C486" s="60">
        <f t="shared" si="271"/>
        <v>0</v>
      </c>
      <c r="D486" s="60">
        <f>F486+E486</f>
        <v>0</v>
      </c>
      <c r="E486" s="60">
        <v>0</v>
      </c>
      <c r="F486" s="60">
        <v>0</v>
      </c>
      <c r="G486" s="60">
        <f>I486+H486</f>
        <v>277</v>
      </c>
      <c r="H486" s="60">
        <v>277</v>
      </c>
      <c r="I486" s="60">
        <v>0</v>
      </c>
      <c r="J486" s="65" t="s">
        <v>221</v>
      </c>
      <c r="K486" s="66"/>
      <c r="L486" s="55"/>
    </row>
    <row r="487" spans="1:12" ht="12.75" customHeight="1" thickBot="1" x14ac:dyDescent="0.25">
      <c r="A487" s="60">
        <f t="shared" si="271"/>
        <v>0</v>
      </c>
      <c r="B487" s="60">
        <f t="shared" si="271"/>
        <v>0</v>
      </c>
      <c r="C487" s="60">
        <f t="shared" si="271"/>
        <v>0</v>
      </c>
      <c r="D487" s="60">
        <f>F487+E487</f>
        <v>0</v>
      </c>
      <c r="E487" s="60">
        <v>0</v>
      </c>
      <c r="F487" s="60">
        <v>0</v>
      </c>
      <c r="G487" s="60">
        <f>I487+H487</f>
        <v>0</v>
      </c>
      <c r="H487" s="60">
        <v>0</v>
      </c>
      <c r="I487" s="60">
        <v>0</v>
      </c>
      <c r="J487" s="65" t="s">
        <v>222</v>
      </c>
      <c r="K487" s="66" t="s">
        <v>445</v>
      </c>
      <c r="L487" s="55"/>
    </row>
    <row r="488" spans="1:12" ht="12.75" customHeight="1" thickBot="1" x14ac:dyDescent="0.25">
      <c r="A488" s="60">
        <f t="shared" ref="A488:I488" si="272">SUM(A486:A487)</f>
        <v>277</v>
      </c>
      <c r="B488" s="60">
        <f t="shared" si="272"/>
        <v>277</v>
      </c>
      <c r="C488" s="60">
        <f t="shared" si="272"/>
        <v>0</v>
      </c>
      <c r="D488" s="60">
        <f t="shared" si="272"/>
        <v>0</v>
      </c>
      <c r="E488" s="60">
        <f t="shared" si="272"/>
        <v>0</v>
      </c>
      <c r="F488" s="60">
        <f t="shared" si="272"/>
        <v>0</v>
      </c>
      <c r="G488" s="60">
        <f t="shared" si="272"/>
        <v>277</v>
      </c>
      <c r="H488" s="60">
        <f t="shared" si="272"/>
        <v>277</v>
      </c>
      <c r="I488" s="60">
        <f t="shared" si="272"/>
        <v>0</v>
      </c>
      <c r="J488" s="65" t="s">
        <v>13</v>
      </c>
      <c r="K488" s="67"/>
      <c r="L488" s="55"/>
    </row>
    <row r="489" spans="1:12" ht="12.75" customHeight="1" thickBot="1" x14ac:dyDescent="0.25">
      <c r="A489" s="60">
        <f t="shared" ref="A489:C490" si="273">G489+D489</f>
        <v>312</v>
      </c>
      <c r="B489" s="60">
        <f t="shared" si="273"/>
        <v>312</v>
      </c>
      <c r="C489" s="60">
        <f t="shared" si="273"/>
        <v>0</v>
      </c>
      <c r="D489" s="60">
        <f>F489+E489</f>
        <v>0</v>
      </c>
      <c r="E489" s="60">
        <v>0</v>
      </c>
      <c r="F489" s="60">
        <v>0</v>
      </c>
      <c r="G489" s="60">
        <f>I489+H489</f>
        <v>312</v>
      </c>
      <c r="H489" s="60">
        <v>312</v>
      </c>
      <c r="I489" s="60">
        <v>0</v>
      </c>
      <c r="J489" s="65" t="s">
        <v>221</v>
      </c>
      <c r="K489" s="66"/>
      <c r="L489" s="55"/>
    </row>
    <row r="490" spans="1:12" ht="12.75" customHeight="1" thickBot="1" x14ac:dyDescent="0.25">
      <c r="A490" s="60">
        <f t="shared" si="273"/>
        <v>308</v>
      </c>
      <c r="B490" s="60">
        <f t="shared" si="273"/>
        <v>308</v>
      </c>
      <c r="C490" s="60">
        <f t="shared" si="273"/>
        <v>0</v>
      </c>
      <c r="D490" s="60">
        <f>F490+E490</f>
        <v>0</v>
      </c>
      <c r="E490" s="60">
        <v>0</v>
      </c>
      <c r="F490" s="60">
        <v>0</v>
      </c>
      <c r="G490" s="60">
        <f>I490+H490</f>
        <v>308</v>
      </c>
      <c r="H490" s="60">
        <v>308</v>
      </c>
      <c r="I490" s="60">
        <v>0</v>
      </c>
      <c r="J490" s="65" t="s">
        <v>222</v>
      </c>
      <c r="K490" s="66" t="s">
        <v>446</v>
      </c>
      <c r="L490" s="55"/>
    </row>
    <row r="491" spans="1:12" ht="12.75" customHeight="1" thickBot="1" x14ac:dyDescent="0.25">
      <c r="A491" s="60">
        <f t="shared" ref="A491:I491" si="274">SUM(A489:A490)</f>
        <v>620</v>
      </c>
      <c r="B491" s="60">
        <f t="shared" si="274"/>
        <v>620</v>
      </c>
      <c r="C491" s="60">
        <f t="shared" si="274"/>
        <v>0</v>
      </c>
      <c r="D491" s="60">
        <f t="shared" si="274"/>
        <v>0</v>
      </c>
      <c r="E491" s="60">
        <f t="shared" si="274"/>
        <v>0</v>
      </c>
      <c r="F491" s="60">
        <f t="shared" si="274"/>
        <v>0</v>
      </c>
      <c r="G491" s="60">
        <f t="shared" si="274"/>
        <v>620</v>
      </c>
      <c r="H491" s="60">
        <f t="shared" si="274"/>
        <v>620</v>
      </c>
      <c r="I491" s="60">
        <f t="shared" si="274"/>
        <v>0</v>
      </c>
      <c r="J491" s="65" t="s">
        <v>13</v>
      </c>
      <c r="K491" s="67"/>
      <c r="L491" s="55"/>
    </row>
    <row r="492" spans="1:12" ht="12.75" customHeight="1" thickBot="1" x14ac:dyDescent="0.25">
      <c r="A492" s="60">
        <f t="shared" ref="A492:C493" si="275">G492+D492</f>
        <v>514</v>
      </c>
      <c r="B492" s="60">
        <f t="shared" si="275"/>
        <v>514</v>
      </c>
      <c r="C492" s="60">
        <f t="shared" si="275"/>
        <v>0</v>
      </c>
      <c r="D492" s="60">
        <f>F492+E492</f>
        <v>0</v>
      </c>
      <c r="E492" s="60">
        <v>0</v>
      </c>
      <c r="F492" s="60">
        <v>0</v>
      </c>
      <c r="G492" s="60">
        <f>I492+H492</f>
        <v>514</v>
      </c>
      <c r="H492" s="60">
        <v>514</v>
      </c>
      <c r="I492" s="60">
        <v>0</v>
      </c>
      <c r="J492" s="65" t="s">
        <v>221</v>
      </c>
      <c r="K492" s="66"/>
      <c r="L492" s="55"/>
    </row>
    <row r="493" spans="1:12" ht="12.75" customHeight="1" thickBot="1" x14ac:dyDescent="0.25">
      <c r="A493" s="60">
        <f t="shared" si="275"/>
        <v>15</v>
      </c>
      <c r="B493" s="60">
        <f t="shared" si="275"/>
        <v>15</v>
      </c>
      <c r="C493" s="60">
        <f t="shared" si="275"/>
        <v>0</v>
      </c>
      <c r="D493" s="60">
        <f>F493+E493</f>
        <v>0</v>
      </c>
      <c r="E493" s="60">
        <v>0</v>
      </c>
      <c r="F493" s="60">
        <v>0</v>
      </c>
      <c r="G493" s="60">
        <f>I493+H493</f>
        <v>15</v>
      </c>
      <c r="H493" s="60">
        <v>15</v>
      </c>
      <c r="I493" s="60">
        <v>0</v>
      </c>
      <c r="J493" s="65" t="s">
        <v>222</v>
      </c>
      <c r="K493" s="66" t="s">
        <v>447</v>
      </c>
      <c r="L493" s="55"/>
    </row>
    <row r="494" spans="1:12" ht="12.75" customHeight="1" thickBot="1" x14ac:dyDescent="0.25">
      <c r="A494" s="60">
        <f t="shared" ref="A494:I494" si="276">SUM(A492:A493)</f>
        <v>529</v>
      </c>
      <c r="B494" s="60">
        <f t="shared" si="276"/>
        <v>529</v>
      </c>
      <c r="C494" s="60">
        <f t="shared" si="276"/>
        <v>0</v>
      </c>
      <c r="D494" s="60">
        <f t="shared" si="276"/>
        <v>0</v>
      </c>
      <c r="E494" s="60">
        <f t="shared" si="276"/>
        <v>0</v>
      </c>
      <c r="F494" s="60">
        <f t="shared" si="276"/>
        <v>0</v>
      </c>
      <c r="G494" s="60">
        <f t="shared" si="276"/>
        <v>529</v>
      </c>
      <c r="H494" s="60">
        <f t="shared" si="276"/>
        <v>529</v>
      </c>
      <c r="I494" s="60">
        <f t="shared" si="276"/>
        <v>0</v>
      </c>
      <c r="J494" s="65" t="s">
        <v>13</v>
      </c>
      <c r="K494" s="67"/>
      <c r="L494" s="55"/>
    </row>
    <row r="495" spans="1:12" ht="12.75" customHeight="1" thickBot="1" x14ac:dyDescent="0.25">
      <c r="A495" s="60">
        <f t="shared" ref="A495:C496" si="277">G495+D495</f>
        <v>533</v>
      </c>
      <c r="B495" s="60">
        <f t="shared" si="277"/>
        <v>533</v>
      </c>
      <c r="C495" s="60">
        <f t="shared" si="277"/>
        <v>0</v>
      </c>
      <c r="D495" s="60">
        <f>F495+E495</f>
        <v>5</v>
      </c>
      <c r="E495" s="60">
        <v>5</v>
      </c>
      <c r="F495" s="60">
        <v>0</v>
      </c>
      <c r="G495" s="60">
        <f>I495+H495</f>
        <v>528</v>
      </c>
      <c r="H495" s="60">
        <v>528</v>
      </c>
      <c r="I495" s="60">
        <v>0</v>
      </c>
      <c r="J495" s="65" t="s">
        <v>221</v>
      </c>
      <c r="K495" s="66"/>
      <c r="L495" s="55"/>
    </row>
    <row r="496" spans="1:12" ht="12.75" customHeight="1" thickBot="1" x14ac:dyDescent="0.25">
      <c r="A496" s="60">
        <f t="shared" si="277"/>
        <v>68</v>
      </c>
      <c r="B496" s="60">
        <f t="shared" si="277"/>
        <v>68</v>
      </c>
      <c r="C496" s="60">
        <f t="shared" si="277"/>
        <v>0</v>
      </c>
      <c r="D496" s="60">
        <f>F496+E496</f>
        <v>0</v>
      </c>
      <c r="E496" s="60">
        <v>0</v>
      </c>
      <c r="F496" s="60">
        <v>0</v>
      </c>
      <c r="G496" s="60">
        <f>I496+H496</f>
        <v>68</v>
      </c>
      <c r="H496" s="60">
        <v>68</v>
      </c>
      <c r="I496" s="60">
        <v>0</v>
      </c>
      <c r="J496" s="65" t="s">
        <v>222</v>
      </c>
      <c r="K496" s="66" t="s">
        <v>448</v>
      </c>
      <c r="L496" s="55"/>
    </row>
    <row r="497" spans="1:12" ht="12.75" customHeight="1" thickBot="1" x14ac:dyDescent="0.25">
      <c r="A497" s="60">
        <f t="shared" ref="A497:I497" si="278">SUM(A495:A496)</f>
        <v>601</v>
      </c>
      <c r="B497" s="60">
        <f t="shared" si="278"/>
        <v>601</v>
      </c>
      <c r="C497" s="60">
        <f t="shared" si="278"/>
        <v>0</v>
      </c>
      <c r="D497" s="60">
        <f t="shared" si="278"/>
        <v>5</v>
      </c>
      <c r="E497" s="60">
        <f t="shared" si="278"/>
        <v>5</v>
      </c>
      <c r="F497" s="60">
        <f t="shared" si="278"/>
        <v>0</v>
      </c>
      <c r="G497" s="60">
        <f t="shared" si="278"/>
        <v>596</v>
      </c>
      <c r="H497" s="60">
        <f t="shared" si="278"/>
        <v>596</v>
      </c>
      <c r="I497" s="60">
        <f t="shared" si="278"/>
        <v>0</v>
      </c>
      <c r="J497" s="65" t="s">
        <v>13</v>
      </c>
      <c r="K497" s="67"/>
      <c r="L497" s="55"/>
    </row>
    <row r="498" spans="1:12" ht="12.75" customHeight="1" thickBot="1" x14ac:dyDescent="0.25">
      <c r="A498" s="60">
        <f t="shared" ref="A498:C499" si="279">G498+D498</f>
        <v>520</v>
      </c>
      <c r="B498" s="60">
        <f t="shared" si="279"/>
        <v>520</v>
      </c>
      <c r="C498" s="60">
        <f t="shared" si="279"/>
        <v>0</v>
      </c>
      <c r="D498" s="60">
        <f>F498+E498</f>
        <v>1</v>
      </c>
      <c r="E498" s="60">
        <v>1</v>
      </c>
      <c r="F498" s="60">
        <v>0</v>
      </c>
      <c r="G498" s="60">
        <f>I498+H498</f>
        <v>519</v>
      </c>
      <c r="H498" s="60">
        <v>519</v>
      </c>
      <c r="I498" s="60">
        <v>0</v>
      </c>
      <c r="J498" s="65" t="s">
        <v>221</v>
      </c>
      <c r="K498" s="66"/>
      <c r="L498" s="55"/>
    </row>
    <row r="499" spans="1:12" ht="12.75" customHeight="1" thickBot="1" x14ac:dyDescent="0.25">
      <c r="A499" s="60">
        <f t="shared" si="279"/>
        <v>602</v>
      </c>
      <c r="B499" s="60">
        <f t="shared" si="279"/>
        <v>602</v>
      </c>
      <c r="C499" s="60">
        <f t="shared" si="279"/>
        <v>0</v>
      </c>
      <c r="D499" s="60">
        <f>F499+E499</f>
        <v>0</v>
      </c>
      <c r="E499" s="60">
        <v>0</v>
      </c>
      <c r="F499" s="60">
        <v>0</v>
      </c>
      <c r="G499" s="60">
        <f>I499+H499</f>
        <v>602</v>
      </c>
      <c r="H499" s="60">
        <f>581+21</f>
        <v>602</v>
      </c>
      <c r="I499" s="60">
        <v>0</v>
      </c>
      <c r="J499" s="65" t="s">
        <v>222</v>
      </c>
      <c r="K499" s="66" t="s">
        <v>449</v>
      </c>
      <c r="L499" s="55"/>
    </row>
    <row r="500" spans="1:12" ht="12.75" customHeight="1" thickBot="1" x14ac:dyDescent="0.25">
      <c r="A500" s="60">
        <f t="shared" ref="A500:I500" si="280">SUM(A498:A499)</f>
        <v>1122</v>
      </c>
      <c r="B500" s="60">
        <f t="shared" si="280"/>
        <v>1122</v>
      </c>
      <c r="C500" s="60">
        <f t="shared" si="280"/>
        <v>0</v>
      </c>
      <c r="D500" s="60">
        <f t="shared" si="280"/>
        <v>1</v>
      </c>
      <c r="E500" s="60">
        <f t="shared" si="280"/>
        <v>1</v>
      </c>
      <c r="F500" s="60">
        <f t="shared" si="280"/>
        <v>0</v>
      </c>
      <c r="G500" s="60">
        <f t="shared" si="280"/>
        <v>1121</v>
      </c>
      <c r="H500" s="60">
        <f t="shared" si="280"/>
        <v>1121</v>
      </c>
      <c r="I500" s="60">
        <f t="shared" si="280"/>
        <v>0</v>
      </c>
      <c r="J500" s="65" t="s">
        <v>13</v>
      </c>
      <c r="K500" s="67"/>
      <c r="L500" s="55"/>
    </row>
    <row r="501" spans="1:12" ht="12.75" customHeight="1" thickBot="1" x14ac:dyDescent="0.25">
      <c r="A501" s="60">
        <f t="shared" ref="A501:C502" si="281">G501+D501</f>
        <v>86</v>
      </c>
      <c r="B501" s="60">
        <f t="shared" si="281"/>
        <v>8</v>
      </c>
      <c r="C501" s="60">
        <f t="shared" si="281"/>
        <v>78</v>
      </c>
      <c r="D501" s="60">
        <f>F501+E501</f>
        <v>2</v>
      </c>
      <c r="E501" s="60">
        <v>0</v>
      </c>
      <c r="F501" s="60">
        <v>2</v>
      </c>
      <c r="G501" s="60">
        <f>I501+H501</f>
        <v>84</v>
      </c>
      <c r="H501" s="60">
        <v>8</v>
      </c>
      <c r="I501" s="60">
        <v>76</v>
      </c>
      <c r="J501" s="65" t="s">
        <v>221</v>
      </c>
      <c r="K501" s="66"/>
      <c r="L501" s="55"/>
    </row>
    <row r="502" spans="1:12" ht="12.75" customHeight="1" thickBot="1" x14ac:dyDescent="0.25">
      <c r="A502" s="60">
        <f t="shared" si="281"/>
        <v>0</v>
      </c>
      <c r="B502" s="60">
        <f t="shared" si="281"/>
        <v>0</v>
      </c>
      <c r="C502" s="60">
        <f t="shared" si="281"/>
        <v>0</v>
      </c>
      <c r="D502" s="60">
        <f>F502+E502</f>
        <v>0</v>
      </c>
      <c r="E502" s="60">
        <v>0</v>
      </c>
      <c r="F502" s="60">
        <v>0</v>
      </c>
      <c r="G502" s="60">
        <f>I502+H502</f>
        <v>0</v>
      </c>
      <c r="H502" s="60">
        <v>0</v>
      </c>
      <c r="I502" s="60">
        <v>0</v>
      </c>
      <c r="J502" s="65" t="s">
        <v>222</v>
      </c>
      <c r="K502" s="66" t="s">
        <v>364</v>
      </c>
      <c r="L502" s="55"/>
    </row>
    <row r="503" spans="1:12" ht="12.75" customHeight="1" thickBot="1" x14ac:dyDescent="0.25">
      <c r="A503" s="60">
        <f t="shared" ref="A503:I503" si="282">SUM(A501:A502)</f>
        <v>86</v>
      </c>
      <c r="B503" s="60">
        <f t="shared" si="282"/>
        <v>8</v>
      </c>
      <c r="C503" s="60">
        <f t="shared" si="282"/>
        <v>78</v>
      </c>
      <c r="D503" s="60">
        <f t="shared" si="282"/>
        <v>2</v>
      </c>
      <c r="E503" s="60">
        <f t="shared" si="282"/>
        <v>0</v>
      </c>
      <c r="F503" s="60">
        <f t="shared" si="282"/>
        <v>2</v>
      </c>
      <c r="G503" s="60">
        <f t="shared" si="282"/>
        <v>84</v>
      </c>
      <c r="H503" s="60">
        <f t="shared" si="282"/>
        <v>8</v>
      </c>
      <c r="I503" s="60">
        <f t="shared" si="282"/>
        <v>76</v>
      </c>
      <c r="J503" s="65" t="s">
        <v>13</v>
      </c>
      <c r="K503" s="67"/>
      <c r="L503" s="55"/>
    </row>
    <row r="504" spans="1:12" ht="12.75" customHeight="1" thickBot="1" x14ac:dyDescent="0.25">
      <c r="A504" s="60">
        <f t="shared" ref="A504:C505" si="283">G504+D504</f>
        <v>871</v>
      </c>
      <c r="B504" s="60">
        <f t="shared" si="283"/>
        <v>30</v>
      </c>
      <c r="C504" s="60">
        <f t="shared" si="283"/>
        <v>841</v>
      </c>
      <c r="D504" s="60">
        <f>F504+E504</f>
        <v>3</v>
      </c>
      <c r="E504" s="60">
        <v>0</v>
      </c>
      <c r="F504" s="60">
        <v>3</v>
      </c>
      <c r="G504" s="60">
        <f>I504+H504</f>
        <v>868</v>
      </c>
      <c r="H504" s="60">
        <v>30</v>
      </c>
      <c r="I504" s="60">
        <f>613+225</f>
        <v>838</v>
      </c>
      <c r="J504" s="65" t="s">
        <v>221</v>
      </c>
      <c r="K504" s="66"/>
      <c r="L504" s="55"/>
    </row>
    <row r="505" spans="1:12" ht="12.75" customHeight="1" thickBot="1" x14ac:dyDescent="0.25">
      <c r="A505" s="60">
        <f t="shared" si="283"/>
        <v>0</v>
      </c>
      <c r="B505" s="60">
        <f t="shared" si="283"/>
        <v>0</v>
      </c>
      <c r="C505" s="60">
        <f t="shared" si="283"/>
        <v>0</v>
      </c>
      <c r="D505" s="60">
        <f>F505+E505</f>
        <v>0</v>
      </c>
      <c r="E505" s="60">
        <v>0</v>
      </c>
      <c r="F505" s="60">
        <v>0</v>
      </c>
      <c r="G505" s="60">
        <f>I505+H505</f>
        <v>0</v>
      </c>
      <c r="H505" s="60">
        <v>0</v>
      </c>
      <c r="I505" s="60">
        <v>0</v>
      </c>
      <c r="J505" s="65" t="s">
        <v>222</v>
      </c>
      <c r="K505" s="66" t="s">
        <v>392</v>
      </c>
      <c r="L505" s="55"/>
    </row>
    <row r="506" spans="1:12" ht="12.75" customHeight="1" thickBot="1" x14ac:dyDescent="0.25">
      <c r="A506" s="60">
        <f t="shared" ref="A506:I506" si="284">SUM(A504:A505)</f>
        <v>871</v>
      </c>
      <c r="B506" s="60">
        <f t="shared" si="284"/>
        <v>30</v>
      </c>
      <c r="C506" s="60">
        <f t="shared" si="284"/>
        <v>841</v>
      </c>
      <c r="D506" s="60">
        <f t="shared" si="284"/>
        <v>3</v>
      </c>
      <c r="E506" s="60">
        <f t="shared" si="284"/>
        <v>0</v>
      </c>
      <c r="F506" s="60">
        <f t="shared" si="284"/>
        <v>3</v>
      </c>
      <c r="G506" s="60">
        <f t="shared" si="284"/>
        <v>868</v>
      </c>
      <c r="H506" s="60">
        <f t="shared" si="284"/>
        <v>30</v>
      </c>
      <c r="I506" s="60">
        <f t="shared" si="284"/>
        <v>838</v>
      </c>
      <c r="J506" s="65" t="s">
        <v>13</v>
      </c>
      <c r="K506" s="67"/>
      <c r="L506" s="55"/>
    </row>
    <row r="507" spans="1:12" ht="12.75" customHeight="1" thickBot="1" x14ac:dyDescent="0.25">
      <c r="A507" s="60">
        <f t="shared" ref="A507:C508" si="285">G507+D507</f>
        <v>34</v>
      </c>
      <c r="B507" s="60">
        <f t="shared" si="285"/>
        <v>6</v>
      </c>
      <c r="C507" s="60">
        <f t="shared" si="285"/>
        <v>28</v>
      </c>
      <c r="D507" s="60">
        <f>F507+E507</f>
        <v>0</v>
      </c>
      <c r="E507" s="60">
        <v>0</v>
      </c>
      <c r="F507" s="60">
        <v>0</v>
      </c>
      <c r="G507" s="60">
        <f>I507+H507</f>
        <v>34</v>
      </c>
      <c r="H507" s="60">
        <v>6</v>
      </c>
      <c r="I507" s="60">
        <v>28</v>
      </c>
      <c r="J507" s="65" t="s">
        <v>221</v>
      </c>
      <c r="K507" s="66"/>
      <c r="L507" s="55"/>
    </row>
    <row r="508" spans="1:12" ht="12.75" customHeight="1" thickBot="1" x14ac:dyDescent="0.25">
      <c r="A508" s="60">
        <f t="shared" si="285"/>
        <v>0</v>
      </c>
      <c r="B508" s="60">
        <f t="shared" si="285"/>
        <v>0</v>
      </c>
      <c r="C508" s="60">
        <f t="shared" si="285"/>
        <v>0</v>
      </c>
      <c r="D508" s="60">
        <f>F508+E508</f>
        <v>0</v>
      </c>
      <c r="E508" s="60">
        <v>0</v>
      </c>
      <c r="F508" s="60">
        <v>0</v>
      </c>
      <c r="G508" s="60">
        <f>I508+H508</f>
        <v>0</v>
      </c>
      <c r="H508" s="60">
        <v>0</v>
      </c>
      <c r="I508" s="60">
        <v>0</v>
      </c>
      <c r="J508" s="65" t="s">
        <v>222</v>
      </c>
      <c r="K508" s="66" t="s">
        <v>376</v>
      </c>
      <c r="L508" s="55"/>
    </row>
    <row r="509" spans="1:12" ht="12.75" customHeight="1" thickBot="1" x14ac:dyDescent="0.25">
      <c r="A509" s="60">
        <f t="shared" ref="A509:I509" si="286">SUM(A507:A508)</f>
        <v>34</v>
      </c>
      <c r="B509" s="60">
        <f t="shared" si="286"/>
        <v>6</v>
      </c>
      <c r="C509" s="60">
        <f t="shared" si="286"/>
        <v>28</v>
      </c>
      <c r="D509" s="60">
        <f t="shared" si="286"/>
        <v>0</v>
      </c>
      <c r="E509" s="60">
        <f t="shared" si="286"/>
        <v>0</v>
      </c>
      <c r="F509" s="60">
        <f t="shared" si="286"/>
        <v>0</v>
      </c>
      <c r="G509" s="60">
        <f t="shared" si="286"/>
        <v>34</v>
      </c>
      <c r="H509" s="60">
        <f t="shared" si="286"/>
        <v>6</v>
      </c>
      <c r="I509" s="60">
        <f t="shared" si="286"/>
        <v>28</v>
      </c>
      <c r="J509" s="65" t="s">
        <v>13</v>
      </c>
      <c r="K509" s="67"/>
      <c r="L509" s="55"/>
    </row>
    <row r="510" spans="1:12" ht="12.75" customHeight="1" thickBot="1" x14ac:dyDescent="0.25">
      <c r="A510" s="60">
        <f t="shared" ref="A510:C511" si="287">G510+D510</f>
        <v>37</v>
      </c>
      <c r="B510" s="60">
        <f t="shared" si="287"/>
        <v>0</v>
      </c>
      <c r="C510" s="60">
        <f t="shared" si="287"/>
        <v>37</v>
      </c>
      <c r="D510" s="60">
        <f>F510+E510</f>
        <v>0</v>
      </c>
      <c r="E510" s="60">
        <v>0</v>
      </c>
      <c r="F510" s="60">
        <v>0</v>
      </c>
      <c r="G510" s="60">
        <f>I510+H510</f>
        <v>37</v>
      </c>
      <c r="H510" s="60">
        <v>0</v>
      </c>
      <c r="I510" s="60">
        <v>37</v>
      </c>
      <c r="J510" s="65" t="s">
        <v>221</v>
      </c>
      <c r="K510" s="66"/>
      <c r="L510" s="55"/>
    </row>
    <row r="511" spans="1:12" ht="12.75" customHeight="1" thickBot="1" x14ac:dyDescent="0.25">
      <c r="A511" s="60">
        <f t="shared" si="287"/>
        <v>0</v>
      </c>
      <c r="B511" s="60">
        <f t="shared" si="287"/>
        <v>0</v>
      </c>
      <c r="C511" s="60">
        <f t="shared" si="287"/>
        <v>0</v>
      </c>
      <c r="D511" s="60">
        <f>F511+E511</f>
        <v>0</v>
      </c>
      <c r="E511" s="60">
        <v>0</v>
      </c>
      <c r="F511" s="60">
        <v>0</v>
      </c>
      <c r="G511" s="60">
        <f>I511+H511</f>
        <v>0</v>
      </c>
      <c r="H511" s="60">
        <v>0</v>
      </c>
      <c r="I511" s="60">
        <v>0</v>
      </c>
      <c r="J511" s="65" t="s">
        <v>222</v>
      </c>
      <c r="K511" s="66" t="s">
        <v>337</v>
      </c>
      <c r="L511" s="55"/>
    </row>
    <row r="512" spans="1:12" ht="12.75" customHeight="1" thickBot="1" x14ac:dyDescent="0.25">
      <c r="A512" s="60">
        <f t="shared" ref="A512:I512" si="288">SUM(A510:A511)</f>
        <v>37</v>
      </c>
      <c r="B512" s="60">
        <f t="shared" si="288"/>
        <v>0</v>
      </c>
      <c r="C512" s="60">
        <f t="shared" si="288"/>
        <v>37</v>
      </c>
      <c r="D512" s="60">
        <f t="shared" si="288"/>
        <v>0</v>
      </c>
      <c r="E512" s="60">
        <f t="shared" si="288"/>
        <v>0</v>
      </c>
      <c r="F512" s="60">
        <f t="shared" si="288"/>
        <v>0</v>
      </c>
      <c r="G512" s="60">
        <f t="shared" si="288"/>
        <v>37</v>
      </c>
      <c r="H512" s="60">
        <f t="shared" si="288"/>
        <v>0</v>
      </c>
      <c r="I512" s="60">
        <f t="shared" si="288"/>
        <v>37</v>
      </c>
      <c r="J512" s="65" t="s">
        <v>13</v>
      </c>
      <c r="K512" s="67"/>
      <c r="L512" s="55"/>
    </row>
    <row r="513" spans="1:13" ht="12.75" customHeight="1" thickBot="1" x14ac:dyDescent="0.25">
      <c r="A513" s="60">
        <f t="shared" ref="A513:C514" si="289">G513+D513</f>
        <v>62</v>
      </c>
      <c r="B513" s="60">
        <f t="shared" si="289"/>
        <v>22</v>
      </c>
      <c r="C513" s="60">
        <f t="shared" si="289"/>
        <v>40</v>
      </c>
      <c r="D513" s="60">
        <f>F513+E513</f>
        <v>0</v>
      </c>
      <c r="E513" s="60">
        <v>0</v>
      </c>
      <c r="F513" s="60">
        <v>0</v>
      </c>
      <c r="G513" s="60">
        <f>I513+H513</f>
        <v>62</v>
      </c>
      <c r="H513" s="60">
        <v>22</v>
      </c>
      <c r="I513" s="60">
        <v>40</v>
      </c>
      <c r="J513" s="65" t="s">
        <v>221</v>
      </c>
      <c r="K513" s="66"/>
      <c r="L513" s="55"/>
    </row>
    <row r="514" spans="1:13" ht="12.75" customHeight="1" thickBot="1" x14ac:dyDescent="0.25">
      <c r="A514" s="60">
        <f t="shared" si="289"/>
        <v>0</v>
      </c>
      <c r="B514" s="60">
        <f t="shared" si="289"/>
        <v>0</v>
      </c>
      <c r="C514" s="60">
        <f t="shared" si="289"/>
        <v>0</v>
      </c>
      <c r="D514" s="60">
        <f>F514+E514</f>
        <v>0</v>
      </c>
      <c r="E514" s="60">
        <v>0</v>
      </c>
      <c r="F514" s="60">
        <v>0</v>
      </c>
      <c r="G514" s="60">
        <f>I514+H514</f>
        <v>0</v>
      </c>
      <c r="H514" s="60">
        <v>0</v>
      </c>
      <c r="I514" s="60">
        <v>0</v>
      </c>
      <c r="J514" s="65" t="s">
        <v>222</v>
      </c>
      <c r="K514" s="66" t="s">
        <v>264</v>
      </c>
      <c r="L514" s="55"/>
    </row>
    <row r="515" spans="1:13" ht="12.75" customHeight="1" thickBot="1" x14ac:dyDescent="0.25">
      <c r="A515" s="60">
        <f t="shared" ref="A515:I515" si="290">SUM(A513:A514)</f>
        <v>62</v>
      </c>
      <c r="B515" s="60">
        <f t="shared" si="290"/>
        <v>22</v>
      </c>
      <c r="C515" s="60">
        <f t="shared" si="290"/>
        <v>40</v>
      </c>
      <c r="D515" s="60">
        <f t="shared" si="290"/>
        <v>0</v>
      </c>
      <c r="E515" s="60">
        <f t="shared" si="290"/>
        <v>0</v>
      </c>
      <c r="F515" s="60">
        <f t="shared" si="290"/>
        <v>0</v>
      </c>
      <c r="G515" s="60">
        <f t="shared" si="290"/>
        <v>62</v>
      </c>
      <c r="H515" s="60">
        <f t="shared" si="290"/>
        <v>22</v>
      </c>
      <c r="I515" s="60">
        <f t="shared" si="290"/>
        <v>40</v>
      </c>
      <c r="J515" s="65" t="s">
        <v>13</v>
      </c>
      <c r="K515" s="67"/>
      <c r="L515" s="55"/>
    </row>
    <row r="516" spans="1:13" ht="12.75" customHeight="1" thickBot="1" x14ac:dyDescent="0.25">
      <c r="A516" s="60">
        <f t="shared" ref="A516:C517" si="291">G516+D516</f>
        <v>1</v>
      </c>
      <c r="B516" s="60">
        <f t="shared" si="291"/>
        <v>1</v>
      </c>
      <c r="C516" s="60">
        <f t="shared" si="291"/>
        <v>0</v>
      </c>
      <c r="D516" s="60">
        <f>F516+E516</f>
        <v>1</v>
      </c>
      <c r="E516" s="60">
        <v>1</v>
      </c>
      <c r="F516" s="60">
        <v>0</v>
      </c>
      <c r="G516" s="60">
        <f>I516+H516</f>
        <v>0</v>
      </c>
      <c r="H516" s="60">
        <v>0</v>
      </c>
      <c r="I516" s="60">
        <v>0</v>
      </c>
      <c r="J516" s="65" t="s">
        <v>221</v>
      </c>
      <c r="K516" s="66"/>
      <c r="L516" s="55"/>
      <c r="M516" s="69"/>
    </row>
    <row r="517" spans="1:13" ht="12.75" customHeight="1" thickBot="1" x14ac:dyDescent="0.25">
      <c r="A517" s="60">
        <f t="shared" si="291"/>
        <v>0</v>
      </c>
      <c r="B517" s="60">
        <f t="shared" si="291"/>
        <v>0</v>
      </c>
      <c r="C517" s="60">
        <f t="shared" si="291"/>
        <v>0</v>
      </c>
      <c r="D517" s="60">
        <f>F517+E517</f>
        <v>0</v>
      </c>
      <c r="E517" s="60">
        <v>0</v>
      </c>
      <c r="F517" s="60">
        <v>0</v>
      </c>
      <c r="G517" s="60">
        <f>I517+H517</f>
        <v>0</v>
      </c>
      <c r="H517" s="60">
        <v>0</v>
      </c>
      <c r="I517" s="60">
        <v>0</v>
      </c>
      <c r="J517" s="65" t="s">
        <v>222</v>
      </c>
      <c r="K517" s="66" t="s">
        <v>450</v>
      </c>
      <c r="L517" s="55"/>
    </row>
    <row r="518" spans="1:13" ht="12.75" customHeight="1" thickBot="1" x14ac:dyDescent="0.25">
      <c r="A518" s="60">
        <f t="shared" ref="A518:I518" si="292">SUM(A516:A517)</f>
        <v>1</v>
      </c>
      <c r="B518" s="60">
        <f t="shared" si="292"/>
        <v>1</v>
      </c>
      <c r="C518" s="60">
        <f t="shared" si="292"/>
        <v>0</v>
      </c>
      <c r="D518" s="60">
        <f t="shared" si="292"/>
        <v>1</v>
      </c>
      <c r="E518" s="60">
        <f t="shared" si="292"/>
        <v>1</v>
      </c>
      <c r="F518" s="60">
        <f t="shared" si="292"/>
        <v>0</v>
      </c>
      <c r="G518" s="60">
        <f t="shared" si="292"/>
        <v>0</v>
      </c>
      <c r="H518" s="60">
        <f t="shared" si="292"/>
        <v>0</v>
      </c>
      <c r="I518" s="60">
        <f t="shared" si="292"/>
        <v>0</v>
      </c>
      <c r="J518" s="65" t="s">
        <v>13</v>
      </c>
      <c r="K518" s="67"/>
      <c r="L518" s="55"/>
    </row>
    <row r="519" spans="1:13" ht="12.75" customHeight="1" thickBot="1" x14ac:dyDescent="0.25">
      <c r="A519" s="60">
        <f t="shared" ref="A519:C520" si="293">G519+D519</f>
        <v>351</v>
      </c>
      <c r="B519" s="60">
        <f t="shared" si="293"/>
        <v>351</v>
      </c>
      <c r="C519" s="60">
        <f t="shared" si="293"/>
        <v>0</v>
      </c>
      <c r="D519" s="60">
        <f>F519+E519</f>
        <v>0</v>
      </c>
      <c r="E519" s="60">
        <v>0</v>
      </c>
      <c r="F519" s="60">
        <v>0</v>
      </c>
      <c r="G519" s="60">
        <f>I519+H519</f>
        <v>351</v>
      </c>
      <c r="H519" s="60">
        <v>351</v>
      </c>
      <c r="I519" s="60">
        <v>0</v>
      </c>
      <c r="J519" s="65" t="s">
        <v>221</v>
      </c>
      <c r="K519" s="66"/>
      <c r="L519" s="55"/>
    </row>
    <row r="520" spans="1:13" ht="12.75" customHeight="1" thickBot="1" x14ac:dyDescent="0.25">
      <c r="A520" s="60">
        <f t="shared" si="293"/>
        <v>220</v>
      </c>
      <c r="B520" s="60">
        <f t="shared" si="293"/>
        <v>220</v>
      </c>
      <c r="C520" s="60">
        <f t="shared" si="293"/>
        <v>0</v>
      </c>
      <c r="D520" s="60">
        <f>F520+E520</f>
        <v>0</v>
      </c>
      <c r="E520" s="60">
        <v>0</v>
      </c>
      <c r="F520" s="60">
        <v>0</v>
      </c>
      <c r="G520" s="60">
        <f>I520+H520</f>
        <v>220</v>
      </c>
      <c r="H520" s="60">
        <v>220</v>
      </c>
      <c r="I520" s="60">
        <v>0</v>
      </c>
      <c r="J520" s="65" t="s">
        <v>222</v>
      </c>
      <c r="K520" s="66" t="s">
        <v>451</v>
      </c>
      <c r="L520" s="55"/>
    </row>
    <row r="521" spans="1:13" ht="12.75" customHeight="1" thickBot="1" x14ac:dyDescent="0.25">
      <c r="A521" s="60">
        <f t="shared" ref="A521:I521" si="294">SUM(A519:A520)</f>
        <v>571</v>
      </c>
      <c r="B521" s="60">
        <f t="shared" si="294"/>
        <v>571</v>
      </c>
      <c r="C521" s="60">
        <f t="shared" si="294"/>
        <v>0</v>
      </c>
      <c r="D521" s="60">
        <f t="shared" si="294"/>
        <v>0</v>
      </c>
      <c r="E521" s="60">
        <f t="shared" si="294"/>
        <v>0</v>
      </c>
      <c r="F521" s="60">
        <f t="shared" si="294"/>
        <v>0</v>
      </c>
      <c r="G521" s="60">
        <f t="shared" si="294"/>
        <v>571</v>
      </c>
      <c r="H521" s="60">
        <f t="shared" si="294"/>
        <v>571</v>
      </c>
      <c r="I521" s="60">
        <f t="shared" si="294"/>
        <v>0</v>
      </c>
      <c r="J521" s="65" t="s">
        <v>13</v>
      </c>
      <c r="K521" s="67"/>
      <c r="L521" s="55"/>
    </row>
    <row r="522" spans="1:13" ht="12.75" customHeight="1" thickBot="1" x14ac:dyDescent="0.25">
      <c r="A522" s="60">
        <f t="shared" ref="A522:C523" si="295">G522+D522</f>
        <v>237</v>
      </c>
      <c r="B522" s="60">
        <f t="shared" si="295"/>
        <v>237</v>
      </c>
      <c r="C522" s="60">
        <f t="shared" si="295"/>
        <v>0</v>
      </c>
      <c r="D522" s="60">
        <f>F522+E522</f>
        <v>0</v>
      </c>
      <c r="E522" s="60">
        <v>0</v>
      </c>
      <c r="F522" s="60">
        <v>0</v>
      </c>
      <c r="G522" s="60">
        <f>I522+H522</f>
        <v>237</v>
      </c>
      <c r="H522" s="60">
        <v>237</v>
      </c>
      <c r="I522" s="60">
        <v>0</v>
      </c>
      <c r="J522" s="65" t="s">
        <v>221</v>
      </c>
      <c r="K522" s="66"/>
      <c r="L522" s="55"/>
    </row>
    <row r="523" spans="1:13" ht="12.75" customHeight="1" thickBot="1" x14ac:dyDescent="0.25">
      <c r="A523" s="60">
        <f t="shared" si="295"/>
        <v>121</v>
      </c>
      <c r="B523" s="60">
        <f t="shared" si="295"/>
        <v>121</v>
      </c>
      <c r="C523" s="60">
        <f t="shared" si="295"/>
        <v>0</v>
      </c>
      <c r="D523" s="60">
        <f>F523+E523</f>
        <v>0</v>
      </c>
      <c r="E523" s="60">
        <v>0</v>
      </c>
      <c r="F523" s="60">
        <v>0</v>
      </c>
      <c r="G523" s="60">
        <f>I523+H523</f>
        <v>121</v>
      </c>
      <c r="H523" s="60">
        <v>121</v>
      </c>
      <c r="I523" s="60">
        <v>0</v>
      </c>
      <c r="J523" s="65" t="s">
        <v>222</v>
      </c>
      <c r="K523" s="66" t="s">
        <v>452</v>
      </c>
      <c r="L523" s="55"/>
    </row>
    <row r="524" spans="1:13" ht="12.75" customHeight="1" thickBot="1" x14ac:dyDescent="0.25">
      <c r="A524" s="60">
        <f t="shared" ref="A524:I524" si="296">SUM(A522:A523)</f>
        <v>358</v>
      </c>
      <c r="B524" s="60">
        <f t="shared" si="296"/>
        <v>358</v>
      </c>
      <c r="C524" s="60">
        <f t="shared" si="296"/>
        <v>0</v>
      </c>
      <c r="D524" s="60">
        <f t="shared" si="296"/>
        <v>0</v>
      </c>
      <c r="E524" s="60">
        <f t="shared" si="296"/>
        <v>0</v>
      </c>
      <c r="F524" s="60">
        <f t="shared" si="296"/>
        <v>0</v>
      </c>
      <c r="G524" s="60">
        <f t="shared" si="296"/>
        <v>358</v>
      </c>
      <c r="H524" s="60">
        <f t="shared" si="296"/>
        <v>358</v>
      </c>
      <c r="I524" s="60">
        <f t="shared" si="296"/>
        <v>0</v>
      </c>
      <c r="J524" s="65" t="s">
        <v>13</v>
      </c>
      <c r="K524" s="67"/>
      <c r="L524" s="55"/>
    </row>
    <row r="525" spans="1:13" ht="12.75" customHeight="1" thickBot="1" x14ac:dyDescent="0.25">
      <c r="A525" s="60">
        <f t="shared" ref="A525:C526" si="297">G525+D525</f>
        <v>15</v>
      </c>
      <c r="B525" s="60">
        <f t="shared" si="297"/>
        <v>15</v>
      </c>
      <c r="C525" s="60">
        <f t="shared" si="297"/>
        <v>0</v>
      </c>
      <c r="D525" s="60">
        <f>F525+E525</f>
        <v>0</v>
      </c>
      <c r="E525" s="60">
        <v>0</v>
      </c>
      <c r="F525" s="60">
        <v>0</v>
      </c>
      <c r="G525" s="60">
        <f>I525+H525</f>
        <v>15</v>
      </c>
      <c r="H525" s="60">
        <v>15</v>
      </c>
      <c r="I525" s="60">
        <v>0</v>
      </c>
      <c r="J525" s="65" t="s">
        <v>221</v>
      </c>
      <c r="K525" s="66"/>
      <c r="L525" s="55"/>
    </row>
    <row r="526" spans="1:13" ht="12.75" customHeight="1" thickBot="1" x14ac:dyDescent="0.25">
      <c r="A526" s="60">
        <f t="shared" si="297"/>
        <v>1</v>
      </c>
      <c r="B526" s="60">
        <f t="shared" si="297"/>
        <v>1</v>
      </c>
      <c r="C526" s="60">
        <f t="shared" si="297"/>
        <v>0</v>
      </c>
      <c r="D526" s="60">
        <f>F526+E526</f>
        <v>0</v>
      </c>
      <c r="E526" s="60">
        <v>0</v>
      </c>
      <c r="F526" s="60">
        <v>0</v>
      </c>
      <c r="G526" s="60">
        <f>I526+H526</f>
        <v>1</v>
      </c>
      <c r="H526" s="60">
        <v>1</v>
      </c>
      <c r="I526" s="60">
        <v>0</v>
      </c>
      <c r="J526" s="65" t="s">
        <v>222</v>
      </c>
      <c r="K526" s="66" t="s">
        <v>453</v>
      </c>
      <c r="L526" s="55"/>
    </row>
    <row r="527" spans="1:13" ht="12.75" customHeight="1" thickBot="1" x14ac:dyDescent="0.25">
      <c r="A527" s="60">
        <f t="shared" ref="A527:I527" si="298">SUM(A525:A526)</f>
        <v>16</v>
      </c>
      <c r="B527" s="60">
        <f t="shared" si="298"/>
        <v>16</v>
      </c>
      <c r="C527" s="60">
        <f t="shared" si="298"/>
        <v>0</v>
      </c>
      <c r="D527" s="60">
        <f t="shared" si="298"/>
        <v>0</v>
      </c>
      <c r="E527" s="60">
        <f t="shared" si="298"/>
        <v>0</v>
      </c>
      <c r="F527" s="60">
        <f t="shared" si="298"/>
        <v>0</v>
      </c>
      <c r="G527" s="60">
        <f t="shared" si="298"/>
        <v>16</v>
      </c>
      <c r="H527" s="60">
        <f t="shared" si="298"/>
        <v>16</v>
      </c>
      <c r="I527" s="60">
        <f t="shared" si="298"/>
        <v>0</v>
      </c>
      <c r="J527" s="65" t="s">
        <v>13</v>
      </c>
      <c r="K527" s="67"/>
      <c r="L527" s="55"/>
    </row>
    <row r="528" spans="1:13" ht="12.75" customHeight="1" thickBot="1" x14ac:dyDescent="0.25">
      <c r="A528" s="60">
        <f t="shared" ref="A528:H530" si="299">A453+A456+A459+A462+A465+A468+A471+A474+A477+A480+A483+A486+A489+A492+A495+A498+A501+A504+A507+A510+A513+A516+A519+A522+A525</f>
        <v>8873</v>
      </c>
      <c r="B528" s="60">
        <f t="shared" si="299"/>
        <v>3555</v>
      </c>
      <c r="C528" s="60">
        <f t="shared" si="299"/>
        <v>5318</v>
      </c>
      <c r="D528" s="60">
        <f t="shared" si="299"/>
        <v>38</v>
      </c>
      <c r="E528" s="60">
        <f t="shared" si="299"/>
        <v>10</v>
      </c>
      <c r="F528" s="60">
        <f t="shared" si="299"/>
        <v>28</v>
      </c>
      <c r="G528" s="60">
        <f t="shared" si="299"/>
        <v>8835</v>
      </c>
      <c r="H528" s="60">
        <f t="shared" si="299"/>
        <v>3545</v>
      </c>
      <c r="I528" s="60">
        <f>I453+I456+I459+I462+I465+I468+I471+I474+I477+I480+I483+I486+I489+I492+I495+I498+I501+I504+I507+I510+I513+I516+I519+I522+I525</f>
        <v>5290</v>
      </c>
      <c r="J528" s="65" t="s">
        <v>224</v>
      </c>
      <c r="K528" s="57"/>
      <c r="L528" s="55"/>
    </row>
    <row r="529" spans="1:12" ht="12.75" customHeight="1" thickBot="1" x14ac:dyDescent="0.25">
      <c r="A529" s="60">
        <f t="shared" si="299"/>
        <v>1335</v>
      </c>
      <c r="B529" s="60">
        <f t="shared" si="299"/>
        <v>1335</v>
      </c>
      <c r="C529" s="60">
        <f t="shared" si="299"/>
        <v>0</v>
      </c>
      <c r="D529" s="60">
        <f t="shared" si="299"/>
        <v>0</v>
      </c>
      <c r="E529" s="60">
        <f t="shared" si="299"/>
        <v>0</v>
      </c>
      <c r="F529" s="60">
        <f t="shared" si="299"/>
        <v>0</v>
      </c>
      <c r="G529" s="60">
        <f t="shared" si="299"/>
        <v>1335</v>
      </c>
      <c r="H529" s="60">
        <f t="shared" si="299"/>
        <v>1335</v>
      </c>
      <c r="I529" s="60">
        <f>I454+I457+I460+I463+I466+I469+I472+I475+I478+I481+I484+I487+I490+I493+I496+I499+I502+I505+I508+I511+I514+I517+I520+I523+I526</f>
        <v>0</v>
      </c>
      <c r="J529" s="65" t="s">
        <v>225</v>
      </c>
      <c r="K529" s="68" t="s">
        <v>211</v>
      </c>
      <c r="L529" s="55"/>
    </row>
    <row r="530" spans="1:12" ht="12.75" customHeight="1" thickBot="1" x14ac:dyDescent="0.25">
      <c r="A530" s="60">
        <f t="shared" si="299"/>
        <v>10208</v>
      </c>
      <c r="B530" s="60">
        <f t="shared" si="299"/>
        <v>4890</v>
      </c>
      <c r="C530" s="60">
        <f t="shared" si="299"/>
        <v>5318</v>
      </c>
      <c r="D530" s="60">
        <f t="shared" si="299"/>
        <v>38</v>
      </c>
      <c r="E530" s="60">
        <f t="shared" si="299"/>
        <v>10</v>
      </c>
      <c r="F530" s="60">
        <f t="shared" si="299"/>
        <v>28</v>
      </c>
      <c r="G530" s="60">
        <f t="shared" si="299"/>
        <v>10170</v>
      </c>
      <c r="H530" s="60">
        <f t="shared" si="299"/>
        <v>4880</v>
      </c>
      <c r="I530" s="60">
        <f>I455+I458+I461+I464+I467+I470+I473+I476+I479+I482+I485+I488+I491+I494+I497+I500+I503+I506+I509+I512+I515+I518+I521+I524+I527</f>
        <v>5290</v>
      </c>
      <c r="J530" s="65" t="s">
        <v>13</v>
      </c>
      <c r="K530" s="59"/>
      <c r="L530" s="55"/>
    </row>
    <row r="531" spans="1:12" ht="12.75" customHeight="1" x14ac:dyDescent="0.2">
      <c r="A531" s="177" t="s">
        <v>327</v>
      </c>
      <c r="B531" s="177"/>
      <c r="C531" s="177"/>
      <c r="D531" s="177"/>
      <c r="E531" s="177"/>
      <c r="F531" s="177"/>
      <c r="G531" s="177"/>
      <c r="H531" s="177"/>
      <c r="I531" s="177"/>
      <c r="J531" s="177"/>
      <c r="K531" s="177"/>
      <c r="L531" s="55"/>
    </row>
    <row r="532" spans="1:12" ht="12.75" customHeight="1" thickBot="1" x14ac:dyDescent="0.25">
      <c r="A532" s="178" t="s">
        <v>328</v>
      </c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55"/>
    </row>
    <row r="533" spans="1:12" ht="12.75" customHeight="1" thickBot="1" x14ac:dyDescent="0.25">
      <c r="A533" s="179" t="s">
        <v>5</v>
      </c>
      <c r="B533" s="179"/>
      <c r="C533" s="179"/>
      <c r="D533" s="179" t="s">
        <v>162</v>
      </c>
      <c r="E533" s="179"/>
      <c r="F533" s="179"/>
      <c r="G533" s="179" t="s">
        <v>163</v>
      </c>
      <c r="H533" s="179"/>
      <c r="I533" s="179"/>
      <c r="J533" s="179" t="s">
        <v>72</v>
      </c>
      <c r="K533" s="179"/>
      <c r="L533" s="55"/>
    </row>
    <row r="534" spans="1:12" ht="12.75" customHeight="1" thickBot="1" x14ac:dyDescent="0.25">
      <c r="A534" s="58" t="s">
        <v>216</v>
      </c>
      <c r="B534" s="58" t="s">
        <v>11</v>
      </c>
      <c r="C534" s="58" t="s">
        <v>10</v>
      </c>
      <c r="D534" s="58" t="s">
        <v>216</v>
      </c>
      <c r="E534" s="58" t="s">
        <v>11</v>
      </c>
      <c r="F534" s="58" t="s">
        <v>10</v>
      </c>
      <c r="G534" s="58" t="s">
        <v>216</v>
      </c>
      <c r="H534" s="58" t="s">
        <v>11</v>
      </c>
      <c r="I534" s="58" t="s">
        <v>10</v>
      </c>
      <c r="J534" s="180" t="s">
        <v>82</v>
      </c>
      <c r="K534" s="180"/>
      <c r="L534" s="55"/>
    </row>
    <row r="535" spans="1:12" ht="12.75" customHeight="1" thickBot="1" x14ac:dyDescent="0.25">
      <c r="A535" s="60">
        <f t="shared" ref="A535:C536" si="300">G535+D535</f>
        <v>275</v>
      </c>
      <c r="B535" s="60">
        <f t="shared" si="300"/>
        <v>0</v>
      </c>
      <c r="C535" s="60">
        <f t="shared" si="300"/>
        <v>275</v>
      </c>
      <c r="D535" s="60">
        <f>F535+E535</f>
        <v>0</v>
      </c>
      <c r="E535" s="60">
        <v>0</v>
      </c>
      <c r="F535" s="60">
        <v>0</v>
      </c>
      <c r="G535" s="60">
        <f>I535+H535</f>
        <v>275</v>
      </c>
      <c r="H535" s="60">
        <v>0</v>
      </c>
      <c r="I535" s="60">
        <f>199+76</f>
        <v>275</v>
      </c>
      <c r="J535" s="65" t="s">
        <v>221</v>
      </c>
      <c r="K535" s="66"/>
      <c r="L535" s="55"/>
    </row>
    <row r="536" spans="1:12" ht="12.75" customHeight="1" thickBot="1" x14ac:dyDescent="0.25">
      <c r="A536" s="60">
        <f t="shared" si="300"/>
        <v>0</v>
      </c>
      <c r="B536" s="60">
        <f t="shared" si="300"/>
        <v>0</v>
      </c>
      <c r="C536" s="60">
        <f t="shared" si="300"/>
        <v>0</v>
      </c>
      <c r="D536" s="60">
        <f>F536+E536</f>
        <v>0</v>
      </c>
      <c r="E536" s="60">
        <v>0</v>
      </c>
      <c r="F536" s="60">
        <v>0</v>
      </c>
      <c r="G536" s="60">
        <f>I536+H536</f>
        <v>0</v>
      </c>
      <c r="H536" s="60">
        <v>0</v>
      </c>
      <c r="I536" s="60">
        <v>0</v>
      </c>
      <c r="J536" s="65" t="s">
        <v>222</v>
      </c>
      <c r="K536" s="66" t="s">
        <v>454</v>
      </c>
      <c r="L536" s="55"/>
    </row>
    <row r="537" spans="1:12" ht="12.75" customHeight="1" thickBot="1" x14ac:dyDescent="0.25">
      <c r="A537" s="60">
        <f t="shared" ref="A537:I537" si="301">SUM(A535:A536)</f>
        <v>275</v>
      </c>
      <c r="B537" s="60">
        <f t="shared" si="301"/>
        <v>0</v>
      </c>
      <c r="C537" s="60">
        <f t="shared" si="301"/>
        <v>275</v>
      </c>
      <c r="D537" s="60">
        <f t="shared" si="301"/>
        <v>0</v>
      </c>
      <c r="E537" s="60">
        <f t="shared" si="301"/>
        <v>0</v>
      </c>
      <c r="F537" s="60">
        <f t="shared" si="301"/>
        <v>0</v>
      </c>
      <c r="G537" s="60">
        <f t="shared" si="301"/>
        <v>275</v>
      </c>
      <c r="H537" s="60">
        <f t="shared" si="301"/>
        <v>0</v>
      </c>
      <c r="I537" s="60">
        <f t="shared" si="301"/>
        <v>275</v>
      </c>
      <c r="J537" s="65" t="s">
        <v>13</v>
      </c>
      <c r="K537" s="67"/>
      <c r="L537" s="55"/>
    </row>
    <row r="538" spans="1:12" ht="12.75" customHeight="1" thickBot="1" x14ac:dyDescent="0.25">
      <c r="A538" s="60">
        <f t="shared" ref="A538:C539" si="302">G538+D538</f>
        <v>635</v>
      </c>
      <c r="B538" s="60">
        <f t="shared" si="302"/>
        <v>273</v>
      </c>
      <c r="C538" s="60">
        <f t="shared" si="302"/>
        <v>362</v>
      </c>
      <c r="D538" s="60">
        <f>F538+E538</f>
        <v>11</v>
      </c>
      <c r="E538" s="60">
        <v>8</v>
      </c>
      <c r="F538" s="60">
        <v>3</v>
      </c>
      <c r="G538" s="60">
        <f>I538+H538</f>
        <v>624</v>
      </c>
      <c r="H538" s="60">
        <v>265</v>
      </c>
      <c r="I538" s="60">
        <f>206+153</f>
        <v>359</v>
      </c>
      <c r="J538" s="65" t="s">
        <v>221</v>
      </c>
      <c r="K538" s="66"/>
      <c r="L538" s="55"/>
    </row>
    <row r="539" spans="1:12" ht="12.75" customHeight="1" thickBot="1" x14ac:dyDescent="0.25">
      <c r="A539" s="60">
        <f t="shared" si="302"/>
        <v>0</v>
      </c>
      <c r="B539" s="60">
        <f t="shared" si="302"/>
        <v>0</v>
      </c>
      <c r="C539" s="60">
        <f t="shared" si="302"/>
        <v>0</v>
      </c>
      <c r="D539" s="60">
        <f>F539+E539</f>
        <v>0</v>
      </c>
      <c r="E539" s="60">
        <v>0</v>
      </c>
      <c r="F539" s="60">
        <v>0</v>
      </c>
      <c r="G539" s="60">
        <f>I539+H539</f>
        <v>0</v>
      </c>
      <c r="H539" s="60">
        <v>0</v>
      </c>
      <c r="I539" s="60">
        <v>0</v>
      </c>
      <c r="J539" s="65" t="s">
        <v>222</v>
      </c>
      <c r="K539" s="66" t="s">
        <v>359</v>
      </c>
      <c r="L539" s="55"/>
    </row>
    <row r="540" spans="1:12" ht="12.75" customHeight="1" thickBot="1" x14ac:dyDescent="0.25">
      <c r="A540" s="60">
        <f t="shared" ref="A540:I540" si="303">SUM(A538:A539)</f>
        <v>635</v>
      </c>
      <c r="B540" s="60">
        <f t="shared" si="303"/>
        <v>273</v>
      </c>
      <c r="C540" s="60">
        <f t="shared" si="303"/>
        <v>362</v>
      </c>
      <c r="D540" s="60">
        <f t="shared" si="303"/>
        <v>11</v>
      </c>
      <c r="E540" s="60">
        <f t="shared" si="303"/>
        <v>8</v>
      </c>
      <c r="F540" s="60">
        <f t="shared" si="303"/>
        <v>3</v>
      </c>
      <c r="G540" s="60">
        <f t="shared" si="303"/>
        <v>624</v>
      </c>
      <c r="H540" s="60">
        <f t="shared" si="303"/>
        <v>265</v>
      </c>
      <c r="I540" s="60">
        <f t="shared" si="303"/>
        <v>359</v>
      </c>
      <c r="J540" s="65" t="s">
        <v>13</v>
      </c>
      <c r="K540" s="67"/>
      <c r="L540" s="55"/>
    </row>
    <row r="541" spans="1:12" ht="12.75" customHeight="1" thickBot="1" x14ac:dyDescent="0.25">
      <c r="A541" s="60">
        <f t="shared" ref="A541:C542" si="304">G541+D541</f>
        <v>131</v>
      </c>
      <c r="B541" s="60">
        <f t="shared" si="304"/>
        <v>64</v>
      </c>
      <c r="C541" s="60">
        <f t="shared" si="304"/>
        <v>67</v>
      </c>
      <c r="D541" s="60">
        <f>F541+E541</f>
        <v>0</v>
      </c>
      <c r="E541" s="60">
        <v>0</v>
      </c>
      <c r="F541" s="60">
        <v>0</v>
      </c>
      <c r="G541" s="60">
        <f>I541+H541</f>
        <v>131</v>
      </c>
      <c r="H541" s="60">
        <v>64</v>
      </c>
      <c r="I541" s="60">
        <v>67</v>
      </c>
      <c r="J541" s="65" t="s">
        <v>221</v>
      </c>
      <c r="K541" s="66"/>
      <c r="L541" s="55"/>
    </row>
    <row r="542" spans="1:12" ht="12.75" customHeight="1" thickBot="1" x14ac:dyDescent="0.25">
      <c r="A542" s="60">
        <f t="shared" si="304"/>
        <v>0</v>
      </c>
      <c r="B542" s="60">
        <f t="shared" si="304"/>
        <v>0</v>
      </c>
      <c r="C542" s="60">
        <f t="shared" si="304"/>
        <v>0</v>
      </c>
      <c r="D542" s="60">
        <f>F542+E542</f>
        <v>0</v>
      </c>
      <c r="E542" s="60">
        <v>0</v>
      </c>
      <c r="F542" s="60">
        <v>0</v>
      </c>
      <c r="G542" s="60">
        <f>I542+H542</f>
        <v>0</v>
      </c>
      <c r="H542" s="60">
        <v>0</v>
      </c>
      <c r="I542" s="60">
        <v>0</v>
      </c>
      <c r="J542" s="65" t="s">
        <v>222</v>
      </c>
      <c r="K542" s="66" t="s">
        <v>441</v>
      </c>
      <c r="L542" s="55"/>
    </row>
    <row r="543" spans="1:12" ht="12.75" customHeight="1" thickBot="1" x14ac:dyDescent="0.25">
      <c r="A543" s="60">
        <f t="shared" ref="A543:I543" si="305">SUM(A541:A542)</f>
        <v>131</v>
      </c>
      <c r="B543" s="60">
        <f t="shared" si="305"/>
        <v>64</v>
      </c>
      <c r="C543" s="60">
        <f t="shared" si="305"/>
        <v>67</v>
      </c>
      <c r="D543" s="60">
        <f t="shared" si="305"/>
        <v>0</v>
      </c>
      <c r="E543" s="60">
        <f t="shared" si="305"/>
        <v>0</v>
      </c>
      <c r="F543" s="60">
        <f t="shared" si="305"/>
        <v>0</v>
      </c>
      <c r="G543" s="60">
        <f t="shared" si="305"/>
        <v>131</v>
      </c>
      <c r="H543" s="60">
        <f t="shared" si="305"/>
        <v>64</v>
      </c>
      <c r="I543" s="60">
        <f t="shared" si="305"/>
        <v>67</v>
      </c>
      <c r="J543" s="65" t="s">
        <v>13</v>
      </c>
      <c r="K543" s="67"/>
      <c r="L543" s="55"/>
    </row>
    <row r="544" spans="1:12" ht="12.75" customHeight="1" thickBot="1" x14ac:dyDescent="0.25">
      <c r="A544" s="60">
        <f t="shared" ref="A544:C545" si="306">G544+D544</f>
        <v>268</v>
      </c>
      <c r="B544" s="60">
        <f t="shared" si="306"/>
        <v>3</v>
      </c>
      <c r="C544" s="60">
        <f t="shared" si="306"/>
        <v>265</v>
      </c>
      <c r="D544" s="60">
        <f>F544+E544</f>
        <v>0</v>
      </c>
      <c r="E544" s="60">
        <v>0</v>
      </c>
      <c r="F544" s="60">
        <v>0</v>
      </c>
      <c r="G544" s="60">
        <f>I544+H544</f>
        <v>268</v>
      </c>
      <c r="H544" s="60">
        <v>3</v>
      </c>
      <c r="I544" s="60">
        <f>189+76</f>
        <v>265</v>
      </c>
      <c r="J544" s="65" t="s">
        <v>221</v>
      </c>
      <c r="K544" s="66"/>
      <c r="L544" s="55"/>
    </row>
    <row r="545" spans="1:12" ht="12.75" customHeight="1" thickBot="1" x14ac:dyDescent="0.25">
      <c r="A545" s="60">
        <f t="shared" si="306"/>
        <v>3</v>
      </c>
      <c r="B545" s="60">
        <f t="shared" si="306"/>
        <v>0</v>
      </c>
      <c r="C545" s="60">
        <f t="shared" si="306"/>
        <v>3</v>
      </c>
      <c r="D545" s="60">
        <f>F545+E545</f>
        <v>0</v>
      </c>
      <c r="E545" s="60">
        <v>0</v>
      </c>
      <c r="F545" s="60">
        <v>0</v>
      </c>
      <c r="G545" s="60">
        <f>I545+H545</f>
        <v>3</v>
      </c>
      <c r="H545" s="60">
        <v>0</v>
      </c>
      <c r="I545" s="60">
        <v>3</v>
      </c>
      <c r="J545" s="65" t="s">
        <v>222</v>
      </c>
      <c r="K545" s="66" t="s">
        <v>455</v>
      </c>
      <c r="L545" s="55"/>
    </row>
    <row r="546" spans="1:12" ht="12.75" customHeight="1" thickBot="1" x14ac:dyDescent="0.25">
      <c r="A546" s="60">
        <f t="shared" ref="A546:I546" si="307">SUM(A544:A545)</f>
        <v>271</v>
      </c>
      <c r="B546" s="60">
        <f t="shared" si="307"/>
        <v>3</v>
      </c>
      <c r="C546" s="60">
        <f t="shared" si="307"/>
        <v>268</v>
      </c>
      <c r="D546" s="60">
        <f t="shared" si="307"/>
        <v>0</v>
      </c>
      <c r="E546" s="60">
        <f t="shared" si="307"/>
        <v>0</v>
      </c>
      <c r="F546" s="60">
        <f t="shared" si="307"/>
        <v>0</v>
      </c>
      <c r="G546" s="60">
        <f t="shared" si="307"/>
        <v>271</v>
      </c>
      <c r="H546" s="60">
        <f t="shared" si="307"/>
        <v>3</v>
      </c>
      <c r="I546" s="60">
        <f t="shared" si="307"/>
        <v>268</v>
      </c>
      <c r="J546" s="65" t="s">
        <v>13</v>
      </c>
      <c r="K546" s="67"/>
      <c r="L546" s="55"/>
    </row>
    <row r="547" spans="1:12" ht="12.75" customHeight="1" thickBot="1" x14ac:dyDescent="0.25">
      <c r="A547" s="60">
        <f t="shared" ref="A547:C548" si="308">G547+D547</f>
        <v>389</v>
      </c>
      <c r="B547" s="60">
        <f t="shared" si="308"/>
        <v>189</v>
      </c>
      <c r="C547" s="60">
        <f t="shared" si="308"/>
        <v>200</v>
      </c>
      <c r="D547" s="60">
        <f>F547+E547</f>
        <v>0</v>
      </c>
      <c r="E547" s="60">
        <v>0</v>
      </c>
      <c r="F547" s="60">
        <v>0</v>
      </c>
      <c r="G547" s="60">
        <f>I547+H547</f>
        <v>389</v>
      </c>
      <c r="H547" s="60">
        <v>189</v>
      </c>
      <c r="I547" s="60">
        <v>200</v>
      </c>
      <c r="J547" s="65" t="s">
        <v>221</v>
      </c>
      <c r="K547" s="66"/>
      <c r="L547" s="55"/>
    </row>
    <row r="548" spans="1:12" ht="12.75" customHeight="1" thickBot="1" x14ac:dyDescent="0.25">
      <c r="A548" s="60">
        <f t="shared" si="308"/>
        <v>0</v>
      </c>
      <c r="B548" s="60">
        <f t="shared" si="308"/>
        <v>0</v>
      </c>
      <c r="C548" s="60">
        <f t="shared" si="308"/>
        <v>0</v>
      </c>
      <c r="D548" s="60">
        <f>F548+E548</f>
        <v>0</v>
      </c>
      <c r="E548" s="60">
        <v>0</v>
      </c>
      <c r="F548" s="60">
        <v>0</v>
      </c>
      <c r="G548" s="60">
        <f>I548+H548</f>
        <v>0</v>
      </c>
      <c r="H548" s="60">
        <v>0</v>
      </c>
      <c r="I548" s="60">
        <v>0</v>
      </c>
      <c r="J548" s="65" t="s">
        <v>222</v>
      </c>
      <c r="K548" s="66" t="s">
        <v>456</v>
      </c>
      <c r="L548" s="55"/>
    </row>
    <row r="549" spans="1:12" ht="12.75" customHeight="1" thickBot="1" x14ac:dyDescent="0.25">
      <c r="A549" s="60">
        <f t="shared" ref="A549:I549" si="309">SUM(A547:A548)</f>
        <v>389</v>
      </c>
      <c r="B549" s="60">
        <f t="shared" si="309"/>
        <v>189</v>
      </c>
      <c r="C549" s="60">
        <f t="shared" si="309"/>
        <v>200</v>
      </c>
      <c r="D549" s="60">
        <f t="shared" si="309"/>
        <v>0</v>
      </c>
      <c r="E549" s="60">
        <f t="shared" si="309"/>
        <v>0</v>
      </c>
      <c r="F549" s="60">
        <f t="shared" si="309"/>
        <v>0</v>
      </c>
      <c r="G549" s="60">
        <f t="shared" si="309"/>
        <v>389</v>
      </c>
      <c r="H549" s="60">
        <f t="shared" si="309"/>
        <v>189</v>
      </c>
      <c r="I549" s="60">
        <f t="shared" si="309"/>
        <v>200</v>
      </c>
      <c r="J549" s="65" t="s">
        <v>13</v>
      </c>
      <c r="K549" s="67"/>
      <c r="L549" s="55"/>
    </row>
    <row r="550" spans="1:12" ht="12.75" customHeight="1" thickBot="1" x14ac:dyDescent="0.25">
      <c r="A550" s="60">
        <f t="shared" ref="A550:C551" si="310">G550+D550</f>
        <v>370</v>
      </c>
      <c r="B550" s="60">
        <f t="shared" si="310"/>
        <v>370</v>
      </c>
      <c r="C550" s="60">
        <f t="shared" si="310"/>
        <v>0</v>
      </c>
      <c r="D550" s="60">
        <f>F550+E550</f>
        <v>0</v>
      </c>
      <c r="E550" s="60">
        <v>0</v>
      </c>
      <c r="F550" s="60">
        <v>0</v>
      </c>
      <c r="G550" s="60">
        <f>I550+H550</f>
        <v>370</v>
      </c>
      <c r="H550" s="60">
        <v>370</v>
      </c>
      <c r="I550" s="60">
        <v>0</v>
      </c>
      <c r="J550" s="65" t="s">
        <v>221</v>
      </c>
      <c r="K550" s="66"/>
      <c r="L550" s="55"/>
    </row>
    <row r="551" spans="1:12" ht="12.75" customHeight="1" thickBot="1" x14ac:dyDescent="0.25">
      <c r="A551" s="60">
        <f t="shared" si="310"/>
        <v>55</v>
      </c>
      <c r="B551" s="60">
        <f t="shared" si="310"/>
        <v>55</v>
      </c>
      <c r="C551" s="60">
        <f t="shared" si="310"/>
        <v>0</v>
      </c>
      <c r="D551" s="60">
        <f>F551+E551</f>
        <v>0</v>
      </c>
      <c r="E551" s="60">
        <v>0</v>
      </c>
      <c r="F551" s="60">
        <v>0</v>
      </c>
      <c r="G551" s="60">
        <f>I551+H551</f>
        <v>55</v>
      </c>
      <c r="H551" s="60">
        <v>55</v>
      </c>
      <c r="I551" s="60">
        <v>0</v>
      </c>
      <c r="J551" s="65" t="s">
        <v>222</v>
      </c>
      <c r="K551" s="66" t="s">
        <v>457</v>
      </c>
      <c r="L551" s="55"/>
    </row>
    <row r="552" spans="1:12" ht="12.75" customHeight="1" thickBot="1" x14ac:dyDescent="0.25">
      <c r="A552" s="60">
        <f t="shared" ref="A552:I552" si="311">SUM(A550:A551)</f>
        <v>425</v>
      </c>
      <c r="B552" s="60">
        <f t="shared" si="311"/>
        <v>425</v>
      </c>
      <c r="C552" s="60">
        <f t="shared" si="311"/>
        <v>0</v>
      </c>
      <c r="D552" s="60">
        <f t="shared" si="311"/>
        <v>0</v>
      </c>
      <c r="E552" s="60">
        <f t="shared" si="311"/>
        <v>0</v>
      </c>
      <c r="F552" s="60">
        <f t="shared" si="311"/>
        <v>0</v>
      </c>
      <c r="G552" s="60">
        <f t="shared" si="311"/>
        <v>425</v>
      </c>
      <c r="H552" s="60">
        <f t="shared" si="311"/>
        <v>425</v>
      </c>
      <c r="I552" s="60">
        <f t="shared" si="311"/>
        <v>0</v>
      </c>
      <c r="J552" s="65" t="s">
        <v>13</v>
      </c>
      <c r="K552" s="67"/>
      <c r="L552" s="55"/>
    </row>
    <row r="553" spans="1:12" ht="12.75" customHeight="1" thickBot="1" x14ac:dyDescent="0.25">
      <c r="A553" s="60">
        <f t="shared" ref="A553:C554" si="312">G553+D553</f>
        <v>578</v>
      </c>
      <c r="B553" s="60">
        <f t="shared" si="312"/>
        <v>578</v>
      </c>
      <c r="C553" s="60">
        <f t="shared" si="312"/>
        <v>0</v>
      </c>
      <c r="D553" s="60">
        <f>F553+E553</f>
        <v>9</v>
      </c>
      <c r="E553" s="60">
        <v>9</v>
      </c>
      <c r="F553" s="60">
        <v>0</v>
      </c>
      <c r="G553" s="60">
        <f>I553+H553</f>
        <v>569</v>
      </c>
      <c r="H553" s="60">
        <v>569</v>
      </c>
      <c r="I553" s="60">
        <v>0</v>
      </c>
      <c r="J553" s="65" t="s">
        <v>221</v>
      </c>
      <c r="K553" s="66"/>
      <c r="L553" s="55"/>
    </row>
    <row r="554" spans="1:12" ht="12.75" customHeight="1" thickBot="1" x14ac:dyDescent="0.25">
      <c r="A554" s="60">
        <f t="shared" si="312"/>
        <v>218</v>
      </c>
      <c r="B554" s="60">
        <f t="shared" si="312"/>
        <v>218</v>
      </c>
      <c r="C554" s="60">
        <f t="shared" si="312"/>
        <v>0</v>
      </c>
      <c r="D554" s="60">
        <f>F554+E554</f>
        <v>0</v>
      </c>
      <c r="E554" s="60">
        <v>0</v>
      </c>
      <c r="F554" s="60">
        <v>0</v>
      </c>
      <c r="G554" s="60">
        <f>I554+H554</f>
        <v>218</v>
      </c>
      <c r="H554" s="60">
        <v>218</v>
      </c>
      <c r="I554" s="60">
        <v>0</v>
      </c>
      <c r="J554" s="65" t="s">
        <v>222</v>
      </c>
      <c r="K554" s="66" t="s">
        <v>458</v>
      </c>
      <c r="L554" s="55"/>
    </row>
    <row r="555" spans="1:12" ht="12.75" customHeight="1" thickBot="1" x14ac:dyDescent="0.25">
      <c r="A555" s="60">
        <f t="shared" ref="A555:I555" si="313">SUM(A553:A554)</f>
        <v>796</v>
      </c>
      <c r="B555" s="60">
        <f t="shared" si="313"/>
        <v>796</v>
      </c>
      <c r="C555" s="60">
        <f t="shared" si="313"/>
        <v>0</v>
      </c>
      <c r="D555" s="60">
        <f t="shared" si="313"/>
        <v>9</v>
      </c>
      <c r="E555" s="60">
        <f t="shared" si="313"/>
        <v>9</v>
      </c>
      <c r="F555" s="60">
        <f t="shared" si="313"/>
        <v>0</v>
      </c>
      <c r="G555" s="60">
        <f t="shared" si="313"/>
        <v>787</v>
      </c>
      <c r="H555" s="60">
        <f t="shared" si="313"/>
        <v>787</v>
      </c>
      <c r="I555" s="60">
        <f t="shared" si="313"/>
        <v>0</v>
      </c>
      <c r="J555" s="65" t="s">
        <v>13</v>
      </c>
      <c r="K555" s="67"/>
      <c r="L555" s="55"/>
    </row>
    <row r="556" spans="1:12" ht="12.75" customHeight="1" thickBot="1" x14ac:dyDescent="0.25">
      <c r="A556" s="60">
        <f t="shared" ref="A556:C557" si="314">G556+D556</f>
        <v>465</v>
      </c>
      <c r="B556" s="60">
        <f t="shared" si="314"/>
        <v>465</v>
      </c>
      <c r="C556" s="60">
        <f t="shared" si="314"/>
        <v>0</v>
      </c>
      <c r="D556" s="60">
        <f>F556+E556</f>
        <v>4</v>
      </c>
      <c r="E556" s="60">
        <v>4</v>
      </c>
      <c r="F556" s="60">
        <v>0</v>
      </c>
      <c r="G556" s="60">
        <f>I556+H556</f>
        <v>461</v>
      </c>
      <c r="H556" s="60">
        <v>461</v>
      </c>
      <c r="I556" s="60">
        <v>0</v>
      </c>
      <c r="J556" s="65" t="s">
        <v>221</v>
      </c>
      <c r="K556" s="66"/>
      <c r="L556" s="55"/>
    </row>
    <row r="557" spans="1:12" ht="12.75" customHeight="1" thickBot="1" x14ac:dyDescent="0.25">
      <c r="A557" s="60">
        <f t="shared" si="314"/>
        <v>471</v>
      </c>
      <c r="B557" s="60">
        <f t="shared" si="314"/>
        <v>471</v>
      </c>
      <c r="C557" s="60">
        <f t="shared" si="314"/>
        <v>0</v>
      </c>
      <c r="D557" s="60">
        <f>F557+E557</f>
        <v>0</v>
      </c>
      <c r="E557" s="60">
        <v>0</v>
      </c>
      <c r="F557" s="60">
        <v>0</v>
      </c>
      <c r="G557" s="60">
        <f>I557+H557</f>
        <v>471</v>
      </c>
      <c r="H557" s="60">
        <f>454+17</f>
        <v>471</v>
      </c>
      <c r="I557" s="60">
        <v>0</v>
      </c>
      <c r="J557" s="65" t="s">
        <v>222</v>
      </c>
      <c r="K557" s="66" t="s">
        <v>459</v>
      </c>
      <c r="L557" s="55"/>
    </row>
    <row r="558" spans="1:12" ht="12.75" customHeight="1" thickBot="1" x14ac:dyDescent="0.25">
      <c r="A558" s="60">
        <f t="shared" ref="A558:I558" si="315">SUM(A556:A557)</f>
        <v>936</v>
      </c>
      <c r="B558" s="60">
        <f t="shared" si="315"/>
        <v>936</v>
      </c>
      <c r="C558" s="60">
        <f t="shared" si="315"/>
        <v>0</v>
      </c>
      <c r="D558" s="60">
        <f t="shared" si="315"/>
        <v>4</v>
      </c>
      <c r="E558" s="60">
        <f t="shared" si="315"/>
        <v>4</v>
      </c>
      <c r="F558" s="60">
        <f t="shared" si="315"/>
        <v>0</v>
      </c>
      <c r="G558" s="60">
        <f t="shared" si="315"/>
        <v>932</v>
      </c>
      <c r="H558" s="60">
        <f t="shared" si="315"/>
        <v>932</v>
      </c>
      <c r="I558" s="60">
        <f t="shared" si="315"/>
        <v>0</v>
      </c>
      <c r="J558" s="65" t="s">
        <v>13</v>
      </c>
      <c r="K558" s="67"/>
      <c r="L558" s="55"/>
    </row>
    <row r="559" spans="1:12" ht="12.75" customHeight="1" thickBot="1" x14ac:dyDescent="0.25">
      <c r="A559" s="60">
        <f t="shared" ref="A559:C560" si="316">G559+D559</f>
        <v>325</v>
      </c>
      <c r="B559" s="60">
        <f t="shared" si="316"/>
        <v>325</v>
      </c>
      <c r="C559" s="60">
        <f t="shared" si="316"/>
        <v>0</v>
      </c>
      <c r="D559" s="60">
        <f>F559+E559</f>
        <v>3</v>
      </c>
      <c r="E559" s="60">
        <v>3</v>
      </c>
      <c r="F559" s="60">
        <v>0</v>
      </c>
      <c r="G559" s="60">
        <f>I559+H559</f>
        <v>322</v>
      </c>
      <c r="H559" s="60">
        <v>322</v>
      </c>
      <c r="I559" s="60">
        <v>0</v>
      </c>
      <c r="J559" s="65" t="s">
        <v>221</v>
      </c>
      <c r="K559" s="66"/>
      <c r="L559" s="55"/>
    </row>
    <row r="560" spans="1:12" ht="12.75" customHeight="1" thickBot="1" x14ac:dyDescent="0.25">
      <c r="A560" s="60">
        <f t="shared" si="316"/>
        <v>0</v>
      </c>
      <c r="B560" s="60">
        <f t="shared" si="316"/>
        <v>0</v>
      </c>
      <c r="C560" s="60">
        <f t="shared" si="316"/>
        <v>0</v>
      </c>
      <c r="D560" s="60">
        <f>F560+E560</f>
        <v>0</v>
      </c>
      <c r="E560" s="60">
        <v>0</v>
      </c>
      <c r="F560" s="60">
        <v>0</v>
      </c>
      <c r="G560" s="60">
        <f>I560+H560</f>
        <v>0</v>
      </c>
      <c r="H560" s="60">
        <v>0</v>
      </c>
      <c r="I560" s="60">
        <v>0</v>
      </c>
      <c r="J560" s="65" t="s">
        <v>222</v>
      </c>
      <c r="K560" s="66" t="s">
        <v>460</v>
      </c>
      <c r="L560" s="55"/>
    </row>
    <row r="561" spans="1:12" ht="12.75" customHeight="1" thickBot="1" x14ac:dyDescent="0.25">
      <c r="A561" s="60">
        <f t="shared" ref="A561:I561" si="317">SUM(A559:A560)</f>
        <v>325</v>
      </c>
      <c r="B561" s="60">
        <f t="shared" si="317"/>
        <v>325</v>
      </c>
      <c r="C561" s="60">
        <f t="shared" si="317"/>
        <v>0</v>
      </c>
      <c r="D561" s="60">
        <f t="shared" si="317"/>
        <v>3</v>
      </c>
      <c r="E561" s="60">
        <f t="shared" si="317"/>
        <v>3</v>
      </c>
      <c r="F561" s="60">
        <f t="shared" si="317"/>
        <v>0</v>
      </c>
      <c r="G561" s="60">
        <f t="shared" si="317"/>
        <v>322</v>
      </c>
      <c r="H561" s="60">
        <f t="shared" si="317"/>
        <v>322</v>
      </c>
      <c r="I561" s="60">
        <f t="shared" si="317"/>
        <v>0</v>
      </c>
      <c r="J561" s="65" t="s">
        <v>13</v>
      </c>
      <c r="K561" s="67"/>
      <c r="L561" s="55"/>
    </row>
    <row r="562" spans="1:12" ht="12.75" customHeight="1" thickBot="1" x14ac:dyDescent="0.25">
      <c r="A562" s="60">
        <f t="shared" ref="A562:C563" si="318">G562+D562</f>
        <v>326</v>
      </c>
      <c r="B562" s="60">
        <f t="shared" si="318"/>
        <v>326</v>
      </c>
      <c r="C562" s="60">
        <f t="shared" si="318"/>
        <v>0</v>
      </c>
      <c r="D562" s="60">
        <f>F562+E562</f>
        <v>0</v>
      </c>
      <c r="E562" s="60">
        <v>0</v>
      </c>
      <c r="F562" s="60">
        <v>0</v>
      </c>
      <c r="G562" s="60">
        <f>I562+H562</f>
        <v>326</v>
      </c>
      <c r="H562" s="60">
        <v>326</v>
      </c>
      <c r="I562" s="60">
        <v>0</v>
      </c>
      <c r="J562" s="65" t="s">
        <v>221</v>
      </c>
      <c r="K562" s="66"/>
      <c r="L562" s="55"/>
    </row>
    <row r="563" spans="1:12" ht="12.75" customHeight="1" thickBot="1" x14ac:dyDescent="0.25">
      <c r="A563" s="60">
        <f t="shared" si="318"/>
        <v>389</v>
      </c>
      <c r="B563" s="60">
        <f t="shared" si="318"/>
        <v>389</v>
      </c>
      <c r="C563" s="60">
        <f t="shared" si="318"/>
        <v>0</v>
      </c>
      <c r="D563" s="60">
        <f>F563+E563</f>
        <v>0</v>
      </c>
      <c r="E563" s="60">
        <v>0</v>
      </c>
      <c r="F563" s="60">
        <v>0</v>
      </c>
      <c r="G563" s="60">
        <f>I563+H563</f>
        <v>389</v>
      </c>
      <c r="H563" s="60">
        <v>389</v>
      </c>
      <c r="I563" s="60">
        <v>0</v>
      </c>
      <c r="J563" s="65" t="s">
        <v>222</v>
      </c>
      <c r="K563" s="66" t="s">
        <v>461</v>
      </c>
      <c r="L563" s="55"/>
    </row>
    <row r="564" spans="1:12" ht="12.75" customHeight="1" thickBot="1" x14ac:dyDescent="0.25">
      <c r="A564" s="60">
        <f t="shared" ref="A564:I564" si="319">SUM(A562:A563)</f>
        <v>715</v>
      </c>
      <c r="B564" s="60">
        <f t="shared" si="319"/>
        <v>715</v>
      </c>
      <c r="C564" s="60">
        <f t="shared" si="319"/>
        <v>0</v>
      </c>
      <c r="D564" s="60">
        <f t="shared" si="319"/>
        <v>0</v>
      </c>
      <c r="E564" s="60">
        <f t="shared" si="319"/>
        <v>0</v>
      </c>
      <c r="F564" s="60">
        <f t="shared" si="319"/>
        <v>0</v>
      </c>
      <c r="G564" s="60">
        <f t="shared" si="319"/>
        <v>715</v>
      </c>
      <c r="H564" s="60">
        <f t="shared" si="319"/>
        <v>715</v>
      </c>
      <c r="I564" s="60">
        <f t="shared" si="319"/>
        <v>0</v>
      </c>
      <c r="J564" s="65" t="s">
        <v>13</v>
      </c>
      <c r="K564" s="67"/>
      <c r="L564" s="55"/>
    </row>
    <row r="565" spans="1:12" ht="12.75" customHeight="1" thickBot="1" x14ac:dyDescent="0.25">
      <c r="A565" s="60">
        <f t="shared" ref="A565:C566" si="320">G565+D565</f>
        <v>120</v>
      </c>
      <c r="B565" s="60">
        <f t="shared" si="320"/>
        <v>0</v>
      </c>
      <c r="C565" s="60">
        <f t="shared" si="320"/>
        <v>120</v>
      </c>
      <c r="D565" s="60">
        <f>F565+E565</f>
        <v>0</v>
      </c>
      <c r="E565" s="60">
        <v>0</v>
      </c>
      <c r="F565" s="60">
        <v>0</v>
      </c>
      <c r="G565" s="60">
        <f>I565+H565</f>
        <v>120</v>
      </c>
      <c r="H565" s="60">
        <v>0</v>
      </c>
      <c r="I565" s="60">
        <f>44+76</f>
        <v>120</v>
      </c>
      <c r="J565" s="65" t="s">
        <v>221</v>
      </c>
      <c r="K565" s="66"/>
      <c r="L565" s="55"/>
    </row>
    <row r="566" spans="1:12" ht="12.75" customHeight="1" thickBot="1" x14ac:dyDescent="0.25">
      <c r="A566" s="60">
        <f t="shared" si="320"/>
        <v>0</v>
      </c>
      <c r="B566" s="60">
        <f t="shared" si="320"/>
        <v>0</v>
      </c>
      <c r="C566" s="60">
        <f t="shared" si="320"/>
        <v>0</v>
      </c>
      <c r="D566" s="60">
        <f>F566+E566</f>
        <v>0</v>
      </c>
      <c r="E566" s="60">
        <v>0</v>
      </c>
      <c r="F566" s="60">
        <v>0</v>
      </c>
      <c r="G566" s="60">
        <f>I566+H566</f>
        <v>0</v>
      </c>
      <c r="H566" s="60">
        <v>0</v>
      </c>
      <c r="I566" s="60">
        <v>0</v>
      </c>
      <c r="J566" s="65" t="s">
        <v>222</v>
      </c>
      <c r="K566" s="66" t="s">
        <v>462</v>
      </c>
      <c r="L566" s="55"/>
    </row>
    <row r="567" spans="1:12" ht="12.75" customHeight="1" thickBot="1" x14ac:dyDescent="0.25">
      <c r="A567" s="60">
        <f t="shared" ref="A567:I567" si="321">SUM(A565:A566)</f>
        <v>120</v>
      </c>
      <c r="B567" s="60">
        <f t="shared" si="321"/>
        <v>0</v>
      </c>
      <c r="C567" s="60">
        <f t="shared" si="321"/>
        <v>120</v>
      </c>
      <c r="D567" s="60">
        <f t="shared" si="321"/>
        <v>0</v>
      </c>
      <c r="E567" s="60">
        <f t="shared" si="321"/>
        <v>0</v>
      </c>
      <c r="F567" s="60">
        <f t="shared" si="321"/>
        <v>0</v>
      </c>
      <c r="G567" s="60">
        <f t="shared" si="321"/>
        <v>120</v>
      </c>
      <c r="H567" s="60">
        <f t="shared" si="321"/>
        <v>0</v>
      </c>
      <c r="I567" s="60">
        <f t="shared" si="321"/>
        <v>120</v>
      </c>
      <c r="J567" s="65" t="s">
        <v>13</v>
      </c>
      <c r="K567" s="67"/>
      <c r="L567" s="55"/>
    </row>
    <row r="568" spans="1:12" ht="12.75" customHeight="1" thickBot="1" x14ac:dyDescent="0.25">
      <c r="A568" s="60">
        <f t="shared" ref="A568:C569" si="322">G568+D568</f>
        <v>40</v>
      </c>
      <c r="B568" s="60">
        <f t="shared" si="322"/>
        <v>0</v>
      </c>
      <c r="C568" s="60">
        <f t="shared" si="322"/>
        <v>40</v>
      </c>
      <c r="D568" s="60">
        <f>F568+E568</f>
        <v>0</v>
      </c>
      <c r="E568" s="60">
        <v>0</v>
      </c>
      <c r="F568" s="60">
        <v>0</v>
      </c>
      <c r="G568" s="60">
        <f>I568+H568</f>
        <v>40</v>
      </c>
      <c r="H568" s="60">
        <v>0</v>
      </c>
      <c r="I568" s="60">
        <f>40</f>
        <v>40</v>
      </c>
      <c r="J568" s="65" t="s">
        <v>221</v>
      </c>
      <c r="K568" s="66"/>
      <c r="L568" s="55"/>
    </row>
    <row r="569" spans="1:12" ht="12.75" customHeight="1" thickBot="1" x14ac:dyDescent="0.25">
      <c r="A569" s="60">
        <f t="shared" si="322"/>
        <v>0</v>
      </c>
      <c r="B569" s="60">
        <f t="shared" si="322"/>
        <v>0</v>
      </c>
      <c r="C569" s="60">
        <f t="shared" si="322"/>
        <v>0</v>
      </c>
      <c r="D569" s="60">
        <f>F569+E569</f>
        <v>0</v>
      </c>
      <c r="E569" s="60">
        <v>0</v>
      </c>
      <c r="F569" s="60">
        <v>0</v>
      </c>
      <c r="G569" s="60">
        <f>I569+H569</f>
        <v>0</v>
      </c>
      <c r="H569" s="60">
        <v>0</v>
      </c>
      <c r="I569" s="60">
        <v>0</v>
      </c>
      <c r="J569" s="65" t="s">
        <v>222</v>
      </c>
      <c r="K569" s="66" t="s">
        <v>463</v>
      </c>
      <c r="L569" s="55"/>
    </row>
    <row r="570" spans="1:12" ht="12.75" customHeight="1" thickBot="1" x14ac:dyDescent="0.25">
      <c r="A570" s="60">
        <f t="shared" ref="A570:I570" si="323">SUM(A568:A569)</f>
        <v>40</v>
      </c>
      <c r="B570" s="60">
        <f t="shared" si="323"/>
        <v>0</v>
      </c>
      <c r="C570" s="60">
        <f t="shared" si="323"/>
        <v>40</v>
      </c>
      <c r="D570" s="60">
        <f t="shared" si="323"/>
        <v>0</v>
      </c>
      <c r="E570" s="60">
        <f t="shared" si="323"/>
        <v>0</v>
      </c>
      <c r="F570" s="60">
        <f t="shared" si="323"/>
        <v>0</v>
      </c>
      <c r="G570" s="60">
        <f t="shared" si="323"/>
        <v>40</v>
      </c>
      <c r="H570" s="60">
        <f t="shared" si="323"/>
        <v>0</v>
      </c>
      <c r="I570" s="60">
        <f t="shared" si="323"/>
        <v>40</v>
      </c>
      <c r="J570" s="65" t="s">
        <v>13</v>
      </c>
      <c r="K570" s="67"/>
      <c r="L570" s="55"/>
    </row>
    <row r="571" spans="1:12" ht="12.75" customHeight="1" thickBot="1" x14ac:dyDescent="0.25">
      <c r="A571" s="60">
        <f t="shared" ref="A571:C572" si="324">G571+D571</f>
        <v>57</v>
      </c>
      <c r="B571" s="60">
        <f t="shared" si="324"/>
        <v>57</v>
      </c>
      <c r="C571" s="60">
        <f t="shared" si="324"/>
        <v>0</v>
      </c>
      <c r="D571" s="60">
        <f>F571+E571</f>
        <v>0</v>
      </c>
      <c r="E571" s="60">
        <v>0</v>
      </c>
      <c r="F571" s="60">
        <v>0</v>
      </c>
      <c r="G571" s="60">
        <f>I571+H571</f>
        <v>57</v>
      </c>
      <c r="H571" s="60">
        <v>57</v>
      </c>
      <c r="I571" s="60">
        <v>0</v>
      </c>
      <c r="J571" s="65" t="s">
        <v>221</v>
      </c>
      <c r="K571" s="66"/>
      <c r="L571" s="55"/>
    </row>
    <row r="572" spans="1:12" ht="12.75" customHeight="1" thickBot="1" x14ac:dyDescent="0.25">
      <c r="A572" s="60">
        <f t="shared" si="324"/>
        <v>0</v>
      </c>
      <c r="B572" s="60">
        <f t="shared" si="324"/>
        <v>0</v>
      </c>
      <c r="C572" s="60">
        <f t="shared" si="324"/>
        <v>0</v>
      </c>
      <c r="D572" s="60">
        <f>F572+E572</f>
        <v>0</v>
      </c>
      <c r="E572" s="60">
        <v>0</v>
      </c>
      <c r="F572" s="60">
        <v>0</v>
      </c>
      <c r="G572" s="60">
        <f>I572+H572</f>
        <v>0</v>
      </c>
      <c r="H572" s="60">
        <v>0</v>
      </c>
      <c r="I572" s="60">
        <v>0</v>
      </c>
      <c r="J572" s="65" t="s">
        <v>222</v>
      </c>
      <c r="K572" s="66" t="s">
        <v>464</v>
      </c>
      <c r="L572" s="55"/>
    </row>
    <row r="573" spans="1:12" ht="12.75" customHeight="1" thickBot="1" x14ac:dyDescent="0.25">
      <c r="A573" s="60">
        <f t="shared" ref="A573:I573" si="325">SUM(A571:A572)</f>
        <v>57</v>
      </c>
      <c r="B573" s="60">
        <f t="shared" si="325"/>
        <v>57</v>
      </c>
      <c r="C573" s="60">
        <f t="shared" si="325"/>
        <v>0</v>
      </c>
      <c r="D573" s="60">
        <f t="shared" si="325"/>
        <v>0</v>
      </c>
      <c r="E573" s="60">
        <f t="shared" si="325"/>
        <v>0</v>
      </c>
      <c r="F573" s="60">
        <f t="shared" si="325"/>
        <v>0</v>
      </c>
      <c r="G573" s="60">
        <f t="shared" si="325"/>
        <v>57</v>
      </c>
      <c r="H573" s="60">
        <f t="shared" si="325"/>
        <v>57</v>
      </c>
      <c r="I573" s="60">
        <f t="shared" si="325"/>
        <v>0</v>
      </c>
      <c r="J573" s="65" t="s">
        <v>13</v>
      </c>
      <c r="K573" s="67"/>
      <c r="L573" s="55"/>
    </row>
    <row r="574" spans="1:12" ht="12.75" customHeight="1" thickBot="1" x14ac:dyDescent="0.25">
      <c r="A574" s="60">
        <f t="shared" ref="A574:C575" si="326">G574+D574</f>
        <v>83</v>
      </c>
      <c r="B574" s="60">
        <f t="shared" si="326"/>
        <v>83</v>
      </c>
      <c r="C574" s="60">
        <f t="shared" si="326"/>
        <v>0</v>
      </c>
      <c r="D574" s="60">
        <f>F574+E574</f>
        <v>0</v>
      </c>
      <c r="E574" s="60">
        <v>0</v>
      </c>
      <c r="F574" s="60">
        <v>0</v>
      </c>
      <c r="G574" s="60">
        <f>I574+H574</f>
        <v>83</v>
      </c>
      <c r="H574" s="60">
        <v>83</v>
      </c>
      <c r="I574" s="60">
        <v>0</v>
      </c>
      <c r="J574" s="65" t="s">
        <v>221</v>
      </c>
      <c r="K574" s="66"/>
      <c r="L574" s="55"/>
    </row>
    <row r="575" spans="1:12" ht="12.75" customHeight="1" thickBot="1" x14ac:dyDescent="0.25">
      <c r="A575" s="60">
        <f t="shared" si="326"/>
        <v>0</v>
      </c>
      <c r="B575" s="60">
        <f t="shared" si="326"/>
        <v>0</v>
      </c>
      <c r="C575" s="60">
        <f t="shared" si="326"/>
        <v>0</v>
      </c>
      <c r="D575" s="60">
        <f>F575+E575</f>
        <v>0</v>
      </c>
      <c r="E575" s="60">
        <v>0</v>
      </c>
      <c r="F575" s="60">
        <v>0</v>
      </c>
      <c r="G575" s="60">
        <f>I575+H575</f>
        <v>0</v>
      </c>
      <c r="H575" s="60">
        <v>0</v>
      </c>
      <c r="I575" s="60">
        <v>0</v>
      </c>
      <c r="J575" s="65" t="s">
        <v>222</v>
      </c>
      <c r="K575" s="66" t="s">
        <v>465</v>
      </c>
      <c r="L575" s="55"/>
    </row>
    <row r="576" spans="1:12" ht="12.75" customHeight="1" thickBot="1" x14ac:dyDescent="0.25">
      <c r="A576" s="60">
        <f t="shared" ref="A576:I576" si="327">SUM(A574:A575)</f>
        <v>83</v>
      </c>
      <c r="B576" s="60">
        <f t="shared" si="327"/>
        <v>83</v>
      </c>
      <c r="C576" s="60">
        <f t="shared" si="327"/>
        <v>0</v>
      </c>
      <c r="D576" s="60">
        <f t="shared" si="327"/>
        <v>0</v>
      </c>
      <c r="E576" s="60">
        <f t="shared" si="327"/>
        <v>0</v>
      </c>
      <c r="F576" s="60">
        <f t="shared" si="327"/>
        <v>0</v>
      </c>
      <c r="G576" s="60">
        <f t="shared" si="327"/>
        <v>83</v>
      </c>
      <c r="H576" s="60">
        <f t="shared" si="327"/>
        <v>83</v>
      </c>
      <c r="I576" s="60">
        <f t="shared" si="327"/>
        <v>0</v>
      </c>
      <c r="J576" s="65" t="s">
        <v>13</v>
      </c>
      <c r="K576" s="67"/>
      <c r="L576" s="55"/>
    </row>
    <row r="577" spans="1:12" ht="12.75" customHeight="1" thickBot="1" x14ac:dyDescent="0.25">
      <c r="A577" s="60">
        <f t="shared" ref="A577:C578" si="328">G577+D577</f>
        <v>457</v>
      </c>
      <c r="B577" s="60">
        <f t="shared" si="328"/>
        <v>250</v>
      </c>
      <c r="C577" s="60">
        <f t="shared" si="328"/>
        <v>207</v>
      </c>
      <c r="D577" s="60">
        <f>F577+E577</f>
        <v>19</v>
      </c>
      <c r="E577" s="60">
        <v>12</v>
      </c>
      <c r="F577" s="60">
        <v>7</v>
      </c>
      <c r="G577" s="60">
        <f>I577+H577</f>
        <v>438</v>
      </c>
      <c r="H577" s="60">
        <v>238</v>
      </c>
      <c r="I577" s="60">
        <v>200</v>
      </c>
      <c r="J577" s="65" t="s">
        <v>221</v>
      </c>
      <c r="K577" s="66"/>
      <c r="L577" s="55"/>
    </row>
    <row r="578" spans="1:12" ht="12.75" customHeight="1" thickBot="1" x14ac:dyDescent="0.25">
      <c r="A578" s="60">
        <f t="shared" si="328"/>
        <v>0</v>
      </c>
      <c r="B578" s="60">
        <f t="shared" si="328"/>
        <v>0</v>
      </c>
      <c r="C578" s="60">
        <f t="shared" si="328"/>
        <v>0</v>
      </c>
      <c r="D578" s="60">
        <f>F578+E578</f>
        <v>0</v>
      </c>
      <c r="E578" s="60">
        <v>0</v>
      </c>
      <c r="F578" s="60">
        <v>0</v>
      </c>
      <c r="G578" s="60">
        <f>I578+H578</f>
        <v>0</v>
      </c>
      <c r="H578" s="60">
        <v>0</v>
      </c>
      <c r="I578" s="60">
        <v>0</v>
      </c>
      <c r="J578" s="65" t="s">
        <v>222</v>
      </c>
      <c r="K578" s="66" t="s">
        <v>466</v>
      </c>
      <c r="L578" s="55"/>
    </row>
    <row r="579" spans="1:12" ht="12.75" customHeight="1" thickBot="1" x14ac:dyDescent="0.25">
      <c r="A579" s="60">
        <f t="shared" ref="A579:I579" si="329">SUM(A577:A578)</f>
        <v>457</v>
      </c>
      <c r="B579" s="60">
        <f t="shared" si="329"/>
        <v>250</v>
      </c>
      <c r="C579" s="60">
        <f t="shared" si="329"/>
        <v>207</v>
      </c>
      <c r="D579" s="60">
        <f t="shared" si="329"/>
        <v>19</v>
      </c>
      <c r="E579" s="60">
        <f t="shared" si="329"/>
        <v>12</v>
      </c>
      <c r="F579" s="60">
        <f t="shared" si="329"/>
        <v>7</v>
      </c>
      <c r="G579" s="60">
        <f t="shared" si="329"/>
        <v>438</v>
      </c>
      <c r="H579" s="60">
        <f t="shared" si="329"/>
        <v>238</v>
      </c>
      <c r="I579" s="60">
        <f t="shared" si="329"/>
        <v>200</v>
      </c>
      <c r="J579" s="65" t="s">
        <v>13</v>
      </c>
      <c r="K579" s="67"/>
      <c r="L579" s="55"/>
    </row>
    <row r="580" spans="1:12" ht="12.75" customHeight="1" thickBot="1" x14ac:dyDescent="0.25">
      <c r="A580" s="60">
        <f t="shared" ref="A580:C581" si="330">G580+D580</f>
        <v>426</v>
      </c>
      <c r="B580" s="60">
        <f t="shared" si="330"/>
        <v>218</v>
      </c>
      <c r="C580" s="60">
        <f t="shared" si="330"/>
        <v>208</v>
      </c>
      <c r="D580" s="60">
        <f>F580+E580</f>
        <v>10</v>
      </c>
      <c r="E580" s="60">
        <v>3</v>
      </c>
      <c r="F580" s="60">
        <v>7</v>
      </c>
      <c r="G580" s="60">
        <f>I580+H580</f>
        <v>416</v>
      </c>
      <c r="H580" s="60">
        <v>215</v>
      </c>
      <c r="I580" s="60">
        <v>201</v>
      </c>
      <c r="J580" s="65" t="s">
        <v>221</v>
      </c>
      <c r="K580" s="66"/>
      <c r="L580" s="55"/>
    </row>
    <row r="581" spans="1:12" ht="12.75" customHeight="1" thickBot="1" x14ac:dyDescent="0.25">
      <c r="A581" s="60">
        <f t="shared" si="330"/>
        <v>0</v>
      </c>
      <c r="B581" s="60">
        <f t="shared" si="330"/>
        <v>0</v>
      </c>
      <c r="C581" s="60">
        <f t="shared" si="330"/>
        <v>0</v>
      </c>
      <c r="D581" s="60">
        <f>F581+E581</f>
        <v>0</v>
      </c>
      <c r="E581" s="60">
        <v>0</v>
      </c>
      <c r="F581" s="60">
        <v>0</v>
      </c>
      <c r="G581" s="60">
        <f>I581+H581</f>
        <v>0</v>
      </c>
      <c r="H581" s="60">
        <v>0</v>
      </c>
      <c r="I581" s="60">
        <v>0</v>
      </c>
      <c r="J581" s="65" t="s">
        <v>222</v>
      </c>
      <c r="K581" s="66" t="s">
        <v>467</v>
      </c>
      <c r="L581" s="55"/>
    </row>
    <row r="582" spans="1:12" ht="12.75" customHeight="1" thickBot="1" x14ac:dyDescent="0.25">
      <c r="A582" s="60">
        <f t="shared" ref="A582:I582" si="331">SUM(A580:A581)</f>
        <v>426</v>
      </c>
      <c r="B582" s="60">
        <f t="shared" si="331"/>
        <v>218</v>
      </c>
      <c r="C582" s="60">
        <f t="shared" si="331"/>
        <v>208</v>
      </c>
      <c r="D582" s="60">
        <f t="shared" si="331"/>
        <v>10</v>
      </c>
      <c r="E582" s="60">
        <f t="shared" si="331"/>
        <v>3</v>
      </c>
      <c r="F582" s="60">
        <f t="shared" si="331"/>
        <v>7</v>
      </c>
      <c r="G582" s="60">
        <f t="shared" si="331"/>
        <v>416</v>
      </c>
      <c r="H582" s="60">
        <f t="shared" si="331"/>
        <v>215</v>
      </c>
      <c r="I582" s="60">
        <f t="shared" si="331"/>
        <v>201</v>
      </c>
      <c r="J582" s="65" t="s">
        <v>13</v>
      </c>
      <c r="K582" s="67"/>
      <c r="L582" s="55"/>
    </row>
    <row r="583" spans="1:12" ht="12.75" customHeight="1" thickBot="1" x14ac:dyDescent="0.25">
      <c r="A583" s="60">
        <f t="shared" ref="A583:C584" si="332">G583+D583</f>
        <v>777</v>
      </c>
      <c r="B583" s="60">
        <f t="shared" si="332"/>
        <v>530</v>
      </c>
      <c r="C583" s="60">
        <f t="shared" si="332"/>
        <v>247</v>
      </c>
      <c r="D583" s="60">
        <f>F583+E583</f>
        <v>81</v>
      </c>
      <c r="E583" s="60">
        <v>56</v>
      </c>
      <c r="F583" s="60">
        <v>25</v>
      </c>
      <c r="G583" s="60">
        <f>I583+H583</f>
        <v>696</v>
      </c>
      <c r="H583" s="60">
        <v>474</v>
      </c>
      <c r="I583" s="60">
        <f>220+2</f>
        <v>222</v>
      </c>
      <c r="J583" s="65" t="s">
        <v>221</v>
      </c>
      <c r="K583" s="66"/>
      <c r="L583" s="55"/>
    </row>
    <row r="584" spans="1:12" ht="12.75" customHeight="1" thickBot="1" x14ac:dyDescent="0.25">
      <c r="A584" s="60">
        <f t="shared" si="332"/>
        <v>0</v>
      </c>
      <c r="B584" s="60">
        <f t="shared" si="332"/>
        <v>0</v>
      </c>
      <c r="C584" s="60">
        <f t="shared" si="332"/>
        <v>0</v>
      </c>
      <c r="D584" s="60">
        <f>F584+E584</f>
        <v>0</v>
      </c>
      <c r="E584" s="60">
        <v>0</v>
      </c>
      <c r="F584" s="60">
        <v>0</v>
      </c>
      <c r="G584" s="60">
        <f>I584+H584</f>
        <v>0</v>
      </c>
      <c r="H584" s="60">
        <v>0</v>
      </c>
      <c r="I584" s="60">
        <v>0</v>
      </c>
      <c r="J584" s="65" t="s">
        <v>222</v>
      </c>
      <c r="K584" s="66" t="s">
        <v>213</v>
      </c>
      <c r="L584" s="55"/>
    </row>
    <row r="585" spans="1:12" ht="12.75" customHeight="1" thickBot="1" x14ac:dyDescent="0.25">
      <c r="A585" s="60">
        <f t="shared" ref="A585:I585" si="333">SUM(A583:A584)</f>
        <v>777</v>
      </c>
      <c r="B585" s="60">
        <f t="shared" si="333"/>
        <v>530</v>
      </c>
      <c r="C585" s="60">
        <f t="shared" si="333"/>
        <v>247</v>
      </c>
      <c r="D585" s="60">
        <f t="shared" si="333"/>
        <v>81</v>
      </c>
      <c r="E585" s="60">
        <f t="shared" si="333"/>
        <v>56</v>
      </c>
      <c r="F585" s="60">
        <f t="shared" si="333"/>
        <v>25</v>
      </c>
      <c r="G585" s="60">
        <f t="shared" si="333"/>
        <v>696</v>
      </c>
      <c r="H585" s="60">
        <f t="shared" si="333"/>
        <v>474</v>
      </c>
      <c r="I585" s="60">
        <f t="shared" si="333"/>
        <v>222</v>
      </c>
      <c r="J585" s="65" t="s">
        <v>13</v>
      </c>
      <c r="K585" s="67"/>
      <c r="L585" s="55"/>
    </row>
    <row r="586" spans="1:12" ht="12.75" customHeight="1" thickBot="1" x14ac:dyDescent="0.25">
      <c r="A586" s="60">
        <f t="shared" ref="A586:C587" si="334">G586+D586</f>
        <v>60</v>
      </c>
      <c r="B586" s="60">
        <f t="shared" si="334"/>
        <v>60</v>
      </c>
      <c r="C586" s="60">
        <f t="shared" si="334"/>
        <v>0</v>
      </c>
      <c r="D586" s="60">
        <f>F586+E586</f>
        <v>0</v>
      </c>
      <c r="E586" s="60">
        <v>0</v>
      </c>
      <c r="F586" s="60">
        <v>0</v>
      </c>
      <c r="G586" s="60">
        <f>I586+H586</f>
        <v>60</v>
      </c>
      <c r="H586" s="60">
        <v>60</v>
      </c>
      <c r="I586" s="60">
        <v>0</v>
      </c>
      <c r="J586" s="65" t="s">
        <v>221</v>
      </c>
      <c r="K586" s="66"/>
      <c r="L586" s="55"/>
    </row>
    <row r="587" spans="1:12" ht="12.75" customHeight="1" thickBot="1" x14ac:dyDescent="0.25">
      <c r="A587" s="60">
        <f t="shared" si="334"/>
        <v>0</v>
      </c>
      <c r="B587" s="60">
        <f t="shared" si="334"/>
        <v>0</v>
      </c>
      <c r="C587" s="60">
        <f t="shared" si="334"/>
        <v>0</v>
      </c>
      <c r="D587" s="60">
        <f>F587+E587</f>
        <v>0</v>
      </c>
      <c r="E587" s="60">
        <v>0</v>
      </c>
      <c r="F587" s="60">
        <v>0</v>
      </c>
      <c r="G587" s="60">
        <f>I587+H587</f>
        <v>0</v>
      </c>
      <c r="H587" s="60">
        <v>0</v>
      </c>
      <c r="I587" s="60">
        <v>0</v>
      </c>
      <c r="J587" s="65" t="s">
        <v>222</v>
      </c>
      <c r="K587" s="66" t="s">
        <v>468</v>
      </c>
      <c r="L587" s="55"/>
    </row>
    <row r="588" spans="1:12" ht="12.75" customHeight="1" thickBot="1" x14ac:dyDescent="0.25">
      <c r="A588" s="60">
        <f t="shared" ref="A588:I588" si="335">SUM(A586:A587)</f>
        <v>60</v>
      </c>
      <c r="B588" s="60">
        <f t="shared" si="335"/>
        <v>60</v>
      </c>
      <c r="C588" s="60">
        <f t="shared" si="335"/>
        <v>0</v>
      </c>
      <c r="D588" s="60">
        <f t="shared" si="335"/>
        <v>0</v>
      </c>
      <c r="E588" s="60">
        <f t="shared" si="335"/>
        <v>0</v>
      </c>
      <c r="F588" s="60">
        <f t="shared" si="335"/>
        <v>0</v>
      </c>
      <c r="G588" s="60">
        <f t="shared" si="335"/>
        <v>60</v>
      </c>
      <c r="H588" s="60">
        <f t="shared" si="335"/>
        <v>60</v>
      </c>
      <c r="I588" s="60">
        <f t="shared" si="335"/>
        <v>0</v>
      </c>
      <c r="J588" s="65" t="s">
        <v>13</v>
      </c>
      <c r="K588" s="67"/>
      <c r="L588" s="55"/>
    </row>
    <row r="589" spans="1:12" ht="12.75" customHeight="1" thickBot="1" x14ac:dyDescent="0.25">
      <c r="A589" s="60">
        <f t="shared" ref="A589:C590" si="336">G589+D589</f>
        <v>598</v>
      </c>
      <c r="B589" s="60">
        <f t="shared" si="336"/>
        <v>598</v>
      </c>
      <c r="C589" s="60">
        <f t="shared" si="336"/>
        <v>0</v>
      </c>
      <c r="D589" s="60">
        <f>F589+E589</f>
        <v>9</v>
      </c>
      <c r="E589" s="60">
        <v>9</v>
      </c>
      <c r="F589" s="60">
        <v>0</v>
      </c>
      <c r="G589" s="60">
        <f>I589+H589</f>
        <v>589</v>
      </c>
      <c r="H589" s="60">
        <v>589</v>
      </c>
      <c r="I589" s="60">
        <v>0</v>
      </c>
      <c r="J589" s="65" t="s">
        <v>221</v>
      </c>
      <c r="K589" s="66"/>
      <c r="L589" s="55"/>
    </row>
    <row r="590" spans="1:12" ht="12.75" customHeight="1" thickBot="1" x14ac:dyDescent="0.25">
      <c r="A590" s="60">
        <f t="shared" si="336"/>
        <v>0</v>
      </c>
      <c r="B590" s="60">
        <f t="shared" si="336"/>
        <v>0</v>
      </c>
      <c r="C590" s="60">
        <f t="shared" si="336"/>
        <v>0</v>
      </c>
      <c r="D590" s="60">
        <f>F590+E590</f>
        <v>0</v>
      </c>
      <c r="E590" s="60">
        <v>0</v>
      </c>
      <c r="F590" s="60">
        <v>0</v>
      </c>
      <c r="G590" s="60">
        <f>I590+H590</f>
        <v>0</v>
      </c>
      <c r="H590" s="60">
        <v>0</v>
      </c>
      <c r="I590" s="60">
        <v>0</v>
      </c>
      <c r="J590" s="65" t="s">
        <v>222</v>
      </c>
      <c r="K590" s="66" t="s">
        <v>469</v>
      </c>
      <c r="L590" s="55"/>
    </row>
    <row r="591" spans="1:12" ht="12.75" customHeight="1" thickBot="1" x14ac:dyDescent="0.25">
      <c r="A591" s="60">
        <f t="shared" ref="A591:I591" si="337">SUM(A589:A590)</f>
        <v>598</v>
      </c>
      <c r="B591" s="60">
        <f t="shared" si="337"/>
        <v>598</v>
      </c>
      <c r="C591" s="60">
        <f t="shared" si="337"/>
        <v>0</v>
      </c>
      <c r="D591" s="60">
        <f t="shared" si="337"/>
        <v>9</v>
      </c>
      <c r="E591" s="60">
        <f t="shared" si="337"/>
        <v>9</v>
      </c>
      <c r="F591" s="60">
        <f t="shared" si="337"/>
        <v>0</v>
      </c>
      <c r="G591" s="60">
        <f t="shared" si="337"/>
        <v>589</v>
      </c>
      <c r="H591" s="60">
        <f t="shared" si="337"/>
        <v>589</v>
      </c>
      <c r="I591" s="60">
        <f t="shared" si="337"/>
        <v>0</v>
      </c>
      <c r="J591" s="65" t="s">
        <v>13</v>
      </c>
      <c r="K591" s="67"/>
      <c r="L591" s="55"/>
    </row>
    <row r="592" spans="1:12" ht="12.75" customHeight="1" thickBot="1" x14ac:dyDescent="0.25">
      <c r="A592" s="60">
        <f t="shared" ref="A592:H594" si="338">A535+A538+A541+A544+A547+A550+A553+A556+A559+A562+A565+A568+A571+A574+A577+A580+A583+A586+A589</f>
        <v>6380</v>
      </c>
      <c r="B592" s="60">
        <f t="shared" si="338"/>
        <v>4389</v>
      </c>
      <c r="C592" s="60">
        <f t="shared" si="338"/>
        <v>1991</v>
      </c>
      <c r="D592" s="60">
        <f t="shared" si="338"/>
        <v>146</v>
      </c>
      <c r="E592" s="60">
        <f t="shared" si="338"/>
        <v>104</v>
      </c>
      <c r="F592" s="60">
        <f t="shared" si="338"/>
        <v>42</v>
      </c>
      <c r="G592" s="60">
        <f t="shared" si="338"/>
        <v>6234</v>
      </c>
      <c r="H592" s="60">
        <f t="shared" si="338"/>
        <v>4285</v>
      </c>
      <c r="I592" s="60">
        <f>I535+I538+I541+I544+I547+I550+I553+I556+I559+I562+I565+I568+I571+I574+I577+I580+I583+I586+I589</f>
        <v>1949</v>
      </c>
      <c r="J592" s="65" t="s">
        <v>224</v>
      </c>
      <c r="K592" s="57"/>
      <c r="L592" s="55"/>
    </row>
    <row r="593" spans="1:12" ht="12.75" customHeight="1" thickBot="1" x14ac:dyDescent="0.25">
      <c r="A593" s="60">
        <f t="shared" si="338"/>
        <v>1136</v>
      </c>
      <c r="B593" s="60">
        <f t="shared" si="338"/>
        <v>1133</v>
      </c>
      <c r="C593" s="60">
        <f t="shared" si="338"/>
        <v>3</v>
      </c>
      <c r="D593" s="60">
        <f t="shared" si="338"/>
        <v>0</v>
      </c>
      <c r="E593" s="60">
        <f t="shared" si="338"/>
        <v>0</v>
      </c>
      <c r="F593" s="60">
        <f t="shared" si="338"/>
        <v>0</v>
      </c>
      <c r="G593" s="60">
        <f t="shared" si="338"/>
        <v>1136</v>
      </c>
      <c r="H593" s="60">
        <f t="shared" si="338"/>
        <v>1133</v>
      </c>
      <c r="I593" s="60">
        <f>I536+I539+I542+I545+I548+I551+I554+I557+I560+I563+I566+I569+I572+I575+I578+I581+I584+I587+I590</f>
        <v>3</v>
      </c>
      <c r="J593" s="65" t="s">
        <v>225</v>
      </c>
      <c r="K593" s="68" t="s">
        <v>211</v>
      </c>
      <c r="L593" s="55"/>
    </row>
    <row r="594" spans="1:12" ht="12.75" customHeight="1" thickBot="1" x14ac:dyDescent="0.25">
      <c r="A594" s="60">
        <f t="shared" si="338"/>
        <v>7516</v>
      </c>
      <c r="B594" s="60">
        <f t="shared" si="338"/>
        <v>5522</v>
      </c>
      <c r="C594" s="60">
        <f t="shared" si="338"/>
        <v>1994</v>
      </c>
      <c r="D594" s="60">
        <f t="shared" si="338"/>
        <v>146</v>
      </c>
      <c r="E594" s="60">
        <f t="shared" si="338"/>
        <v>104</v>
      </c>
      <c r="F594" s="60">
        <f t="shared" si="338"/>
        <v>42</v>
      </c>
      <c r="G594" s="60">
        <f t="shared" si="338"/>
        <v>7370</v>
      </c>
      <c r="H594" s="60">
        <f t="shared" si="338"/>
        <v>5418</v>
      </c>
      <c r="I594" s="60">
        <f>I537+I540+I543+I546+I549+I552+I555+I558+I561+I564+I567+I570+I573+I576+I579+I582+I585+I588+I591</f>
        <v>1952</v>
      </c>
      <c r="J594" s="65" t="s">
        <v>13</v>
      </c>
      <c r="K594" s="59"/>
      <c r="L594" s="55"/>
    </row>
    <row r="595" spans="1:12" ht="12.75" customHeight="1" x14ac:dyDescent="0.2">
      <c r="A595" s="177" t="s">
        <v>327</v>
      </c>
      <c r="B595" s="177"/>
      <c r="C595" s="177"/>
      <c r="D595" s="177"/>
      <c r="E595" s="177"/>
      <c r="F595" s="177"/>
      <c r="G595" s="177"/>
      <c r="H595" s="177"/>
      <c r="I595" s="177"/>
      <c r="J595" s="177"/>
      <c r="K595" s="177"/>
      <c r="L595" s="55"/>
    </row>
    <row r="596" spans="1:12" ht="12.75" customHeight="1" thickBot="1" x14ac:dyDescent="0.25">
      <c r="A596" s="178" t="s">
        <v>328</v>
      </c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55"/>
    </row>
    <row r="597" spans="1:12" ht="12.75" customHeight="1" thickBot="1" x14ac:dyDescent="0.25">
      <c r="A597" s="179" t="s">
        <v>5</v>
      </c>
      <c r="B597" s="179"/>
      <c r="C597" s="179"/>
      <c r="D597" s="179" t="s">
        <v>162</v>
      </c>
      <c r="E597" s="179"/>
      <c r="F597" s="179"/>
      <c r="G597" s="179" t="s">
        <v>163</v>
      </c>
      <c r="H597" s="179"/>
      <c r="I597" s="179"/>
      <c r="J597" s="179" t="s">
        <v>72</v>
      </c>
      <c r="K597" s="179"/>
      <c r="L597" s="55"/>
    </row>
    <row r="598" spans="1:12" ht="12.75" customHeight="1" thickBot="1" x14ac:dyDescent="0.25">
      <c r="A598" s="58" t="s">
        <v>216</v>
      </c>
      <c r="B598" s="58" t="s">
        <v>11</v>
      </c>
      <c r="C598" s="58" t="s">
        <v>10</v>
      </c>
      <c r="D598" s="58" t="s">
        <v>216</v>
      </c>
      <c r="E598" s="58" t="s">
        <v>11</v>
      </c>
      <c r="F598" s="58" t="s">
        <v>10</v>
      </c>
      <c r="G598" s="58" t="s">
        <v>216</v>
      </c>
      <c r="H598" s="58" t="s">
        <v>11</v>
      </c>
      <c r="I598" s="58" t="s">
        <v>10</v>
      </c>
      <c r="J598" s="180" t="s">
        <v>83</v>
      </c>
      <c r="K598" s="180"/>
      <c r="L598" s="55"/>
    </row>
    <row r="599" spans="1:12" ht="12.75" customHeight="1" thickBot="1" x14ac:dyDescent="0.25">
      <c r="A599" s="60">
        <f t="shared" ref="A599:C600" si="339">G599+D599</f>
        <v>593</v>
      </c>
      <c r="B599" s="60">
        <f t="shared" si="339"/>
        <v>0</v>
      </c>
      <c r="C599" s="60">
        <f t="shared" si="339"/>
        <v>593</v>
      </c>
      <c r="D599" s="60">
        <f>F599+E599</f>
        <v>0</v>
      </c>
      <c r="E599" s="60">
        <v>0</v>
      </c>
      <c r="F599" s="60">
        <v>0</v>
      </c>
      <c r="G599" s="60">
        <f>I599+H599</f>
        <v>593</v>
      </c>
      <c r="H599" s="60">
        <v>0</v>
      </c>
      <c r="I599" s="60">
        <f>833-349+109</f>
        <v>593</v>
      </c>
      <c r="J599" s="65" t="s">
        <v>221</v>
      </c>
      <c r="K599" s="66"/>
      <c r="L599" s="55"/>
    </row>
    <row r="600" spans="1:12" ht="12.75" customHeight="1" thickBot="1" x14ac:dyDescent="0.25">
      <c r="A600" s="60">
        <f t="shared" si="339"/>
        <v>0</v>
      </c>
      <c r="B600" s="60">
        <f t="shared" si="339"/>
        <v>0</v>
      </c>
      <c r="C600" s="60">
        <f t="shared" si="339"/>
        <v>0</v>
      </c>
      <c r="D600" s="60">
        <f>F600+E600</f>
        <v>0</v>
      </c>
      <c r="E600" s="60">
        <v>0</v>
      </c>
      <c r="F600" s="60">
        <v>0</v>
      </c>
      <c r="G600" s="60">
        <f>I600+H600</f>
        <v>0</v>
      </c>
      <c r="H600" s="60">
        <v>0</v>
      </c>
      <c r="I600" s="60">
        <v>0</v>
      </c>
      <c r="J600" s="65" t="s">
        <v>222</v>
      </c>
      <c r="K600" s="66" t="s">
        <v>261</v>
      </c>
      <c r="L600" s="55"/>
    </row>
    <row r="601" spans="1:12" ht="12.75" customHeight="1" thickBot="1" x14ac:dyDescent="0.25">
      <c r="A601" s="60">
        <f t="shared" ref="A601:I601" si="340">SUM(A599:A600)</f>
        <v>593</v>
      </c>
      <c r="B601" s="60">
        <f t="shared" si="340"/>
        <v>0</v>
      </c>
      <c r="C601" s="60">
        <f t="shared" si="340"/>
        <v>593</v>
      </c>
      <c r="D601" s="60">
        <f t="shared" si="340"/>
        <v>0</v>
      </c>
      <c r="E601" s="60">
        <f t="shared" si="340"/>
        <v>0</v>
      </c>
      <c r="F601" s="60">
        <f t="shared" si="340"/>
        <v>0</v>
      </c>
      <c r="G601" s="60">
        <f t="shared" si="340"/>
        <v>593</v>
      </c>
      <c r="H601" s="60">
        <f t="shared" si="340"/>
        <v>0</v>
      </c>
      <c r="I601" s="60">
        <f t="shared" si="340"/>
        <v>593</v>
      </c>
      <c r="J601" s="65" t="s">
        <v>13</v>
      </c>
      <c r="K601" s="67"/>
      <c r="L601" s="55"/>
    </row>
    <row r="602" spans="1:12" ht="12.75" customHeight="1" thickBot="1" x14ac:dyDescent="0.25">
      <c r="A602" s="60">
        <f t="shared" ref="A602:C603" si="341">G602+D602</f>
        <v>821</v>
      </c>
      <c r="B602" s="60">
        <f t="shared" si="341"/>
        <v>664</v>
      </c>
      <c r="C602" s="60">
        <f t="shared" si="341"/>
        <v>157</v>
      </c>
      <c r="D602" s="60">
        <f>F602+E602</f>
        <v>2</v>
      </c>
      <c r="E602" s="60">
        <v>1</v>
      </c>
      <c r="F602" s="60">
        <v>1</v>
      </c>
      <c r="G602" s="60">
        <f>I602+H602</f>
        <v>819</v>
      </c>
      <c r="H602" s="60">
        <v>663</v>
      </c>
      <c r="I602" s="60">
        <v>156</v>
      </c>
      <c r="J602" s="65" t="s">
        <v>221</v>
      </c>
      <c r="K602" s="66"/>
      <c r="L602" s="55"/>
    </row>
    <row r="603" spans="1:12" ht="12.75" customHeight="1" thickBot="1" x14ac:dyDescent="0.25">
      <c r="A603" s="60">
        <f t="shared" si="341"/>
        <v>1</v>
      </c>
      <c r="B603" s="60">
        <f t="shared" si="341"/>
        <v>1</v>
      </c>
      <c r="C603" s="60">
        <f t="shared" si="341"/>
        <v>0</v>
      </c>
      <c r="D603" s="60">
        <f>F603+E603</f>
        <v>0</v>
      </c>
      <c r="E603" s="60">
        <v>0</v>
      </c>
      <c r="F603" s="60">
        <v>0</v>
      </c>
      <c r="G603" s="60">
        <f>I603+H603</f>
        <v>1</v>
      </c>
      <c r="H603" s="60">
        <v>1</v>
      </c>
      <c r="I603" s="60">
        <v>0</v>
      </c>
      <c r="J603" s="65" t="s">
        <v>222</v>
      </c>
      <c r="K603" s="66" t="s">
        <v>364</v>
      </c>
      <c r="L603" s="55"/>
    </row>
    <row r="604" spans="1:12" ht="12.75" customHeight="1" thickBot="1" x14ac:dyDescent="0.25">
      <c r="A604" s="60">
        <f t="shared" ref="A604:I604" si="342">SUM(A602:A603)</f>
        <v>822</v>
      </c>
      <c r="B604" s="60">
        <f t="shared" si="342"/>
        <v>665</v>
      </c>
      <c r="C604" s="60">
        <f t="shared" si="342"/>
        <v>157</v>
      </c>
      <c r="D604" s="60">
        <f t="shared" si="342"/>
        <v>2</v>
      </c>
      <c r="E604" s="60">
        <f t="shared" si="342"/>
        <v>1</v>
      </c>
      <c r="F604" s="60">
        <f t="shared" si="342"/>
        <v>1</v>
      </c>
      <c r="G604" s="60">
        <f t="shared" si="342"/>
        <v>820</v>
      </c>
      <c r="H604" s="60">
        <f t="shared" si="342"/>
        <v>664</v>
      </c>
      <c r="I604" s="60">
        <f t="shared" si="342"/>
        <v>156</v>
      </c>
      <c r="J604" s="65" t="s">
        <v>13</v>
      </c>
      <c r="K604" s="67"/>
      <c r="L604" s="55"/>
    </row>
    <row r="605" spans="1:12" ht="12.75" customHeight="1" thickBot="1" x14ac:dyDescent="0.25">
      <c r="A605" s="60">
        <f t="shared" ref="A605:C606" si="343">G605+D605</f>
        <v>1284</v>
      </c>
      <c r="B605" s="60">
        <f t="shared" si="343"/>
        <v>636</v>
      </c>
      <c r="C605" s="60">
        <f t="shared" si="343"/>
        <v>648</v>
      </c>
      <c r="D605" s="60">
        <f>F605+E605</f>
        <v>25</v>
      </c>
      <c r="E605" s="60">
        <v>16</v>
      </c>
      <c r="F605" s="60">
        <v>9</v>
      </c>
      <c r="G605" s="60">
        <f>I605+H605</f>
        <v>1259</v>
      </c>
      <c r="H605" s="60">
        <v>620</v>
      </c>
      <c r="I605" s="60">
        <v>639</v>
      </c>
      <c r="J605" s="65" t="s">
        <v>221</v>
      </c>
      <c r="K605" s="66"/>
      <c r="L605" s="55"/>
    </row>
    <row r="606" spans="1:12" ht="12.75" customHeight="1" thickBot="1" x14ac:dyDescent="0.25">
      <c r="A606" s="60">
        <f t="shared" si="343"/>
        <v>2</v>
      </c>
      <c r="B606" s="60">
        <f t="shared" si="343"/>
        <v>2</v>
      </c>
      <c r="C606" s="60">
        <f t="shared" si="343"/>
        <v>0</v>
      </c>
      <c r="D606" s="60">
        <f>F606+E606</f>
        <v>0</v>
      </c>
      <c r="E606" s="60">
        <v>0</v>
      </c>
      <c r="F606" s="60">
        <v>0</v>
      </c>
      <c r="G606" s="60">
        <f>I606+H606</f>
        <v>2</v>
      </c>
      <c r="H606" s="60">
        <v>2</v>
      </c>
      <c r="I606" s="60">
        <v>0</v>
      </c>
      <c r="J606" s="65" t="s">
        <v>222</v>
      </c>
      <c r="K606" s="66" t="s">
        <v>359</v>
      </c>
      <c r="L606" s="55"/>
    </row>
    <row r="607" spans="1:12" ht="12.75" customHeight="1" thickBot="1" x14ac:dyDescent="0.25">
      <c r="A607" s="60">
        <f t="shared" ref="A607:I607" si="344">SUM(A605:A606)</f>
        <v>1286</v>
      </c>
      <c r="B607" s="60">
        <f t="shared" si="344"/>
        <v>638</v>
      </c>
      <c r="C607" s="60">
        <f t="shared" si="344"/>
        <v>648</v>
      </c>
      <c r="D607" s="60">
        <f t="shared" si="344"/>
        <v>25</v>
      </c>
      <c r="E607" s="60">
        <f t="shared" si="344"/>
        <v>16</v>
      </c>
      <c r="F607" s="60">
        <f t="shared" si="344"/>
        <v>9</v>
      </c>
      <c r="G607" s="60">
        <f t="shared" si="344"/>
        <v>1261</v>
      </c>
      <c r="H607" s="60">
        <f t="shared" si="344"/>
        <v>622</v>
      </c>
      <c r="I607" s="60">
        <f t="shared" si="344"/>
        <v>639</v>
      </c>
      <c r="J607" s="65" t="s">
        <v>13</v>
      </c>
      <c r="K607" s="67"/>
      <c r="L607" s="55"/>
    </row>
    <row r="608" spans="1:12" ht="12.75" customHeight="1" thickBot="1" x14ac:dyDescent="0.25">
      <c r="A608" s="60">
        <f t="shared" ref="A608:C609" si="345">G608+D608</f>
        <v>91</v>
      </c>
      <c r="B608" s="60">
        <f t="shared" si="345"/>
        <v>0</v>
      </c>
      <c r="C608" s="60">
        <f t="shared" si="345"/>
        <v>91</v>
      </c>
      <c r="D608" s="60">
        <f>F608+E608</f>
        <v>0</v>
      </c>
      <c r="E608" s="60">
        <v>0</v>
      </c>
      <c r="F608" s="60">
        <v>0</v>
      </c>
      <c r="G608" s="60">
        <f>I608+H608</f>
        <v>91</v>
      </c>
      <c r="H608" s="60">
        <v>0</v>
      </c>
      <c r="I608" s="60">
        <v>91</v>
      </c>
      <c r="J608" s="65" t="s">
        <v>221</v>
      </c>
      <c r="K608" s="66"/>
      <c r="L608" s="55"/>
    </row>
    <row r="609" spans="1:12" ht="12.75" customHeight="1" thickBot="1" x14ac:dyDescent="0.25">
      <c r="A609" s="60">
        <f t="shared" si="345"/>
        <v>0</v>
      </c>
      <c r="B609" s="60">
        <f t="shared" si="345"/>
        <v>0</v>
      </c>
      <c r="C609" s="60">
        <f t="shared" si="345"/>
        <v>0</v>
      </c>
      <c r="D609" s="60">
        <f>F609+E609</f>
        <v>0</v>
      </c>
      <c r="E609" s="60">
        <v>0</v>
      </c>
      <c r="F609" s="60">
        <v>0</v>
      </c>
      <c r="G609" s="60">
        <f>I609+H609</f>
        <v>0</v>
      </c>
      <c r="H609" s="60">
        <v>0</v>
      </c>
      <c r="I609" s="60">
        <v>0</v>
      </c>
      <c r="J609" s="65" t="s">
        <v>222</v>
      </c>
      <c r="K609" s="66" t="s">
        <v>470</v>
      </c>
      <c r="L609" s="55"/>
    </row>
    <row r="610" spans="1:12" ht="12.75" customHeight="1" thickBot="1" x14ac:dyDescent="0.25">
      <c r="A610" s="60">
        <f t="shared" ref="A610:I610" si="346">SUM(A608:A609)</f>
        <v>91</v>
      </c>
      <c r="B610" s="60">
        <f t="shared" si="346"/>
        <v>0</v>
      </c>
      <c r="C610" s="60">
        <f t="shared" si="346"/>
        <v>91</v>
      </c>
      <c r="D610" s="60">
        <f t="shared" si="346"/>
        <v>0</v>
      </c>
      <c r="E610" s="60">
        <f t="shared" si="346"/>
        <v>0</v>
      </c>
      <c r="F610" s="60">
        <f t="shared" si="346"/>
        <v>0</v>
      </c>
      <c r="G610" s="60">
        <f t="shared" si="346"/>
        <v>91</v>
      </c>
      <c r="H610" s="60">
        <f t="shared" si="346"/>
        <v>0</v>
      </c>
      <c r="I610" s="60">
        <f t="shared" si="346"/>
        <v>91</v>
      </c>
      <c r="J610" s="65" t="s">
        <v>13</v>
      </c>
      <c r="K610" s="67"/>
      <c r="L610" s="55"/>
    </row>
    <row r="611" spans="1:12" ht="12.75" customHeight="1" thickBot="1" x14ac:dyDescent="0.25">
      <c r="A611" s="60">
        <f t="shared" ref="A611:C612" si="347">G611+D611</f>
        <v>329</v>
      </c>
      <c r="B611" s="60">
        <f t="shared" si="347"/>
        <v>127</v>
      </c>
      <c r="C611" s="60">
        <f t="shared" si="347"/>
        <v>202</v>
      </c>
      <c r="D611" s="60">
        <f>F611+E611</f>
        <v>7</v>
      </c>
      <c r="E611" s="60">
        <v>3</v>
      </c>
      <c r="F611" s="60">
        <v>4</v>
      </c>
      <c r="G611" s="60">
        <f>I611+H611</f>
        <v>322</v>
      </c>
      <c r="H611" s="60">
        <v>124</v>
      </c>
      <c r="I611" s="60">
        <v>198</v>
      </c>
      <c r="J611" s="65" t="s">
        <v>221</v>
      </c>
      <c r="K611" s="66"/>
      <c r="L611" s="55"/>
    </row>
    <row r="612" spans="1:12" ht="12.75" customHeight="1" thickBot="1" x14ac:dyDescent="0.25">
      <c r="A612" s="60">
        <f t="shared" si="347"/>
        <v>0</v>
      </c>
      <c r="B612" s="60">
        <f t="shared" si="347"/>
        <v>0</v>
      </c>
      <c r="C612" s="60">
        <f t="shared" si="347"/>
        <v>0</v>
      </c>
      <c r="D612" s="60">
        <f>F612+E612</f>
        <v>0</v>
      </c>
      <c r="E612" s="60">
        <v>0</v>
      </c>
      <c r="F612" s="60">
        <v>0</v>
      </c>
      <c r="G612" s="60">
        <f>I612+H612</f>
        <v>0</v>
      </c>
      <c r="H612" s="60">
        <v>0</v>
      </c>
      <c r="I612" s="60">
        <v>0</v>
      </c>
      <c r="J612" s="65" t="s">
        <v>222</v>
      </c>
      <c r="K612" s="66" t="s">
        <v>471</v>
      </c>
      <c r="L612" s="55"/>
    </row>
    <row r="613" spans="1:12" ht="12.75" customHeight="1" thickBot="1" x14ac:dyDescent="0.25">
      <c r="A613" s="60">
        <f t="shared" ref="A613:I613" si="348">SUM(A611:A612)</f>
        <v>329</v>
      </c>
      <c r="B613" s="60">
        <f t="shared" si="348"/>
        <v>127</v>
      </c>
      <c r="C613" s="60">
        <f t="shared" si="348"/>
        <v>202</v>
      </c>
      <c r="D613" s="60">
        <f t="shared" si="348"/>
        <v>7</v>
      </c>
      <c r="E613" s="60">
        <f t="shared" si="348"/>
        <v>3</v>
      </c>
      <c r="F613" s="60">
        <f t="shared" si="348"/>
        <v>4</v>
      </c>
      <c r="G613" s="60">
        <f t="shared" si="348"/>
        <v>322</v>
      </c>
      <c r="H613" s="60">
        <f t="shared" si="348"/>
        <v>124</v>
      </c>
      <c r="I613" s="60">
        <f t="shared" si="348"/>
        <v>198</v>
      </c>
      <c r="J613" s="65" t="s">
        <v>13</v>
      </c>
      <c r="K613" s="67"/>
      <c r="L613" s="55"/>
    </row>
    <row r="614" spans="1:12" ht="12.75" customHeight="1" thickBot="1" x14ac:dyDescent="0.25">
      <c r="A614" s="60">
        <f t="shared" ref="A614:C615" si="349">G614+D614</f>
        <v>316</v>
      </c>
      <c r="B614" s="60">
        <f t="shared" si="349"/>
        <v>139</v>
      </c>
      <c r="C614" s="60">
        <f t="shared" si="349"/>
        <v>177</v>
      </c>
      <c r="D614" s="60">
        <f>F614+E614</f>
        <v>7</v>
      </c>
      <c r="E614" s="60">
        <v>3</v>
      </c>
      <c r="F614" s="60">
        <v>4</v>
      </c>
      <c r="G614" s="60">
        <f>I614+H614</f>
        <v>309</v>
      </c>
      <c r="H614" s="60">
        <f>131+5</f>
        <v>136</v>
      </c>
      <c r="I614" s="60">
        <v>173</v>
      </c>
      <c r="J614" s="65" t="s">
        <v>221</v>
      </c>
      <c r="K614" s="66"/>
      <c r="L614" s="55"/>
    </row>
    <row r="615" spans="1:12" ht="12.75" customHeight="1" thickBot="1" x14ac:dyDescent="0.25">
      <c r="A615" s="60">
        <f t="shared" si="349"/>
        <v>0</v>
      </c>
      <c r="B615" s="60">
        <f t="shared" si="349"/>
        <v>0</v>
      </c>
      <c r="C615" s="60">
        <f t="shared" si="349"/>
        <v>0</v>
      </c>
      <c r="D615" s="60">
        <f>F615+E615</f>
        <v>0</v>
      </c>
      <c r="E615" s="60">
        <v>0</v>
      </c>
      <c r="F615" s="60">
        <v>0</v>
      </c>
      <c r="G615" s="60">
        <f>I615+H615</f>
        <v>0</v>
      </c>
      <c r="H615" s="60">
        <v>0</v>
      </c>
      <c r="I615" s="60">
        <v>0</v>
      </c>
      <c r="J615" s="65" t="s">
        <v>222</v>
      </c>
      <c r="K615" s="66" t="s">
        <v>455</v>
      </c>
      <c r="L615" s="55"/>
    </row>
    <row r="616" spans="1:12" ht="12.75" customHeight="1" thickBot="1" x14ac:dyDescent="0.25">
      <c r="A616" s="60">
        <f t="shared" ref="A616:I616" si="350">SUM(A614:A615)</f>
        <v>316</v>
      </c>
      <c r="B616" s="60">
        <f t="shared" si="350"/>
        <v>139</v>
      </c>
      <c r="C616" s="60">
        <f t="shared" si="350"/>
        <v>177</v>
      </c>
      <c r="D616" s="60">
        <f t="shared" si="350"/>
        <v>7</v>
      </c>
      <c r="E616" s="60">
        <f t="shared" si="350"/>
        <v>3</v>
      </c>
      <c r="F616" s="60">
        <f t="shared" si="350"/>
        <v>4</v>
      </c>
      <c r="G616" s="60">
        <f t="shared" si="350"/>
        <v>309</v>
      </c>
      <c r="H616" s="60">
        <f t="shared" si="350"/>
        <v>136</v>
      </c>
      <c r="I616" s="60">
        <f t="shared" si="350"/>
        <v>173</v>
      </c>
      <c r="J616" s="65" t="s">
        <v>13</v>
      </c>
      <c r="K616" s="67"/>
      <c r="L616" s="55"/>
    </row>
    <row r="617" spans="1:12" ht="12.75" customHeight="1" thickBot="1" x14ac:dyDescent="0.25">
      <c r="A617" s="60">
        <f t="shared" ref="A617:C618" si="351">G617+D617</f>
        <v>1336</v>
      </c>
      <c r="B617" s="60">
        <f t="shared" si="351"/>
        <v>625</v>
      </c>
      <c r="C617" s="60">
        <f t="shared" si="351"/>
        <v>711</v>
      </c>
      <c r="D617" s="60">
        <f>F617+E617</f>
        <v>28</v>
      </c>
      <c r="E617" s="60">
        <v>18</v>
      </c>
      <c r="F617" s="60">
        <v>10</v>
      </c>
      <c r="G617" s="60">
        <f>I617+H617</f>
        <v>1308</v>
      </c>
      <c r="H617" s="60">
        <v>607</v>
      </c>
      <c r="I617" s="60">
        <v>701</v>
      </c>
      <c r="J617" s="65" t="s">
        <v>221</v>
      </c>
      <c r="K617" s="66"/>
      <c r="L617" s="55"/>
    </row>
    <row r="618" spans="1:12" ht="12.75" customHeight="1" thickBot="1" x14ac:dyDescent="0.25">
      <c r="A618" s="60">
        <f t="shared" si="351"/>
        <v>614</v>
      </c>
      <c r="B618" s="60">
        <f t="shared" si="351"/>
        <v>614</v>
      </c>
      <c r="C618" s="60">
        <f t="shared" si="351"/>
        <v>0</v>
      </c>
      <c r="D618" s="60">
        <f>F618+E618</f>
        <v>0</v>
      </c>
      <c r="E618" s="60">
        <v>0</v>
      </c>
      <c r="F618" s="60">
        <v>0</v>
      </c>
      <c r="G618" s="60">
        <f>I618+H618</f>
        <v>614</v>
      </c>
      <c r="H618" s="60">
        <v>614</v>
      </c>
      <c r="I618" s="60">
        <v>0</v>
      </c>
      <c r="J618" s="65" t="s">
        <v>222</v>
      </c>
      <c r="K618" s="66" t="s">
        <v>363</v>
      </c>
      <c r="L618" s="55"/>
    </row>
    <row r="619" spans="1:12" ht="12.75" customHeight="1" thickBot="1" x14ac:dyDescent="0.25">
      <c r="A619" s="60">
        <f t="shared" ref="A619:I619" si="352">SUM(A617:A618)</f>
        <v>1950</v>
      </c>
      <c r="B619" s="60">
        <f t="shared" si="352"/>
        <v>1239</v>
      </c>
      <c r="C619" s="60">
        <f t="shared" si="352"/>
        <v>711</v>
      </c>
      <c r="D619" s="60">
        <f t="shared" si="352"/>
        <v>28</v>
      </c>
      <c r="E619" s="60">
        <f t="shared" si="352"/>
        <v>18</v>
      </c>
      <c r="F619" s="60">
        <f t="shared" si="352"/>
        <v>10</v>
      </c>
      <c r="G619" s="60">
        <f t="shared" si="352"/>
        <v>1922</v>
      </c>
      <c r="H619" s="60">
        <f t="shared" si="352"/>
        <v>1221</v>
      </c>
      <c r="I619" s="60">
        <f t="shared" si="352"/>
        <v>701</v>
      </c>
      <c r="J619" s="65" t="s">
        <v>13</v>
      </c>
      <c r="K619" s="67"/>
      <c r="L619" s="55"/>
    </row>
    <row r="620" spans="1:12" ht="12.75" customHeight="1" thickBot="1" x14ac:dyDescent="0.25">
      <c r="A620" s="60">
        <f t="shared" ref="A620:C621" si="353">G620+D620</f>
        <v>68</v>
      </c>
      <c r="B620" s="60">
        <f t="shared" si="353"/>
        <v>0</v>
      </c>
      <c r="C620" s="60">
        <f t="shared" si="353"/>
        <v>68</v>
      </c>
      <c r="D620" s="60">
        <f>F620+E620</f>
        <v>0</v>
      </c>
      <c r="E620" s="60">
        <v>0</v>
      </c>
      <c r="F620" s="60">
        <v>0</v>
      </c>
      <c r="G620" s="60">
        <f>I620+H620</f>
        <v>68</v>
      </c>
      <c r="H620" s="60">
        <v>0</v>
      </c>
      <c r="I620" s="60">
        <v>68</v>
      </c>
      <c r="J620" s="65" t="s">
        <v>221</v>
      </c>
      <c r="K620" s="66"/>
      <c r="L620" s="55"/>
    </row>
    <row r="621" spans="1:12" ht="12.75" customHeight="1" thickBot="1" x14ac:dyDescent="0.25">
      <c r="A621" s="60">
        <f t="shared" si="353"/>
        <v>0</v>
      </c>
      <c r="B621" s="60">
        <f t="shared" si="353"/>
        <v>0</v>
      </c>
      <c r="C621" s="60">
        <f t="shared" si="353"/>
        <v>0</v>
      </c>
      <c r="D621" s="60">
        <f>F621+E621</f>
        <v>0</v>
      </c>
      <c r="E621" s="60">
        <v>0</v>
      </c>
      <c r="F621" s="60">
        <v>0</v>
      </c>
      <c r="G621" s="60">
        <f>I621+H621</f>
        <v>0</v>
      </c>
      <c r="H621" s="60">
        <v>0</v>
      </c>
      <c r="I621" s="60">
        <v>0</v>
      </c>
      <c r="J621" s="65" t="s">
        <v>222</v>
      </c>
      <c r="K621" s="66" t="s">
        <v>337</v>
      </c>
      <c r="L621" s="55"/>
    </row>
    <row r="622" spans="1:12" ht="12.75" customHeight="1" thickBot="1" x14ac:dyDescent="0.25">
      <c r="A622" s="60">
        <f t="shared" ref="A622:I622" si="354">SUM(A620:A621)</f>
        <v>68</v>
      </c>
      <c r="B622" s="60">
        <f t="shared" si="354"/>
        <v>0</v>
      </c>
      <c r="C622" s="60">
        <f t="shared" si="354"/>
        <v>68</v>
      </c>
      <c r="D622" s="60">
        <f t="shared" si="354"/>
        <v>0</v>
      </c>
      <c r="E622" s="60">
        <f t="shared" si="354"/>
        <v>0</v>
      </c>
      <c r="F622" s="60">
        <f t="shared" si="354"/>
        <v>0</v>
      </c>
      <c r="G622" s="60">
        <f t="shared" si="354"/>
        <v>68</v>
      </c>
      <c r="H622" s="60">
        <f t="shared" si="354"/>
        <v>0</v>
      </c>
      <c r="I622" s="60">
        <f t="shared" si="354"/>
        <v>68</v>
      </c>
      <c r="J622" s="65" t="s">
        <v>13</v>
      </c>
      <c r="K622" s="67"/>
      <c r="L622" s="55"/>
    </row>
    <row r="623" spans="1:12" ht="12.75" customHeight="1" thickBot="1" x14ac:dyDescent="0.25">
      <c r="A623" s="60">
        <f t="shared" ref="A623:C624" si="355">G623+D623</f>
        <v>59</v>
      </c>
      <c r="B623" s="60">
        <f t="shared" si="355"/>
        <v>0</v>
      </c>
      <c r="C623" s="60">
        <f t="shared" si="355"/>
        <v>59</v>
      </c>
      <c r="D623" s="60">
        <f>F623+E623</f>
        <v>0</v>
      </c>
      <c r="E623" s="60">
        <v>0</v>
      </c>
      <c r="F623" s="60">
        <v>0</v>
      </c>
      <c r="G623" s="60">
        <f>I623+H623</f>
        <v>59</v>
      </c>
      <c r="H623" s="60">
        <v>0</v>
      </c>
      <c r="I623" s="60">
        <v>59</v>
      </c>
      <c r="J623" s="65" t="s">
        <v>221</v>
      </c>
      <c r="K623" s="66"/>
      <c r="L623" s="55"/>
    </row>
    <row r="624" spans="1:12" ht="12.75" customHeight="1" thickBot="1" x14ac:dyDescent="0.25">
      <c r="A624" s="60">
        <f t="shared" si="355"/>
        <v>0</v>
      </c>
      <c r="B624" s="60">
        <f t="shared" si="355"/>
        <v>0</v>
      </c>
      <c r="C624" s="60">
        <f t="shared" si="355"/>
        <v>0</v>
      </c>
      <c r="D624" s="60">
        <f>F624+E624</f>
        <v>0</v>
      </c>
      <c r="E624" s="60">
        <v>0</v>
      </c>
      <c r="F624" s="60">
        <v>0</v>
      </c>
      <c r="G624" s="60">
        <f>I624+H624</f>
        <v>0</v>
      </c>
      <c r="H624" s="60">
        <v>0</v>
      </c>
      <c r="I624" s="60">
        <v>0</v>
      </c>
      <c r="J624" s="65" t="s">
        <v>222</v>
      </c>
      <c r="K624" s="66" t="s">
        <v>377</v>
      </c>
      <c r="L624" s="55"/>
    </row>
    <row r="625" spans="1:12" ht="12.75" customHeight="1" thickBot="1" x14ac:dyDescent="0.25">
      <c r="A625" s="60">
        <f t="shared" ref="A625:I625" si="356">SUM(A623:A624)</f>
        <v>59</v>
      </c>
      <c r="B625" s="60">
        <f t="shared" si="356"/>
        <v>0</v>
      </c>
      <c r="C625" s="60">
        <f t="shared" si="356"/>
        <v>59</v>
      </c>
      <c r="D625" s="60">
        <f t="shared" si="356"/>
        <v>0</v>
      </c>
      <c r="E625" s="60">
        <f t="shared" si="356"/>
        <v>0</v>
      </c>
      <c r="F625" s="60">
        <f t="shared" si="356"/>
        <v>0</v>
      </c>
      <c r="G625" s="60">
        <f t="shared" si="356"/>
        <v>59</v>
      </c>
      <c r="H625" s="60">
        <f t="shared" si="356"/>
        <v>0</v>
      </c>
      <c r="I625" s="60">
        <f t="shared" si="356"/>
        <v>59</v>
      </c>
      <c r="J625" s="65" t="s">
        <v>13</v>
      </c>
      <c r="K625" s="67"/>
      <c r="L625" s="55"/>
    </row>
    <row r="626" spans="1:12" ht="12.75" customHeight="1" thickBot="1" x14ac:dyDescent="0.25">
      <c r="A626" s="60">
        <f t="shared" ref="A626:C627" si="357">G626+D626</f>
        <v>452</v>
      </c>
      <c r="B626" s="60">
        <f t="shared" si="357"/>
        <v>452</v>
      </c>
      <c r="C626" s="60">
        <f t="shared" si="357"/>
        <v>0</v>
      </c>
      <c r="D626" s="60">
        <f>F626+E626</f>
        <v>0</v>
      </c>
      <c r="E626" s="60">
        <v>0</v>
      </c>
      <c r="F626" s="60">
        <v>0</v>
      </c>
      <c r="G626" s="60">
        <f>I626+H626</f>
        <v>452</v>
      </c>
      <c r="H626" s="60">
        <v>452</v>
      </c>
      <c r="I626" s="60">
        <v>0</v>
      </c>
      <c r="J626" s="65" t="s">
        <v>221</v>
      </c>
      <c r="K626" s="66"/>
      <c r="L626" s="55"/>
    </row>
    <row r="627" spans="1:12" ht="12.75" customHeight="1" thickBot="1" x14ac:dyDescent="0.25">
      <c r="A627" s="60">
        <f t="shared" si="357"/>
        <v>513</v>
      </c>
      <c r="B627" s="60">
        <f t="shared" si="357"/>
        <v>513</v>
      </c>
      <c r="C627" s="60">
        <f t="shared" si="357"/>
        <v>0</v>
      </c>
      <c r="D627" s="60">
        <f>F627+E627</f>
        <v>0</v>
      </c>
      <c r="E627" s="60">
        <v>0</v>
      </c>
      <c r="F627" s="60">
        <v>0</v>
      </c>
      <c r="G627" s="60">
        <f>I627+H627</f>
        <v>513</v>
      </c>
      <c r="H627" s="60">
        <f>550-37</f>
        <v>513</v>
      </c>
      <c r="I627" s="60">
        <v>0</v>
      </c>
      <c r="J627" s="65" t="s">
        <v>222</v>
      </c>
      <c r="K627" s="66" t="s">
        <v>472</v>
      </c>
      <c r="L627" s="55"/>
    </row>
    <row r="628" spans="1:12" ht="12.75" customHeight="1" thickBot="1" x14ac:dyDescent="0.25">
      <c r="A628" s="60">
        <f t="shared" ref="A628:I628" si="358">SUM(A626:A627)</f>
        <v>965</v>
      </c>
      <c r="B628" s="60">
        <f t="shared" si="358"/>
        <v>965</v>
      </c>
      <c r="C628" s="60">
        <f t="shared" si="358"/>
        <v>0</v>
      </c>
      <c r="D628" s="60">
        <f t="shared" si="358"/>
        <v>0</v>
      </c>
      <c r="E628" s="60">
        <f t="shared" si="358"/>
        <v>0</v>
      </c>
      <c r="F628" s="60">
        <f t="shared" si="358"/>
        <v>0</v>
      </c>
      <c r="G628" s="60">
        <f t="shared" si="358"/>
        <v>965</v>
      </c>
      <c r="H628" s="60">
        <f t="shared" si="358"/>
        <v>965</v>
      </c>
      <c r="I628" s="60">
        <f t="shared" si="358"/>
        <v>0</v>
      </c>
      <c r="J628" s="65" t="s">
        <v>13</v>
      </c>
      <c r="K628" s="67"/>
      <c r="L628" s="55"/>
    </row>
    <row r="629" spans="1:12" ht="12.75" customHeight="1" thickBot="1" x14ac:dyDescent="0.25">
      <c r="A629" s="60">
        <f t="shared" ref="A629:C630" si="359">G629+D629</f>
        <v>345</v>
      </c>
      <c r="B629" s="60">
        <f t="shared" si="359"/>
        <v>345</v>
      </c>
      <c r="C629" s="60">
        <f t="shared" si="359"/>
        <v>0</v>
      </c>
      <c r="D629" s="60">
        <f>F629+E629</f>
        <v>0</v>
      </c>
      <c r="E629" s="60">
        <v>0</v>
      </c>
      <c r="F629" s="60">
        <v>0</v>
      </c>
      <c r="G629" s="60">
        <f>I629+H629</f>
        <v>345</v>
      </c>
      <c r="H629" s="60">
        <v>345</v>
      </c>
      <c r="I629" s="60">
        <v>0</v>
      </c>
      <c r="J629" s="65" t="s">
        <v>221</v>
      </c>
      <c r="K629" s="66"/>
      <c r="L629" s="55"/>
    </row>
    <row r="630" spans="1:12" ht="12.75" customHeight="1" thickBot="1" x14ac:dyDescent="0.25">
      <c r="A630" s="60">
        <f t="shared" si="359"/>
        <v>0</v>
      </c>
      <c r="B630" s="60">
        <f t="shared" si="359"/>
        <v>0</v>
      </c>
      <c r="C630" s="60">
        <f t="shared" si="359"/>
        <v>0</v>
      </c>
      <c r="D630" s="60">
        <f>F630+E630</f>
        <v>0</v>
      </c>
      <c r="E630" s="60">
        <v>0</v>
      </c>
      <c r="F630" s="60">
        <v>0</v>
      </c>
      <c r="G630" s="60">
        <f>I630+H630</f>
        <v>0</v>
      </c>
      <c r="H630" s="60">
        <v>0</v>
      </c>
      <c r="I630" s="60">
        <v>0</v>
      </c>
      <c r="J630" s="65" t="s">
        <v>222</v>
      </c>
      <c r="K630" s="66" t="s">
        <v>473</v>
      </c>
      <c r="L630" s="55"/>
    </row>
    <row r="631" spans="1:12" ht="12.75" customHeight="1" thickBot="1" x14ac:dyDescent="0.25">
      <c r="A631" s="60">
        <f t="shared" ref="A631:I631" si="360">SUM(A629:A630)</f>
        <v>345</v>
      </c>
      <c r="B631" s="60">
        <f t="shared" si="360"/>
        <v>345</v>
      </c>
      <c r="C631" s="60">
        <f t="shared" si="360"/>
        <v>0</v>
      </c>
      <c r="D631" s="60">
        <f t="shared" si="360"/>
        <v>0</v>
      </c>
      <c r="E631" s="60">
        <f t="shared" si="360"/>
        <v>0</v>
      </c>
      <c r="F631" s="60">
        <f t="shared" si="360"/>
        <v>0</v>
      </c>
      <c r="G631" s="60">
        <f t="shared" si="360"/>
        <v>345</v>
      </c>
      <c r="H631" s="60">
        <f t="shared" si="360"/>
        <v>345</v>
      </c>
      <c r="I631" s="60">
        <f t="shared" si="360"/>
        <v>0</v>
      </c>
      <c r="J631" s="65" t="s">
        <v>13</v>
      </c>
      <c r="K631" s="67"/>
      <c r="L631" s="55"/>
    </row>
    <row r="632" spans="1:12" ht="12.75" customHeight="1" thickBot="1" x14ac:dyDescent="0.25">
      <c r="A632" s="60">
        <f t="shared" ref="A632:C633" si="361">G632+D632</f>
        <v>12</v>
      </c>
      <c r="B632" s="60">
        <f t="shared" si="361"/>
        <v>0</v>
      </c>
      <c r="C632" s="60">
        <f t="shared" si="361"/>
        <v>12</v>
      </c>
      <c r="D632" s="60">
        <f>F632+E632</f>
        <v>0</v>
      </c>
      <c r="E632" s="60">
        <v>0</v>
      </c>
      <c r="F632" s="60">
        <v>0</v>
      </c>
      <c r="G632" s="60">
        <f>I632+H632</f>
        <v>12</v>
      </c>
      <c r="H632" s="60">
        <v>0</v>
      </c>
      <c r="I632" s="60">
        <v>12</v>
      </c>
      <c r="J632" s="65" t="s">
        <v>221</v>
      </c>
      <c r="K632" s="66"/>
      <c r="L632" s="55"/>
    </row>
    <row r="633" spans="1:12" ht="12.75" customHeight="1" thickBot="1" x14ac:dyDescent="0.25">
      <c r="A633" s="60">
        <f t="shared" si="361"/>
        <v>0</v>
      </c>
      <c r="B633" s="60">
        <f t="shared" si="361"/>
        <v>0</v>
      </c>
      <c r="C633" s="60">
        <f t="shared" si="361"/>
        <v>0</v>
      </c>
      <c r="D633" s="60">
        <f>F633+E633</f>
        <v>0</v>
      </c>
      <c r="E633" s="60">
        <v>0</v>
      </c>
      <c r="F633" s="60">
        <v>0</v>
      </c>
      <c r="G633" s="60">
        <f>I633+H633</f>
        <v>0</v>
      </c>
      <c r="H633" s="60">
        <v>0</v>
      </c>
      <c r="I633" s="60">
        <v>0</v>
      </c>
      <c r="J633" s="65" t="s">
        <v>222</v>
      </c>
      <c r="K633" s="66" t="s">
        <v>262</v>
      </c>
      <c r="L633" s="55"/>
    </row>
    <row r="634" spans="1:12" ht="12.75" customHeight="1" thickBot="1" x14ac:dyDescent="0.25">
      <c r="A634" s="60">
        <f t="shared" ref="A634:I634" si="362">SUM(A632:A633)</f>
        <v>12</v>
      </c>
      <c r="B634" s="60">
        <f t="shared" si="362"/>
        <v>0</v>
      </c>
      <c r="C634" s="60">
        <f t="shared" si="362"/>
        <v>12</v>
      </c>
      <c r="D634" s="60">
        <f t="shared" si="362"/>
        <v>0</v>
      </c>
      <c r="E634" s="60">
        <f t="shared" si="362"/>
        <v>0</v>
      </c>
      <c r="F634" s="60">
        <f t="shared" si="362"/>
        <v>0</v>
      </c>
      <c r="G634" s="60">
        <f t="shared" si="362"/>
        <v>12</v>
      </c>
      <c r="H634" s="60">
        <f t="shared" si="362"/>
        <v>0</v>
      </c>
      <c r="I634" s="60">
        <f t="shared" si="362"/>
        <v>12</v>
      </c>
      <c r="J634" s="65" t="s">
        <v>13</v>
      </c>
      <c r="K634" s="67"/>
      <c r="L634" s="55"/>
    </row>
    <row r="635" spans="1:12" ht="12.75" customHeight="1" thickBot="1" x14ac:dyDescent="0.25">
      <c r="A635" s="60">
        <f t="shared" ref="A635:C636" si="363">G635+D635</f>
        <v>234</v>
      </c>
      <c r="B635" s="60">
        <f t="shared" si="363"/>
        <v>234</v>
      </c>
      <c r="C635" s="60">
        <f t="shared" si="363"/>
        <v>0</v>
      </c>
      <c r="D635" s="60">
        <f>F635+E635</f>
        <v>0</v>
      </c>
      <c r="E635" s="60">
        <v>0</v>
      </c>
      <c r="F635" s="60">
        <v>0</v>
      </c>
      <c r="G635" s="60">
        <f>I635+H635</f>
        <v>234</v>
      </c>
      <c r="H635" s="60">
        <v>234</v>
      </c>
      <c r="I635" s="60">
        <v>0</v>
      </c>
      <c r="J635" s="65" t="s">
        <v>221</v>
      </c>
      <c r="K635" s="66"/>
      <c r="L635" s="55"/>
    </row>
    <row r="636" spans="1:12" ht="12.75" customHeight="1" thickBot="1" x14ac:dyDescent="0.25">
      <c r="A636" s="60">
        <f t="shared" si="363"/>
        <v>78</v>
      </c>
      <c r="B636" s="60">
        <f t="shared" si="363"/>
        <v>78</v>
      </c>
      <c r="C636" s="60">
        <f t="shared" si="363"/>
        <v>0</v>
      </c>
      <c r="D636" s="60">
        <f>F636+E636</f>
        <v>0</v>
      </c>
      <c r="E636" s="60">
        <v>0</v>
      </c>
      <c r="F636" s="60">
        <v>0</v>
      </c>
      <c r="G636" s="60">
        <f>I636+H636</f>
        <v>78</v>
      </c>
      <c r="H636" s="60">
        <v>78</v>
      </c>
      <c r="I636" s="60">
        <v>0</v>
      </c>
      <c r="J636" s="65" t="s">
        <v>222</v>
      </c>
      <c r="K636" s="66" t="s">
        <v>474</v>
      </c>
      <c r="L636" s="55"/>
    </row>
    <row r="637" spans="1:12" ht="12.75" customHeight="1" thickBot="1" x14ac:dyDescent="0.25">
      <c r="A637" s="60">
        <f t="shared" ref="A637:I637" si="364">SUM(A635:A636)</f>
        <v>312</v>
      </c>
      <c r="B637" s="60">
        <f t="shared" si="364"/>
        <v>312</v>
      </c>
      <c r="C637" s="60">
        <f t="shared" si="364"/>
        <v>0</v>
      </c>
      <c r="D637" s="60">
        <f t="shared" si="364"/>
        <v>0</v>
      </c>
      <c r="E637" s="60">
        <f t="shared" si="364"/>
        <v>0</v>
      </c>
      <c r="F637" s="60">
        <f t="shared" si="364"/>
        <v>0</v>
      </c>
      <c r="G637" s="60">
        <f t="shared" si="364"/>
        <v>312</v>
      </c>
      <c r="H637" s="60">
        <f t="shared" si="364"/>
        <v>312</v>
      </c>
      <c r="I637" s="60">
        <f t="shared" si="364"/>
        <v>0</v>
      </c>
      <c r="J637" s="65" t="s">
        <v>13</v>
      </c>
      <c r="K637" s="67"/>
      <c r="L637" s="55"/>
    </row>
    <row r="638" spans="1:12" ht="12.75" customHeight="1" thickBot="1" x14ac:dyDescent="0.25">
      <c r="A638" s="60">
        <f t="shared" ref="A638:C639" si="365">G638+D638</f>
        <v>269</v>
      </c>
      <c r="B638" s="60">
        <f t="shared" si="365"/>
        <v>269</v>
      </c>
      <c r="C638" s="60">
        <f t="shared" si="365"/>
        <v>0</v>
      </c>
      <c r="D638" s="60">
        <f>F638+E638</f>
        <v>0</v>
      </c>
      <c r="E638" s="60">
        <v>0</v>
      </c>
      <c r="F638" s="60">
        <v>0</v>
      </c>
      <c r="G638" s="60">
        <f>I638+H638</f>
        <v>269</v>
      </c>
      <c r="H638" s="60">
        <v>269</v>
      </c>
      <c r="I638" s="60">
        <v>0</v>
      </c>
      <c r="J638" s="65" t="s">
        <v>221</v>
      </c>
      <c r="K638" s="66"/>
      <c r="L638" s="55"/>
    </row>
    <row r="639" spans="1:12" ht="12.75" customHeight="1" thickBot="1" x14ac:dyDescent="0.25">
      <c r="A639" s="60">
        <f t="shared" si="365"/>
        <v>30</v>
      </c>
      <c r="B639" s="60">
        <f t="shared" si="365"/>
        <v>30</v>
      </c>
      <c r="C639" s="60">
        <f t="shared" si="365"/>
        <v>0</v>
      </c>
      <c r="D639" s="60">
        <f>F639+E639</f>
        <v>0</v>
      </c>
      <c r="E639" s="60">
        <v>0</v>
      </c>
      <c r="F639" s="60">
        <v>0</v>
      </c>
      <c r="G639" s="60">
        <f>I639+H639</f>
        <v>30</v>
      </c>
      <c r="H639" s="60">
        <v>30</v>
      </c>
      <c r="I639" s="60">
        <v>0</v>
      </c>
      <c r="J639" s="65" t="s">
        <v>222</v>
      </c>
      <c r="K639" s="66" t="s">
        <v>475</v>
      </c>
      <c r="L639" s="55"/>
    </row>
    <row r="640" spans="1:12" ht="12.75" customHeight="1" thickBot="1" x14ac:dyDescent="0.25">
      <c r="A640" s="60">
        <f t="shared" ref="A640:I640" si="366">SUM(A638:A639)</f>
        <v>299</v>
      </c>
      <c r="B640" s="60">
        <f t="shared" si="366"/>
        <v>299</v>
      </c>
      <c r="C640" s="60">
        <f t="shared" si="366"/>
        <v>0</v>
      </c>
      <c r="D640" s="60">
        <f t="shared" si="366"/>
        <v>0</v>
      </c>
      <c r="E640" s="60">
        <f t="shared" si="366"/>
        <v>0</v>
      </c>
      <c r="F640" s="60">
        <f t="shared" si="366"/>
        <v>0</v>
      </c>
      <c r="G640" s="60">
        <f t="shared" si="366"/>
        <v>299</v>
      </c>
      <c r="H640" s="60">
        <f t="shared" si="366"/>
        <v>299</v>
      </c>
      <c r="I640" s="60">
        <f t="shared" si="366"/>
        <v>0</v>
      </c>
      <c r="J640" s="65" t="s">
        <v>13</v>
      </c>
      <c r="K640" s="67"/>
      <c r="L640" s="55"/>
    </row>
    <row r="641" spans="1:13" ht="12.75" customHeight="1" thickBot="1" x14ac:dyDescent="0.25">
      <c r="A641" s="60">
        <f t="shared" ref="A641:C642" si="367">G641+D641</f>
        <v>105</v>
      </c>
      <c r="B641" s="60">
        <f t="shared" si="367"/>
        <v>105</v>
      </c>
      <c r="C641" s="60">
        <f t="shared" si="367"/>
        <v>0</v>
      </c>
      <c r="D641" s="60">
        <f>F641+E641</f>
        <v>0</v>
      </c>
      <c r="E641" s="60">
        <v>0</v>
      </c>
      <c r="F641" s="60">
        <v>0</v>
      </c>
      <c r="G641" s="60">
        <f>I641+H641</f>
        <v>105</v>
      </c>
      <c r="H641" s="60">
        <v>105</v>
      </c>
      <c r="I641" s="60">
        <v>0</v>
      </c>
      <c r="J641" s="65" t="s">
        <v>221</v>
      </c>
      <c r="K641" s="66"/>
      <c r="L641" s="55"/>
    </row>
    <row r="642" spans="1:13" ht="12.75" customHeight="1" thickBot="1" x14ac:dyDescent="0.25">
      <c r="A642" s="60">
        <f t="shared" si="367"/>
        <v>0</v>
      </c>
      <c r="B642" s="60">
        <f t="shared" si="367"/>
        <v>0</v>
      </c>
      <c r="C642" s="60">
        <f t="shared" si="367"/>
        <v>0</v>
      </c>
      <c r="D642" s="60">
        <f>F642+E642</f>
        <v>0</v>
      </c>
      <c r="E642" s="60">
        <v>0</v>
      </c>
      <c r="F642" s="60">
        <v>0</v>
      </c>
      <c r="G642" s="60">
        <f>I642+H642</f>
        <v>0</v>
      </c>
      <c r="H642" s="60">
        <v>0</v>
      </c>
      <c r="I642" s="60">
        <v>0</v>
      </c>
      <c r="J642" s="65" t="s">
        <v>222</v>
      </c>
      <c r="K642" s="66" t="s">
        <v>264</v>
      </c>
      <c r="L642" s="55"/>
    </row>
    <row r="643" spans="1:13" ht="12.75" customHeight="1" thickBot="1" x14ac:dyDescent="0.25">
      <c r="A643" s="60">
        <f t="shared" ref="A643:I643" si="368">SUM(A641:A642)</f>
        <v>105</v>
      </c>
      <c r="B643" s="60">
        <f t="shared" si="368"/>
        <v>105</v>
      </c>
      <c r="C643" s="60">
        <f t="shared" si="368"/>
        <v>0</v>
      </c>
      <c r="D643" s="60">
        <f t="shared" si="368"/>
        <v>0</v>
      </c>
      <c r="E643" s="60">
        <f t="shared" si="368"/>
        <v>0</v>
      </c>
      <c r="F643" s="60">
        <f t="shared" si="368"/>
        <v>0</v>
      </c>
      <c r="G643" s="60">
        <f t="shared" si="368"/>
        <v>105</v>
      </c>
      <c r="H643" s="60">
        <f t="shared" si="368"/>
        <v>105</v>
      </c>
      <c r="I643" s="60">
        <f t="shared" si="368"/>
        <v>0</v>
      </c>
      <c r="J643" s="65" t="s">
        <v>13</v>
      </c>
      <c r="K643" s="67"/>
      <c r="L643" s="55"/>
    </row>
    <row r="644" spans="1:13" ht="12.75" customHeight="1" thickBot="1" x14ac:dyDescent="0.25">
      <c r="A644" s="60">
        <f t="shared" ref="A644:C645" si="369">G644+D644</f>
        <v>1</v>
      </c>
      <c r="B644" s="60">
        <f t="shared" si="369"/>
        <v>1</v>
      </c>
      <c r="C644" s="60">
        <f t="shared" si="369"/>
        <v>0</v>
      </c>
      <c r="D644" s="60">
        <f>F644+E644</f>
        <v>0</v>
      </c>
      <c r="E644" s="60">
        <v>0</v>
      </c>
      <c r="F644" s="60">
        <v>0</v>
      </c>
      <c r="G644" s="60">
        <f>I644+H644</f>
        <v>1</v>
      </c>
      <c r="H644" s="60">
        <v>1</v>
      </c>
      <c r="I644" s="60">
        <v>0</v>
      </c>
      <c r="J644" s="65" t="s">
        <v>221</v>
      </c>
      <c r="K644" s="66"/>
      <c r="L644" s="55"/>
    </row>
    <row r="645" spans="1:13" ht="12.75" customHeight="1" thickBot="1" x14ac:dyDescent="0.25">
      <c r="A645" s="60">
        <f t="shared" si="369"/>
        <v>0</v>
      </c>
      <c r="B645" s="60">
        <f t="shared" si="369"/>
        <v>0</v>
      </c>
      <c r="C645" s="60">
        <f t="shared" si="369"/>
        <v>0</v>
      </c>
      <c r="D645" s="60">
        <f>F645+E645</f>
        <v>0</v>
      </c>
      <c r="E645" s="60">
        <v>0</v>
      </c>
      <c r="F645" s="60">
        <v>0</v>
      </c>
      <c r="G645" s="60">
        <f>I645+H645</f>
        <v>0</v>
      </c>
      <c r="H645" s="60">
        <v>0</v>
      </c>
      <c r="I645" s="60">
        <v>0</v>
      </c>
      <c r="J645" s="65" t="s">
        <v>222</v>
      </c>
      <c r="K645" s="66" t="s">
        <v>476</v>
      </c>
      <c r="L645" s="55"/>
    </row>
    <row r="646" spans="1:13" ht="12.75" customHeight="1" thickBot="1" x14ac:dyDescent="0.25">
      <c r="A646" s="60">
        <f t="shared" ref="A646:I646" si="370">SUM(A644:A645)</f>
        <v>1</v>
      </c>
      <c r="B646" s="60">
        <f t="shared" si="370"/>
        <v>1</v>
      </c>
      <c r="C646" s="60">
        <f t="shared" si="370"/>
        <v>0</v>
      </c>
      <c r="D646" s="60">
        <f t="shared" si="370"/>
        <v>0</v>
      </c>
      <c r="E646" s="60">
        <f t="shared" si="370"/>
        <v>0</v>
      </c>
      <c r="F646" s="60">
        <f t="shared" si="370"/>
        <v>0</v>
      </c>
      <c r="G646" s="60">
        <f t="shared" si="370"/>
        <v>1</v>
      </c>
      <c r="H646" s="60">
        <f t="shared" si="370"/>
        <v>1</v>
      </c>
      <c r="I646" s="60">
        <f t="shared" si="370"/>
        <v>0</v>
      </c>
      <c r="J646" s="65" t="s">
        <v>13</v>
      </c>
      <c r="K646" s="67"/>
      <c r="L646" s="55"/>
      <c r="M646" s="69"/>
    </row>
    <row r="647" spans="1:13" ht="12.75" customHeight="1" thickBot="1" x14ac:dyDescent="0.25">
      <c r="A647" s="60">
        <f t="shared" ref="A647:I649" si="371">A599+A602+A605+A608+A611+A614+A617+A620+A623+A626+A629+A632+A635+A638+A641+A644</f>
        <v>6315</v>
      </c>
      <c r="B647" s="60">
        <f t="shared" si="371"/>
        <v>3597</v>
      </c>
      <c r="C647" s="60">
        <f t="shared" si="371"/>
        <v>2718</v>
      </c>
      <c r="D647" s="60">
        <f t="shared" si="371"/>
        <v>69</v>
      </c>
      <c r="E647" s="60">
        <f t="shared" si="371"/>
        <v>41</v>
      </c>
      <c r="F647" s="60">
        <f t="shared" si="371"/>
        <v>28</v>
      </c>
      <c r="G647" s="60">
        <f t="shared" si="371"/>
        <v>6246</v>
      </c>
      <c r="H647" s="60">
        <f t="shared" si="371"/>
        <v>3556</v>
      </c>
      <c r="I647" s="60">
        <f>I599+I602+I605+I608+I611+I614+I617+I620+I623+I626+I629+I632+I635+I638+I641+I644</f>
        <v>2690</v>
      </c>
      <c r="J647" s="65" t="s">
        <v>224</v>
      </c>
      <c r="K647" s="57"/>
      <c r="L647" s="55"/>
    </row>
    <row r="648" spans="1:13" ht="12.75" customHeight="1" thickBot="1" x14ac:dyDescent="0.25">
      <c r="A648" s="60">
        <f t="shared" si="371"/>
        <v>1238</v>
      </c>
      <c r="B648" s="60">
        <f t="shared" si="371"/>
        <v>1238</v>
      </c>
      <c r="C648" s="60">
        <f t="shared" si="371"/>
        <v>0</v>
      </c>
      <c r="D648" s="60">
        <f t="shared" si="371"/>
        <v>0</v>
      </c>
      <c r="E648" s="60">
        <f t="shared" si="371"/>
        <v>0</v>
      </c>
      <c r="F648" s="60">
        <f t="shared" si="371"/>
        <v>0</v>
      </c>
      <c r="G648" s="60">
        <f t="shared" si="371"/>
        <v>1238</v>
      </c>
      <c r="H648" s="60">
        <f t="shared" si="371"/>
        <v>1238</v>
      </c>
      <c r="I648" s="60">
        <f t="shared" si="371"/>
        <v>0</v>
      </c>
      <c r="J648" s="65" t="s">
        <v>225</v>
      </c>
      <c r="K648" s="68" t="s">
        <v>211</v>
      </c>
      <c r="L648" s="55"/>
    </row>
    <row r="649" spans="1:13" ht="12.75" customHeight="1" thickBot="1" x14ac:dyDescent="0.25">
      <c r="A649" s="60">
        <f t="shared" si="371"/>
        <v>7553</v>
      </c>
      <c r="B649" s="60">
        <f t="shared" si="371"/>
        <v>4835</v>
      </c>
      <c r="C649" s="60">
        <f t="shared" si="371"/>
        <v>2718</v>
      </c>
      <c r="D649" s="60">
        <f t="shared" si="371"/>
        <v>69</v>
      </c>
      <c r="E649" s="60">
        <f t="shared" si="371"/>
        <v>41</v>
      </c>
      <c r="F649" s="60">
        <f t="shared" si="371"/>
        <v>28</v>
      </c>
      <c r="G649" s="60">
        <f t="shared" si="371"/>
        <v>7484</v>
      </c>
      <c r="H649" s="60">
        <f t="shared" si="371"/>
        <v>4794</v>
      </c>
      <c r="I649" s="60">
        <f t="shared" si="371"/>
        <v>2690</v>
      </c>
      <c r="J649" s="65" t="s">
        <v>13</v>
      </c>
      <c r="K649" s="59"/>
      <c r="L649" s="55"/>
    </row>
    <row r="650" spans="1:13" ht="12.75" customHeight="1" x14ac:dyDescent="0.2">
      <c r="A650" s="177" t="s">
        <v>327</v>
      </c>
      <c r="B650" s="177"/>
      <c r="C650" s="177"/>
      <c r="D650" s="177"/>
      <c r="E650" s="177"/>
      <c r="F650" s="177"/>
      <c r="G650" s="177"/>
      <c r="H650" s="177"/>
      <c r="I650" s="177"/>
      <c r="J650" s="177"/>
      <c r="K650" s="177"/>
      <c r="L650" s="55"/>
    </row>
    <row r="651" spans="1:13" ht="12.75" customHeight="1" thickBot="1" x14ac:dyDescent="0.25">
      <c r="A651" s="178" t="s">
        <v>328</v>
      </c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55"/>
    </row>
    <row r="652" spans="1:13" ht="12.75" customHeight="1" thickBot="1" x14ac:dyDescent="0.25">
      <c r="A652" s="179" t="s">
        <v>5</v>
      </c>
      <c r="B652" s="179"/>
      <c r="C652" s="179"/>
      <c r="D652" s="179" t="s">
        <v>162</v>
      </c>
      <c r="E652" s="179"/>
      <c r="F652" s="179"/>
      <c r="G652" s="179" t="s">
        <v>163</v>
      </c>
      <c r="H652" s="179"/>
      <c r="I652" s="179"/>
      <c r="J652" s="179" t="s">
        <v>72</v>
      </c>
      <c r="K652" s="179"/>
      <c r="L652" s="55"/>
    </row>
    <row r="653" spans="1:13" ht="12.75" customHeight="1" thickBot="1" x14ac:dyDescent="0.25">
      <c r="A653" s="58" t="s">
        <v>216</v>
      </c>
      <c r="B653" s="58" t="s">
        <v>11</v>
      </c>
      <c r="C653" s="58" t="s">
        <v>10</v>
      </c>
      <c r="D653" s="58" t="s">
        <v>216</v>
      </c>
      <c r="E653" s="58" t="s">
        <v>11</v>
      </c>
      <c r="F653" s="58" t="s">
        <v>10</v>
      </c>
      <c r="G653" s="58" t="s">
        <v>216</v>
      </c>
      <c r="H653" s="58" t="s">
        <v>11</v>
      </c>
      <c r="I653" s="58" t="s">
        <v>10</v>
      </c>
      <c r="J653" s="180" t="s">
        <v>165</v>
      </c>
      <c r="K653" s="180"/>
      <c r="L653" s="55"/>
    </row>
    <row r="654" spans="1:13" ht="12.75" customHeight="1" thickBot="1" x14ac:dyDescent="0.25">
      <c r="A654" s="60">
        <v>43</v>
      </c>
      <c r="B654" s="60">
        <v>0</v>
      </c>
      <c r="C654" s="60">
        <v>43</v>
      </c>
      <c r="D654" s="60">
        <v>0</v>
      </c>
      <c r="E654" s="60">
        <v>0</v>
      </c>
      <c r="F654" s="60">
        <v>0</v>
      </c>
      <c r="G654" s="60">
        <v>43</v>
      </c>
      <c r="H654" s="60">
        <v>0</v>
      </c>
      <c r="I654" s="60">
        <v>43</v>
      </c>
      <c r="J654" s="65" t="s">
        <v>221</v>
      </c>
      <c r="K654" s="66"/>
      <c r="L654" s="55"/>
    </row>
    <row r="655" spans="1:13" ht="12.75" customHeight="1" thickBot="1" x14ac:dyDescent="0.25">
      <c r="A655" s="60">
        <v>0</v>
      </c>
      <c r="B655" s="60">
        <v>0</v>
      </c>
      <c r="C655" s="60">
        <v>0</v>
      </c>
      <c r="D655" s="60">
        <v>0</v>
      </c>
      <c r="E655" s="60">
        <v>0</v>
      </c>
      <c r="F655" s="60">
        <v>0</v>
      </c>
      <c r="G655" s="60">
        <v>0</v>
      </c>
      <c r="H655" s="60">
        <v>0</v>
      </c>
      <c r="I655" s="60">
        <v>0</v>
      </c>
      <c r="J655" s="65" t="s">
        <v>222</v>
      </c>
      <c r="K655" s="66" t="s">
        <v>263</v>
      </c>
      <c r="L655" s="55"/>
    </row>
    <row r="656" spans="1:13" ht="12.75" customHeight="1" thickBot="1" x14ac:dyDescent="0.25">
      <c r="A656" s="60">
        <v>43</v>
      </c>
      <c r="B656" s="60">
        <v>0</v>
      </c>
      <c r="C656" s="60">
        <v>43</v>
      </c>
      <c r="D656" s="60">
        <v>0</v>
      </c>
      <c r="E656" s="60">
        <v>0</v>
      </c>
      <c r="F656" s="60">
        <v>0</v>
      </c>
      <c r="G656" s="60">
        <v>43</v>
      </c>
      <c r="H656" s="60">
        <v>0</v>
      </c>
      <c r="I656" s="60">
        <v>43</v>
      </c>
      <c r="J656" s="65" t="s">
        <v>13</v>
      </c>
      <c r="K656" s="67"/>
      <c r="L656" s="55"/>
    </row>
    <row r="657" spans="1:12" ht="12.75" customHeight="1" thickBot="1" x14ac:dyDescent="0.25">
      <c r="A657" s="60">
        <v>87</v>
      </c>
      <c r="B657" s="60">
        <v>87</v>
      </c>
      <c r="C657" s="60">
        <v>0</v>
      </c>
      <c r="D657" s="60">
        <v>0</v>
      </c>
      <c r="E657" s="60">
        <v>0</v>
      </c>
      <c r="F657" s="60">
        <v>0</v>
      </c>
      <c r="G657" s="60">
        <v>87</v>
      </c>
      <c r="H657" s="60">
        <v>87</v>
      </c>
      <c r="I657" s="60">
        <v>0</v>
      </c>
      <c r="J657" s="65" t="s">
        <v>221</v>
      </c>
      <c r="K657" s="66"/>
      <c r="L657" s="55"/>
    </row>
    <row r="658" spans="1:12" ht="12.75" customHeight="1" thickBot="1" x14ac:dyDescent="0.25">
      <c r="A658" s="60">
        <v>0</v>
      </c>
      <c r="B658" s="60">
        <v>0</v>
      </c>
      <c r="C658" s="60">
        <v>0</v>
      </c>
      <c r="D658" s="60">
        <v>0</v>
      </c>
      <c r="E658" s="60">
        <v>0</v>
      </c>
      <c r="F658" s="60">
        <v>0</v>
      </c>
      <c r="G658" s="60">
        <v>0</v>
      </c>
      <c r="H658" s="60">
        <v>0</v>
      </c>
      <c r="I658" s="60">
        <v>0</v>
      </c>
      <c r="J658" s="65" t="s">
        <v>222</v>
      </c>
      <c r="K658" s="66" t="s">
        <v>477</v>
      </c>
      <c r="L658" s="55"/>
    </row>
    <row r="659" spans="1:12" ht="12.75" customHeight="1" thickBot="1" x14ac:dyDescent="0.25">
      <c r="A659" s="60">
        <v>87</v>
      </c>
      <c r="B659" s="60">
        <v>87</v>
      </c>
      <c r="C659" s="60">
        <v>0</v>
      </c>
      <c r="D659" s="60">
        <v>0</v>
      </c>
      <c r="E659" s="60">
        <v>0</v>
      </c>
      <c r="F659" s="60">
        <v>0</v>
      </c>
      <c r="G659" s="60">
        <v>87</v>
      </c>
      <c r="H659" s="60">
        <v>87</v>
      </c>
      <c r="I659" s="60">
        <v>0</v>
      </c>
      <c r="J659" s="65" t="s">
        <v>13</v>
      </c>
      <c r="K659" s="67"/>
      <c r="L659" s="55"/>
    </row>
    <row r="660" spans="1:12" ht="12.75" customHeight="1" thickBot="1" x14ac:dyDescent="0.25">
      <c r="A660" s="60">
        <v>50</v>
      </c>
      <c r="B660" s="60">
        <v>50</v>
      </c>
      <c r="C660" s="60">
        <v>0</v>
      </c>
      <c r="D660" s="60">
        <v>0</v>
      </c>
      <c r="E660" s="60">
        <v>0</v>
      </c>
      <c r="F660" s="60">
        <v>0</v>
      </c>
      <c r="G660" s="60">
        <v>50</v>
      </c>
      <c r="H660" s="60">
        <v>50</v>
      </c>
      <c r="I660" s="60">
        <v>0</v>
      </c>
      <c r="J660" s="65" t="s">
        <v>221</v>
      </c>
      <c r="K660" s="66"/>
      <c r="L660" s="55"/>
    </row>
    <row r="661" spans="1:12" ht="12.75" customHeight="1" thickBot="1" x14ac:dyDescent="0.25">
      <c r="A661" s="60">
        <v>0</v>
      </c>
      <c r="B661" s="60">
        <v>0</v>
      </c>
      <c r="C661" s="60">
        <v>0</v>
      </c>
      <c r="D661" s="60">
        <v>0</v>
      </c>
      <c r="E661" s="60">
        <v>0</v>
      </c>
      <c r="F661" s="60">
        <v>0</v>
      </c>
      <c r="G661" s="60">
        <v>0</v>
      </c>
      <c r="H661" s="60">
        <v>0</v>
      </c>
      <c r="I661" s="60">
        <v>0</v>
      </c>
      <c r="J661" s="65" t="s">
        <v>222</v>
      </c>
      <c r="K661" s="66" t="s">
        <v>478</v>
      </c>
      <c r="L661" s="55"/>
    </row>
    <row r="662" spans="1:12" ht="12.75" customHeight="1" thickBot="1" x14ac:dyDescent="0.25">
      <c r="A662" s="60">
        <v>50</v>
      </c>
      <c r="B662" s="60">
        <v>50</v>
      </c>
      <c r="C662" s="60">
        <v>0</v>
      </c>
      <c r="D662" s="60">
        <v>0</v>
      </c>
      <c r="E662" s="60">
        <v>0</v>
      </c>
      <c r="F662" s="60">
        <v>0</v>
      </c>
      <c r="G662" s="60">
        <v>50</v>
      </c>
      <c r="H662" s="60">
        <v>50</v>
      </c>
      <c r="I662" s="60">
        <v>0</v>
      </c>
      <c r="J662" s="65" t="s">
        <v>13</v>
      </c>
      <c r="K662" s="67"/>
      <c r="L662" s="55"/>
    </row>
    <row r="663" spans="1:12" ht="12.75" customHeight="1" thickBot="1" x14ac:dyDescent="0.25">
      <c r="A663" s="60">
        <v>180</v>
      </c>
      <c r="B663" s="60">
        <v>137</v>
      </c>
      <c r="C663" s="60">
        <v>43</v>
      </c>
      <c r="D663" s="60">
        <v>0</v>
      </c>
      <c r="E663" s="60">
        <v>0</v>
      </c>
      <c r="F663" s="60">
        <v>0</v>
      </c>
      <c r="G663" s="60">
        <v>180</v>
      </c>
      <c r="H663" s="60">
        <v>137</v>
      </c>
      <c r="I663" s="60">
        <v>43</v>
      </c>
      <c r="J663" s="65" t="s">
        <v>224</v>
      </c>
      <c r="K663" s="57"/>
      <c r="L663" s="55"/>
    </row>
    <row r="664" spans="1:12" ht="12.75" customHeight="1" thickBot="1" x14ac:dyDescent="0.25">
      <c r="A664" s="60">
        <v>0</v>
      </c>
      <c r="B664" s="60">
        <v>0</v>
      </c>
      <c r="C664" s="60">
        <v>0</v>
      </c>
      <c r="D664" s="60">
        <v>0</v>
      </c>
      <c r="E664" s="60">
        <v>0</v>
      </c>
      <c r="F664" s="60">
        <v>0</v>
      </c>
      <c r="G664" s="60">
        <v>0</v>
      </c>
      <c r="H664" s="60">
        <v>0</v>
      </c>
      <c r="I664" s="60">
        <v>0</v>
      </c>
      <c r="J664" s="65" t="s">
        <v>225</v>
      </c>
      <c r="K664" s="68" t="s">
        <v>211</v>
      </c>
      <c r="L664" s="55"/>
    </row>
    <row r="665" spans="1:12" ht="12.75" customHeight="1" thickBot="1" x14ac:dyDescent="0.25">
      <c r="A665" s="60">
        <v>180</v>
      </c>
      <c r="B665" s="60">
        <v>137</v>
      </c>
      <c r="C665" s="60">
        <v>43</v>
      </c>
      <c r="D665" s="60">
        <v>0</v>
      </c>
      <c r="E665" s="60">
        <v>0</v>
      </c>
      <c r="F665" s="60">
        <v>0</v>
      </c>
      <c r="G665" s="60">
        <v>180</v>
      </c>
      <c r="H665" s="60">
        <v>137</v>
      </c>
      <c r="I665" s="60">
        <v>43</v>
      </c>
      <c r="J665" s="65" t="s">
        <v>13</v>
      </c>
      <c r="K665" s="59"/>
      <c r="L665" s="55"/>
    </row>
    <row r="666" spans="1:12" ht="12.75" customHeight="1" x14ac:dyDescent="0.2">
      <c r="A666" s="177" t="s">
        <v>327</v>
      </c>
      <c r="B666" s="177"/>
      <c r="C666" s="177"/>
      <c r="D666" s="177"/>
      <c r="E666" s="177"/>
      <c r="F666" s="177"/>
      <c r="G666" s="177"/>
      <c r="H666" s="177"/>
      <c r="I666" s="177"/>
      <c r="J666" s="177"/>
      <c r="K666" s="177"/>
      <c r="L666" s="55"/>
    </row>
    <row r="667" spans="1:12" ht="12.75" customHeight="1" thickBot="1" x14ac:dyDescent="0.25">
      <c r="A667" s="178" t="s">
        <v>328</v>
      </c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55"/>
    </row>
    <row r="668" spans="1:12" ht="12.75" customHeight="1" thickBot="1" x14ac:dyDescent="0.25">
      <c r="A668" s="179" t="s">
        <v>5</v>
      </c>
      <c r="B668" s="179"/>
      <c r="C668" s="179"/>
      <c r="D668" s="179" t="s">
        <v>162</v>
      </c>
      <c r="E668" s="179"/>
      <c r="F668" s="179"/>
      <c r="G668" s="179" t="s">
        <v>163</v>
      </c>
      <c r="H668" s="179"/>
      <c r="I668" s="179"/>
      <c r="J668" s="179" t="s">
        <v>72</v>
      </c>
      <c r="K668" s="179"/>
      <c r="L668" s="55"/>
    </row>
    <row r="669" spans="1:12" ht="12.75" customHeight="1" thickBot="1" x14ac:dyDescent="0.25">
      <c r="A669" s="58" t="s">
        <v>216</v>
      </c>
      <c r="B669" s="58" t="s">
        <v>11</v>
      </c>
      <c r="C669" s="58" t="s">
        <v>10</v>
      </c>
      <c r="D669" s="58" t="s">
        <v>216</v>
      </c>
      <c r="E669" s="58" t="s">
        <v>11</v>
      </c>
      <c r="F669" s="58" t="s">
        <v>10</v>
      </c>
      <c r="G669" s="58" t="s">
        <v>216</v>
      </c>
      <c r="H669" s="58" t="s">
        <v>11</v>
      </c>
      <c r="I669" s="58" t="s">
        <v>10</v>
      </c>
      <c r="J669" s="180" t="s">
        <v>115</v>
      </c>
      <c r="K669" s="180"/>
      <c r="L669" s="55"/>
    </row>
    <row r="670" spans="1:12" ht="12.75" customHeight="1" thickBot="1" x14ac:dyDescent="0.25">
      <c r="A670" s="60">
        <f t="shared" ref="A670:C671" si="372">G670+D670</f>
        <v>778</v>
      </c>
      <c r="B670" s="60">
        <f t="shared" si="372"/>
        <v>0</v>
      </c>
      <c r="C670" s="60">
        <f t="shared" si="372"/>
        <v>778</v>
      </c>
      <c r="D670" s="60">
        <f>F670+E670</f>
        <v>0</v>
      </c>
      <c r="E670" s="60">
        <v>0</v>
      </c>
      <c r="F670" s="60">
        <v>0</v>
      </c>
      <c r="G670" s="60">
        <f>I670+H670</f>
        <v>778</v>
      </c>
      <c r="H670" s="60">
        <v>0</v>
      </c>
      <c r="I670" s="60">
        <f>628+150</f>
        <v>778</v>
      </c>
      <c r="J670" s="65" t="s">
        <v>221</v>
      </c>
      <c r="K670" s="66"/>
      <c r="L670" s="55"/>
    </row>
    <row r="671" spans="1:12" ht="12.75" customHeight="1" thickBot="1" x14ac:dyDescent="0.25">
      <c r="A671" s="60">
        <f t="shared" si="372"/>
        <v>0</v>
      </c>
      <c r="B671" s="60">
        <f t="shared" si="372"/>
        <v>0</v>
      </c>
      <c r="C671" s="60">
        <f t="shared" si="372"/>
        <v>0</v>
      </c>
      <c r="D671" s="60">
        <f>F671+E671</f>
        <v>0</v>
      </c>
      <c r="E671" s="60">
        <v>0</v>
      </c>
      <c r="F671" s="60">
        <v>0</v>
      </c>
      <c r="G671" s="60">
        <f>I671+H671</f>
        <v>0</v>
      </c>
      <c r="H671" s="60">
        <v>0</v>
      </c>
      <c r="I671" s="60">
        <v>0</v>
      </c>
      <c r="J671" s="65" t="s">
        <v>222</v>
      </c>
      <c r="K671" s="66" t="s">
        <v>265</v>
      </c>
      <c r="L671" s="55"/>
    </row>
    <row r="672" spans="1:12" ht="12.75" customHeight="1" thickBot="1" x14ac:dyDescent="0.25">
      <c r="A672" s="60">
        <f t="shared" ref="A672:I672" si="373">SUM(A670:A671)</f>
        <v>778</v>
      </c>
      <c r="B672" s="60">
        <f t="shared" si="373"/>
        <v>0</v>
      </c>
      <c r="C672" s="60">
        <f t="shared" si="373"/>
        <v>778</v>
      </c>
      <c r="D672" s="60">
        <f t="shared" si="373"/>
        <v>0</v>
      </c>
      <c r="E672" s="60">
        <f t="shared" si="373"/>
        <v>0</v>
      </c>
      <c r="F672" s="60">
        <f t="shared" si="373"/>
        <v>0</v>
      </c>
      <c r="G672" s="60">
        <f t="shared" si="373"/>
        <v>778</v>
      </c>
      <c r="H672" s="60">
        <f t="shared" si="373"/>
        <v>0</v>
      </c>
      <c r="I672" s="60">
        <f t="shared" si="373"/>
        <v>778</v>
      </c>
      <c r="J672" s="65" t="s">
        <v>13</v>
      </c>
      <c r="K672" s="67"/>
      <c r="L672" s="55"/>
    </row>
    <row r="673" spans="1:12" ht="12.75" customHeight="1" thickBot="1" x14ac:dyDescent="0.25">
      <c r="A673" s="60">
        <f t="shared" ref="A673:C674" si="374">G673+D673</f>
        <v>329</v>
      </c>
      <c r="B673" s="60">
        <f t="shared" si="374"/>
        <v>0</v>
      </c>
      <c r="C673" s="60">
        <f t="shared" si="374"/>
        <v>329</v>
      </c>
      <c r="D673" s="60">
        <f>F673+E673</f>
        <v>0</v>
      </c>
      <c r="E673" s="60">
        <v>0</v>
      </c>
      <c r="F673" s="60">
        <v>0</v>
      </c>
      <c r="G673" s="60">
        <f>I673+H673</f>
        <v>329</v>
      </c>
      <c r="H673" s="60">
        <v>0</v>
      </c>
      <c r="I673" s="60">
        <f>231+98</f>
        <v>329</v>
      </c>
      <c r="J673" s="65" t="s">
        <v>221</v>
      </c>
      <c r="K673" s="66"/>
      <c r="L673" s="55"/>
    </row>
    <row r="674" spans="1:12" ht="12.75" customHeight="1" thickBot="1" x14ac:dyDescent="0.25">
      <c r="A674" s="60">
        <f t="shared" si="374"/>
        <v>0</v>
      </c>
      <c r="B674" s="60">
        <f t="shared" si="374"/>
        <v>0</v>
      </c>
      <c r="C674" s="60">
        <f t="shared" si="374"/>
        <v>0</v>
      </c>
      <c r="D674" s="60">
        <f>F674+E674</f>
        <v>0</v>
      </c>
      <c r="E674" s="60">
        <v>0</v>
      </c>
      <c r="F674" s="60">
        <v>0</v>
      </c>
      <c r="G674" s="60">
        <f>I674+H674</f>
        <v>0</v>
      </c>
      <c r="H674" s="60">
        <v>0</v>
      </c>
      <c r="I674" s="60">
        <v>0</v>
      </c>
      <c r="J674" s="65" t="s">
        <v>222</v>
      </c>
      <c r="K674" s="66" t="s">
        <v>416</v>
      </c>
      <c r="L674" s="55"/>
    </row>
    <row r="675" spans="1:12" ht="12.75" customHeight="1" thickBot="1" x14ac:dyDescent="0.25">
      <c r="A675" s="60">
        <f t="shared" ref="A675:I675" si="375">SUM(A673:A674)</f>
        <v>329</v>
      </c>
      <c r="B675" s="60">
        <f t="shared" si="375"/>
        <v>0</v>
      </c>
      <c r="C675" s="60">
        <f t="shared" si="375"/>
        <v>329</v>
      </c>
      <c r="D675" s="60">
        <f t="shared" si="375"/>
        <v>0</v>
      </c>
      <c r="E675" s="60">
        <f t="shared" si="375"/>
        <v>0</v>
      </c>
      <c r="F675" s="60">
        <f t="shared" si="375"/>
        <v>0</v>
      </c>
      <c r="G675" s="60">
        <f t="shared" si="375"/>
        <v>329</v>
      </c>
      <c r="H675" s="60">
        <f t="shared" si="375"/>
        <v>0</v>
      </c>
      <c r="I675" s="60">
        <f t="shared" si="375"/>
        <v>329</v>
      </c>
      <c r="J675" s="65" t="s">
        <v>13</v>
      </c>
      <c r="K675" s="67"/>
      <c r="L675" s="55"/>
    </row>
    <row r="676" spans="1:12" ht="12.75" customHeight="1" thickBot="1" x14ac:dyDescent="0.25">
      <c r="A676" s="60">
        <f t="shared" ref="A676:C677" si="376">G676+D676</f>
        <v>278</v>
      </c>
      <c r="B676" s="60">
        <f t="shared" si="376"/>
        <v>0</v>
      </c>
      <c r="C676" s="60">
        <f t="shared" si="376"/>
        <v>278</v>
      </c>
      <c r="D676" s="60">
        <f>F676+E676</f>
        <v>0</v>
      </c>
      <c r="E676" s="60">
        <v>0</v>
      </c>
      <c r="F676" s="60">
        <v>0</v>
      </c>
      <c r="G676" s="60">
        <f>I676+H676</f>
        <v>278</v>
      </c>
      <c r="H676" s="60">
        <v>0</v>
      </c>
      <c r="I676" s="60">
        <v>278</v>
      </c>
      <c r="J676" s="65" t="s">
        <v>221</v>
      </c>
      <c r="K676" s="66"/>
      <c r="L676" s="55"/>
    </row>
    <row r="677" spans="1:12" ht="12.75" customHeight="1" thickBot="1" x14ac:dyDescent="0.25">
      <c r="A677" s="60">
        <f t="shared" si="376"/>
        <v>0</v>
      </c>
      <c r="B677" s="60">
        <f t="shared" si="376"/>
        <v>0</v>
      </c>
      <c r="C677" s="60">
        <f t="shared" si="376"/>
        <v>0</v>
      </c>
      <c r="D677" s="60">
        <f>F677+E677</f>
        <v>0</v>
      </c>
      <c r="E677" s="60">
        <v>0</v>
      </c>
      <c r="F677" s="60">
        <v>0</v>
      </c>
      <c r="G677" s="60">
        <f>I677+H677</f>
        <v>0</v>
      </c>
      <c r="H677" s="60">
        <v>0</v>
      </c>
      <c r="I677" s="60">
        <v>0</v>
      </c>
      <c r="J677" s="65" t="s">
        <v>222</v>
      </c>
      <c r="K677" s="66" t="s">
        <v>377</v>
      </c>
      <c r="L677" s="55"/>
    </row>
    <row r="678" spans="1:12" ht="12.75" customHeight="1" thickBot="1" x14ac:dyDescent="0.25">
      <c r="A678" s="60">
        <f t="shared" ref="A678:I678" si="377">SUM(A676:A677)</f>
        <v>278</v>
      </c>
      <c r="B678" s="60">
        <f t="shared" si="377"/>
        <v>0</v>
      </c>
      <c r="C678" s="60">
        <f t="shared" si="377"/>
        <v>278</v>
      </c>
      <c r="D678" s="60">
        <f t="shared" si="377"/>
        <v>0</v>
      </c>
      <c r="E678" s="60">
        <f t="shared" si="377"/>
        <v>0</v>
      </c>
      <c r="F678" s="60">
        <f t="shared" si="377"/>
        <v>0</v>
      </c>
      <c r="G678" s="60">
        <f t="shared" si="377"/>
        <v>278</v>
      </c>
      <c r="H678" s="60">
        <f t="shared" si="377"/>
        <v>0</v>
      </c>
      <c r="I678" s="60">
        <f t="shared" si="377"/>
        <v>278</v>
      </c>
      <c r="J678" s="65" t="s">
        <v>13</v>
      </c>
      <c r="K678" s="67"/>
      <c r="L678" s="55"/>
    </row>
    <row r="679" spans="1:12" ht="12.75" customHeight="1" thickBot="1" x14ac:dyDescent="0.25">
      <c r="A679" s="60">
        <f t="shared" ref="A679:C680" si="378">G679+D679</f>
        <v>40</v>
      </c>
      <c r="B679" s="60">
        <f t="shared" si="378"/>
        <v>0</v>
      </c>
      <c r="C679" s="60">
        <f t="shared" si="378"/>
        <v>40</v>
      </c>
      <c r="D679" s="60">
        <f>F679+E679</f>
        <v>0</v>
      </c>
      <c r="E679" s="60">
        <v>0</v>
      </c>
      <c r="F679" s="60">
        <v>0</v>
      </c>
      <c r="G679" s="60">
        <f>I679+H679</f>
        <v>40</v>
      </c>
      <c r="H679" s="60">
        <v>0</v>
      </c>
      <c r="I679" s="60">
        <v>40</v>
      </c>
      <c r="J679" s="65" t="s">
        <v>221</v>
      </c>
      <c r="K679" s="66"/>
      <c r="L679" s="55"/>
    </row>
    <row r="680" spans="1:12" ht="12.75" customHeight="1" thickBot="1" x14ac:dyDescent="0.25">
      <c r="A680" s="60">
        <f t="shared" si="378"/>
        <v>0</v>
      </c>
      <c r="B680" s="60">
        <f t="shared" si="378"/>
        <v>0</v>
      </c>
      <c r="C680" s="60">
        <f t="shared" si="378"/>
        <v>0</v>
      </c>
      <c r="D680" s="60">
        <f>F680+E680</f>
        <v>0</v>
      </c>
      <c r="E680" s="60">
        <v>0</v>
      </c>
      <c r="F680" s="60">
        <v>0</v>
      </c>
      <c r="G680" s="60">
        <f>I680+H680</f>
        <v>0</v>
      </c>
      <c r="H680" s="60">
        <v>0</v>
      </c>
      <c r="I680" s="60">
        <v>0</v>
      </c>
      <c r="J680" s="65" t="s">
        <v>222</v>
      </c>
      <c r="K680" s="66" t="s">
        <v>263</v>
      </c>
      <c r="L680" s="55"/>
    </row>
    <row r="681" spans="1:12" ht="12.75" customHeight="1" thickBot="1" x14ac:dyDescent="0.25">
      <c r="A681" s="60">
        <f t="shared" ref="A681:I681" si="379">SUM(A679:A680)</f>
        <v>40</v>
      </c>
      <c r="B681" s="60">
        <f t="shared" si="379"/>
        <v>0</v>
      </c>
      <c r="C681" s="60">
        <f t="shared" si="379"/>
        <v>40</v>
      </c>
      <c r="D681" s="60">
        <f t="shared" si="379"/>
        <v>0</v>
      </c>
      <c r="E681" s="60">
        <f t="shared" si="379"/>
        <v>0</v>
      </c>
      <c r="F681" s="60">
        <f t="shared" si="379"/>
        <v>0</v>
      </c>
      <c r="G681" s="60">
        <f t="shared" si="379"/>
        <v>40</v>
      </c>
      <c r="H681" s="60">
        <f t="shared" si="379"/>
        <v>0</v>
      </c>
      <c r="I681" s="60">
        <f t="shared" si="379"/>
        <v>40</v>
      </c>
      <c r="J681" s="65" t="s">
        <v>13</v>
      </c>
      <c r="K681" s="67"/>
      <c r="L681" s="55"/>
    </row>
    <row r="682" spans="1:12" ht="12.75" customHeight="1" thickBot="1" x14ac:dyDescent="0.25">
      <c r="A682" s="60">
        <f t="shared" ref="A682:C683" si="380">G682+D682</f>
        <v>289</v>
      </c>
      <c r="B682" s="60">
        <f t="shared" si="380"/>
        <v>0</v>
      </c>
      <c r="C682" s="60">
        <f t="shared" si="380"/>
        <v>289</v>
      </c>
      <c r="D682" s="60">
        <f>F682+E682</f>
        <v>0</v>
      </c>
      <c r="E682" s="60">
        <v>0</v>
      </c>
      <c r="F682" s="60">
        <v>0</v>
      </c>
      <c r="G682" s="60">
        <f>I682+H682</f>
        <v>289</v>
      </c>
      <c r="H682" s="60">
        <v>0</v>
      </c>
      <c r="I682" s="60">
        <f>137+152</f>
        <v>289</v>
      </c>
      <c r="J682" s="65" t="s">
        <v>221</v>
      </c>
      <c r="K682" s="66"/>
      <c r="L682" s="55"/>
    </row>
    <row r="683" spans="1:12" ht="12.75" customHeight="1" thickBot="1" x14ac:dyDescent="0.25">
      <c r="A683" s="60">
        <f t="shared" si="380"/>
        <v>0</v>
      </c>
      <c r="B683" s="60">
        <f t="shared" si="380"/>
        <v>0</v>
      </c>
      <c r="C683" s="60">
        <f t="shared" si="380"/>
        <v>0</v>
      </c>
      <c r="D683" s="60">
        <f>F683+E683</f>
        <v>0</v>
      </c>
      <c r="E683" s="60">
        <v>0</v>
      </c>
      <c r="F683" s="60">
        <v>0</v>
      </c>
      <c r="G683" s="60">
        <f>I683+H683</f>
        <v>0</v>
      </c>
      <c r="H683" s="60">
        <v>0</v>
      </c>
      <c r="I683" s="60">
        <v>0</v>
      </c>
      <c r="J683" s="65" t="s">
        <v>222</v>
      </c>
      <c r="K683" s="66" t="s">
        <v>359</v>
      </c>
      <c r="L683" s="55"/>
    </row>
    <row r="684" spans="1:12" ht="12.75" customHeight="1" thickBot="1" x14ac:dyDescent="0.25">
      <c r="A684" s="60">
        <f t="shared" ref="A684:I684" si="381">SUM(A682:A683)</f>
        <v>289</v>
      </c>
      <c r="B684" s="60">
        <f t="shared" si="381"/>
        <v>0</v>
      </c>
      <c r="C684" s="60">
        <f t="shared" si="381"/>
        <v>289</v>
      </c>
      <c r="D684" s="60">
        <f t="shared" si="381"/>
        <v>0</v>
      </c>
      <c r="E684" s="60">
        <f t="shared" si="381"/>
        <v>0</v>
      </c>
      <c r="F684" s="60">
        <f t="shared" si="381"/>
        <v>0</v>
      </c>
      <c r="G684" s="60">
        <f t="shared" si="381"/>
        <v>289</v>
      </c>
      <c r="H684" s="60">
        <f t="shared" si="381"/>
        <v>0</v>
      </c>
      <c r="I684" s="60">
        <f t="shared" si="381"/>
        <v>289</v>
      </c>
      <c r="J684" s="65" t="s">
        <v>13</v>
      </c>
      <c r="K684" s="67"/>
      <c r="L684" s="55"/>
    </row>
    <row r="685" spans="1:12" ht="12.75" customHeight="1" thickBot="1" x14ac:dyDescent="0.25">
      <c r="A685" s="60">
        <f t="shared" ref="A685:C686" si="382">G685+D685</f>
        <v>42</v>
      </c>
      <c r="B685" s="60">
        <f t="shared" si="382"/>
        <v>0</v>
      </c>
      <c r="C685" s="60">
        <f t="shared" si="382"/>
        <v>42</v>
      </c>
      <c r="D685" s="60">
        <f>F685+E685</f>
        <v>0</v>
      </c>
      <c r="E685" s="60">
        <v>0</v>
      </c>
      <c r="F685" s="60">
        <v>0</v>
      </c>
      <c r="G685" s="60">
        <f>I685+H685</f>
        <v>42</v>
      </c>
      <c r="H685" s="60">
        <v>0</v>
      </c>
      <c r="I685" s="60">
        <v>42</v>
      </c>
      <c r="J685" s="65" t="s">
        <v>221</v>
      </c>
      <c r="K685" s="66"/>
      <c r="L685" s="55"/>
    </row>
    <row r="686" spans="1:12" ht="12.75" customHeight="1" thickBot="1" x14ac:dyDescent="0.25">
      <c r="A686" s="60">
        <f t="shared" si="382"/>
        <v>0</v>
      </c>
      <c r="B686" s="60">
        <f t="shared" si="382"/>
        <v>0</v>
      </c>
      <c r="C686" s="60">
        <f t="shared" si="382"/>
        <v>0</v>
      </c>
      <c r="D686" s="60">
        <f>F686+E686</f>
        <v>0</v>
      </c>
      <c r="E686" s="60">
        <v>0</v>
      </c>
      <c r="F686" s="60">
        <v>0</v>
      </c>
      <c r="G686" s="60">
        <f>I686+H686</f>
        <v>0</v>
      </c>
      <c r="H686" s="60">
        <v>0</v>
      </c>
      <c r="I686" s="60">
        <v>0</v>
      </c>
      <c r="J686" s="65" t="s">
        <v>222</v>
      </c>
      <c r="K686" s="66" t="s">
        <v>264</v>
      </c>
      <c r="L686" s="55"/>
    </row>
    <row r="687" spans="1:12" ht="12.75" customHeight="1" thickBot="1" x14ac:dyDescent="0.25">
      <c r="A687" s="60">
        <f t="shared" ref="A687:I687" si="383">SUM(A685:A686)</f>
        <v>42</v>
      </c>
      <c r="B687" s="60">
        <f t="shared" si="383"/>
        <v>0</v>
      </c>
      <c r="C687" s="60">
        <f t="shared" si="383"/>
        <v>42</v>
      </c>
      <c r="D687" s="60">
        <f t="shared" si="383"/>
        <v>0</v>
      </c>
      <c r="E687" s="60">
        <f t="shared" si="383"/>
        <v>0</v>
      </c>
      <c r="F687" s="60">
        <f t="shared" si="383"/>
        <v>0</v>
      </c>
      <c r="G687" s="60">
        <f t="shared" si="383"/>
        <v>42</v>
      </c>
      <c r="H687" s="60">
        <f t="shared" si="383"/>
        <v>0</v>
      </c>
      <c r="I687" s="60">
        <f t="shared" si="383"/>
        <v>42</v>
      </c>
      <c r="J687" s="65" t="s">
        <v>13</v>
      </c>
      <c r="K687" s="67"/>
      <c r="L687" s="55"/>
    </row>
    <row r="688" spans="1:12" ht="12.75" customHeight="1" thickBot="1" x14ac:dyDescent="0.25">
      <c r="A688" s="60">
        <f t="shared" ref="A688:C689" si="384">G688+D688</f>
        <v>391</v>
      </c>
      <c r="B688" s="60">
        <f t="shared" si="384"/>
        <v>391</v>
      </c>
      <c r="C688" s="60">
        <f t="shared" si="384"/>
        <v>0</v>
      </c>
      <c r="D688" s="60">
        <f>F688+E688</f>
        <v>7</v>
      </c>
      <c r="E688" s="60">
        <v>7</v>
      </c>
      <c r="F688" s="60">
        <v>0</v>
      </c>
      <c r="G688" s="60">
        <f>I688+H688</f>
        <v>384</v>
      </c>
      <c r="H688" s="60">
        <v>384</v>
      </c>
      <c r="I688" s="60">
        <v>0</v>
      </c>
      <c r="J688" s="65" t="s">
        <v>221</v>
      </c>
      <c r="K688" s="66"/>
      <c r="L688" s="55"/>
    </row>
    <row r="689" spans="1:12" ht="12.75" customHeight="1" thickBot="1" x14ac:dyDescent="0.25">
      <c r="A689" s="60">
        <f t="shared" si="384"/>
        <v>414</v>
      </c>
      <c r="B689" s="60">
        <f t="shared" si="384"/>
        <v>414</v>
      </c>
      <c r="C689" s="60">
        <f t="shared" si="384"/>
        <v>0</v>
      </c>
      <c r="D689" s="60">
        <f>F689+E689</f>
        <v>15</v>
      </c>
      <c r="E689" s="60">
        <v>15</v>
      </c>
      <c r="F689" s="60">
        <v>0</v>
      </c>
      <c r="G689" s="60">
        <f>I689+H689</f>
        <v>399</v>
      </c>
      <c r="H689" s="60">
        <v>399</v>
      </c>
      <c r="I689" s="60">
        <v>0</v>
      </c>
      <c r="J689" s="65" t="s">
        <v>222</v>
      </c>
      <c r="K689" s="66" t="s">
        <v>479</v>
      </c>
      <c r="L689" s="55"/>
    </row>
    <row r="690" spans="1:12" ht="12.75" customHeight="1" thickBot="1" x14ac:dyDescent="0.25">
      <c r="A690" s="60">
        <f t="shared" ref="A690:I690" si="385">SUM(A688:A689)</f>
        <v>805</v>
      </c>
      <c r="B690" s="60">
        <f t="shared" si="385"/>
        <v>805</v>
      </c>
      <c r="C690" s="60">
        <f t="shared" si="385"/>
        <v>0</v>
      </c>
      <c r="D690" s="60">
        <f t="shared" si="385"/>
        <v>22</v>
      </c>
      <c r="E690" s="60">
        <f t="shared" si="385"/>
        <v>22</v>
      </c>
      <c r="F690" s="60">
        <f t="shared" si="385"/>
        <v>0</v>
      </c>
      <c r="G690" s="60">
        <f t="shared" si="385"/>
        <v>783</v>
      </c>
      <c r="H690" s="60">
        <f t="shared" si="385"/>
        <v>783</v>
      </c>
      <c r="I690" s="60">
        <f t="shared" si="385"/>
        <v>0</v>
      </c>
      <c r="J690" s="65" t="s">
        <v>13</v>
      </c>
      <c r="K690" s="67"/>
      <c r="L690" s="55"/>
    </row>
    <row r="691" spans="1:12" ht="12.75" customHeight="1" thickBot="1" x14ac:dyDescent="0.25">
      <c r="A691" s="60">
        <f t="shared" ref="A691:C692" si="386">G691+D691</f>
        <v>287</v>
      </c>
      <c r="B691" s="60">
        <f t="shared" si="386"/>
        <v>287</v>
      </c>
      <c r="C691" s="60">
        <f t="shared" si="386"/>
        <v>0</v>
      </c>
      <c r="D691" s="60">
        <f>F691+E691</f>
        <v>1</v>
      </c>
      <c r="E691" s="60">
        <v>1</v>
      </c>
      <c r="F691" s="60">
        <v>0</v>
      </c>
      <c r="G691" s="60">
        <f>I691+H691</f>
        <v>286</v>
      </c>
      <c r="H691" s="60">
        <v>286</v>
      </c>
      <c r="I691" s="60">
        <v>0</v>
      </c>
      <c r="J691" s="65" t="s">
        <v>221</v>
      </c>
      <c r="K691" s="66"/>
      <c r="L691" s="55"/>
    </row>
    <row r="692" spans="1:12" ht="12.75" customHeight="1" thickBot="1" x14ac:dyDescent="0.25">
      <c r="A692" s="60">
        <f t="shared" si="386"/>
        <v>0</v>
      </c>
      <c r="B692" s="60">
        <f t="shared" si="386"/>
        <v>0</v>
      </c>
      <c r="C692" s="60">
        <f t="shared" si="386"/>
        <v>0</v>
      </c>
      <c r="D692" s="60">
        <f>F692+E692</f>
        <v>0</v>
      </c>
      <c r="E692" s="60">
        <v>0</v>
      </c>
      <c r="F692" s="60">
        <v>0</v>
      </c>
      <c r="G692" s="60">
        <f>I692+H692</f>
        <v>0</v>
      </c>
      <c r="H692" s="60">
        <v>0</v>
      </c>
      <c r="I692" s="60">
        <v>0</v>
      </c>
      <c r="J692" s="65" t="s">
        <v>222</v>
      </c>
      <c r="K692" s="66" t="s">
        <v>480</v>
      </c>
      <c r="L692" s="55"/>
    </row>
    <row r="693" spans="1:12" ht="12.75" customHeight="1" thickBot="1" x14ac:dyDescent="0.25">
      <c r="A693" s="60">
        <f t="shared" ref="A693:I693" si="387">SUM(A691:A692)</f>
        <v>287</v>
      </c>
      <c r="B693" s="60">
        <f t="shared" si="387"/>
        <v>287</v>
      </c>
      <c r="C693" s="60">
        <f t="shared" si="387"/>
        <v>0</v>
      </c>
      <c r="D693" s="60">
        <f t="shared" si="387"/>
        <v>1</v>
      </c>
      <c r="E693" s="60">
        <f t="shared" si="387"/>
        <v>1</v>
      </c>
      <c r="F693" s="60">
        <f t="shared" si="387"/>
        <v>0</v>
      </c>
      <c r="G693" s="60">
        <f t="shared" si="387"/>
        <v>286</v>
      </c>
      <c r="H693" s="60">
        <f t="shared" si="387"/>
        <v>286</v>
      </c>
      <c r="I693" s="60">
        <f t="shared" si="387"/>
        <v>0</v>
      </c>
      <c r="J693" s="65" t="s">
        <v>13</v>
      </c>
      <c r="K693" s="67"/>
      <c r="L693" s="55"/>
    </row>
    <row r="694" spans="1:12" ht="12.75" customHeight="1" thickBot="1" x14ac:dyDescent="0.25">
      <c r="A694" s="60">
        <f t="shared" ref="A694:C695" si="388">G694+D694</f>
        <v>403</v>
      </c>
      <c r="B694" s="60">
        <f t="shared" si="388"/>
        <v>403</v>
      </c>
      <c r="C694" s="60">
        <f t="shared" si="388"/>
        <v>0</v>
      </c>
      <c r="D694" s="60">
        <f>F694+E694</f>
        <v>5</v>
      </c>
      <c r="E694" s="60">
        <v>5</v>
      </c>
      <c r="F694" s="60">
        <v>0</v>
      </c>
      <c r="G694" s="60">
        <f>I694+H694</f>
        <v>398</v>
      </c>
      <c r="H694" s="60">
        <v>398</v>
      </c>
      <c r="I694" s="60">
        <v>0</v>
      </c>
      <c r="J694" s="65" t="s">
        <v>221</v>
      </c>
      <c r="K694" s="66"/>
      <c r="L694" s="55"/>
    </row>
    <row r="695" spans="1:12" ht="12.75" customHeight="1" thickBot="1" x14ac:dyDescent="0.25">
      <c r="A695" s="60">
        <f t="shared" si="388"/>
        <v>0</v>
      </c>
      <c r="B695" s="60">
        <f t="shared" si="388"/>
        <v>0</v>
      </c>
      <c r="C695" s="60">
        <f t="shared" si="388"/>
        <v>0</v>
      </c>
      <c r="D695" s="60">
        <f>F695+E695</f>
        <v>0</v>
      </c>
      <c r="E695" s="60">
        <v>0</v>
      </c>
      <c r="F695" s="60">
        <v>0</v>
      </c>
      <c r="G695" s="60">
        <f>I695+H695</f>
        <v>0</v>
      </c>
      <c r="H695" s="60">
        <v>0</v>
      </c>
      <c r="I695" s="60">
        <v>0</v>
      </c>
      <c r="J695" s="65" t="s">
        <v>222</v>
      </c>
      <c r="K695" s="66" t="s">
        <v>481</v>
      </c>
      <c r="L695" s="55"/>
    </row>
    <row r="696" spans="1:12" ht="12.75" customHeight="1" thickBot="1" x14ac:dyDescent="0.25">
      <c r="A696" s="60">
        <f t="shared" ref="A696:I696" si="389">SUM(A694:A695)</f>
        <v>403</v>
      </c>
      <c r="B696" s="60">
        <f t="shared" si="389"/>
        <v>403</v>
      </c>
      <c r="C696" s="60">
        <f t="shared" si="389"/>
        <v>0</v>
      </c>
      <c r="D696" s="60">
        <f t="shared" si="389"/>
        <v>5</v>
      </c>
      <c r="E696" s="60">
        <f t="shared" si="389"/>
        <v>5</v>
      </c>
      <c r="F696" s="60">
        <f t="shared" si="389"/>
        <v>0</v>
      </c>
      <c r="G696" s="60">
        <f t="shared" si="389"/>
        <v>398</v>
      </c>
      <c r="H696" s="60">
        <f t="shared" si="389"/>
        <v>398</v>
      </c>
      <c r="I696" s="60">
        <f t="shared" si="389"/>
        <v>0</v>
      </c>
      <c r="J696" s="65" t="s">
        <v>13</v>
      </c>
      <c r="K696" s="67"/>
      <c r="L696" s="55"/>
    </row>
    <row r="697" spans="1:12" ht="12.75" customHeight="1" thickBot="1" x14ac:dyDescent="0.25">
      <c r="A697" s="60">
        <f t="shared" ref="A697:C698" si="390">G697+D697</f>
        <v>222</v>
      </c>
      <c r="B697" s="60">
        <f t="shared" si="390"/>
        <v>222</v>
      </c>
      <c r="C697" s="60">
        <f t="shared" si="390"/>
        <v>0</v>
      </c>
      <c r="D697" s="60">
        <f>F697+E697</f>
        <v>3</v>
      </c>
      <c r="E697" s="60">
        <v>3</v>
      </c>
      <c r="F697" s="60">
        <v>0</v>
      </c>
      <c r="G697" s="60">
        <f>I697+H697</f>
        <v>219</v>
      </c>
      <c r="H697" s="60">
        <v>219</v>
      </c>
      <c r="I697" s="60">
        <v>0</v>
      </c>
      <c r="J697" s="65" t="s">
        <v>221</v>
      </c>
      <c r="K697" s="66"/>
      <c r="L697" s="55"/>
    </row>
    <row r="698" spans="1:12" ht="12.75" customHeight="1" thickBot="1" x14ac:dyDescent="0.25">
      <c r="A698" s="60">
        <f t="shared" si="390"/>
        <v>315</v>
      </c>
      <c r="B698" s="60">
        <f t="shared" si="390"/>
        <v>315</v>
      </c>
      <c r="C698" s="60">
        <f t="shared" si="390"/>
        <v>0</v>
      </c>
      <c r="D698" s="60">
        <f>F698+E698</f>
        <v>0</v>
      </c>
      <c r="E698" s="60">
        <v>0</v>
      </c>
      <c r="F698" s="60">
        <v>0</v>
      </c>
      <c r="G698" s="60">
        <f>I698+H698</f>
        <v>315</v>
      </c>
      <c r="H698" s="60">
        <v>315</v>
      </c>
      <c r="I698" s="60">
        <v>0</v>
      </c>
      <c r="J698" s="65" t="s">
        <v>222</v>
      </c>
      <c r="K698" s="66" t="s">
        <v>482</v>
      </c>
      <c r="L698" s="55"/>
    </row>
    <row r="699" spans="1:12" ht="12.75" customHeight="1" thickBot="1" x14ac:dyDescent="0.25">
      <c r="A699" s="60">
        <f t="shared" ref="A699:I699" si="391">SUM(A697:A698)</f>
        <v>537</v>
      </c>
      <c r="B699" s="60">
        <f t="shared" si="391"/>
        <v>537</v>
      </c>
      <c r="C699" s="60">
        <f t="shared" si="391"/>
        <v>0</v>
      </c>
      <c r="D699" s="60">
        <f t="shared" si="391"/>
        <v>3</v>
      </c>
      <c r="E699" s="60">
        <f t="shared" si="391"/>
        <v>3</v>
      </c>
      <c r="F699" s="60">
        <f t="shared" si="391"/>
        <v>0</v>
      </c>
      <c r="G699" s="60">
        <f t="shared" si="391"/>
        <v>534</v>
      </c>
      <c r="H699" s="60">
        <f t="shared" si="391"/>
        <v>534</v>
      </c>
      <c r="I699" s="60">
        <f t="shared" si="391"/>
        <v>0</v>
      </c>
      <c r="J699" s="65" t="s">
        <v>13</v>
      </c>
      <c r="K699" s="67"/>
      <c r="L699" s="55"/>
    </row>
    <row r="700" spans="1:12" ht="12.75" customHeight="1" thickBot="1" x14ac:dyDescent="0.25">
      <c r="A700" s="60">
        <f t="shared" ref="A700:C701" si="392">G700+D700</f>
        <v>221</v>
      </c>
      <c r="B700" s="60">
        <f t="shared" si="392"/>
        <v>221</v>
      </c>
      <c r="C700" s="60">
        <f t="shared" si="392"/>
        <v>0</v>
      </c>
      <c r="D700" s="60">
        <f>F700+E700</f>
        <v>23</v>
      </c>
      <c r="E700" s="60">
        <v>23</v>
      </c>
      <c r="F700" s="60">
        <v>0</v>
      </c>
      <c r="G700" s="60">
        <f>I700+H700</f>
        <v>198</v>
      </c>
      <c r="H700" s="60">
        <v>198</v>
      </c>
      <c r="I700" s="60">
        <v>0</v>
      </c>
      <c r="J700" s="65" t="s">
        <v>221</v>
      </c>
      <c r="K700" s="66"/>
      <c r="L700" s="55"/>
    </row>
    <row r="701" spans="1:12" ht="12.75" customHeight="1" thickBot="1" x14ac:dyDescent="0.25">
      <c r="A701" s="60">
        <f t="shared" si="392"/>
        <v>317</v>
      </c>
      <c r="B701" s="60">
        <f t="shared" si="392"/>
        <v>317</v>
      </c>
      <c r="C701" s="60">
        <f t="shared" si="392"/>
        <v>0</v>
      </c>
      <c r="D701" s="60">
        <f>F701+E701</f>
        <v>18</v>
      </c>
      <c r="E701" s="60">
        <v>18</v>
      </c>
      <c r="F701" s="60">
        <v>0</v>
      </c>
      <c r="G701" s="60">
        <f>I701+H701</f>
        <v>299</v>
      </c>
      <c r="H701" s="60">
        <v>299</v>
      </c>
      <c r="I701" s="60">
        <v>0</v>
      </c>
      <c r="J701" s="65" t="s">
        <v>222</v>
      </c>
      <c r="K701" s="66" t="s">
        <v>483</v>
      </c>
      <c r="L701" s="55"/>
    </row>
    <row r="702" spans="1:12" ht="12.75" customHeight="1" thickBot="1" x14ac:dyDescent="0.25">
      <c r="A702" s="60">
        <f t="shared" ref="A702:I702" si="393">SUM(A700:A701)</f>
        <v>538</v>
      </c>
      <c r="B702" s="60">
        <f t="shared" si="393"/>
        <v>538</v>
      </c>
      <c r="C702" s="60">
        <f t="shared" si="393"/>
        <v>0</v>
      </c>
      <c r="D702" s="60">
        <f t="shared" si="393"/>
        <v>41</v>
      </c>
      <c r="E702" s="60">
        <f t="shared" si="393"/>
        <v>41</v>
      </c>
      <c r="F702" s="60">
        <f t="shared" si="393"/>
        <v>0</v>
      </c>
      <c r="G702" s="60">
        <f t="shared" si="393"/>
        <v>497</v>
      </c>
      <c r="H702" s="60">
        <f t="shared" si="393"/>
        <v>497</v>
      </c>
      <c r="I702" s="60">
        <f t="shared" si="393"/>
        <v>0</v>
      </c>
      <c r="J702" s="65" t="s">
        <v>13</v>
      </c>
      <c r="K702" s="67"/>
      <c r="L702" s="55"/>
    </row>
    <row r="703" spans="1:12" ht="12.75" customHeight="1" thickBot="1" x14ac:dyDescent="0.25">
      <c r="A703" s="60">
        <f t="shared" ref="A703:H705" si="394">A670+A673+A676+A679+A682+A685+A688+A691+A694+A697+A700</f>
        <v>3280</v>
      </c>
      <c r="B703" s="60">
        <f t="shared" si="394"/>
        <v>1524</v>
      </c>
      <c r="C703" s="60">
        <f t="shared" si="394"/>
        <v>1756</v>
      </c>
      <c r="D703" s="60">
        <f t="shared" si="394"/>
        <v>39</v>
      </c>
      <c r="E703" s="60">
        <f t="shared" si="394"/>
        <v>39</v>
      </c>
      <c r="F703" s="60">
        <f t="shared" si="394"/>
        <v>0</v>
      </c>
      <c r="G703" s="60">
        <f t="shared" si="394"/>
        <v>3241</v>
      </c>
      <c r="H703" s="60">
        <f t="shared" si="394"/>
        <v>1485</v>
      </c>
      <c r="I703" s="60">
        <f>I670+I673+I676+I679+I682+I685+I688+I691+I694+I697+I700</f>
        <v>1756</v>
      </c>
      <c r="J703" s="65" t="s">
        <v>224</v>
      </c>
      <c r="K703" s="57"/>
      <c r="L703" s="55"/>
    </row>
    <row r="704" spans="1:12" ht="12.75" customHeight="1" thickBot="1" x14ac:dyDescent="0.25">
      <c r="A704" s="60">
        <f t="shared" si="394"/>
        <v>1046</v>
      </c>
      <c r="B704" s="60">
        <f t="shared" si="394"/>
        <v>1046</v>
      </c>
      <c r="C704" s="60">
        <f t="shared" si="394"/>
        <v>0</v>
      </c>
      <c r="D704" s="60">
        <f t="shared" si="394"/>
        <v>33</v>
      </c>
      <c r="E704" s="60">
        <f t="shared" si="394"/>
        <v>33</v>
      </c>
      <c r="F704" s="60">
        <f t="shared" si="394"/>
        <v>0</v>
      </c>
      <c r="G704" s="60">
        <f t="shared" si="394"/>
        <v>1013</v>
      </c>
      <c r="H704" s="60">
        <f t="shared" si="394"/>
        <v>1013</v>
      </c>
      <c r="I704" s="60">
        <f>I671+I674+I677+I680+I683+I686+I689+I692+I695+I698+I701</f>
        <v>0</v>
      </c>
      <c r="J704" s="65" t="s">
        <v>225</v>
      </c>
      <c r="K704" s="68" t="s">
        <v>211</v>
      </c>
      <c r="L704" s="55"/>
    </row>
    <row r="705" spans="1:12" ht="12.75" customHeight="1" thickBot="1" x14ac:dyDescent="0.25">
      <c r="A705" s="60">
        <f t="shared" si="394"/>
        <v>4326</v>
      </c>
      <c r="B705" s="60">
        <f t="shared" si="394"/>
        <v>2570</v>
      </c>
      <c r="C705" s="60">
        <f t="shared" si="394"/>
        <v>1756</v>
      </c>
      <c r="D705" s="60">
        <f t="shared" si="394"/>
        <v>72</v>
      </c>
      <c r="E705" s="60">
        <f t="shared" si="394"/>
        <v>72</v>
      </c>
      <c r="F705" s="60">
        <f t="shared" si="394"/>
        <v>0</v>
      </c>
      <c r="G705" s="60">
        <f t="shared" si="394"/>
        <v>4254</v>
      </c>
      <c r="H705" s="60">
        <f t="shared" si="394"/>
        <v>2498</v>
      </c>
      <c r="I705" s="60">
        <f>I672+I675+I678+I681+I684+I687+I690+I693+I696+I699+I702</f>
        <v>1756</v>
      </c>
      <c r="J705" s="65" t="s">
        <v>13</v>
      </c>
      <c r="K705" s="59"/>
      <c r="L705" s="55"/>
    </row>
    <row r="706" spans="1:12" ht="12.75" customHeight="1" x14ac:dyDescent="0.2">
      <c r="A706" s="177" t="s">
        <v>327</v>
      </c>
      <c r="B706" s="177"/>
      <c r="C706" s="177"/>
      <c r="D706" s="177"/>
      <c r="E706" s="177"/>
      <c r="F706" s="177"/>
      <c r="G706" s="177"/>
      <c r="H706" s="177"/>
      <c r="I706" s="177"/>
      <c r="J706" s="177"/>
      <c r="K706" s="177"/>
      <c r="L706" s="55"/>
    </row>
    <row r="707" spans="1:12" ht="12.75" customHeight="1" thickBot="1" x14ac:dyDescent="0.25">
      <c r="A707" s="178" t="s">
        <v>328</v>
      </c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55"/>
    </row>
    <row r="708" spans="1:12" ht="12.75" customHeight="1" thickBot="1" x14ac:dyDescent="0.25">
      <c r="A708" s="179" t="s">
        <v>5</v>
      </c>
      <c r="B708" s="179"/>
      <c r="C708" s="179"/>
      <c r="D708" s="179" t="s">
        <v>162</v>
      </c>
      <c r="E708" s="179"/>
      <c r="F708" s="179"/>
      <c r="G708" s="179" t="s">
        <v>163</v>
      </c>
      <c r="H708" s="179"/>
      <c r="I708" s="179"/>
      <c r="J708" s="179" t="s">
        <v>72</v>
      </c>
      <c r="K708" s="179"/>
      <c r="L708" s="55"/>
    </row>
    <row r="709" spans="1:12" ht="12.75" customHeight="1" thickBot="1" x14ac:dyDescent="0.25">
      <c r="A709" s="58" t="s">
        <v>216</v>
      </c>
      <c r="B709" s="58" t="s">
        <v>11</v>
      </c>
      <c r="C709" s="58" t="s">
        <v>10</v>
      </c>
      <c r="D709" s="58" t="s">
        <v>216</v>
      </c>
      <c r="E709" s="58" t="s">
        <v>11</v>
      </c>
      <c r="F709" s="58" t="s">
        <v>10</v>
      </c>
      <c r="G709" s="58" t="s">
        <v>216</v>
      </c>
      <c r="H709" s="58" t="s">
        <v>11</v>
      </c>
      <c r="I709" s="58" t="s">
        <v>10</v>
      </c>
      <c r="J709" s="180" t="s">
        <v>118</v>
      </c>
      <c r="K709" s="180"/>
      <c r="L709" s="55"/>
    </row>
    <row r="710" spans="1:12" ht="12.75" customHeight="1" thickBot="1" x14ac:dyDescent="0.25">
      <c r="A710" s="60">
        <f t="shared" ref="A710:C711" si="395">G710+D710</f>
        <v>30</v>
      </c>
      <c r="B710" s="60">
        <f t="shared" si="395"/>
        <v>0</v>
      </c>
      <c r="C710" s="60">
        <f t="shared" si="395"/>
        <v>30</v>
      </c>
      <c r="D710" s="60">
        <f>F710+E710</f>
        <v>0</v>
      </c>
      <c r="E710" s="60">
        <v>0</v>
      </c>
      <c r="F710" s="60">
        <v>0</v>
      </c>
      <c r="G710" s="60">
        <f>I710+H710</f>
        <v>30</v>
      </c>
      <c r="H710" s="60">
        <v>0</v>
      </c>
      <c r="I710" s="60">
        <v>30</v>
      </c>
      <c r="J710" s="65" t="s">
        <v>221</v>
      </c>
      <c r="K710" s="66"/>
      <c r="L710" s="55"/>
    </row>
    <row r="711" spans="1:12" ht="12.75" customHeight="1" thickBot="1" x14ac:dyDescent="0.25">
      <c r="A711" s="60">
        <f t="shared" si="395"/>
        <v>0</v>
      </c>
      <c r="B711" s="60">
        <f t="shared" si="395"/>
        <v>0</v>
      </c>
      <c r="C711" s="60">
        <f t="shared" si="395"/>
        <v>0</v>
      </c>
      <c r="D711" s="60">
        <f>F711+E711</f>
        <v>0</v>
      </c>
      <c r="E711" s="60">
        <v>0</v>
      </c>
      <c r="F711" s="60">
        <v>0</v>
      </c>
      <c r="G711" s="60">
        <f>I711+H711</f>
        <v>0</v>
      </c>
      <c r="H711" s="60">
        <v>0</v>
      </c>
      <c r="I711" s="60">
        <v>0</v>
      </c>
      <c r="J711" s="65" t="s">
        <v>222</v>
      </c>
      <c r="K711" s="66" t="s">
        <v>377</v>
      </c>
      <c r="L711" s="55"/>
    </row>
    <row r="712" spans="1:12" ht="12.75" customHeight="1" thickBot="1" x14ac:dyDescent="0.25">
      <c r="A712" s="60">
        <f>SUM(A710:A711)</f>
        <v>30</v>
      </c>
      <c r="B712" s="60">
        <f>SUM(B710:B711)</f>
        <v>0</v>
      </c>
      <c r="C712" s="60">
        <f>SUM(C710:C711)</f>
        <v>30</v>
      </c>
      <c r="D712" s="60">
        <f t="shared" ref="D712:I712" si="396">SUM(D710:D711)</f>
        <v>0</v>
      </c>
      <c r="E712" s="60">
        <f t="shared" si="396"/>
        <v>0</v>
      </c>
      <c r="F712" s="60">
        <f t="shared" si="396"/>
        <v>0</v>
      </c>
      <c r="G712" s="60">
        <f t="shared" si="396"/>
        <v>30</v>
      </c>
      <c r="H712" s="60">
        <f t="shared" si="396"/>
        <v>0</v>
      </c>
      <c r="I712" s="60">
        <f t="shared" si="396"/>
        <v>30</v>
      </c>
      <c r="J712" s="65" t="s">
        <v>13</v>
      </c>
      <c r="K712" s="67"/>
      <c r="L712" s="55"/>
    </row>
    <row r="713" spans="1:12" ht="12.75" customHeight="1" thickBot="1" x14ac:dyDescent="0.25">
      <c r="A713" s="60">
        <f t="shared" ref="A713:C714" si="397">G713+D713</f>
        <v>1037</v>
      </c>
      <c r="B713" s="60">
        <f t="shared" si="397"/>
        <v>600</v>
      </c>
      <c r="C713" s="60">
        <f t="shared" si="397"/>
        <v>437</v>
      </c>
      <c r="D713" s="60">
        <f>F713+E713</f>
        <v>0</v>
      </c>
      <c r="E713" s="60">
        <v>0</v>
      </c>
      <c r="F713" s="60">
        <v>0</v>
      </c>
      <c r="G713" s="60">
        <f>I713+H713</f>
        <v>1037</v>
      </c>
      <c r="H713" s="60">
        <f>925-325</f>
        <v>600</v>
      </c>
      <c r="I713" s="60">
        <v>437</v>
      </c>
      <c r="J713" s="65" t="s">
        <v>221</v>
      </c>
      <c r="K713" s="66"/>
      <c r="L713" s="55"/>
    </row>
    <row r="714" spans="1:12" ht="12.75" customHeight="1" thickBot="1" x14ac:dyDescent="0.25">
      <c r="A714" s="60">
        <f t="shared" si="397"/>
        <v>0</v>
      </c>
      <c r="B714" s="60">
        <f t="shared" si="397"/>
        <v>0</v>
      </c>
      <c r="C714" s="60">
        <f t="shared" si="397"/>
        <v>0</v>
      </c>
      <c r="D714" s="60">
        <f>F714+E714</f>
        <v>0</v>
      </c>
      <c r="E714" s="60">
        <v>0</v>
      </c>
      <c r="F714" s="60">
        <v>0</v>
      </c>
      <c r="G714" s="60">
        <f>I714+H714</f>
        <v>0</v>
      </c>
      <c r="H714" s="60">
        <v>0</v>
      </c>
      <c r="I714" s="60">
        <v>0</v>
      </c>
      <c r="J714" s="65" t="s">
        <v>222</v>
      </c>
      <c r="K714" s="66" t="s">
        <v>268</v>
      </c>
      <c r="L714" s="55"/>
    </row>
    <row r="715" spans="1:12" ht="12.75" customHeight="1" thickBot="1" x14ac:dyDescent="0.25">
      <c r="A715" s="60">
        <f t="shared" ref="A715:I715" si="398">SUM(A713:A714)</f>
        <v>1037</v>
      </c>
      <c r="B715" s="60">
        <f t="shared" si="398"/>
        <v>600</v>
      </c>
      <c r="C715" s="60">
        <f t="shared" si="398"/>
        <v>437</v>
      </c>
      <c r="D715" s="60">
        <f t="shared" si="398"/>
        <v>0</v>
      </c>
      <c r="E715" s="60">
        <f t="shared" si="398"/>
        <v>0</v>
      </c>
      <c r="F715" s="60">
        <f t="shared" si="398"/>
        <v>0</v>
      </c>
      <c r="G715" s="60">
        <f t="shared" si="398"/>
        <v>1037</v>
      </c>
      <c r="H715" s="60">
        <f t="shared" si="398"/>
        <v>600</v>
      </c>
      <c r="I715" s="60">
        <f t="shared" si="398"/>
        <v>437</v>
      </c>
      <c r="J715" s="65" t="s">
        <v>13</v>
      </c>
      <c r="K715" s="67"/>
      <c r="L715" s="55"/>
    </row>
    <row r="716" spans="1:12" ht="12.75" customHeight="1" thickBot="1" x14ac:dyDescent="0.25">
      <c r="A716" s="60">
        <f t="shared" ref="A716:C717" si="399">G716+D716</f>
        <v>854</v>
      </c>
      <c r="B716" s="60">
        <f t="shared" si="399"/>
        <v>854</v>
      </c>
      <c r="C716" s="60">
        <f t="shared" si="399"/>
        <v>0</v>
      </c>
      <c r="D716" s="60">
        <f>F716+E716</f>
        <v>0</v>
      </c>
      <c r="E716" s="60">
        <v>0</v>
      </c>
      <c r="F716" s="60">
        <v>0</v>
      </c>
      <c r="G716" s="60">
        <f>I716+H716</f>
        <v>854</v>
      </c>
      <c r="H716" s="60">
        <v>854</v>
      </c>
      <c r="I716" s="60">
        <v>0</v>
      </c>
      <c r="J716" s="65" t="s">
        <v>221</v>
      </c>
      <c r="K716" s="66"/>
      <c r="L716" s="55"/>
    </row>
    <row r="717" spans="1:12" ht="12.75" customHeight="1" thickBot="1" x14ac:dyDescent="0.25">
      <c r="A717" s="60">
        <f t="shared" si="399"/>
        <v>952</v>
      </c>
      <c r="B717" s="60">
        <f t="shared" si="399"/>
        <v>952</v>
      </c>
      <c r="C717" s="60">
        <f t="shared" si="399"/>
        <v>0</v>
      </c>
      <c r="D717" s="60">
        <f>F717+E717</f>
        <v>0</v>
      </c>
      <c r="E717" s="60">
        <v>0</v>
      </c>
      <c r="F717" s="60">
        <v>0</v>
      </c>
      <c r="G717" s="60">
        <f>I717+H717</f>
        <v>952</v>
      </c>
      <c r="H717" s="60">
        <v>952</v>
      </c>
      <c r="I717" s="60">
        <v>0</v>
      </c>
      <c r="J717" s="65" t="s">
        <v>222</v>
      </c>
      <c r="K717" s="66" t="s">
        <v>484</v>
      </c>
      <c r="L717" s="55"/>
    </row>
    <row r="718" spans="1:12" ht="12.75" customHeight="1" thickBot="1" x14ac:dyDescent="0.25">
      <c r="A718" s="60">
        <f t="shared" ref="A718:I718" si="400">SUM(A716:A717)</f>
        <v>1806</v>
      </c>
      <c r="B718" s="60">
        <f t="shared" si="400"/>
        <v>1806</v>
      </c>
      <c r="C718" s="60">
        <f t="shared" si="400"/>
        <v>0</v>
      </c>
      <c r="D718" s="60">
        <f t="shared" si="400"/>
        <v>0</v>
      </c>
      <c r="E718" s="60">
        <f t="shared" si="400"/>
        <v>0</v>
      </c>
      <c r="F718" s="60">
        <f t="shared" si="400"/>
        <v>0</v>
      </c>
      <c r="G718" s="60">
        <f t="shared" si="400"/>
        <v>1806</v>
      </c>
      <c r="H718" s="60">
        <f t="shared" si="400"/>
        <v>1806</v>
      </c>
      <c r="I718" s="60">
        <f t="shared" si="400"/>
        <v>0</v>
      </c>
      <c r="J718" s="65" t="s">
        <v>13</v>
      </c>
      <c r="K718" s="67"/>
      <c r="L718" s="55"/>
    </row>
    <row r="719" spans="1:12" ht="12.75" customHeight="1" thickBot="1" x14ac:dyDescent="0.25">
      <c r="A719" s="60">
        <f t="shared" ref="A719:C720" si="401">G719+D719</f>
        <v>865</v>
      </c>
      <c r="B719" s="60">
        <f t="shared" si="401"/>
        <v>865</v>
      </c>
      <c r="C719" s="60">
        <f t="shared" si="401"/>
        <v>0</v>
      </c>
      <c r="D719" s="60">
        <f>F719+E719</f>
        <v>0</v>
      </c>
      <c r="E719" s="60">
        <v>0</v>
      </c>
      <c r="F719" s="60">
        <v>0</v>
      </c>
      <c r="G719" s="60">
        <f>I719+H719</f>
        <v>865</v>
      </c>
      <c r="H719" s="60">
        <v>865</v>
      </c>
      <c r="I719" s="60">
        <v>0</v>
      </c>
      <c r="J719" s="65" t="s">
        <v>221</v>
      </c>
      <c r="K719" s="66"/>
      <c r="L719" s="55"/>
    </row>
    <row r="720" spans="1:12" ht="12.75" customHeight="1" thickBot="1" x14ac:dyDescent="0.25">
      <c r="A720" s="60">
        <f t="shared" si="401"/>
        <v>0</v>
      </c>
      <c r="B720" s="60">
        <f t="shared" si="401"/>
        <v>0</v>
      </c>
      <c r="C720" s="60">
        <f t="shared" si="401"/>
        <v>0</v>
      </c>
      <c r="D720" s="60">
        <f>F720+E720</f>
        <v>0</v>
      </c>
      <c r="E720" s="60">
        <v>0</v>
      </c>
      <c r="F720" s="60">
        <v>0</v>
      </c>
      <c r="G720" s="60">
        <f>I720+H720</f>
        <v>0</v>
      </c>
      <c r="H720" s="60">
        <v>0</v>
      </c>
      <c r="I720" s="60">
        <v>0</v>
      </c>
      <c r="J720" s="65" t="s">
        <v>222</v>
      </c>
      <c r="K720" s="66" t="s">
        <v>485</v>
      </c>
      <c r="L720" s="55"/>
    </row>
    <row r="721" spans="1:13" ht="12.75" customHeight="1" thickBot="1" x14ac:dyDescent="0.25">
      <c r="A721" s="60">
        <f t="shared" ref="A721:I721" si="402">SUM(A719:A720)</f>
        <v>865</v>
      </c>
      <c r="B721" s="60">
        <f t="shared" si="402"/>
        <v>865</v>
      </c>
      <c r="C721" s="60">
        <f t="shared" si="402"/>
        <v>0</v>
      </c>
      <c r="D721" s="60">
        <f t="shared" si="402"/>
        <v>0</v>
      </c>
      <c r="E721" s="60">
        <f t="shared" si="402"/>
        <v>0</v>
      </c>
      <c r="F721" s="60">
        <f t="shared" si="402"/>
        <v>0</v>
      </c>
      <c r="G721" s="60">
        <f t="shared" si="402"/>
        <v>865</v>
      </c>
      <c r="H721" s="60">
        <f t="shared" si="402"/>
        <v>865</v>
      </c>
      <c r="I721" s="60">
        <f t="shared" si="402"/>
        <v>0</v>
      </c>
      <c r="J721" s="65" t="s">
        <v>13</v>
      </c>
      <c r="K721" s="67"/>
      <c r="L721" s="55"/>
    </row>
    <row r="722" spans="1:13" ht="12.75" customHeight="1" thickBot="1" x14ac:dyDescent="0.25">
      <c r="A722" s="60">
        <f t="shared" ref="A722:C723" si="403">G722+D722</f>
        <v>529</v>
      </c>
      <c r="B722" s="60">
        <f t="shared" si="403"/>
        <v>127</v>
      </c>
      <c r="C722" s="60">
        <f t="shared" si="403"/>
        <v>402</v>
      </c>
      <c r="D722" s="60">
        <f>F722+E722</f>
        <v>0</v>
      </c>
      <c r="E722" s="60">
        <v>0</v>
      </c>
      <c r="F722" s="60">
        <v>0</v>
      </c>
      <c r="G722" s="60">
        <f>I722+H722</f>
        <v>529</v>
      </c>
      <c r="H722" s="60">
        <v>127</v>
      </c>
      <c r="I722" s="60">
        <v>402</v>
      </c>
      <c r="J722" s="65" t="s">
        <v>221</v>
      </c>
      <c r="K722" s="66"/>
      <c r="L722" s="55"/>
    </row>
    <row r="723" spans="1:13" ht="12.75" customHeight="1" thickBot="1" x14ac:dyDescent="0.25">
      <c r="A723" s="60">
        <f t="shared" si="403"/>
        <v>0</v>
      </c>
      <c r="B723" s="60">
        <f t="shared" si="403"/>
        <v>0</v>
      </c>
      <c r="C723" s="60">
        <f t="shared" si="403"/>
        <v>0</v>
      </c>
      <c r="D723" s="60">
        <f>F723+E723</f>
        <v>0</v>
      </c>
      <c r="E723" s="60">
        <v>0</v>
      </c>
      <c r="F723" s="60">
        <v>0</v>
      </c>
      <c r="G723" s="60">
        <f>I723+H723</f>
        <v>0</v>
      </c>
      <c r="H723" s="60">
        <v>0</v>
      </c>
      <c r="I723" s="60">
        <v>0</v>
      </c>
      <c r="J723" s="65" t="s">
        <v>222</v>
      </c>
      <c r="K723" s="66" t="s">
        <v>117</v>
      </c>
      <c r="L723" s="55"/>
      <c r="M723" s="69"/>
    </row>
    <row r="724" spans="1:13" ht="12.75" customHeight="1" thickBot="1" x14ac:dyDescent="0.25">
      <c r="A724" s="60">
        <f t="shared" ref="A724:I724" si="404">SUM(A722:A723)</f>
        <v>529</v>
      </c>
      <c r="B724" s="60">
        <f t="shared" si="404"/>
        <v>127</v>
      </c>
      <c r="C724" s="60">
        <f t="shared" si="404"/>
        <v>402</v>
      </c>
      <c r="D724" s="60">
        <f t="shared" si="404"/>
        <v>0</v>
      </c>
      <c r="E724" s="60">
        <f t="shared" si="404"/>
        <v>0</v>
      </c>
      <c r="F724" s="60">
        <f t="shared" si="404"/>
        <v>0</v>
      </c>
      <c r="G724" s="60">
        <f t="shared" si="404"/>
        <v>529</v>
      </c>
      <c r="H724" s="60">
        <f t="shared" si="404"/>
        <v>127</v>
      </c>
      <c r="I724" s="60">
        <f t="shared" si="404"/>
        <v>402</v>
      </c>
      <c r="J724" s="65" t="s">
        <v>13</v>
      </c>
      <c r="K724" s="67"/>
      <c r="L724" s="55"/>
    </row>
    <row r="725" spans="1:13" ht="12.75" customHeight="1" thickBot="1" x14ac:dyDescent="0.25">
      <c r="A725" s="60">
        <f t="shared" ref="A725:C726" si="405">G725+D725</f>
        <v>439</v>
      </c>
      <c r="B725" s="60">
        <f t="shared" si="405"/>
        <v>0</v>
      </c>
      <c r="C725" s="60">
        <f t="shared" si="405"/>
        <v>439</v>
      </c>
      <c r="D725" s="60">
        <f>F725+E725</f>
        <v>9</v>
      </c>
      <c r="E725" s="60">
        <v>0</v>
      </c>
      <c r="F725" s="60">
        <v>9</v>
      </c>
      <c r="G725" s="60">
        <f>I725+H725</f>
        <v>430</v>
      </c>
      <c r="H725" s="60">
        <v>0</v>
      </c>
      <c r="I725" s="60">
        <f>950-520</f>
        <v>430</v>
      </c>
      <c r="J725" s="65" t="s">
        <v>221</v>
      </c>
      <c r="K725" s="66"/>
      <c r="L725" s="55"/>
    </row>
    <row r="726" spans="1:13" ht="12.75" customHeight="1" thickBot="1" x14ac:dyDescent="0.25">
      <c r="A726" s="60">
        <f t="shared" si="405"/>
        <v>0</v>
      </c>
      <c r="B726" s="60">
        <f t="shared" si="405"/>
        <v>0</v>
      </c>
      <c r="C726" s="60">
        <f t="shared" si="405"/>
        <v>0</v>
      </c>
      <c r="D726" s="60">
        <f>F726+E726</f>
        <v>0</v>
      </c>
      <c r="E726" s="60">
        <v>0</v>
      </c>
      <c r="F726" s="60">
        <v>0</v>
      </c>
      <c r="G726" s="60">
        <f>I726+H726</f>
        <v>0</v>
      </c>
      <c r="H726" s="60">
        <v>0</v>
      </c>
      <c r="I726" s="60">
        <v>0</v>
      </c>
      <c r="J726" s="65" t="s">
        <v>222</v>
      </c>
      <c r="K726" s="66" t="s">
        <v>486</v>
      </c>
      <c r="L726" s="55"/>
    </row>
    <row r="727" spans="1:13" ht="12.75" customHeight="1" thickBot="1" x14ac:dyDescent="0.25">
      <c r="A727" s="60">
        <f t="shared" ref="A727:I727" si="406">SUM(A725:A726)</f>
        <v>439</v>
      </c>
      <c r="B727" s="60">
        <f t="shared" si="406"/>
        <v>0</v>
      </c>
      <c r="C727" s="60">
        <f t="shared" si="406"/>
        <v>439</v>
      </c>
      <c r="D727" s="60">
        <f t="shared" si="406"/>
        <v>9</v>
      </c>
      <c r="E727" s="60">
        <f t="shared" si="406"/>
        <v>0</v>
      </c>
      <c r="F727" s="60">
        <f t="shared" si="406"/>
        <v>9</v>
      </c>
      <c r="G727" s="60">
        <f t="shared" si="406"/>
        <v>430</v>
      </c>
      <c r="H727" s="60">
        <f t="shared" si="406"/>
        <v>0</v>
      </c>
      <c r="I727" s="60">
        <f t="shared" si="406"/>
        <v>430</v>
      </c>
      <c r="J727" s="65" t="s">
        <v>13</v>
      </c>
      <c r="K727" s="67"/>
      <c r="L727" s="55"/>
    </row>
    <row r="728" spans="1:13" ht="12.75" customHeight="1" thickBot="1" x14ac:dyDescent="0.25">
      <c r="A728" s="60">
        <f t="shared" ref="A728:H730" si="407">A710+A713+A716+A719+A722+A725</f>
        <v>3754</v>
      </c>
      <c r="B728" s="60">
        <f t="shared" si="407"/>
        <v>2446</v>
      </c>
      <c r="C728" s="60">
        <f t="shared" si="407"/>
        <v>1308</v>
      </c>
      <c r="D728" s="60">
        <f t="shared" si="407"/>
        <v>9</v>
      </c>
      <c r="E728" s="60">
        <f t="shared" si="407"/>
        <v>0</v>
      </c>
      <c r="F728" s="60">
        <f t="shared" si="407"/>
        <v>9</v>
      </c>
      <c r="G728" s="60">
        <f t="shared" si="407"/>
        <v>3745</v>
      </c>
      <c r="H728" s="60">
        <f t="shared" si="407"/>
        <v>2446</v>
      </c>
      <c r="I728" s="60">
        <f>I710+I713+I716+I719+I722+I725</f>
        <v>1299</v>
      </c>
      <c r="J728" s="65" t="s">
        <v>224</v>
      </c>
      <c r="K728" s="57"/>
      <c r="L728" s="55"/>
    </row>
    <row r="729" spans="1:13" ht="12.75" customHeight="1" thickBot="1" x14ac:dyDescent="0.25">
      <c r="A729" s="60">
        <f t="shared" si="407"/>
        <v>952</v>
      </c>
      <c r="B729" s="60">
        <f t="shared" si="407"/>
        <v>952</v>
      </c>
      <c r="C729" s="60">
        <f t="shared" si="407"/>
        <v>0</v>
      </c>
      <c r="D729" s="60">
        <f t="shared" si="407"/>
        <v>0</v>
      </c>
      <c r="E729" s="60">
        <f t="shared" si="407"/>
        <v>0</v>
      </c>
      <c r="F729" s="60">
        <f t="shared" si="407"/>
        <v>0</v>
      </c>
      <c r="G729" s="60">
        <f t="shared" si="407"/>
        <v>952</v>
      </c>
      <c r="H729" s="60">
        <f t="shared" si="407"/>
        <v>952</v>
      </c>
      <c r="I729" s="60">
        <f>I711+I714+I717+I720+I723+I726</f>
        <v>0</v>
      </c>
      <c r="J729" s="65" t="s">
        <v>225</v>
      </c>
      <c r="K729" s="68" t="s">
        <v>211</v>
      </c>
      <c r="L729" s="55"/>
    </row>
    <row r="730" spans="1:13" ht="12.75" customHeight="1" thickBot="1" x14ac:dyDescent="0.25">
      <c r="A730" s="60">
        <f t="shared" si="407"/>
        <v>4706</v>
      </c>
      <c r="B730" s="60">
        <f t="shared" si="407"/>
        <v>3398</v>
      </c>
      <c r="C730" s="60">
        <f t="shared" si="407"/>
        <v>1308</v>
      </c>
      <c r="D730" s="60">
        <f t="shared" si="407"/>
        <v>9</v>
      </c>
      <c r="E730" s="60">
        <f t="shared" si="407"/>
        <v>0</v>
      </c>
      <c r="F730" s="60">
        <f t="shared" si="407"/>
        <v>9</v>
      </c>
      <c r="G730" s="60">
        <f t="shared" si="407"/>
        <v>4697</v>
      </c>
      <c r="H730" s="60">
        <f t="shared" si="407"/>
        <v>3398</v>
      </c>
      <c r="I730" s="60">
        <f>I712+I715+I718+I721+I724+I727</f>
        <v>1299</v>
      </c>
      <c r="J730" s="65" t="s">
        <v>13</v>
      </c>
      <c r="K730" s="59"/>
      <c r="L730" s="55"/>
    </row>
    <row r="731" spans="1:13" ht="12.75" customHeight="1" x14ac:dyDescent="0.2">
      <c r="A731" s="177" t="s">
        <v>327</v>
      </c>
      <c r="B731" s="177"/>
      <c r="C731" s="177"/>
      <c r="D731" s="177"/>
      <c r="E731" s="177"/>
      <c r="F731" s="177"/>
      <c r="G731" s="177"/>
      <c r="H731" s="177"/>
      <c r="I731" s="177"/>
      <c r="J731" s="177"/>
      <c r="K731" s="177"/>
      <c r="L731" s="55"/>
    </row>
    <row r="732" spans="1:13" ht="12.75" customHeight="1" thickBot="1" x14ac:dyDescent="0.25">
      <c r="A732" s="178" t="s">
        <v>328</v>
      </c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55"/>
    </row>
    <row r="733" spans="1:13" ht="12.75" customHeight="1" thickBot="1" x14ac:dyDescent="0.25">
      <c r="A733" s="179" t="s">
        <v>5</v>
      </c>
      <c r="B733" s="179"/>
      <c r="C733" s="179"/>
      <c r="D733" s="179" t="s">
        <v>162</v>
      </c>
      <c r="E733" s="179"/>
      <c r="F733" s="179"/>
      <c r="G733" s="179" t="s">
        <v>163</v>
      </c>
      <c r="H733" s="179"/>
      <c r="I733" s="179"/>
      <c r="J733" s="179" t="s">
        <v>72</v>
      </c>
      <c r="K733" s="179"/>
      <c r="L733" s="55"/>
    </row>
    <row r="734" spans="1:13" ht="12.75" customHeight="1" thickBot="1" x14ac:dyDescent="0.25">
      <c r="A734" s="58" t="s">
        <v>216</v>
      </c>
      <c r="B734" s="58" t="s">
        <v>11</v>
      </c>
      <c r="C734" s="58" t="s">
        <v>10</v>
      </c>
      <c r="D734" s="58" t="s">
        <v>216</v>
      </c>
      <c r="E734" s="58" t="s">
        <v>11</v>
      </c>
      <c r="F734" s="58" t="s">
        <v>10</v>
      </c>
      <c r="G734" s="58" t="s">
        <v>216</v>
      </c>
      <c r="H734" s="58" t="s">
        <v>11</v>
      </c>
      <c r="I734" s="58" t="s">
        <v>10</v>
      </c>
      <c r="J734" s="180" t="s">
        <v>120</v>
      </c>
      <c r="K734" s="180"/>
      <c r="L734" s="55"/>
    </row>
    <row r="735" spans="1:13" ht="12.75" customHeight="1" thickBot="1" x14ac:dyDescent="0.25">
      <c r="A735" s="60">
        <f t="shared" ref="A735:C736" si="408">G735+D735</f>
        <v>1577</v>
      </c>
      <c r="B735" s="60">
        <f t="shared" si="408"/>
        <v>470</v>
      </c>
      <c r="C735" s="60">
        <f t="shared" si="408"/>
        <v>1107</v>
      </c>
      <c r="D735" s="60">
        <f>F735+E735</f>
        <v>0</v>
      </c>
      <c r="E735" s="60">
        <v>0</v>
      </c>
      <c r="F735" s="60">
        <v>0</v>
      </c>
      <c r="G735" s="60">
        <f>I735+H735</f>
        <v>1577</v>
      </c>
      <c r="H735" s="60">
        <v>470</v>
      </c>
      <c r="I735" s="60">
        <f>1028+156-77</f>
        <v>1107</v>
      </c>
      <c r="J735" s="65" t="s">
        <v>221</v>
      </c>
      <c r="K735" s="66"/>
      <c r="L735" s="55"/>
    </row>
    <row r="736" spans="1:13" ht="12.75" customHeight="1" thickBot="1" x14ac:dyDescent="0.25">
      <c r="A736" s="60">
        <f t="shared" si="408"/>
        <v>0</v>
      </c>
      <c r="B736" s="60">
        <f t="shared" si="408"/>
        <v>0</v>
      </c>
      <c r="C736" s="60">
        <f t="shared" si="408"/>
        <v>0</v>
      </c>
      <c r="D736" s="60">
        <f>F736+E736</f>
        <v>0</v>
      </c>
      <c r="E736" s="60">
        <v>0</v>
      </c>
      <c r="F736" s="60">
        <v>0</v>
      </c>
      <c r="G736" s="60">
        <f>I736+H736</f>
        <v>0</v>
      </c>
      <c r="H736" s="60">
        <v>0</v>
      </c>
      <c r="I736" s="60">
        <v>0</v>
      </c>
      <c r="J736" s="65" t="s">
        <v>222</v>
      </c>
      <c r="K736" s="66" t="s">
        <v>359</v>
      </c>
      <c r="L736" s="55"/>
    </row>
    <row r="737" spans="1:12" ht="12.75" customHeight="1" thickBot="1" x14ac:dyDescent="0.25">
      <c r="A737" s="60">
        <f t="shared" ref="A737:I737" si="409">SUM(A735:A736)</f>
        <v>1577</v>
      </c>
      <c r="B737" s="60">
        <f t="shared" si="409"/>
        <v>470</v>
      </c>
      <c r="C737" s="60">
        <f t="shared" si="409"/>
        <v>1107</v>
      </c>
      <c r="D737" s="60">
        <f t="shared" si="409"/>
        <v>0</v>
      </c>
      <c r="E737" s="60">
        <f t="shared" si="409"/>
        <v>0</v>
      </c>
      <c r="F737" s="60">
        <f t="shared" si="409"/>
        <v>0</v>
      </c>
      <c r="G737" s="60">
        <f t="shared" si="409"/>
        <v>1577</v>
      </c>
      <c r="H737" s="60">
        <f t="shared" si="409"/>
        <v>470</v>
      </c>
      <c r="I737" s="60">
        <f t="shared" si="409"/>
        <v>1107</v>
      </c>
      <c r="J737" s="65" t="s">
        <v>13</v>
      </c>
      <c r="K737" s="67"/>
      <c r="L737" s="55"/>
    </row>
    <row r="738" spans="1:12" ht="12.75" customHeight="1" thickBot="1" x14ac:dyDescent="0.25">
      <c r="A738" s="60">
        <f t="shared" ref="A738:C739" si="410">G738+D738</f>
        <v>185</v>
      </c>
      <c r="B738" s="60">
        <f t="shared" si="410"/>
        <v>80</v>
      </c>
      <c r="C738" s="60">
        <f t="shared" si="410"/>
        <v>105</v>
      </c>
      <c r="D738" s="60">
        <f>F738+E738</f>
        <v>0</v>
      </c>
      <c r="E738" s="60">
        <v>0</v>
      </c>
      <c r="F738" s="60">
        <v>0</v>
      </c>
      <c r="G738" s="60">
        <f>I738+H738</f>
        <v>185</v>
      </c>
      <c r="H738" s="60">
        <v>80</v>
      </c>
      <c r="I738" s="60">
        <v>105</v>
      </c>
      <c r="J738" s="65" t="s">
        <v>221</v>
      </c>
      <c r="K738" s="66"/>
      <c r="L738" s="55"/>
    </row>
    <row r="739" spans="1:12" ht="12.75" customHeight="1" thickBot="1" x14ac:dyDescent="0.25">
      <c r="A739" s="60">
        <f t="shared" si="410"/>
        <v>0</v>
      </c>
      <c r="B739" s="60">
        <f t="shared" si="410"/>
        <v>0</v>
      </c>
      <c r="C739" s="60">
        <f t="shared" si="410"/>
        <v>0</v>
      </c>
      <c r="D739" s="60">
        <f>F739+E739</f>
        <v>0</v>
      </c>
      <c r="E739" s="60">
        <v>0</v>
      </c>
      <c r="F739" s="60">
        <v>0</v>
      </c>
      <c r="G739" s="60">
        <f>I739+H739</f>
        <v>0</v>
      </c>
      <c r="H739" s="60">
        <v>0</v>
      </c>
      <c r="I739" s="60">
        <v>0</v>
      </c>
      <c r="J739" s="65" t="s">
        <v>222</v>
      </c>
      <c r="K739" s="66" t="s">
        <v>264</v>
      </c>
      <c r="L739" s="55"/>
    </row>
    <row r="740" spans="1:12" ht="12.75" customHeight="1" thickBot="1" x14ac:dyDescent="0.25">
      <c r="A740" s="60">
        <f t="shared" ref="A740:I740" si="411">SUM(A738:A739)</f>
        <v>185</v>
      </c>
      <c r="B740" s="60">
        <f t="shared" si="411"/>
        <v>80</v>
      </c>
      <c r="C740" s="60">
        <f t="shared" si="411"/>
        <v>105</v>
      </c>
      <c r="D740" s="60">
        <f t="shared" si="411"/>
        <v>0</v>
      </c>
      <c r="E740" s="60">
        <f t="shared" si="411"/>
        <v>0</v>
      </c>
      <c r="F740" s="60">
        <f t="shared" si="411"/>
        <v>0</v>
      </c>
      <c r="G740" s="60">
        <f t="shared" si="411"/>
        <v>185</v>
      </c>
      <c r="H740" s="60">
        <f t="shared" si="411"/>
        <v>80</v>
      </c>
      <c r="I740" s="60">
        <f t="shared" si="411"/>
        <v>105</v>
      </c>
      <c r="J740" s="65" t="s">
        <v>13</v>
      </c>
      <c r="K740" s="67"/>
      <c r="L740" s="55"/>
    </row>
    <row r="741" spans="1:12" ht="12.75" customHeight="1" thickBot="1" x14ac:dyDescent="0.25">
      <c r="A741" s="60">
        <f t="shared" ref="A741:C742" si="412">G741+D741</f>
        <v>125</v>
      </c>
      <c r="B741" s="60">
        <f t="shared" si="412"/>
        <v>0</v>
      </c>
      <c r="C741" s="60">
        <f t="shared" si="412"/>
        <v>125</v>
      </c>
      <c r="D741" s="60">
        <f>F741+E741</f>
        <v>0</v>
      </c>
      <c r="E741" s="60">
        <v>0</v>
      </c>
      <c r="F741" s="60">
        <v>0</v>
      </c>
      <c r="G741" s="60">
        <f>I741+H741</f>
        <v>125</v>
      </c>
      <c r="H741" s="60">
        <v>0</v>
      </c>
      <c r="I741" s="60">
        <v>125</v>
      </c>
      <c r="J741" s="65" t="s">
        <v>221</v>
      </c>
      <c r="K741" s="66"/>
      <c r="L741" s="55"/>
    </row>
    <row r="742" spans="1:12" ht="12.75" customHeight="1" thickBot="1" x14ac:dyDescent="0.25">
      <c r="A742" s="60">
        <f t="shared" si="412"/>
        <v>0</v>
      </c>
      <c r="B742" s="60">
        <f t="shared" si="412"/>
        <v>0</v>
      </c>
      <c r="C742" s="60">
        <f t="shared" si="412"/>
        <v>0</v>
      </c>
      <c r="D742" s="60">
        <f>F742+E742</f>
        <v>0</v>
      </c>
      <c r="E742" s="60">
        <v>0</v>
      </c>
      <c r="F742" s="60">
        <v>0</v>
      </c>
      <c r="G742" s="60">
        <f>I742+H742</f>
        <v>0</v>
      </c>
      <c r="H742" s="60">
        <v>0</v>
      </c>
      <c r="I742" s="60">
        <v>0</v>
      </c>
      <c r="J742" s="65" t="s">
        <v>222</v>
      </c>
      <c r="K742" s="66" t="s">
        <v>377</v>
      </c>
      <c r="L742" s="55"/>
    </row>
    <row r="743" spans="1:12" ht="12.75" customHeight="1" thickBot="1" x14ac:dyDescent="0.25">
      <c r="A743" s="60">
        <f t="shared" ref="A743:I743" si="413">SUM(A741:A742)</f>
        <v>125</v>
      </c>
      <c r="B743" s="60">
        <f t="shared" si="413"/>
        <v>0</v>
      </c>
      <c r="C743" s="60">
        <f t="shared" si="413"/>
        <v>125</v>
      </c>
      <c r="D743" s="60">
        <f t="shared" si="413"/>
        <v>0</v>
      </c>
      <c r="E743" s="60">
        <f t="shared" si="413"/>
        <v>0</v>
      </c>
      <c r="F743" s="60">
        <f t="shared" si="413"/>
        <v>0</v>
      </c>
      <c r="G743" s="60">
        <f t="shared" si="413"/>
        <v>125</v>
      </c>
      <c r="H743" s="60">
        <f t="shared" si="413"/>
        <v>0</v>
      </c>
      <c r="I743" s="60">
        <f t="shared" si="413"/>
        <v>125</v>
      </c>
      <c r="J743" s="65" t="s">
        <v>13</v>
      </c>
      <c r="K743" s="67"/>
      <c r="L743" s="55"/>
    </row>
    <row r="744" spans="1:12" ht="12.75" customHeight="1" thickBot="1" x14ac:dyDescent="0.25">
      <c r="A744" s="60">
        <f t="shared" ref="A744:C745" si="414">G744+D744</f>
        <v>251</v>
      </c>
      <c r="B744" s="60">
        <f t="shared" si="414"/>
        <v>0</v>
      </c>
      <c r="C744" s="60">
        <f t="shared" si="414"/>
        <v>251</v>
      </c>
      <c r="D744" s="60">
        <f>F744+E744</f>
        <v>0</v>
      </c>
      <c r="E744" s="60">
        <v>0</v>
      </c>
      <c r="F744" s="60">
        <v>0</v>
      </c>
      <c r="G744" s="60">
        <f>I744+H744</f>
        <v>251</v>
      </c>
      <c r="H744" s="60">
        <v>0</v>
      </c>
      <c r="I744" s="60">
        <v>251</v>
      </c>
      <c r="J744" s="65" t="s">
        <v>221</v>
      </c>
      <c r="K744" s="66"/>
      <c r="L744" s="55"/>
    </row>
    <row r="745" spans="1:12" ht="12.75" customHeight="1" thickBot="1" x14ac:dyDescent="0.25">
      <c r="A745" s="60">
        <f t="shared" si="414"/>
        <v>0</v>
      </c>
      <c r="B745" s="60">
        <f t="shared" si="414"/>
        <v>0</v>
      </c>
      <c r="C745" s="60">
        <f t="shared" si="414"/>
        <v>0</v>
      </c>
      <c r="D745" s="60">
        <f>F745+E745</f>
        <v>0</v>
      </c>
      <c r="E745" s="60">
        <v>0</v>
      </c>
      <c r="F745" s="60">
        <v>0</v>
      </c>
      <c r="G745" s="60">
        <f>I745+H745</f>
        <v>0</v>
      </c>
      <c r="H745" s="60">
        <v>0</v>
      </c>
      <c r="I745" s="60">
        <v>0</v>
      </c>
      <c r="J745" s="65" t="s">
        <v>222</v>
      </c>
      <c r="K745" s="66" t="s">
        <v>119</v>
      </c>
      <c r="L745" s="55"/>
    </row>
    <row r="746" spans="1:12" ht="12.75" customHeight="1" thickBot="1" x14ac:dyDescent="0.25">
      <c r="A746" s="60">
        <f t="shared" ref="A746:I746" si="415">SUM(A744:A745)</f>
        <v>251</v>
      </c>
      <c r="B746" s="60">
        <f t="shared" si="415"/>
        <v>0</v>
      </c>
      <c r="C746" s="60">
        <f t="shared" si="415"/>
        <v>251</v>
      </c>
      <c r="D746" s="60">
        <f t="shared" si="415"/>
        <v>0</v>
      </c>
      <c r="E746" s="60">
        <f t="shared" si="415"/>
        <v>0</v>
      </c>
      <c r="F746" s="60">
        <f t="shared" si="415"/>
        <v>0</v>
      </c>
      <c r="G746" s="60">
        <f t="shared" si="415"/>
        <v>251</v>
      </c>
      <c r="H746" s="60">
        <f t="shared" si="415"/>
        <v>0</v>
      </c>
      <c r="I746" s="60">
        <f t="shared" si="415"/>
        <v>251</v>
      </c>
      <c r="J746" s="65" t="s">
        <v>13</v>
      </c>
      <c r="K746" s="67"/>
      <c r="L746" s="55"/>
    </row>
    <row r="747" spans="1:12" ht="12.75" customHeight="1" thickBot="1" x14ac:dyDescent="0.25">
      <c r="A747" s="60">
        <f t="shared" ref="A747:C748" si="416">G747+D747</f>
        <v>245</v>
      </c>
      <c r="B747" s="60">
        <f t="shared" si="416"/>
        <v>245</v>
      </c>
      <c r="C747" s="60">
        <f t="shared" si="416"/>
        <v>0</v>
      </c>
      <c r="D747" s="60">
        <f>F747+E747</f>
        <v>0</v>
      </c>
      <c r="E747" s="60">
        <v>0</v>
      </c>
      <c r="F747" s="60">
        <v>0</v>
      </c>
      <c r="G747" s="60">
        <f>I747+H747</f>
        <v>245</v>
      </c>
      <c r="H747" s="60">
        <v>245</v>
      </c>
      <c r="I747" s="60">
        <v>0</v>
      </c>
      <c r="J747" s="65" t="s">
        <v>221</v>
      </c>
      <c r="K747" s="66"/>
      <c r="L747" s="55"/>
    </row>
    <row r="748" spans="1:12" ht="12.75" customHeight="1" thickBot="1" x14ac:dyDescent="0.25">
      <c r="A748" s="60">
        <f t="shared" si="416"/>
        <v>190</v>
      </c>
      <c r="B748" s="60">
        <f t="shared" si="416"/>
        <v>190</v>
      </c>
      <c r="C748" s="60">
        <f t="shared" si="416"/>
        <v>0</v>
      </c>
      <c r="D748" s="60">
        <f>F748+E748</f>
        <v>0</v>
      </c>
      <c r="E748" s="60">
        <v>0</v>
      </c>
      <c r="F748" s="60">
        <v>0</v>
      </c>
      <c r="G748" s="60">
        <f>I748+H748</f>
        <v>190</v>
      </c>
      <c r="H748" s="60">
        <v>190</v>
      </c>
      <c r="I748" s="60">
        <v>0</v>
      </c>
      <c r="J748" s="65" t="s">
        <v>222</v>
      </c>
      <c r="K748" s="66" t="s">
        <v>487</v>
      </c>
      <c r="L748" s="55"/>
    </row>
    <row r="749" spans="1:12" ht="12.75" customHeight="1" thickBot="1" x14ac:dyDescent="0.25">
      <c r="A749" s="60">
        <f t="shared" ref="A749:I749" si="417">SUM(A747:A748)</f>
        <v>435</v>
      </c>
      <c r="B749" s="60">
        <f t="shared" si="417"/>
        <v>435</v>
      </c>
      <c r="C749" s="60">
        <f t="shared" si="417"/>
        <v>0</v>
      </c>
      <c r="D749" s="60">
        <f t="shared" si="417"/>
        <v>0</v>
      </c>
      <c r="E749" s="60">
        <f t="shared" si="417"/>
        <v>0</v>
      </c>
      <c r="F749" s="60">
        <f t="shared" si="417"/>
        <v>0</v>
      </c>
      <c r="G749" s="60">
        <f t="shared" si="417"/>
        <v>435</v>
      </c>
      <c r="H749" s="60">
        <f t="shared" si="417"/>
        <v>435</v>
      </c>
      <c r="I749" s="60">
        <f t="shared" si="417"/>
        <v>0</v>
      </c>
      <c r="J749" s="65" t="s">
        <v>13</v>
      </c>
      <c r="K749" s="67"/>
      <c r="L749" s="55"/>
    </row>
    <row r="750" spans="1:12" ht="12.75" customHeight="1" thickBot="1" x14ac:dyDescent="0.25">
      <c r="A750" s="60">
        <f t="shared" ref="A750:C751" si="418">G750+D750</f>
        <v>913</v>
      </c>
      <c r="B750" s="60">
        <f t="shared" si="418"/>
        <v>913</v>
      </c>
      <c r="C750" s="60">
        <f t="shared" si="418"/>
        <v>0</v>
      </c>
      <c r="D750" s="60">
        <f>F750+E750</f>
        <v>0</v>
      </c>
      <c r="E750" s="60">
        <v>0</v>
      </c>
      <c r="F750" s="60">
        <v>0</v>
      </c>
      <c r="G750" s="60">
        <f>I750+H750</f>
        <v>913</v>
      </c>
      <c r="H750" s="60">
        <v>913</v>
      </c>
      <c r="I750" s="60">
        <v>0</v>
      </c>
      <c r="J750" s="65" t="s">
        <v>221</v>
      </c>
      <c r="K750" s="66"/>
      <c r="L750" s="55"/>
    </row>
    <row r="751" spans="1:12" ht="12.75" customHeight="1" thickBot="1" x14ac:dyDescent="0.25">
      <c r="A751" s="60">
        <f t="shared" si="418"/>
        <v>145</v>
      </c>
      <c r="B751" s="60">
        <f t="shared" si="418"/>
        <v>145</v>
      </c>
      <c r="C751" s="60">
        <f t="shared" si="418"/>
        <v>0</v>
      </c>
      <c r="D751" s="60">
        <f>F751+E751</f>
        <v>0</v>
      </c>
      <c r="E751" s="60">
        <v>0</v>
      </c>
      <c r="F751" s="60">
        <v>0</v>
      </c>
      <c r="G751" s="60">
        <f>I751+H751</f>
        <v>145</v>
      </c>
      <c r="H751" s="60">
        <v>145</v>
      </c>
      <c r="I751" s="60">
        <v>0</v>
      </c>
      <c r="J751" s="65" t="s">
        <v>222</v>
      </c>
      <c r="K751" s="66" t="s">
        <v>488</v>
      </c>
      <c r="L751" s="55"/>
    </row>
    <row r="752" spans="1:12" ht="12.75" customHeight="1" thickBot="1" x14ac:dyDescent="0.25">
      <c r="A752" s="60">
        <f t="shared" ref="A752:I752" si="419">SUM(A750:A751)</f>
        <v>1058</v>
      </c>
      <c r="B752" s="60">
        <f t="shared" si="419"/>
        <v>1058</v>
      </c>
      <c r="C752" s="60">
        <f t="shared" si="419"/>
        <v>0</v>
      </c>
      <c r="D752" s="60">
        <f t="shared" si="419"/>
        <v>0</v>
      </c>
      <c r="E752" s="60">
        <f t="shared" si="419"/>
        <v>0</v>
      </c>
      <c r="F752" s="60">
        <f t="shared" si="419"/>
        <v>0</v>
      </c>
      <c r="G752" s="60">
        <f t="shared" si="419"/>
        <v>1058</v>
      </c>
      <c r="H752" s="60">
        <f t="shared" si="419"/>
        <v>1058</v>
      </c>
      <c r="I752" s="60">
        <f t="shared" si="419"/>
        <v>0</v>
      </c>
      <c r="J752" s="65" t="s">
        <v>13</v>
      </c>
      <c r="K752" s="67"/>
      <c r="L752" s="55"/>
    </row>
    <row r="753" spans="1:12" ht="12.75" customHeight="1" thickBot="1" x14ac:dyDescent="0.25">
      <c r="A753" s="60">
        <f t="shared" ref="A753:C754" si="420">G753+D753</f>
        <v>790</v>
      </c>
      <c r="B753" s="60">
        <f t="shared" si="420"/>
        <v>0</v>
      </c>
      <c r="C753" s="60">
        <f t="shared" si="420"/>
        <v>790</v>
      </c>
      <c r="D753" s="60">
        <f>F753+E753</f>
        <v>0</v>
      </c>
      <c r="E753" s="60">
        <v>0</v>
      </c>
      <c r="F753" s="60">
        <v>0</v>
      </c>
      <c r="G753" s="60">
        <f>I753+H753</f>
        <v>790</v>
      </c>
      <c r="H753" s="60">
        <v>0</v>
      </c>
      <c r="I753" s="60">
        <f>550+240</f>
        <v>790</v>
      </c>
      <c r="J753" s="65" t="s">
        <v>221</v>
      </c>
      <c r="K753" s="66"/>
      <c r="L753" s="55"/>
    </row>
    <row r="754" spans="1:12" ht="12.75" customHeight="1" thickBot="1" x14ac:dyDescent="0.25">
      <c r="A754" s="60">
        <f t="shared" si="420"/>
        <v>0</v>
      </c>
      <c r="B754" s="60">
        <f t="shared" si="420"/>
        <v>0</v>
      </c>
      <c r="C754" s="60">
        <f t="shared" si="420"/>
        <v>0</v>
      </c>
      <c r="D754" s="60">
        <f>F754+E754</f>
        <v>0</v>
      </c>
      <c r="E754" s="60">
        <v>0</v>
      </c>
      <c r="F754" s="60">
        <v>0</v>
      </c>
      <c r="G754" s="60">
        <f>I754+H754</f>
        <v>0</v>
      </c>
      <c r="H754" s="60">
        <v>0</v>
      </c>
      <c r="I754" s="60">
        <v>0</v>
      </c>
      <c r="J754" s="65" t="s">
        <v>222</v>
      </c>
      <c r="K754" s="66" t="s">
        <v>270</v>
      </c>
      <c r="L754" s="55"/>
    </row>
    <row r="755" spans="1:12" ht="12.75" customHeight="1" thickBot="1" x14ac:dyDescent="0.25">
      <c r="A755" s="60">
        <f t="shared" ref="A755:I755" si="421">SUM(A753:A754)</f>
        <v>790</v>
      </c>
      <c r="B755" s="60">
        <f t="shared" si="421"/>
        <v>0</v>
      </c>
      <c r="C755" s="60">
        <f t="shared" si="421"/>
        <v>790</v>
      </c>
      <c r="D755" s="60">
        <f t="shared" si="421"/>
        <v>0</v>
      </c>
      <c r="E755" s="60">
        <f t="shared" si="421"/>
        <v>0</v>
      </c>
      <c r="F755" s="60">
        <f t="shared" si="421"/>
        <v>0</v>
      </c>
      <c r="G755" s="60">
        <f t="shared" si="421"/>
        <v>790</v>
      </c>
      <c r="H755" s="60">
        <f t="shared" si="421"/>
        <v>0</v>
      </c>
      <c r="I755" s="60">
        <f t="shared" si="421"/>
        <v>790</v>
      </c>
      <c r="J755" s="65" t="s">
        <v>13</v>
      </c>
      <c r="K755" s="67"/>
      <c r="L755" s="55"/>
    </row>
    <row r="756" spans="1:12" ht="12.75" customHeight="1" thickBot="1" x14ac:dyDescent="0.25">
      <c r="A756" s="60">
        <f t="shared" ref="A756:C757" si="422">G756+D756</f>
        <v>866</v>
      </c>
      <c r="B756" s="60">
        <f t="shared" si="422"/>
        <v>866</v>
      </c>
      <c r="C756" s="60">
        <f t="shared" si="422"/>
        <v>0</v>
      </c>
      <c r="D756" s="60">
        <f>F756+E756</f>
        <v>0</v>
      </c>
      <c r="E756" s="60">
        <v>0</v>
      </c>
      <c r="F756" s="60">
        <v>0</v>
      </c>
      <c r="G756" s="60">
        <f>I756+H756</f>
        <v>866</v>
      </c>
      <c r="H756" s="60">
        <v>866</v>
      </c>
      <c r="I756" s="60">
        <v>0</v>
      </c>
      <c r="J756" s="65" t="s">
        <v>221</v>
      </c>
      <c r="K756" s="66"/>
      <c r="L756" s="55"/>
    </row>
    <row r="757" spans="1:12" ht="12.75" customHeight="1" thickBot="1" x14ac:dyDescent="0.25">
      <c r="A757" s="60">
        <f t="shared" si="422"/>
        <v>0</v>
      </c>
      <c r="B757" s="60">
        <f t="shared" si="422"/>
        <v>0</v>
      </c>
      <c r="C757" s="60">
        <f t="shared" si="422"/>
        <v>0</v>
      </c>
      <c r="D757" s="60">
        <f>F757+E757</f>
        <v>0</v>
      </c>
      <c r="E757" s="60">
        <v>0</v>
      </c>
      <c r="F757" s="60">
        <v>0</v>
      </c>
      <c r="G757" s="60">
        <f>I757+H757</f>
        <v>0</v>
      </c>
      <c r="H757" s="60">
        <v>0</v>
      </c>
      <c r="I757" s="60">
        <v>0</v>
      </c>
      <c r="J757" s="65" t="s">
        <v>222</v>
      </c>
      <c r="K757" s="66" t="s">
        <v>489</v>
      </c>
      <c r="L757" s="55"/>
    </row>
    <row r="758" spans="1:12" ht="12.75" customHeight="1" thickBot="1" x14ac:dyDescent="0.25">
      <c r="A758" s="60">
        <f t="shared" ref="A758:I758" si="423">SUM(A756:A757)</f>
        <v>866</v>
      </c>
      <c r="B758" s="60">
        <f t="shared" si="423"/>
        <v>866</v>
      </c>
      <c r="C758" s="60">
        <f t="shared" si="423"/>
        <v>0</v>
      </c>
      <c r="D758" s="60">
        <f t="shared" si="423"/>
        <v>0</v>
      </c>
      <c r="E758" s="60">
        <f t="shared" si="423"/>
        <v>0</v>
      </c>
      <c r="F758" s="60">
        <f t="shared" si="423"/>
        <v>0</v>
      </c>
      <c r="G758" s="60">
        <f t="shared" si="423"/>
        <v>866</v>
      </c>
      <c r="H758" s="60">
        <f t="shared" si="423"/>
        <v>866</v>
      </c>
      <c r="I758" s="60">
        <f t="shared" si="423"/>
        <v>0</v>
      </c>
      <c r="J758" s="65" t="s">
        <v>13</v>
      </c>
      <c r="K758" s="67"/>
      <c r="L758" s="55"/>
    </row>
    <row r="759" spans="1:12" ht="12.75" customHeight="1" thickBot="1" x14ac:dyDescent="0.25">
      <c r="A759" s="60">
        <f t="shared" ref="A759:C760" si="424">G759+D759</f>
        <v>45</v>
      </c>
      <c r="B759" s="60">
        <f t="shared" si="424"/>
        <v>0</v>
      </c>
      <c r="C759" s="60">
        <f t="shared" si="424"/>
        <v>45</v>
      </c>
      <c r="D759" s="60">
        <f>F759+E759</f>
        <v>0</v>
      </c>
      <c r="E759" s="60">
        <v>0</v>
      </c>
      <c r="F759" s="60">
        <v>0</v>
      </c>
      <c r="G759" s="60">
        <f>I759+H759</f>
        <v>45</v>
      </c>
      <c r="H759" s="60">
        <v>0</v>
      </c>
      <c r="I759" s="60">
        <v>45</v>
      </c>
      <c r="J759" s="65" t="s">
        <v>221</v>
      </c>
      <c r="K759" s="66"/>
      <c r="L759" s="55"/>
    </row>
    <row r="760" spans="1:12" ht="12.75" customHeight="1" thickBot="1" x14ac:dyDescent="0.25">
      <c r="A760" s="60">
        <f t="shared" si="424"/>
        <v>0</v>
      </c>
      <c r="B760" s="60">
        <f t="shared" si="424"/>
        <v>0</v>
      </c>
      <c r="C760" s="60">
        <f t="shared" si="424"/>
        <v>0</v>
      </c>
      <c r="D760" s="60">
        <f>F760+E760</f>
        <v>0</v>
      </c>
      <c r="E760" s="60">
        <v>0</v>
      </c>
      <c r="F760" s="60">
        <v>0</v>
      </c>
      <c r="G760" s="60">
        <f>I760+H760</f>
        <v>0</v>
      </c>
      <c r="H760" s="60">
        <v>0</v>
      </c>
      <c r="I760" s="60">
        <v>0</v>
      </c>
      <c r="J760" s="65" t="s">
        <v>222</v>
      </c>
      <c r="K760" s="66" t="s">
        <v>490</v>
      </c>
      <c r="L760" s="55"/>
    </row>
    <row r="761" spans="1:12" ht="12.75" customHeight="1" thickBot="1" x14ac:dyDescent="0.25">
      <c r="A761" s="60">
        <f t="shared" ref="A761:I761" si="425">SUM(A759:A760)</f>
        <v>45</v>
      </c>
      <c r="B761" s="60">
        <f t="shared" si="425"/>
        <v>0</v>
      </c>
      <c r="C761" s="60">
        <f t="shared" si="425"/>
        <v>45</v>
      </c>
      <c r="D761" s="60">
        <f t="shared" si="425"/>
        <v>0</v>
      </c>
      <c r="E761" s="60">
        <f t="shared" si="425"/>
        <v>0</v>
      </c>
      <c r="F761" s="60">
        <f t="shared" si="425"/>
        <v>0</v>
      </c>
      <c r="G761" s="60">
        <f t="shared" si="425"/>
        <v>45</v>
      </c>
      <c r="H761" s="60">
        <f t="shared" si="425"/>
        <v>0</v>
      </c>
      <c r="I761" s="60">
        <f t="shared" si="425"/>
        <v>45</v>
      </c>
      <c r="J761" s="65" t="s">
        <v>13</v>
      </c>
      <c r="K761" s="67"/>
      <c r="L761" s="55"/>
    </row>
    <row r="762" spans="1:12" ht="12.75" customHeight="1" thickBot="1" x14ac:dyDescent="0.25">
      <c r="A762" s="60">
        <f t="shared" ref="A762:H764" si="426">A735+A738+A741+A744+A747+A750+A753+A756+A759</f>
        <v>4997</v>
      </c>
      <c r="B762" s="60">
        <f t="shared" si="426"/>
        <v>2574</v>
      </c>
      <c r="C762" s="60">
        <f t="shared" si="426"/>
        <v>2423</v>
      </c>
      <c r="D762" s="60">
        <f t="shared" si="426"/>
        <v>0</v>
      </c>
      <c r="E762" s="60">
        <f t="shared" si="426"/>
        <v>0</v>
      </c>
      <c r="F762" s="60">
        <f t="shared" si="426"/>
        <v>0</v>
      </c>
      <c r="G762" s="60">
        <f t="shared" si="426"/>
        <v>4997</v>
      </c>
      <c r="H762" s="60">
        <f t="shared" si="426"/>
        <v>2574</v>
      </c>
      <c r="I762" s="60">
        <f>I735+I738+I741+I744+I747+I750+I753+I756+I759</f>
        <v>2423</v>
      </c>
      <c r="J762" s="65" t="s">
        <v>224</v>
      </c>
      <c r="K762" s="57"/>
      <c r="L762" s="55"/>
    </row>
    <row r="763" spans="1:12" ht="12.75" customHeight="1" thickBot="1" x14ac:dyDescent="0.25">
      <c r="A763" s="60">
        <f t="shared" si="426"/>
        <v>335</v>
      </c>
      <c r="B763" s="60">
        <f t="shared" si="426"/>
        <v>335</v>
      </c>
      <c r="C763" s="60">
        <f t="shared" si="426"/>
        <v>0</v>
      </c>
      <c r="D763" s="60">
        <f t="shared" si="426"/>
        <v>0</v>
      </c>
      <c r="E763" s="60">
        <f t="shared" si="426"/>
        <v>0</v>
      </c>
      <c r="F763" s="60">
        <f t="shared" si="426"/>
        <v>0</v>
      </c>
      <c r="G763" s="60">
        <f t="shared" si="426"/>
        <v>335</v>
      </c>
      <c r="H763" s="60">
        <f t="shared" si="426"/>
        <v>335</v>
      </c>
      <c r="I763" s="60">
        <f>I736+I739+I742+I745+I748+I751+I754+I757+I760</f>
        <v>0</v>
      </c>
      <c r="J763" s="65" t="s">
        <v>225</v>
      </c>
      <c r="K763" s="68" t="s">
        <v>211</v>
      </c>
      <c r="L763" s="55"/>
    </row>
    <row r="764" spans="1:12" ht="12.75" customHeight="1" thickBot="1" x14ac:dyDescent="0.25">
      <c r="A764" s="60">
        <f t="shared" si="426"/>
        <v>5332</v>
      </c>
      <c r="B764" s="60">
        <f t="shared" si="426"/>
        <v>2909</v>
      </c>
      <c r="C764" s="60">
        <f t="shared" si="426"/>
        <v>2423</v>
      </c>
      <c r="D764" s="60">
        <f t="shared" si="426"/>
        <v>0</v>
      </c>
      <c r="E764" s="60">
        <f t="shared" si="426"/>
        <v>0</v>
      </c>
      <c r="F764" s="60">
        <f t="shared" si="426"/>
        <v>0</v>
      </c>
      <c r="G764" s="60">
        <f t="shared" si="426"/>
        <v>5332</v>
      </c>
      <c r="H764" s="60">
        <f t="shared" si="426"/>
        <v>2909</v>
      </c>
      <c r="I764" s="60">
        <f>I737+I740+I743+I746+I749+I752+I755+I758+I761</f>
        <v>2423</v>
      </c>
      <c r="J764" s="65" t="s">
        <v>13</v>
      </c>
      <c r="K764" s="59"/>
      <c r="L764" s="55"/>
    </row>
    <row r="765" spans="1:12" ht="12.75" customHeight="1" x14ac:dyDescent="0.2">
      <c r="A765" s="177" t="s">
        <v>327</v>
      </c>
      <c r="B765" s="177"/>
      <c r="C765" s="177"/>
      <c r="D765" s="177"/>
      <c r="E765" s="177"/>
      <c r="F765" s="177"/>
      <c r="G765" s="177"/>
      <c r="H765" s="177"/>
      <c r="I765" s="177"/>
      <c r="J765" s="177"/>
      <c r="K765" s="177"/>
      <c r="L765" s="55"/>
    </row>
    <row r="766" spans="1:12" ht="12.75" customHeight="1" thickBot="1" x14ac:dyDescent="0.25">
      <c r="A766" s="178" t="s">
        <v>328</v>
      </c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55"/>
    </row>
    <row r="767" spans="1:12" ht="12.75" customHeight="1" thickBot="1" x14ac:dyDescent="0.25">
      <c r="A767" s="179" t="s">
        <v>5</v>
      </c>
      <c r="B767" s="179"/>
      <c r="C767" s="179"/>
      <c r="D767" s="179" t="s">
        <v>162</v>
      </c>
      <c r="E767" s="179"/>
      <c r="F767" s="179"/>
      <c r="G767" s="179" t="s">
        <v>163</v>
      </c>
      <c r="H767" s="179"/>
      <c r="I767" s="179"/>
      <c r="J767" s="179" t="s">
        <v>72</v>
      </c>
      <c r="K767" s="179"/>
      <c r="L767" s="55"/>
    </row>
    <row r="768" spans="1:12" ht="12.75" customHeight="1" thickBot="1" x14ac:dyDescent="0.25">
      <c r="A768" s="58" t="s">
        <v>216</v>
      </c>
      <c r="B768" s="58" t="s">
        <v>11</v>
      </c>
      <c r="C768" s="58" t="s">
        <v>10</v>
      </c>
      <c r="D768" s="58" t="s">
        <v>216</v>
      </c>
      <c r="E768" s="58" t="s">
        <v>11</v>
      </c>
      <c r="F768" s="58" t="s">
        <v>10</v>
      </c>
      <c r="G768" s="58" t="s">
        <v>216</v>
      </c>
      <c r="H768" s="58" t="s">
        <v>11</v>
      </c>
      <c r="I768" s="58" t="s">
        <v>10</v>
      </c>
      <c r="J768" s="180" t="s">
        <v>124</v>
      </c>
      <c r="K768" s="180"/>
      <c r="L768" s="55"/>
    </row>
    <row r="769" spans="1:13" ht="12.75" customHeight="1" thickBot="1" x14ac:dyDescent="0.25">
      <c r="A769" s="60">
        <f t="shared" ref="A769:C770" si="427">G769+D769</f>
        <v>507</v>
      </c>
      <c r="B769" s="60">
        <f t="shared" si="427"/>
        <v>0</v>
      </c>
      <c r="C769" s="60">
        <f t="shared" si="427"/>
        <v>507</v>
      </c>
      <c r="D769" s="60">
        <f>F769+E769</f>
        <v>0</v>
      </c>
      <c r="E769" s="60">
        <v>0</v>
      </c>
      <c r="F769" s="60">
        <v>0</v>
      </c>
      <c r="G769" s="60">
        <f>I769+H769</f>
        <v>507</v>
      </c>
      <c r="H769" s="60">
        <v>0</v>
      </c>
      <c r="I769" s="60">
        <f>387+120</f>
        <v>507</v>
      </c>
      <c r="J769" s="65" t="s">
        <v>221</v>
      </c>
      <c r="K769" s="66"/>
      <c r="L769" s="55"/>
    </row>
    <row r="770" spans="1:13" ht="12.75" customHeight="1" thickBot="1" x14ac:dyDescent="0.25">
      <c r="A770" s="60">
        <f t="shared" si="427"/>
        <v>0</v>
      </c>
      <c r="B770" s="60">
        <f t="shared" si="427"/>
        <v>0</v>
      </c>
      <c r="C770" s="60">
        <f t="shared" si="427"/>
        <v>0</v>
      </c>
      <c r="D770" s="60">
        <f>F770+E770</f>
        <v>0</v>
      </c>
      <c r="E770" s="60">
        <v>0</v>
      </c>
      <c r="F770" s="60">
        <v>0</v>
      </c>
      <c r="G770" s="60">
        <f>I770+H770</f>
        <v>0</v>
      </c>
      <c r="H770" s="60">
        <v>0</v>
      </c>
      <c r="I770" s="60">
        <v>0</v>
      </c>
      <c r="J770" s="65" t="s">
        <v>222</v>
      </c>
      <c r="K770" s="66" t="s">
        <v>359</v>
      </c>
      <c r="L770" s="55"/>
    </row>
    <row r="771" spans="1:13" ht="12.75" customHeight="1" thickBot="1" x14ac:dyDescent="0.25">
      <c r="A771" s="60">
        <f t="shared" ref="A771:I771" si="428">SUM(A769:A770)</f>
        <v>507</v>
      </c>
      <c r="B771" s="60">
        <f t="shared" si="428"/>
        <v>0</v>
      </c>
      <c r="C771" s="60">
        <f t="shared" si="428"/>
        <v>507</v>
      </c>
      <c r="D771" s="60">
        <f t="shared" si="428"/>
        <v>0</v>
      </c>
      <c r="E771" s="60">
        <f t="shared" si="428"/>
        <v>0</v>
      </c>
      <c r="F771" s="60">
        <f t="shared" si="428"/>
        <v>0</v>
      </c>
      <c r="G771" s="60">
        <f t="shared" si="428"/>
        <v>507</v>
      </c>
      <c r="H771" s="60">
        <f t="shared" si="428"/>
        <v>0</v>
      </c>
      <c r="I771" s="60">
        <f t="shared" si="428"/>
        <v>507</v>
      </c>
      <c r="J771" s="65" t="s">
        <v>13</v>
      </c>
      <c r="K771" s="67"/>
      <c r="L771" s="55"/>
    </row>
    <row r="772" spans="1:13" ht="12.75" customHeight="1" thickBot="1" x14ac:dyDescent="0.25">
      <c r="A772" s="60">
        <f t="shared" ref="A772:C773" si="429">G772+D772</f>
        <v>80</v>
      </c>
      <c r="B772" s="60">
        <f t="shared" si="429"/>
        <v>0</v>
      </c>
      <c r="C772" s="60">
        <f t="shared" si="429"/>
        <v>80</v>
      </c>
      <c r="D772" s="60">
        <f>F772+E772</f>
        <v>0</v>
      </c>
      <c r="E772" s="60">
        <v>0</v>
      </c>
      <c r="F772" s="60">
        <v>0</v>
      </c>
      <c r="G772" s="60">
        <f>I772+H772</f>
        <v>80</v>
      </c>
      <c r="H772" s="60">
        <v>0</v>
      </c>
      <c r="I772" s="60">
        <f>30+50</f>
        <v>80</v>
      </c>
      <c r="J772" s="65" t="s">
        <v>221</v>
      </c>
      <c r="K772" s="66"/>
      <c r="L772" s="55"/>
    </row>
    <row r="773" spans="1:13" ht="12.75" customHeight="1" thickBot="1" x14ac:dyDescent="0.25">
      <c r="A773" s="60">
        <f t="shared" si="429"/>
        <v>0</v>
      </c>
      <c r="B773" s="60">
        <f t="shared" si="429"/>
        <v>0</v>
      </c>
      <c r="C773" s="60">
        <f t="shared" si="429"/>
        <v>0</v>
      </c>
      <c r="D773" s="60">
        <f>F773+E773</f>
        <v>0</v>
      </c>
      <c r="E773" s="60">
        <v>0</v>
      </c>
      <c r="F773" s="60">
        <v>0</v>
      </c>
      <c r="G773" s="60">
        <f>I773+H773</f>
        <v>0</v>
      </c>
      <c r="H773" s="60">
        <v>0</v>
      </c>
      <c r="I773" s="60">
        <v>0</v>
      </c>
      <c r="J773" s="65" t="s">
        <v>222</v>
      </c>
      <c r="K773" s="66" t="s">
        <v>264</v>
      </c>
      <c r="L773" s="55"/>
    </row>
    <row r="774" spans="1:13" ht="12.75" customHeight="1" thickBot="1" x14ac:dyDescent="0.25">
      <c r="A774" s="60">
        <f t="shared" ref="A774:I774" si="430">SUM(A772:A773)</f>
        <v>80</v>
      </c>
      <c r="B774" s="60">
        <f t="shared" si="430"/>
        <v>0</v>
      </c>
      <c r="C774" s="60">
        <f t="shared" si="430"/>
        <v>80</v>
      </c>
      <c r="D774" s="60">
        <f t="shared" si="430"/>
        <v>0</v>
      </c>
      <c r="E774" s="60">
        <f t="shared" si="430"/>
        <v>0</v>
      </c>
      <c r="F774" s="60">
        <f t="shared" si="430"/>
        <v>0</v>
      </c>
      <c r="G774" s="60">
        <f t="shared" si="430"/>
        <v>80</v>
      </c>
      <c r="H774" s="60">
        <f t="shared" si="430"/>
        <v>0</v>
      </c>
      <c r="I774" s="60">
        <f t="shared" si="430"/>
        <v>80</v>
      </c>
      <c r="J774" s="65" t="s">
        <v>13</v>
      </c>
      <c r="K774" s="67"/>
      <c r="L774" s="55"/>
    </row>
    <row r="775" spans="1:13" ht="12.75" customHeight="1" thickBot="1" x14ac:dyDescent="0.25">
      <c r="A775" s="60">
        <f t="shared" ref="A775:C776" si="431">G775+D775</f>
        <v>703</v>
      </c>
      <c r="B775" s="60">
        <f t="shared" si="431"/>
        <v>703</v>
      </c>
      <c r="C775" s="60">
        <f t="shared" si="431"/>
        <v>0</v>
      </c>
      <c r="D775" s="60">
        <f>F775+E775</f>
        <v>1</v>
      </c>
      <c r="E775" s="60">
        <v>1</v>
      </c>
      <c r="F775" s="60">
        <v>0</v>
      </c>
      <c r="G775" s="60">
        <f>I775+H775</f>
        <v>702</v>
      </c>
      <c r="H775" s="60">
        <v>702</v>
      </c>
      <c r="I775" s="60">
        <v>0</v>
      </c>
      <c r="J775" s="65" t="s">
        <v>221</v>
      </c>
      <c r="K775" s="66"/>
      <c r="L775" s="55"/>
    </row>
    <row r="776" spans="1:13" ht="12.75" customHeight="1" thickBot="1" x14ac:dyDescent="0.25">
      <c r="A776" s="60">
        <f t="shared" si="431"/>
        <v>0</v>
      </c>
      <c r="B776" s="60">
        <f t="shared" si="431"/>
        <v>0</v>
      </c>
      <c r="C776" s="60">
        <f t="shared" si="431"/>
        <v>0</v>
      </c>
      <c r="D776" s="60">
        <f>F776+E776</f>
        <v>0</v>
      </c>
      <c r="E776" s="60">
        <v>0</v>
      </c>
      <c r="F776" s="60">
        <v>0</v>
      </c>
      <c r="G776" s="60">
        <f>I776+H776</f>
        <v>0</v>
      </c>
      <c r="H776" s="60">
        <v>0</v>
      </c>
      <c r="I776" s="60">
        <v>0</v>
      </c>
      <c r="J776" s="65" t="s">
        <v>222</v>
      </c>
      <c r="K776" s="66" t="s">
        <v>491</v>
      </c>
      <c r="L776" s="55"/>
    </row>
    <row r="777" spans="1:13" ht="12.75" customHeight="1" thickBot="1" x14ac:dyDescent="0.25">
      <c r="A777" s="60">
        <f t="shared" ref="A777:I777" si="432">SUM(A775:A776)</f>
        <v>703</v>
      </c>
      <c r="B777" s="60">
        <f t="shared" si="432"/>
        <v>703</v>
      </c>
      <c r="C777" s="60">
        <f t="shared" si="432"/>
        <v>0</v>
      </c>
      <c r="D777" s="60">
        <f t="shared" si="432"/>
        <v>1</v>
      </c>
      <c r="E777" s="60">
        <f t="shared" si="432"/>
        <v>1</v>
      </c>
      <c r="F777" s="60">
        <f t="shared" si="432"/>
        <v>0</v>
      </c>
      <c r="G777" s="60">
        <f t="shared" si="432"/>
        <v>702</v>
      </c>
      <c r="H777" s="60">
        <f t="shared" si="432"/>
        <v>702</v>
      </c>
      <c r="I777" s="60">
        <f t="shared" si="432"/>
        <v>0</v>
      </c>
      <c r="J777" s="65" t="s">
        <v>13</v>
      </c>
      <c r="K777" s="67"/>
      <c r="L777" s="55"/>
    </row>
    <row r="778" spans="1:13" ht="12.75" customHeight="1" thickBot="1" x14ac:dyDescent="0.25">
      <c r="A778" s="60">
        <f t="shared" ref="A778:C779" si="433">G778+D778</f>
        <v>593</v>
      </c>
      <c r="B778" s="60">
        <f t="shared" si="433"/>
        <v>593</v>
      </c>
      <c r="C778" s="60">
        <f t="shared" si="433"/>
        <v>0</v>
      </c>
      <c r="D778" s="60">
        <f>F778+E778</f>
        <v>0</v>
      </c>
      <c r="E778" s="60">
        <v>0</v>
      </c>
      <c r="F778" s="60">
        <v>0</v>
      </c>
      <c r="G778" s="60">
        <f>I778+H778</f>
        <v>593</v>
      </c>
      <c r="H778" s="60">
        <v>593</v>
      </c>
      <c r="I778" s="60">
        <v>0</v>
      </c>
      <c r="J778" s="65" t="s">
        <v>221</v>
      </c>
      <c r="K778" s="66"/>
      <c r="L778" s="55"/>
    </row>
    <row r="779" spans="1:13" ht="12.75" customHeight="1" thickBot="1" x14ac:dyDescent="0.25">
      <c r="A779" s="60">
        <f t="shared" si="433"/>
        <v>352</v>
      </c>
      <c r="B779" s="60">
        <f t="shared" si="433"/>
        <v>352</v>
      </c>
      <c r="C779" s="60">
        <f t="shared" si="433"/>
        <v>0</v>
      </c>
      <c r="D779" s="60">
        <f>F779+E779</f>
        <v>0</v>
      </c>
      <c r="E779" s="60">
        <v>0</v>
      </c>
      <c r="F779" s="60">
        <v>0</v>
      </c>
      <c r="G779" s="60">
        <f>I779+H779</f>
        <v>352</v>
      </c>
      <c r="H779" s="60">
        <v>352</v>
      </c>
      <c r="I779" s="60">
        <v>0</v>
      </c>
      <c r="J779" s="65" t="s">
        <v>222</v>
      </c>
      <c r="K779" s="66" t="s">
        <v>492</v>
      </c>
      <c r="L779" s="55"/>
    </row>
    <row r="780" spans="1:13" ht="12.75" customHeight="1" thickBot="1" x14ac:dyDescent="0.25">
      <c r="A780" s="60">
        <f t="shared" ref="A780:I780" si="434">SUM(A778:A779)</f>
        <v>945</v>
      </c>
      <c r="B780" s="60">
        <f t="shared" si="434"/>
        <v>945</v>
      </c>
      <c r="C780" s="60">
        <f t="shared" si="434"/>
        <v>0</v>
      </c>
      <c r="D780" s="60">
        <f t="shared" si="434"/>
        <v>0</v>
      </c>
      <c r="E780" s="60">
        <f t="shared" si="434"/>
        <v>0</v>
      </c>
      <c r="F780" s="60">
        <f t="shared" si="434"/>
        <v>0</v>
      </c>
      <c r="G780" s="60">
        <f t="shared" si="434"/>
        <v>945</v>
      </c>
      <c r="H780" s="60">
        <f t="shared" si="434"/>
        <v>945</v>
      </c>
      <c r="I780" s="60">
        <f t="shared" si="434"/>
        <v>0</v>
      </c>
      <c r="J780" s="65" t="s">
        <v>13</v>
      </c>
      <c r="K780" s="67"/>
      <c r="L780" s="55"/>
    </row>
    <row r="781" spans="1:13" ht="12.75" customHeight="1" thickBot="1" x14ac:dyDescent="0.25">
      <c r="A781" s="60">
        <f t="shared" ref="A781:C782" si="435">G781+D781</f>
        <v>647</v>
      </c>
      <c r="B781" s="60">
        <f t="shared" si="435"/>
        <v>0</v>
      </c>
      <c r="C781" s="60">
        <f t="shared" si="435"/>
        <v>647</v>
      </c>
      <c r="D781" s="60">
        <f>F781+E781</f>
        <v>0</v>
      </c>
      <c r="E781" s="60">
        <v>0</v>
      </c>
      <c r="F781" s="60">
        <v>0</v>
      </c>
      <c r="G781" s="60">
        <f>I781+H781</f>
        <v>647</v>
      </c>
      <c r="H781" s="60">
        <v>0</v>
      </c>
      <c r="I781" s="60">
        <f>634-60+150-77</f>
        <v>647</v>
      </c>
      <c r="J781" s="65" t="s">
        <v>221</v>
      </c>
      <c r="K781" s="66"/>
      <c r="L781" s="55"/>
    </row>
    <row r="782" spans="1:13" ht="12.75" customHeight="1" thickBot="1" x14ac:dyDescent="0.25">
      <c r="A782" s="60">
        <f t="shared" si="435"/>
        <v>0</v>
      </c>
      <c r="B782" s="60">
        <f t="shared" si="435"/>
        <v>0</v>
      </c>
      <c r="C782" s="60">
        <f t="shared" si="435"/>
        <v>0</v>
      </c>
      <c r="D782" s="60">
        <f>F782+E782</f>
        <v>0</v>
      </c>
      <c r="E782" s="60">
        <v>0</v>
      </c>
      <c r="F782" s="60">
        <v>0</v>
      </c>
      <c r="G782" s="60">
        <f>I782+H782</f>
        <v>0</v>
      </c>
      <c r="H782" s="60">
        <v>0</v>
      </c>
      <c r="I782" s="60">
        <v>0</v>
      </c>
      <c r="J782" s="65" t="s">
        <v>222</v>
      </c>
      <c r="K782" s="66" t="s">
        <v>247</v>
      </c>
      <c r="L782" s="55"/>
    </row>
    <row r="783" spans="1:13" ht="12.75" customHeight="1" thickBot="1" x14ac:dyDescent="0.25">
      <c r="A783" s="60">
        <f t="shared" ref="A783:I783" si="436">SUM(A781:A782)</f>
        <v>647</v>
      </c>
      <c r="B783" s="60">
        <f t="shared" si="436"/>
        <v>0</v>
      </c>
      <c r="C783" s="60">
        <f t="shared" si="436"/>
        <v>647</v>
      </c>
      <c r="D783" s="60">
        <f t="shared" si="436"/>
        <v>0</v>
      </c>
      <c r="E783" s="60">
        <f t="shared" si="436"/>
        <v>0</v>
      </c>
      <c r="F783" s="60">
        <f t="shared" si="436"/>
        <v>0</v>
      </c>
      <c r="G783" s="60">
        <f t="shared" si="436"/>
        <v>647</v>
      </c>
      <c r="H783" s="60">
        <f t="shared" si="436"/>
        <v>0</v>
      </c>
      <c r="I783" s="60">
        <f t="shared" si="436"/>
        <v>647</v>
      </c>
      <c r="J783" s="65" t="s">
        <v>13</v>
      </c>
      <c r="K783" s="67"/>
      <c r="L783" s="55"/>
    </row>
    <row r="784" spans="1:13" ht="12.75" customHeight="1" thickBot="1" x14ac:dyDescent="0.25">
      <c r="A784" s="60">
        <f t="shared" ref="A784:C785" si="437">G784+D784</f>
        <v>28</v>
      </c>
      <c r="B784" s="60">
        <f t="shared" si="437"/>
        <v>0</v>
      </c>
      <c r="C784" s="60">
        <f t="shared" si="437"/>
        <v>28</v>
      </c>
      <c r="D784" s="60">
        <f>F784+E784</f>
        <v>0</v>
      </c>
      <c r="E784" s="60">
        <v>0</v>
      </c>
      <c r="F784" s="60">
        <v>0</v>
      </c>
      <c r="G784" s="60">
        <f>I784+H784</f>
        <v>28</v>
      </c>
      <c r="H784" s="60">
        <v>0</v>
      </c>
      <c r="I784" s="60">
        <v>28</v>
      </c>
      <c r="J784" s="65" t="s">
        <v>221</v>
      </c>
      <c r="K784" s="66"/>
      <c r="L784" s="55"/>
      <c r="M784" s="69"/>
    </row>
    <row r="785" spans="1:12" ht="12.75" customHeight="1" thickBot="1" x14ac:dyDescent="0.25">
      <c r="A785" s="60">
        <f t="shared" si="437"/>
        <v>0</v>
      </c>
      <c r="B785" s="60">
        <f t="shared" si="437"/>
        <v>0</v>
      </c>
      <c r="C785" s="60">
        <f t="shared" si="437"/>
        <v>0</v>
      </c>
      <c r="D785" s="60">
        <f>F785+E785</f>
        <v>0</v>
      </c>
      <c r="E785" s="60">
        <v>0</v>
      </c>
      <c r="F785" s="60">
        <v>0</v>
      </c>
      <c r="G785" s="60">
        <f>I785+H785</f>
        <v>0</v>
      </c>
      <c r="H785" s="60">
        <v>0</v>
      </c>
      <c r="I785" s="60">
        <v>0</v>
      </c>
      <c r="J785" s="65" t="s">
        <v>222</v>
      </c>
      <c r="K785" s="66" t="s">
        <v>263</v>
      </c>
      <c r="L785" s="55"/>
    </row>
    <row r="786" spans="1:12" ht="12.75" customHeight="1" thickBot="1" x14ac:dyDescent="0.25">
      <c r="A786" s="60">
        <f t="shared" ref="A786:I786" si="438">SUM(A784:A785)</f>
        <v>28</v>
      </c>
      <c r="B786" s="60">
        <f t="shared" si="438"/>
        <v>0</v>
      </c>
      <c r="C786" s="60">
        <f t="shared" si="438"/>
        <v>28</v>
      </c>
      <c r="D786" s="60">
        <f t="shared" si="438"/>
        <v>0</v>
      </c>
      <c r="E786" s="60">
        <f t="shared" si="438"/>
        <v>0</v>
      </c>
      <c r="F786" s="60">
        <f t="shared" si="438"/>
        <v>0</v>
      </c>
      <c r="G786" s="60">
        <f t="shared" si="438"/>
        <v>28</v>
      </c>
      <c r="H786" s="60">
        <f t="shared" si="438"/>
        <v>0</v>
      </c>
      <c r="I786" s="60">
        <f t="shared" si="438"/>
        <v>28</v>
      </c>
      <c r="J786" s="65" t="s">
        <v>13</v>
      </c>
      <c r="K786" s="67"/>
      <c r="L786" s="55"/>
    </row>
    <row r="787" spans="1:12" ht="12.75" customHeight="1" thickBot="1" x14ac:dyDescent="0.25">
      <c r="A787" s="60">
        <f t="shared" ref="A787:C788" si="439">G787+D787</f>
        <v>531</v>
      </c>
      <c r="B787" s="60">
        <f t="shared" si="439"/>
        <v>531</v>
      </c>
      <c r="C787" s="60">
        <f t="shared" si="439"/>
        <v>0</v>
      </c>
      <c r="D787" s="60">
        <f>F787+E787</f>
        <v>0</v>
      </c>
      <c r="E787" s="60">
        <v>0</v>
      </c>
      <c r="F787" s="60">
        <v>0</v>
      </c>
      <c r="G787" s="60">
        <f>I787+H787</f>
        <v>531</v>
      </c>
      <c r="H787" s="60">
        <v>531</v>
      </c>
      <c r="I787" s="60">
        <v>0</v>
      </c>
      <c r="J787" s="65" t="s">
        <v>221</v>
      </c>
      <c r="K787" s="66"/>
      <c r="L787" s="55"/>
    </row>
    <row r="788" spans="1:12" ht="12.75" customHeight="1" thickBot="1" x14ac:dyDescent="0.25">
      <c r="A788" s="60">
        <f t="shared" si="439"/>
        <v>87</v>
      </c>
      <c r="B788" s="60">
        <f t="shared" si="439"/>
        <v>87</v>
      </c>
      <c r="C788" s="60">
        <f t="shared" si="439"/>
        <v>0</v>
      </c>
      <c r="D788" s="60">
        <f>F788+E788</f>
        <v>0</v>
      </c>
      <c r="E788" s="60">
        <v>0</v>
      </c>
      <c r="F788" s="60">
        <v>0</v>
      </c>
      <c r="G788" s="60">
        <f>I788+H788</f>
        <v>87</v>
      </c>
      <c r="H788" s="60">
        <v>87</v>
      </c>
      <c r="I788" s="60">
        <v>0</v>
      </c>
      <c r="J788" s="65" t="s">
        <v>222</v>
      </c>
      <c r="K788" s="66" t="s">
        <v>493</v>
      </c>
      <c r="L788" s="55"/>
    </row>
    <row r="789" spans="1:12" ht="12.75" customHeight="1" thickBot="1" x14ac:dyDescent="0.25">
      <c r="A789" s="60">
        <f t="shared" ref="A789:I789" si="440">SUM(A787:A788)</f>
        <v>618</v>
      </c>
      <c r="B789" s="60">
        <f t="shared" si="440"/>
        <v>618</v>
      </c>
      <c r="C789" s="60">
        <f t="shared" si="440"/>
        <v>0</v>
      </c>
      <c r="D789" s="60">
        <f t="shared" si="440"/>
        <v>0</v>
      </c>
      <c r="E789" s="60">
        <f t="shared" si="440"/>
        <v>0</v>
      </c>
      <c r="F789" s="60">
        <f t="shared" si="440"/>
        <v>0</v>
      </c>
      <c r="G789" s="60">
        <f t="shared" si="440"/>
        <v>618</v>
      </c>
      <c r="H789" s="60">
        <f t="shared" si="440"/>
        <v>618</v>
      </c>
      <c r="I789" s="60">
        <f t="shared" si="440"/>
        <v>0</v>
      </c>
      <c r="J789" s="65" t="s">
        <v>13</v>
      </c>
      <c r="K789" s="67"/>
      <c r="L789" s="55"/>
    </row>
    <row r="790" spans="1:12" ht="12.75" customHeight="1" thickBot="1" x14ac:dyDescent="0.25">
      <c r="A790" s="60">
        <f t="shared" ref="A790:H792" si="441">A769+A772+A775+A778+A781+A784+A787</f>
        <v>3089</v>
      </c>
      <c r="B790" s="60">
        <f t="shared" si="441"/>
        <v>1827</v>
      </c>
      <c r="C790" s="60">
        <f t="shared" si="441"/>
        <v>1262</v>
      </c>
      <c r="D790" s="60">
        <f t="shared" si="441"/>
        <v>1</v>
      </c>
      <c r="E790" s="60">
        <f t="shared" si="441"/>
        <v>1</v>
      </c>
      <c r="F790" s="60">
        <f t="shared" si="441"/>
        <v>0</v>
      </c>
      <c r="G790" s="60">
        <f t="shared" si="441"/>
        <v>3088</v>
      </c>
      <c r="H790" s="60">
        <f t="shared" si="441"/>
        <v>1826</v>
      </c>
      <c r="I790" s="60">
        <f>I769+I772+I775+I778+I781+I784+I787</f>
        <v>1262</v>
      </c>
      <c r="J790" s="65" t="s">
        <v>224</v>
      </c>
      <c r="K790" s="57"/>
      <c r="L790" s="55"/>
    </row>
    <row r="791" spans="1:12" ht="12.75" customHeight="1" thickBot="1" x14ac:dyDescent="0.25">
      <c r="A791" s="60">
        <f t="shared" si="441"/>
        <v>439</v>
      </c>
      <c r="B791" s="60">
        <f t="shared" si="441"/>
        <v>439</v>
      </c>
      <c r="C791" s="60">
        <f t="shared" si="441"/>
        <v>0</v>
      </c>
      <c r="D791" s="60">
        <f t="shared" si="441"/>
        <v>0</v>
      </c>
      <c r="E791" s="60">
        <f t="shared" si="441"/>
        <v>0</v>
      </c>
      <c r="F791" s="60">
        <f t="shared" si="441"/>
        <v>0</v>
      </c>
      <c r="G791" s="60">
        <f t="shared" si="441"/>
        <v>439</v>
      </c>
      <c r="H791" s="60">
        <f t="shared" si="441"/>
        <v>439</v>
      </c>
      <c r="I791" s="60">
        <f>I770+I773+I776+I779+I782+I785+I788</f>
        <v>0</v>
      </c>
      <c r="J791" s="65" t="s">
        <v>225</v>
      </c>
      <c r="K791" s="68" t="s">
        <v>211</v>
      </c>
      <c r="L791" s="55"/>
    </row>
    <row r="792" spans="1:12" ht="12.75" customHeight="1" thickBot="1" x14ac:dyDescent="0.25">
      <c r="A792" s="60">
        <f t="shared" si="441"/>
        <v>3528</v>
      </c>
      <c r="B792" s="60">
        <f t="shared" si="441"/>
        <v>2266</v>
      </c>
      <c r="C792" s="60">
        <f t="shared" si="441"/>
        <v>1262</v>
      </c>
      <c r="D792" s="60">
        <f t="shared" si="441"/>
        <v>1</v>
      </c>
      <c r="E792" s="60">
        <f t="shared" si="441"/>
        <v>1</v>
      </c>
      <c r="F792" s="60">
        <f t="shared" si="441"/>
        <v>0</v>
      </c>
      <c r="G792" s="60">
        <f t="shared" si="441"/>
        <v>3527</v>
      </c>
      <c r="H792" s="60">
        <f t="shared" si="441"/>
        <v>2265</v>
      </c>
      <c r="I792" s="60">
        <f>I771+I774+I777+I780+I783+I786+I789</f>
        <v>1262</v>
      </c>
      <c r="J792" s="65" t="s">
        <v>13</v>
      </c>
      <c r="K792" s="59"/>
      <c r="L792" s="55"/>
    </row>
    <row r="793" spans="1:12" ht="12.75" customHeight="1" x14ac:dyDescent="0.2">
      <c r="A793" s="177" t="s">
        <v>327</v>
      </c>
      <c r="B793" s="177"/>
      <c r="C793" s="177"/>
      <c r="D793" s="177"/>
      <c r="E793" s="177"/>
      <c r="F793" s="177"/>
      <c r="G793" s="177"/>
      <c r="H793" s="177"/>
      <c r="I793" s="177"/>
      <c r="J793" s="177"/>
      <c r="K793" s="177"/>
      <c r="L793" s="55"/>
    </row>
    <row r="794" spans="1:12" ht="12.75" customHeight="1" thickBot="1" x14ac:dyDescent="0.25">
      <c r="A794" s="178" t="s">
        <v>328</v>
      </c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55"/>
    </row>
    <row r="795" spans="1:12" ht="12.75" customHeight="1" thickBot="1" x14ac:dyDescent="0.25">
      <c r="A795" s="179" t="s">
        <v>5</v>
      </c>
      <c r="B795" s="179"/>
      <c r="C795" s="179"/>
      <c r="D795" s="179" t="s">
        <v>162</v>
      </c>
      <c r="E795" s="179"/>
      <c r="F795" s="179"/>
      <c r="G795" s="179" t="s">
        <v>163</v>
      </c>
      <c r="H795" s="179"/>
      <c r="I795" s="179"/>
      <c r="J795" s="179" t="s">
        <v>72</v>
      </c>
      <c r="K795" s="179"/>
      <c r="L795" s="55"/>
    </row>
    <row r="796" spans="1:12" ht="12.75" customHeight="1" thickBot="1" x14ac:dyDescent="0.25">
      <c r="A796" s="58" t="s">
        <v>216</v>
      </c>
      <c r="B796" s="58" t="s">
        <v>11</v>
      </c>
      <c r="C796" s="58" t="s">
        <v>10</v>
      </c>
      <c r="D796" s="58" t="s">
        <v>216</v>
      </c>
      <c r="E796" s="58" t="s">
        <v>11</v>
      </c>
      <c r="F796" s="58" t="s">
        <v>10</v>
      </c>
      <c r="G796" s="58" t="s">
        <v>216</v>
      </c>
      <c r="H796" s="58" t="s">
        <v>11</v>
      </c>
      <c r="I796" s="58" t="s">
        <v>10</v>
      </c>
      <c r="J796" s="180" t="s">
        <v>126</v>
      </c>
      <c r="K796" s="180"/>
      <c r="L796" s="55"/>
    </row>
    <row r="797" spans="1:12" ht="12.75" customHeight="1" thickBot="1" x14ac:dyDescent="0.25">
      <c r="A797" s="60">
        <f t="shared" ref="A797:C798" si="442">G797+D797</f>
        <v>651</v>
      </c>
      <c r="B797" s="60">
        <f t="shared" si="442"/>
        <v>0</v>
      </c>
      <c r="C797" s="60">
        <f t="shared" si="442"/>
        <v>651</v>
      </c>
      <c r="D797" s="60">
        <f>F797+E797</f>
        <v>0</v>
      </c>
      <c r="E797" s="60">
        <v>0</v>
      </c>
      <c r="F797" s="60">
        <v>0</v>
      </c>
      <c r="G797" s="60">
        <f>I797+H797</f>
        <v>651</v>
      </c>
      <c r="H797" s="60">
        <v>0</v>
      </c>
      <c r="I797" s="60">
        <f>577+150-76</f>
        <v>651</v>
      </c>
      <c r="J797" s="65" t="s">
        <v>221</v>
      </c>
      <c r="K797" s="66"/>
      <c r="L797" s="55"/>
    </row>
    <row r="798" spans="1:12" ht="12.75" customHeight="1" thickBot="1" x14ac:dyDescent="0.25">
      <c r="A798" s="60">
        <f t="shared" si="442"/>
        <v>0</v>
      </c>
      <c r="B798" s="60">
        <f t="shared" si="442"/>
        <v>0</v>
      </c>
      <c r="C798" s="60">
        <f t="shared" si="442"/>
        <v>0</v>
      </c>
      <c r="D798" s="60">
        <f>F798+E798</f>
        <v>0</v>
      </c>
      <c r="E798" s="60">
        <v>0</v>
      </c>
      <c r="F798" s="60">
        <v>0</v>
      </c>
      <c r="G798" s="60">
        <f>I798+H798</f>
        <v>0</v>
      </c>
      <c r="H798" s="60">
        <v>0</v>
      </c>
      <c r="I798" s="60">
        <v>0</v>
      </c>
      <c r="J798" s="65" t="s">
        <v>222</v>
      </c>
      <c r="K798" s="66" t="s">
        <v>494</v>
      </c>
      <c r="L798" s="55"/>
    </row>
    <row r="799" spans="1:12" ht="12.75" customHeight="1" thickBot="1" x14ac:dyDescent="0.25">
      <c r="A799" s="60">
        <f t="shared" ref="A799:I799" si="443">SUM(A797:A798)</f>
        <v>651</v>
      </c>
      <c r="B799" s="60">
        <f t="shared" si="443"/>
        <v>0</v>
      </c>
      <c r="C799" s="60">
        <f t="shared" si="443"/>
        <v>651</v>
      </c>
      <c r="D799" s="60">
        <f t="shared" si="443"/>
        <v>0</v>
      </c>
      <c r="E799" s="60">
        <f t="shared" si="443"/>
        <v>0</v>
      </c>
      <c r="F799" s="60">
        <f t="shared" si="443"/>
        <v>0</v>
      </c>
      <c r="G799" s="60">
        <f t="shared" si="443"/>
        <v>651</v>
      </c>
      <c r="H799" s="60">
        <f t="shared" si="443"/>
        <v>0</v>
      </c>
      <c r="I799" s="60">
        <f t="shared" si="443"/>
        <v>651</v>
      </c>
      <c r="J799" s="65" t="s">
        <v>13</v>
      </c>
      <c r="K799" s="67"/>
      <c r="L799" s="55"/>
    </row>
    <row r="800" spans="1:12" ht="12.75" customHeight="1" thickBot="1" x14ac:dyDescent="0.25">
      <c r="A800" s="60">
        <f t="shared" ref="A800:C801" si="444">G800+D800</f>
        <v>1396</v>
      </c>
      <c r="B800" s="60">
        <f t="shared" si="444"/>
        <v>426</v>
      </c>
      <c r="C800" s="60">
        <f t="shared" si="444"/>
        <v>970</v>
      </c>
      <c r="D800" s="60">
        <f>F800+E800</f>
        <v>0</v>
      </c>
      <c r="E800" s="60">
        <v>0</v>
      </c>
      <c r="F800" s="60">
        <v>0</v>
      </c>
      <c r="G800" s="60">
        <f>I800+H800</f>
        <v>1396</v>
      </c>
      <c r="H800" s="60">
        <v>426</v>
      </c>
      <c r="I800" s="60">
        <f>952+95-77</f>
        <v>970</v>
      </c>
      <c r="J800" s="65" t="s">
        <v>221</v>
      </c>
      <c r="K800" s="66"/>
      <c r="L800" s="55"/>
    </row>
    <row r="801" spans="1:12" ht="12.75" customHeight="1" thickBot="1" x14ac:dyDescent="0.25">
      <c r="A801" s="60">
        <f t="shared" si="444"/>
        <v>0</v>
      </c>
      <c r="B801" s="60">
        <f t="shared" si="444"/>
        <v>0</v>
      </c>
      <c r="C801" s="60">
        <f t="shared" si="444"/>
        <v>0</v>
      </c>
      <c r="D801" s="60">
        <f>F801+E801</f>
        <v>0</v>
      </c>
      <c r="E801" s="60">
        <v>0</v>
      </c>
      <c r="F801" s="60">
        <v>0</v>
      </c>
      <c r="G801" s="60">
        <f>I801+H801</f>
        <v>0</v>
      </c>
      <c r="H801" s="60">
        <v>0</v>
      </c>
      <c r="I801" s="60">
        <v>0</v>
      </c>
      <c r="J801" s="65" t="s">
        <v>222</v>
      </c>
      <c r="K801" s="66" t="s">
        <v>359</v>
      </c>
      <c r="L801" s="55"/>
    </row>
    <row r="802" spans="1:12" ht="12.75" customHeight="1" thickBot="1" x14ac:dyDescent="0.25">
      <c r="A802" s="60">
        <f t="shared" ref="A802:I802" si="445">SUM(A800:A801)</f>
        <v>1396</v>
      </c>
      <c r="B802" s="60">
        <f t="shared" si="445"/>
        <v>426</v>
      </c>
      <c r="C802" s="60">
        <f t="shared" si="445"/>
        <v>970</v>
      </c>
      <c r="D802" s="60">
        <f t="shared" si="445"/>
        <v>0</v>
      </c>
      <c r="E802" s="60">
        <f t="shared" si="445"/>
        <v>0</v>
      </c>
      <c r="F802" s="60">
        <f t="shared" si="445"/>
        <v>0</v>
      </c>
      <c r="G802" s="60">
        <f t="shared" si="445"/>
        <v>1396</v>
      </c>
      <c r="H802" s="60">
        <f t="shared" si="445"/>
        <v>426</v>
      </c>
      <c r="I802" s="60">
        <f t="shared" si="445"/>
        <v>970</v>
      </c>
      <c r="J802" s="65" t="s">
        <v>13</v>
      </c>
      <c r="K802" s="67"/>
      <c r="L802" s="55"/>
    </row>
    <row r="803" spans="1:12" ht="12.75" customHeight="1" thickBot="1" x14ac:dyDescent="0.25">
      <c r="A803" s="60">
        <f t="shared" ref="A803:C804" si="446">G803+D803</f>
        <v>388</v>
      </c>
      <c r="B803" s="60">
        <f t="shared" si="446"/>
        <v>0</v>
      </c>
      <c r="C803" s="60">
        <f t="shared" si="446"/>
        <v>388</v>
      </c>
      <c r="D803" s="60">
        <f>F803+E803</f>
        <v>0</v>
      </c>
      <c r="E803" s="60">
        <v>0</v>
      </c>
      <c r="F803" s="60">
        <v>0</v>
      </c>
      <c r="G803" s="60">
        <f>I803+H803</f>
        <v>388</v>
      </c>
      <c r="H803" s="60">
        <v>0</v>
      </c>
      <c r="I803" s="60">
        <v>388</v>
      </c>
      <c r="J803" s="65" t="s">
        <v>221</v>
      </c>
      <c r="K803" s="66"/>
      <c r="L803" s="55"/>
    </row>
    <row r="804" spans="1:12" ht="12.75" customHeight="1" thickBot="1" x14ac:dyDescent="0.25">
      <c r="A804" s="60">
        <f t="shared" si="446"/>
        <v>0</v>
      </c>
      <c r="B804" s="60">
        <f t="shared" si="446"/>
        <v>0</v>
      </c>
      <c r="C804" s="60">
        <f t="shared" si="446"/>
        <v>0</v>
      </c>
      <c r="D804" s="60">
        <f>F804+E804</f>
        <v>0</v>
      </c>
      <c r="E804" s="60">
        <v>0</v>
      </c>
      <c r="F804" s="60">
        <v>0</v>
      </c>
      <c r="G804" s="60">
        <f>I804+H804</f>
        <v>0</v>
      </c>
      <c r="H804" s="60">
        <v>0</v>
      </c>
      <c r="I804" s="60">
        <v>0</v>
      </c>
      <c r="J804" s="65" t="s">
        <v>222</v>
      </c>
      <c r="K804" s="66" t="s">
        <v>377</v>
      </c>
      <c r="L804" s="55"/>
    </row>
    <row r="805" spans="1:12" ht="12.75" customHeight="1" thickBot="1" x14ac:dyDescent="0.25">
      <c r="A805" s="60">
        <f t="shared" ref="A805:I805" si="447">SUM(A803:A804)</f>
        <v>388</v>
      </c>
      <c r="B805" s="60">
        <f t="shared" si="447"/>
        <v>0</v>
      </c>
      <c r="C805" s="60">
        <f t="shared" si="447"/>
        <v>388</v>
      </c>
      <c r="D805" s="60">
        <f t="shared" si="447"/>
        <v>0</v>
      </c>
      <c r="E805" s="60">
        <f t="shared" si="447"/>
        <v>0</v>
      </c>
      <c r="F805" s="60">
        <f t="shared" si="447"/>
        <v>0</v>
      </c>
      <c r="G805" s="60">
        <f t="shared" si="447"/>
        <v>388</v>
      </c>
      <c r="H805" s="60">
        <f t="shared" si="447"/>
        <v>0</v>
      </c>
      <c r="I805" s="60">
        <f t="shared" si="447"/>
        <v>388</v>
      </c>
      <c r="J805" s="65" t="s">
        <v>13</v>
      </c>
      <c r="K805" s="67"/>
      <c r="L805" s="55"/>
    </row>
    <row r="806" spans="1:12" ht="12.75" customHeight="1" thickBot="1" x14ac:dyDescent="0.25">
      <c r="A806" s="60">
        <f t="shared" ref="A806:C807" si="448">G806+D806</f>
        <v>262</v>
      </c>
      <c r="B806" s="60">
        <f t="shared" si="448"/>
        <v>89</v>
      </c>
      <c r="C806" s="60">
        <f t="shared" si="448"/>
        <v>173</v>
      </c>
      <c r="D806" s="60">
        <f>F806+E806</f>
        <v>0</v>
      </c>
      <c r="E806" s="60">
        <v>0</v>
      </c>
      <c r="F806" s="60">
        <v>0</v>
      </c>
      <c r="G806" s="60">
        <f>I806+H806</f>
        <v>262</v>
      </c>
      <c r="H806" s="60">
        <v>89</v>
      </c>
      <c r="I806" s="60">
        <f>118+55</f>
        <v>173</v>
      </c>
      <c r="J806" s="65" t="s">
        <v>221</v>
      </c>
      <c r="K806" s="66"/>
      <c r="L806" s="55"/>
    </row>
    <row r="807" spans="1:12" ht="12.75" customHeight="1" thickBot="1" x14ac:dyDescent="0.25">
      <c r="A807" s="60">
        <f t="shared" si="448"/>
        <v>0</v>
      </c>
      <c r="B807" s="60">
        <f t="shared" si="448"/>
        <v>0</v>
      </c>
      <c r="C807" s="60">
        <f t="shared" si="448"/>
        <v>0</v>
      </c>
      <c r="D807" s="60">
        <f>F807+E807</f>
        <v>0</v>
      </c>
      <c r="E807" s="60">
        <v>0</v>
      </c>
      <c r="F807" s="60">
        <v>0</v>
      </c>
      <c r="G807" s="60">
        <f>I807+H807</f>
        <v>0</v>
      </c>
      <c r="H807" s="60">
        <v>0</v>
      </c>
      <c r="I807" s="60">
        <v>0</v>
      </c>
      <c r="J807" s="65" t="s">
        <v>222</v>
      </c>
      <c r="K807" s="66" t="s">
        <v>264</v>
      </c>
      <c r="L807" s="55"/>
    </row>
    <row r="808" spans="1:12" ht="12.75" customHeight="1" thickBot="1" x14ac:dyDescent="0.25">
      <c r="A808" s="60">
        <f t="shared" ref="A808:I808" si="449">SUM(A806:A807)</f>
        <v>262</v>
      </c>
      <c r="B808" s="60">
        <f t="shared" si="449"/>
        <v>89</v>
      </c>
      <c r="C808" s="60">
        <f t="shared" si="449"/>
        <v>173</v>
      </c>
      <c r="D808" s="60">
        <f t="shared" si="449"/>
        <v>0</v>
      </c>
      <c r="E808" s="60">
        <f t="shared" si="449"/>
        <v>0</v>
      </c>
      <c r="F808" s="60">
        <f t="shared" si="449"/>
        <v>0</v>
      </c>
      <c r="G808" s="60">
        <f t="shared" si="449"/>
        <v>262</v>
      </c>
      <c r="H808" s="60">
        <f t="shared" si="449"/>
        <v>89</v>
      </c>
      <c r="I808" s="60">
        <f t="shared" si="449"/>
        <v>173</v>
      </c>
      <c r="J808" s="65" t="s">
        <v>13</v>
      </c>
      <c r="K808" s="67"/>
      <c r="L808" s="55"/>
    </row>
    <row r="809" spans="1:12" ht="12.75" customHeight="1" thickBot="1" x14ac:dyDescent="0.25">
      <c r="A809" s="60">
        <f t="shared" ref="A809:C810" si="450">G809+D809</f>
        <v>478</v>
      </c>
      <c r="B809" s="60">
        <f t="shared" si="450"/>
        <v>478</v>
      </c>
      <c r="C809" s="60">
        <f t="shared" si="450"/>
        <v>0</v>
      </c>
      <c r="D809" s="60">
        <f>F809+E809</f>
        <v>0</v>
      </c>
      <c r="E809" s="60">
        <v>0</v>
      </c>
      <c r="F809" s="60">
        <v>0</v>
      </c>
      <c r="G809" s="60">
        <f>I809+H809</f>
        <v>478</v>
      </c>
      <c r="H809" s="60">
        <v>478</v>
      </c>
      <c r="I809" s="60">
        <v>0</v>
      </c>
      <c r="J809" s="65" t="s">
        <v>221</v>
      </c>
      <c r="K809" s="66"/>
      <c r="L809" s="55"/>
    </row>
    <row r="810" spans="1:12" ht="12.75" customHeight="1" thickBot="1" x14ac:dyDescent="0.25">
      <c r="A810" s="60">
        <f t="shared" si="450"/>
        <v>106</v>
      </c>
      <c r="B810" s="60">
        <f t="shared" si="450"/>
        <v>106</v>
      </c>
      <c r="C810" s="60">
        <f t="shared" si="450"/>
        <v>0</v>
      </c>
      <c r="D810" s="60">
        <f>F810+E810</f>
        <v>0</v>
      </c>
      <c r="E810" s="60">
        <v>0</v>
      </c>
      <c r="F810" s="60">
        <v>0</v>
      </c>
      <c r="G810" s="60">
        <f>I810+H810</f>
        <v>106</v>
      </c>
      <c r="H810" s="60">
        <v>106</v>
      </c>
      <c r="I810" s="60">
        <v>0</v>
      </c>
      <c r="J810" s="65" t="s">
        <v>222</v>
      </c>
      <c r="K810" s="66" t="s">
        <v>495</v>
      </c>
      <c r="L810" s="55"/>
    </row>
    <row r="811" spans="1:12" ht="12.75" customHeight="1" thickBot="1" x14ac:dyDescent="0.25">
      <c r="A811" s="60">
        <f t="shared" ref="A811:I811" si="451">SUM(A809:A810)</f>
        <v>584</v>
      </c>
      <c r="B811" s="60">
        <f t="shared" si="451"/>
        <v>584</v>
      </c>
      <c r="C811" s="60">
        <f t="shared" si="451"/>
        <v>0</v>
      </c>
      <c r="D811" s="60">
        <f t="shared" si="451"/>
        <v>0</v>
      </c>
      <c r="E811" s="60">
        <f t="shared" si="451"/>
        <v>0</v>
      </c>
      <c r="F811" s="60">
        <f t="shared" si="451"/>
        <v>0</v>
      </c>
      <c r="G811" s="60">
        <f t="shared" si="451"/>
        <v>584</v>
      </c>
      <c r="H811" s="60">
        <f t="shared" si="451"/>
        <v>584</v>
      </c>
      <c r="I811" s="60">
        <f t="shared" si="451"/>
        <v>0</v>
      </c>
      <c r="J811" s="65" t="s">
        <v>13</v>
      </c>
      <c r="K811" s="67"/>
      <c r="L811" s="55"/>
    </row>
    <row r="812" spans="1:12" ht="12.75" customHeight="1" thickBot="1" x14ac:dyDescent="0.25">
      <c r="A812" s="60">
        <f t="shared" ref="A812:C813" si="452">G812+D812</f>
        <v>570</v>
      </c>
      <c r="B812" s="60">
        <f t="shared" si="452"/>
        <v>570</v>
      </c>
      <c r="C812" s="60">
        <f t="shared" si="452"/>
        <v>0</v>
      </c>
      <c r="D812" s="60">
        <f>F812+E812</f>
        <v>0</v>
      </c>
      <c r="E812" s="60">
        <v>0</v>
      </c>
      <c r="F812" s="60">
        <v>0</v>
      </c>
      <c r="G812" s="60">
        <f>I812+H812</f>
        <v>570</v>
      </c>
      <c r="H812" s="60">
        <v>570</v>
      </c>
      <c r="I812" s="60">
        <v>0</v>
      </c>
      <c r="J812" s="65" t="s">
        <v>221</v>
      </c>
      <c r="K812" s="66"/>
      <c r="L812" s="55"/>
    </row>
    <row r="813" spans="1:12" ht="12.75" customHeight="1" thickBot="1" x14ac:dyDescent="0.25">
      <c r="A813" s="60">
        <f t="shared" si="452"/>
        <v>350</v>
      </c>
      <c r="B813" s="60">
        <f t="shared" si="452"/>
        <v>350</v>
      </c>
      <c r="C813" s="60">
        <f t="shared" si="452"/>
        <v>0</v>
      </c>
      <c r="D813" s="60">
        <f>F813+E813</f>
        <v>0</v>
      </c>
      <c r="E813" s="60">
        <v>0</v>
      </c>
      <c r="F813" s="60">
        <v>0</v>
      </c>
      <c r="G813" s="60">
        <f>I813+H813</f>
        <v>350</v>
      </c>
      <c r="H813" s="60">
        <v>350</v>
      </c>
      <c r="I813" s="60">
        <v>0</v>
      </c>
      <c r="J813" s="65" t="s">
        <v>222</v>
      </c>
      <c r="K813" s="66" t="s">
        <v>496</v>
      </c>
      <c r="L813" s="55"/>
    </row>
    <row r="814" spans="1:12" ht="12.75" customHeight="1" thickBot="1" x14ac:dyDescent="0.25">
      <c r="A814" s="60">
        <f t="shared" ref="A814:I814" si="453">SUM(A812:A813)</f>
        <v>920</v>
      </c>
      <c r="B814" s="60">
        <f t="shared" si="453"/>
        <v>920</v>
      </c>
      <c r="C814" s="60">
        <f t="shared" si="453"/>
        <v>0</v>
      </c>
      <c r="D814" s="60">
        <f t="shared" si="453"/>
        <v>0</v>
      </c>
      <c r="E814" s="60">
        <f t="shared" si="453"/>
        <v>0</v>
      </c>
      <c r="F814" s="60">
        <f t="shared" si="453"/>
        <v>0</v>
      </c>
      <c r="G814" s="60">
        <f t="shared" si="453"/>
        <v>920</v>
      </c>
      <c r="H814" s="60">
        <f t="shared" si="453"/>
        <v>920</v>
      </c>
      <c r="I814" s="60">
        <f t="shared" si="453"/>
        <v>0</v>
      </c>
      <c r="J814" s="65" t="s">
        <v>13</v>
      </c>
      <c r="K814" s="67"/>
      <c r="L814" s="55"/>
    </row>
    <row r="815" spans="1:12" ht="12.75" customHeight="1" thickBot="1" x14ac:dyDescent="0.25">
      <c r="A815" s="60">
        <f t="shared" ref="A815:C816" si="454">G815+D815</f>
        <v>695</v>
      </c>
      <c r="B815" s="60">
        <f t="shared" si="454"/>
        <v>695</v>
      </c>
      <c r="C815" s="60">
        <f t="shared" si="454"/>
        <v>0</v>
      </c>
      <c r="D815" s="60">
        <f>F815+E815</f>
        <v>0</v>
      </c>
      <c r="E815" s="60">
        <v>0</v>
      </c>
      <c r="F815" s="60">
        <v>0</v>
      </c>
      <c r="G815" s="60">
        <f>I815+H815</f>
        <v>695</v>
      </c>
      <c r="H815" s="60">
        <v>695</v>
      </c>
      <c r="I815" s="60">
        <v>0</v>
      </c>
      <c r="J815" s="65" t="s">
        <v>221</v>
      </c>
      <c r="K815" s="66"/>
      <c r="L815" s="55"/>
    </row>
    <row r="816" spans="1:12" ht="12.75" customHeight="1" thickBot="1" x14ac:dyDescent="0.25">
      <c r="A816" s="60">
        <f t="shared" si="454"/>
        <v>0</v>
      </c>
      <c r="B816" s="60">
        <f t="shared" si="454"/>
        <v>0</v>
      </c>
      <c r="C816" s="60">
        <f t="shared" si="454"/>
        <v>0</v>
      </c>
      <c r="D816" s="60">
        <f>F816+E816</f>
        <v>0</v>
      </c>
      <c r="E816" s="60">
        <v>0</v>
      </c>
      <c r="F816" s="60">
        <v>0</v>
      </c>
      <c r="G816" s="60">
        <f>I816+H816</f>
        <v>0</v>
      </c>
      <c r="H816" s="60">
        <v>0</v>
      </c>
      <c r="I816" s="60">
        <v>0</v>
      </c>
      <c r="J816" s="65" t="s">
        <v>222</v>
      </c>
      <c r="K816" s="66" t="s">
        <v>497</v>
      </c>
      <c r="L816" s="55"/>
    </row>
    <row r="817" spans="1:12" ht="12.75" customHeight="1" thickBot="1" x14ac:dyDescent="0.25">
      <c r="A817" s="60">
        <f t="shared" ref="A817:I817" si="455">SUM(A815:A816)</f>
        <v>695</v>
      </c>
      <c r="B817" s="60">
        <f t="shared" si="455"/>
        <v>695</v>
      </c>
      <c r="C817" s="60">
        <f t="shared" si="455"/>
        <v>0</v>
      </c>
      <c r="D817" s="60">
        <f t="shared" si="455"/>
        <v>0</v>
      </c>
      <c r="E817" s="60">
        <f t="shared" si="455"/>
        <v>0</v>
      </c>
      <c r="F817" s="60">
        <f t="shared" si="455"/>
        <v>0</v>
      </c>
      <c r="G817" s="60">
        <f t="shared" si="455"/>
        <v>695</v>
      </c>
      <c r="H817" s="60">
        <f t="shared" si="455"/>
        <v>695</v>
      </c>
      <c r="I817" s="60">
        <f t="shared" si="455"/>
        <v>0</v>
      </c>
      <c r="J817" s="65" t="s">
        <v>13</v>
      </c>
      <c r="K817" s="67"/>
      <c r="L817" s="55"/>
    </row>
    <row r="818" spans="1:12" ht="12.75" customHeight="1" thickBot="1" x14ac:dyDescent="0.25">
      <c r="A818" s="60">
        <f t="shared" ref="A818:C819" si="456">G818+D818</f>
        <v>759</v>
      </c>
      <c r="B818" s="60">
        <f t="shared" si="456"/>
        <v>759</v>
      </c>
      <c r="C818" s="60">
        <f t="shared" si="456"/>
        <v>0</v>
      </c>
      <c r="D818" s="60">
        <f>F818+E818</f>
        <v>0</v>
      </c>
      <c r="E818" s="60">
        <v>0</v>
      </c>
      <c r="F818" s="60">
        <v>0</v>
      </c>
      <c r="G818" s="60">
        <f>I818+H818</f>
        <v>759</v>
      </c>
      <c r="H818" s="60">
        <v>759</v>
      </c>
      <c r="I818" s="60">
        <v>0</v>
      </c>
      <c r="J818" s="65" t="s">
        <v>221</v>
      </c>
      <c r="K818" s="66"/>
      <c r="L818" s="55"/>
    </row>
    <row r="819" spans="1:12" ht="12.75" customHeight="1" thickBot="1" x14ac:dyDescent="0.25">
      <c r="A819" s="60">
        <f t="shared" si="456"/>
        <v>113</v>
      </c>
      <c r="B819" s="60">
        <f t="shared" si="456"/>
        <v>113</v>
      </c>
      <c r="C819" s="60">
        <f t="shared" si="456"/>
        <v>0</v>
      </c>
      <c r="D819" s="60">
        <f>F819+E819</f>
        <v>0</v>
      </c>
      <c r="E819" s="60">
        <v>0</v>
      </c>
      <c r="F819" s="60">
        <v>0</v>
      </c>
      <c r="G819" s="60">
        <f>I819+H819</f>
        <v>113</v>
      </c>
      <c r="H819" s="60">
        <v>113</v>
      </c>
      <c r="I819" s="60">
        <v>0</v>
      </c>
      <c r="J819" s="65" t="s">
        <v>222</v>
      </c>
      <c r="K819" s="66" t="s">
        <v>498</v>
      </c>
      <c r="L819" s="55"/>
    </row>
    <row r="820" spans="1:12" ht="12.75" customHeight="1" thickBot="1" x14ac:dyDescent="0.25">
      <c r="A820" s="60">
        <f t="shared" ref="A820:I820" si="457">SUM(A818:A819)</f>
        <v>872</v>
      </c>
      <c r="B820" s="60">
        <f t="shared" si="457"/>
        <v>872</v>
      </c>
      <c r="C820" s="60">
        <f t="shared" si="457"/>
        <v>0</v>
      </c>
      <c r="D820" s="60">
        <f t="shared" si="457"/>
        <v>0</v>
      </c>
      <c r="E820" s="60">
        <f t="shared" si="457"/>
        <v>0</v>
      </c>
      <c r="F820" s="60">
        <f t="shared" si="457"/>
        <v>0</v>
      </c>
      <c r="G820" s="60">
        <f t="shared" si="457"/>
        <v>872</v>
      </c>
      <c r="H820" s="60">
        <f t="shared" si="457"/>
        <v>872</v>
      </c>
      <c r="I820" s="60">
        <f t="shared" si="457"/>
        <v>0</v>
      </c>
      <c r="J820" s="65" t="s">
        <v>13</v>
      </c>
      <c r="K820" s="67"/>
      <c r="L820" s="55"/>
    </row>
    <row r="821" spans="1:12" ht="12.75" customHeight="1" thickBot="1" x14ac:dyDescent="0.25">
      <c r="A821" s="60">
        <f t="shared" ref="A821:H823" si="458">A797+A800+A803+A806+A809+A812+A815+A818</f>
        <v>5199</v>
      </c>
      <c r="B821" s="60">
        <f t="shared" si="458"/>
        <v>3017</v>
      </c>
      <c r="C821" s="60">
        <f t="shared" si="458"/>
        <v>2182</v>
      </c>
      <c r="D821" s="60">
        <f t="shared" si="458"/>
        <v>0</v>
      </c>
      <c r="E821" s="60">
        <f t="shared" si="458"/>
        <v>0</v>
      </c>
      <c r="F821" s="60">
        <f t="shared" si="458"/>
        <v>0</v>
      </c>
      <c r="G821" s="60">
        <f t="shared" si="458"/>
        <v>5199</v>
      </c>
      <c r="H821" s="60">
        <f t="shared" si="458"/>
        <v>3017</v>
      </c>
      <c r="I821" s="60">
        <f>I797+I800+I803+I806+I809+I812+I815+I818</f>
        <v>2182</v>
      </c>
      <c r="J821" s="65" t="s">
        <v>224</v>
      </c>
      <c r="K821" s="57"/>
      <c r="L821" s="55"/>
    </row>
    <row r="822" spans="1:12" ht="12.75" customHeight="1" thickBot="1" x14ac:dyDescent="0.25">
      <c r="A822" s="60">
        <f t="shared" si="458"/>
        <v>569</v>
      </c>
      <c r="B822" s="60">
        <f t="shared" si="458"/>
        <v>569</v>
      </c>
      <c r="C822" s="60">
        <f t="shared" si="458"/>
        <v>0</v>
      </c>
      <c r="D822" s="60">
        <f t="shared" si="458"/>
        <v>0</v>
      </c>
      <c r="E822" s="60">
        <f t="shared" si="458"/>
        <v>0</v>
      </c>
      <c r="F822" s="60">
        <f t="shared" si="458"/>
        <v>0</v>
      </c>
      <c r="G822" s="60">
        <f t="shared" si="458"/>
        <v>569</v>
      </c>
      <c r="H822" s="60">
        <f t="shared" si="458"/>
        <v>569</v>
      </c>
      <c r="I822" s="60">
        <f>I798+I801+I804+I807+I810+I813+I816+I819</f>
        <v>0</v>
      </c>
      <c r="J822" s="65" t="s">
        <v>225</v>
      </c>
      <c r="K822" s="68" t="s">
        <v>211</v>
      </c>
      <c r="L822" s="55"/>
    </row>
    <row r="823" spans="1:12" ht="12.75" customHeight="1" thickBot="1" x14ac:dyDescent="0.25">
      <c r="A823" s="60">
        <f t="shared" si="458"/>
        <v>5768</v>
      </c>
      <c r="B823" s="60">
        <f t="shared" si="458"/>
        <v>3586</v>
      </c>
      <c r="C823" s="60">
        <f t="shared" si="458"/>
        <v>2182</v>
      </c>
      <c r="D823" s="60">
        <f t="shared" si="458"/>
        <v>0</v>
      </c>
      <c r="E823" s="60">
        <f t="shared" si="458"/>
        <v>0</v>
      </c>
      <c r="F823" s="60">
        <f t="shared" si="458"/>
        <v>0</v>
      </c>
      <c r="G823" s="60">
        <f t="shared" si="458"/>
        <v>5768</v>
      </c>
      <c r="H823" s="60">
        <f t="shared" si="458"/>
        <v>3586</v>
      </c>
      <c r="I823" s="60">
        <f>I799+I802+I805+I808+I811+I814+I817+I820</f>
        <v>2182</v>
      </c>
      <c r="J823" s="65" t="s">
        <v>13</v>
      </c>
      <c r="K823" s="59"/>
      <c r="L823" s="55"/>
    </row>
    <row r="824" spans="1:12" ht="12.75" customHeight="1" x14ac:dyDescent="0.2">
      <c r="A824" s="177" t="s">
        <v>327</v>
      </c>
      <c r="B824" s="177"/>
      <c r="C824" s="177"/>
      <c r="D824" s="177"/>
      <c r="E824" s="177"/>
      <c r="F824" s="177"/>
      <c r="G824" s="177"/>
      <c r="H824" s="177"/>
      <c r="I824" s="177"/>
      <c r="J824" s="177"/>
      <c r="K824" s="177"/>
      <c r="L824" s="55"/>
    </row>
    <row r="825" spans="1:12" ht="12.75" customHeight="1" thickBot="1" x14ac:dyDescent="0.25">
      <c r="A825" s="178" t="s">
        <v>328</v>
      </c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55"/>
    </row>
    <row r="826" spans="1:12" ht="12.75" customHeight="1" thickBot="1" x14ac:dyDescent="0.25">
      <c r="A826" s="179" t="s">
        <v>5</v>
      </c>
      <c r="B826" s="179"/>
      <c r="C826" s="179"/>
      <c r="D826" s="179" t="s">
        <v>162</v>
      </c>
      <c r="E826" s="179"/>
      <c r="F826" s="179"/>
      <c r="G826" s="179" t="s">
        <v>163</v>
      </c>
      <c r="H826" s="179"/>
      <c r="I826" s="179"/>
      <c r="J826" s="179" t="s">
        <v>72</v>
      </c>
      <c r="K826" s="179"/>
      <c r="L826" s="55"/>
    </row>
    <row r="827" spans="1:12" ht="12.75" customHeight="1" thickBot="1" x14ac:dyDescent="0.25">
      <c r="A827" s="58" t="s">
        <v>216</v>
      </c>
      <c r="B827" s="58" t="s">
        <v>11</v>
      </c>
      <c r="C827" s="58" t="s">
        <v>10</v>
      </c>
      <c r="D827" s="58" t="s">
        <v>216</v>
      </c>
      <c r="E827" s="58" t="s">
        <v>11</v>
      </c>
      <c r="F827" s="58" t="s">
        <v>10</v>
      </c>
      <c r="G827" s="58" t="s">
        <v>216</v>
      </c>
      <c r="H827" s="58" t="s">
        <v>11</v>
      </c>
      <c r="I827" s="58" t="s">
        <v>10</v>
      </c>
      <c r="J827" s="180" t="s">
        <v>129</v>
      </c>
      <c r="K827" s="180"/>
      <c r="L827" s="55"/>
    </row>
    <row r="828" spans="1:12" ht="12.75" customHeight="1" thickBot="1" x14ac:dyDescent="0.25">
      <c r="A828" s="60">
        <f t="shared" ref="A828:C829" si="459">G828+D828</f>
        <v>734</v>
      </c>
      <c r="B828" s="60">
        <f t="shared" si="459"/>
        <v>734</v>
      </c>
      <c r="C828" s="60">
        <f>I828+F828</f>
        <v>0</v>
      </c>
      <c r="D828" s="60">
        <f>F828+E828</f>
        <v>4</v>
      </c>
      <c r="E828" s="60">
        <v>4</v>
      </c>
      <c r="F828" s="60">
        <v>0</v>
      </c>
      <c r="G828" s="60">
        <f>I828+H828</f>
        <v>730</v>
      </c>
      <c r="H828" s="60">
        <v>730</v>
      </c>
      <c r="I828" s="60">
        <v>0</v>
      </c>
      <c r="J828" s="65" t="s">
        <v>221</v>
      </c>
      <c r="K828" s="66"/>
      <c r="L828" s="55"/>
    </row>
    <row r="829" spans="1:12" ht="12.75" customHeight="1" thickBot="1" x14ac:dyDescent="0.25">
      <c r="A829" s="60">
        <f t="shared" si="459"/>
        <v>529</v>
      </c>
      <c r="B829" s="60">
        <f t="shared" si="459"/>
        <v>529</v>
      </c>
      <c r="C829" s="60">
        <f t="shared" si="459"/>
        <v>0</v>
      </c>
      <c r="D829" s="60">
        <f>F829+E829</f>
        <v>2</v>
      </c>
      <c r="E829" s="60">
        <v>2</v>
      </c>
      <c r="F829" s="60">
        <v>0</v>
      </c>
      <c r="G829" s="60">
        <f>I829+H829</f>
        <v>527</v>
      </c>
      <c r="H829" s="60">
        <v>527</v>
      </c>
      <c r="I829" s="60">
        <v>0</v>
      </c>
      <c r="J829" s="65" t="s">
        <v>222</v>
      </c>
      <c r="K829" s="66" t="s">
        <v>499</v>
      </c>
      <c r="L829" s="55"/>
    </row>
    <row r="830" spans="1:12" ht="12.75" customHeight="1" thickBot="1" x14ac:dyDescent="0.25">
      <c r="A830" s="60">
        <f t="shared" ref="A830:I830" si="460">SUM(A828:A829)</f>
        <v>1263</v>
      </c>
      <c r="B830" s="60">
        <f t="shared" si="460"/>
        <v>1263</v>
      </c>
      <c r="C830" s="60">
        <f t="shared" si="460"/>
        <v>0</v>
      </c>
      <c r="D830" s="60">
        <f t="shared" si="460"/>
        <v>6</v>
      </c>
      <c r="E830" s="60">
        <f t="shared" si="460"/>
        <v>6</v>
      </c>
      <c r="F830" s="60">
        <f t="shared" si="460"/>
        <v>0</v>
      </c>
      <c r="G830" s="60">
        <f t="shared" si="460"/>
        <v>1257</v>
      </c>
      <c r="H830" s="60">
        <f t="shared" si="460"/>
        <v>1257</v>
      </c>
      <c r="I830" s="60">
        <f t="shared" si="460"/>
        <v>0</v>
      </c>
      <c r="J830" s="65" t="s">
        <v>13</v>
      </c>
      <c r="K830" s="67"/>
      <c r="L830" s="55"/>
    </row>
    <row r="831" spans="1:12" ht="12.75" customHeight="1" thickBot="1" x14ac:dyDescent="0.25">
      <c r="A831" s="60">
        <f t="shared" ref="A831:C832" si="461">G831+D831</f>
        <v>463</v>
      </c>
      <c r="B831" s="60">
        <f t="shared" si="461"/>
        <v>463</v>
      </c>
      <c r="C831" s="60">
        <f t="shared" si="461"/>
        <v>0</v>
      </c>
      <c r="D831" s="60">
        <f>F831+E831</f>
        <v>0</v>
      </c>
      <c r="E831" s="60">
        <v>0</v>
      </c>
      <c r="F831" s="60">
        <v>0</v>
      </c>
      <c r="G831" s="60">
        <f>I831+H831</f>
        <v>463</v>
      </c>
      <c r="H831" s="60">
        <v>463</v>
      </c>
      <c r="I831" s="60">
        <v>0</v>
      </c>
      <c r="J831" s="65" t="s">
        <v>221</v>
      </c>
      <c r="K831" s="66"/>
      <c r="L831" s="55"/>
    </row>
    <row r="832" spans="1:12" ht="12.75" customHeight="1" thickBot="1" x14ac:dyDescent="0.25">
      <c r="A832" s="60">
        <f t="shared" si="461"/>
        <v>176</v>
      </c>
      <c r="B832" s="60">
        <f t="shared" si="461"/>
        <v>176</v>
      </c>
      <c r="C832" s="60">
        <f t="shared" si="461"/>
        <v>0</v>
      </c>
      <c r="D832" s="60">
        <f>F832+E832</f>
        <v>0</v>
      </c>
      <c r="E832" s="60">
        <v>0</v>
      </c>
      <c r="F832" s="60">
        <v>0</v>
      </c>
      <c r="G832" s="60">
        <f>I832+H832</f>
        <v>176</v>
      </c>
      <c r="H832" s="60">
        <v>176</v>
      </c>
      <c r="I832" s="60">
        <v>0</v>
      </c>
      <c r="J832" s="65" t="s">
        <v>222</v>
      </c>
      <c r="K832" s="66" t="s">
        <v>500</v>
      </c>
      <c r="L832" s="55"/>
    </row>
    <row r="833" spans="1:13" ht="12.75" customHeight="1" thickBot="1" x14ac:dyDescent="0.25">
      <c r="A833" s="60">
        <f t="shared" ref="A833:I833" si="462">SUM(A831:A832)</f>
        <v>639</v>
      </c>
      <c r="B833" s="60">
        <f t="shared" si="462"/>
        <v>639</v>
      </c>
      <c r="C833" s="60">
        <f t="shared" si="462"/>
        <v>0</v>
      </c>
      <c r="D833" s="60">
        <f t="shared" si="462"/>
        <v>0</v>
      </c>
      <c r="E833" s="60">
        <f t="shared" si="462"/>
        <v>0</v>
      </c>
      <c r="F833" s="60">
        <f t="shared" si="462"/>
        <v>0</v>
      </c>
      <c r="G833" s="60">
        <f t="shared" si="462"/>
        <v>639</v>
      </c>
      <c r="H833" s="60">
        <f t="shared" si="462"/>
        <v>639</v>
      </c>
      <c r="I833" s="60">
        <f t="shared" si="462"/>
        <v>0</v>
      </c>
      <c r="J833" s="65" t="s">
        <v>13</v>
      </c>
      <c r="K833" s="67"/>
      <c r="L833" s="55"/>
    </row>
    <row r="834" spans="1:13" ht="12.75" customHeight="1" thickBot="1" x14ac:dyDescent="0.25">
      <c r="A834" s="60">
        <f t="shared" ref="A834:C835" si="463">G834+D834</f>
        <v>799</v>
      </c>
      <c r="B834" s="60">
        <f t="shared" si="463"/>
        <v>0</v>
      </c>
      <c r="C834" s="60">
        <f t="shared" si="463"/>
        <v>799</v>
      </c>
      <c r="D834" s="60">
        <f>F834+E834</f>
        <v>0</v>
      </c>
      <c r="E834" s="60">
        <v>0</v>
      </c>
      <c r="F834" s="60">
        <v>0</v>
      </c>
      <c r="G834" s="60">
        <f>I834+H834</f>
        <v>799</v>
      </c>
      <c r="H834" s="60">
        <v>0</v>
      </c>
      <c r="I834" s="60">
        <f>436+439-76</f>
        <v>799</v>
      </c>
      <c r="J834" s="65" t="s">
        <v>221</v>
      </c>
      <c r="K834" s="66"/>
      <c r="L834" s="55"/>
      <c r="M834" s="69"/>
    </row>
    <row r="835" spans="1:13" ht="12.75" customHeight="1" thickBot="1" x14ac:dyDescent="0.25">
      <c r="A835" s="60">
        <f t="shared" si="463"/>
        <v>0</v>
      </c>
      <c r="B835" s="60">
        <f t="shared" si="463"/>
        <v>0</v>
      </c>
      <c r="C835" s="60">
        <f t="shared" si="463"/>
        <v>0</v>
      </c>
      <c r="D835" s="60">
        <f>F835+E835</f>
        <v>0</v>
      </c>
      <c r="E835" s="60">
        <v>0</v>
      </c>
      <c r="F835" s="60">
        <v>0</v>
      </c>
      <c r="G835" s="60">
        <f>I835+H835</f>
        <v>0</v>
      </c>
      <c r="H835" s="60">
        <v>0</v>
      </c>
      <c r="I835" s="60">
        <v>0</v>
      </c>
      <c r="J835" s="65" t="s">
        <v>222</v>
      </c>
      <c r="K835" s="66" t="s">
        <v>501</v>
      </c>
      <c r="L835" s="55"/>
    </row>
    <row r="836" spans="1:13" ht="12.75" customHeight="1" thickBot="1" x14ac:dyDescent="0.25">
      <c r="A836" s="60">
        <f t="shared" ref="A836:I836" si="464">SUM(A834:A835)</f>
        <v>799</v>
      </c>
      <c r="B836" s="60">
        <f t="shared" si="464"/>
        <v>0</v>
      </c>
      <c r="C836" s="60">
        <f t="shared" si="464"/>
        <v>799</v>
      </c>
      <c r="D836" s="60">
        <f t="shared" si="464"/>
        <v>0</v>
      </c>
      <c r="E836" s="60">
        <f t="shared" si="464"/>
        <v>0</v>
      </c>
      <c r="F836" s="60">
        <f t="shared" si="464"/>
        <v>0</v>
      </c>
      <c r="G836" s="60">
        <f t="shared" si="464"/>
        <v>799</v>
      </c>
      <c r="H836" s="60">
        <f t="shared" si="464"/>
        <v>0</v>
      </c>
      <c r="I836" s="60">
        <f t="shared" si="464"/>
        <v>799</v>
      </c>
      <c r="J836" s="65" t="s">
        <v>13</v>
      </c>
      <c r="K836" s="67"/>
      <c r="L836" s="55"/>
    </row>
    <row r="837" spans="1:13" ht="12.75" customHeight="1" thickBot="1" x14ac:dyDescent="0.25">
      <c r="A837" s="60">
        <f t="shared" ref="A837:H839" si="465">A828+A831+A834</f>
        <v>1996</v>
      </c>
      <c r="B837" s="60">
        <f t="shared" si="465"/>
        <v>1197</v>
      </c>
      <c r="C837" s="60">
        <f t="shared" si="465"/>
        <v>799</v>
      </c>
      <c r="D837" s="60">
        <f t="shared" si="465"/>
        <v>4</v>
      </c>
      <c r="E837" s="60">
        <f t="shared" si="465"/>
        <v>4</v>
      </c>
      <c r="F837" s="60">
        <f t="shared" si="465"/>
        <v>0</v>
      </c>
      <c r="G837" s="60">
        <f t="shared" si="465"/>
        <v>1992</v>
      </c>
      <c r="H837" s="60">
        <f t="shared" si="465"/>
        <v>1193</v>
      </c>
      <c r="I837" s="60">
        <f>I828+I831+I834</f>
        <v>799</v>
      </c>
      <c r="J837" s="65" t="s">
        <v>224</v>
      </c>
      <c r="K837" s="57"/>
      <c r="L837" s="55"/>
    </row>
    <row r="838" spans="1:13" ht="12.75" customHeight="1" thickBot="1" x14ac:dyDescent="0.25">
      <c r="A838" s="60">
        <f t="shared" si="465"/>
        <v>705</v>
      </c>
      <c r="B838" s="60">
        <f t="shared" si="465"/>
        <v>705</v>
      </c>
      <c r="C838" s="60">
        <f t="shared" si="465"/>
        <v>0</v>
      </c>
      <c r="D838" s="60">
        <f t="shared" si="465"/>
        <v>2</v>
      </c>
      <c r="E838" s="60">
        <f t="shared" si="465"/>
        <v>2</v>
      </c>
      <c r="F838" s="60">
        <f t="shared" si="465"/>
        <v>0</v>
      </c>
      <c r="G838" s="60">
        <f t="shared" si="465"/>
        <v>703</v>
      </c>
      <c r="H838" s="60">
        <f t="shared" si="465"/>
        <v>703</v>
      </c>
      <c r="I838" s="60">
        <f>I829+I832+I835</f>
        <v>0</v>
      </c>
      <c r="J838" s="65" t="s">
        <v>225</v>
      </c>
      <c r="K838" s="68" t="s">
        <v>211</v>
      </c>
      <c r="L838" s="55"/>
    </row>
    <row r="839" spans="1:13" ht="12.75" customHeight="1" thickBot="1" x14ac:dyDescent="0.25">
      <c r="A839" s="60">
        <f t="shared" si="465"/>
        <v>2701</v>
      </c>
      <c r="B839" s="60">
        <f t="shared" si="465"/>
        <v>1902</v>
      </c>
      <c r="C839" s="60">
        <f t="shared" si="465"/>
        <v>799</v>
      </c>
      <c r="D839" s="60">
        <f t="shared" si="465"/>
        <v>6</v>
      </c>
      <c r="E839" s="60">
        <f t="shared" si="465"/>
        <v>6</v>
      </c>
      <c r="F839" s="60">
        <f t="shared" si="465"/>
        <v>0</v>
      </c>
      <c r="G839" s="60">
        <f t="shared" si="465"/>
        <v>2695</v>
      </c>
      <c r="H839" s="60">
        <f t="shared" si="465"/>
        <v>1896</v>
      </c>
      <c r="I839" s="60">
        <f>I830+I833+I836</f>
        <v>799</v>
      </c>
      <c r="J839" s="65" t="s">
        <v>13</v>
      </c>
      <c r="K839" s="59"/>
      <c r="L839" s="55"/>
    </row>
    <row r="840" spans="1:13" ht="12.75" customHeight="1" x14ac:dyDescent="0.2">
      <c r="A840" s="177" t="s">
        <v>327</v>
      </c>
      <c r="B840" s="177"/>
      <c r="C840" s="177"/>
      <c r="D840" s="177"/>
      <c r="E840" s="177"/>
      <c r="F840" s="177"/>
      <c r="G840" s="177"/>
      <c r="H840" s="177"/>
      <c r="I840" s="177"/>
      <c r="J840" s="177"/>
      <c r="K840" s="177"/>
      <c r="L840" s="55"/>
    </row>
    <row r="841" spans="1:13" ht="12.75" customHeight="1" thickBot="1" x14ac:dyDescent="0.25">
      <c r="A841" s="178" t="s">
        <v>328</v>
      </c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55"/>
    </row>
    <row r="842" spans="1:13" ht="12.75" customHeight="1" thickBot="1" x14ac:dyDescent="0.25">
      <c r="A842" s="179" t="s">
        <v>5</v>
      </c>
      <c r="B842" s="179"/>
      <c r="C842" s="179"/>
      <c r="D842" s="179" t="s">
        <v>162</v>
      </c>
      <c r="E842" s="179"/>
      <c r="F842" s="179"/>
      <c r="G842" s="179" t="s">
        <v>163</v>
      </c>
      <c r="H842" s="179"/>
      <c r="I842" s="179"/>
      <c r="J842" s="179" t="s">
        <v>72</v>
      </c>
      <c r="K842" s="179"/>
      <c r="L842" s="55"/>
    </row>
    <row r="843" spans="1:13" ht="12.75" customHeight="1" thickBot="1" x14ac:dyDescent="0.25">
      <c r="A843" s="58" t="s">
        <v>216</v>
      </c>
      <c r="B843" s="58" t="s">
        <v>11</v>
      </c>
      <c r="C843" s="58" t="s">
        <v>10</v>
      </c>
      <c r="D843" s="58" t="s">
        <v>216</v>
      </c>
      <c r="E843" s="58" t="s">
        <v>11</v>
      </c>
      <c r="F843" s="58" t="s">
        <v>10</v>
      </c>
      <c r="G843" s="58" t="s">
        <v>216</v>
      </c>
      <c r="H843" s="58" t="s">
        <v>11</v>
      </c>
      <c r="I843" s="58" t="s">
        <v>10</v>
      </c>
      <c r="J843" s="180" t="s">
        <v>131</v>
      </c>
      <c r="K843" s="180"/>
      <c r="L843" s="55"/>
    </row>
    <row r="844" spans="1:13" ht="12.75" customHeight="1" thickBot="1" x14ac:dyDescent="0.25">
      <c r="A844" s="60">
        <f t="shared" ref="A844:C845" si="466">G844+D844</f>
        <v>813</v>
      </c>
      <c r="B844" s="60">
        <f t="shared" si="466"/>
        <v>813</v>
      </c>
      <c r="C844" s="60">
        <f t="shared" si="466"/>
        <v>0</v>
      </c>
      <c r="D844" s="60">
        <f>F844+E844</f>
        <v>5</v>
      </c>
      <c r="E844" s="60">
        <v>5</v>
      </c>
      <c r="F844" s="60">
        <v>0</v>
      </c>
      <c r="G844" s="60">
        <f>I844+H844</f>
        <v>808</v>
      </c>
      <c r="H844" s="60">
        <v>808</v>
      </c>
      <c r="I844" s="60">
        <v>0</v>
      </c>
      <c r="J844" s="65" t="s">
        <v>221</v>
      </c>
      <c r="K844" s="66"/>
      <c r="L844" s="55"/>
    </row>
    <row r="845" spans="1:13" ht="12.75" customHeight="1" thickBot="1" x14ac:dyDescent="0.25">
      <c r="A845" s="60">
        <f t="shared" si="466"/>
        <v>0</v>
      </c>
      <c r="B845" s="60">
        <f t="shared" si="466"/>
        <v>0</v>
      </c>
      <c r="C845" s="60">
        <f t="shared" si="466"/>
        <v>0</v>
      </c>
      <c r="D845" s="60">
        <f>F845+E845</f>
        <v>0</v>
      </c>
      <c r="E845" s="60">
        <v>0</v>
      </c>
      <c r="F845" s="60">
        <v>0</v>
      </c>
      <c r="G845" s="60">
        <f>I845+H845</f>
        <v>0</v>
      </c>
      <c r="H845" s="60">
        <v>0</v>
      </c>
      <c r="I845" s="60">
        <v>0</v>
      </c>
      <c r="J845" s="65" t="s">
        <v>222</v>
      </c>
      <c r="K845" s="66" t="s">
        <v>502</v>
      </c>
      <c r="L845" s="55"/>
    </row>
    <row r="846" spans="1:13" ht="12.75" customHeight="1" thickBot="1" x14ac:dyDescent="0.25">
      <c r="A846" s="60">
        <f t="shared" ref="A846:I846" si="467">SUM(A844:A845)</f>
        <v>813</v>
      </c>
      <c r="B846" s="60">
        <f t="shared" si="467"/>
        <v>813</v>
      </c>
      <c r="C846" s="60">
        <f t="shared" si="467"/>
        <v>0</v>
      </c>
      <c r="D846" s="60">
        <f t="shared" si="467"/>
        <v>5</v>
      </c>
      <c r="E846" s="60">
        <f t="shared" si="467"/>
        <v>5</v>
      </c>
      <c r="F846" s="60">
        <f t="shared" si="467"/>
        <v>0</v>
      </c>
      <c r="G846" s="60">
        <f t="shared" si="467"/>
        <v>808</v>
      </c>
      <c r="H846" s="60">
        <f t="shared" si="467"/>
        <v>808</v>
      </c>
      <c r="I846" s="60">
        <f t="shared" si="467"/>
        <v>0</v>
      </c>
      <c r="J846" s="65" t="s">
        <v>13</v>
      </c>
      <c r="K846" s="67"/>
      <c r="L846" s="55"/>
    </row>
    <row r="847" spans="1:13" ht="12.75" customHeight="1" thickBot="1" x14ac:dyDescent="0.25">
      <c r="A847" s="60">
        <f t="shared" ref="A847:C848" si="468">G847+D847</f>
        <v>900</v>
      </c>
      <c r="B847" s="60">
        <f t="shared" si="468"/>
        <v>900</v>
      </c>
      <c r="C847" s="60">
        <f t="shared" si="468"/>
        <v>0</v>
      </c>
      <c r="D847" s="60">
        <f>F847+E847</f>
        <v>8</v>
      </c>
      <c r="E847" s="60">
        <v>8</v>
      </c>
      <c r="F847" s="60">
        <v>0</v>
      </c>
      <c r="G847" s="60">
        <f>I847+H847</f>
        <v>892</v>
      </c>
      <c r="H847" s="60">
        <v>892</v>
      </c>
      <c r="I847" s="60">
        <v>0</v>
      </c>
      <c r="J847" s="65" t="s">
        <v>221</v>
      </c>
      <c r="K847" s="66"/>
      <c r="L847" s="55"/>
    </row>
    <row r="848" spans="1:13" ht="12.75" customHeight="1" thickBot="1" x14ac:dyDescent="0.25">
      <c r="A848" s="60">
        <f t="shared" si="468"/>
        <v>1083</v>
      </c>
      <c r="B848" s="60">
        <f t="shared" si="468"/>
        <v>1083</v>
      </c>
      <c r="C848" s="60">
        <f t="shared" si="468"/>
        <v>0</v>
      </c>
      <c r="D848" s="60">
        <f>F848+E848</f>
        <v>4</v>
      </c>
      <c r="E848" s="60">
        <v>4</v>
      </c>
      <c r="F848" s="60">
        <v>0</v>
      </c>
      <c r="G848" s="60">
        <f>I848+H848</f>
        <v>1079</v>
      </c>
      <c r="H848" s="60">
        <v>1079</v>
      </c>
      <c r="I848" s="60">
        <v>0</v>
      </c>
      <c r="J848" s="65" t="s">
        <v>222</v>
      </c>
      <c r="K848" s="66" t="s">
        <v>503</v>
      </c>
      <c r="L848" s="55"/>
    </row>
    <row r="849" spans="1:12" ht="12.75" customHeight="1" thickBot="1" x14ac:dyDescent="0.25">
      <c r="A849" s="60">
        <f t="shared" ref="A849:I849" si="469">SUM(A847:A848)</f>
        <v>1983</v>
      </c>
      <c r="B849" s="60">
        <f t="shared" si="469"/>
        <v>1983</v>
      </c>
      <c r="C849" s="60">
        <f t="shared" si="469"/>
        <v>0</v>
      </c>
      <c r="D849" s="60">
        <f t="shared" si="469"/>
        <v>12</v>
      </c>
      <c r="E849" s="60">
        <f t="shared" si="469"/>
        <v>12</v>
      </c>
      <c r="F849" s="60">
        <f t="shared" si="469"/>
        <v>0</v>
      </c>
      <c r="G849" s="60">
        <f t="shared" si="469"/>
        <v>1971</v>
      </c>
      <c r="H849" s="60">
        <f t="shared" si="469"/>
        <v>1971</v>
      </c>
      <c r="I849" s="60">
        <f t="shared" si="469"/>
        <v>0</v>
      </c>
      <c r="J849" s="65" t="s">
        <v>13</v>
      </c>
      <c r="K849" s="67"/>
      <c r="L849" s="55"/>
    </row>
    <row r="850" spans="1:12" ht="12.75" customHeight="1" thickBot="1" x14ac:dyDescent="0.25">
      <c r="A850" s="60">
        <f t="shared" ref="A850:C851" si="470">G850+D850</f>
        <v>631</v>
      </c>
      <c r="B850" s="60">
        <f t="shared" si="470"/>
        <v>631</v>
      </c>
      <c r="C850" s="60">
        <f t="shared" si="470"/>
        <v>0</v>
      </c>
      <c r="D850" s="60">
        <f>F850+E850</f>
        <v>0</v>
      </c>
      <c r="E850" s="60">
        <v>0</v>
      </c>
      <c r="F850" s="60">
        <v>0</v>
      </c>
      <c r="G850" s="60">
        <f>I850+H850</f>
        <v>631</v>
      </c>
      <c r="H850" s="60">
        <v>631</v>
      </c>
      <c r="I850" s="60">
        <v>0</v>
      </c>
      <c r="J850" s="65" t="s">
        <v>221</v>
      </c>
      <c r="K850" s="66"/>
      <c r="L850" s="55"/>
    </row>
    <row r="851" spans="1:12" ht="12.75" customHeight="1" thickBot="1" x14ac:dyDescent="0.25">
      <c r="A851" s="60">
        <f t="shared" si="470"/>
        <v>0</v>
      </c>
      <c r="B851" s="60">
        <f t="shared" si="470"/>
        <v>0</v>
      </c>
      <c r="C851" s="60">
        <f t="shared" si="470"/>
        <v>0</v>
      </c>
      <c r="D851" s="60">
        <f>F851+E851</f>
        <v>0</v>
      </c>
      <c r="E851" s="60">
        <v>0</v>
      </c>
      <c r="F851" s="60">
        <v>0</v>
      </c>
      <c r="G851" s="60">
        <f>I851+H851</f>
        <v>0</v>
      </c>
      <c r="H851" s="60">
        <v>0</v>
      </c>
      <c r="I851" s="60">
        <v>0</v>
      </c>
      <c r="J851" s="65" t="s">
        <v>222</v>
      </c>
      <c r="K851" s="66" t="s">
        <v>504</v>
      </c>
      <c r="L851" s="55"/>
    </row>
    <row r="852" spans="1:12" ht="12.75" customHeight="1" thickBot="1" x14ac:dyDescent="0.25">
      <c r="A852" s="60">
        <f t="shared" ref="A852:I852" si="471">SUM(A850:A851)</f>
        <v>631</v>
      </c>
      <c r="B852" s="60">
        <f t="shared" si="471"/>
        <v>631</v>
      </c>
      <c r="C852" s="60">
        <f t="shared" si="471"/>
        <v>0</v>
      </c>
      <c r="D852" s="60">
        <f t="shared" si="471"/>
        <v>0</v>
      </c>
      <c r="E852" s="60">
        <f t="shared" si="471"/>
        <v>0</v>
      </c>
      <c r="F852" s="60">
        <f t="shared" si="471"/>
        <v>0</v>
      </c>
      <c r="G852" s="60">
        <f t="shared" si="471"/>
        <v>631</v>
      </c>
      <c r="H852" s="60">
        <f t="shared" si="471"/>
        <v>631</v>
      </c>
      <c r="I852" s="60">
        <f t="shared" si="471"/>
        <v>0</v>
      </c>
      <c r="J852" s="65" t="s">
        <v>13</v>
      </c>
      <c r="K852" s="67"/>
      <c r="L852" s="55"/>
    </row>
    <row r="853" spans="1:12" ht="12.75" customHeight="1" thickBot="1" x14ac:dyDescent="0.25">
      <c r="A853" s="60">
        <f t="shared" ref="A853:C854" si="472">G853+D853</f>
        <v>490</v>
      </c>
      <c r="B853" s="60">
        <f t="shared" si="472"/>
        <v>490</v>
      </c>
      <c r="C853" s="60">
        <f t="shared" si="472"/>
        <v>0</v>
      </c>
      <c r="D853" s="60">
        <f>F853+E853</f>
        <v>0</v>
      </c>
      <c r="E853" s="60">
        <v>0</v>
      </c>
      <c r="F853" s="60">
        <v>0</v>
      </c>
      <c r="G853" s="60">
        <f>I853+H853</f>
        <v>490</v>
      </c>
      <c r="H853" s="60">
        <v>490</v>
      </c>
      <c r="I853" s="60">
        <v>0</v>
      </c>
      <c r="J853" s="65" t="s">
        <v>221</v>
      </c>
      <c r="K853" s="66"/>
      <c r="L853" s="55"/>
    </row>
    <row r="854" spans="1:12" ht="12.75" customHeight="1" thickBot="1" x14ac:dyDescent="0.25">
      <c r="A854" s="60">
        <f t="shared" si="472"/>
        <v>0</v>
      </c>
      <c r="B854" s="60">
        <f t="shared" si="472"/>
        <v>0</v>
      </c>
      <c r="C854" s="60">
        <f t="shared" si="472"/>
        <v>0</v>
      </c>
      <c r="D854" s="60">
        <f>F854+E854</f>
        <v>0</v>
      </c>
      <c r="E854" s="60">
        <v>0</v>
      </c>
      <c r="F854" s="60">
        <v>0</v>
      </c>
      <c r="G854" s="60">
        <f>I854+H854</f>
        <v>0</v>
      </c>
      <c r="H854" s="60">
        <v>0</v>
      </c>
      <c r="I854" s="60">
        <v>0</v>
      </c>
      <c r="J854" s="65" t="s">
        <v>222</v>
      </c>
      <c r="K854" s="66" t="s">
        <v>505</v>
      </c>
      <c r="L854" s="55"/>
    </row>
    <row r="855" spans="1:12" ht="12.75" customHeight="1" thickBot="1" x14ac:dyDescent="0.25">
      <c r="A855" s="60">
        <f t="shared" ref="A855:I855" si="473">SUM(A853:A854)</f>
        <v>490</v>
      </c>
      <c r="B855" s="60">
        <f t="shared" si="473"/>
        <v>490</v>
      </c>
      <c r="C855" s="60">
        <f t="shared" si="473"/>
        <v>0</v>
      </c>
      <c r="D855" s="60">
        <f t="shared" si="473"/>
        <v>0</v>
      </c>
      <c r="E855" s="60">
        <f t="shared" si="473"/>
        <v>0</v>
      </c>
      <c r="F855" s="60">
        <f t="shared" si="473"/>
        <v>0</v>
      </c>
      <c r="G855" s="60">
        <f t="shared" si="473"/>
        <v>490</v>
      </c>
      <c r="H855" s="60">
        <f t="shared" si="473"/>
        <v>490</v>
      </c>
      <c r="I855" s="60">
        <f t="shared" si="473"/>
        <v>0</v>
      </c>
      <c r="J855" s="65" t="s">
        <v>13</v>
      </c>
      <c r="K855" s="67"/>
      <c r="L855" s="55"/>
    </row>
    <row r="856" spans="1:12" ht="12.75" customHeight="1" thickBot="1" x14ac:dyDescent="0.25">
      <c r="A856" s="60">
        <f t="shared" ref="A856:C857" si="474">G856+D856</f>
        <v>727</v>
      </c>
      <c r="B856" s="60">
        <f t="shared" si="474"/>
        <v>727</v>
      </c>
      <c r="C856" s="60">
        <f t="shared" si="474"/>
        <v>0</v>
      </c>
      <c r="D856" s="60">
        <f>F856+E856</f>
        <v>2</v>
      </c>
      <c r="E856" s="60">
        <v>2</v>
      </c>
      <c r="F856" s="60">
        <v>0</v>
      </c>
      <c r="G856" s="60">
        <f>I856+H856</f>
        <v>725</v>
      </c>
      <c r="H856" s="60">
        <v>725</v>
      </c>
      <c r="I856" s="60">
        <v>0</v>
      </c>
      <c r="J856" s="65" t="s">
        <v>221</v>
      </c>
      <c r="K856" s="66"/>
      <c r="L856" s="55"/>
    </row>
    <row r="857" spans="1:12" ht="12.75" customHeight="1" thickBot="1" x14ac:dyDescent="0.25">
      <c r="A857" s="60">
        <f t="shared" si="474"/>
        <v>844</v>
      </c>
      <c r="B857" s="60">
        <f t="shared" si="474"/>
        <v>844</v>
      </c>
      <c r="C857" s="60">
        <f t="shared" si="474"/>
        <v>0</v>
      </c>
      <c r="D857" s="60">
        <f>F857+E857</f>
        <v>1</v>
      </c>
      <c r="E857" s="60">
        <v>1</v>
      </c>
      <c r="F857" s="60">
        <v>0</v>
      </c>
      <c r="G857" s="60">
        <f>I857+H857</f>
        <v>843</v>
      </c>
      <c r="H857" s="60">
        <v>843</v>
      </c>
      <c r="I857" s="60">
        <v>0</v>
      </c>
      <c r="J857" s="65" t="s">
        <v>222</v>
      </c>
      <c r="K857" s="66" t="s">
        <v>506</v>
      </c>
      <c r="L857" s="55"/>
    </row>
    <row r="858" spans="1:12" ht="12.75" customHeight="1" thickBot="1" x14ac:dyDescent="0.25">
      <c r="A858" s="60">
        <f t="shared" ref="A858:I858" si="475">SUM(A856:A857)</f>
        <v>1571</v>
      </c>
      <c r="B858" s="60">
        <f t="shared" si="475"/>
        <v>1571</v>
      </c>
      <c r="C858" s="60">
        <f t="shared" si="475"/>
        <v>0</v>
      </c>
      <c r="D858" s="60">
        <f t="shared" si="475"/>
        <v>3</v>
      </c>
      <c r="E858" s="60">
        <f t="shared" si="475"/>
        <v>3</v>
      </c>
      <c r="F858" s="60">
        <f t="shared" si="475"/>
        <v>0</v>
      </c>
      <c r="G858" s="60">
        <f t="shared" si="475"/>
        <v>1568</v>
      </c>
      <c r="H858" s="60">
        <f t="shared" si="475"/>
        <v>1568</v>
      </c>
      <c r="I858" s="60">
        <f t="shared" si="475"/>
        <v>0</v>
      </c>
      <c r="J858" s="65" t="s">
        <v>13</v>
      </c>
      <c r="K858" s="67"/>
      <c r="L858" s="55"/>
    </row>
    <row r="859" spans="1:12" ht="12.75" customHeight="1" thickBot="1" x14ac:dyDescent="0.25">
      <c r="A859" s="60">
        <f t="shared" ref="A859:C860" si="476">G859+D859</f>
        <v>504</v>
      </c>
      <c r="B859" s="60">
        <f t="shared" si="476"/>
        <v>504</v>
      </c>
      <c r="C859" s="60">
        <f t="shared" si="476"/>
        <v>0</v>
      </c>
      <c r="D859" s="60">
        <f>F859+E859</f>
        <v>0</v>
      </c>
      <c r="E859" s="60">
        <v>0</v>
      </c>
      <c r="F859" s="60">
        <v>0</v>
      </c>
      <c r="G859" s="60">
        <f>I859+H859</f>
        <v>504</v>
      </c>
      <c r="H859" s="60">
        <v>504</v>
      </c>
      <c r="I859" s="60">
        <v>0</v>
      </c>
      <c r="J859" s="65" t="s">
        <v>221</v>
      </c>
      <c r="K859" s="66"/>
      <c r="L859" s="55"/>
    </row>
    <row r="860" spans="1:12" ht="12.75" customHeight="1" thickBot="1" x14ac:dyDescent="0.25">
      <c r="A860" s="60">
        <f t="shared" si="476"/>
        <v>47</v>
      </c>
      <c r="B860" s="60">
        <f t="shared" si="476"/>
        <v>47</v>
      </c>
      <c r="C860" s="60">
        <f t="shared" si="476"/>
        <v>0</v>
      </c>
      <c r="D860" s="60">
        <f>F860+E860</f>
        <v>0</v>
      </c>
      <c r="E860" s="60">
        <v>0</v>
      </c>
      <c r="F860" s="60">
        <v>0</v>
      </c>
      <c r="G860" s="60">
        <f>I860+H860</f>
        <v>47</v>
      </c>
      <c r="H860" s="60">
        <v>47</v>
      </c>
      <c r="I860" s="60">
        <v>0</v>
      </c>
      <c r="J860" s="65" t="s">
        <v>222</v>
      </c>
      <c r="K860" s="66" t="s">
        <v>507</v>
      </c>
      <c r="L860" s="55"/>
    </row>
    <row r="861" spans="1:12" ht="12.75" customHeight="1" thickBot="1" x14ac:dyDescent="0.25">
      <c r="A861" s="60">
        <f t="shared" ref="A861:I861" si="477">SUM(A859:A860)</f>
        <v>551</v>
      </c>
      <c r="B861" s="60">
        <f t="shared" si="477"/>
        <v>551</v>
      </c>
      <c r="C861" s="60">
        <f t="shared" si="477"/>
        <v>0</v>
      </c>
      <c r="D861" s="60">
        <f t="shared" si="477"/>
        <v>0</v>
      </c>
      <c r="E861" s="60">
        <f t="shared" si="477"/>
        <v>0</v>
      </c>
      <c r="F861" s="60">
        <f t="shared" si="477"/>
        <v>0</v>
      </c>
      <c r="G861" s="60">
        <f t="shared" si="477"/>
        <v>551</v>
      </c>
      <c r="H861" s="60">
        <f t="shared" si="477"/>
        <v>551</v>
      </c>
      <c r="I861" s="60">
        <f t="shared" si="477"/>
        <v>0</v>
      </c>
      <c r="J861" s="65" t="s">
        <v>13</v>
      </c>
      <c r="K861" s="67"/>
      <c r="L861" s="55"/>
    </row>
    <row r="862" spans="1:12" ht="12.75" customHeight="1" thickBot="1" x14ac:dyDescent="0.25">
      <c r="A862" s="60">
        <f t="shared" ref="A862:C863" si="478">G862+D862</f>
        <v>373</v>
      </c>
      <c r="B862" s="60">
        <f t="shared" si="478"/>
        <v>373</v>
      </c>
      <c r="C862" s="60">
        <f t="shared" si="478"/>
        <v>0</v>
      </c>
      <c r="D862" s="60">
        <f>F862+E862</f>
        <v>0</v>
      </c>
      <c r="E862" s="60">
        <v>0</v>
      </c>
      <c r="F862" s="60">
        <v>0</v>
      </c>
      <c r="G862" s="60">
        <f>I862+H862</f>
        <v>373</v>
      </c>
      <c r="H862" s="60">
        <v>373</v>
      </c>
      <c r="I862" s="60">
        <v>0</v>
      </c>
      <c r="J862" s="65" t="s">
        <v>221</v>
      </c>
      <c r="K862" s="66"/>
      <c r="L862" s="55"/>
    </row>
    <row r="863" spans="1:12" ht="12.75" customHeight="1" thickBot="1" x14ac:dyDescent="0.25">
      <c r="A863" s="60">
        <f t="shared" si="478"/>
        <v>14</v>
      </c>
      <c r="B863" s="60">
        <f t="shared" si="478"/>
        <v>14</v>
      </c>
      <c r="C863" s="60">
        <f t="shared" si="478"/>
        <v>0</v>
      </c>
      <c r="D863" s="60">
        <f>F863+E863</f>
        <v>0</v>
      </c>
      <c r="E863" s="60">
        <v>0</v>
      </c>
      <c r="F863" s="60">
        <v>0</v>
      </c>
      <c r="G863" s="60">
        <f>I863+H863</f>
        <v>14</v>
      </c>
      <c r="H863" s="60">
        <v>14</v>
      </c>
      <c r="I863" s="60">
        <v>0</v>
      </c>
      <c r="J863" s="65" t="s">
        <v>222</v>
      </c>
      <c r="K863" s="66" t="s">
        <v>508</v>
      </c>
      <c r="L863" s="55"/>
    </row>
    <row r="864" spans="1:12" ht="12.75" customHeight="1" thickBot="1" x14ac:dyDescent="0.25">
      <c r="A864" s="60">
        <f t="shared" ref="A864:I864" si="479">SUM(A862:A863)</f>
        <v>387</v>
      </c>
      <c r="B864" s="60">
        <f t="shared" si="479"/>
        <v>387</v>
      </c>
      <c r="C864" s="60">
        <f t="shared" si="479"/>
        <v>0</v>
      </c>
      <c r="D864" s="60">
        <f t="shared" si="479"/>
        <v>0</v>
      </c>
      <c r="E864" s="60">
        <f t="shared" si="479"/>
        <v>0</v>
      </c>
      <c r="F864" s="60">
        <f t="shared" si="479"/>
        <v>0</v>
      </c>
      <c r="G864" s="60">
        <f t="shared" si="479"/>
        <v>387</v>
      </c>
      <c r="H864" s="60">
        <f t="shared" si="479"/>
        <v>387</v>
      </c>
      <c r="I864" s="60">
        <f t="shared" si="479"/>
        <v>0</v>
      </c>
      <c r="J864" s="65" t="s">
        <v>13</v>
      </c>
      <c r="K864" s="67"/>
      <c r="L864" s="55"/>
    </row>
    <row r="865" spans="1:12" ht="12.75" customHeight="1" thickBot="1" x14ac:dyDescent="0.25">
      <c r="A865" s="60">
        <f t="shared" ref="A865:C866" si="480">G865+D865</f>
        <v>273</v>
      </c>
      <c r="B865" s="60">
        <f t="shared" si="480"/>
        <v>273</v>
      </c>
      <c r="C865" s="60">
        <f t="shared" si="480"/>
        <v>0</v>
      </c>
      <c r="D865" s="60">
        <f>F865+E865</f>
        <v>0</v>
      </c>
      <c r="E865" s="60">
        <v>0</v>
      </c>
      <c r="F865" s="60">
        <v>0</v>
      </c>
      <c r="G865" s="60">
        <f>I865+H865</f>
        <v>273</v>
      </c>
      <c r="H865" s="60">
        <v>273</v>
      </c>
      <c r="I865" s="60">
        <v>0</v>
      </c>
      <c r="J865" s="65" t="s">
        <v>221</v>
      </c>
      <c r="K865" s="66"/>
      <c r="L865" s="55"/>
    </row>
    <row r="866" spans="1:12" ht="12.75" customHeight="1" thickBot="1" x14ac:dyDescent="0.25">
      <c r="A866" s="60">
        <f t="shared" si="480"/>
        <v>78</v>
      </c>
      <c r="B866" s="60">
        <f t="shared" si="480"/>
        <v>78</v>
      </c>
      <c r="C866" s="60">
        <f t="shared" si="480"/>
        <v>0</v>
      </c>
      <c r="D866" s="60">
        <f>F866+E866</f>
        <v>0</v>
      </c>
      <c r="E866" s="60">
        <v>0</v>
      </c>
      <c r="F866" s="60">
        <v>0</v>
      </c>
      <c r="G866" s="60">
        <f>I866+H866</f>
        <v>78</v>
      </c>
      <c r="H866" s="60">
        <v>78</v>
      </c>
      <c r="I866" s="60">
        <v>0</v>
      </c>
      <c r="J866" s="65" t="s">
        <v>222</v>
      </c>
      <c r="K866" s="66" t="s">
        <v>509</v>
      </c>
      <c r="L866" s="55"/>
    </row>
    <row r="867" spans="1:12" ht="12.75" customHeight="1" thickBot="1" x14ac:dyDescent="0.25">
      <c r="A867" s="60">
        <f t="shared" ref="A867:I867" si="481">SUM(A865:A866)</f>
        <v>351</v>
      </c>
      <c r="B867" s="60">
        <f t="shared" si="481"/>
        <v>351</v>
      </c>
      <c r="C867" s="60">
        <f t="shared" si="481"/>
        <v>0</v>
      </c>
      <c r="D867" s="60">
        <f t="shared" si="481"/>
        <v>0</v>
      </c>
      <c r="E867" s="60">
        <f t="shared" si="481"/>
        <v>0</v>
      </c>
      <c r="F867" s="60">
        <f t="shared" si="481"/>
        <v>0</v>
      </c>
      <c r="G867" s="60">
        <f t="shared" si="481"/>
        <v>351</v>
      </c>
      <c r="H867" s="60">
        <f t="shared" si="481"/>
        <v>351</v>
      </c>
      <c r="I867" s="60">
        <f t="shared" si="481"/>
        <v>0</v>
      </c>
      <c r="J867" s="65" t="s">
        <v>13</v>
      </c>
      <c r="K867" s="67"/>
      <c r="L867" s="55"/>
    </row>
    <row r="868" spans="1:12" ht="12.75" customHeight="1" thickBot="1" x14ac:dyDescent="0.25">
      <c r="A868" s="60">
        <f t="shared" ref="A868:C869" si="482">G868+D868</f>
        <v>363</v>
      </c>
      <c r="B868" s="60">
        <f t="shared" si="482"/>
        <v>363</v>
      </c>
      <c r="C868" s="60">
        <f t="shared" si="482"/>
        <v>0</v>
      </c>
      <c r="D868" s="60">
        <f>F868+E868</f>
        <v>0</v>
      </c>
      <c r="E868" s="60">
        <v>0</v>
      </c>
      <c r="F868" s="60">
        <v>0</v>
      </c>
      <c r="G868" s="60">
        <f>I868+H868</f>
        <v>363</v>
      </c>
      <c r="H868" s="60">
        <v>363</v>
      </c>
      <c r="I868" s="60">
        <v>0</v>
      </c>
      <c r="J868" s="65" t="s">
        <v>221</v>
      </c>
      <c r="K868" s="66"/>
      <c r="L868" s="55"/>
    </row>
    <row r="869" spans="1:12" ht="12.75" customHeight="1" thickBot="1" x14ac:dyDescent="0.25">
      <c r="A869" s="60">
        <f t="shared" si="482"/>
        <v>395</v>
      </c>
      <c r="B869" s="60">
        <f t="shared" si="482"/>
        <v>395</v>
      </c>
      <c r="C869" s="60">
        <f t="shared" si="482"/>
        <v>0</v>
      </c>
      <c r="D869" s="60">
        <f>F869+E869</f>
        <v>0</v>
      </c>
      <c r="E869" s="60">
        <v>0</v>
      </c>
      <c r="F869" s="60">
        <v>0</v>
      </c>
      <c r="G869" s="60">
        <f>I869+H869</f>
        <v>395</v>
      </c>
      <c r="H869" s="60">
        <v>395</v>
      </c>
      <c r="I869" s="60">
        <v>0</v>
      </c>
      <c r="J869" s="65" t="s">
        <v>222</v>
      </c>
      <c r="K869" s="66" t="s">
        <v>510</v>
      </c>
      <c r="L869" s="55"/>
    </row>
    <row r="870" spans="1:12" ht="12.75" customHeight="1" thickBot="1" x14ac:dyDescent="0.25">
      <c r="A870" s="60">
        <f t="shared" ref="A870:I870" si="483">SUM(A868:A869)</f>
        <v>758</v>
      </c>
      <c r="B870" s="60">
        <f t="shared" si="483"/>
        <v>758</v>
      </c>
      <c r="C870" s="60">
        <f t="shared" si="483"/>
        <v>0</v>
      </c>
      <c r="D870" s="60">
        <f t="shared" si="483"/>
        <v>0</v>
      </c>
      <c r="E870" s="60">
        <f t="shared" si="483"/>
        <v>0</v>
      </c>
      <c r="F870" s="60">
        <f t="shared" si="483"/>
        <v>0</v>
      </c>
      <c r="G870" s="60">
        <f t="shared" si="483"/>
        <v>758</v>
      </c>
      <c r="H870" s="60">
        <f t="shared" si="483"/>
        <v>758</v>
      </c>
      <c r="I870" s="60">
        <f t="shared" si="483"/>
        <v>0</v>
      </c>
      <c r="J870" s="65" t="s">
        <v>13</v>
      </c>
      <c r="K870" s="67"/>
      <c r="L870" s="55"/>
    </row>
    <row r="871" spans="1:12" ht="12.75" customHeight="1" thickBot="1" x14ac:dyDescent="0.25">
      <c r="A871" s="60">
        <f t="shared" ref="A871:C872" si="484">G871+D871</f>
        <v>675</v>
      </c>
      <c r="B871" s="60">
        <f t="shared" si="484"/>
        <v>675</v>
      </c>
      <c r="C871" s="60">
        <f t="shared" si="484"/>
        <v>0</v>
      </c>
      <c r="D871" s="60">
        <f>F871+E871</f>
        <v>1</v>
      </c>
      <c r="E871" s="60">
        <v>1</v>
      </c>
      <c r="F871" s="60">
        <v>0</v>
      </c>
      <c r="G871" s="60">
        <f>I871+H871</f>
        <v>674</v>
      </c>
      <c r="H871" s="60">
        <v>674</v>
      </c>
      <c r="I871" s="60">
        <v>0</v>
      </c>
      <c r="J871" s="65" t="s">
        <v>221</v>
      </c>
      <c r="K871" s="66"/>
      <c r="L871" s="55"/>
    </row>
    <row r="872" spans="1:12" ht="12.75" customHeight="1" thickBot="1" x14ac:dyDescent="0.25">
      <c r="A872" s="60">
        <f t="shared" si="484"/>
        <v>43</v>
      </c>
      <c r="B872" s="60">
        <f t="shared" si="484"/>
        <v>43</v>
      </c>
      <c r="C872" s="60">
        <f t="shared" si="484"/>
        <v>0</v>
      </c>
      <c r="D872" s="60">
        <f>F872+E872</f>
        <v>0</v>
      </c>
      <c r="E872" s="60">
        <v>0</v>
      </c>
      <c r="F872" s="60">
        <v>0</v>
      </c>
      <c r="G872" s="60">
        <f>I872+H872</f>
        <v>43</v>
      </c>
      <c r="H872" s="60">
        <v>43</v>
      </c>
      <c r="I872" s="60">
        <v>0</v>
      </c>
      <c r="J872" s="65" t="s">
        <v>222</v>
      </c>
      <c r="K872" s="66" t="s">
        <v>511</v>
      </c>
      <c r="L872" s="55"/>
    </row>
    <row r="873" spans="1:12" ht="12.75" customHeight="1" thickBot="1" x14ac:dyDescent="0.25">
      <c r="A873" s="60">
        <f t="shared" ref="A873:I873" si="485">SUM(A871:A872)</f>
        <v>718</v>
      </c>
      <c r="B873" s="60">
        <f t="shared" si="485"/>
        <v>718</v>
      </c>
      <c r="C873" s="60">
        <f t="shared" si="485"/>
        <v>0</v>
      </c>
      <c r="D873" s="60">
        <f t="shared" si="485"/>
        <v>1</v>
      </c>
      <c r="E873" s="60">
        <f t="shared" si="485"/>
        <v>1</v>
      </c>
      <c r="F873" s="60">
        <f t="shared" si="485"/>
        <v>0</v>
      </c>
      <c r="G873" s="60">
        <f t="shared" si="485"/>
        <v>717</v>
      </c>
      <c r="H873" s="60">
        <f t="shared" si="485"/>
        <v>717</v>
      </c>
      <c r="I873" s="60">
        <f t="shared" si="485"/>
        <v>0</v>
      </c>
      <c r="J873" s="65" t="s">
        <v>13</v>
      </c>
      <c r="K873" s="67"/>
      <c r="L873" s="55"/>
    </row>
    <row r="874" spans="1:12" ht="12.75" customHeight="1" thickBot="1" x14ac:dyDescent="0.25">
      <c r="A874" s="60">
        <f t="shared" ref="A874:C875" si="486">G874+D874</f>
        <v>347</v>
      </c>
      <c r="B874" s="60">
        <f t="shared" si="486"/>
        <v>347</v>
      </c>
      <c r="C874" s="60">
        <f t="shared" si="486"/>
        <v>0</v>
      </c>
      <c r="D874" s="60">
        <f>F874+E874</f>
        <v>0</v>
      </c>
      <c r="E874" s="60">
        <v>0</v>
      </c>
      <c r="F874" s="60">
        <v>0</v>
      </c>
      <c r="G874" s="60">
        <f>I874+H874</f>
        <v>347</v>
      </c>
      <c r="H874" s="60">
        <v>347</v>
      </c>
      <c r="I874" s="60">
        <v>0</v>
      </c>
      <c r="J874" s="65" t="s">
        <v>221</v>
      </c>
      <c r="K874" s="66"/>
      <c r="L874" s="55"/>
    </row>
    <row r="875" spans="1:12" ht="12.75" customHeight="1" thickBot="1" x14ac:dyDescent="0.25">
      <c r="A875" s="60">
        <f t="shared" si="486"/>
        <v>55</v>
      </c>
      <c r="B875" s="60">
        <f t="shared" si="486"/>
        <v>55</v>
      </c>
      <c r="C875" s="60">
        <f t="shared" si="486"/>
        <v>0</v>
      </c>
      <c r="D875" s="60">
        <f>F875+E875</f>
        <v>0</v>
      </c>
      <c r="E875" s="60">
        <v>0</v>
      </c>
      <c r="F875" s="60">
        <v>0</v>
      </c>
      <c r="G875" s="60">
        <f>I875+H875</f>
        <v>55</v>
      </c>
      <c r="H875" s="60">
        <v>55</v>
      </c>
      <c r="I875" s="60">
        <v>0</v>
      </c>
      <c r="J875" s="65" t="s">
        <v>222</v>
      </c>
      <c r="K875" s="66" t="s">
        <v>512</v>
      </c>
      <c r="L875" s="55"/>
    </row>
    <row r="876" spans="1:12" ht="12.75" customHeight="1" thickBot="1" x14ac:dyDescent="0.25">
      <c r="A876" s="60">
        <f t="shared" ref="A876:I876" si="487">SUM(A874:A875)</f>
        <v>402</v>
      </c>
      <c r="B876" s="60">
        <f t="shared" si="487"/>
        <v>402</v>
      </c>
      <c r="C876" s="60">
        <f t="shared" si="487"/>
        <v>0</v>
      </c>
      <c r="D876" s="60">
        <f t="shared" si="487"/>
        <v>0</v>
      </c>
      <c r="E876" s="60">
        <f t="shared" si="487"/>
        <v>0</v>
      </c>
      <c r="F876" s="60">
        <f t="shared" si="487"/>
        <v>0</v>
      </c>
      <c r="G876" s="60">
        <f t="shared" si="487"/>
        <v>402</v>
      </c>
      <c r="H876" s="60">
        <f t="shared" si="487"/>
        <v>402</v>
      </c>
      <c r="I876" s="60">
        <f t="shared" si="487"/>
        <v>0</v>
      </c>
      <c r="J876" s="65" t="s">
        <v>13</v>
      </c>
      <c r="K876" s="67"/>
      <c r="L876" s="55"/>
    </row>
    <row r="877" spans="1:12" ht="12.75" customHeight="1" thickBot="1" x14ac:dyDescent="0.25">
      <c r="A877" s="60">
        <f t="shared" ref="A877:C878" si="488">G877+D877</f>
        <v>577</v>
      </c>
      <c r="B877" s="60">
        <f t="shared" si="488"/>
        <v>577</v>
      </c>
      <c r="C877" s="60">
        <f t="shared" si="488"/>
        <v>0</v>
      </c>
      <c r="D877" s="60">
        <f>F877+E877</f>
        <v>0</v>
      </c>
      <c r="E877" s="60">
        <v>0</v>
      </c>
      <c r="F877" s="60">
        <v>0</v>
      </c>
      <c r="G877" s="60">
        <f>I877+H877</f>
        <v>577</v>
      </c>
      <c r="H877" s="60">
        <v>577</v>
      </c>
      <c r="I877" s="60">
        <v>0</v>
      </c>
      <c r="J877" s="65" t="s">
        <v>221</v>
      </c>
      <c r="K877" s="66"/>
      <c r="L877" s="55"/>
    </row>
    <row r="878" spans="1:12" ht="12.75" customHeight="1" thickBot="1" x14ac:dyDescent="0.25">
      <c r="A878" s="60">
        <f t="shared" si="488"/>
        <v>378</v>
      </c>
      <c r="B878" s="60">
        <f t="shared" si="488"/>
        <v>378</v>
      </c>
      <c r="C878" s="60">
        <f t="shared" si="488"/>
        <v>0</v>
      </c>
      <c r="D878" s="60">
        <f>F878+E878</f>
        <v>0</v>
      </c>
      <c r="E878" s="60">
        <v>0</v>
      </c>
      <c r="F878" s="60">
        <v>0</v>
      </c>
      <c r="G878" s="60">
        <f>I878+H878</f>
        <v>378</v>
      </c>
      <c r="H878" s="60">
        <v>378</v>
      </c>
      <c r="I878" s="60">
        <v>0</v>
      </c>
      <c r="J878" s="65" t="s">
        <v>222</v>
      </c>
      <c r="K878" s="66" t="s">
        <v>513</v>
      </c>
      <c r="L878" s="55"/>
    </row>
    <row r="879" spans="1:12" ht="12.75" customHeight="1" thickBot="1" x14ac:dyDescent="0.25">
      <c r="A879" s="60">
        <f t="shared" ref="A879:I879" si="489">SUM(A877:A878)</f>
        <v>955</v>
      </c>
      <c r="B879" s="60">
        <f t="shared" si="489"/>
        <v>955</v>
      </c>
      <c r="C879" s="60">
        <f t="shared" si="489"/>
        <v>0</v>
      </c>
      <c r="D879" s="60">
        <f t="shared" si="489"/>
        <v>0</v>
      </c>
      <c r="E879" s="60">
        <f t="shared" si="489"/>
        <v>0</v>
      </c>
      <c r="F879" s="60">
        <f t="shared" si="489"/>
        <v>0</v>
      </c>
      <c r="G879" s="60">
        <f t="shared" si="489"/>
        <v>955</v>
      </c>
      <c r="H879" s="60">
        <f t="shared" si="489"/>
        <v>955</v>
      </c>
      <c r="I879" s="60">
        <f t="shared" si="489"/>
        <v>0</v>
      </c>
      <c r="J879" s="65" t="s">
        <v>13</v>
      </c>
      <c r="K879" s="67"/>
      <c r="L879" s="55"/>
    </row>
    <row r="880" spans="1:12" ht="12.75" customHeight="1" thickBot="1" x14ac:dyDescent="0.25">
      <c r="A880" s="60">
        <f t="shared" ref="A880:C881" si="490">G880+D880</f>
        <v>343</v>
      </c>
      <c r="B880" s="60">
        <f t="shared" si="490"/>
        <v>343</v>
      </c>
      <c r="C880" s="60">
        <f t="shared" si="490"/>
        <v>0</v>
      </c>
      <c r="D880" s="60">
        <f>F880+E880</f>
        <v>0</v>
      </c>
      <c r="E880" s="60">
        <v>0</v>
      </c>
      <c r="F880" s="60">
        <v>0</v>
      </c>
      <c r="G880" s="60">
        <f>I880+H880</f>
        <v>343</v>
      </c>
      <c r="H880" s="60">
        <v>343</v>
      </c>
      <c r="I880" s="60">
        <v>0</v>
      </c>
      <c r="J880" s="65" t="s">
        <v>221</v>
      </c>
      <c r="K880" s="66"/>
      <c r="L880" s="55"/>
    </row>
    <row r="881" spans="1:12" ht="12.75" customHeight="1" thickBot="1" x14ac:dyDescent="0.25">
      <c r="A881" s="60">
        <f t="shared" si="490"/>
        <v>443</v>
      </c>
      <c r="B881" s="60">
        <f t="shared" si="490"/>
        <v>443</v>
      </c>
      <c r="C881" s="60">
        <f t="shared" si="490"/>
        <v>0</v>
      </c>
      <c r="D881" s="60">
        <f>F881+E881</f>
        <v>0</v>
      </c>
      <c r="E881" s="60">
        <v>0</v>
      </c>
      <c r="F881" s="60">
        <v>0</v>
      </c>
      <c r="G881" s="60">
        <f>I881+H881</f>
        <v>443</v>
      </c>
      <c r="H881" s="60">
        <v>443</v>
      </c>
      <c r="I881" s="60">
        <v>0</v>
      </c>
      <c r="J881" s="65" t="s">
        <v>222</v>
      </c>
      <c r="K881" s="66" t="s">
        <v>514</v>
      </c>
      <c r="L881" s="55"/>
    </row>
    <row r="882" spans="1:12" ht="12.75" customHeight="1" thickBot="1" x14ac:dyDescent="0.25">
      <c r="A882" s="60">
        <f t="shared" ref="A882:I882" si="491">SUM(A880:A881)</f>
        <v>786</v>
      </c>
      <c r="B882" s="60">
        <f t="shared" si="491"/>
        <v>786</v>
      </c>
      <c r="C882" s="60">
        <f t="shared" si="491"/>
        <v>0</v>
      </c>
      <c r="D882" s="60">
        <f t="shared" si="491"/>
        <v>0</v>
      </c>
      <c r="E882" s="60">
        <f t="shared" si="491"/>
        <v>0</v>
      </c>
      <c r="F882" s="60">
        <f t="shared" si="491"/>
        <v>0</v>
      </c>
      <c r="G882" s="60">
        <f t="shared" si="491"/>
        <v>786</v>
      </c>
      <c r="H882" s="60">
        <f t="shared" si="491"/>
        <v>786</v>
      </c>
      <c r="I882" s="60">
        <f t="shared" si="491"/>
        <v>0</v>
      </c>
      <c r="J882" s="65" t="s">
        <v>13</v>
      </c>
      <c r="K882" s="67"/>
      <c r="L882" s="55"/>
    </row>
    <row r="883" spans="1:12" ht="12.75" customHeight="1" thickBot="1" x14ac:dyDescent="0.25">
      <c r="A883" s="60">
        <f t="shared" ref="A883:C884" si="492">G883+D883</f>
        <v>440</v>
      </c>
      <c r="B883" s="60">
        <f t="shared" si="492"/>
        <v>440</v>
      </c>
      <c r="C883" s="60">
        <f t="shared" si="492"/>
        <v>0</v>
      </c>
      <c r="D883" s="60">
        <f>F883+E883</f>
        <v>0</v>
      </c>
      <c r="E883" s="60">
        <v>0</v>
      </c>
      <c r="F883" s="60">
        <v>0</v>
      </c>
      <c r="G883" s="60">
        <f>I883+H883</f>
        <v>440</v>
      </c>
      <c r="H883" s="60">
        <v>440</v>
      </c>
      <c r="I883" s="60">
        <v>0</v>
      </c>
      <c r="J883" s="65" t="s">
        <v>221</v>
      </c>
      <c r="K883" s="66"/>
      <c r="L883" s="55"/>
    </row>
    <row r="884" spans="1:12" ht="12.75" customHeight="1" thickBot="1" x14ac:dyDescent="0.25">
      <c r="A884" s="60">
        <f t="shared" si="492"/>
        <v>229</v>
      </c>
      <c r="B884" s="60">
        <f t="shared" si="492"/>
        <v>229</v>
      </c>
      <c r="C884" s="60">
        <f t="shared" si="492"/>
        <v>0</v>
      </c>
      <c r="D884" s="60">
        <f>F884+E884</f>
        <v>0</v>
      </c>
      <c r="E884" s="60">
        <v>0</v>
      </c>
      <c r="F884" s="60">
        <v>0</v>
      </c>
      <c r="G884" s="60">
        <f>I884+H884</f>
        <v>229</v>
      </c>
      <c r="H884" s="60">
        <v>229</v>
      </c>
      <c r="I884" s="60">
        <v>0</v>
      </c>
      <c r="J884" s="65" t="s">
        <v>222</v>
      </c>
      <c r="K884" s="66" t="s">
        <v>515</v>
      </c>
      <c r="L884" s="55"/>
    </row>
    <row r="885" spans="1:12" ht="12.75" customHeight="1" thickBot="1" x14ac:dyDescent="0.25">
      <c r="A885" s="60">
        <f t="shared" ref="A885:I885" si="493">SUM(A883:A884)</f>
        <v>669</v>
      </c>
      <c r="B885" s="60">
        <f t="shared" si="493"/>
        <v>669</v>
      </c>
      <c r="C885" s="60">
        <f t="shared" si="493"/>
        <v>0</v>
      </c>
      <c r="D885" s="60">
        <f t="shared" si="493"/>
        <v>0</v>
      </c>
      <c r="E885" s="60">
        <f t="shared" si="493"/>
        <v>0</v>
      </c>
      <c r="F885" s="60">
        <f t="shared" si="493"/>
        <v>0</v>
      </c>
      <c r="G885" s="60">
        <f t="shared" si="493"/>
        <v>669</v>
      </c>
      <c r="H885" s="60">
        <f t="shared" si="493"/>
        <v>669</v>
      </c>
      <c r="I885" s="60">
        <f t="shared" si="493"/>
        <v>0</v>
      </c>
      <c r="J885" s="65" t="s">
        <v>13</v>
      </c>
      <c r="K885" s="67"/>
      <c r="L885" s="55"/>
    </row>
    <row r="886" spans="1:12" ht="12.75" customHeight="1" thickBot="1" x14ac:dyDescent="0.25">
      <c r="A886" s="60">
        <f t="shared" ref="A886:C887" si="494">G886+D886</f>
        <v>593</v>
      </c>
      <c r="B886" s="60">
        <f t="shared" si="494"/>
        <v>593</v>
      </c>
      <c r="C886" s="60">
        <f t="shared" si="494"/>
        <v>0</v>
      </c>
      <c r="D886" s="60">
        <f>F886+E886</f>
        <v>0</v>
      </c>
      <c r="E886" s="60">
        <v>0</v>
      </c>
      <c r="F886" s="60">
        <v>0</v>
      </c>
      <c r="G886" s="60">
        <f>I886+H886</f>
        <v>593</v>
      </c>
      <c r="H886" s="60">
        <v>593</v>
      </c>
      <c r="I886" s="60">
        <v>0</v>
      </c>
      <c r="J886" s="65" t="s">
        <v>221</v>
      </c>
      <c r="K886" s="66"/>
      <c r="L886" s="55"/>
    </row>
    <row r="887" spans="1:12" ht="12.75" customHeight="1" thickBot="1" x14ac:dyDescent="0.25">
      <c r="A887" s="60">
        <f t="shared" si="494"/>
        <v>383</v>
      </c>
      <c r="B887" s="60">
        <f t="shared" si="494"/>
        <v>383</v>
      </c>
      <c r="C887" s="60">
        <f t="shared" si="494"/>
        <v>0</v>
      </c>
      <c r="D887" s="60">
        <f>F887+E887</f>
        <v>0</v>
      </c>
      <c r="E887" s="60">
        <v>0</v>
      </c>
      <c r="F887" s="60">
        <v>0</v>
      </c>
      <c r="G887" s="60">
        <f>I887+H887</f>
        <v>383</v>
      </c>
      <c r="H887" s="60">
        <v>383</v>
      </c>
      <c r="I887" s="60">
        <v>0</v>
      </c>
      <c r="J887" s="65" t="s">
        <v>222</v>
      </c>
      <c r="K887" s="66" t="s">
        <v>516</v>
      </c>
      <c r="L887" s="55"/>
    </row>
    <row r="888" spans="1:12" ht="12.75" customHeight="1" thickBot="1" x14ac:dyDescent="0.25">
      <c r="A888" s="60">
        <f t="shared" ref="A888:I888" si="495">SUM(A886:A887)</f>
        <v>976</v>
      </c>
      <c r="B888" s="60">
        <f t="shared" si="495"/>
        <v>976</v>
      </c>
      <c r="C888" s="60">
        <f t="shared" si="495"/>
        <v>0</v>
      </c>
      <c r="D888" s="60">
        <f t="shared" si="495"/>
        <v>0</v>
      </c>
      <c r="E888" s="60">
        <f t="shared" si="495"/>
        <v>0</v>
      </c>
      <c r="F888" s="60">
        <f t="shared" si="495"/>
        <v>0</v>
      </c>
      <c r="G888" s="60">
        <f t="shared" si="495"/>
        <v>976</v>
      </c>
      <c r="H888" s="60">
        <f t="shared" si="495"/>
        <v>976</v>
      </c>
      <c r="I888" s="60">
        <f t="shared" si="495"/>
        <v>0</v>
      </c>
      <c r="J888" s="65" t="s">
        <v>13</v>
      </c>
      <c r="K888" s="67"/>
      <c r="L888" s="55"/>
    </row>
    <row r="889" spans="1:12" ht="12.75" customHeight="1" thickBot="1" x14ac:dyDescent="0.25">
      <c r="A889" s="60">
        <f t="shared" ref="A889:C890" si="496">G889+D889</f>
        <v>595</v>
      </c>
      <c r="B889" s="60">
        <f t="shared" si="496"/>
        <v>595</v>
      </c>
      <c r="C889" s="60">
        <f t="shared" si="496"/>
        <v>0</v>
      </c>
      <c r="D889" s="60">
        <f>F889+E889</f>
        <v>0</v>
      </c>
      <c r="E889" s="60">
        <v>0</v>
      </c>
      <c r="F889" s="60">
        <v>0</v>
      </c>
      <c r="G889" s="60">
        <f>I889+H889</f>
        <v>595</v>
      </c>
      <c r="H889" s="60">
        <v>595</v>
      </c>
      <c r="I889" s="60">
        <v>0</v>
      </c>
      <c r="J889" s="65" t="s">
        <v>221</v>
      </c>
      <c r="K889" s="66"/>
      <c r="L889" s="55"/>
    </row>
    <row r="890" spans="1:12" ht="12.75" customHeight="1" thickBot="1" x14ac:dyDescent="0.25">
      <c r="A890" s="60">
        <f t="shared" si="496"/>
        <v>494</v>
      </c>
      <c r="B890" s="60">
        <f t="shared" si="496"/>
        <v>494</v>
      </c>
      <c r="C890" s="60">
        <f t="shared" si="496"/>
        <v>0</v>
      </c>
      <c r="D890" s="60">
        <f>F890+E890</f>
        <v>1</v>
      </c>
      <c r="E890" s="60">
        <v>1</v>
      </c>
      <c r="F890" s="60">
        <v>0</v>
      </c>
      <c r="G890" s="60">
        <f>I890+H890</f>
        <v>493</v>
      </c>
      <c r="H890" s="60">
        <v>493</v>
      </c>
      <c r="I890" s="60">
        <v>0</v>
      </c>
      <c r="J890" s="65" t="s">
        <v>222</v>
      </c>
      <c r="K890" s="66" t="s">
        <v>517</v>
      </c>
      <c r="L890" s="55"/>
    </row>
    <row r="891" spans="1:12" ht="12.75" customHeight="1" thickBot="1" x14ac:dyDescent="0.25">
      <c r="A891" s="60">
        <f t="shared" ref="A891:I891" si="497">SUM(A889:A890)</f>
        <v>1089</v>
      </c>
      <c r="B891" s="60">
        <f t="shared" si="497"/>
        <v>1089</v>
      </c>
      <c r="C891" s="60">
        <f t="shared" si="497"/>
        <v>0</v>
      </c>
      <c r="D891" s="60">
        <f t="shared" si="497"/>
        <v>1</v>
      </c>
      <c r="E891" s="60">
        <f t="shared" si="497"/>
        <v>1</v>
      </c>
      <c r="F891" s="60">
        <f t="shared" si="497"/>
        <v>0</v>
      </c>
      <c r="G891" s="60">
        <f t="shared" si="497"/>
        <v>1088</v>
      </c>
      <c r="H891" s="60">
        <f t="shared" si="497"/>
        <v>1088</v>
      </c>
      <c r="I891" s="60">
        <f t="shared" si="497"/>
        <v>0</v>
      </c>
      <c r="J891" s="65" t="s">
        <v>13</v>
      </c>
      <c r="K891" s="67"/>
      <c r="L891" s="55"/>
    </row>
    <row r="892" spans="1:12" ht="12.75" customHeight="1" thickBot="1" x14ac:dyDescent="0.25">
      <c r="A892" s="60">
        <f t="shared" ref="A892:C893" si="498">G892+D892</f>
        <v>460</v>
      </c>
      <c r="B892" s="60">
        <f t="shared" si="498"/>
        <v>460</v>
      </c>
      <c r="C892" s="60">
        <f t="shared" si="498"/>
        <v>0</v>
      </c>
      <c r="D892" s="60">
        <f>F892+E892</f>
        <v>0</v>
      </c>
      <c r="E892" s="60">
        <v>0</v>
      </c>
      <c r="F892" s="60">
        <v>0</v>
      </c>
      <c r="G892" s="60">
        <f>I892+H892</f>
        <v>460</v>
      </c>
      <c r="H892" s="60">
        <v>460</v>
      </c>
      <c r="I892" s="60">
        <v>0</v>
      </c>
      <c r="J892" s="65" t="s">
        <v>221</v>
      </c>
      <c r="K892" s="66"/>
      <c r="L892" s="55"/>
    </row>
    <row r="893" spans="1:12" ht="12.75" customHeight="1" thickBot="1" x14ac:dyDescent="0.25">
      <c r="A893" s="60">
        <f t="shared" si="498"/>
        <v>18</v>
      </c>
      <c r="B893" s="60">
        <f t="shared" si="498"/>
        <v>18</v>
      </c>
      <c r="C893" s="60">
        <f t="shared" si="498"/>
        <v>0</v>
      </c>
      <c r="D893" s="60">
        <f>F893+E893</f>
        <v>0</v>
      </c>
      <c r="E893" s="60">
        <v>0</v>
      </c>
      <c r="F893" s="60">
        <v>0</v>
      </c>
      <c r="G893" s="60">
        <f>I893+H893</f>
        <v>18</v>
      </c>
      <c r="H893" s="60">
        <v>18</v>
      </c>
      <c r="I893" s="60">
        <v>0</v>
      </c>
      <c r="J893" s="65" t="s">
        <v>222</v>
      </c>
      <c r="K893" s="66" t="s">
        <v>518</v>
      </c>
      <c r="L893" s="55"/>
    </row>
    <row r="894" spans="1:12" ht="12.75" customHeight="1" thickBot="1" x14ac:dyDescent="0.25">
      <c r="A894" s="60">
        <f t="shared" ref="A894:I894" si="499">SUM(A892:A893)</f>
        <v>478</v>
      </c>
      <c r="B894" s="60">
        <f t="shared" si="499"/>
        <v>478</v>
      </c>
      <c r="C894" s="60">
        <f t="shared" si="499"/>
        <v>0</v>
      </c>
      <c r="D894" s="60">
        <f t="shared" si="499"/>
        <v>0</v>
      </c>
      <c r="E894" s="60">
        <f t="shared" si="499"/>
        <v>0</v>
      </c>
      <c r="F894" s="60">
        <f t="shared" si="499"/>
        <v>0</v>
      </c>
      <c r="G894" s="60">
        <f t="shared" si="499"/>
        <v>478</v>
      </c>
      <c r="H894" s="60">
        <f t="shared" si="499"/>
        <v>478</v>
      </c>
      <c r="I894" s="60">
        <f t="shared" si="499"/>
        <v>0</v>
      </c>
      <c r="J894" s="65" t="s">
        <v>13</v>
      </c>
      <c r="K894" s="67"/>
      <c r="L894" s="55"/>
    </row>
    <row r="895" spans="1:12" ht="12.75" customHeight="1" thickBot="1" x14ac:dyDescent="0.25">
      <c r="A895" s="60">
        <f t="shared" ref="A895:C896" si="500">G895+D895</f>
        <v>946</v>
      </c>
      <c r="B895" s="60">
        <f t="shared" si="500"/>
        <v>946</v>
      </c>
      <c r="C895" s="60">
        <f t="shared" si="500"/>
        <v>0</v>
      </c>
      <c r="D895" s="60">
        <f>F895+E895</f>
        <v>0</v>
      </c>
      <c r="E895" s="60">
        <v>0</v>
      </c>
      <c r="F895" s="60">
        <v>0</v>
      </c>
      <c r="G895" s="60">
        <f>I895+H895</f>
        <v>946</v>
      </c>
      <c r="H895" s="60">
        <v>946</v>
      </c>
      <c r="I895" s="60">
        <v>0</v>
      </c>
      <c r="J895" s="65" t="s">
        <v>221</v>
      </c>
      <c r="K895" s="66"/>
      <c r="L895" s="55"/>
    </row>
    <row r="896" spans="1:12" ht="12.75" customHeight="1" thickBot="1" x14ac:dyDescent="0.25">
      <c r="A896" s="60">
        <f t="shared" si="500"/>
        <v>444</v>
      </c>
      <c r="B896" s="60">
        <f t="shared" si="500"/>
        <v>444</v>
      </c>
      <c r="C896" s="60">
        <f t="shared" si="500"/>
        <v>0</v>
      </c>
      <c r="D896" s="60">
        <f>F896+E896</f>
        <v>0</v>
      </c>
      <c r="E896" s="60">
        <v>0</v>
      </c>
      <c r="F896" s="60">
        <v>0</v>
      </c>
      <c r="G896" s="60">
        <f>I896+H896</f>
        <v>444</v>
      </c>
      <c r="H896" s="60">
        <v>444</v>
      </c>
      <c r="I896" s="60">
        <v>0</v>
      </c>
      <c r="J896" s="65" t="s">
        <v>222</v>
      </c>
      <c r="K896" s="66" t="s">
        <v>519</v>
      </c>
      <c r="L896" s="55"/>
    </row>
    <row r="897" spans="1:13" ht="12.75" customHeight="1" thickBot="1" x14ac:dyDescent="0.25">
      <c r="A897" s="60">
        <f t="shared" ref="A897:I897" si="501">SUM(A895:A896)</f>
        <v>1390</v>
      </c>
      <c r="B897" s="60">
        <f t="shared" si="501"/>
        <v>1390</v>
      </c>
      <c r="C897" s="60">
        <f t="shared" si="501"/>
        <v>0</v>
      </c>
      <c r="D897" s="60">
        <f t="shared" si="501"/>
        <v>0</v>
      </c>
      <c r="E897" s="60">
        <f t="shared" si="501"/>
        <v>0</v>
      </c>
      <c r="F897" s="60">
        <f t="shared" si="501"/>
        <v>0</v>
      </c>
      <c r="G897" s="60">
        <f t="shared" si="501"/>
        <v>1390</v>
      </c>
      <c r="H897" s="60">
        <f t="shared" si="501"/>
        <v>1390</v>
      </c>
      <c r="I897" s="60">
        <f t="shared" si="501"/>
        <v>0</v>
      </c>
      <c r="J897" s="65" t="s">
        <v>13</v>
      </c>
      <c r="K897" s="67"/>
      <c r="L897" s="55"/>
    </row>
    <row r="898" spans="1:13" ht="12.75" customHeight="1" thickBot="1" x14ac:dyDescent="0.25">
      <c r="A898" s="60">
        <f t="shared" ref="A898:C899" si="502">G898+D898</f>
        <v>857</v>
      </c>
      <c r="B898" s="60">
        <f t="shared" si="502"/>
        <v>857</v>
      </c>
      <c r="C898" s="60">
        <f t="shared" si="502"/>
        <v>0</v>
      </c>
      <c r="D898" s="60">
        <f>F898+E898</f>
        <v>2</v>
      </c>
      <c r="E898" s="60">
        <v>2</v>
      </c>
      <c r="F898" s="60">
        <v>0</v>
      </c>
      <c r="G898" s="60">
        <f>I898+H898</f>
        <v>855</v>
      </c>
      <c r="H898" s="60">
        <v>855</v>
      </c>
      <c r="I898" s="60">
        <v>0</v>
      </c>
      <c r="J898" s="65" t="s">
        <v>221</v>
      </c>
      <c r="K898" s="66"/>
      <c r="L898" s="55"/>
    </row>
    <row r="899" spans="1:13" ht="12.75" customHeight="1" thickBot="1" x14ac:dyDescent="0.25">
      <c r="A899" s="60">
        <f t="shared" si="502"/>
        <v>907</v>
      </c>
      <c r="B899" s="60">
        <f t="shared" si="502"/>
        <v>907</v>
      </c>
      <c r="C899" s="60">
        <f t="shared" si="502"/>
        <v>0</v>
      </c>
      <c r="D899" s="60">
        <f>F899+E899</f>
        <v>0</v>
      </c>
      <c r="E899" s="60">
        <v>0</v>
      </c>
      <c r="F899" s="60">
        <v>0</v>
      </c>
      <c r="G899" s="60">
        <f>I899+H899</f>
        <v>907</v>
      </c>
      <c r="H899" s="60">
        <v>907</v>
      </c>
      <c r="I899" s="60">
        <v>0</v>
      </c>
      <c r="J899" s="65" t="s">
        <v>222</v>
      </c>
      <c r="K899" s="66" t="s">
        <v>520</v>
      </c>
      <c r="L899" s="55"/>
    </row>
    <row r="900" spans="1:13" ht="12.75" customHeight="1" thickBot="1" x14ac:dyDescent="0.25">
      <c r="A900" s="60">
        <f t="shared" ref="A900:I900" si="503">SUM(A898:A899)</f>
        <v>1764</v>
      </c>
      <c r="B900" s="60">
        <f t="shared" si="503"/>
        <v>1764</v>
      </c>
      <c r="C900" s="60">
        <f t="shared" si="503"/>
        <v>0</v>
      </c>
      <c r="D900" s="60">
        <f t="shared" si="503"/>
        <v>2</v>
      </c>
      <c r="E900" s="60">
        <f t="shared" si="503"/>
        <v>2</v>
      </c>
      <c r="F900" s="60">
        <f t="shared" si="503"/>
        <v>0</v>
      </c>
      <c r="G900" s="60">
        <f t="shared" si="503"/>
        <v>1762</v>
      </c>
      <c r="H900" s="60">
        <f t="shared" si="503"/>
        <v>1762</v>
      </c>
      <c r="I900" s="60">
        <f t="shared" si="503"/>
        <v>0</v>
      </c>
      <c r="J900" s="65" t="s">
        <v>13</v>
      </c>
      <c r="K900" s="67"/>
      <c r="L900" s="55"/>
    </row>
    <row r="901" spans="1:13" ht="12.75" customHeight="1" thickBot="1" x14ac:dyDescent="0.25">
      <c r="A901" s="60">
        <f t="shared" ref="A901:C902" si="504">G901+D901</f>
        <v>321</v>
      </c>
      <c r="B901" s="60">
        <f t="shared" si="504"/>
        <v>321</v>
      </c>
      <c r="C901" s="60">
        <f t="shared" si="504"/>
        <v>0</v>
      </c>
      <c r="D901" s="60">
        <f>F901+E901</f>
        <v>0</v>
      </c>
      <c r="E901" s="60">
        <v>0</v>
      </c>
      <c r="F901" s="60">
        <v>0</v>
      </c>
      <c r="G901" s="60">
        <f>I901+H901</f>
        <v>321</v>
      </c>
      <c r="H901" s="60">
        <v>321</v>
      </c>
      <c r="I901" s="60">
        <v>0</v>
      </c>
      <c r="J901" s="65" t="s">
        <v>221</v>
      </c>
      <c r="K901" s="66"/>
      <c r="L901" s="55"/>
    </row>
    <row r="902" spans="1:13" ht="12.75" customHeight="1" thickBot="1" x14ac:dyDescent="0.25">
      <c r="A902" s="60">
        <f t="shared" si="504"/>
        <v>0</v>
      </c>
      <c r="B902" s="60">
        <f t="shared" si="504"/>
        <v>0</v>
      </c>
      <c r="C902" s="60">
        <f t="shared" si="504"/>
        <v>0</v>
      </c>
      <c r="D902" s="60">
        <f>F902+E902</f>
        <v>0</v>
      </c>
      <c r="E902" s="60">
        <v>0</v>
      </c>
      <c r="F902" s="60">
        <v>0</v>
      </c>
      <c r="G902" s="60">
        <f>I902+H902</f>
        <v>0</v>
      </c>
      <c r="H902" s="60">
        <v>0</v>
      </c>
      <c r="I902" s="60">
        <v>0</v>
      </c>
      <c r="J902" s="65" t="s">
        <v>222</v>
      </c>
      <c r="K902" s="66" t="s">
        <v>521</v>
      </c>
      <c r="L902" s="55"/>
    </row>
    <row r="903" spans="1:13" ht="12.75" customHeight="1" thickBot="1" x14ac:dyDescent="0.25">
      <c r="A903" s="60">
        <f t="shared" ref="A903:I903" si="505">SUM(A901:A902)</f>
        <v>321</v>
      </c>
      <c r="B903" s="60">
        <f t="shared" si="505"/>
        <v>321</v>
      </c>
      <c r="C903" s="60">
        <f t="shared" si="505"/>
        <v>0</v>
      </c>
      <c r="D903" s="60">
        <f t="shared" si="505"/>
        <v>0</v>
      </c>
      <c r="E903" s="60">
        <f t="shared" si="505"/>
        <v>0</v>
      </c>
      <c r="F903" s="60">
        <f t="shared" si="505"/>
        <v>0</v>
      </c>
      <c r="G903" s="60">
        <f t="shared" si="505"/>
        <v>321</v>
      </c>
      <c r="H903" s="60">
        <f t="shared" si="505"/>
        <v>321</v>
      </c>
      <c r="I903" s="60">
        <f t="shared" si="505"/>
        <v>0</v>
      </c>
      <c r="J903" s="65" t="s">
        <v>13</v>
      </c>
      <c r="K903" s="67"/>
      <c r="L903" s="55"/>
    </row>
    <row r="904" spans="1:13" ht="12.75" customHeight="1" thickBot="1" x14ac:dyDescent="0.25">
      <c r="A904" s="60">
        <f t="shared" ref="A904:C905" si="506">G904+D904</f>
        <v>296</v>
      </c>
      <c r="B904" s="60">
        <f t="shared" si="506"/>
        <v>296</v>
      </c>
      <c r="C904" s="60">
        <f t="shared" si="506"/>
        <v>0</v>
      </c>
      <c r="D904" s="60">
        <f>F904+E904</f>
        <v>0</v>
      </c>
      <c r="E904" s="60">
        <v>0</v>
      </c>
      <c r="F904" s="60">
        <v>0</v>
      </c>
      <c r="G904" s="60">
        <f>I904+H904</f>
        <v>296</v>
      </c>
      <c r="H904" s="60">
        <v>296</v>
      </c>
      <c r="I904" s="60">
        <v>0</v>
      </c>
      <c r="J904" s="65" t="s">
        <v>221</v>
      </c>
      <c r="K904" s="66"/>
      <c r="L904" s="55"/>
    </row>
    <row r="905" spans="1:13" ht="12.75" customHeight="1" thickBot="1" x14ac:dyDescent="0.25">
      <c r="A905" s="60">
        <f t="shared" si="506"/>
        <v>56</v>
      </c>
      <c r="B905" s="60">
        <f t="shared" si="506"/>
        <v>56</v>
      </c>
      <c r="C905" s="60">
        <f t="shared" si="506"/>
        <v>0</v>
      </c>
      <c r="D905" s="60">
        <f>F905+E905</f>
        <v>0</v>
      </c>
      <c r="E905" s="60">
        <v>0</v>
      </c>
      <c r="F905" s="60">
        <v>0</v>
      </c>
      <c r="G905" s="60">
        <f>I905+H905</f>
        <v>56</v>
      </c>
      <c r="H905" s="60">
        <v>56</v>
      </c>
      <c r="I905" s="60">
        <v>0</v>
      </c>
      <c r="J905" s="65" t="s">
        <v>222</v>
      </c>
      <c r="K905" s="66" t="s">
        <v>522</v>
      </c>
      <c r="L905" s="55"/>
    </row>
    <row r="906" spans="1:13" ht="12.75" customHeight="1" thickBot="1" x14ac:dyDescent="0.25">
      <c r="A906" s="60">
        <f t="shared" ref="A906:I906" si="507">SUM(A904:A905)</f>
        <v>352</v>
      </c>
      <c r="B906" s="60">
        <f t="shared" si="507"/>
        <v>352</v>
      </c>
      <c r="C906" s="60">
        <f t="shared" si="507"/>
        <v>0</v>
      </c>
      <c r="D906" s="60">
        <f t="shared" si="507"/>
        <v>0</v>
      </c>
      <c r="E906" s="60">
        <f t="shared" si="507"/>
        <v>0</v>
      </c>
      <c r="F906" s="60">
        <f t="shared" si="507"/>
        <v>0</v>
      </c>
      <c r="G906" s="60">
        <f t="shared" si="507"/>
        <v>352</v>
      </c>
      <c r="H906" s="60">
        <f t="shared" si="507"/>
        <v>352</v>
      </c>
      <c r="I906" s="60">
        <f t="shared" si="507"/>
        <v>0</v>
      </c>
      <c r="J906" s="65" t="s">
        <v>13</v>
      </c>
      <c r="K906" s="67"/>
      <c r="L906" s="55"/>
    </row>
    <row r="907" spans="1:13" ht="12.75" customHeight="1" thickBot="1" x14ac:dyDescent="0.25">
      <c r="A907" s="60">
        <f t="shared" ref="A907:C908" si="508">G907+D907</f>
        <v>601</v>
      </c>
      <c r="B907" s="60">
        <f t="shared" si="508"/>
        <v>601</v>
      </c>
      <c r="C907" s="60">
        <f t="shared" si="508"/>
        <v>0</v>
      </c>
      <c r="D907" s="60">
        <f>F907+E907</f>
        <v>0</v>
      </c>
      <c r="E907" s="60">
        <v>0</v>
      </c>
      <c r="F907" s="60">
        <v>0</v>
      </c>
      <c r="G907" s="60">
        <f>I907+H907</f>
        <v>601</v>
      </c>
      <c r="H907" s="60">
        <v>601</v>
      </c>
      <c r="I907" s="60">
        <v>0</v>
      </c>
      <c r="J907" s="65" t="s">
        <v>221</v>
      </c>
      <c r="K907" s="66"/>
      <c r="L907" s="55"/>
    </row>
    <row r="908" spans="1:13" ht="12.75" customHeight="1" thickBot="1" x14ac:dyDescent="0.25">
      <c r="A908" s="60">
        <f t="shared" si="508"/>
        <v>484</v>
      </c>
      <c r="B908" s="60">
        <f t="shared" si="508"/>
        <v>484</v>
      </c>
      <c r="C908" s="60">
        <f t="shared" si="508"/>
        <v>0</v>
      </c>
      <c r="D908" s="60">
        <f>F908+E908</f>
        <v>0</v>
      </c>
      <c r="E908" s="60">
        <v>0</v>
      </c>
      <c r="F908" s="60">
        <v>0</v>
      </c>
      <c r="G908" s="60">
        <f>I908+H908</f>
        <v>484</v>
      </c>
      <c r="H908" s="60">
        <v>484</v>
      </c>
      <c r="I908" s="60">
        <v>0</v>
      </c>
      <c r="J908" s="65" t="s">
        <v>222</v>
      </c>
      <c r="K908" s="66" t="s">
        <v>523</v>
      </c>
      <c r="L908" s="55"/>
    </row>
    <row r="909" spans="1:13" ht="12.75" customHeight="1" thickBot="1" x14ac:dyDescent="0.25">
      <c r="A909" s="60">
        <f t="shared" ref="A909:I909" si="509">SUM(A907:A908)</f>
        <v>1085</v>
      </c>
      <c r="B909" s="60">
        <f t="shared" si="509"/>
        <v>1085</v>
      </c>
      <c r="C909" s="60">
        <f t="shared" si="509"/>
        <v>0</v>
      </c>
      <c r="D909" s="60">
        <f t="shared" si="509"/>
        <v>0</v>
      </c>
      <c r="E909" s="60">
        <f t="shared" si="509"/>
        <v>0</v>
      </c>
      <c r="F909" s="60">
        <f t="shared" si="509"/>
        <v>0</v>
      </c>
      <c r="G909" s="60">
        <f t="shared" si="509"/>
        <v>1085</v>
      </c>
      <c r="H909" s="60">
        <f t="shared" si="509"/>
        <v>1085</v>
      </c>
      <c r="I909" s="60">
        <f t="shared" si="509"/>
        <v>0</v>
      </c>
      <c r="J909" s="65" t="s">
        <v>13</v>
      </c>
      <c r="K909" s="67"/>
      <c r="L909" s="55"/>
      <c r="M909" s="69"/>
    </row>
    <row r="910" spans="1:13" ht="12.75" customHeight="1" thickBot="1" x14ac:dyDescent="0.25">
      <c r="A910" s="60">
        <f t="shared" ref="A910:H912" si="510">A844+A847+A850+A853+A856+A859+A862+A865+A868+A871+A874+A877+A880+A883+A886+A889+A892+A895+A898+A901+A904+A907</f>
        <v>12125</v>
      </c>
      <c r="B910" s="60">
        <f t="shared" si="510"/>
        <v>12125</v>
      </c>
      <c r="C910" s="60">
        <f t="shared" si="510"/>
        <v>0</v>
      </c>
      <c r="D910" s="60">
        <f t="shared" si="510"/>
        <v>18</v>
      </c>
      <c r="E910" s="60">
        <f t="shared" si="510"/>
        <v>18</v>
      </c>
      <c r="F910" s="60">
        <f t="shared" si="510"/>
        <v>0</v>
      </c>
      <c r="G910" s="60">
        <f t="shared" si="510"/>
        <v>12107</v>
      </c>
      <c r="H910" s="60">
        <f t="shared" si="510"/>
        <v>12107</v>
      </c>
      <c r="I910" s="60">
        <f>I844+I847+I850+I853+I856+I859+I862+I865+I868+I871+I874+I877+I880+I883+I886+I889+I892+I895+I898+I901+I904+I907</f>
        <v>0</v>
      </c>
      <c r="J910" s="65" t="s">
        <v>224</v>
      </c>
      <c r="K910" s="57"/>
      <c r="L910" s="55"/>
    </row>
    <row r="911" spans="1:13" ht="12.75" customHeight="1" thickBot="1" x14ac:dyDescent="0.25">
      <c r="A911" s="60">
        <f t="shared" si="510"/>
        <v>6395</v>
      </c>
      <c r="B911" s="60">
        <f t="shared" si="510"/>
        <v>6395</v>
      </c>
      <c r="C911" s="60">
        <f t="shared" si="510"/>
        <v>0</v>
      </c>
      <c r="D911" s="60">
        <f t="shared" si="510"/>
        <v>6</v>
      </c>
      <c r="E911" s="60">
        <f t="shared" si="510"/>
        <v>6</v>
      </c>
      <c r="F911" s="60">
        <f t="shared" si="510"/>
        <v>0</v>
      </c>
      <c r="G911" s="60">
        <f t="shared" si="510"/>
        <v>6389</v>
      </c>
      <c r="H911" s="60">
        <f t="shared" si="510"/>
        <v>6389</v>
      </c>
      <c r="I911" s="60">
        <f>I845+I848+I851+I854+I857+I860+I863+I866+I869+I872+I875+I878+I881+I884+I887+I890+I893+I896+I899+I902+I905+I908</f>
        <v>0</v>
      </c>
      <c r="J911" s="65" t="s">
        <v>225</v>
      </c>
      <c r="K911" s="68" t="s">
        <v>211</v>
      </c>
      <c r="L911" s="55"/>
    </row>
    <row r="912" spans="1:13" ht="12.75" customHeight="1" thickBot="1" x14ac:dyDescent="0.25">
      <c r="A912" s="60">
        <f t="shared" si="510"/>
        <v>18520</v>
      </c>
      <c r="B912" s="60">
        <f t="shared" si="510"/>
        <v>18520</v>
      </c>
      <c r="C912" s="60">
        <f t="shared" si="510"/>
        <v>0</v>
      </c>
      <c r="D912" s="60">
        <f t="shared" si="510"/>
        <v>24</v>
      </c>
      <c r="E912" s="60">
        <f t="shared" si="510"/>
        <v>24</v>
      </c>
      <c r="F912" s="60">
        <f t="shared" si="510"/>
        <v>0</v>
      </c>
      <c r="G912" s="60">
        <f t="shared" si="510"/>
        <v>18496</v>
      </c>
      <c r="H912" s="60">
        <f t="shared" si="510"/>
        <v>18496</v>
      </c>
      <c r="I912" s="60">
        <f>I846+I849+I852+I855+I858+I861+I864+I867+I870+I873+I876+I879+I882+I885+I888+I891+I894+I897+I900+I903+I906+I909</f>
        <v>0</v>
      </c>
      <c r="J912" s="65" t="s">
        <v>13</v>
      </c>
      <c r="K912" s="59"/>
      <c r="L912" s="55"/>
    </row>
    <row r="913" spans="1:12" ht="12.75" customHeight="1" x14ac:dyDescent="0.2">
      <c r="A913" s="177" t="s">
        <v>327</v>
      </c>
      <c r="B913" s="177"/>
      <c r="C913" s="177"/>
      <c r="D913" s="177"/>
      <c r="E913" s="177"/>
      <c r="F913" s="177"/>
      <c r="G913" s="177"/>
      <c r="H913" s="177"/>
      <c r="I913" s="177"/>
      <c r="J913" s="177"/>
      <c r="K913" s="177"/>
      <c r="L913" s="55"/>
    </row>
    <row r="914" spans="1:12" ht="12.75" customHeight="1" thickBot="1" x14ac:dyDescent="0.25">
      <c r="A914" s="178" t="s">
        <v>328</v>
      </c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55"/>
    </row>
    <row r="915" spans="1:12" ht="12.75" customHeight="1" thickBot="1" x14ac:dyDescent="0.25">
      <c r="A915" s="179" t="s">
        <v>5</v>
      </c>
      <c r="B915" s="179"/>
      <c r="C915" s="179"/>
      <c r="D915" s="179" t="s">
        <v>162</v>
      </c>
      <c r="E915" s="179"/>
      <c r="F915" s="179"/>
      <c r="G915" s="179" t="s">
        <v>163</v>
      </c>
      <c r="H915" s="179"/>
      <c r="I915" s="179"/>
      <c r="J915" s="179" t="s">
        <v>72</v>
      </c>
      <c r="K915" s="179"/>
      <c r="L915" s="55"/>
    </row>
    <row r="916" spans="1:12" ht="12.75" customHeight="1" thickBot="1" x14ac:dyDescent="0.25">
      <c r="A916" s="58" t="s">
        <v>216</v>
      </c>
      <c r="B916" s="58" t="s">
        <v>11</v>
      </c>
      <c r="C916" s="58" t="s">
        <v>10</v>
      </c>
      <c r="D916" s="58" t="s">
        <v>216</v>
      </c>
      <c r="E916" s="58" t="s">
        <v>11</v>
      </c>
      <c r="F916" s="58" t="s">
        <v>10</v>
      </c>
      <c r="G916" s="58" t="s">
        <v>216</v>
      </c>
      <c r="H916" s="58" t="s">
        <v>11</v>
      </c>
      <c r="I916" s="58" t="s">
        <v>10</v>
      </c>
      <c r="J916" s="180" t="s">
        <v>133</v>
      </c>
      <c r="K916" s="180"/>
      <c r="L916" s="55"/>
    </row>
    <row r="917" spans="1:12" ht="12.75" customHeight="1" thickBot="1" x14ac:dyDescent="0.25">
      <c r="A917" s="60">
        <f t="shared" ref="A917:C918" si="511">G917+D917</f>
        <v>162</v>
      </c>
      <c r="B917" s="60">
        <f t="shared" si="511"/>
        <v>0</v>
      </c>
      <c r="C917" s="60">
        <f t="shared" si="511"/>
        <v>162</v>
      </c>
      <c r="D917" s="60">
        <f>F917+E917</f>
        <v>0</v>
      </c>
      <c r="E917" s="60">
        <v>0</v>
      </c>
      <c r="F917" s="60">
        <v>0</v>
      </c>
      <c r="G917" s="60">
        <f>I917+H917</f>
        <v>162</v>
      </c>
      <c r="H917" s="60">
        <v>0</v>
      </c>
      <c r="I917" s="60">
        <v>162</v>
      </c>
      <c r="J917" s="65" t="s">
        <v>221</v>
      </c>
      <c r="K917" s="66"/>
      <c r="L917" s="55"/>
    </row>
    <row r="918" spans="1:12" ht="12.75" customHeight="1" thickBot="1" x14ac:dyDescent="0.25">
      <c r="A918" s="60">
        <f t="shared" si="511"/>
        <v>0</v>
      </c>
      <c r="B918" s="60">
        <f t="shared" si="511"/>
        <v>0</v>
      </c>
      <c r="C918" s="60">
        <f t="shared" si="511"/>
        <v>0</v>
      </c>
      <c r="D918" s="60">
        <f>F918+E918</f>
        <v>0</v>
      </c>
      <c r="E918" s="60">
        <v>0</v>
      </c>
      <c r="F918" s="60">
        <v>0</v>
      </c>
      <c r="G918" s="60">
        <f>I918+H918</f>
        <v>0</v>
      </c>
      <c r="H918" s="60">
        <v>0</v>
      </c>
      <c r="I918" s="60">
        <v>0</v>
      </c>
      <c r="J918" s="65" t="s">
        <v>222</v>
      </c>
      <c r="K918" s="66" t="s">
        <v>524</v>
      </c>
      <c r="L918" s="55"/>
    </row>
    <row r="919" spans="1:12" ht="12.75" customHeight="1" thickBot="1" x14ac:dyDescent="0.25">
      <c r="A919" s="60">
        <f t="shared" ref="A919:I919" si="512">SUM(A917:A918)</f>
        <v>162</v>
      </c>
      <c r="B919" s="60">
        <f t="shared" si="512"/>
        <v>0</v>
      </c>
      <c r="C919" s="60">
        <f t="shared" si="512"/>
        <v>162</v>
      </c>
      <c r="D919" s="60">
        <f t="shared" si="512"/>
        <v>0</v>
      </c>
      <c r="E919" s="60">
        <f t="shared" si="512"/>
        <v>0</v>
      </c>
      <c r="F919" s="60">
        <f t="shared" si="512"/>
        <v>0</v>
      </c>
      <c r="G919" s="60">
        <f t="shared" si="512"/>
        <v>162</v>
      </c>
      <c r="H919" s="60">
        <f t="shared" si="512"/>
        <v>0</v>
      </c>
      <c r="I919" s="60">
        <f t="shared" si="512"/>
        <v>162</v>
      </c>
      <c r="J919" s="65" t="s">
        <v>13</v>
      </c>
      <c r="K919" s="67"/>
      <c r="L919" s="55"/>
    </row>
    <row r="920" spans="1:12" ht="12.75" customHeight="1" thickBot="1" x14ac:dyDescent="0.25">
      <c r="A920" s="60">
        <f t="shared" ref="A920:C921" si="513">G920+D920</f>
        <v>296</v>
      </c>
      <c r="B920" s="60">
        <f t="shared" si="513"/>
        <v>0</v>
      </c>
      <c r="C920" s="60">
        <f t="shared" si="513"/>
        <v>296</v>
      </c>
      <c r="D920" s="60">
        <f>F920+E920</f>
        <v>0</v>
      </c>
      <c r="E920" s="60">
        <v>0</v>
      </c>
      <c r="F920" s="60">
        <v>0</v>
      </c>
      <c r="G920" s="60">
        <f>I920+H920</f>
        <v>296</v>
      </c>
      <c r="H920" s="60">
        <v>0</v>
      </c>
      <c r="I920" s="60">
        <v>296</v>
      </c>
      <c r="J920" s="65" t="s">
        <v>221</v>
      </c>
      <c r="K920" s="66"/>
      <c r="L920" s="55"/>
    </row>
    <row r="921" spans="1:12" ht="12.75" customHeight="1" thickBot="1" x14ac:dyDescent="0.25">
      <c r="A921" s="60">
        <f t="shared" si="513"/>
        <v>0</v>
      </c>
      <c r="B921" s="60">
        <f t="shared" si="513"/>
        <v>0</v>
      </c>
      <c r="C921" s="60">
        <f t="shared" si="513"/>
        <v>0</v>
      </c>
      <c r="D921" s="60">
        <f>F921+E921</f>
        <v>0</v>
      </c>
      <c r="E921" s="60">
        <v>0</v>
      </c>
      <c r="F921" s="60">
        <v>0</v>
      </c>
      <c r="G921" s="60">
        <f>I921+H921</f>
        <v>0</v>
      </c>
      <c r="H921" s="60">
        <v>0</v>
      </c>
      <c r="I921" s="60">
        <v>0</v>
      </c>
      <c r="J921" s="65" t="s">
        <v>222</v>
      </c>
      <c r="K921" s="66" t="s">
        <v>278</v>
      </c>
      <c r="L921" s="55"/>
    </row>
    <row r="922" spans="1:12" ht="12.75" customHeight="1" thickBot="1" x14ac:dyDescent="0.25">
      <c r="A922" s="60">
        <f t="shared" ref="A922:I922" si="514">SUM(A920:A921)</f>
        <v>296</v>
      </c>
      <c r="B922" s="60">
        <f t="shared" si="514"/>
        <v>0</v>
      </c>
      <c r="C922" s="60">
        <f t="shared" si="514"/>
        <v>296</v>
      </c>
      <c r="D922" s="60">
        <f t="shared" si="514"/>
        <v>0</v>
      </c>
      <c r="E922" s="60">
        <f t="shared" si="514"/>
        <v>0</v>
      </c>
      <c r="F922" s="60">
        <f t="shared" si="514"/>
        <v>0</v>
      </c>
      <c r="G922" s="60">
        <f t="shared" si="514"/>
        <v>296</v>
      </c>
      <c r="H922" s="60">
        <f t="shared" si="514"/>
        <v>0</v>
      </c>
      <c r="I922" s="60">
        <f t="shared" si="514"/>
        <v>296</v>
      </c>
      <c r="J922" s="65" t="s">
        <v>13</v>
      </c>
      <c r="K922" s="67"/>
      <c r="L922" s="55"/>
    </row>
    <row r="923" spans="1:12" ht="12.75" customHeight="1" thickBot="1" x14ac:dyDescent="0.25">
      <c r="A923" s="60">
        <f t="shared" ref="A923:C924" si="515">G923+D923</f>
        <v>588</v>
      </c>
      <c r="B923" s="60">
        <f t="shared" si="515"/>
        <v>588</v>
      </c>
      <c r="C923" s="60">
        <f t="shared" si="515"/>
        <v>0</v>
      </c>
      <c r="D923" s="60">
        <f>F923+E923</f>
        <v>0</v>
      </c>
      <c r="E923" s="60">
        <v>0</v>
      </c>
      <c r="F923" s="60">
        <v>0</v>
      </c>
      <c r="G923" s="60">
        <f>I923+H923</f>
        <v>588</v>
      </c>
      <c r="H923" s="60">
        <f>546+42</f>
        <v>588</v>
      </c>
      <c r="I923" s="60">
        <v>0</v>
      </c>
      <c r="J923" s="65" t="s">
        <v>221</v>
      </c>
      <c r="K923" s="66"/>
      <c r="L923" s="55"/>
    </row>
    <row r="924" spans="1:12" ht="12.75" customHeight="1" thickBot="1" x14ac:dyDescent="0.25">
      <c r="A924" s="60">
        <f t="shared" si="515"/>
        <v>228</v>
      </c>
      <c r="B924" s="60">
        <f t="shared" si="515"/>
        <v>228</v>
      </c>
      <c r="C924" s="60">
        <f t="shared" si="515"/>
        <v>0</v>
      </c>
      <c r="D924" s="60">
        <f>F924+E924</f>
        <v>0</v>
      </c>
      <c r="E924" s="60">
        <v>0</v>
      </c>
      <c r="F924" s="60">
        <v>0</v>
      </c>
      <c r="G924" s="60">
        <f>I924+H924</f>
        <v>228</v>
      </c>
      <c r="H924" s="60">
        <v>228</v>
      </c>
      <c r="I924" s="60">
        <v>0</v>
      </c>
      <c r="J924" s="65" t="s">
        <v>222</v>
      </c>
      <c r="K924" s="66" t="s">
        <v>525</v>
      </c>
      <c r="L924" s="55"/>
    </row>
    <row r="925" spans="1:12" ht="12.75" customHeight="1" thickBot="1" x14ac:dyDescent="0.25">
      <c r="A925" s="60">
        <f t="shared" ref="A925:I925" si="516">SUM(A923:A924)</f>
        <v>816</v>
      </c>
      <c r="B925" s="60">
        <f t="shared" si="516"/>
        <v>816</v>
      </c>
      <c r="C925" s="60">
        <f t="shared" si="516"/>
        <v>0</v>
      </c>
      <c r="D925" s="60">
        <f t="shared" si="516"/>
        <v>0</v>
      </c>
      <c r="E925" s="60">
        <f t="shared" si="516"/>
        <v>0</v>
      </c>
      <c r="F925" s="60">
        <f t="shared" si="516"/>
        <v>0</v>
      </c>
      <c r="G925" s="60">
        <f t="shared" si="516"/>
        <v>816</v>
      </c>
      <c r="H925" s="60">
        <f t="shared" si="516"/>
        <v>816</v>
      </c>
      <c r="I925" s="60">
        <f t="shared" si="516"/>
        <v>0</v>
      </c>
      <c r="J925" s="65" t="s">
        <v>13</v>
      </c>
      <c r="K925" s="67"/>
      <c r="L925" s="55"/>
    </row>
    <row r="926" spans="1:12" ht="12.75" customHeight="1" thickBot="1" x14ac:dyDescent="0.25">
      <c r="A926" s="60">
        <f t="shared" ref="A926:C927" si="517">G926+D926</f>
        <v>425</v>
      </c>
      <c r="B926" s="60">
        <f t="shared" si="517"/>
        <v>425</v>
      </c>
      <c r="C926" s="60">
        <f t="shared" si="517"/>
        <v>0</v>
      </c>
      <c r="D926" s="60">
        <f>F926+E926</f>
        <v>0</v>
      </c>
      <c r="E926" s="60">
        <v>0</v>
      </c>
      <c r="F926" s="60">
        <v>0</v>
      </c>
      <c r="G926" s="60">
        <f>I926+H926</f>
        <v>425</v>
      </c>
      <c r="H926" s="60">
        <v>425</v>
      </c>
      <c r="I926" s="60">
        <v>0</v>
      </c>
      <c r="J926" s="65" t="s">
        <v>221</v>
      </c>
      <c r="K926" s="66"/>
      <c r="L926" s="55"/>
    </row>
    <row r="927" spans="1:12" ht="12.75" customHeight="1" thickBot="1" x14ac:dyDescent="0.25">
      <c r="A927" s="60">
        <f t="shared" si="517"/>
        <v>157</v>
      </c>
      <c r="B927" s="60">
        <f t="shared" si="517"/>
        <v>157</v>
      </c>
      <c r="C927" s="60">
        <f t="shared" si="517"/>
        <v>0</v>
      </c>
      <c r="D927" s="60">
        <f>F927+E927</f>
        <v>0</v>
      </c>
      <c r="E927" s="60">
        <v>0</v>
      </c>
      <c r="F927" s="60">
        <v>0</v>
      </c>
      <c r="G927" s="60">
        <f>I927+H927</f>
        <v>157</v>
      </c>
      <c r="H927" s="60">
        <v>157</v>
      </c>
      <c r="I927" s="60">
        <v>0</v>
      </c>
      <c r="J927" s="65" t="s">
        <v>222</v>
      </c>
      <c r="K927" s="66" t="s">
        <v>526</v>
      </c>
      <c r="L927" s="55"/>
    </row>
    <row r="928" spans="1:12" ht="12.75" customHeight="1" thickBot="1" x14ac:dyDescent="0.25">
      <c r="A928" s="60">
        <f t="shared" ref="A928:I928" si="518">SUM(A926:A927)</f>
        <v>582</v>
      </c>
      <c r="B928" s="60">
        <f t="shared" si="518"/>
        <v>582</v>
      </c>
      <c r="C928" s="60">
        <f t="shared" si="518"/>
        <v>0</v>
      </c>
      <c r="D928" s="60">
        <f t="shared" si="518"/>
        <v>0</v>
      </c>
      <c r="E928" s="60">
        <f t="shared" si="518"/>
        <v>0</v>
      </c>
      <c r="F928" s="60">
        <f t="shared" si="518"/>
        <v>0</v>
      </c>
      <c r="G928" s="60">
        <f t="shared" si="518"/>
        <v>582</v>
      </c>
      <c r="H928" s="60">
        <f t="shared" si="518"/>
        <v>582</v>
      </c>
      <c r="I928" s="60">
        <f t="shared" si="518"/>
        <v>0</v>
      </c>
      <c r="J928" s="65" t="s">
        <v>13</v>
      </c>
      <c r="K928" s="67"/>
      <c r="L928" s="55"/>
    </row>
    <row r="929" spans="1:12" ht="12.75" customHeight="1" thickBot="1" x14ac:dyDescent="0.25">
      <c r="A929" s="60">
        <f t="shared" ref="A929:H931" si="519">A917+A920+A923+A926</f>
        <v>1471</v>
      </c>
      <c r="B929" s="60">
        <f t="shared" si="519"/>
        <v>1013</v>
      </c>
      <c r="C929" s="60">
        <f t="shared" si="519"/>
        <v>458</v>
      </c>
      <c r="D929" s="60">
        <f t="shared" si="519"/>
        <v>0</v>
      </c>
      <c r="E929" s="60">
        <f t="shared" si="519"/>
        <v>0</v>
      </c>
      <c r="F929" s="60">
        <f t="shared" si="519"/>
        <v>0</v>
      </c>
      <c r="G929" s="60">
        <f t="shared" si="519"/>
        <v>1471</v>
      </c>
      <c r="H929" s="60">
        <f t="shared" si="519"/>
        <v>1013</v>
      </c>
      <c r="I929" s="60">
        <f>I917+I920+I923+I926</f>
        <v>458</v>
      </c>
      <c r="J929" s="65" t="s">
        <v>224</v>
      </c>
      <c r="K929" s="57"/>
      <c r="L929" s="55"/>
    </row>
    <row r="930" spans="1:12" ht="12.75" customHeight="1" thickBot="1" x14ac:dyDescent="0.25">
      <c r="A930" s="60">
        <f t="shared" si="519"/>
        <v>385</v>
      </c>
      <c r="B930" s="60">
        <f t="shared" si="519"/>
        <v>385</v>
      </c>
      <c r="C930" s="60">
        <f t="shared" si="519"/>
        <v>0</v>
      </c>
      <c r="D930" s="60">
        <f t="shared" si="519"/>
        <v>0</v>
      </c>
      <c r="E930" s="60">
        <f t="shared" si="519"/>
        <v>0</v>
      </c>
      <c r="F930" s="60">
        <f t="shared" si="519"/>
        <v>0</v>
      </c>
      <c r="G930" s="60">
        <f t="shared" si="519"/>
        <v>385</v>
      </c>
      <c r="H930" s="60">
        <f t="shared" si="519"/>
        <v>385</v>
      </c>
      <c r="I930" s="60">
        <f>I918+I921+I924+I927</f>
        <v>0</v>
      </c>
      <c r="J930" s="65" t="s">
        <v>225</v>
      </c>
      <c r="K930" s="68" t="s">
        <v>211</v>
      </c>
      <c r="L930" s="55"/>
    </row>
    <row r="931" spans="1:12" ht="12.75" customHeight="1" thickBot="1" x14ac:dyDescent="0.25">
      <c r="A931" s="60">
        <f t="shared" si="519"/>
        <v>1856</v>
      </c>
      <c r="B931" s="60">
        <f t="shared" si="519"/>
        <v>1398</v>
      </c>
      <c r="C931" s="60">
        <f t="shared" si="519"/>
        <v>458</v>
      </c>
      <c r="D931" s="60">
        <f t="shared" si="519"/>
        <v>0</v>
      </c>
      <c r="E931" s="60">
        <f t="shared" si="519"/>
        <v>0</v>
      </c>
      <c r="F931" s="60">
        <f t="shared" si="519"/>
        <v>0</v>
      </c>
      <c r="G931" s="60">
        <f t="shared" si="519"/>
        <v>1856</v>
      </c>
      <c r="H931" s="60">
        <f t="shared" si="519"/>
        <v>1398</v>
      </c>
      <c r="I931" s="60">
        <f>I919+I922+I925+I928</f>
        <v>458</v>
      </c>
      <c r="J931" s="65" t="s">
        <v>13</v>
      </c>
      <c r="K931" s="59"/>
      <c r="L931" s="55"/>
    </row>
    <row r="932" spans="1:12" ht="12.75" customHeight="1" x14ac:dyDescent="0.2">
      <c r="A932" s="177" t="s">
        <v>327</v>
      </c>
      <c r="B932" s="177"/>
      <c r="C932" s="177"/>
      <c r="D932" s="177"/>
      <c r="E932" s="177"/>
      <c r="F932" s="177"/>
      <c r="G932" s="177"/>
      <c r="H932" s="177"/>
      <c r="I932" s="177"/>
      <c r="J932" s="177"/>
      <c r="K932" s="177"/>
      <c r="L932" s="55"/>
    </row>
    <row r="933" spans="1:12" ht="12.75" customHeight="1" thickBot="1" x14ac:dyDescent="0.25">
      <c r="A933" s="178" t="s">
        <v>328</v>
      </c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55"/>
    </row>
    <row r="934" spans="1:12" ht="12.75" customHeight="1" thickBot="1" x14ac:dyDescent="0.25">
      <c r="A934" s="179" t="s">
        <v>5</v>
      </c>
      <c r="B934" s="179"/>
      <c r="C934" s="179"/>
      <c r="D934" s="179" t="s">
        <v>162</v>
      </c>
      <c r="E934" s="179"/>
      <c r="F934" s="179"/>
      <c r="G934" s="179" t="s">
        <v>163</v>
      </c>
      <c r="H934" s="179"/>
      <c r="I934" s="179"/>
      <c r="J934" s="179" t="s">
        <v>72</v>
      </c>
      <c r="K934" s="179"/>
      <c r="L934" s="55"/>
    </row>
    <row r="935" spans="1:12" ht="12.75" customHeight="1" thickBot="1" x14ac:dyDescent="0.25">
      <c r="A935" s="58" t="s">
        <v>216</v>
      </c>
      <c r="B935" s="58" t="s">
        <v>11</v>
      </c>
      <c r="C935" s="58" t="s">
        <v>10</v>
      </c>
      <c r="D935" s="58" t="s">
        <v>216</v>
      </c>
      <c r="E935" s="58" t="s">
        <v>11</v>
      </c>
      <c r="F935" s="58" t="s">
        <v>10</v>
      </c>
      <c r="G935" s="58" t="s">
        <v>216</v>
      </c>
      <c r="H935" s="58" t="s">
        <v>11</v>
      </c>
      <c r="I935" s="58" t="s">
        <v>10</v>
      </c>
      <c r="J935" s="180" t="s">
        <v>168</v>
      </c>
      <c r="K935" s="180"/>
      <c r="L935" s="55"/>
    </row>
    <row r="936" spans="1:12" ht="12.75" customHeight="1" thickBot="1" x14ac:dyDescent="0.25">
      <c r="A936" s="60">
        <f>SUM(B936:C936)</f>
        <v>724</v>
      </c>
      <c r="B936" s="60">
        <f>H936+E936</f>
        <v>0</v>
      </c>
      <c r="C936" s="60">
        <f>I936+F936</f>
        <v>724</v>
      </c>
      <c r="D936" s="60">
        <f>SUM(E936:F936)</f>
        <v>0</v>
      </c>
      <c r="E936" s="60">
        <v>0</v>
      </c>
      <c r="F936" s="60">
        <v>0</v>
      </c>
      <c r="G936" s="60">
        <f>SUM(H936:I936)</f>
        <v>724</v>
      </c>
      <c r="H936" s="60">
        <v>0</v>
      </c>
      <c r="I936" s="60">
        <v>724</v>
      </c>
      <c r="J936" s="65" t="s">
        <v>221</v>
      </c>
      <c r="K936" s="66"/>
      <c r="L936" s="55"/>
    </row>
    <row r="937" spans="1:12" ht="12.75" customHeight="1" thickBot="1" x14ac:dyDescent="0.25">
      <c r="A937" s="60">
        <f t="shared" ref="A937:A938" si="520">SUM(B937:C937)</f>
        <v>0</v>
      </c>
      <c r="B937" s="60">
        <f t="shared" ref="B937:C938" si="521">H937+E937</f>
        <v>0</v>
      </c>
      <c r="C937" s="60">
        <f t="shared" si="521"/>
        <v>0</v>
      </c>
      <c r="D937" s="60">
        <f t="shared" ref="D937:D938" si="522">SUM(E937:F937)</f>
        <v>0</v>
      </c>
      <c r="E937" s="60">
        <v>0</v>
      </c>
      <c r="F937" s="60">
        <v>0</v>
      </c>
      <c r="G937" s="60">
        <f t="shared" ref="G937:G938" si="523">SUM(H937:I937)</f>
        <v>0</v>
      </c>
      <c r="H937" s="60">
        <v>0</v>
      </c>
      <c r="I937" s="60">
        <v>0</v>
      </c>
      <c r="J937" s="65" t="s">
        <v>222</v>
      </c>
      <c r="K937" s="66" t="s">
        <v>280</v>
      </c>
      <c r="L937" s="55"/>
    </row>
    <row r="938" spans="1:12" ht="12.75" customHeight="1" thickBot="1" x14ac:dyDescent="0.25">
      <c r="A938" s="60">
        <f t="shared" si="520"/>
        <v>724</v>
      </c>
      <c r="B938" s="60">
        <f t="shared" si="521"/>
        <v>0</v>
      </c>
      <c r="C938" s="60">
        <f t="shared" si="521"/>
        <v>724</v>
      </c>
      <c r="D938" s="60">
        <f t="shared" si="522"/>
        <v>0</v>
      </c>
      <c r="E938" s="60">
        <v>0</v>
      </c>
      <c r="F938" s="60">
        <v>0</v>
      </c>
      <c r="G938" s="60">
        <f t="shared" si="523"/>
        <v>724</v>
      </c>
      <c r="H938" s="60">
        <v>0</v>
      </c>
      <c r="I938" s="60">
        <v>724</v>
      </c>
      <c r="J938" s="65" t="s">
        <v>13</v>
      </c>
      <c r="K938" s="67"/>
      <c r="L938" s="55"/>
    </row>
    <row r="939" spans="1:12" ht="12.75" customHeight="1" thickBot="1" x14ac:dyDescent="0.25">
      <c r="A939" s="60">
        <f t="shared" ref="A939:I941" si="524">A936</f>
        <v>724</v>
      </c>
      <c r="B939" s="60">
        <f t="shared" si="524"/>
        <v>0</v>
      </c>
      <c r="C939" s="60">
        <f t="shared" si="524"/>
        <v>724</v>
      </c>
      <c r="D939" s="60">
        <f t="shared" si="524"/>
        <v>0</v>
      </c>
      <c r="E939" s="60">
        <f t="shared" si="524"/>
        <v>0</v>
      </c>
      <c r="F939" s="60">
        <f t="shared" si="524"/>
        <v>0</v>
      </c>
      <c r="G939" s="60">
        <f t="shared" si="524"/>
        <v>724</v>
      </c>
      <c r="H939" s="60">
        <f t="shared" si="524"/>
        <v>0</v>
      </c>
      <c r="I939" s="60">
        <f>I936</f>
        <v>724</v>
      </c>
      <c r="J939" s="65" t="s">
        <v>224</v>
      </c>
      <c r="K939" s="57"/>
      <c r="L939" s="55"/>
    </row>
    <row r="940" spans="1:12" ht="12.75" customHeight="1" thickBot="1" x14ac:dyDescent="0.25">
      <c r="A940" s="60">
        <f t="shared" si="524"/>
        <v>0</v>
      </c>
      <c r="B940" s="60">
        <f t="shared" si="524"/>
        <v>0</v>
      </c>
      <c r="C940" s="60">
        <f t="shared" si="524"/>
        <v>0</v>
      </c>
      <c r="D940" s="60">
        <f t="shared" si="524"/>
        <v>0</v>
      </c>
      <c r="E940" s="60">
        <f t="shared" si="524"/>
        <v>0</v>
      </c>
      <c r="F940" s="60">
        <f t="shared" si="524"/>
        <v>0</v>
      </c>
      <c r="G940" s="60">
        <f t="shared" si="524"/>
        <v>0</v>
      </c>
      <c r="H940" s="60">
        <f t="shared" si="524"/>
        <v>0</v>
      </c>
      <c r="I940" s="60">
        <f t="shared" si="524"/>
        <v>0</v>
      </c>
      <c r="J940" s="65" t="s">
        <v>225</v>
      </c>
      <c r="K940" s="68" t="s">
        <v>211</v>
      </c>
      <c r="L940" s="55"/>
    </row>
    <row r="941" spans="1:12" ht="12.75" customHeight="1" thickBot="1" x14ac:dyDescent="0.25">
      <c r="A941" s="60">
        <f t="shared" si="524"/>
        <v>724</v>
      </c>
      <c r="B941" s="60">
        <f t="shared" si="524"/>
        <v>0</v>
      </c>
      <c r="C941" s="60">
        <f t="shared" si="524"/>
        <v>724</v>
      </c>
      <c r="D941" s="60">
        <f t="shared" si="524"/>
        <v>0</v>
      </c>
      <c r="E941" s="60">
        <f t="shared" si="524"/>
        <v>0</v>
      </c>
      <c r="F941" s="60">
        <f t="shared" si="524"/>
        <v>0</v>
      </c>
      <c r="G941" s="60">
        <f t="shared" si="524"/>
        <v>724</v>
      </c>
      <c r="H941" s="60">
        <f t="shared" si="524"/>
        <v>0</v>
      </c>
      <c r="I941" s="60">
        <f t="shared" si="524"/>
        <v>724</v>
      </c>
      <c r="J941" s="65" t="s">
        <v>13</v>
      </c>
      <c r="K941" s="59"/>
      <c r="L941" s="55"/>
    </row>
    <row r="942" spans="1:12" ht="12.75" customHeight="1" x14ac:dyDescent="0.2">
      <c r="A942" s="177" t="s">
        <v>327</v>
      </c>
      <c r="B942" s="177"/>
      <c r="C942" s="177"/>
      <c r="D942" s="177"/>
      <c r="E942" s="177"/>
      <c r="F942" s="177"/>
      <c r="G942" s="177"/>
      <c r="H942" s="177"/>
      <c r="I942" s="177"/>
      <c r="J942" s="177"/>
      <c r="K942" s="177"/>
      <c r="L942" s="55"/>
    </row>
    <row r="943" spans="1:12" ht="12.75" customHeight="1" thickBot="1" x14ac:dyDescent="0.25">
      <c r="A943" s="178" t="s">
        <v>328</v>
      </c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55"/>
    </row>
    <row r="944" spans="1:12" ht="12.75" customHeight="1" thickBot="1" x14ac:dyDescent="0.25">
      <c r="A944" s="179" t="s">
        <v>5</v>
      </c>
      <c r="B944" s="179"/>
      <c r="C944" s="179"/>
      <c r="D944" s="179" t="s">
        <v>162</v>
      </c>
      <c r="E944" s="179"/>
      <c r="F944" s="179"/>
      <c r="G944" s="179" t="s">
        <v>163</v>
      </c>
      <c r="H944" s="179"/>
      <c r="I944" s="179"/>
      <c r="J944" s="179" t="s">
        <v>72</v>
      </c>
      <c r="K944" s="179"/>
      <c r="L944" s="55"/>
    </row>
    <row r="945" spans="1:12" ht="12.75" customHeight="1" thickBot="1" x14ac:dyDescent="0.25">
      <c r="A945" s="58" t="s">
        <v>216</v>
      </c>
      <c r="B945" s="58" t="s">
        <v>11</v>
      </c>
      <c r="C945" s="58" t="s">
        <v>10</v>
      </c>
      <c r="D945" s="58" t="s">
        <v>216</v>
      </c>
      <c r="E945" s="58" t="s">
        <v>11</v>
      </c>
      <c r="F945" s="58" t="s">
        <v>10</v>
      </c>
      <c r="G945" s="58" t="s">
        <v>216</v>
      </c>
      <c r="H945" s="58" t="s">
        <v>11</v>
      </c>
      <c r="I945" s="58" t="s">
        <v>10</v>
      </c>
      <c r="J945" s="180" t="s">
        <v>169</v>
      </c>
      <c r="K945" s="180"/>
      <c r="L945" s="55"/>
    </row>
    <row r="946" spans="1:12" ht="12.75" customHeight="1" thickBot="1" x14ac:dyDescent="0.25">
      <c r="A946" s="60">
        <f>SUM(B946:C946)</f>
        <v>81</v>
      </c>
      <c r="B946" s="60">
        <f>H946+E946</f>
        <v>42</v>
      </c>
      <c r="C946" s="60">
        <f>I946+F946</f>
        <v>39</v>
      </c>
      <c r="D946" s="60">
        <f>SUM(E946:F946)</f>
        <v>0</v>
      </c>
      <c r="E946" s="60">
        <v>0</v>
      </c>
      <c r="F946" s="60">
        <v>0</v>
      </c>
      <c r="G946" s="60">
        <f>SUM(H946:I946)</f>
        <v>81</v>
      </c>
      <c r="H946" s="60">
        <v>42</v>
      </c>
      <c r="I946" s="60">
        <v>39</v>
      </c>
      <c r="J946" s="65" t="s">
        <v>221</v>
      </c>
      <c r="K946" s="66"/>
      <c r="L946" s="55"/>
    </row>
    <row r="947" spans="1:12" ht="12.75" customHeight="1" thickBot="1" x14ac:dyDescent="0.25">
      <c r="A947" s="60">
        <f t="shared" ref="A947:A948" si="525">SUM(B947:C947)</f>
        <v>0</v>
      </c>
      <c r="B947" s="60">
        <f t="shared" ref="B947:C948" si="526">H947+E947</f>
        <v>0</v>
      </c>
      <c r="C947" s="60">
        <f t="shared" si="526"/>
        <v>0</v>
      </c>
      <c r="D947" s="60">
        <f t="shared" ref="D947:D948" si="527">SUM(E947:F947)</f>
        <v>0</v>
      </c>
      <c r="E947" s="60">
        <v>0</v>
      </c>
      <c r="F947" s="60">
        <v>0</v>
      </c>
      <c r="G947" s="60">
        <f t="shared" ref="G947:G948" si="528">SUM(H947:I947)</f>
        <v>0</v>
      </c>
      <c r="H947" s="60">
        <v>0</v>
      </c>
      <c r="I947" s="60">
        <v>0</v>
      </c>
      <c r="J947" s="65" t="s">
        <v>222</v>
      </c>
      <c r="K947" s="66" t="s">
        <v>324</v>
      </c>
      <c r="L947" s="55"/>
    </row>
    <row r="948" spans="1:12" ht="12.75" customHeight="1" thickBot="1" x14ac:dyDescent="0.25">
      <c r="A948" s="60">
        <f t="shared" si="525"/>
        <v>81</v>
      </c>
      <c r="B948" s="60">
        <f t="shared" si="526"/>
        <v>42</v>
      </c>
      <c r="C948" s="60">
        <f t="shared" si="526"/>
        <v>39</v>
      </c>
      <c r="D948" s="60">
        <f t="shared" si="527"/>
        <v>0</v>
      </c>
      <c r="E948" s="60">
        <v>0</v>
      </c>
      <c r="F948" s="60">
        <v>0</v>
      </c>
      <c r="G948" s="60">
        <f t="shared" si="528"/>
        <v>81</v>
      </c>
      <c r="H948" s="60">
        <v>42</v>
      </c>
      <c r="I948" s="60">
        <v>39</v>
      </c>
      <c r="J948" s="65" t="s">
        <v>13</v>
      </c>
      <c r="K948" s="67"/>
      <c r="L948" s="55"/>
    </row>
    <row r="949" spans="1:12" ht="12.75" customHeight="1" thickBot="1" x14ac:dyDescent="0.25">
      <c r="A949" s="60">
        <f t="shared" ref="A949:I951" si="529">A946</f>
        <v>81</v>
      </c>
      <c r="B949" s="60">
        <f t="shared" si="529"/>
        <v>42</v>
      </c>
      <c r="C949" s="60">
        <f t="shared" si="529"/>
        <v>39</v>
      </c>
      <c r="D949" s="60">
        <f t="shared" si="529"/>
        <v>0</v>
      </c>
      <c r="E949" s="60">
        <f t="shared" si="529"/>
        <v>0</v>
      </c>
      <c r="F949" s="60">
        <f t="shared" si="529"/>
        <v>0</v>
      </c>
      <c r="G949" s="60">
        <f t="shared" si="529"/>
        <v>81</v>
      </c>
      <c r="H949" s="60">
        <f t="shared" si="529"/>
        <v>42</v>
      </c>
      <c r="I949" s="60">
        <f>I946</f>
        <v>39</v>
      </c>
      <c r="J949" s="65" t="s">
        <v>224</v>
      </c>
      <c r="K949" s="57"/>
      <c r="L949" s="55"/>
    </row>
    <row r="950" spans="1:12" ht="12.75" customHeight="1" thickBot="1" x14ac:dyDescent="0.25">
      <c r="A950" s="60">
        <f t="shared" si="529"/>
        <v>0</v>
      </c>
      <c r="B950" s="60">
        <f t="shared" si="529"/>
        <v>0</v>
      </c>
      <c r="C950" s="60">
        <f t="shared" si="529"/>
        <v>0</v>
      </c>
      <c r="D950" s="60">
        <f t="shared" si="529"/>
        <v>0</v>
      </c>
      <c r="E950" s="60">
        <f t="shared" si="529"/>
        <v>0</v>
      </c>
      <c r="F950" s="60">
        <f t="shared" si="529"/>
        <v>0</v>
      </c>
      <c r="G950" s="60">
        <f t="shared" si="529"/>
        <v>0</v>
      </c>
      <c r="H950" s="60">
        <f t="shared" si="529"/>
        <v>0</v>
      </c>
      <c r="I950" s="60">
        <f t="shared" si="529"/>
        <v>0</v>
      </c>
      <c r="J950" s="65" t="s">
        <v>225</v>
      </c>
      <c r="K950" s="68" t="s">
        <v>211</v>
      </c>
      <c r="L950" s="55"/>
    </row>
    <row r="951" spans="1:12" ht="12.75" customHeight="1" thickBot="1" x14ac:dyDescent="0.25">
      <c r="A951" s="60">
        <f t="shared" si="529"/>
        <v>81</v>
      </c>
      <c r="B951" s="60">
        <f t="shared" si="529"/>
        <v>42</v>
      </c>
      <c r="C951" s="60">
        <f t="shared" si="529"/>
        <v>39</v>
      </c>
      <c r="D951" s="60">
        <f t="shared" si="529"/>
        <v>0</v>
      </c>
      <c r="E951" s="60">
        <f t="shared" si="529"/>
        <v>0</v>
      </c>
      <c r="F951" s="60">
        <f t="shared" si="529"/>
        <v>0</v>
      </c>
      <c r="G951" s="60">
        <f t="shared" si="529"/>
        <v>81</v>
      </c>
      <c r="H951" s="60">
        <f t="shared" si="529"/>
        <v>42</v>
      </c>
      <c r="I951" s="60">
        <f t="shared" si="529"/>
        <v>39</v>
      </c>
      <c r="J951" s="65" t="s">
        <v>13</v>
      </c>
      <c r="K951" s="59"/>
      <c r="L951" s="55"/>
    </row>
    <row r="952" spans="1:12" ht="12.75" customHeight="1" x14ac:dyDescent="0.2">
      <c r="A952" s="177" t="s">
        <v>327</v>
      </c>
      <c r="B952" s="177"/>
      <c r="C952" s="177"/>
      <c r="D952" s="177"/>
      <c r="E952" s="177"/>
      <c r="F952" s="177"/>
      <c r="G952" s="177"/>
      <c r="H952" s="177"/>
      <c r="I952" s="177"/>
      <c r="J952" s="177"/>
      <c r="K952" s="177"/>
      <c r="L952" s="55"/>
    </row>
    <row r="953" spans="1:12" ht="12.75" customHeight="1" thickBot="1" x14ac:dyDescent="0.25">
      <c r="A953" s="178" t="s">
        <v>328</v>
      </c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55"/>
    </row>
    <row r="954" spans="1:12" ht="12.75" customHeight="1" thickBot="1" x14ac:dyDescent="0.25">
      <c r="A954" s="179" t="s">
        <v>5</v>
      </c>
      <c r="B954" s="179"/>
      <c r="C954" s="179"/>
      <c r="D954" s="179" t="s">
        <v>162</v>
      </c>
      <c r="E954" s="179"/>
      <c r="F954" s="179"/>
      <c r="G954" s="179" t="s">
        <v>163</v>
      </c>
      <c r="H954" s="179"/>
      <c r="I954" s="179"/>
      <c r="J954" s="179" t="s">
        <v>72</v>
      </c>
      <c r="K954" s="179"/>
      <c r="L954" s="55"/>
    </row>
    <row r="955" spans="1:12" ht="12.75" customHeight="1" thickBot="1" x14ac:dyDescent="0.25">
      <c r="A955" s="58" t="s">
        <v>216</v>
      </c>
      <c r="B955" s="58" t="s">
        <v>11</v>
      </c>
      <c r="C955" s="58" t="s">
        <v>10</v>
      </c>
      <c r="D955" s="58" t="s">
        <v>216</v>
      </c>
      <c r="E955" s="58" t="s">
        <v>11</v>
      </c>
      <c r="F955" s="58" t="s">
        <v>10</v>
      </c>
      <c r="G955" s="58" t="s">
        <v>216</v>
      </c>
      <c r="H955" s="58" t="s">
        <v>11</v>
      </c>
      <c r="I955" s="58" t="s">
        <v>10</v>
      </c>
      <c r="J955" s="180" t="s">
        <v>170</v>
      </c>
      <c r="K955" s="180"/>
      <c r="L955" s="55"/>
    </row>
    <row r="956" spans="1:12" ht="12.75" customHeight="1" thickBot="1" x14ac:dyDescent="0.25">
      <c r="A956" s="60">
        <f>SUM(B956:C956)</f>
        <v>144</v>
      </c>
      <c r="B956" s="60">
        <f>H956+E956</f>
        <v>0</v>
      </c>
      <c r="C956" s="60">
        <f>I956+F956</f>
        <v>144</v>
      </c>
      <c r="D956" s="60">
        <f>SUM(E956:F956)</f>
        <v>0</v>
      </c>
      <c r="E956" s="60">
        <v>0</v>
      </c>
      <c r="F956" s="60">
        <v>0</v>
      </c>
      <c r="G956" s="60">
        <f>SUM(H956:I956)</f>
        <v>144</v>
      </c>
      <c r="H956" s="60">
        <v>0</v>
      </c>
      <c r="I956" s="60">
        <v>144</v>
      </c>
      <c r="J956" s="65" t="s">
        <v>221</v>
      </c>
      <c r="K956" s="66"/>
      <c r="L956" s="55"/>
    </row>
    <row r="957" spans="1:12" ht="12.75" customHeight="1" thickBot="1" x14ac:dyDescent="0.25">
      <c r="A957" s="60">
        <f t="shared" ref="A957:A967" si="530">SUM(B957:C957)</f>
        <v>0</v>
      </c>
      <c r="B957" s="60">
        <f t="shared" ref="B957:C967" si="531">H957+E957</f>
        <v>0</v>
      </c>
      <c r="C957" s="60">
        <f t="shared" si="531"/>
        <v>0</v>
      </c>
      <c r="D957" s="60">
        <f t="shared" ref="D957:D967" si="532">SUM(E957:F957)</f>
        <v>0</v>
      </c>
      <c r="E957" s="60">
        <v>0</v>
      </c>
      <c r="F957" s="60">
        <v>0</v>
      </c>
      <c r="G957" s="60">
        <f t="shared" ref="G957:G967" si="533">SUM(H957:I957)</f>
        <v>0</v>
      </c>
      <c r="H957" s="60">
        <v>0</v>
      </c>
      <c r="I957" s="60">
        <v>0</v>
      </c>
      <c r="J957" s="65" t="s">
        <v>222</v>
      </c>
      <c r="K957" s="66" t="s">
        <v>325</v>
      </c>
      <c r="L957" s="55"/>
    </row>
    <row r="958" spans="1:12" ht="12.75" customHeight="1" thickBot="1" x14ac:dyDescent="0.25">
      <c r="A958" s="60">
        <f t="shared" si="530"/>
        <v>144</v>
      </c>
      <c r="B958" s="60">
        <f t="shared" si="531"/>
        <v>0</v>
      </c>
      <c r="C958" s="60">
        <f t="shared" si="531"/>
        <v>144</v>
      </c>
      <c r="D958" s="60">
        <f t="shared" si="532"/>
        <v>0</v>
      </c>
      <c r="E958" s="60">
        <v>0</v>
      </c>
      <c r="F958" s="60">
        <v>0</v>
      </c>
      <c r="G958" s="60">
        <f t="shared" si="533"/>
        <v>144</v>
      </c>
      <c r="H958" s="60">
        <v>0</v>
      </c>
      <c r="I958" s="60">
        <v>144</v>
      </c>
      <c r="J958" s="65" t="s">
        <v>13</v>
      </c>
      <c r="K958" s="67"/>
      <c r="L958" s="55"/>
    </row>
    <row r="959" spans="1:12" ht="12.75" customHeight="1" thickBot="1" x14ac:dyDescent="0.25">
      <c r="A959" s="60">
        <f t="shared" si="530"/>
        <v>310</v>
      </c>
      <c r="B959" s="60">
        <f t="shared" si="531"/>
        <v>0</v>
      </c>
      <c r="C959" s="60">
        <f t="shared" si="531"/>
        <v>310</v>
      </c>
      <c r="D959" s="60">
        <f t="shared" si="532"/>
        <v>0</v>
      </c>
      <c r="E959" s="60">
        <v>0</v>
      </c>
      <c r="F959" s="60">
        <v>0</v>
      </c>
      <c r="G959" s="60">
        <f t="shared" si="533"/>
        <v>310</v>
      </c>
      <c r="H959" s="60">
        <v>0</v>
      </c>
      <c r="I959" s="60">
        <v>310</v>
      </c>
      <c r="J959" s="65" t="s">
        <v>221</v>
      </c>
      <c r="K959" s="66"/>
      <c r="L959" s="55"/>
    </row>
    <row r="960" spans="1:12" ht="12.75" customHeight="1" thickBot="1" x14ac:dyDescent="0.25">
      <c r="A960" s="60">
        <f t="shared" si="530"/>
        <v>0</v>
      </c>
      <c r="B960" s="60">
        <f t="shared" si="531"/>
        <v>0</v>
      </c>
      <c r="C960" s="60">
        <f t="shared" si="531"/>
        <v>0</v>
      </c>
      <c r="D960" s="60">
        <f t="shared" si="532"/>
        <v>0</v>
      </c>
      <c r="E960" s="60">
        <v>0</v>
      </c>
      <c r="F960" s="60">
        <v>0</v>
      </c>
      <c r="G960" s="60">
        <f t="shared" si="533"/>
        <v>0</v>
      </c>
      <c r="H960" s="60">
        <v>0</v>
      </c>
      <c r="I960" s="60">
        <v>0</v>
      </c>
      <c r="J960" s="65" t="s">
        <v>222</v>
      </c>
      <c r="K960" s="66" t="s">
        <v>326</v>
      </c>
      <c r="L960" s="55"/>
    </row>
    <row r="961" spans="1:13" ht="12.75" customHeight="1" thickBot="1" x14ac:dyDescent="0.25">
      <c r="A961" s="60">
        <f t="shared" si="530"/>
        <v>310</v>
      </c>
      <c r="B961" s="60">
        <f t="shared" si="531"/>
        <v>0</v>
      </c>
      <c r="C961" s="60">
        <f t="shared" si="531"/>
        <v>310</v>
      </c>
      <c r="D961" s="60">
        <f t="shared" si="532"/>
        <v>0</v>
      </c>
      <c r="E961" s="60">
        <v>0</v>
      </c>
      <c r="F961" s="60">
        <v>0</v>
      </c>
      <c r="G961" s="60">
        <f t="shared" si="533"/>
        <v>310</v>
      </c>
      <c r="H961" s="60">
        <v>0</v>
      </c>
      <c r="I961" s="60">
        <v>310</v>
      </c>
      <c r="J961" s="65" t="s">
        <v>13</v>
      </c>
      <c r="K961" s="67"/>
      <c r="L961" s="55"/>
    </row>
    <row r="962" spans="1:13" ht="12.75" customHeight="1" thickBot="1" x14ac:dyDescent="0.25">
      <c r="A962" s="60">
        <f t="shared" si="530"/>
        <v>851</v>
      </c>
      <c r="B962" s="60">
        <f t="shared" si="531"/>
        <v>590</v>
      </c>
      <c r="C962" s="60">
        <f t="shared" si="531"/>
        <v>261</v>
      </c>
      <c r="D962" s="60">
        <f t="shared" si="532"/>
        <v>4</v>
      </c>
      <c r="E962" s="60">
        <v>2</v>
      </c>
      <c r="F962" s="60">
        <v>2</v>
      </c>
      <c r="G962" s="60">
        <f t="shared" si="533"/>
        <v>847</v>
      </c>
      <c r="H962" s="60">
        <v>588</v>
      </c>
      <c r="I962" s="60">
        <v>259</v>
      </c>
      <c r="J962" s="65" t="s">
        <v>221</v>
      </c>
      <c r="K962" s="66"/>
      <c r="L962" s="55"/>
    </row>
    <row r="963" spans="1:13" ht="12.75" customHeight="1" thickBot="1" x14ac:dyDescent="0.25">
      <c r="A963" s="60">
        <f t="shared" si="530"/>
        <v>0</v>
      </c>
      <c r="B963" s="60">
        <f t="shared" si="531"/>
        <v>0</v>
      </c>
      <c r="C963" s="60">
        <f t="shared" si="531"/>
        <v>0</v>
      </c>
      <c r="D963" s="60">
        <f t="shared" si="532"/>
        <v>0</v>
      </c>
      <c r="E963" s="60">
        <v>0</v>
      </c>
      <c r="F963" s="60">
        <v>0</v>
      </c>
      <c r="G963" s="60">
        <f t="shared" si="533"/>
        <v>0</v>
      </c>
      <c r="H963" s="60">
        <v>0</v>
      </c>
      <c r="I963" s="60">
        <v>0</v>
      </c>
      <c r="J963" s="65" t="s">
        <v>222</v>
      </c>
      <c r="K963" s="66" t="s">
        <v>527</v>
      </c>
      <c r="L963" s="55"/>
    </row>
    <row r="964" spans="1:13" ht="12.75" customHeight="1" thickBot="1" x14ac:dyDescent="0.25">
      <c r="A964" s="60">
        <f t="shared" si="530"/>
        <v>851</v>
      </c>
      <c r="B964" s="60">
        <f t="shared" si="531"/>
        <v>590</v>
      </c>
      <c r="C964" s="60">
        <f t="shared" si="531"/>
        <v>261</v>
      </c>
      <c r="D964" s="60">
        <f t="shared" si="532"/>
        <v>4</v>
      </c>
      <c r="E964" s="60">
        <v>2</v>
      </c>
      <c r="F964" s="60">
        <v>2</v>
      </c>
      <c r="G964" s="60">
        <f t="shared" si="533"/>
        <v>847</v>
      </c>
      <c r="H964" s="60">
        <v>588</v>
      </c>
      <c r="I964" s="60">
        <v>259</v>
      </c>
      <c r="J964" s="65" t="s">
        <v>13</v>
      </c>
      <c r="K964" s="67"/>
      <c r="L964" s="55"/>
    </row>
    <row r="965" spans="1:13" ht="12.75" customHeight="1" thickBot="1" x14ac:dyDescent="0.25">
      <c r="A965" s="60">
        <f t="shared" si="530"/>
        <v>365</v>
      </c>
      <c r="B965" s="60">
        <f t="shared" si="531"/>
        <v>183</v>
      </c>
      <c r="C965" s="60">
        <f t="shared" si="531"/>
        <v>182</v>
      </c>
      <c r="D965" s="60">
        <f t="shared" si="532"/>
        <v>5</v>
      </c>
      <c r="E965" s="60">
        <v>3</v>
      </c>
      <c r="F965" s="60">
        <v>2</v>
      </c>
      <c r="G965" s="60">
        <f t="shared" si="533"/>
        <v>360</v>
      </c>
      <c r="H965" s="60">
        <v>180</v>
      </c>
      <c r="I965" s="60">
        <v>180</v>
      </c>
      <c r="J965" s="65" t="s">
        <v>221</v>
      </c>
      <c r="K965" s="66"/>
      <c r="L965" s="55"/>
    </row>
    <row r="966" spans="1:13" ht="12.75" customHeight="1" thickBot="1" x14ac:dyDescent="0.25">
      <c r="A966" s="60">
        <f t="shared" si="530"/>
        <v>0</v>
      </c>
      <c r="B966" s="60">
        <f t="shared" si="531"/>
        <v>0</v>
      </c>
      <c r="C966" s="60">
        <f t="shared" si="531"/>
        <v>0</v>
      </c>
      <c r="D966" s="60">
        <f t="shared" si="532"/>
        <v>0</v>
      </c>
      <c r="E966" s="60">
        <v>0</v>
      </c>
      <c r="F966" s="60">
        <v>0</v>
      </c>
      <c r="G966" s="60">
        <f t="shared" si="533"/>
        <v>0</v>
      </c>
      <c r="H966" s="60">
        <v>0</v>
      </c>
      <c r="I966" s="60">
        <v>0</v>
      </c>
      <c r="J966" s="65" t="s">
        <v>222</v>
      </c>
      <c r="K966" s="66" t="s">
        <v>528</v>
      </c>
      <c r="L966" s="55"/>
    </row>
    <row r="967" spans="1:13" ht="12.75" customHeight="1" thickBot="1" x14ac:dyDescent="0.25">
      <c r="A967" s="60">
        <f t="shared" si="530"/>
        <v>365</v>
      </c>
      <c r="B967" s="60">
        <f t="shared" si="531"/>
        <v>183</v>
      </c>
      <c r="C967" s="60">
        <f t="shared" si="531"/>
        <v>182</v>
      </c>
      <c r="D967" s="60">
        <f t="shared" si="532"/>
        <v>5</v>
      </c>
      <c r="E967" s="60">
        <v>3</v>
      </c>
      <c r="F967" s="60">
        <v>2</v>
      </c>
      <c r="G967" s="60">
        <f t="shared" si="533"/>
        <v>360</v>
      </c>
      <c r="H967" s="60">
        <v>180</v>
      </c>
      <c r="I967" s="60">
        <v>180</v>
      </c>
      <c r="J967" s="65" t="s">
        <v>13</v>
      </c>
      <c r="K967" s="67"/>
      <c r="L967" s="55"/>
    </row>
    <row r="968" spans="1:13" ht="12.75" customHeight="1" thickBot="1" x14ac:dyDescent="0.25">
      <c r="A968" s="60">
        <f t="shared" ref="A968:I970" si="534">A956+A959+A962+A965</f>
        <v>1670</v>
      </c>
      <c r="B968" s="60">
        <f t="shared" si="534"/>
        <v>773</v>
      </c>
      <c r="C968" s="60">
        <f t="shared" si="534"/>
        <v>897</v>
      </c>
      <c r="D968" s="60">
        <f t="shared" si="534"/>
        <v>9</v>
      </c>
      <c r="E968" s="60">
        <f t="shared" si="534"/>
        <v>5</v>
      </c>
      <c r="F968" s="60">
        <f t="shared" si="534"/>
        <v>4</v>
      </c>
      <c r="G968" s="60">
        <f t="shared" si="534"/>
        <v>1661</v>
      </c>
      <c r="H968" s="60">
        <f t="shared" si="534"/>
        <v>768</v>
      </c>
      <c r="I968" s="60">
        <f>I956+I959+I962+I965</f>
        <v>893</v>
      </c>
      <c r="J968" s="65" t="s">
        <v>224</v>
      </c>
      <c r="K968" s="57"/>
      <c r="L968" s="55"/>
    </row>
    <row r="969" spans="1:13" ht="12.75" customHeight="1" thickBot="1" x14ac:dyDescent="0.25">
      <c r="A969" s="60">
        <f t="shared" si="534"/>
        <v>0</v>
      </c>
      <c r="B969" s="60">
        <f t="shared" si="534"/>
        <v>0</v>
      </c>
      <c r="C969" s="60">
        <f t="shared" si="534"/>
        <v>0</v>
      </c>
      <c r="D969" s="60">
        <f t="shared" si="534"/>
        <v>0</v>
      </c>
      <c r="E969" s="60">
        <f t="shared" si="534"/>
        <v>0</v>
      </c>
      <c r="F969" s="60">
        <f t="shared" si="534"/>
        <v>0</v>
      </c>
      <c r="G969" s="60">
        <f t="shared" si="534"/>
        <v>0</v>
      </c>
      <c r="H969" s="60">
        <f t="shared" si="534"/>
        <v>0</v>
      </c>
      <c r="I969" s="60">
        <f t="shared" si="534"/>
        <v>0</v>
      </c>
      <c r="J969" s="65" t="s">
        <v>225</v>
      </c>
      <c r="K969" s="68" t="s">
        <v>211</v>
      </c>
      <c r="L969" s="55"/>
    </row>
    <row r="970" spans="1:13" ht="12.75" customHeight="1" thickBot="1" x14ac:dyDescent="0.25">
      <c r="A970" s="60">
        <f t="shared" si="534"/>
        <v>1670</v>
      </c>
      <c r="B970" s="60">
        <f t="shared" si="534"/>
        <v>773</v>
      </c>
      <c r="C970" s="60">
        <f t="shared" si="534"/>
        <v>897</v>
      </c>
      <c r="D970" s="60">
        <f t="shared" si="534"/>
        <v>9</v>
      </c>
      <c r="E970" s="60">
        <f t="shared" si="534"/>
        <v>5</v>
      </c>
      <c r="F970" s="60">
        <f t="shared" si="534"/>
        <v>4</v>
      </c>
      <c r="G970" s="60">
        <f t="shared" si="534"/>
        <v>1661</v>
      </c>
      <c r="H970" s="60">
        <f t="shared" si="534"/>
        <v>768</v>
      </c>
      <c r="I970" s="60">
        <f t="shared" si="534"/>
        <v>893</v>
      </c>
      <c r="J970" s="65" t="s">
        <v>13</v>
      </c>
      <c r="K970" s="59"/>
      <c r="L970" s="55"/>
    </row>
    <row r="971" spans="1:13" ht="12.75" customHeight="1" x14ac:dyDescent="0.2">
      <c r="A971" s="177" t="s">
        <v>327</v>
      </c>
      <c r="B971" s="177"/>
      <c r="C971" s="177"/>
      <c r="D971" s="177"/>
      <c r="E971" s="177"/>
      <c r="F971" s="177"/>
      <c r="G971" s="177"/>
      <c r="H971" s="177"/>
      <c r="I971" s="177"/>
      <c r="J971" s="177"/>
      <c r="K971" s="177"/>
      <c r="L971" s="55"/>
    </row>
    <row r="972" spans="1:13" ht="12.75" customHeight="1" thickBot="1" x14ac:dyDescent="0.25">
      <c r="A972" s="178" t="s">
        <v>328</v>
      </c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55"/>
    </row>
    <row r="973" spans="1:13" ht="12.75" customHeight="1" thickBot="1" x14ac:dyDescent="0.25">
      <c r="A973" s="187" t="s">
        <v>5</v>
      </c>
      <c r="B973" s="187"/>
      <c r="C973" s="187"/>
      <c r="D973" s="187" t="s">
        <v>162</v>
      </c>
      <c r="E973" s="187"/>
      <c r="F973" s="187"/>
      <c r="G973" s="187" t="s">
        <v>163</v>
      </c>
      <c r="H973" s="187"/>
      <c r="I973" s="187"/>
      <c r="J973" s="187" t="s">
        <v>72</v>
      </c>
      <c r="K973" s="187"/>
      <c r="L973" s="55"/>
    </row>
    <row r="974" spans="1:13" ht="12.75" customHeight="1" thickBot="1" x14ac:dyDescent="0.25">
      <c r="A974" s="89" t="s">
        <v>216</v>
      </c>
      <c r="B974" s="89" t="s">
        <v>11</v>
      </c>
      <c r="C974" s="89" t="s">
        <v>10</v>
      </c>
      <c r="D974" s="89" t="s">
        <v>216</v>
      </c>
      <c r="E974" s="89" t="s">
        <v>11</v>
      </c>
      <c r="F974" s="89" t="s">
        <v>10</v>
      </c>
      <c r="G974" s="89" t="s">
        <v>216</v>
      </c>
      <c r="H974" s="89" t="s">
        <v>11</v>
      </c>
      <c r="I974" s="89" t="s">
        <v>10</v>
      </c>
      <c r="J974" s="186" t="s">
        <v>173</v>
      </c>
      <c r="K974" s="186"/>
      <c r="L974" s="55"/>
    </row>
    <row r="975" spans="1:13" ht="12.75" customHeight="1" thickBot="1" x14ac:dyDescent="0.25">
      <c r="A975" s="90">
        <f>SUM(B975:C975)</f>
        <v>696</v>
      </c>
      <c r="B975" s="90">
        <f>H975+E975</f>
        <v>381</v>
      </c>
      <c r="C975" s="90">
        <f>I975+F975</f>
        <v>315</v>
      </c>
      <c r="D975" s="90">
        <f>SUM(E975:F975)</f>
        <v>120</v>
      </c>
      <c r="E975" s="90">
        <v>65</v>
      </c>
      <c r="F975" s="90">
        <v>55</v>
      </c>
      <c r="G975" s="90">
        <f>SUM(H975:I975)</f>
        <v>576</v>
      </c>
      <c r="H975" s="90">
        <v>316</v>
      </c>
      <c r="I975" s="90">
        <v>260</v>
      </c>
      <c r="J975" s="91" t="s">
        <v>221</v>
      </c>
      <c r="K975" s="92"/>
      <c r="L975" s="55"/>
    </row>
    <row r="976" spans="1:13" ht="12.75" customHeight="1" thickBot="1" x14ac:dyDescent="0.25">
      <c r="A976" s="90">
        <f t="shared" ref="A976:A1033" si="535">SUM(B976:C976)</f>
        <v>0</v>
      </c>
      <c r="B976" s="90">
        <f t="shared" ref="B976:C1033" si="536">H976+E976</f>
        <v>0</v>
      </c>
      <c r="C976" s="90">
        <f t="shared" si="536"/>
        <v>0</v>
      </c>
      <c r="D976" s="90">
        <f t="shared" ref="D976:D1033" si="537">SUM(E976:F976)</f>
        <v>0</v>
      </c>
      <c r="E976" s="90">
        <v>0</v>
      </c>
      <c r="F976" s="90">
        <v>0</v>
      </c>
      <c r="G976" s="90">
        <f t="shared" ref="G976:G1033" si="538">SUM(H976:I976)</f>
        <v>0</v>
      </c>
      <c r="H976" s="90">
        <v>0</v>
      </c>
      <c r="I976" s="90">
        <v>0</v>
      </c>
      <c r="J976" s="91" t="s">
        <v>222</v>
      </c>
      <c r="K976" s="92" t="s">
        <v>138</v>
      </c>
      <c r="L976" s="55"/>
      <c r="M976" s="69"/>
    </row>
    <row r="977" spans="1:12" ht="12.75" customHeight="1" thickBot="1" x14ac:dyDescent="0.25">
      <c r="A977" s="90">
        <f t="shared" ref="A977:H977" si="539">SUM(A975:A976)</f>
        <v>696</v>
      </c>
      <c r="B977" s="90">
        <f t="shared" si="539"/>
        <v>381</v>
      </c>
      <c r="C977" s="90">
        <f t="shared" si="539"/>
        <v>315</v>
      </c>
      <c r="D977" s="90">
        <f t="shared" si="539"/>
        <v>120</v>
      </c>
      <c r="E977" s="90">
        <f t="shared" si="539"/>
        <v>65</v>
      </c>
      <c r="F977" s="90">
        <f t="shared" si="539"/>
        <v>55</v>
      </c>
      <c r="G977" s="90">
        <f t="shared" si="539"/>
        <v>576</v>
      </c>
      <c r="H977" s="90">
        <f t="shared" si="539"/>
        <v>316</v>
      </c>
      <c r="I977" s="90">
        <f>SUM(I975:I976)</f>
        <v>260</v>
      </c>
      <c r="J977" s="91" t="s">
        <v>13</v>
      </c>
      <c r="K977" s="93"/>
      <c r="L977" s="55"/>
    </row>
    <row r="978" spans="1:12" ht="12.75" customHeight="1" thickBot="1" x14ac:dyDescent="0.25">
      <c r="A978" s="90">
        <f t="shared" si="535"/>
        <v>4339</v>
      </c>
      <c r="B978" s="90">
        <f t="shared" si="536"/>
        <v>1681</v>
      </c>
      <c r="C978" s="90">
        <f t="shared" si="536"/>
        <v>2658</v>
      </c>
      <c r="D978" s="90">
        <f t="shared" si="537"/>
        <v>1032</v>
      </c>
      <c r="E978" s="90">
        <v>518</v>
      </c>
      <c r="F978" s="90">
        <v>514</v>
      </c>
      <c r="G978" s="90">
        <f t="shared" si="538"/>
        <v>3307</v>
      </c>
      <c r="H978" s="90">
        <v>1163</v>
      </c>
      <c r="I978" s="90">
        <v>2144</v>
      </c>
      <c r="J978" s="91" t="s">
        <v>221</v>
      </c>
      <c r="K978" s="92"/>
      <c r="L978" s="55"/>
    </row>
    <row r="979" spans="1:12" ht="12.75" customHeight="1" thickBot="1" x14ac:dyDescent="0.25">
      <c r="A979" s="90">
        <f t="shared" si="535"/>
        <v>0</v>
      </c>
      <c r="B979" s="90">
        <f t="shared" si="536"/>
        <v>0</v>
      </c>
      <c r="C979" s="90">
        <f t="shared" si="536"/>
        <v>0</v>
      </c>
      <c r="D979" s="90">
        <f t="shared" si="537"/>
        <v>0</v>
      </c>
      <c r="E979" s="90">
        <v>0</v>
      </c>
      <c r="F979" s="90">
        <v>0</v>
      </c>
      <c r="G979" s="90">
        <f t="shared" si="538"/>
        <v>0</v>
      </c>
      <c r="H979" s="90">
        <v>0</v>
      </c>
      <c r="I979" s="90">
        <v>0</v>
      </c>
      <c r="J979" s="91" t="s">
        <v>222</v>
      </c>
      <c r="K979" s="92" t="s">
        <v>139</v>
      </c>
      <c r="L979" s="55"/>
    </row>
    <row r="980" spans="1:12" ht="12.75" customHeight="1" thickBot="1" x14ac:dyDescent="0.25">
      <c r="A980" s="90">
        <f t="shared" ref="A980:H980" si="540">SUM(A978:A979)</f>
        <v>4339</v>
      </c>
      <c r="B980" s="90">
        <f t="shared" si="540"/>
        <v>1681</v>
      </c>
      <c r="C980" s="90">
        <f t="shared" si="540"/>
        <v>2658</v>
      </c>
      <c r="D980" s="90">
        <f t="shared" si="540"/>
        <v>1032</v>
      </c>
      <c r="E980" s="90">
        <f t="shared" si="540"/>
        <v>518</v>
      </c>
      <c r="F980" s="90">
        <f t="shared" si="540"/>
        <v>514</v>
      </c>
      <c r="G980" s="90">
        <f t="shared" si="540"/>
        <v>3307</v>
      </c>
      <c r="H980" s="90">
        <f t="shared" si="540"/>
        <v>1163</v>
      </c>
      <c r="I980" s="90">
        <f>SUM(I978:I979)</f>
        <v>2144</v>
      </c>
      <c r="J980" s="91" t="s">
        <v>13</v>
      </c>
      <c r="K980" s="93"/>
      <c r="L980" s="55"/>
    </row>
    <row r="981" spans="1:12" ht="12.75" customHeight="1" thickBot="1" x14ac:dyDescent="0.25">
      <c r="A981" s="90">
        <f t="shared" si="535"/>
        <v>682</v>
      </c>
      <c r="B981" s="90">
        <f t="shared" si="536"/>
        <v>284</v>
      </c>
      <c r="C981" s="90">
        <f t="shared" si="536"/>
        <v>398</v>
      </c>
      <c r="D981" s="90">
        <f t="shared" si="537"/>
        <v>45</v>
      </c>
      <c r="E981" s="90">
        <v>23</v>
      </c>
      <c r="F981" s="90">
        <v>22</v>
      </c>
      <c r="G981" s="90">
        <f t="shared" si="538"/>
        <v>637</v>
      </c>
      <c r="H981" s="90">
        <v>261</v>
      </c>
      <c r="I981" s="90">
        <v>376</v>
      </c>
      <c r="J981" s="91" t="s">
        <v>221</v>
      </c>
      <c r="K981" s="92"/>
      <c r="L981" s="55"/>
    </row>
    <row r="982" spans="1:12" ht="12.75" customHeight="1" thickBot="1" x14ac:dyDescent="0.25">
      <c r="A982" s="90">
        <f t="shared" si="535"/>
        <v>0</v>
      </c>
      <c r="B982" s="90">
        <f t="shared" si="536"/>
        <v>0</v>
      </c>
      <c r="C982" s="90">
        <f t="shared" si="536"/>
        <v>0</v>
      </c>
      <c r="D982" s="90">
        <f t="shared" si="537"/>
        <v>0</v>
      </c>
      <c r="E982" s="90">
        <v>0</v>
      </c>
      <c r="F982" s="90">
        <v>0</v>
      </c>
      <c r="G982" s="90">
        <f t="shared" si="538"/>
        <v>0</v>
      </c>
      <c r="H982" s="90">
        <v>0</v>
      </c>
      <c r="I982" s="90">
        <v>0</v>
      </c>
      <c r="J982" s="91" t="s">
        <v>222</v>
      </c>
      <c r="K982" s="92" t="s">
        <v>140</v>
      </c>
      <c r="L982" s="55"/>
    </row>
    <row r="983" spans="1:12" ht="12.75" customHeight="1" thickBot="1" x14ac:dyDescent="0.25">
      <c r="A983" s="90">
        <f t="shared" ref="A983:H983" si="541">SUM(A981:A982)</f>
        <v>682</v>
      </c>
      <c r="B983" s="90">
        <f t="shared" si="541"/>
        <v>284</v>
      </c>
      <c r="C983" s="90">
        <f t="shared" si="541"/>
        <v>398</v>
      </c>
      <c r="D983" s="90">
        <f t="shared" si="541"/>
        <v>45</v>
      </c>
      <c r="E983" s="90">
        <f t="shared" si="541"/>
        <v>23</v>
      </c>
      <c r="F983" s="90">
        <f t="shared" si="541"/>
        <v>22</v>
      </c>
      <c r="G983" s="90">
        <f t="shared" si="541"/>
        <v>637</v>
      </c>
      <c r="H983" s="90">
        <f t="shared" si="541"/>
        <v>261</v>
      </c>
      <c r="I983" s="90">
        <f>SUM(I981:I982)</f>
        <v>376</v>
      </c>
      <c r="J983" s="91" t="s">
        <v>13</v>
      </c>
      <c r="K983" s="93"/>
      <c r="L983" s="55"/>
    </row>
    <row r="984" spans="1:12" ht="12.75" customHeight="1" thickBot="1" x14ac:dyDescent="0.25">
      <c r="A984" s="90">
        <f t="shared" si="535"/>
        <v>148</v>
      </c>
      <c r="B984" s="90">
        <f t="shared" si="536"/>
        <v>148</v>
      </c>
      <c r="C984" s="90">
        <f t="shared" si="536"/>
        <v>0</v>
      </c>
      <c r="D984" s="90">
        <f t="shared" si="537"/>
        <v>45</v>
      </c>
      <c r="E984" s="90">
        <v>45</v>
      </c>
      <c r="F984" s="90">
        <v>0</v>
      </c>
      <c r="G984" s="90">
        <f t="shared" si="538"/>
        <v>103</v>
      </c>
      <c r="H984" s="90">
        <v>103</v>
      </c>
      <c r="I984" s="90">
        <v>0</v>
      </c>
      <c r="J984" s="91" t="s">
        <v>221</v>
      </c>
      <c r="K984" s="92"/>
      <c r="L984" s="55"/>
    </row>
    <row r="985" spans="1:12" ht="12.75" customHeight="1" thickBot="1" x14ac:dyDescent="0.25">
      <c r="A985" s="90">
        <f t="shared" si="535"/>
        <v>0</v>
      </c>
      <c r="B985" s="90">
        <f t="shared" si="536"/>
        <v>0</v>
      </c>
      <c r="C985" s="90">
        <f t="shared" si="536"/>
        <v>0</v>
      </c>
      <c r="D985" s="90">
        <f t="shared" si="537"/>
        <v>0</v>
      </c>
      <c r="E985" s="90">
        <v>0</v>
      </c>
      <c r="F985" s="90">
        <v>0</v>
      </c>
      <c r="G985" s="90">
        <f t="shared" si="538"/>
        <v>0</v>
      </c>
      <c r="H985" s="90">
        <v>0</v>
      </c>
      <c r="I985" s="90">
        <v>0</v>
      </c>
      <c r="J985" s="91" t="s">
        <v>222</v>
      </c>
      <c r="K985" s="92" t="s">
        <v>141</v>
      </c>
      <c r="L985" s="55"/>
    </row>
    <row r="986" spans="1:12" ht="12.75" customHeight="1" thickBot="1" x14ac:dyDescent="0.25">
      <c r="A986" s="90">
        <f t="shared" ref="A986:H986" si="542">SUM(A984:A985)</f>
        <v>148</v>
      </c>
      <c r="B986" s="90">
        <f t="shared" si="542"/>
        <v>148</v>
      </c>
      <c r="C986" s="90">
        <f t="shared" si="542"/>
        <v>0</v>
      </c>
      <c r="D986" s="90">
        <f t="shared" si="542"/>
        <v>45</v>
      </c>
      <c r="E986" s="90">
        <f t="shared" si="542"/>
        <v>45</v>
      </c>
      <c r="F986" s="90">
        <f t="shared" si="542"/>
        <v>0</v>
      </c>
      <c r="G986" s="90">
        <f t="shared" si="542"/>
        <v>103</v>
      </c>
      <c r="H986" s="90">
        <f t="shared" si="542"/>
        <v>103</v>
      </c>
      <c r="I986" s="90">
        <f>SUM(I984:I985)</f>
        <v>0</v>
      </c>
      <c r="J986" s="91" t="s">
        <v>13</v>
      </c>
      <c r="K986" s="93"/>
      <c r="L986" s="55"/>
    </row>
    <row r="987" spans="1:12" ht="12.75" customHeight="1" thickBot="1" x14ac:dyDescent="0.25">
      <c r="A987" s="90">
        <f t="shared" si="535"/>
        <v>40</v>
      </c>
      <c r="B987" s="90">
        <f t="shared" si="536"/>
        <v>20</v>
      </c>
      <c r="C987" s="90">
        <f t="shared" si="536"/>
        <v>20</v>
      </c>
      <c r="D987" s="90">
        <f t="shared" si="537"/>
        <v>40</v>
      </c>
      <c r="E987" s="90">
        <v>20</v>
      </c>
      <c r="F987" s="90">
        <v>20</v>
      </c>
      <c r="G987" s="90">
        <f t="shared" si="538"/>
        <v>0</v>
      </c>
      <c r="H987" s="90">
        <v>0</v>
      </c>
      <c r="I987" s="90">
        <v>0</v>
      </c>
      <c r="J987" s="91" t="s">
        <v>221</v>
      </c>
      <c r="K987" s="92"/>
      <c r="L987" s="55"/>
    </row>
    <row r="988" spans="1:12" ht="12.75" customHeight="1" thickBot="1" x14ac:dyDescent="0.25">
      <c r="A988" s="90">
        <f t="shared" si="535"/>
        <v>0</v>
      </c>
      <c r="B988" s="90">
        <f t="shared" si="536"/>
        <v>0</v>
      </c>
      <c r="C988" s="90">
        <f t="shared" si="536"/>
        <v>0</v>
      </c>
      <c r="D988" s="90">
        <f t="shared" si="537"/>
        <v>0</v>
      </c>
      <c r="E988" s="90">
        <v>0</v>
      </c>
      <c r="F988" s="90">
        <v>0</v>
      </c>
      <c r="G988" s="90">
        <f t="shared" si="538"/>
        <v>0</v>
      </c>
      <c r="H988" s="90">
        <v>0</v>
      </c>
      <c r="I988" s="90">
        <v>0</v>
      </c>
      <c r="J988" s="91" t="s">
        <v>222</v>
      </c>
      <c r="K988" s="92" t="s">
        <v>142</v>
      </c>
      <c r="L988" s="55"/>
    </row>
    <row r="989" spans="1:12" ht="12.75" customHeight="1" thickBot="1" x14ac:dyDescent="0.25">
      <c r="A989" s="90">
        <f t="shared" ref="A989:H989" si="543">SUM(A987:A988)</f>
        <v>40</v>
      </c>
      <c r="B989" s="90">
        <f t="shared" si="543"/>
        <v>20</v>
      </c>
      <c r="C989" s="90">
        <f t="shared" si="543"/>
        <v>20</v>
      </c>
      <c r="D989" s="90">
        <f t="shared" si="543"/>
        <v>40</v>
      </c>
      <c r="E989" s="90">
        <f t="shared" si="543"/>
        <v>20</v>
      </c>
      <c r="F989" s="90">
        <f t="shared" si="543"/>
        <v>20</v>
      </c>
      <c r="G989" s="90">
        <f t="shared" si="543"/>
        <v>0</v>
      </c>
      <c r="H989" s="90">
        <f t="shared" si="543"/>
        <v>0</v>
      </c>
      <c r="I989" s="90">
        <f>SUM(I987:I988)</f>
        <v>0</v>
      </c>
      <c r="J989" s="91" t="s">
        <v>13</v>
      </c>
      <c r="K989" s="93"/>
      <c r="L989" s="55"/>
    </row>
    <row r="990" spans="1:12" ht="12.75" customHeight="1" thickBot="1" x14ac:dyDescent="0.25">
      <c r="A990" s="90">
        <f t="shared" si="535"/>
        <v>40</v>
      </c>
      <c r="B990" s="90">
        <f t="shared" si="536"/>
        <v>0</v>
      </c>
      <c r="C990" s="90">
        <f t="shared" si="536"/>
        <v>40</v>
      </c>
      <c r="D990" s="90">
        <f t="shared" si="537"/>
        <v>35</v>
      </c>
      <c r="E990" s="90">
        <v>0</v>
      </c>
      <c r="F990" s="90">
        <v>35</v>
      </c>
      <c r="G990" s="90">
        <f t="shared" si="538"/>
        <v>5</v>
      </c>
      <c r="H990" s="90">
        <v>0</v>
      </c>
      <c r="I990" s="90">
        <v>5</v>
      </c>
      <c r="J990" s="91" t="s">
        <v>221</v>
      </c>
      <c r="K990" s="92"/>
      <c r="L990" s="55"/>
    </row>
    <row r="991" spans="1:12" ht="12.75" customHeight="1" thickBot="1" x14ac:dyDescent="0.25">
      <c r="A991" s="90">
        <f t="shared" si="535"/>
        <v>0</v>
      </c>
      <c r="B991" s="90">
        <f t="shared" si="536"/>
        <v>0</v>
      </c>
      <c r="C991" s="90">
        <f t="shared" si="536"/>
        <v>0</v>
      </c>
      <c r="D991" s="90">
        <f t="shared" si="537"/>
        <v>0</v>
      </c>
      <c r="E991" s="90">
        <v>0</v>
      </c>
      <c r="F991" s="90">
        <v>0</v>
      </c>
      <c r="G991" s="90">
        <f t="shared" si="538"/>
        <v>0</v>
      </c>
      <c r="H991" s="90">
        <v>0</v>
      </c>
      <c r="I991" s="90">
        <v>0</v>
      </c>
      <c r="J991" s="91" t="s">
        <v>222</v>
      </c>
      <c r="K991" s="92" t="s">
        <v>143</v>
      </c>
      <c r="L991" s="55"/>
    </row>
    <row r="992" spans="1:12" ht="12.75" customHeight="1" thickBot="1" x14ac:dyDescent="0.25">
      <c r="A992" s="90">
        <f t="shared" ref="A992:H992" si="544">SUM(A990:A991)</f>
        <v>40</v>
      </c>
      <c r="B992" s="90">
        <f t="shared" si="544"/>
        <v>0</v>
      </c>
      <c r="C992" s="90">
        <f t="shared" si="544"/>
        <v>40</v>
      </c>
      <c r="D992" s="90">
        <f t="shared" si="544"/>
        <v>35</v>
      </c>
      <c r="E992" s="90">
        <f t="shared" si="544"/>
        <v>0</v>
      </c>
      <c r="F992" s="90">
        <f t="shared" si="544"/>
        <v>35</v>
      </c>
      <c r="G992" s="90">
        <f t="shared" si="544"/>
        <v>5</v>
      </c>
      <c r="H992" s="90">
        <f t="shared" si="544"/>
        <v>0</v>
      </c>
      <c r="I992" s="90">
        <f>SUM(I990:I991)</f>
        <v>5</v>
      </c>
      <c r="J992" s="91" t="s">
        <v>13</v>
      </c>
      <c r="K992" s="93"/>
      <c r="L992" s="55"/>
    </row>
    <row r="993" spans="1:12" ht="12.75" customHeight="1" thickBot="1" x14ac:dyDescent="0.25">
      <c r="A993" s="90">
        <f t="shared" si="535"/>
        <v>304</v>
      </c>
      <c r="B993" s="90">
        <f t="shared" si="536"/>
        <v>304</v>
      </c>
      <c r="C993" s="90">
        <f t="shared" si="536"/>
        <v>0</v>
      </c>
      <c r="D993" s="90">
        <f t="shared" si="537"/>
        <v>87</v>
      </c>
      <c r="E993" s="90">
        <v>87</v>
      </c>
      <c r="F993" s="90">
        <v>0</v>
      </c>
      <c r="G993" s="90">
        <f t="shared" si="538"/>
        <v>217</v>
      </c>
      <c r="H993" s="90">
        <v>217</v>
      </c>
      <c r="I993" s="90">
        <v>0</v>
      </c>
      <c r="J993" s="91" t="s">
        <v>221</v>
      </c>
      <c r="K993" s="92"/>
      <c r="L993" s="55"/>
    </row>
    <row r="994" spans="1:12" ht="12.75" customHeight="1" thickBot="1" x14ac:dyDescent="0.25">
      <c r="A994" s="90">
        <f t="shared" si="535"/>
        <v>0</v>
      </c>
      <c r="B994" s="90">
        <f t="shared" si="536"/>
        <v>0</v>
      </c>
      <c r="C994" s="90">
        <f t="shared" si="536"/>
        <v>0</v>
      </c>
      <c r="D994" s="90">
        <f t="shared" si="537"/>
        <v>0</v>
      </c>
      <c r="E994" s="90">
        <v>0</v>
      </c>
      <c r="F994" s="90">
        <v>0</v>
      </c>
      <c r="G994" s="90">
        <f t="shared" si="538"/>
        <v>0</v>
      </c>
      <c r="H994" s="90">
        <v>0</v>
      </c>
      <c r="I994" s="90">
        <v>0</v>
      </c>
      <c r="J994" s="91" t="s">
        <v>222</v>
      </c>
      <c r="K994" s="92" t="s">
        <v>144</v>
      </c>
      <c r="L994" s="55"/>
    </row>
    <row r="995" spans="1:12" ht="12.75" customHeight="1" thickBot="1" x14ac:dyDescent="0.25">
      <c r="A995" s="90">
        <f t="shared" ref="A995:H995" si="545">SUM(A993:A994)</f>
        <v>304</v>
      </c>
      <c r="B995" s="90">
        <f t="shared" si="545"/>
        <v>304</v>
      </c>
      <c r="C995" s="90">
        <f t="shared" si="545"/>
        <v>0</v>
      </c>
      <c r="D995" s="90">
        <f t="shared" si="545"/>
        <v>87</v>
      </c>
      <c r="E995" s="90">
        <f t="shared" si="545"/>
        <v>87</v>
      </c>
      <c r="F995" s="90">
        <f t="shared" si="545"/>
        <v>0</v>
      </c>
      <c r="G995" s="90">
        <f t="shared" si="545"/>
        <v>217</v>
      </c>
      <c r="H995" s="90">
        <f t="shared" si="545"/>
        <v>217</v>
      </c>
      <c r="I995" s="90">
        <f>SUM(I993:I994)</f>
        <v>0</v>
      </c>
      <c r="J995" s="91" t="s">
        <v>13</v>
      </c>
      <c r="K995" s="93"/>
      <c r="L995" s="55"/>
    </row>
    <row r="996" spans="1:12" ht="12.75" customHeight="1" thickBot="1" x14ac:dyDescent="0.25">
      <c r="A996" s="90">
        <f t="shared" si="535"/>
        <v>98</v>
      </c>
      <c r="B996" s="90">
        <f t="shared" si="536"/>
        <v>0</v>
      </c>
      <c r="C996" s="90">
        <f t="shared" si="536"/>
        <v>98</v>
      </c>
      <c r="D996" s="90">
        <f t="shared" si="537"/>
        <v>0</v>
      </c>
      <c r="E996" s="90">
        <v>0</v>
      </c>
      <c r="F996" s="90">
        <v>0</v>
      </c>
      <c r="G996" s="90">
        <f t="shared" si="538"/>
        <v>98</v>
      </c>
      <c r="H996" s="90">
        <v>0</v>
      </c>
      <c r="I996" s="90">
        <v>98</v>
      </c>
      <c r="J996" s="91" t="s">
        <v>221</v>
      </c>
      <c r="K996" s="92"/>
      <c r="L996" s="55"/>
    </row>
    <row r="997" spans="1:12" ht="12.75" customHeight="1" thickBot="1" x14ac:dyDescent="0.25">
      <c r="A997" s="90">
        <f t="shared" si="535"/>
        <v>0</v>
      </c>
      <c r="B997" s="90">
        <f t="shared" si="536"/>
        <v>0</v>
      </c>
      <c r="C997" s="90">
        <f t="shared" si="536"/>
        <v>0</v>
      </c>
      <c r="D997" s="90">
        <f t="shared" si="537"/>
        <v>0</v>
      </c>
      <c r="E997" s="90">
        <v>0</v>
      </c>
      <c r="F997" s="90">
        <v>0</v>
      </c>
      <c r="G997" s="90">
        <f t="shared" si="538"/>
        <v>0</v>
      </c>
      <c r="H997" s="90">
        <v>0</v>
      </c>
      <c r="I997" s="90">
        <v>0</v>
      </c>
      <c r="J997" s="91" t="s">
        <v>222</v>
      </c>
      <c r="K997" s="92" t="s">
        <v>145</v>
      </c>
      <c r="L997" s="55"/>
    </row>
    <row r="998" spans="1:12" ht="12.75" customHeight="1" thickBot="1" x14ac:dyDescent="0.25">
      <c r="A998" s="90">
        <f t="shared" ref="A998:H998" si="546">SUM(A996:A997)</f>
        <v>98</v>
      </c>
      <c r="B998" s="90">
        <f t="shared" si="546"/>
        <v>0</v>
      </c>
      <c r="C998" s="90">
        <f t="shared" si="546"/>
        <v>98</v>
      </c>
      <c r="D998" s="90">
        <f t="shared" si="546"/>
        <v>0</v>
      </c>
      <c r="E998" s="90">
        <f t="shared" si="546"/>
        <v>0</v>
      </c>
      <c r="F998" s="90">
        <f t="shared" si="546"/>
        <v>0</v>
      </c>
      <c r="G998" s="90">
        <f t="shared" si="546"/>
        <v>98</v>
      </c>
      <c r="H998" s="90">
        <f t="shared" si="546"/>
        <v>0</v>
      </c>
      <c r="I998" s="90">
        <f>SUM(I996:I997)</f>
        <v>98</v>
      </c>
      <c r="J998" s="91" t="s">
        <v>13</v>
      </c>
      <c r="K998" s="93"/>
      <c r="L998" s="55"/>
    </row>
    <row r="999" spans="1:12" ht="12.75" customHeight="1" thickBot="1" x14ac:dyDescent="0.25">
      <c r="A999" s="90">
        <f t="shared" si="535"/>
        <v>490</v>
      </c>
      <c r="B999" s="90">
        <f t="shared" si="536"/>
        <v>0</v>
      </c>
      <c r="C999" s="90">
        <f t="shared" si="536"/>
        <v>490</v>
      </c>
      <c r="D999" s="90">
        <f t="shared" si="537"/>
        <v>348</v>
      </c>
      <c r="E999" s="90">
        <v>0</v>
      </c>
      <c r="F999" s="90">
        <v>348</v>
      </c>
      <c r="G999" s="90">
        <f t="shared" si="538"/>
        <v>142</v>
      </c>
      <c r="H999" s="90">
        <v>0</v>
      </c>
      <c r="I999" s="90">
        <v>142</v>
      </c>
      <c r="J999" s="91" t="s">
        <v>221</v>
      </c>
      <c r="K999" s="92"/>
      <c r="L999" s="55"/>
    </row>
    <row r="1000" spans="1:12" ht="12.75" customHeight="1" thickBot="1" x14ac:dyDescent="0.25">
      <c r="A1000" s="90">
        <f t="shared" si="535"/>
        <v>0</v>
      </c>
      <c r="B1000" s="90">
        <f t="shared" si="536"/>
        <v>0</v>
      </c>
      <c r="C1000" s="90">
        <f t="shared" si="536"/>
        <v>0</v>
      </c>
      <c r="D1000" s="90">
        <f t="shared" si="537"/>
        <v>0</v>
      </c>
      <c r="E1000" s="90">
        <v>0</v>
      </c>
      <c r="F1000" s="90">
        <v>0</v>
      </c>
      <c r="G1000" s="90">
        <f t="shared" si="538"/>
        <v>0</v>
      </c>
      <c r="H1000" s="90">
        <v>0</v>
      </c>
      <c r="I1000" s="90">
        <v>0</v>
      </c>
      <c r="J1000" s="91" t="s">
        <v>222</v>
      </c>
      <c r="K1000" s="92" t="s">
        <v>146</v>
      </c>
      <c r="L1000" s="55"/>
    </row>
    <row r="1001" spans="1:12" ht="12.75" customHeight="1" thickBot="1" x14ac:dyDescent="0.25">
      <c r="A1001" s="90">
        <f t="shared" ref="A1001:H1001" si="547">SUM(A999:A1000)</f>
        <v>490</v>
      </c>
      <c r="B1001" s="90">
        <f t="shared" si="547"/>
        <v>0</v>
      </c>
      <c r="C1001" s="90">
        <f t="shared" si="547"/>
        <v>490</v>
      </c>
      <c r="D1001" s="90">
        <f t="shared" si="547"/>
        <v>348</v>
      </c>
      <c r="E1001" s="90">
        <f t="shared" si="547"/>
        <v>0</v>
      </c>
      <c r="F1001" s="90">
        <f t="shared" si="547"/>
        <v>348</v>
      </c>
      <c r="G1001" s="90">
        <f t="shared" si="547"/>
        <v>142</v>
      </c>
      <c r="H1001" s="90">
        <f t="shared" si="547"/>
        <v>0</v>
      </c>
      <c r="I1001" s="90">
        <f>SUM(I999:I1000)</f>
        <v>142</v>
      </c>
      <c r="J1001" s="91" t="s">
        <v>13</v>
      </c>
      <c r="K1001" s="93"/>
      <c r="L1001" s="55"/>
    </row>
    <row r="1002" spans="1:12" ht="12.75" customHeight="1" thickBot="1" x14ac:dyDescent="0.25">
      <c r="A1002" s="90">
        <f t="shared" si="535"/>
        <v>329</v>
      </c>
      <c r="B1002" s="90">
        <f t="shared" si="536"/>
        <v>0</v>
      </c>
      <c r="C1002" s="90">
        <f t="shared" si="536"/>
        <v>329</v>
      </c>
      <c r="D1002" s="90">
        <f t="shared" si="537"/>
        <v>86</v>
      </c>
      <c r="E1002" s="90">
        <v>0</v>
      </c>
      <c r="F1002" s="90">
        <v>86</v>
      </c>
      <c r="G1002" s="90">
        <f t="shared" si="538"/>
        <v>243</v>
      </c>
      <c r="H1002" s="90">
        <v>0</v>
      </c>
      <c r="I1002" s="90">
        <v>243</v>
      </c>
      <c r="J1002" s="91" t="s">
        <v>221</v>
      </c>
      <c r="K1002" s="92"/>
      <c r="L1002" s="55"/>
    </row>
    <row r="1003" spans="1:12" ht="12.75" customHeight="1" thickBot="1" x14ac:dyDescent="0.25">
      <c r="A1003" s="90">
        <f t="shared" si="535"/>
        <v>0</v>
      </c>
      <c r="B1003" s="90">
        <f t="shared" si="536"/>
        <v>0</v>
      </c>
      <c r="C1003" s="90">
        <f t="shared" si="536"/>
        <v>0</v>
      </c>
      <c r="D1003" s="90">
        <f t="shared" si="537"/>
        <v>0</v>
      </c>
      <c r="E1003" s="90">
        <v>0</v>
      </c>
      <c r="F1003" s="90">
        <v>0</v>
      </c>
      <c r="G1003" s="90">
        <f t="shared" si="538"/>
        <v>0</v>
      </c>
      <c r="H1003" s="90">
        <v>0</v>
      </c>
      <c r="I1003" s="90">
        <v>0</v>
      </c>
      <c r="J1003" s="91" t="s">
        <v>222</v>
      </c>
      <c r="K1003" s="92" t="s">
        <v>147</v>
      </c>
      <c r="L1003" s="55"/>
    </row>
    <row r="1004" spans="1:12" ht="12.75" customHeight="1" thickBot="1" x14ac:dyDescent="0.25">
      <c r="A1004" s="90">
        <f t="shared" ref="A1004:H1004" si="548">SUM(A1002:A1003)</f>
        <v>329</v>
      </c>
      <c r="B1004" s="90">
        <f t="shared" si="548"/>
        <v>0</v>
      </c>
      <c r="C1004" s="90">
        <f t="shared" si="548"/>
        <v>329</v>
      </c>
      <c r="D1004" s="90">
        <f t="shared" si="548"/>
        <v>86</v>
      </c>
      <c r="E1004" s="90">
        <f t="shared" si="548"/>
        <v>0</v>
      </c>
      <c r="F1004" s="90">
        <f t="shared" si="548"/>
        <v>86</v>
      </c>
      <c r="G1004" s="90">
        <f t="shared" si="548"/>
        <v>243</v>
      </c>
      <c r="H1004" s="90">
        <f t="shared" si="548"/>
        <v>0</v>
      </c>
      <c r="I1004" s="90">
        <f>SUM(I1002:I1003)</f>
        <v>243</v>
      </c>
      <c r="J1004" s="91" t="s">
        <v>13</v>
      </c>
      <c r="K1004" s="93"/>
      <c r="L1004" s="55"/>
    </row>
    <row r="1005" spans="1:12" ht="12.75" customHeight="1" thickBot="1" x14ac:dyDescent="0.25">
      <c r="A1005" s="90">
        <f t="shared" si="535"/>
        <v>22</v>
      </c>
      <c r="B1005" s="90">
        <f t="shared" si="536"/>
        <v>22</v>
      </c>
      <c r="C1005" s="90">
        <f t="shared" si="536"/>
        <v>0</v>
      </c>
      <c r="D1005" s="90">
        <f t="shared" si="537"/>
        <v>6</v>
      </c>
      <c r="E1005" s="90">
        <v>6</v>
      </c>
      <c r="F1005" s="90">
        <v>0</v>
      </c>
      <c r="G1005" s="90">
        <f t="shared" si="538"/>
        <v>16</v>
      </c>
      <c r="H1005" s="90">
        <v>16</v>
      </c>
      <c r="I1005" s="90">
        <v>0</v>
      </c>
      <c r="J1005" s="91" t="s">
        <v>221</v>
      </c>
      <c r="K1005" s="92"/>
      <c r="L1005" s="55"/>
    </row>
    <row r="1006" spans="1:12" ht="12.75" customHeight="1" thickBot="1" x14ac:dyDescent="0.25">
      <c r="A1006" s="90">
        <f t="shared" si="535"/>
        <v>0</v>
      </c>
      <c r="B1006" s="90">
        <f t="shared" si="536"/>
        <v>0</v>
      </c>
      <c r="C1006" s="90">
        <f t="shared" si="536"/>
        <v>0</v>
      </c>
      <c r="D1006" s="90">
        <f t="shared" si="537"/>
        <v>0</v>
      </c>
      <c r="E1006" s="90">
        <v>0</v>
      </c>
      <c r="F1006" s="90">
        <v>0</v>
      </c>
      <c r="G1006" s="90">
        <f t="shared" si="538"/>
        <v>0</v>
      </c>
      <c r="H1006" s="90">
        <v>0</v>
      </c>
      <c r="I1006" s="90">
        <v>0</v>
      </c>
      <c r="J1006" s="91" t="s">
        <v>222</v>
      </c>
      <c r="K1006" s="92" t="s">
        <v>148</v>
      </c>
      <c r="L1006" s="55"/>
    </row>
    <row r="1007" spans="1:12" ht="12.75" customHeight="1" thickBot="1" x14ac:dyDescent="0.25">
      <c r="A1007" s="90">
        <f t="shared" ref="A1007:H1007" si="549">SUM(A1005:A1006)</f>
        <v>22</v>
      </c>
      <c r="B1007" s="90">
        <f t="shared" si="549"/>
        <v>22</v>
      </c>
      <c r="C1007" s="90">
        <f t="shared" si="549"/>
        <v>0</v>
      </c>
      <c r="D1007" s="90">
        <f t="shared" si="549"/>
        <v>6</v>
      </c>
      <c r="E1007" s="90">
        <f t="shared" si="549"/>
        <v>6</v>
      </c>
      <c r="F1007" s="90">
        <f t="shared" si="549"/>
        <v>0</v>
      </c>
      <c r="G1007" s="90">
        <f t="shared" si="549"/>
        <v>16</v>
      </c>
      <c r="H1007" s="90">
        <f t="shared" si="549"/>
        <v>16</v>
      </c>
      <c r="I1007" s="90">
        <f>SUM(I1005:I1006)</f>
        <v>0</v>
      </c>
      <c r="J1007" s="91" t="s">
        <v>13</v>
      </c>
      <c r="K1007" s="93"/>
      <c r="L1007" s="55"/>
    </row>
    <row r="1008" spans="1:12" ht="12.75" customHeight="1" thickBot="1" x14ac:dyDescent="0.25">
      <c r="A1008" s="90">
        <f t="shared" si="535"/>
        <v>313</v>
      </c>
      <c r="B1008" s="90">
        <f t="shared" si="536"/>
        <v>191</v>
      </c>
      <c r="C1008" s="90">
        <f t="shared" si="536"/>
        <v>122</v>
      </c>
      <c r="D1008" s="90">
        <f t="shared" si="537"/>
        <v>75</v>
      </c>
      <c r="E1008" s="90">
        <v>49</v>
      </c>
      <c r="F1008" s="90">
        <v>26</v>
      </c>
      <c r="G1008" s="90">
        <f t="shared" si="538"/>
        <v>238</v>
      </c>
      <c r="H1008" s="90">
        <v>142</v>
      </c>
      <c r="I1008" s="90">
        <v>96</v>
      </c>
      <c r="J1008" s="91" t="s">
        <v>221</v>
      </c>
      <c r="K1008" s="92"/>
      <c r="L1008" s="55"/>
    </row>
    <row r="1009" spans="1:12" ht="12.75" customHeight="1" thickBot="1" x14ac:dyDescent="0.25">
      <c r="A1009" s="90">
        <f t="shared" si="535"/>
        <v>0</v>
      </c>
      <c r="B1009" s="90">
        <f t="shared" si="536"/>
        <v>0</v>
      </c>
      <c r="C1009" s="90">
        <f t="shared" si="536"/>
        <v>0</v>
      </c>
      <c r="D1009" s="90">
        <f t="shared" si="537"/>
        <v>0</v>
      </c>
      <c r="E1009" s="90">
        <v>0</v>
      </c>
      <c r="F1009" s="90">
        <v>0</v>
      </c>
      <c r="G1009" s="90">
        <f t="shared" si="538"/>
        <v>0</v>
      </c>
      <c r="H1009" s="90">
        <v>0</v>
      </c>
      <c r="I1009" s="90">
        <v>0</v>
      </c>
      <c r="J1009" s="91" t="s">
        <v>222</v>
      </c>
      <c r="K1009" s="92" t="s">
        <v>149</v>
      </c>
      <c r="L1009" s="55"/>
    </row>
    <row r="1010" spans="1:12" ht="12.75" customHeight="1" thickBot="1" x14ac:dyDescent="0.25">
      <c r="A1010" s="90">
        <f t="shared" ref="A1010:H1010" si="550">SUM(A1008:A1009)</f>
        <v>313</v>
      </c>
      <c r="B1010" s="90">
        <f t="shared" si="550"/>
        <v>191</v>
      </c>
      <c r="C1010" s="90">
        <f t="shared" si="550"/>
        <v>122</v>
      </c>
      <c r="D1010" s="90">
        <f t="shared" si="550"/>
        <v>75</v>
      </c>
      <c r="E1010" s="90">
        <f t="shared" si="550"/>
        <v>49</v>
      </c>
      <c r="F1010" s="90">
        <f t="shared" si="550"/>
        <v>26</v>
      </c>
      <c r="G1010" s="90">
        <f t="shared" si="550"/>
        <v>238</v>
      </c>
      <c r="H1010" s="90">
        <f t="shared" si="550"/>
        <v>142</v>
      </c>
      <c r="I1010" s="90">
        <f>SUM(I1008:I1009)</f>
        <v>96</v>
      </c>
      <c r="J1010" s="91" t="s">
        <v>13</v>
      </c>
      <c r="K1010" s="93"/>
      <c r="L1010" s="55"/>
    </row>
    <row r="1011" spans="1:12" ht="12.75" customHeight="1" thickBot="1" x14ac:dyDescent="0.25">
      <c r="A1011" s="90">
        <f t="shared" si="535"/>
        <v>344</v>
      </c>
      <c r="B1011" s="90">
        <f t="shared" si="536"/>
        <v>171</v>
      </c>
      <c r="C1011" s="90">
        <f t="shared" si="536"/>
        <v>173</v>
      </c>
      <c r="D1011" s="90">
        <f t="shared" si="537"/>
        <v>92</v>
      </c>
      <c r="E1011" s="90">
        <v>36</v>
      </c>
      <c r="F1011" s="90">
        <v>56</v>
      </c>
      <c r="G1011" s="90">
        <f t="shared" si="538"/>
        <v>252</v>
      </c>
      <c r="H1011" s="90">
        <v>135</v>
      </c>
      <c r="I1011" s="90">
        <v>117</v>
      </c>
      <c r="J1011" s="91" t="s">
        <v>221</v>
      </c>
      <c r="K1011" s="92"/>
      <c r="L1011" s="55"/>
    </row>
    <row r="1012" spans="1:12" ht="12.75" customHeight="1" thickBot="1" x14ac:dyDescent="0.25">
      <c r="A1012" s="90">
        <f t="shared" si="535"/>
        <v>0</v>
      </c>
      <c r="B1012" s="90">
        <f t="shared" si="536"/>
        <v>0</v>
      </c>
      <c r="C1012" s="90">
        <f t="shared" si="536"/>
        <v>0</v>
      </c>
      <c r="D1012" s="90">
        <f t="shared" si="537"/>
        <v>0</v>
      </c>
      <c r="E1012" s="90">
        <v>0</v>
      </c>
      <c r="F1012" s="90">
        <v>0</v>
      </c>
      <c r="G1012" s="90">
        <f t="shared" si="538"/>
        <v>0</v>
      </c>
      <c r="H1012" s="90">
        <v>0</v>
      </c>
      <c r="I1012" s="90">
        <v>0</v>
      </c>
      <c r="J1012" s="91" t="s">
        <v>222</v>
      </c>
      <c r="K1012" s="92" t="s">
        <v>150</v>
      </c>
      <c r="L1012" s="55"/>
    </row>
    <row r="1013" spans="1:12" ht="12.75" customHeight="1" thickBot="1" x14ac:dyDescent="0.25">
      <c r="A1013" s="90">
        <f t="shared" ref="A1013:H1013" si="551">SUM(A1011:A1012)</f>
        <v>344</v>
      </c>
      <c r="B1013" s="90">
        <f t="shared" si="551"/>
        <v>171</v>
      </c>
      <c r="C1013" s="90">
        <f t="shared" si="551"/>
        <v>173</v>
      </c>
      <c r="D1013" s="90">
        <f t="shared" si="551"/>
        <v>92</v>
      </c>
      <c r="E1013" s="90">
        <f t="shared" si="551"/>
        <v>36</v>
      </c>
      <c r="F1013" s="90">
        <f t="shared" si="551"/>
        <v>56</v>
      </c>
      <c r="G1013" s="90">
        <f t="shared" si="551"/>
        <v>252</v>
      </c>
      <c r="H1013" s="90">
        <f t="shared" si="551"/>
        <v>135</v>
      </c>
      <c r="I1013" s="90">
        <f>SUM(I1011:I1012)</f>
        <v>117</v>
      </c>
      <c r="J1013" s="91" t="s">
        <v>13</v>
      </c>
      <c r="K1013" s="93"/>
      <c r="L1013" s="55"/>
    </row>
    <row r="1014" spans="1:12" ht="12.75" customHeight="1" thickBot="1" x14ac:dyDescent="0.25">
      <c r="A1014" s="90">
        <f t="shared" si="535"/>
        <v>119</v>
      </c>
      <c r="B1014" s="90">
        <f t="shared" si="536"/>
        <v>0</v>
      </c>
      <c r="C1014" s="90">
        <f t="shared" si="536"/>
        <v>119</v>
      </c>
      <c r="D1014" s="90">
        <f t="shared" si="537"/>
        <v>18</v>
      </c>
      <c r="E1014" s="90">
        <v>0</v>
      </c>
      <c r="F1014" s="90">
        <v>18</v>
      </c>
      <c r="G1014" s="90">
        <f t="shared" si="538"/>
        <v>101</v>
      </c>
      <c r="H1014" s="90">
        <v>0</v>
      </c>
      <c r="I1014" s="90">
        <v>101</v>
      </c>
      <c r="J1014" s="91" t="s">
        <v>221</v>
      </c>
      <c r="K1014" s="92"/>
      <c r="L1014" s="55"/>
    </row>
    <row r="1015" spans="1:12" ht="12.75" customHeight="1" thickBot="1" x14ac:dyDescent="0.25">
      <c r="A1015" s="90">
        <f t="shared" si="535"/>
        <v>0</v>
      </c>
      <c r="B1015" s="90">
        <f t="shared" si="536"/>
        <v>0</v>
      </c>
      <c r="C1015" s="90">
        <f t="shared" si="536"/>
        <v>0</v>
      </c>
      <c r="D1015" s="90">
        <f t="shared" si="537"/>
        <v>0</v>
      </c>
      <c r="E1015" s="90">
        <v>0</v>
      </c>
      <c r="F1015" s="90">
        <v>0</v>
      </c>
      <c r="G1015" s="90">
        <f t="shared" si="538"/>
        <v>0</v>
      </c>
      <c r="H1015" s="90">
        <v>0</v>
      </c>
      <c r="I1015" s="90">
        <v>0</v>
      </c>
      <c r="J1015" s="91" t="s">
        <v>222</v>
      </c>
      <c r="K1015" s="92" t="s">
        <v>151</v>
      </c>
      <c r="L1015" s="55"/>
    </row>
    <row r="1016" spans="1:12" ht="12.75" customHeight="1" thickBot="1" x14ac:dyDescent="0.25">
      <c r="A1016" s="90">
        <f t="shared" ref="A1016:H1016" si="552">SUM(A1014:A1015)</f>
        <v>119</v>
      </c>
      <c r="B1016" s="90">
        <f t="shared" si="552"/>
        <v>0</v>
      </c>
      <c r="C1016" s="90">
        <f t="shared" si="552"/>
        <v>119</v>
      </c>
      <c r="D1016" s="90">
        <f t="shared" si="552"/>
        <v>18</v>
      </c>
      <c r="E1016" s="90">
        <f t="shared" si="552"/>
        <v>0</v>
      </c>
      <c r="F1016" s="90">
        <f t="shared" si="552"/>
        <v>18</v>
      </c>
      <c r="G1016" s="90">
        <f t="shared" si="552"/>
        <v>101</v>
      </c>
      <c r="H1016" s="90">
        <f t="shared" si="552"/>
        <v>0</v>
      </c>
      <c r="I1016" s="90">
        <f>SUM(I1014:I1015)</f>
        <v>101</v>
      </c>
      <c r="J1016" s="91" t="s">
        <v>13</v>
      </c>
      <c r="K1016" s="93"/>
      <c r="L1016" s="55"/>
    </row>
    <row r="1017" spans="1:12" ht="12.75" customHeight="1" thickBot="1" x14ac:dyDescent="0.25">
      <c r="A1017" s="90">
        <f t="shared" si="535"/>
        <v>151</v>
      </c>
      <c r="B1017" s="90">
        <f t="shared" si="536"/>
        <v>103</v>
      </c>
      <c r="C1017" s="90">
        <f t="shared" si="536"/>
        <v>48</v>
      </c>
      <c r="D1017" s="90">
        <f t="shared" si="537"/>
        <v>10</v>
      </c>
      <c r="E1017" s="90">
        <v>6</v>
      </c>
      <c r="F1017" s="90">
        <v>4</v>
      </c>
      <c r="G1017" s="90">
        <f t="shared" si="538"/>
        <v>141</v>
      </c>
      <c r="H1017" s="90">
        <v>97</v>
      </c>
      <c r="I1017" s="90">
        <v>44</v>
      </c>
      <c r="J1017" s="91" t="s">
        <v>221</v>
      </c>
      <c r="K1017" s="92"/>
      <c r="L1017" s="55"/>
    </row>
    <row r="1018" spans="1:12" ht="12.75" customHeight="1" thickBot="1" x14ac:dyDescent="0.25">
      <c r="A1018" s="90">
        <f t="shared" si="535"/>
        <v>0</v>
      </c>
      <c r="B1018" s="90">
        <f t="shared" si="536"/>
        <v>0</v>
      </c>
      <c r="C1018" s="90">
        <f t="shared" si="536"/>
        <v>0</v>
      </c>
      <c r="D1018" s="90">
        <f t="shared" si="537"/>
        <v>0</v>
      </c>
      <c r="E1018" s="90">
        <v>0</v>
      </c>
      <c r="F1018" s="90">
        <v>0</v>
      </c>
      <c r="G1018" s="90">
        <f t="shared" si="538"/>
        <v>0</v>
      </c>
      <c r="H1018" s="90">
        <v>0</v>
      </c>
      <c r="I1018" s="90">
        <v>0</v>
      </c>
      <c r="J1018" s="91" t="s">
        <v>222</v>
      </c>
      <c r="K1018" s="92" t="s">
        <v>152</v>
      </c>
      <c r="L1018" s="55"/>
    </row>
    <row r="1019" spans="1:12" ht="12.75" customHeight="1" thickBot="1" x14ac:dyDescent="0.25">
      <c r="A1019" s="90">
        <f t="shared" ref="A1019:H1019" si="553">SUM(A1017:A1018)</f>
        <v>151</v>
      </c>
      <c r="B1019" s="90">
        <f t="shared" si="553"/>
        <v>103</v>
      </c>
      <c r="C1019" s="90">
        <f t="shared" si="553"/>
        <v>48</v>
      </c>
      <c r="D1019" s="90">
        <f t="shared" si="553"/>
        <v>10</v>
      </c>
      <c r="E1019" s="90">
        <f t="shared" si="553"/>
        <v>6</v>
      </c>
      <c r="F1019" s="90">
        <f t="shared" si="553"/>
        <v>4</v>
      </c>
      <c r="G1019" s="90">
        <f t="shared" si="553"/>
        <v>141</v>
      </c>
      <c r="H1019" s="90">
        <f t="shared" si="553"/>
        <v>97</v>
      </c>
      <c r="I1019" s="90">
        <f>SUM(I1017:I1018)</f>
        <v>44</v>
      </c>
      <c r="J1019" s="91" t="s">
        <v>13</v>
      </c>
      <c r="K1019" s="93"/>
      <c r="L1019" s="55"/>
    </row>
    <row r="1020" spans="1:12" ht="12.75" customHeight="1" thickBot="1" x14ac:dyDescent="0.25">
      <c r="A1020" s="90">
        <f t="shared" si="535"/>
        <v>28</v>
      </c>
      <c r="B1020" s="90">
        <f t="shared" si="536"/>
        <v>0</v>
      </c>
      <c r="C1020" s="90">
        <f t="shared" si="536"/>
        <v>28</v>
      </c>
      <c r="D1020" s="90">
        <f t="shared" si="537"/>
        <v>0</v>
      </c>
      <c r="E1020" s="90">
        <v>0</v>
      </c>
      <c r="F1020" s="90">
        <v>0</v>
      </c>
      <c r="G1020" s="90">
        <f t="shared" si="538"/>
        <v>28</v>
      </c>
      <c r="H1020" s="90">
        <v>0</v>
      </c>
      <c r="I1020" s="90">
        <v>28</v>
      </c>
      <c r="J1020" s="91" t="s">
        <v>221</v>
      </c>
      <c r="K1020" s="92"/>
      <c r="L1020" s="55"/>
    </row>
    <row r="1021" spans="1:12" ht="12.75" customHeight="1" thickBot="1" x14ac:dyDescent="0.25">
      <c r="A1021" s="90">
        <f t="shared" si="535"/>
        <v>0</v>
      </c>
      <c r="B1021" s="90">
        <f t="shared" si="536"/>
        <v>0</v>
      </c>
      <c r="C1021" s="90">
        <f t="shared" si="536"/>
        <v>0</v>
      </c>
      <c r="D1021" s="90">
        <f t="shared" si="537"/>
        <v>0</v>
      </c>
      <c r="E1021" s="90">
        <v>0</v>
      </c>
      <c r="F1021" s="90">
        <v>0</v>
      </c>
      <c r="G1021" s="90">
        <f t="shared" si="538"/>
        <v>0</v>
      </c>
      <c r="H1021" s="90">
        <v>0</v>
      </c>
      <c r="I1021" s="90">
        <v>0</v>
      </c>
      <c r="J1021" s="91" t="s">
        <v>222</v>
      </c>
      <c r="K1021" s="92" t="s">
        <v>153</v>
      </c>
      <c r="L1021" s="55"/>
    </row>
    <row r="1022" spans="1:12" ht="12.75" customHeight="1" thickBot="1" x14ac:dyDescent="0.25">
      <c r="A1022" s="90">
        <f t="shared" ref="A1022:H1022" si="554">SUM(A1020:A1021)</f>
        <v>28</v>
      </c>
      <c r="B1022" s="90">
        <f t="shared" si="554"/>
        <v>0</v>
      </c>
      <c r="C1022" s="90">
        <f t="shared" si="554"/>
        <v>28</v>
      </c>
      <c r="D1022" s="90">
        <f t="shared" si="554"/>
        <v>0</v>
      </c>
      <c r="E1022" s="90">
        <f t="shared" si="554"/>
        <v>0</v>
      </c>
      <c r="F1022" s="90">
        <f t="shared" si="554"/>
        <v>0</v>
      </c>
      <c r="G1022" s="90">
        <f t="shared" si="554"/>
        <v>28</v>
      </c>
      <c r="H1022" s="90">
        <f t="shared" si="554"/>
        <v>0</v>
      </c>
      <c r="I1022" s="90">
        <f>SUM(I1020:I1021)</f>
        <v>28</v>
      </c>
      <c r="J1022" s="91" t="s">
        <v>13</v>
      </c>
      <c r="K1022" s="93"/>
      <c r="L1022" s="55"/>
    </row>
    <row r="1023" spans="1:12" ht="12.75" customHeight="1" thickBot="1" x14ac:dyDescent="0.25">
      <c r="A1023" s="90">
        <f t="shared" si="535"/>
        <v>423</v>
      </c>
      <c r="B1023" s="90">
        <f t="shared" si="536"/>
        <v>227</v>
      </c>
      <c r="C1023" s="90">
        <f t="shared" si="536"/>
        <v>196</v>
      </c>
      <c r="D1023" s="90">
        <f t="shared" si="537"/>
        <v>134</v>
      </c>
      <c r="E1023" s="90">
        <v>85</v>
      </c>
      <c r="F1023" s="90">
        <v>49</v>
      </c>
      <c r="G1023" s="90">
        <f t="shared" si="538"/>
        <v>289</v>
      </c>
      <c r="H1023" s="90">
        <v>142</v>
      </c>
      <c r="I1023" s="90">
        <v>147</v>
      </c>
      <c r="J1023" s="91" t="s">
        <v>221</v>
      </c>
      <c r="K1023" s="92"/>
      <c r="L1023" s="55"/>
    </row>
    <row r="1024" spans="1:12" ht="12.75" customHeight="1" thickBot="1" x14ac:dyDescent="0.25">
      <c r="A1024" s="90">
        <f t="shared" si="535"/>
        <v>0</v>
      </c>
      <c r="B1024" s="90">
        <f t="shared" si="536"/>
        <v>0</v>
      </c>
      <c r="C1024" s="90">
        <f t="shared" si="536"/>
        <v>0</v>
      </c>
      <c r="D1024" s="90">
        <f t="shared" si="537"/>
        <v>0</v>
      </c>
      <c r="E1024" s="90">
        <v>0</v>
      </c>
      <c r="F1024" s="90">
        <v>0</v>
      </c>
      <c r="G1024" s="90">
        <f t="shared" si="538"/>
        <v>0</v>
      </c>
      <c r="H1024" s="90">
        <v>0</v>
      </c>
      <c r="I1024" s="90">
        <v>0</v>
      </c>
      <c r="J1024" s="91" t="s">
        <v>222</v>
      </c>
      <c r="K1024" s="92" t="s">
        <v>154</v>
      </c>
      <c r="L1024" s="55"/>
    </row>
    <row r="1025" spans="1:12" ht="12.75" customHeight="1" thickBot="1" x14ac:dyDescent="0.25">
      <c r="A1025" s="90">
        <f t="shared" ref="A1025:H1025" si="555">SUM(A1023:A1024)</f>
        <v>423</v>
      </c>
      <c r="B1025" s="90">
        <f t="shared" si="555"/>
        <v>227</v>
      </c>
      <c r="C1025" s="90">
        <f t="shared" si="555"/>
        <v>196</v>
      </c>
      <c r="D1025" s="90">
        <f t="shared" si="555"/>
        <v>134</v>
      </c>
      <c r="E1025" s="90">
        <f t="shared" si="555"/>
        <v>85</v>
      </c>
      <c r="F1025" s="90">
        <f t="shared" si="555"/>
        <v>49</v>
      </c>
      <c r="G1025" s="90">
        <f t="shared" si="555"/>
        <v>289</v>
      </c>
      <c r="H1025" s="90">
        <f t="shared" si="555"/>
        <v>142</v>
      </c>
      <c r="I1025" s="90">
        <f>SUM(I1023:I1024)</f>
        <v>147</v>
      </c>
      <c r="J1025" s="91" t="s">
        <v>13</v>
      </c>
      <c r="K1025" s="93"/>
      <c r="L1025" s="55"/>
    </row>
    <row r="1026" spans="1:12" ht="12.75" customHeight="1" thickBot="1" x14ac:dyDescent="0.25">
      <c r="A1026" s="90">
        <f t="shared" si="535"/>
        <v>127</v>
      </c>
      <c r="B1026" s="90">
        <f t="shared" si="536"/>
        <v>127</v>
      </c>
      <c r="C1026" s="90">
        <f t="shared" si="536"/>
        <v>0</v>
      </c>
      <c r="D1026" s="90">
        <f t="shared" si="537"/>
        <v>12</v>
      </c>
      <c r="E1026" s="90">
        <v>12</v>
      </c>
      <c r="F1026" s="90">
        <v>0</v>
      </c>
      <c r="G1026" s="90">
        <f t="shared" si="538"/>
        <v>115</v>
      </c>
      <c r="H1026" s="90">
        <v>115</v>
      </c>
      <c r="I1026" s="90">
        <v>0</v>
      </c>
      <c r="J1026" s="91" t="s">
        <v>221</v>
      </c>
      <c r="K1026" s="92"/>
      <c r="L1026" s="55"/>
    </row>
    <row r="1027" spans="1:12" ht="12.75" customHeight="1" thickBot="1" x14ac:dyDescent="0.25">
      <c r="A1027" s="90">
        <f t="shared" si="535"/>
        <v>0</v>
      </c>
      <c r="B1027" s="90">
        <f t="shared" si="536"/>
        <v>0</v>
      </c>
      <c r="C1027" s="90">
        <f t="shared" si="536"/>
        <v>0</v>
      </c>
      <c r="D1027" s="90">
        <f t="shared" si="537"/>
        <v>0</v>
      </c>
      <c r="E1027" s="90">
        <v>0</v>
      </c>
      <c r="F1027" s="90">
        <v>0</v>
      </c>
      <c r="G1027" s="90">
        <f t="shared" si="538"/>
        <v>0</v>
      </c>
      <c r="H1027" s="90">
        <v>0</v>
      </c>
      <c r="I1027" s="90">
        <v>0</v>
      </c>
      <c r="J1027" s="91" t="s">
        <v>222</v>
      </c>
      <c r="K1027" s="92" t="s">
        <v>155</v>
      </c>
      <c r="L1027" s="55"/>
    </row>
    <row r="1028" spans="1:12" ht="12.75" customHeight="1" thickBot="1" x14ac:dyDescent="0.25">
      <c r="A1028" s="90">
        <f t="shared" ref="A1028:H1028" si="556">SUM(A1026:A1027)</f>
        <v>127</v>
      </c>
      <c r="B1028" s="90">
        <f t="shared" si="556"/>
        <v>127</v>
      </c>
      <c r="C1028" s="90">
        <f t="shared" si="556"/>
        <v>0</v>
      </c>
      <c r="D1028" s="90">
        <f t="shared" si="556"/>
        <v>12</v>
      </c>
      <c r="E1028" s="90">
        <f t="shared" si="556"/>
        <v>12</v>
      </c>
      <c r="F1028" s="90">
        <f t="shared" si="556"/>
        <v>0</v>
      </c>
      <c r="G1028" s="90">
        <f t="shared" si="556"/>
        <v>115</v>
      </c>
      <c r="H1028" s="90">
        <f t="shared" si="556"/>
        <v>115</v>
      </c>
      <c r="I1028" s="90">
        <f>SUM(I1026:I1027)</f>
        <v>0</v>
      </c>
      <c r="J1028" s="91" t="s">
        <v>13</v>
      </c>
      <c r="K1028" s="93"/>
      <c r="L1028" s="55"/>
    </row>
    <row r="1029" spans="1:12" ht="12.75" customHeight="1" thickBot="1" x14ac:dyDescent="0.25">
      <c r="A1029" s="90">
        <f t="shared" si="535"/>
        <v>96</v>
      </c>
      <c r="B1029" s="90">
        <f t="shared" si="536"/>
        <v>96</v>
      </c>
      <c r="C1029" s="90">
        <f t="shared" si="536"/>
        <v>0</v>
      </c>
      <c r="D1029" s="90">
        <f t="shared" si="537"/>
        <v>7</v>
      </c>
      <c r="E1029" s="90">
        <v>7</v>
      </c>
      <c r="F1029" s="90">
        <v>0</v>
      </c>
      <c r="G1029" s="90">
        <f t="shared" si="538"/>
        <v>89</v>
      </c>
      <c r="H1029" s="90">
        <v>89</v>
      </c>
      <c r="I1029" s="90">
        <v>0</v>
      </c>
      <c r="J1029" s="91" t="s">
        <v>221</v>
      </c>
      <c r="K1029" s="92"/>
      <c r="L1029" s="55"/>
    </row>
    <row r="1030" spans="1:12" ht="12.75" customHeight="1" thickBot="1" x14ac:dyDescent="0.25">
      <c r="A1030" s="90">
        <f t="shared" si="535"/>
        <v>0</v>
      </c>
      <c r="B1030" s="90">
        <f t="shared" si="536"/>
        <v>0</v>
      </c>
      <c r="C1030" s="90">
        <f t="shared" si="536"/>
        <v>0</v>
      </c>
      <c r="D1030" s="90">
        <f t="shared" si="537"/>
        <v>0</v>
      </c>
      <c r="E1030" s="90">
        <v>0</v>
      </c>
      <c r="F1030" s="90">
        <v>0</v>
      </c>
      <c r="G1030" s="90">
        <f t="shared" si="538"/>
        <v>0</v>
      </c>
      <c r="H1030" s="90">
        <v>0</v>
      </c>
      <c r="I1030" s="90">
        <v>0</v>
      </c>
      <c r="J1030" s="91" t="s">
        <v>222</v>
      </c>
      <c r="K1030" s="92" t="s">
        <v>156</v>
      </c>
      <c r="L1030" s="55"/>
    </row>
    <row r="1031" spans="1:12" ht="12.75" customHeight="1" thickBot="1" x14ac:dyDescent="0.25">
      <c r="A1031" s="90">
        <f t="shared" ref="A1031:H1031" si="557">SUM(A1029:A1030)</f>
        <v>96</v>
      </c>
      <c r="B1031" s="90">
        <f t="shared" si="557"/>
        <v>96</v>
      </c>
      <c r="C1031" s="90">
        <f t="shared" si="557"/>
        <v>0</v>
      </c>
      <c r="D1031" s="90">
        <f t="shared" si="557"/>
        <v>7</v>
      </c>
      <c r="E1031" s="90">
        <f t="shared" si="557"/>
        <v>7</v>
      </c>
      <c r="F1031" s="90">
        <f t="shared" si="557"/>
        <v>0</v>
      </c>
      <c r="G1031" s="90">
        <f t="shared" si="557"/>
        <v>89</v>
      </c>
      <c r="H1031" s="90">
        <f t="shared" si="557"/>
        <v>89</v>
      </c>
      <c r="I1031" s="90">
        <f>SUM(I1029:I1030)</f>
        <v>0</v>
      </c>
      <c r="J1031" s="91" t="s">
        <v>13</v>
      </c>
      <c r="K1031" s="93"/>
      <c r="L1031" s="55"/>
    </row>
    <row r="1032" spans="1:12" ht="12.75" customHeight="1" thickBot="1" x14ac:dyDescent="0.25">
      <c r="A1032" s="90">
        <f t="shared" si="535"/>
        <v>15</v>
      </c>
      <c r="B1032" s="90">
        <f t="shared" si="536"/>
        <v>14</v>
      </c>
      <c r="C1032" s="90">
        <f t="shared" si="536"/>
        <v>1</v>
      </c>
      <c r="D1032" s="90">
        <f t="shared" si="537"/>
        <v>1</v>
      </c>
      <c r="E1032" s="90">
        <v>1</v>
      </c>
      <c r="F1032" s="90">
        <v>0</v>
      </c>
      <c r="G1032" s="90">
        <f t="shared" si="538"/>
        <v>14</v>
      </c>
      <c r="H1032" s="90">
        <v>13</v>
      </c>
      <c r="I1032" s="90">
        <v>1</v>
      </c>
      <c r="J1032" s="91" t="s">
        <v>221</v>
      </c>
      <c r="K1032" s="92"/>
      <c r="L1032" s="55"/>
    </row>
    <row r="1033" spans="1:12" ht="12.75" customHeight="1" thickBot="1" x14ac:dyDescent="0.25">
      <c r="A1033" s="90">
        <f t="shared" si="535"/>
        <v>0</v>
      </c>
      <c r="B1033" s="90">
        <f t="shared" si="536"/>
        <v>0</v>
      </c>
      <c r="C1033" s="90">
        <f t="shared" si="536"/>
        <v>0</v>
      </c>
      <c r="D1033" s="90">
        <f t="shared" si="537"/>
        <v>0</v>
      </c>
      <c r="E1033" s="90">
        <v>0</v>
      </c>
      <c r="F1033" s="90">
        <v>0</v>
      </c>
      <c r="G1033" s="90">
        <f t="shared" si="538"/>
        <v>0</v>
      </c>
      <c r="H1033" s="90">
        <v>0</v>
      </c>
      <c r="I1033" s="90">
        <v>0</v>
      </c>
      <c r="J1033" s="91" t="s">
        <v>222</v>
      </c>
      <c r="K1033" s="92" t="s">
        <v>157</v>
      </c>
      <c r="L1033" s="55"/>
    </row>
    <row r="1034" spans="1:12" ht="12.75" customHeight="1" thickBot="1" x14ac:dyDescent="0.25">
      <c r="A1034" s="90">
        <f t="shared" ref="A1034:H1034" si="558">SUM(A1032:A1033)</f>
        <v>15</v>
      </c>
      <c r="B1034" s="90">
        <f t="shared" si="558"/>
        <v>14</v>
      </c>
      <c r="C1034" s="90">
        <f t="shared" si="558"/>
        <v>1</v>
      </c>
      <c r="D1034" s="90">
        <f t="shared" si="558"/>
        <v>1</v>
      </c>
      <c r="E1034" s="90">
        <f t="shared" si="558"/>
        <v>1</v>
      </c>
      <c r="F1034" s="90">
        <f t="shared" si="558"/>
        <v>0</v>
      </c>
      <c r="G1034" s="90">
        <f t="shared" si="558"/>
        <v>14</v>
      </c>
      <c r="H1034" s="90">
        <f t="shared" si="558"/>
        <v>13</v>
      </c>
      <c r="I1034" s="90">
        <f>SUM(I1032:I1033)</f>
        <v>1</v>
      </c>
      <c r="J1034" s="91" t="s">
        <v>13</v>
      </c>
      <c r="K1034" s="93"/>
      <c r="L1034" s="55"/>
    </row>
    <row r="1035" spans="1:12" ht="12.75" customHeight="1" thickBot="1" x14ac:dyDescent="0.25">
      <c r="A1035" s="90">
        <f t="shared" ref="A1035:I1037" si="559">A975+A978+A981+A984+A987+A990+A993+A996+A999+A1002+A1005+A1008+A1011+A1014+A1017+A1020+A1023+A1026+A1029+A1032</f>
        <v>8804</v>
      </c>
      <c r="B1035" s="90">
        <f t="shared" si="559"/>
        <v>3769</v>
      </c>
      <c r="C1035" s="90">
        <f t="shared" si="559"/>
        <v>5035</v>
      </c>
      <c r="D1035" s="90">
        <f t="shared" si="559"/>
        <v>2193</v>
      </c>
      <c r="E1035" s="90">
        <f t="shared" si="559"/>
        <v>960</v>
      </c>
      <c r="F1035" s="90">
        <f t="shared" si="559"/>
        <v>1233</v>
      </c>
      <c r="G1035" s="90">
        <f t="shared" si="559"/>
        <v>6611</v>
      </c>
      <c r="H1035" s="90">
        <f t="shared" si="559"/>
        <v>2809</v>
      </c>
      <c r="I1035" s="90">
        <f>I975+I978+I981+I984+I987+I990+I993+I996+I999+I1002+I1005+I1008+I1011+I1014+I1017+I1020+I1023+I1026+I1029+I1032</f>
        <v>3802</v>
      </c>
      <c r="J1035" s="91" t="s">
        <v>224</v>
      </c>
      <c r="K1035" s="94"/>
      <c r="L1035" s="55"/>
    </row>
    <row r="1036" spans="1:12" ht="12.75" customHeight="1" thickBot="1" x14ac:dyDescent="0.25">
      <c r="A1036" s="90">
        <f t="shared" si="559"/>
        <v>0</v>
      </c>
      <c r="B1036" s="90">
        <f t="shared" si="559"/>
        <v>0</v>
      </c>
      <c r="C1036" s="90">
        <f t="shared" si="559"/>
        <v>0</v>
      </c>
      <c r="D1036" s="90">
        <f t="shared" si="559"/>
        <v>0</v>
      </c>
      <c r="E1036" s="90">
        <f t="shared" si="559"/>
        <v>0</v>
      </c>
      <c r="F1036" s="90">
        <f t="shared" si="559"/>
        <v>0</v>
      </c>
      <c r="G1036" s="90">
        <f t="shared" si="559"/>
        <v>0</v>
      </c>
      <c r="H1036" s="90">
        <f t="shared" si="559"/>
        <v>0</v>
      </c>
      <c r="I1036" s="90">
        <f t="shared" si="559"/>
        <v>0</v>
      </c>
      <c r="J1036" s="91" t="s">
        <v>225</v>
      </c>
      <c r="K1036" s="95" t="s">
        <v>211</v>
      </c>
      <c r="L1036" s="55"/>
    </row>
    <row r="1037" spans="1:12" ht="12.75" customHeight="1" thickBot="1" x14ac:dyDescent="0.25">
      <c r="A1037" s="90">
        <f t="shared" si="559"/>
        <v>8804</v>
      </c>
      <c r="B1037" s="90">
        <f t="shared" si="559"/>
        <v>3769</v>
      </c>
      <c r="C1037" s="90">
        <f t="shared" si="559"/>
        <v>5035</v>
      </c>
      <c r="D1037" s="90">
        <f t="shared" si="559"/>
        <v>2193</v>
      </c>
      <c r="E1037" s="90">
        <f t="shared" si="559"/>
        <v>960</v>
      </c>
      <c r="F1037" s="90">
        <f t="shared" si="559"/>
        <v>1233</v>
      </c>
      <c r="G1037" s="90">
        <f t="shared" si="559"/>
        <v>6611</v>
      </c>
      <c r="H1037" s="90">
        <f t="shared" si="559"/>
        <v>2809</v>
      </c>
      <c r="I1037" s="90">
        <f t="shared" si="559"/>
        <v>3802</v>
      </c>
      <c r="J1037" s="91" t="s">
        <v>13</v>
      </c>
      <c r="K1037" s="96"/>
      <c r="L1037" s="55"/>
    </row>
  </sheetData>
  <mergeCells count="165">
    <mergeCell ref="J4:K4"/>
    <mergeCell ref="A65:K65"/>
    <mergeCell ref="A66:K66"/>
    <mergeCell ref="A67:C67"/>
    <mergeCell ref="D67:F67"/>
    <mergeCell ref="G67:I67"/>
    <mergeCell ref="J67:K67"/>
    <mergeCell ref="A1:K1"/>
    <mergeCell ref="A2:K2"/>
    <mergeCell ref="A3:C3"/>
    <mergeCell ref="D3:F3"/>
    <mergeCell ref="G3:I3"/>
    <mergeCell ref="J3:K3"/>
    <mergeCell ref="J90:K90"/>
    <mergeCell ref="A127:K127"/>
    <mergeCell ref="A128:K128"/>
    <mergeCell ref="A129:C129"/>
    <mergeCell ref="D129:F129"/>
    <mergeCell ref="G129:I129"/>
    <mergeCell ref="J129:K129"/>
    <mergeCell ref="J68:K68"/>
    <mergeCell ref="A87:K87"/>
    <mergeCell ref="A88:K88"/>
    <mergeCell ref="A89:C89"/>
    <mergeCell ref="D89:F89"/>
    <mergeCell ref="G89:I89"/>
    <mergeCell ref="J89:K89"/>
    <mergeCell ref="J191:K191"/>
    <mergeCell ref="A252:K252"/>
    <mergeCell ref="A253:K253"/>
    <mergeCell ref="A254:C254"/>
    <mergeCell ref="D254:F254"/>
    <mergeCell ref="G254:I254"/>
    <mergeCell ref="J254:K254"/>
    <mergeCell ref="J130:K130"/>
    <mergeCell ref="A188:K188"/>
    <mergeCell ref="A189:K189"/>
    <mergeCell ref="A190:C190"/>
    <mergeCell ref="D190:F190"/>
    <mergeCell ref="G190:I190"/>
    <mergeCell ref="J190:K190"/>
    <mergeCell ref="J280:K280"/>
    <mergeCell ref="K353:K355"/>
    <mergeCell ref="A356:K356"/>
    <mergeCell ref="A357:K357"/>
    <mergeCell ref="J358:K358"/>
    <mergeCell ref="A449:K449"/>
    <mergeCell ref="J255:K255"/>
    <mergeCell ref="A277:K277"/>
    <mergeCell ref="A278:K278"/>
    <mergeCell ref="A279:C279"/>
    <mergeCell ref="D279:F279"/>
    <mergeCell ref="G279:I279"/>
    <mergeCell ref="J279:K279"/>
    <mergeCell ref="A531:K531"/>
    <mergeCell ref="A532:K532"/>
    <mergeCell ref="A533:C533"/>
    <mergeCell ref="D533:F533"/>
    <mergeCell ref="G533:I533"/>
    <mergeCell ref="J533:K533"/>
    <mergeCell ref="A450:K450"/>
    <mergeCell ref="A451:C451"/>
    <mergeCell ref="D451:F451"/>
    <mergeCell ref="G451:I451"/>
    <mergeCell ref="J451:K451"/>
    <mergeCell ref="J452:K452"/>
    <mergeCell ref="J598:K598"/>
    <mergeCell ref="A650:K650"/>
    <mergeCell ref="A651:K651"/>
    <mergeCell ref="A652:C652"/>
    <mergeCell ref="D652:F652"/>
    <mergeCell ref="G652:I652"/>
    <mergeCell ref="J652:K652"/>
    <mergeCell ref="J534:K534"/>
    <mergeCell ref="A595:K595"/>
    <mergeCell ref="A596:K596"/>
    <mergeCell ref="A597:C597"/>
    <mergeCell ref="D597:F597"/>
    <mergeCell ref="G597:I597"/>
    <mergeCell ref="J597:K597"/>
    <mergeCell ref="J669:K669"/>
    <mergeCell ref="A706:K706"/>
    <mergeCell ref="A707:K707"/>
    <mergeCell ref="A708:C708"/>
    <mergeCell ref="D708:F708"/>
    <mergeCell ref="G708:I708"/>
    <mergeCell ref="J708:K708"/>
    <mergeCell ref="J653:K653"/>
    <mergeCell ref="A666:K666"/>
    <mergeCell ref="A667:K667"/>
    <mergeCell ref="A668:C668"/>
    <mergeCell ref="D668:F668"/>
    <mergeCell ref="G668:I668"/>
    <mergeCell ref="J668:K668"/>
    <mergeCell ref="J734:K734"/>
    <mergeCell ref="A765:K765"/>
    <mergeCell ref="A766:K766"/>
    <mergeCell ref="A767:C767"/>
    <mergeCell ref="D767:F767"/>
    <mergeCell ref="G767:I767"/>
    <mergeCell ref="J767:K767"/>
    <mergeCell ref="J709:K709"/>
    <mergeCell ref="A731:K731"/>
    <mergeCell ref="A732:K732"/>
    <mergeCell ref="A733:C733"/>
    <mergeCell ref="D733:F733"/>
    <mergeCell ref="G733:I733"/>
    <mergeCell ref="J733:K733"/>
    <mergeCell ref="J796:K796"/>
    <mergeCell ref="A824:K824"/>
    <mergeCell ref="A825:K825"/>
    <mergeCell ref="A826:C826"/>
    <mergeCell ref="D826:F826"/>
    <mergeCell ref="G826:I826"/>
    <mergeCell ref="J826:K826"/>
    <mergeCell ref="J768:K768"/>
    <mergeCell ref="A793:K793"/>
    <mergeCell ref="A794:K794"/>
    <mergeCell ref="A795:C795"/>
    <mergeCell ref="D795:F795"/>
    <mergeCell ref="G795:I795"/>
    <mergeCell ref="J795:K795"/>
    <mergeCell ref="J843:K843"/>
    <mergeCell ref="A913:K913"/>
    <mergeCell ref="A914:K914"/>
    <mergeCell ref="A915:C915"/>
    <mergeCell ref="D915:F915"/>
    <mergeCell ref="G915:I915"/>
    <mergeCell ref="J915:K915"/>
    <mergeCell ref="J827:K827"/>
    <mergeCell ref="A840:K840"/>
    <mergeCell ref="A841:K841"/>
    <mergeCell ref="A842:C842"/>
    <mergeCell ref="D842:F842"/>
    <mergeCell ref="G842:I842"/>
    <mergeCell ref="J842:K842"/>
    <mergeCell ref="J935:K935"/>
    <mergeCell ref="A942:K942"/>
    <mergeCell ref="A943:K943"/>
    <mergeCell ref="A944:C944"/>
    <mergeCell ref="D944:F944"/>
    <mergeCell ref="G944:I944"/>
    <mergeCell ref="J944:K944"/>
    <mergeCell ref="J916:K916"/>
    <mergeCell ref="A932:K932"/>
    <mergeCell ref="A933:K933"/>
    <mergeCell ref="A934:C934"/>
    <mergeCell ref="D934:F934"/>
    <mergeCell ref="G934:I934"/>
    <mergeCell ref="J934:K934"/>
    <mergeCell ref="J974:K974"/>
    <mergeCell ref="J955:K955"/>
    <mergeCell ref="A971:K971"/>
    <mergeCell ref="A972:K972"/>
    <mergeCell ref="A973:C973"/>
    <mergeCell ref="D973:F973"/>
    <mergeCell ref="G973:I973"/>
    <mergeCell ref="J973:K973"/>
    <mergeCell ref="J945:K945"/>
    <mergeCell ref="A952:K952"/>
    <mergeCell ref="A953:K953"/>
    <mergeCell ref="A954:C954"/>
    <mergeCell ref="D954:F954"/>
    <mergeCell ref="G954:I954"/>
    <mergeCell ref="J954:K954"/>
  </mergeCells>
  <pageMargins left="0.4" right="0.4" top="0.25" bottom="0.25" header="0.25" footer="0.25"/>
  <pageSetup paperSize="9" scale="91" orientation="landscape" r:id="rId1"/>
  <headerFooter alignWithMargins="0"/>
  <rowBreaks count="2" manualBreakCount="2">
    <brk id="972" max="16383" man="1"/>
    <brk id="1010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1"/>
  <sheetViews>
    <sheetView showGridLines="0" topLeftCell="A309" zoomScale="90" zoomScaleNormal="90" zoomScaleSheetLayoutView="91" workbookViewId="0">
      <selection activeCell="G33" sqref="G33"/>
    </sheetView>
  </sheetViews>
  <sheetFormatPr defaultRowHeight="12.75" x14ac:dyDescent="0.2"/>
  <cols>
    <col min="1" max="3" width="5" style="56" bestFit="1" customWidth="1"/>
    <col min="4" max="4" width="4" style="56" bestFit="1" customWidth="1"/>
    <col min="5" max="5" width="3.625" style="56" bestFit="1" customWidth="1"/>
    <col min="6" max="6" width="4" style="56" bestFit="1" customWidth="1"/>
    <col min="7" max="7" width="5" style="56" bestFit="1" customWidth="1"/>
    <col min="8" max="8" width="4" style="56" bestFit="1" customWidth="1"/>
    <col min="9" max="9" width="5" style="56" bestFit="1" customWidth="1"/>
    <col min="10" max="10" width="9.625" style="56" customWidth="1"/>
    <col min="11" max="11" width="34.25" style="56" customWidth="1"/>
    <col min="12" max="12" width="3.625" style="56" customWidth="1"/>
    <col min="13" max="246" width="9" style="56"/>
    <col min="247" max="247" width="5" style="56" bestFit="1" customWidth="1"/>
    <col min="248" max="248" width="4" style="56" bestFit="1" customWidth="1"/>
    <col min="249" max="249" width="5" style="56" bestFit="1" customWidth="1"/>
    <col min="250" max="250" width="4" style="56" bestFit="1" customWidth="1"/>
    <col min="251" max="251" width="3.625" style="56" bestFit="1" customWidth="1"/>
    <col min="252" max="252" width="4" style="56" bestFit="1" customWidth="1"/>
    <col min="253" max="253" width="5" style="56" bestFit="1" customWidth="1"/>
    <col min="254" max="254" width="4" style="56" bestFit="1" customWidth="1"/>
    <col min="255" max="255" width="5" style="56" bestFit="1" customWidth="1"/>
    <col min="256" max="256" width="9.625" style="56" customWidth="1"/>
    <col min="257" max="257" width="34.25" style="56" customWidth="1"/>
    <col min="258" max="258" width="3.625" style="56" customWidth="1"/>
    <col min="259" max="259" width="5.625" style="56" bestFit="1" customWidth="1"/>
    <col min="260" max="260" width="5" style="56" bestFit="1" customWidth="1"/>
    <col min="261" max="261" width="5.625" style="56" bestFit="1" customWidth="1"/>
    <col min="262" max="502" width="9" style="56"/>
    <col min="503" max="503" width="5" style="56" bestFit="1" customWidth="1"/>
    <col min="504" max="504" width="4" style="56" bestFit="1" customWidth="1"/>
    <col min="505" max="505" width="5" style="56" bestFit="1" customWidth="1"/>
    <col min="506" max="506" width="4" style="56" bestFit="1" customWidth="1"/>
    <col min="507" max="507" width="3.625" style="56" bestFit="1" customWidth="1"/>
    <col min="508" max="508" width="4" style="56" bestFit="1" customWidth="1"/>
    <col min="509" max="509" width="5" style="56" bestFit="1" customWidth="1"/>
    <col min="510" max="510" width="4" style="56" bestFit="1" customWidth="1"/>
    <col min="511" max="511" width="5" style="56" bestFit="1" customWidth="1"/>
    <col min="512" max="512" width="9.625" style="56" customWidth="1"/>
    <col min="513" max="513" width="34.25" style="56" customWidth="1"/>
    <col min="514" max="514" width="3.625" style="56" customWidth="1"/>
    <col min="515" max="515" width="5.625" style="56" bestFit="1" customWidth="1"/>
    <col min="516" max="516" width="5" style="56" bestFit="1" customWidth="1"/>
    <col min="517" max="517" width="5.625" style="56" bestFit="1" customWidth="1"/>
    <col min="518" max="758" width="9" style="56"/>
    <col min="759" max="759" width="5" style="56" bestFit="1" customWidth="1"/>
    <col min="760" max="760" width="4" style="56" bestFit="1" customWidth="1"/>
    <col min="761" max="761" width="5" style="56" bestFit="1" customWidth="1"/>
    <col min="762" max="762" width="4" style="56" bestFit="1" customWidth="1"/>
    <col min="763" max="763" width="3.625" style="56" bestFit="1" customWidth="1"/>
    <col min="764" max="764" width="4" style="56" bestFit="1" customWidth="1"/>
    <col min="765" max="765" width="5" style="56" bestFit="1" customWidth="1"/>
    <col min="766" max="766" width="4" style="56" bestFit="1" customWidth="1"/>
    <col min="767" max="767" width="5" style="56" bestFit="1" customWidth="1"/>
    <col min="768" max="768" width="9.625" style="56" customWidth="1"/>
    <col min="769" max="769" width="34.25" style="56" customWidth="1"/>
    <col min="770" max="770" width="3.625" style="56" customWidth="1"/>
    <col min="771" max="771" width="5.625" style="56" bestFit="1" customWidth="1"/>
    <col min="772" max="772" width="5" style="56" bestFit="1" customWidth="1"/>
    <col min="773" max="773" width="5.625" style="56" bestFit="1" customWidth="1"/>
    <col min="774" max="1014" width="9" style="56"/>
    <col min="1015" max="1015" width="5" style="56" bestFit="1" customWidth="1"/>
    <col min="1016" max="1016" width="4" style="56" bestFit="1" customWidth="1"/>
    <col min="1017" max="1017" width="5" style="56" bestFit="1" customWidth="1"/>
    <col min="1018" max="1018" width="4" style="56" bestFit="1" customWidth="1"/>
    <col min="1019" max="1019" width="3.625" style="56" bestFit="1" customWidth="1"/>
    <col min="1020" max="1020" width="4" style="56" bestFit="1" customWidth="1"/>
    <col min="1021" max="1021" width="5" style="56" bestFit="1" customWidth="1"/>
    <col min="1022" max="1022" width="4" style="56" bestFit="1" customWidth="1"/>
    <col min="1023" max="1023" width="5" style="56" bestFit="1" customWidth="1"/>
    <col min="1024" max="1024" width="9.625" style="56" customWidth="1"/>
    <col min="1025" max="1025" width="34.25" style="56" customWidth="1"/>
    <col min="1026" max="1026" width="3.625" style="56" customWidth="1"/>
    <col min="1027" max="1027" width="5.625" style="56" bestFit="1" customWidth="1"/>
    <col min="1028" max="1028" width="5" style="56" bestFit="1" customWidth="1"/>
    <col min="1029" max="1029" width="5.625" style="56" bestFit="1" customWidth="1"/>
    <col min="1030" max="1270" width="9" style="56"/>
    <col min="1271" max="1271" width="5" style="56" bestFit="1" customWidth="1"/>
    <col min="1272" max="1272" width="4" style="56" bestFit="1" customWidth="1"/>
    <col min="1273" max="1273" width="5" style="56" bestFit="1" customWidth="1"/>
    <col min="1274" max="1274" width="4" style="56" bestFit="1" customWidth="1"/>
    <col min="1275" max="1275" width="3.625" style="56" bestFit="1" customWidth="1"/>
    <col min="1276" max="1276" width="4" style="56" bestFit="1" customWidth="1"/>
    <col min="1277" max="1277" width="5" style="56" bestFit="1" customWidth="1"/>
    <col min="1278" max="1278" width="4" style="56" bestFit="1" customWidth="1"/>
    <col min="1279" max="1279" width="5" style="56" bestFit="1" customWidth="1"/>
    <col min="1280" max="1280" width="9.625" style="56" customWidth="1"/>
    <col min="1281" max="1281" width="34.25" style="56" customWidth="1"/>
    <col min="1282" max="1282" width="3.625" style="56" customWidth="1"/>
    <col min="1283" max="1283" width="5.625" style="56" bestFit="1" customWidth="1"/>
    <col min="1284" max="1284" width="5" style="56" bestFit="1" customWidth="1"/>
    <col min="1285" max="1285" width="5.625" style="56" bestFit="1" customWidth="1"/>
    <col min="1286" max="1526" width="9" style="56"/>
    <col min="1527" max="1527" width="5" style="56" bestFit="1" customWidth="1"/>
    <col min="1528" max="1528" width="4" style="56" bestFit="1" customWidth="1"/>
    <col min="1529" max="1529" width="5" style="56" bestFit="1" customWidth="1"/>
    <col min="1530" max="1530" width="4" style="56" bestFit="1" customWidth="1"/>
    <col min="1531" max="1531" width="3.625" style="56" bestFit="1" customWidth="1"/>
    <col min="1532" max="1532" width="4" style="56" bestFit="1" customWidth="1"/>
    <col min="1533" max="1533" width="5" style="56" bestFit="1" customWidth="1"/>
    <col min="1534" max="1534" width="4" style="56" bestFit="1" customWidth="1"/>
    <col min="1535" max="1535" width="5" style="56" bestFit="1" customWidth="1"/>
    <col min="1536" max="1536" width="9.625" style="56" customWidth="1"/>
    <col min="1537" max="1537" width="34.25" style="56" customWidth="1"/>
    <col min="1538" max="1538" width="3.625" style="56" customWidth="1"/>
    <col min="1539" max="1539" width="5.625" style="56" bestFit="1" customWidth="1"/>
    <col min="1540" max="1540" width="5" style="56" bestFit="1" customWidth="1"/>
    <col min="1541" max="1541" width="5.625" style="56" bestFit="1" customWidth="1"/>
    <col min="1542" max="1782" width="9" style="56"/>
    <col min="1783" max="1783" width="5" style="56" bestFit="1" customWidth="1"/>
    <col min="1784" max="1784" width="4" style="56" bestFit="1" customWidth="1"/>
    <col min="1785" max="1785" width="5" style="56" bestFit="1" customWidth="1"/>
    <col min="1786" max="1786" width="4" style="56" bestFit="1" customWidth="1"/>
    <col min="1787" max="1787" width="3.625" style="56" bestFit="1" customWidth="1"/>
    <col min="1788" max="1788" width="4" style="56" bestFit="1" customWidth="1"/>
    <col min="1789" max="1789" width="5" style="56" bestFit="1" customWidth="1"/>
    <col min="1790" max="1790" width="4" style="56" bestFit="1" customWidth="1"/>
    <col min="1791" max="1791" width="5" style="56" bestFit="1" customWidth="1"/>
    <col min="1792" max="1792" width="9.625" style="56" customWidth="1"/>
    <col min="1793" max="1793" width="34.25" style="56" customWidth="1"/>
    <col min="1794" max="1794" width="3.625" style="56" customWidth="1"/>
    <col min="1795" max="1795" width="5.625" style="56" bestFit="1" customWidth="1"/>
    <col min="1796" max="1796" width="5" style="56" bestFit="1" customWidth="1"/>
    <col min="1797" max="1797" width="5.625" style="56" bestFit="1" customWidth="1"/>
    <col min="1798" max="2038" width="9" style="56"/>
    <col min="2039" max="2039" width="5" style="56" bestFit="1" customWidth="1"/>
    <col min="2040" max="2040" width="4" style="56" bestFit="1" customWidth="1"/>
    <col min="2041" max="2041" width="5" style="56" bestFit="1" customWidth="1"/>
    <col min="2042" max="2042" width="4" style="56" bestFit="1" customWidth="1"/>
    <col min="2043" max="2043" width="3.625" style="56" bestFit="1" customWidth="1"/>
    <col min="2044" max="2044" width="4" style="56" bestFit="1" customWidth="1"/>
    <col min="2045" max="2045" width="5" style="56" bestFit="1" customWidth="1"/>
    <col min="2046" max="2046" width="4" style="56" bestFit="1" customWidth="1"/>
    <col min="2047" max="2047" width="5" style="56" bestFit="1" customWidth="1"/>
    <col min="2048" max="2048" width="9.625" style="56" customWidth="1"/>
    <col min="2049" max="2049" width="34.25" style="56" customWidth="1"/>
    <col min="2050" max="2050" width="3.625" style="56" customWidth="1"/>
    <col min="2051" max="2051" width="5.625" style="56" bestFit="1" customWidth="1"/>
    <col min="2052" max="2052" width="5" style="56" bestFit="1" customWidth="1"/>
    <col min="2053" max="2053" width="5.625" style="56" bestFit="1" customWidth="1"/>
    <col min="2054" max="2294" width="9" style="56"/>
    <col min="2295" max="2295" width="5" style="56" bestFit="1" customWidth="1"/>
    <col min="2296" max="2296" width="4" style="56" bestFit="1" customWidth="1"/>
    <col min="2297" max="2297" width="5" style="56" bestFit="1" customWidth="1"/>
    <col min="2298" max="2298" width="4" style="56" bestFit="1" customWidth="1"/>
    <col min="2299" max="2299" width="3.625" style="56" bestFit="1" customWidth="1"/>
    <col min="2300" max="2300" width="4" style="56" bestFit="1" customWidth="1"/>
    <col min="2301" max="2301" width="5" style="56" bestFit="1" customWidth="1"/>
    <col min="2302" max="2302" width="4" style="56" bestFit="1" customWidth="1"/>
    <col min="2303" max="2303" width="5" style="56" bestFit="1" customWidth="1"/>
    <col min="2304" max="2304" width="9.625" style="56" customWidth="1"/>
    <col min="2305" max="2305" width="34.25" style="56" customWidth="1"/>
    <col min="2306" max="2306" width="3.625" style="56" customWidth="1"/>
    <col min="2307" max="2307" width="5.625" style="56" bestFit="1" customWidth="1"/>
    <col min="2308" max="2308" width="5" style="56" bestFit="1" customWidth="1"/>
    <col min="2309" max="2309" width="5.625" style="56" bestFit="1" customWidth="1"/>
    <col min="2310" max="2550" width="9" style="56"/>
    <col min="2551" max="2551" width="5" style="56" bestFit="1" customWidth="1"/>
    <col min="2552" max="2552" width="4" style="56" bestFit="1" customWidth="1"/>
    <col min="2553" max="2553" width="5" style="56" bestFit="1" customWidth="1"/>
    <col min="2554" max="2554" width="4" style="56" bestFit="1" customWidth="1"/>
    <col min="2555" max="2555" width="3.625" style="56" bestFit="1" customWidth="1"/>
    <col min="2556" max="2556" width="4" style="56" bestFit="1" customWidth="1"/>
    <col min="2557" max="2557" width="5" style="56" bestFit="1" customWidth="1"/>
    <col min="2558" max="2558" width="4" style="56" bestFit="1" customWidth="1"/>
    <col min="2559" max="2559" width="5" style="56" bestFit="1" customWidth="1"/>
    <col min="2560" max="2560" width="9.625" style="56" customWidth="1"/>
    <col min="2561" max="2561" width="34.25" style="56" customWidth="1"/>
    <col min="2562" max="2562" width="3.625" style="56" customWidth="1"/>
    <col min="2563" max="2563" width="5.625" style="56" bestFit="1" customWidth="1"/>
    <col min="2564" max="2564" width="5" style="56" bestFit="1" customWidth="1"/>
    <col min="2565" max="2565" width="5.625" style="56" bestFit="1" customWidth="1"/>
    <col min="2566" max="2806" width="9" style="56"/>
    <col min="2807" max="2807" width="5" style="56" bestFit="1" customWidth="1"/>
    <col min="2808" max="2808" width="4" style="56" bestFit="1" customWidth="1"/>
    <col min="2809" max="2809" width="5" style="56" bestFit="1" customWidth="1"/>
    <col min="2810" max="2810" width="4" style="56" bestFit="1" customWidth="1"/>
    <col min="2811" max="2811" width="3.625" style="56" bestFit="1" customWidth="1"/>
    <col min="2812" max="2812" width="4" style="56" bestFit="1" customWidth="1"/>
    <col min="2813" max="2813" width="5" style="56" bestFit="1" customWidth="1"/>
    <col min="2814" max="2814" width="4" style="56" bestFit="1" customWidth="1"/>
    <col min="2815" max="2815" width="5" style="56" bestFit="1" customWidth="1"/>
    <col min="2816" max="2816" width="9.625" style="56" customWidth="1"/>
    <col min="2817" max="2817" width="34.25" style="56" customWidth="1"/>
    <col min="2818" max="2818" width="3.625" style="56" customWidth="1"/>
    <col min="2819" max="2819" width="5.625" style="56" bestFit="1" customWidth="1"/>
    <col min="2820" max="2820" width="5" style="56" bestFit="1" customWidth="1"/>
    <col min="2821" max="2821" width="5.625" style="56" bestFit="1" customWidth="1"/>
    <col min="2822" max="3062" width="9" style="56"/>
    <col min="3063" max="3063" width="5" style="56" bestFit="1" customWidth="1"/>
    <col min="3064" max="3064" width="4" style="56" bestFit="1" customWidth="1"/>
    <col min="3065" max="3065" width="5" style="56" bestFit="1" customWidth="1"/>
    <col min="3066" max="3066" width="4" style="56" bestFit="1" customWidth="1"/>
    <col min="3067" max="3067" width="3.625" style="56" bestFit="1" customWidth="1"/>
    <col min="3068" max="3068" width="4" style="56" bestFit="1" customWidth="1"/>
    <col min="3069" max="3069" width="5" style="56" bestFit="1" customWidth="1"/>
    <col min="3070" max="3070" width="4" style="56" bestFit="1" customWidth="1"/>
    <col min="3071" max="3071" width="5" style="56" bestFit="1" customWidth="1"/>
    <col min="3072" max="3072" width="9.625" style="56" customWidth="1"/>
    <col min="3073" max="3073" width="34.25" style="56" customWidth="1"/>
    <col min="3074" max="3074" width="3.625" style="56" customWidth="1"/>
    <col min="3075" max="3075" width="5.625" style="56" bestFit="1" customWidth="1"/>
    <col min="3076" max="3076" width="5" style="56" bestFit="1" customWidth="1"/>
    <col min="3077" max="3077" width="5.625" style="56" bestFit="1" customWidth="1"/>
    <col min="3078" max="3318" width="9" style="56"/>
    <col min="3319" max="3319" width="5" style="56" bestFit="1" customWidth="1"/>
    <col min="3320" max="3320" width="4" style="56" bestFit="1" customWidth="1"/>
    <col min="3321" max="3321" width="5" style="56" bestFit="1" customWidth="1"/>
    <col min="3322" max="3322" width="4" style="56" bestFit="1" customWidth="1"/>
    <col min="3323" max="3323" width="3.625" style="56" bestFit="1" customWidth="1"/>
    <col min="3324" max="3324" width="4" style="56" bestFit="1" customWidth="1"/>
    <col min="3325" max="3325" width="5" style="56" bestFit="1" customWidth="1"/>
    <col min="3326" max="3326" width="4" style="56" bestFit="1" customWidth="1"/>
    <col min="3327" max="3327" width="5" style="56" bestFit="1" customWidth="1"/>
    <col min="3328" max="3328" width="9.625" style="56" customWidth="1"/>
    <col min="3329" max="3329" width="34.25" style="56" customWidth="1"/>
    <col min="3330" max="3330" width="3.625" style="56" customWidth="1"/>
    <col min="3331" max="3331" width="5.625" style="56" bestFit="1" customWidth="1"/>
    <col min="3332" max="3332" width="5" style="56" bestFit="1" customWidth="1"/>
    <col min="3333" max="3333" width="5.625" style="56" bestFit="1" customWidth="1"/>
    <col min="3334" max="3574" width="9" style="56"/>
    <col min="3575" max="3575" width="5" style="56" bestFit="1" customWidth="1"/>
    <col min="3576" max="3576" width="4" style="56" bestFit="1" customWidth="1"/>
    <col min="3577" max="3577" width="5" style="56" bestFit="1" customWidth="1"/>
    <col min="3578" max="3578" width="4" style="56" bestFit="1" customWidth="1"/>
    <col min="3579" max="3579" width="3.625" style="56" bestFit="1" customWidth="1"/>
    <col min="3580" max="3580" width="4" style="56" bestFit="1" customWidth="1"/>
    <col min="3581" max="3581" width="5" style="56" bestFit="1" customWidth="1"/>
    <col min="3582" max="3582" width="4" style="56" bestFit="1" customWidth="1"/>
    <col min="3583" max="3583" width="5" style="56" bestFit="1" customWidth="1"/>
    <col min="3584" max="3584" width="9.625" style="56" customWidth="1"/>
    <col min="3585" max="3585" width="34.25" style="56" customWidth="1"/>
    <col min="3586" max="3586" width="3.625" style="56" customWidth="1"/>
    <col min="3587" max="3587" width="5.625" style="56" bestFit="1" customWidth="1"/>
    <col min="3588" max="3588" width="5" style="56" bestFit="1" customWidth="1"/>
    <col min="3589" max="3589" width="5.625" style="56" bestFit="1" customWidth="1"/>
    <col min="3590" max="3830" width="9" style="56"/>
    <col min="3831" max="3831" width="5" style="56" bestFit="1" customWidth="1"/>
    <col min="3832" max="3832" width="4" style="56" bestFit="1" customWidth="1"/>
    <col min="3833" max="3833" width="5" style="56" bestFit="1" customWidth="1"/>
    <col min="3834" max="3834" width="4" style="56" bestFit="1" customWidth="1"/>
    <col min="3835" max="3835" width="3.625" style="56" bestFit="1" customWidth="1"/>
    <col min="3836" max="3836" width="4" style="56" bestFit="1" customWidth="1"/>
    <col min="3837" max="3837" width="5" style="56" bestFit="1" customWidth="1"/>
    <col min="3838" max="3838" width="4" style="56" bestFit="1" customWidth="1"/>
    <col min="3839" max="3839" width="5" style="56" bestFit="1" customWidth="1"/>
    <col min="3840" max="3840" width="9.625" style="56" customWidth="1"/>
    <col min="3841" max="3841" width="34.25" style="56" customWidth="1"/>
    <col min="3842" max="3842" width="3.625" style="56" customWidth="1"/>
    <col min="3843" max="3843" width="5.625" style="56" bestFit="1" customWidth="1"/>
    <col min="3844" max="3844" width="5" style="56" bestFit="1" customWidth="1"/>
    <col min="3845" max="3845" width="5.625" style="56" bestFit="1" customWidth="1"/>
    <col min="3846" max="4086" width="9" style="56"/>
    <col min="4087" max="4087" width="5" style="56" bestFit="1" customWidth="1"/>
    <col min="4088" max="4088" width="4" style="56" bestFit="1" customWidth="1"/>
    <col min="4089" max="4089" width="5" style="56" bestFit="1" customWidth="1"/>
    <col min="4090" max="4090" width="4" style="56" bestFit="1" customWidth="1"/>
    <col min="4091" max="4091" width="3.625" style="56" bestFit="1" customWidth="1"/>
    <col min="4092" max="4092" width="4" style="56" bestFit="1" customWidth="1"/>
    <col min="4093" max="4093" width="5" style="56" bestFit="1" customWidth="1"/>
    <col min="4094" max="4094" width="4" style="56" bestFit="1" customWidth="1"/>
    <col min="4095" max="4095" width="5" style="56" bestFit="1" customWidth="1"/>
    <col min="4096" max="4096" width="9.625" style="56" customWidth="1"/>
    <col min="4097" max="4097" width="34.25" style="56" customWidth="1"/>
    <col min="4098" max="4098" width="3.625" style="56" customWidth="1"/>
    <col min="4099" max="4099" width="5.625" style="56" bestFit="1" customWidth="1"/>
    <col min="4100" max="4100" width="5" style="56" bestFit="1" customWidth="1"/>
    <col min="4101" max="4101" width="5.625" style="56" bestFit="1" customWidth="1"/>
    <col min="4102" max="4342" width="9" style="56"/>
    <col min="4343" max="4343" width="5" style="56" bestFit="1" customWidth="1"/>
    <col min="4344" max="4344" width="4" style="56" bestFit="1" customWidth="1"/>
    <col min="4345" max="4345" width="5" style="56" bestFit="1" customWidth="1"/>
    <col min="4346" max="4346" width="4" style="56" bestFit="1" customWidth="1"/>
    <col min="4347" max="4347" width="3.625" style="56" bestFit="1" customWidth="1"/>
    <col min="4348" max="4348" width="4" style="56" bestFit="1" customWidth="1"/>
    <col min="4349" max="4349" width="5" style="56" bestFit="1" customWidth="1"/>
    <col min="4350" max="4350" width="4" style="56" bestFit="1" customWidth="1"/>
    <col min="4351" max="4351" width="5" style="56" bestFit="1" customWidth="1"/>
    <col min="4352" max="4352" width="9.625" style="56" customWidth="1"/>
    <col min="4353" max="4353" width="34.25" style="56" customWidth="1"/>
    <col min="4354" max="4354" width="3.625" style="56" customWidth="1"/>
    <col min="4355" max="4355" width="5.625" style="56" bestFit="1" customWidth="1"/>
    <col min="4356" max="4356" width="5" style="56" bestFit="1" customWidth="1"/>
    <col min="4357" max="4357" width="5.625" style="56" bestFit="1" customWidth="1"/>
    <col min="4358" max="4598" width="9" style="56"/>
    <col min="4599" max="4599" width="5" style="56" bestFit="1" customWidth="1"/>
    <col min="4600" max="4600" width="4" style="56" bestFit="1" customWidth="1"/>
    <col min="4601" max="4601" width="5" style="56" bestFit="1" customWidth="1"/>
    <col min="4602" max="4602" width="4" style="56" bestFit="1" customWidth="1"/>
    <col min="4603" max="4603" width="3.625" style="56" bestFit="1" customWidth="1"/>
    <col min="4604" max="4604" width="4" style="56" bestFit="1" customWidth="1"/>
    <col min="4605" max="4605" width="5" style="56" bestFit="1" customWidth="1"/>
    <col min="4606" max="4606" width="4" style="56" bestFit="1" customWidth="1"/>
    <col min="4607" max="4607" width="5" style="56" bestFit="1" customWidth="1"/>
    <col min="4608" max="4608" width="9.625" style="56" customWidth="1"/>
    <col min="4609" max="4609" width="34.25" style="56" customWidth="1"/>
    <col min="4610" max="4610" width="3.625" style="56" customWidth="1"/>
    <col min="4611" max="4611" width="5.625" style="56" bestFit="1" customWidth="1"/>
    <col min="4612" max="4612" width="5" style="56" bestFit="1" customWidth="1"/>
    <col min="4613" max="4613" width="5.625" style="56" bestFit="1" customWidth="1"/>
    <col min="4614" max="4854" width="9" style="56"/>
    <col min="4855" max="4855" width="5" style="56" bestFit="1" customWidth="1"/>
    <col min="4856" max="4856" width="4" style="56" bestFit="1" customWidth="1"/>
    <col min="4857" max="4857" width="5" style="56" bestFit="1" customWidth="1"/>
    <col min="4858" max="4858" width="4" style="56" bestFit="1" customWidth="1"/>
    <col min="4859" max="4859" width="3.625" style="56" bestFit="1" customWidth="1"/>
    <col min="4860" max="4860" width="4" style="56" bestFit="1" customWidth="1"/>
    <col min="4861" max="4861" width="5" style="56" bestFit="1" customWidth="1"/>
    <col min="4862" max="4862" width="4" style="56" bestFit="1" customWidth="1"/>
    <col min="4863" max="4863" width="5" style="56" bestFit="1" customWidth="1"/>
    <col min="4864" max="4864" width="9.625" style="56" customWidth="1"/>
    <col min="4865" max="4865" width="34.25" style="56" customWidth="1"/>
    <col min="4866" max="4866" width="3.625" style="56" customWidth="1"/>
    <col min="4867" max="4867" width="5.625" style="56" bestFit="1" customWidth="1"/>
    <col min="4868" max="4868" width="5" style="56" bestFit="1" customWidth="1"/>
    <col min="4869" max="4869" width="5.625" style="56" bestFit="1" customWidth="1"/>
    <col min="4870" max="5110" width="9" style="56"/>
    <col min="5111" max="5111" width="5" style="56" bestFit="1" customWidth="1"/>
    <col min="5112" max="5112" width="4" style="56" bestFit="1" customWidth="1"/>
    <col min="5113" max="5113" width="5" style="56" bestFit="1" customWidth="1"/>
    <col min="5114" max="5114" width="4" style="56" bestFit="1" customWidth="1"/>
    <col min="5115" max="5115" width="3.625" style="56" bestFit="1" customWidth="1"/>
    <col min="5116" max="5116" width="4" style="56" bestFit="1" customWidth="1"/>
    <col min="5117" max="5117" width="5" style="56" bestFit="1" customWidth="1"/>
    <col min="5118" max="5118" width="4" style="56" bestFit="1" customWidth="1"/>
    <col min="5119" max="5119" width="5" style="56" bestFit="1" customWidth="1"/>
    <col min="5120" max="5120" width="9.625" style="56" customWidth="1"/>
    <col min="5121" max="5121" width="34.25" style="56" customWidth="1"/>
    <col min="5122" max="5122" width="3.625" style="56" customWidth="1"/>
    <col min="5123" max="5123" width="5.625" style="56" bestFit="1" customWidth="1"/>
    <col min="5124" max="5124" width="5" style="56" bestFit="1" customWidth="1"/>
    <col min="5125" max="5125" width="5.625" style="56" bestFit="1" customWidth="1"/>
    <col min="5126" max="5366" width="9" style="56"/>
    <col min="5367" max="5367" width="5" style="56" bestFit="1" customWidth="1"/>
    <col min="5368" max="5368" width="4" style="56" bestFit="1" customWidth="1"/>
    <col min="5369" max="5369" width="5" style="56" bestFit="1" customWidth="1"/>
    <col min="5370" max="5370" width="4" style="56" bestFit="1" customWidth="1"/>
    <col min="5371" max="5371" width="3.625" style="56" bestFit="1" customWidth="1"/>
    <col min="5372" max="5372" width="4" style="56" bestFit="1" customWidth="1"/>
    <col min="5373" max="5373" width="5" style="56" bestFit="1" customWidth="1"/>
    <col min="5374" max="5374" width="4" style="56" bestFit="1" customWidth="1"/>
    <col min="5375" max="5375" width="5" style="56" bestFit="1" customWidth="1"/>
    <col min="5376" max="5376" width="9.625" style="56" customWidth="1"/>
    <col min="5377" max="5377" width="34.25" style="56" customWidth="1"/>
    <col min="5378" max="5378" width="3.625" style="56" customWidth="1"/>
    <col min="5379" max="5379" width="5.625" style="56" bestFit="1" customWidth="1"/>
    <col min="5380" max="5380" width="5" style="56" bestFit="1" customWidth="1"/>
    <col min="5381" max="5381" width="5.625" style="56" bestFit="1" customWidth="1"/>
    <col min="5382" max="5622" width="9" style="56"/>
    <col min="5623" max="5623" width="5" style="56" bestFit="1" customWidth="1"/>
    <col min="5624" max="5624" width="4" style="56" bestFit="1" customWidth="1"/>
    <col min="5625" max="5625" width="5" style="56" bestFit="1" customWidth="1"/>
    <col min="5626" max="5626" width="4" style="56" bestFit="1" customWidth="1"/>
    <col min="5627" max="5627" width="3.625" style="56" bestFit="1" customWidth="1"/>
    <col min="5628" max="5628" width="4" style="56" bestFit="1" customWidth="1"/>
    <col min="5629" max="5629" width="5" style="56" bestFit="1" customWidth="1"/>
    <col min="5630" max="5630" width="4" style="56" bestFit="1" customWidth="1"/>
    <col min="5631" max="5631" width="5" style="56" bestFit="1" customWidth="1"/>
    <col min="5632" max="5632" width="9.625" style="56" customWidth="1"/>
    <col min="5633" max="5633" width="34.25" style="56" customWidth="1"/>
    <col min="5634" max="5634" width="3.625" style="56" customWidth="1"/>
    <col min="5635" max="5635" width="5.625" style="56" bestFit="1" customWidth="1"/>
    <col min="5636" max="5636" width="5" style="56" bestFit="1" customWidth="1"/>
    <col min="5637" max="5637" width="5.625" style="56" bestFit="1" customWidth="1"/>
    <col min="5638" max="5878" width="9" style="56"/>
    <col min="5879" max="5879" width="5" style="56" bestFit="1" customWidth="1"/>
    <col min="5880" max="5880" width="4" style="56" bestFit="1" customWidth="1"/>
    <col min="5881" max="5881" width="5" style="56" bestFit="1" customWidth="1"/>
    <col min="5882" max="5882" width="4" style="56" bestFit="1" customWidth="1"/>
    <col min="5883" max="5883" width="3.625" style="56" bestFit="1" customWidth="1"/>
    <col min="5884" max="5884" width="4" style="56" bestFit="1" customWidth="1"/>
    <col min="5885" max="5885" width="5" style="56" bestFit="1" customWidth="1"/>
    <col min="5886" max="5886" width="4" style="56" bestFit="1" customWidth="1"/>
    <col min="5887" max="5887" width="5" style="56" bestFit="1" customWidth="1"/>
    <col min="5888" max="5888" width="9.625" style="56" customWidth="1"/>
    <col min="5889" max="5889" width="34.25" style="56" customWidth="1"/>
    <col min="5890" max="5890" width="3.625" style="56" customWidth="1"/>
    <col min="5891" max="5891" width="5.625" style="56" bestFit="1" customWidth="1"/>
    <col min="5892" max="5892" width="5" style="56" bestFit="1" customWidth="1"/>
    <col min="5893" max="5893" width="5.625" style="56" bestFit="1" customWidth="1"/>
    <col min="5894" max="6134" width="9" style="56"/>
    <col min="6135" max="6135" width="5" style="56" bestFit="1" customWidth="1"/>
    <col min="6136" max="6136" width="4" style="56" bestFit="1" customWidth="1"/>
    <col min="6137" max="6137" width="5" style="56" bestFit="1" customWidth="1"/>
    <col min="6138" max="6138" width="4" style="56" bestFit="1" customWidth="1"/>
    <col min="6139" max="6139" width="3.625" style="56" bestFit="1" customWidth="1"/>
    <col min="6140" max="6140" width="4" style="56" bestFit="1" customWidth="1"/>
    <col min="6141" max="6141" width="5" style="56" bestFit="1" customWidth="1"/>
    <col min="6142" max="6142" width="4" style="56" bestFit="1" customWidth="1"/>
    <col min="6143" max="6143" width="5" style="56" bestFit="1" customWidth="1"/>
    <col min="6144" max="6144" width="9.625" style="56" customWidth="1"/>
    <col min="6145" max="6145" width="34.25" style="56" customWidth="1"/>
    <col min="6146" max="6146" width="3.625" style="56" customWidth="1"/>
    <col min="6147" max="6147" width="5.625" style="56" bestFit="1" customWidth="1"/>
    <col min="6148" max="6148" width="5" style="56" bestFit="1" customWidth="1"/>
    <col min="6149" max="6149" width="5.625" style="56" bestFit="1" customWidth="1"/>
    <col min="6150" max="6390" width="9" style="56"/>
    <col min="6391" max="6391" width="5" style="56" bestFit="1" customWidth="1"/>
    <col min="6392" max="6392" width="4" style="56" bestFit="1" customWidth="1"/>
    <col min="6393" max="6393" width="5" style="56" bestFit="1" customWidth="1"/>
    <col min="6394" max="6394" width="4" style="56" bestFit="1" customWidth="1"/>
    <col min="6395" max="6395" width="3.625" style="56" bestFit="1" customWidth="1"/>
    <col min="6396" max="6396" width="4" style="56" bestFit="1" customWidth="1"/>
    <col min="6397" max="6397" width="5" style="56" bestFit="1" customWidth="1"/>
    <col min="6398" max="6398" width="4" style="56" bestFit="1" customWidth="1"/>
    <col min="6399" max="6399" width="5" style="56" bestFit="1" customWidth="1"/>
    <col min="6400" max="6400" width="9.625" style="56" customWidth="1"/>
    <col min="6401" max="6401" width="34.25" style="56" customWidth="1"/>
    <col min="6402" max="6402" width="3.625" style="56" customWidth="1"/>
    <col min="6403" max="6403" width="5.625" style="56" bestFit="1" customWidth="1"/>
    <col min="6404" max="6404" width="5" style="56" bestFit="1" customWidth="1"/>
    <col min="6405" max="6405" width="5.625" style="56" bestFit="1" customWidth="1"/>
    <col min="6406" max="6646" width="9" style="56"/>
    <col min="6647" max="6647" width="5" style="56" bestFit="1" customWidth="1"/>
    <col min="6648" max="6648" width="4" style="56" bestFit="1" customWidth="1"/>
    <col min="6649" max="6649" width="5" style="56" bestFit="1" customWidth="1"/>
    <col min="6650" max="6650" width="4" style="56" bestFit="1" customWidth="1"/>
    <col min="6651" max="6651" width="3.625" style="56" bestFit="1" customWidth="1"/>
    <col min="6652" max="6652" width="4" style="56" bestFit="1" customWidth="1"/>
    <col min="6653" max="6653" width="5" style="56" bestFit="1" customWidth="1"/>
    <col min="6654" max="6654" width="4" style="56" bestFit="1" customWidth="1"/>
    <col min="6655" max="6655" width="5" style="56" bestFit="1" customWidth="1"/>
    <col min="6656" max="6656" width="9.625" style="56" customWidth="1"/>
    <col min="6657" max="6657" width="34.25" style="56" customWidth="1"/>
    <col min="6658" max="6658" width="3.625" style="56" customWidth="1"/>
    <col min="6659" max="6659" width="5.625" style="56" bestFit="1" customWidth="1"/>
    <col min="6660" max="6660" width="5" style="56" bestFit="1" customWidth="1"/>
    <col min="6661" max="6661" width="5.625" style="56" bestFit="1" customWidth="1"/>
    <col min="6662" max="6902" width="9" style="56"/>
    <col min="6903" max="6903" width="5" style="56" bestFit="1" customWidth="1"/>
    <col min="6904" max="6904" width="4" style="56" bestFit="1" customWidth="1"/>
    <col min="6905" max="6905" width="5" style="56" bestFit="1" customWidth="1"/>
    <col min="6906" max="6906" width="4" style="56" bestFit="1" customWidth="1"/>
    <col min="6907" max="6907" width="3.625" style="56" bestFit="1" customWidth="1"/>
    <col min="6908" max="6908" width="4" style="56" bestFit="1" customWidth="1"/>
    <col min="6909" max="6909" width="5" style="56" bestFit="1" customWidth="1"/>
    <col min="6910" max="6910" width="4" style="56" bestFit="1" customWidth="1"/>
    <col min="6911" max="6911" width="5" style="56" bestFit="1" customWidth="1"/>
    <col min="6912" max="6912" width="9.625" style="56" customWidth="1"/>
    <col min="6913" max="6913" width="34.25" style="56" customWidth="1"/>
    <col min="6914" max="6914" width="3.625" style="56" customWidth="1"/>
    <col min="6915" max="6915" width="5.625" style="56" bestFit="1" customWidth="1"/>
    <col min="6916" max="6916" width="5" style="56" bestFit="1" customWidth="1"/>
    <col min="6917" max="6917" width="5.625" style="56" bestFit="1" customWidth="1"/>
    <col min="6918" max="7158" width="9" style="56"/>
    <col min="7159" max="7159" width="5" style="56" bestFit="1" customWidth="1"/>
    <col min="7160" max="7160" width="4" style="56" bestFit="1" customWidth="1"/>
    <col min="7161" max="7161" width="5" style="56" bestFit="1" customWidth="1"/>
    <col min="7162" max="7162" width="4" style="56" bestFit="1" customWidth="1"/>
    <col min="7163" max="7163" width="3.625" style="56" bestFit="1" customWidth="1"/>
    <col min="7164" max="7164" width="4" style="56" bestFit="1" customWidth="1"/>
    <col min="7165" max="7165" width="5" style="56" bestFit="1" customWidth="1"/>
    <col min="7166" max="7166" width="4" style="56" bestFit="1" customWidth="1"/>
    <col min="7167" max="7167" width="5" style="56" bestFit="1" customWidth="1"/>
    <col min="7168" max="7168" width="9.625" style="56" customWidth="1"/>
    <col min="7169" max="7169" width="34.25" style="56" customWidth="1"/>
    <col min="7170" max="7170" width="3.625" style="56" customWidth="1"/>
    <col min="7171" max="7171" width="5.625" style="56" bestFit="1" customWidth="1"/>
    <col min="7172" max="7172" width="5" style="56" bestFit="1" customWidth="1"/>
    <col min="7173" max="7173" width="5.625" style="56" bestFit="1" customWidth="1"/>
    <col min="7174" max="7414" width="9" style="56"/>
    <col min="7415" max="7415" width="5" style="56" bestFit="1" customWidth="1"/>
    <col min="7416" max="7416" width="4" style="56" bestFit="1" customWidth="1"/>
    <col min="7417" max="7417" width="5" style="56" bestFit="1" customWidth="1"/>
    <col min="7418" max="7418" width="4" style="56" bestFit="1" customWidth="1"/>
    <col min="7419" max="7419" width="3.625" style="56" bestFit="1" customWidth="1"/>
    <col min="7420" max="7420" width="4" style="56" bestFit="1" customWidth="1"/>
    <col min="7421" max="7421" width="5" style="56" bestFit="1" customWidth="1"/>
    <col min="7422" max="7422" width="4" style="56" bestFit="1" customWidth="1"/>
    <col min="7423" max="7423" width="5" style="56" bestFit="1" customWidth="1"/>
    <col min="7424" max="7424" width="9.625" style="56" customWidth="1"/>
    <col min="7425" max="7425" width="34.25" style="56" customWidth="1"/>
    <col min="7426" max="7426" width="3.625" style="56" customWidth="1"/>
    <col min="7427" max="7427" width="5.625" style="56" bestFit="1" customWidth="1"/>
    <col min="7428" max="7428" width="5" style="56" bestFit="1" customWidth="1"/>
    <col min="7429" max="7429" width="5.625" style="56" bestFit="1" customWidth="1"/>
    <col min="7430" max="7670" width="9" style="56"/>
    <col min="7671" max="7671" width="5" style="56" bestFit="1" customWidth="1"/>
    <col min="7672" max="7672" width="4" style="56" bestFit="1" customWidth="1"/>
    <col min="7673" max="7673" width="5" style="56" bestFit="1" customWidth="1"/>
    <col min="7674" max="7674" width="4" style="56" bestFit="1" customWidth="1"/>
    <col min="7675" max="7675" width="3.625" style="56" bestFit="1" customWidth="1"/>
    <col min="7676" max="7676" width="4" style="56" bestFit="1" customWidth="1"/>
    <col min="7677" max="7677" width="5" style="56" bestFit="1" customWidth="1"/>
    <col min="7678" max="7678" width="4" style="56" bestFit="1" customWidth="1"/>
    <col min="7679" max="7679" width="5" style="56" bestFit="1" customWidth="1"/>
    <col min="7680" max="7680" width="9.625" style="56" customWidth="1"/>
    <col min="7681" max="7681" width="34.25" style="56" customWidth="1"/>
    <col min="7682" max="7682" width="3.625" style="56" customWidth="1"/>
    <col min="7683" max="7683" width="5.625" style="56" bestFit="1" customWidth="1"/>
    <col min="7684" max="7684" width="5" style="56" bestFit="1" customWidth="1"/>
    <col min="7685" max="7685" width="5.625" style="56" bestFit="1" customWidth="1"/>
    <col min="7686" max="7926" width="9" style="56"/>
    <col min="7927" max="7927" width="5" style="56" bestFit="1" customWidth="1"/>
    <col min="7928" max="7928" width="4" style="56" bestFit="1" customWidth="1"/>
    <col min="7929" max="7929" width="5" style="56" bestFit="1" customWidth="1"/>
    <col min="7930" max="7930" width="4" style="56" bestFit="1" customWidth="1"/>
    <col min="7931" max="7931" width="3.625" style="56" bestFit="1" customWidth="1"/>
    <col min="7932" max="7932" width="4" style="56" bestFit="1" customWidth="1"/>
    <col min="7933" max="7933" width="5" style="56" bestFit="1" customWidth="1"/>
    <col min="7934" max="7934" width="4" style="56" bestFit="1" customWidth="1"/>
    <col min="7935" max="7935" width="5" style="56" bestFit="1" customWidth="1"/>
    <col min="7936" max="7936" width="9.625" style="56" customWidth="1"/>
    <col min="7937" max="7937" width="34.25" style="56" customWidth="1"/>
    <col min="7938" max="7938" width="3.625" style="56" customWidth="1"/>
    <col min="7939" max="7939" width="5.625" style="56" bestFit="1" customWidth="1"/>
    <col min="7940" max="7940" width="5" style="56" bestFit="1" customWidth="1"/>
    <col min="7941" max="7941" width="5.625" style="56" bestFit="1" customWidth="1"/>
    <col min="7942" max="8182" width="9" style="56"/>
    <col min="8183" max="8183" width="5" style="56" bestFit="1" customWidth="1"/>
    <col min="8184" max="8184" width="4" style="56" bestFit="1" customWidth="1"/>
    <col min="8185" max="8185" width="5" style="56" bestFit="1" customWidth="1"/>
    <col min="8186" max="8186" width="4" style="56" bestFit="1" customWidth="1"/>
    <col min="8187" max="8187" width="3.625" style="56" bestFit="1" customWidth="1"/>
    <col min="8188" max="8188" width="4" style="56" bestFit="1" customWidth="1"/>
    <col min="8189" max="8189" width="5" style="56" bestFit="1" customWidth="1"/>
    <col min="8190" max="8190" width="4" style="56" bestFit="1" customWidth="1"/>
    <col min="8191" max="8191" width="5" style="56" bestFit="1" customWidth="1"/>
    <col min="8192" max="8192" width="9.625" style="56" customWidth="1"/>
    <col min="8193" max="8193" width="34.25" style="56" customWidth="1"/>
    <col min="8194" max="8194" width="3.625" style="56" customWidth="1"/>
    <col min="8195" max="8195" width="5.625" style="56" bestFit="1" customWidth="1"/>
    <col min="8196" max="8196" width="5" style="56" bestFit="1" customWidth="1"/>
    <col min="8197" max="8197" width="5.625" style="56" bestFit="1" customWidth="1"/>
    <col min="8198" max="8438" width="9" style="56"/>
    <col min="8439" max="8439" width="5" style="56" bestFit="1" customWidth="1"/>
    <col min="8440" max="8440" width="4" style="56" bestFit="1" customWidth="1"/>
    <col min="8441" max="8441" width="5" style="56" bestFit="1" customWidth="1"/>
    <col min="8442" max="8442" width="4" style="56" bestFit="1" customWidth="1"/>
    <col min="8443" max="8443" width="3.625" style="56" bestFit="1" customWidth="1"/>
    <col min="8444" max="8444" width="4" style="56" bestFit="1" customWidth="1"/>
    <col min="8445" max="8445" width="5" style="56" bestFit="1" customWidth="1"/>
    <col min="8446" max="8446" width="4" style="56" bestFit="1" customWidth="1"/>
    <col min="8447" max="8447" width="5" style="56" bestFit="1" customWidth="1"/>
    <col min="8448" max="8448" width="9.625" style="56" customWidth="1"/>
    <col min="8449" max="8449" width="34.25" style="56" customWidth="1"/>
    <col min="8450" max="8450" width="3.625" style="56" customWidth="1"/>
    <col min="8451" max="8451" width="5.625" style="56" bestFit="1" customWidth="1"/>
    <col min="8452" max="8452" width="5" style="56" bestFit="1" customWidth="1"/>
    <col min="8453" max="8453" width="5.625" style="56" bestFit="1" customWidth="1"/>
    <col min="8454" max="8694" width="9" style="56"/>
    <col min="8695" max="8695" width="5" style="56" bestFit="1" customWidth="1"/>
    <col min="8696" max="8696" width="4" style="56" bestFit="1" customWidth="1"/>
    <col min="8697" max="8697" width="5" style="56" bestFit="1" customWidth="1"/>
    <col min="8698" max="8698" width="4" style="56" bestFit="1" customWidth="1"/>
    <col min="8699" max="8699" width="3.625" style="56" bestFit="1" customWidth="1"/>
    <col min="8700" max="8700" width="4" style="56" bestFit="1" customWidth="1"/>
    <col min="8701" max="8701" width="5" style="56" bestFit="1" customWidth="1"/>
    <col min="8702" max="8702" width="4" style="56" bestFit="1" customWidth="1"/>
    <col min="8703" max="8703" width="5" style="56" bestFit="1" customWidth="1"/>
    <col min="8704" max="8704" width="9.625" style="56" customWidth="1"/>
    <col min="8705" max="8705" width="34.25" style="56" customWidth="1"/>
    <col min="8706" max="8706" width="3.625" style="56" customWidth="1"/>
    <col min="8707" max="8707" width="5.625" style="56" bestFit="1" customWidth="1"/>
    <col min="8708" max="8708" width="5" style="56" bestFit="1" customWidth="1"/>
    <col min="8709" max="8709" width="5.625" style="56" bestFit="1" customWidth="1"/>
    <col min="8710" max="8950" width="9" style="56"/>
    <col min="8951" max="8951" width="5" style="56" bestFit="1" customWidth="1"/>
    <col min="8952" max="8952" width="4" style="56" bestFit="1" customWidth="1"/>
    <col min="8953" max="8953" width="5" style="56" bestFit="1" customWidth="1"/>
    <col min="8954" max="8954" width="4" style="56" bestFit="1" customWidth="1"/>
    <col min="8955" max="8955" width="3.625" style="56" bestFit="1" customWidth="1"/>
    <col min="8956" max="8956" width="4" style="56" bestFit="1" customWidth="1"/>
    <col min="8957" max="8957" width="5" style="56" bestFit="1" customWidth="1"/>
    <col min="8958" max="8958" width="4" style="56" bestFit="1" customWidth="1"/>
    <col min="8959" max="8959" width="5" style="56" bestFit="1" customWidth="1"/>
    <col min="8960" max="8960" width="9.625" style="56" customWidth="1"/>
    <col min="8961" max="8961" width="34.25" style="56" customWidth="1"/>
    <col min="8962" max="8962" width="3.625" style="56" customWidth="1"/>
    <col min="8963" max="8963" width="5.625" style="56" bestFit="1" customWidth="1"/>
    <col min="8964" max="8964" width="5" style="56" bestFit="1" customWidth="1"/>
    <col min="8965" max="8965" width="5.625" style="56" bestFit="1" customWidth="1"/>
    <col min="8966" max="9206" width="9" style="56"/>
    <col min="9207" max="9207" width="5" style="56" bestFit="1" customWidth="1"/>
    <col min="9208" max="9208" width="4" style="56" bestFit="1" customWidth="1"/>
    <col min="9209" max="9209" width="5" style="56" bestFit="1" customWidth="1"/>
    <col min="9210" max="9210" width="4" style="56" bestFit="1" customWidth="1"/>
    <col min="9211" max="9211" width="3.625" style="56" bestFit="1" customWidth="1"/>
    <col min="9212" max="9212" width="4" style="56" bestFit="1" customWidth="1"/>
    <col min="9213" max="9213" width="5" style="56" bestFit="1" customWidth="1"/>
    <col min="9214" max="9214" width="4" style="56" bestFit="1" customWidth="1"/>
    <col min="9215" max="9215" width="5" style="56" bestFit="1" customWidth="1"/>
    <col min="9216" max="9216" width="9.625" style="56" customWidth="1"/>
    <col min="9217" max="9217" width="34.25" style="56" customWidth="1"/>
    <col min="9218" max="9218" width="3.625" style="56" customWidth="1"/>
    <col min="9219" max="9219" width="5.625" style="56" bestFit="1" customWidth="1"/>
    <col min="9220" max="9220" width="5" style="56" bestFit="1" customWidth="1"/>
    <col min="9221" max="9221" width="5.625" style="56" bestFit="1" customWidth="1"/>
    <col min="9222" max="9462" width="9" style="56"/>
    <col min="9463" max="9463" width="5" style="56" bestFit="1" customWidth="1"/>
    <col min="9464" max="9464" width="4" style="56" bestFit="1" customWidth="1"/>
    <col min="9465" max="9465" width="5" style="56" bestFit="1" customWidth="1"/>
    <col min="9466" max="9466" width="4" style="56" bestFit="1" customWidth="1"/>
    <col min="9467" max="9467" width="3.625" style="56" bestFit="1" customWidth="1"/>
    <col min="9468" max="9468" width="4" style="56" bestFit="1" customWidth="1"/>
    <col min="9469" max="9469" width="5" style="56" bestFit="1" customWidth="1"/>
    <col min="9470" max="9470" width="4" style="56" bestFit="1" customWidth="1"/>
    <col min="9471" max="9471" width="5" style="56" bestFit="1" customWidth="1"/>
    <col min="9472" max="9472" width="9.625" style="56" customWidth="1"/>
    <col min="9473" max="9473" width="34.25" style="56" customWidth="1"/>
    <col min="9474" max="9474" width="3.625" style="56" customWidth="1"/>
    <col min="9475" max="9475" width="5.625" style="56" bestFit="1" customWidth="1"/>
    <col min="9476" max="9476" width="5" style="56" bestFit="1" customWidth="1"/>
    <col min="9477" max="9477" width="5.625" style="56" bestFit="1" customWidth="1"/>
    <col min="9478" max="9718" width="9" style="56"/>
    <col min="9719" max="9719" width="5" style="56" bestFit="1" customWidth="1"/>
    <col min="9720" max="9720" width="4" style="56" bestFit="1" customWidth="1"/>
    <col min="9721" max="9721" width="5" style="56" bestFit="1" customWidth="1"/>
    <col min="9722" max="9722" width="4" style="56" bestFit="1" customWidth="1"/>
    <col min="9723" max="9723" width="3.625" style="56" bestFit="1" customWidth="1"/>
    <col min="9724" max="9724" width="4" style="56" bestFit="1" customWidth="1"/>
    <col min="9725" max="9725" width="5" style="56" bestFit="1" customWidth="1"/>
    <col min="9726" max="9726" width="4" style="56" bestFit="1" customWidth="1"/>
    <col min="9727" max="9727" width="5" style="56" bestFit="1" customWidth="1"/>
    <col min="9728" max="9728" width="9.625" style="56" customWidth="1"/>
    <col min="9729" max="9729" width="34.25" style="56" customWidth="1"/>
    <col min="9730" max="9730" width="3.625" style="56" customWidth="1"/>
    <col min="9731" max="9731" width="5.625" style="56" bestFit="1" customWidth="1"/>
    <col min="9732" max="9732" width="5" style="56" bestFit="1" customWidth="1"/>
    <col min="9733" max="9733" width="5.625" style="56" bestFit="1" customWidth="1"/>
    <col min="9734" max="9974" width="9" style="56"/>
    <col min="9975" max="9975" width="5" style="56" bestFit="1" customWidth="1"/>
    <col min="9976" max="9976" width="4" style="56" bestFit="1" customWidth="1"/>
    <col min="9977" max="9977" width="5" style="56" bestFit="1" customWidth="1"/>
    <col min="9978" max="9978" width="4" style="56" bestFit="1" customWidth="1"/>
    <col min="9979" max="9979" width="3.625" style="56" bestFit="1" customWidth="1"/>
    <col min="9980" max="9980" width="4" style="56" bestFit="1" customWidth="1"/>
    <col min="9981" max="9981" width="5" style="56" bestFit="1" customWidth="1"/>
    <col min="9982" max="9982" width="4" style="56" bestFit="1" customWidth="1"/>
    <col min="9983" max="9983" width="5" style="56" bestFit="1" customWidth="1"/>
    <col min="9984" max="9984" width="9.625" style="56" customWidth="1"/>
    <col min="9985" max="9985" width="34.25" style="56" customWidth="1"/>
    <col min="9986" max="9986" width="3.625" style="56" customWidth="1"/>
    <col min="9987" max="9987" width="5.625" style="56" bestFit="1" customWidth="1"/>
    <col min="9988" max="9988" width="5" style="56" bestFit="1" customWidth="1"/>
    <col min="9989" max="9989" width="5.625" style="56" bestFit="1" customWidth="1"/>
    <col min="9990" max="10230" width="9" style="56"/>
    <col min="10231" max="10231" width="5" style="56" bestFit="1" customWidth="1"/>
    <col min="10232" max="10232" width="4" style="56" bestFit="1" customWidth="1"/>
    <col min="10233" max="10233" width="5" style="56" bestFit="1" customWidth="1"/>
    <col min="10234" max="10234" width="4" style="56" bestFit="1" customWidth="1"/>
    <col min="10235" max="10235" width="3.625" style="56" bestFit="1" customWidth="1"/>
    <col min="10236" max="10236" width="4" style="56" bestFit="1" customWidth="1"/>
    <col min="10237" max="10237" width="5" style="56" bestFit="1" customWidth="1"/>
    <col min="10238" max="10238" width="4" style="56" bestFit="1" customWidth="1"/>
    <col min="10239" max="10239" width="5" style="56" bestFit="1" customWidth="1"/>
    <col min="10240" max="10240" width="9.625" style="56" customWidth="1"/>
    <col min="10241" max="10241" width="34.25" style="56" customWidth="1"/>
    <col min="10242" max="10242" width="3.625" style="56" customWidth="1"/>
    <col min="10243" max="10243" width="5.625" style="56" bestFit="1" customWidth="1"/>
    <col min="10244" max="10244" width="5" style="56" bestFit="1" customWidth="1"/>
    <col min="10245" max="10245" width="5.625" style="56" bestFit="1" customWidth="1"/>
    <col min="10246" max="10486" width="9" style="56"/>
    <col min="10487" max="10487" width="5" style="56" bestFit="1" customWidth="1"/>
    <col min="10488" max="10488" width="4" style="56" bestFit="1" customWidth="1"/>
    <col min="10489" max="10489" width="5" style="56" bestFit="1" customWidth="1"/>
    <col min="10490" max="10490" width="4" style="56" bestFit="1" customWidth="1"/>
    <col min="10491" max="10491" width="3.625" style="56" bestFit="1" customWidth="1"/>
    <col min="10492" max="10492" width="4" style="56" bestFit="1" customWidth="1"/>
    <col min="10493" max="10493" width="5" style="56" bestFit="1" customWidth="1"/>
    <col min="10494" max="10494" width="4" style="56" bestFit="1" customWidth="1"/>
    <col min="10495" max="10495" width="5" style="56" bestFit="1" customWidth="1"/>
    <col min="10496" max="10496" width="9.625" style="56" customWidth="1"/>
    <col min="10497" max="10497" width="34.25" style="56" customWidth="1"/>
    <col min="10498" max="10498" width="3.625" style="56" customWidth="1"/>
    <col min="10499" max="10499" width="5.625" style="56" bestFit="1" customWidth="1"/>
    <col min="10500" max="10500" width="5" style="56" bestFit="1" customWidth="1"/>
    <col min="10501" max="10501" width="5.625" style="56" bestFit="1" customWidth="1"/>
    <col min="10502" max="10742" width="9" style="56"/>
    <col min="10743" max="10743" width="5" style="56" bestFit="1" customWidth="1"/>
    <col min="10744" max="10744" width="4" style="56" bestFit="1" customWidth="1"/>
    <col min="10745" max="10745" width="5" style="56" bestFit="1" customWidth="1"/>
    <col min="10746" max="10746" width="4" style="56" bestFit="1" customWidth="1"/>
    <col min="10747" max="10747" width="3.625" style="56" bestFit="1" customWidth="1"/>
    <col min="10748" max="10748" width="4" style="56" bestFit="1" customWidth="1"/>
    <col min="10749" max="10749" width="5" style="56" bestFit="1" customWidth="1"/>
    <col min="10750" max="10750" width="4" style="56" bestFit="1" customWidth="1"/>
    <col min="10751" max="10751" width="5" style="56" bestFit="1" customWidth="1"/>
    <col min="10752" max="10752" width="9.625" style="56" customWidth="1"/>
    <col min="10753" max="10753" width="34.25" style="56" customWidth="1"/>
    <col min="10754" max="10754" width="3.625" style="56" customWidth="1"/>
    <col min="10755" max="10755" width="5.625" style="56" bestFit="1" customWidth="1"/>
    <col min="10756" max="10756" width="5" style="56" bestFit="1" customWidth="1"/>
    <col min="10757" max="10757" width="5.625" style="56" bestFit="1" customWidth="1"/>
    <col min="10758" max="10998" width="9" style="56"/>
    <col min="10999" max="10999" width="5" style="56" bestFit="1" customWidth="1"/>
    <col min="11000" max="11000" width="4" style="56" bestFit="1" customWidth="1"/>
    <col min="11001" max="11001" width="5" style="56" bestFit="1" customWidth="1"/>
    <col min="11002" max="11002" width="4" style="56" bestFit="1" customWidth="1"/>
    <col min="11003" max="11003" width="3.625" style="56" bestFit="1" customWidth="1"/>
    <col min="11004" max="11004" width="4" style="56" bestFit="1" customWidth="1"/>
    <col min="11005" max="11005" width="5" style="56" bestFit="1" customWidth="1"/>
    <col min="11006" max="11006" width="4" style="56" bestFit="1" customWidth="1"/>
    <col min="11007" max="11007" width="5" style="56" bestFit="1" customWidth="1"/>
    <col min="11008" max="11008" width="9.625" style="56" customWidth="1"/>
    <col min="11009" max="11009" width="34.25" style="56" customWidth="1"/>
    <col min="11010" max="11010" width="3.625" style="56" customWidth="1"/>
    <col min="11011" max="11011" width="5.625" style="56" bestFit="1" customWidth="1"/>
    <col min="11012" max="11012" width="5" style="56" bestFit="1" customWidth="1"/>
    <col min="11013" max="11013" width="5.625" style="56" bestFit="1" customWidth="1"/>
    <col min="11014" max="11254" width="9" style="56"/>
    <col min="11255" max="11255" width="5" style="56" bestFit="1" customWidth="1"/>
    <col min="11256" max="11256" width="4" style="56" bestFit="1" customWidth="1"/>
    <col min="11257" max="11257" width="5" style="56" bestFit="1" customWidth="1"/>
    <col min="11258" max="11258" width="4" style="56" bestFit="1" customWidth="1"/>
    <col min="11259" max="11259" width="3.625" style="56" bestFit="1" customWidth="1"/>
    <col min="11260" max="11260" width="4" style="56" bestFit="1" customWidth="1"/>
    <col min="11261" max="11261" width="5" style="56" bestFit="1" customWidth="1"/>
    <col min="11262" max="11262" width="4" style="56" bestFit="1" customWidth="1"/>
    <col min="11263" max="11263" width="5" style="56" bestFit="1" customWidth="1"/>
    <col min="11264" max="11264" width="9.625" style="56" customWidth="1"/>
    <col min="11265" max="11265" width="34.25" style="56" customWidth="1"/>
    <col min="11266" max="11266" width="3.625" style="56" customWidth="1"/>
    <col min="11267" max="11267" width="5.625" style="56" bestFit="1" customWidth="1"/>
    <col min="11268" max="11268" width="5" style="56" bestFit="1" customWidth="1"/>
    <col min="11269" max="11269" width="5.625" style="56" bestFit="1" customWidth="1"/>
    <col min="11270" max="11510" width="9" style="56"/>
    <col min="11511" max="11511" width="5" style="56" bestFit="1" customWidth="1"/>
    <col min="11512" max="11512" width="4" style="56" bestFit="1" customWidth="1"/>
    <col min="11513" max="11513" width="5" style="56" bestFit="1" customWidth="1"/>
    <col min="11514" max="11514" width="4" style="56" bestFit="1" customWidth="1"/>
    <col min="11515" max="11515" width="3.625" style="56" bestFit="1" customWidth="1"/>
    <col min="11516" max="11516" width="4" style="56" bestFit="1" customWidth="1"/>
    <col min="11517" max="11517" width="5" style="56" bestFit="1" customWidth="1"/>
    <col min="11518" max="11518" width="4" style="56" bestFit="1" customWidth="1"/>
    <col min="11519" max="11519" width="5" style="56" bestFit="1" customWidth="1"/>
    <col min="11520" max="11520" width="9.625" style="56" customWidth="1"/>
    <col min="11521" max="11521" width="34.25" style="56" customWidth="1"/>
    <col min="11522" max="11522" width="3.625" style="56" customWidth="1"/>
    <col min="11523" max="11523" width="5.625" style="56" bestFit="1" customWidth="1"/>
    <col min="11524" max="11524" width="5" style="56" bestFit="1" customWidth="1"/>
    <col min="11525" max="11525" width="5.625" style="56" bestFit="1" customWidth="1"/>
    <col min="11526" max="11766" width="9" style="56"/>
    <col min="11767" max="11767" width="5" style="56" bestFit="1" customWidth="1"/>
    <col min="11768" max="11768" width="4" style="56" bestFit="1" customWidth="1"/>
    <col min="11769" max="11769" width="5" style="56" bestFit="1" customWidth="1"/>
    <col min="11770" max="11770" width="4" style="56" bestFit="1" customWidth="1"/>
    <col min="11771" max="11771" width="3.625" style="56" bestFit="1" customWidth="1"/>
    <col min="11772" max="11772" width="4" style="56" bestFit="1" customWidth="1"/>
    <col min="11773" max="11773" width="5" style="56" bestFit="1" customWidth="1"/>
    <col min="11774" max="11774" width="4" style="56" bestFit="1" customWidth="1"/>
    <col min="11775" max="11775" width="5" style="56" bestFit="1" customWidth="1"/>
    <col min="11776" max="11776" width="9.625" style="56" customWidth="1"/>
    <col min="11777" max="11777" width="34.25" style="56" customWidth="1"/>
    <col min="11778" max="11778" width="3.625" style="56" customWidth="1"/>
    <col min="11779" max="11779" width="5.625" style="56" bestFit="1" customWidth="1"/>
    <col min="11780" max="11780" width="5" style="56" bestFit="1" customWidth="1"/>
    <col min="11781" max="11781" width="5.625" style="56" bestFit="1" customWidth="1"/>
    <col min="11782" max="12022" width="9" style="56"/>
    <col min="12023" max="12023" width="5" style="56" bestFit="1" customWidth="1"/>
    <col min="12024" max="12024" width="4" style="56" bestFit="1" customWidth="1"/>
    <col min="12025" max="12025" width="5" style="56" bestFit="1" customWidth="1"/>
    <col min="12026" max="12026" width="4" style="56" bestFit="1" customWidth="1"/>
    <col min="12027" max="12027" width="3.625" style="56" bestFit="1" customWidth="1"/>
    <col min="12028" max="12028" width="4" style="56" bestFit="1" customWidth="1"/>
    <col min="12029" max="12029" width="5" style="56" bestFit="1" customWidth="1"/>
    <col min="12030" max="12030" width="4" style="56" bestFit="1" customWidth="1"/>
    <col min="12031" max="12031" width="5" style="56" bestFit="1" customWidth="1"/>
    <col min="12032" max="12032" width="9.625" style="56" customWidth="1"/>
    <col min="12033" max="12033" width="34.25" style="56" customWidth="1"/>
    <col min="12034" max="12034" width="3.625" style="56" customWidth="1"/>
    <col min="12035" max="12035" width="5.625" style="56" bestFit="1" customWidth="1"/>
    <col min="12036" max="12036" width="5" style="56" bestFit="1" customWidth="1"/>
    <col min="12037" max="12037" width="5.625" style="56" bestFit="1" customWidth="1"/>
    <col min="12038" max="12278" width="9" style="56"/>
    <col min="12279" max="12279" width="5" style="56" bestFit="1" customWidth="1"/>
    <col min="12280" max="12280" width="4" style="56" bestFit="1" customWidth="1"/>
    <col min="12281" max="12281" width="5" style="56" bestFit="1" customWidth="1"/>
    <col min="12282" max="12282" width="4" style="56" bestFit="1" customWidth="1"/>
    <col min="12283" max="12283" width="3.625" style="56" bestFit="1" customWidth="1"/>
    <col min="12284" max="12284" width="4" style="56" bestFit="1" customWidth="1"/>
    <col min="12285" max="12285" width="5" style="56" bestFit="1" customWidth="1"/>
    <col min="12286" max="12286" width="4" style="56" bestFit="1" customWidth="1"/>
    <col min="12287" max="12287" width="5" style="56" bestFit="1" customWidth="1"/>
    <col min="12288" max="12288" width="9.625" style="56" customWidth="1"/>
    <col min="12289" max="12289" width="34.25" style="56" customWidth="1"/>
    <col min="12290" max="12290" width="3.625" style="56" customWidth="1"/>
    <col min="12291" max="12291" width="5.625" style="56" bestFit="1" customWidth="1"/>
    <col min="12292" max="12292" width="5" style="56" bestFit="1" customWidth="1"/>
    <col min="12293" max="12293" width="5.625" style="56" bestFit="1" customWidth="1"/>
    <col min="12294" max="12534" width="9" style="56"/>
    <col min="12535" max="12535" width="5" style="56" bestFit="1" customWidth="1"/>
    <col min="12536" max="12536" width="4" style="56" bestFit="1" customWidth="1"/>
    <col min="12537" max="12537" width="5" style="56" bestFit="1" customWidth="1"/>
    <col min="12538" max="12538" width="4" style="56" bestFit="1" customWidth="1"/>
    <col min="12539" max="12539" width="3.625" style="56" bestFit="1" customWidth="1"/>
    <col min="12540" max="12540" width="4" style="56" bestFit="1" customWidth="1"/>
    <col min="12541" max="12541" width="5" style="56" bestFit="1" customWidth="1"/>
    <col min="12542" max="12542" width="4" style="56" bestFit="1" customWidth="1"/>
    <col min="12543" max="12543" width="5" style="56" bestFit="1" customWidth="1"/>
    <col min="12544" max="12544" width="9.625" style="56" customWidth="1"/>
    <col min="12545" max="12545" width="34.25" style="56" customWidth="1"/>
    <col min="12546" max="12546" width="3.625" style="56" customWidth="1"/>
    <col min="12547" max="12547" width="5.625" style="56" bestFit="1" customWidth="1"/>
    <col min="12548" max="12548" width="5" style="56" bestFit="1" customWidth="1"/>
    <col min="12549" max="12549" width="5.625" style="56" bestFit="1" customWidth="1"/>
    <col min="12550" max="12790" width="9" style="56"/>
    <col min="12791" max="12791" width="5" style="56" bestFit="1" customWidth="1"/>
    <col min="12792" max="12792" width="4" style="56" bestFit="1" customWidth="1"/>
    <col min="12793" max="12793" width="5" style="56" bestFit="1" customWidth="1"/>
    <col min="12794" max="12794" width="4" style="56" bestFit="1" customWidth="1"/>
    <col min="12795" max="12795" width="3.625" style="56" bestFit="1" customWidth="1"/>
    <col min="12796" max="12796" width="4" style="56" bestFit="1" customWidth="1"/>
    <col min="12797" max="12797" width="5" style="56" bestFit="1" customWidth="1"/>
    <col min="12798" max="12798" width="4" style="56" bestFit="1" customWidth="1"/>
    <col min="12799" max="12799" width="5" style="56" bestFit="1" customWidth="1"/>
    <col min="12800" max="12800" width="9.625" style="56" customWidth="1"/>
    <col min="12801" max="12801" width="34.25" style="56" customWidth="1"/>
    <col min="12802" max="12802" width="3.625" style="56" customWidth="1"/>
    <col min="12803" max="12803" width="5.625" style="56" bestFit="1" customWidth="1"/>
    <col min="12804" max="12804" width="5" style="56" bestFit="1" customWidth="1"/>
    <col min="12805" max="12805" width="5.625" style="56" bestFit="1" customWidth="1"/>
    <col min="12806" max="13046" width="9" style="56"/>
    <col min="13047" max="13047" width="5" style="56" bestFit="1" customWidth="1"/>
    <col min="13048" max="13048" width="4" style="56" bestFit="1" customWidth="1"/>
    <col min="13049" max="13049" width="5" style="56" bestFit="1" customWidth="1"/>
    <col min="13050" max="13050" width="4" style="56" bestFit="1" customWidth="1"/>
    <col min="13051" max="13051" width="3.625" style="56" bestFit="1" customWidth="1"/>
    <col min="13052" max="13052" width="4" style="56" bestFit="1" customWidth="1"/>
    <col min="13053" max="13053" width="5" style="56" bestFit="1" customWidth="1"/>
    <col min="13054" max="13054" width="4" style="56" bestFit="1" customWidth="1"/>
    <col min="13055" max="13055" width="5" style="56" bestFit="1" customWidth="1"/>
    <col min="13056" max="13056" width="9.625" style="56" customWidth="1"/>
    <col min="13057" max="13057" width="34.25" style="56" customWidth="1"/>
    <col min="13058" max="13058" width="3.625" style="56" customWidth="1"/>
    <col min="13059" max="13059" width="5.625" style="56" bestFit="1" customWidth="1"/>
    <col min="13060" max="13060" width="5" style="56" bestFit="1" customWidth="1"/>
    <col min="13061" max="13061" width="5.625" style="56" bestFit="1" customWidth="1"/>
    <col min="13062" max="13302" width="9" style="56"/>
    <col min="13303" max="13303" width="5" style="56" bestFit="1" customWidth="1"/>
    <col min="13304" max="13304" width="4" style="56" bestFit="1" customWidth="1"/>
    <col min="13305" max="13305" width="5" style="56" bestFit="1" customWidth="1"/>
    <col min="13306" max="13306" width="4" style="56" bestFit="1" customWidth="1"/>
    <col min="13307" max="13307" width="3.625" style="56" bestFit="1" customWidth="1"/>
    <col min="13308" max="13308" width="4" style="56" bestFit="1" customWidth="1"/>
    <col min="13309" max="13309" width="5" style="56" bestFit="1" customWidth="1"/>
    <col min="13310" max="13310" width="4" style="56" bestFit="1" customWidth="1"/>
    <col min="13311" max="13311" width="5" style="56" bestFit="1" customWidth="1"/>
    <col min="13312" max="13312" width="9.625" style="56" customWidth="1"/>
    <col min="13313" max="13313" width="34.25" style="56" customWidth="1"/>
    <col min="13314" max="13314" width="3.625" style="56" customWidth="1"/>
    <col min="13315" max="13315" width="5.625" style="56" bestFit="1" customWidth="1"/>
    <col min="13316" max="13316" width="5" style="56" bestFit="1" customWidth="1"/>
    <col min="13317" max="13317" width="5.625" style="56" bestFit="1" customWidth="1"/>
    <col min="13318" max="13558" width="9" style="56"/>
    <col min="13559" max="13559" width="5" style="56" bestFit="1" customWidth="1"/>
    <col min="13560" max="13560" width="4" style="56" bestFit="1" customWidth="1"/>
    <col min="13561" max="13561" width="5" style="56" bestFit="1" customWidth="1"/>
    <col min="13562" max="13562" width="4" style="56" bestFit="1" customWidth="1"/>
    <col min="13563" max="13563" width="3.625" style="56" bestFit="1" customWidth="1"/>
    <col min="13564" max="13564" width="4" style="56" bestFit="1" customWidth="1"/>
    <col min="13565" max="13565" width="5" style="56" bestFit="1" customWidth="1"/>
    <col min="13566" max="13566" width="4" style="56" bestFit="1" customWidth="1"/>
    <col min="13567" max="13567" width="5" style="56" bestFit="1" customWidth="1"/>
    <col min="13568" max="13568" width="9.625" style="56" customWidth="1"/>
    <col min="13569" max="13569" width="34.25" style="56" customWidth="1"/>
    <col min="13570" max="13570" width="3.625" style="56" customWidth="1"/>
    <col min="13571" max="13571" width="5.625" style="56" bestFit="1" customWidth="1"/>
    <col min="13572" max="13572" width="5" style="56" bestFit="1" customWidth="1"/>
    <col min="13573" max="13573" width="5.625" style="56" bestFit="1" customWidth="1"/>
    <col min="13574" max="13814" width="9" style="56"/>
    <col min="13815" max="13815" width="5" style="56" bestFit="1" customWidth="1"/>
    <col min="13816" max="13816" width="4" style="56" bestFit="1" customWidth="1"/>
    <col min="13817" max="13817" width="5" style="56" bestFit="1" customWidth="1"/>
    <col min="13818" max="13818" width="4" style="56" bestFit="1" customWidth="1"/>
    <col min="13819" max="13819" width="3.625" style="56" bestFit="1" customWidth="1"/>
    <col min="13820" max="13820" width="4" style="56" bestFit="1" customWidth="1"/>
    <col min="13821" max="13821" width="5" style="56" bestFit="1" customWidth="1"/>
    <col min="13822" max="13822" width="4" style="56" bestFit="1" customWidth="1"/>
    <col min="13823" max="13823" width="5" style="56" bestFit="1" customWidth="1"/>
    <col min="13824" max="13824" width="9.625" style="56" customWidth="1"/>
    <col min="13825" max="13825" width="34.25" style="56" customWidth="1"/>
    <col min="13826" max="13826" width="3.625" style="56" customWidth="1"/>
    <col min="13827" max="13827" width="5.625" style="56" bestFit="1" customWidth="1"/>
    <col min="13828" max="13828" width="5" style="56" bestFit="1" customWidth="1"/>
    <col min="13829" max="13829" width="5.625" style="56" bestFit="1" customWidth="1"/>
    <col min="13830" max="14070" width="9" style="56"/>
    <col min="14071" max="14071" width="5" style="56" bestFit="1" customWidth="1"/>
    <col min="14072" max="14072" width="4" style="56" bestFit="1" customWidth="1"/>
    <col min="14073" max="14073" width="5" style="56" bestFit="1" customWidth="1"/>
    <col min="14074" max="14074" width="4" style="56" bestFit="1" customWidth="1"/>
    <col min="14075" max="14075" width="3.625" style="56" bestFit="1" customWidth="1"/>
    <col min="14076" max="14076" width="4" style="56" bestFit="1" customWidth="1"/>
    <col min="14077" max="14077" width="5" style="56" bestFit="1" customWidth="1"/>
    <col min="14078" max="14078" width="4" style="56" bestFit="1" customWidth="1"/>
    <col min="14079" max="14079" width="5" style="56" bestFit="1" customWidth="1"/>
    <col min="14080" max="14080" width="9.625" style="56" customWidth="1"/>
    <col min="14081" max="14081" width="34.25" style="56" customWidth="1"/>
    <col min="14082" max="14082" width="3.625" style="56" customWidth="1"/>
    <col min="14083" max="14083" width="5.625" style="56" bestFit="1" customWidth="1"/>
    <col min="14084" max="14084" width="5" style="56" bestFit="1" customWidth="1"/>
    <col min="14085" max="14085" width="5.625" style="56" bestFit="1" customWidth="1"/>
    <col min="14086" max="14326" width="9" style="56"/>
    <col min="14327" max="14327" width="5" style="56" bestFit="1" customWidth="1"/>
    <col min="14328" max="14328" width="4" style="56" bestFit="1" customWidth="1"/>
    <col min="14329" max="14329" width="5" style="56" bestFit="1" customWidth="1"/>
    <col min="14330" max="14330" width="4" style="56" bestFit="1" customWidth="1"/>
    <col min="14331" max="14331" width="3.625" style="56" bestFit="1" customWidth="1"/>
    <col min="14332" max="14332" width="4" style="56" bestFit="1" customWidth="1"/>
    <col min="14333" max="14333" width="5" style="56" bestFit="1" customWidth="1"/>
    <col min="14334" max="14334" width="4" style="56" bestFit="1" customWidth="1"/>
    <col min="14335" max="14335" width="5" style="56" bestFit="1" customWidth="1"/>
    <col min="14336" max="14336" width="9.625" style="56" customWidth="1"/>
    <col min="14337" max="14337" width="34.25" style="56" customWidth="1"/>
    <col min="14338" max="14338" width="3.625" style="56" customWidth="1"/>
    <col min="14339" max="14339" width="5.625" style="56" bestFit="1" customWidth="1"/>
    <col min="14340" max="14340" width="5" style="56" bestFit="1" customWidth="1"/>
    <col min="14341" max="14341" width="5.625" style="56" bestFit="1" customWidth="1"/>
    <col min="14342" max="14582" width="9" style="56"/>
    <col min="14583" max="14583" width="5" style="56" bestFit="1" customWidth="1"/>
    <col min="14584" max="14584" width="4" style="56" bestFit="1" customWidth="1"/>
    <col min="14585" max="14585" width="5" style="56" bestFit="1" customWidth="1"/>
    <col min="14586" max="14586" width="4" style="56" bestFit="1" customWidth="1"/>
    <col min="14587" max="14587" width="3.625" style="56" bestFit="1" customWidth="1"/>
    <col min="14588" max="14588" width="4" style="56" bestFit="1" customWidth="1"/>
    <col min="14589" max="14589" width="5" style="56" bestFit="1" customWidth="1"/>
    <col min="14590" max="14590" width="4" style="56" bestFit="1" customWidth="1"/>
    <col min="14591" max="14591" width="5" style="56" bestFit="1" customWidth="1"/>
    <col min="14592" max="14592" width="9.625" style="56" customWidth="1"/>
    <col min="14593" max="14593" width="34.25" style="56" customWidth="1"/>
    <col min="14594" max="14594" width="3.625" style="56" customWidth="1"/>
    <col min="14595" max="14595" width="5.625" style="56" bestFit="1" customWidth="1"/>
    <col min="14596" max="14596" width="5" style="56" bestFit="1" customWidth="1"/>
    <col min="14597" max="14597" width="5.625" style="56" bestFit="1" customWidth="1"/>
    <col min="14598" max="14838" width="9" style="56"/>
    <col min="14839" max="14839" width="5" style="56" bestFit="1" customWidth="1"/>
    <col min="14840" max="14840" width="4" style="56" bestFit="1" customWidth="1"/>
    <col min="14841" max="14841" width="5" style="56" bestFit="1" customWidth="1"/>
    <col min="14842" max="14842" width="4" style="56" bestFit="1" customWidth="1"/>
    <col min="14843" max="14843" width="3.625" style="56" bestFit="1" customWidth="1"/>
    <col min="14844" max="14844" width="4" style="56" bestFit="1" customWidth="1"/>
    <col min="14845" max="14845" width="5" style="56" bestFit="1" customWidth="1"/>
    <col min="14846" max="14846" width="4" style="56" bestFit="1" customWidth="1"/>
    <col min="14847" max="14847" width="5" style="56" bestFit="1" customWidth="1"/>
    <col min="14848" max="14848" width="9.625" style="56" customWidth="1"/>
    <col min="14849" max="14849" width="34.25" style="56" customWidth="1"/>
    <col min="14850" max="14850" width="3.625" style="56" customWidth="1"/>
    <col min="14851" max="14851" width="5.625" style="56" bestFit="1" customWidth="1"/>
    <col min="14852" max="14852" width="5" style="56" bestFit="1" customWidth="1"/>
    <col min="14853" max="14853" width="5.625" style="56" bestFit="1" customWidth="1"/>
    <col min="14854" max="15094" width="9" style="56"/>
    <col min="15095" max="15095" width="5" style="56" bestFit="1" customWidth="1"/>
    <col min="15096" max="15096" width="4" style="56" bestFit="1" customWidth="1"/>
    <col min="15097" max="15097" width="5" style="56" bestFit="1" customWidth="1"/>
    <col min="15098" max="15098" width="4" style="56" bestFit="1" customWidth="1"/>
    <col min="15099" max="15099" width="3.625" style="56" bestFit="1" customWidth="1"/>
    <col min="15100" max="15100" width="4" style="56" bestFit="1" customWidth="1"/>
    <col min="15101" max="15101" width="5" style="56" bestFit="1" customWidth="1"/>
    <col min="15102" max="15102" width="4" style="56" bestFit="1" customWidth="1"/>
    <col min="15103" max="15103" width="5" style="56" bestFit="1" customWidth="1"/>
    <col min="15104" max="15104" width="9.625" style="56" customWidth="1"/>
    <col min="15105" max="15105" width="34.25" style="56" customWidth="1"/>
    <col min="15106" max="15106" width="3.625" style="56" customWidth="1"/>
    <col min="15107" max="15107" width="5.625" style="56" bestFit="1" customWidth="1"/>
    <col min="15108" max="15108" width="5" style="56" bestFit="1" customWidth="1"/>
    <col min="15109" max="15109" width="5.625" style="56" bestFit="1" customWidth="1"/>
    <col min="15110" max="15350" width="9" style="56"/>
    <col min="15351" max="15351" width="5" style="56" bestFit="1" customWidth="1"/>
    <col min="15352" max="15352" width="4" style="56" bestFit="1" customWidth="1"/>
    <col min="15353" max="15353" width="5" style="56" bestFit="1" customWidth="1"/>
    <col min="15354" max="15354" width="4" style="56" bestFit="1" customWidth="1"/>
    <col min="15355" max="15355" width="3.625" style="56" bestFit="1" customWidth="1"/>
    <col min="15356" max="15356" width="4" style="56" bestFit="1" customWidth="1"/>
    <col min="15357" max="15357" width="5" style="56" bestFit="1" customWidth="1"/>
    <col min="15358" max="15358" width="4" style="56" bestFit="1" customWidth="1"/>
    <col min="15359" max="15359" width="5" style="56" bestFit="1" customWidth="1"/>
    <col min="15360" max="15360" width="9.625" style="56" customWidth="1"/>
    <col min="15361" max="15361" width="34.25" style="56" customWidth="1"/>
    <col min="15362" max="15362" width="3.625" style="56" customWidth="1"/>
    <col min="15363" max="15363" width="5.625" style="56" bestFit="1" customWidth="1"/>
    <col min="15364" max="15364" width="5" style="56" bestFit="1" customWidth="1"/>
    <col min="15365" max="15365" width="5.625" style="56" bestFit="1" customWidth="1"/>
    <col min="15366" max="15606" width="9" style="56"/>
    <col min="15607" max="15607" width="5" style="56" bestFit="1" customWidth="1"/>
    <col min="15608" max="15608" width="4" style="56" bestFit="1" customWidth="1"/>
    <col min="15609" max="15609" width="5" style="56" bestFit="1" customWidth="1"/>
    <col min="15610" max="15610" width="4" style="56" bestFit="1" customWidth="1"/>
    <col min="15611" max="15611" width="3.625" style="56" bestFit="1" customWidth="1"/>
    <col min="15612" max="15612" width="4" style="56" bestFit="1" customWidth="1"/>
    <col min="15613" max="15613" width="5" style="56" bestFit="1" customWidth="1"/>
    <col min="15614" max="15614" width="4" style="56" bestFit="1" customWidth="1"/>
    <col min="15615" max="15615" width="5" style="56" bestFit="1" customWidth="1"/>
    <col min="15616" max="15616" width="9.625" style="56" customWidth="1"/>
    <col min="15617" max="15617" width="34.25" style="56" customWidth="1"/>
    <col min="15618" max="15618" width="3.625" style="56" customWidth="1"/>
    <col min="15619" max="15619" width="5.625" style="56" bestFit="1" customWidth="1"/>
    <col min="15620" max="15620" width="5" style="56" bestFit="1" customWidth="1"/>
    <col min="15621" max="15621" width="5.625" style="56" bestFit="1" customWidth="1"/>
    <col min="15622" max="15862" width="9" style="56"/>
    <col min="15863" max="15863" width="5" style="56" bestFit="1" customWidth="1"/>
    <col min="15864" max="15864" width="4" style="56" bestFit="1" customWidth="1"/>
    <col min="15865" max="15865" width="5" style="56" bestFit="1" customWidth="1"/>
    <col min="15866" max="15866" width="4" style="56" bestFit="1" customWidth="1"/>
    <col min="15867" max="15867" width="3.625" style="56" bestFit="1" customWidth="1"/>
    <col min="15868" max="15868" width="4" style="56" bestFit="1" customWidth="1"/>
    <col min="15869" max="15869" width="5" style="56" bestFit="1" customWidth="1"/>
    <col min="15870" max="15870" width="4" style="56" bestFit="1" customWidth="1"/>
    <col min="15871" max="15871" width="5" style="56" bestFit="1" customWidth="1"/>
    <col min="15872" max="15872" width="9.625" style="56" customWidth="1"/>
    <col min="15873" max="15873" width="34.25" style="56" customWidth="1"/>
    <col min="15874" max="15874" width="3.625" style="56" customWidth="1"/>
    <col min="15875" max="15875" width="5.625" style="56" bestFit="1" customWidth="1"/>
    <col min="15876" max="15876" width="5" style="56" bestFit="1" customWidth="1"/>
    <col min="15877" max="15877" width="5.625" style="56" bestFit="1" customWidth="1"/>
    <col min="15878" max="16118" width="9" style="56"/>
    <col min="16119" max="16119" width="5" style="56" bestFit="1" customWidth="1"/>
    <col min="16120" max="16120" width="4" style="56" bestFit="1" customWidth="1"/>
    <col min="16121" max="16121" width="5" style="56" bestFit="1" customWidth="1"/>
    <col min="16122" max="16122" width="4" style="56" bestFit="1" customWidth="1"/>
    <col min="16123" max="16123" width="3.625" style="56" bestFit="1" customWidth="1"/>
    <col min="16124" max="16124" width="4" style="56" bestFit="1" customWidth="1"/>
    <col min="16125" max="16125" width="5" style="56" bestFit="1" customWidth="1"/>
    <col min="16126" max="16126" width="4" style="56" bestFit="1" customWidth="1"/>
    <col min="16127" max="16127" width="5" style="56" bestFit="1" customWidth="1"/>
    <col min="16128" max="16128" width="9.625" style="56" customWidth="1"/>
    <col min="16129" max="16129" width="34.25" style="56" customWidth="1"/>
    <col min="16130" max="16130" width="3.625" style="56" customWidth="1"/>
    <col min="16131" max="16131" width="5.625" style="56" bestFit="1" customWidth="1"/>
    <col min="16132" max="16132" width="5" style="56" bestFit="1" customWidth="1"/>
    <col min="16133" max="16133" width="5.625" style="56" bestFit="1" customWidth="1"/>
    <col min="16134" max="16374" width="9" style="56"/>
    <col min="16375" max="16384" width="9.125" style="56" customWidth="1"/>
  </cols>
  <sheetData>
    <row r="1" spans="1:12" ht="18" customHeight="1" x14ac:dyDescent="0.2">
      <c r="A1" s="177" t="s">
        <v>529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2" ht="18" customHeight="1" thickBot="1" x14ac:dyDescent="0.25">
      <c r="A2" s="178" t="s">
        <v>530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2" ht="18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  <c r="L3" s="55"/>
    </row>
    <row r="4" spans="1:12" ht="13.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  <c r="L4" s="55"/>
    </row>
    <row r="5" spans="1:12" ht="13.5" thickBot="1" x14ac:dyDescent="0.25">
      <c r="A5" s="60">
        <f>SUM(B5:C5)</f>
        <v>20</v>
      </c>
      <c r="B5" s="60">
        <f>H5+E5</f>
        <v>0</v>
      </c>
      <c r="C5" s="60">
        <f>I5+F5</f>
        <v>20</v>
      </c>
      <c r="D5" s="60">
        <f>SUM(E5:F5)</f>
        <v>0</v>
      </c>
      <c r="E5" s="60">
        <v>0</v>
      </c>
      <c r="F5" s="60">
        <v>0</v>
      </c>
      <c r="G5" s="60">
        <f>SUM(H5:I5)</f>
        <v>20</v>
      </c>
      <c r="H5" s="60">
        <v>0</v>
      </c>
      <c r="I5" s="60">
        <v>20</v>
      </c>
      <c r="J5" s="65" t="s">
        <v>61</v>
      </c>
      <c r="K5" s="66"/>
      <c r="L5" s="55"/>
    </row>
    <row r="6" spans="1:12" ht="13.5" thickBot="1" x14ac:dyDescent="0.25">
      <c r="A6" s="60">
        <f t="shared" ref="A6:A37" si="0">SUM(B6:C6)</f>
        <v>77</v>
      </c>
      <c r="B6" s="60">
        <f t="shared" ref="B6:C37" si="1">H6+E6</f>
        <v>19</v>
      </c>
      <c r="C6" s="60">
        <f t="shared" si="1"/>
        <v>58</v>
      </c>
      <c r="D6" s="60">
        <f t="shared" ref="D6:D37" si="2">SUM(E6:F6)</f>
        <v>8</v>
      </c>
      <c r="E6" s="60">
        <v>1</v>
      </c>
      <c r="F6" s="60">
        <v>7</v>
      </c>
      <c r="G6" s="60">
        <f t="shared" ref="G6:G37" si="3">SUM(H6:I6)</f>
        <v>69</v>
      </c>
      <c r="H6" s="60">
        <v>18</v>
      </c>
      <c r="I6" s="60">
        <v>51</v>
      </c>
      <c r="J6" s="65" t="s">
        <v>62</v>
      </c>
      <c r="K6" s="66" t="s">
        <v>330</v>
      </c>
      <c r="L6" s="55"/>
    </row>
    <row r="7" spans="1:12" ht="13.5" thickBot="1" x14ac:dyDescent="0.25">
      <c r="A7" s="60">
        <f t="shared" si="0"/>
        <v>20</v>
      </c>
      <c r="B7" s="60">
        <f t="shared" si="1"/>
        <v>0</v>
      </c>
      <c r="C7" s="60">
        <f t="shared" si="1"/>
        <v>20</v>
      </c>
      <c r="D7" s="60">
        <f t="shared" si="2"/>
        <v>2</v>
      </c>
      <c r="E7" s="60">
        <v>0</v>
      </c>
      <c r="F7" s="60">
        <v>2</v>
      </c>
      <c r="G7" s="60">
        <f t="shared" si="3"/>
        <v>18</v>
      </c>
      <c r="H7" s="60">
        <v>0</v>
      </c>
      <c r="I7" s="60">
        <v>18</v>
      </c>
      <c r="J7" s="65" t="s">
        <v>64</v>
      </c>
      <c r="K7" s="74"/>
      <c r="L7" s="55"/>
    </row>
    <row r="8" spans="1:12" ht="13.5" thickBot="1" x14ac:dyDescent="0.25">
      <c r="A8" s="60">
        <f t="shared" si="0"/>
        <v>68</v>
      </c>
      <c r="B8" s="60">
        <f t="shared" si="1"/>
        <v>20</v>
      </c>
      <c r="C8" s="60">
        <f t="shared" si="1"/>
        <v>48</v>
      </c>
      <c r="D8" s="60">
        <f t="shared" si="2"/>
        <v>2</v>
      </c>
      <c r="E8" s="60">
        <v>1</v>
      </c>
      <c r="F8" s="60">
        <v>1</v>
      </c>
      <c r="G8" s="60">
        <f t="shared" si="3"/>
        <v>66</v>
      </c>
      <c r="H8" s="60">
        <v>19</v>
      </c>
      <c r="I8" s="60">
        <v>47</v>
      </c>
      <c r="J8" s="65" t="s">
        <v>61</v>
      </c>
      <c r="K8" s="66"/>
      <c r="L8" s="55"/>
    </row>
    <row r="9" spans="1:12" ht="13.5" thickBot="1" x14ac:dyDescent="0.25">
      <c r="A9" s="60">
        <f t="shared" si="0"/>
        <v>263</v>
      </c>
      <c r="B9" s="60">
        <f t="shared" si="1"/>
        <v>54</v>
      </c>
      <c r="C9" s="60">
        <f t="shared" si="1"/>
        <v>209</v>
      </c>
      <c r="D9" s="60">
        <f t="shared" si="2"/>
        <v>2</v>
      </c>
      <c r="E9" s="60">
        <v>1</v>
      </c>
      <c r="F9" s="60">
        <v>1</v>
      </c>
      <c r="G9" s="60">
        <f t="shared" si="3"/>
        <v>261</v>
      </c>
      <c r="H9" s="60">
        <v>53</v>
      </c>
      <c r="I9" s="60">
        <v>208</v>
      </c>
      <c r="J9" s="65" t="s">
        <v>62</v>
      </c>
      <c r="K9" s="66" t="s">
        <v>331</v>
      </c>
      <c r="L9" s="55"/>
    </row>
    <row r="10" spans="1:12" ht="13.5" thickBot="1" x14ac:dyDescent="0.25">
      <c r="A10" s="60">
        <f t="shared" si="0"/>
        <v>402</v>
      </c>
      <c r="B10" s="60">
        <f t="shared" si="1"/>
        <v>50</v>
      </c>
      <c r="C10" s="60">
        <f t="shared" si="1"/>
        <v>352</v>
      </c>
      <c r="D10" s="60">
        <f t="shared" si="2"/>
        <v>0</v>
      </c>
      <c r="E10" s="60">
        <v>0</v>
      </c>
      <c r="F10" s="60">
        <v>0</v>
      </c>
      <c r="G10" s="60">
        <f t="shared" si="3"/>
        <v>402</v>
      </c>
      <c r="H10" s="60">
        <v>50</v>
      </c>
      <c r="I10" s="60">
        <v>352</v>
      </c>
      <c r="J10" s="65" t="s">
        <v>64</v>
      </c>
      <c r="K10" s="74"/>
      <c r="L10" s="55"/>
    </row>
    <row r="11" spans="1:12" ht="13.5" thickBot="1" x14ac:dyDescent="0.25">
      <c r="A11" s="60">
        <f t="shared" si="0"/>
        <v>12</v>
      </c>
      <c r="B11" s="60">
        <f t="shared" si="1"/>
        <v>4</v>
      </c>
      <c r="C11" s="60">
        <f t="shared" si="1"/>
        <v>8</v>
      </c>
      <c r="D11" s="60">
        <f t="shared" si="2"/>
        <v>0</v>
      </c>
      <c r="E11" s="60">
        <v>0</v>
      </c>
      <c r="F11" s="60">
        <v>0</v>
      </c>
      <c r="G11" s="60">
        <f t="shared" si="3"/>
        <v>12</v>
      </c>
      <c r="H11" s="60">
        <v>4</v>
      </c>
      <c r="I11" s="60">
        <v>8</v>
      </c>
      <c r="J11" s="65" t="s">
        <v>61</v>
      </c>
      <c r="K11" s="66"/>
      <c r="L11" s="55"/>
    </row>
    <row r="12" spans="1:12" ht="13.5" thickBot="1" x14ac:dyDescent="0.25">
      <c r="A12" s="60">
        <f t="shared" si="0"/>
        <v>48</v>
      </c>
      <c r="B12" s="60">
        <f t="shared" si="1"/>
        <v>10</v>
      </c>
      <c r="C12" s="60">
        <f t="shared" si="1"/>
        <v>38</v>
      </c>
      <c r="D12" s="60">
        <f t="shared" si="2"/>
        <v>3</v>
      </c>
      <c r="E12" s="60">
        <v>1</v>
      </c>
      <c r="F12" s="60">
        <v>2</v>
      </c>
      <c r="G12" s="60">
        <f t="shared" si="3"/>
        <v>45</v>
      </c>
      <c r="H12" s="60">
        <v>9</v>
      </c>
      <c r="I12" s="60">
        <v>36</v>
      </c>
      <c r="J12" s="65" t="s">
        <v>62</v>
      </c>
      <c r="K12" s="66" t="s">
        <v>332</v>
      </c>
      <c r="L12" s="55"/>
    </row>
    <row r="13" spans="1:12" ht="13.5" thickBot="1" x14ac:dyDescent="0.25">
      <c r="A13" s="60">
        <f t="shared" si="0"/>
        <v>0</v>
      </c>
      <c r="B13" s="60">
        <f t="shared" si="1"/>
        <v>0</v>
      </c>
      <c r="C13" s="60">
        <f t="shared" si="1"/>
        <v>0</v>
      </c>
      <c r="D13" s="60">
        <f t="shared" si="2"/>
        <v>0</v>
      </c>
      <c r="E13" s="60">
        <v>0</v>
      </c>
      <c r="F13" s="60">
        <v>0</v>
      </c>
      <c r="G13" s="60">
        <f t="shared" si="3"/>
        <v>0</v>
      </c>
      <c r="H13" s="60">
        <v>0</v>
      </c>
      <c r="I13" s="60">
        <v>0</v>
      </c>
      <c r="J13" s="65" t="s">
        <v>64</v>
      </c>
      <c r="K13" s="74"/>
      <c r="L13" s="55"/>
    </row>
    <row r="14" spans="1:12" ht="13.5" thickBot="1" x14ac:dyDescent="0.25">
      <c r="A14" s="60">
        <f t="shared" si="0"/>
        <v>0</v>
      </c>
      <c r="B14" s="60">
        <f t="shared" si="1"/>
        <v>0</v>
      </c>
      <c r="C14" s="60">
        <f t="shared" si="1"/>
        <v>0</v>
      </c>
      <c r="D14" s="60">
        <f t="shared" si="2"/>
        <v>0</v>
      </c>
      <c r="E14" s="60">
        <v>0</v>
      </c>
      <c r="F14" s="60">
        <v>0</v>
      </c>
      <c r="G14" s="60">
        <f t="shared" si="3"/>
        <v>0</v>
      </c>
      <c r="H14" s="60">
        <v>0</v>
      </c>
      <c r="I14" s="60">
        <v>0</v>
      </c>
      <c r="J14" s="65" t="s">
        <v>61</v>
      </c>
      <c r="K14" s="66"/>
      <c r="L14" s="55"/>
    </row>
    <row r="15" spans="1:12" ht="13.5" thickBot="1" x14ac:dyDescent="0.25">
      <c r="A15" s="60">
        <f t="shared" si="0"/>
        <v>38</v>
      </c>
      <c r="B15" s="60">
        <f t="shared" si="1"/>
        <v>34</v>
      </c>
      <c r="C15" s="60">
        <f t="shared" si="1"/>
        <v>4</v>
      </c>
      <c r="D15" s="60">
        <f t="shared" si="2"/>
        <v>0</v>
      </c>
      <c r="E15" s="60">
        <v>0</v>
      </c>
      <c r="F15" s="60">
        <v>0</v>
      </c>
      <c r="G15" s="60">
        <f t="shared" si="3"/>
        <v>38</v>
      </c>
      <c r="H15" s="60">
        <v>34</v>
      </c>
      <c r="I15" s="60">
        <v>4</v>
      </c>
      <c r="J15" s="65" t="s">
        <v>62</v>
      </c>
      <c r="K15" s="66" t="s">
        <v>333</v>
      </c>
      <c r="L15" s="55"/>
    </row>
    <row r="16" spans="1:12" ht="13.5" thickBot="1" x14ac:dyDescent="0.25">
      <c r="A16" s="60">
        <f t="shared" si="0"/>
        <v>0</v>
      </c>
      <c r="B16" s="60">
        <f t="shared" si="1"/>
        <v>0</v>
      </c>
      <c r="C16" s="60">
        <f t="shared" si="1"/>
        <v>0</v>
      </c>
      <c r="D16" s="60">
        <f t="shared" si="2"/>
        <v>0</v>
      </c>
      <c r="E16" s="60">
        <v>0</v>
      </c>
      <c r="F16" s="60">
        <v>0</v>
      </c>
      <c r="G16" s="60">
        <f t="shared" si="3"/>
        <v>0</v>
      </c>
      <c r="H16" s="60">
        <v>0</v>
      </c>
      <c r="I16" s="60">
        <v>0</v>
      </c>
      <c r="J16" s="65" t="s">
        <v>64</v>
      </c>
      <c r="K16" s="74"/>
      <c r="L16" s="55"/>
    </row>
    <row r="17" spans="1:12" ht="13.5" thickBot="1" x14ac:dyDescent="0.25">
      <c r="A17" s="60">
        <f t="shared" si="0"/>
        <v>2</v>
      </c>
      <c r="B17" s="60">
        <f t="shared" si="1"/>
        <v>2</v>
      </c>
      <c r="C17" s="60">
        <f t="shared" si="1"/>
        <v>0</v>
      </c>
      <c r="D17" s="60">
        <f t="shared" si="2"/>
        <v>0</v>
      </c>
      <c r="E17" s="60">
        <v>0</v>
      </c>
      <c r="F17" s="60">
        <v>0</v>
      </c>
      <c r="G17" s="60">
        <f t="shared" si="3"/>
        <v>2</v>
      </c>
      <c r="H17" s="60">
        <v>2</v>
      </c>
      <c r="I17" s="60">
        <v>0</v>
      </c>
      <c r="J17" s="65" t="s">
        <v>61</v>
      </c>
      <c r="K17" s="66"/>
      <c r="L17" s="55"/>
    </row>
    <row r="18" spans="1:12" ht="13.5" thickBot="1" x14ac:dyDescent="0.25">
      <c r="A18" s="60">
        <f t="shared" si="0"/>
        <v>15</v>
      </c>
      <c r="B18" s="60">
        <f t="shared" si="1"/>
        <v>11</v>
      </c>
      <c r="C18" s="60">
        <f t="shared" si="1"/>
        <v>4</v>
      </c>
      <c r="D18" s="60">
        <f t="shared" si="2"/>
        <v>0</v>
      </c>
      <c r="E18" s="60">
        <v>0</v>
      </c>
      <c r="F18" s="60">
        <v>0</v>
      </c>
      <c r="G18" s="60">
        <f t="shared" si="3"/>
        <v>15</v>
      </c>
      <c r="H18" s="60">
        <v>11</v>
      </c>
      <c r="I18" s="60">
        <v>4</v>
      </c>
      <c r="J18" s="65" t="s">
        <v>62</v>
      </c>
      <c r="K18" s="66" t="s">
        <v>335</v>
      </c>
      <c r="L18" s="55"/>
    </row>
    <row r="19" spans="1:12" ht="13.5" thickBot="1" x14ac:dyDescent="0.25">
      <c r="A19" s="60">
        <f t="shared" si="0"/>
        <v>0</v>
      </c>
      <c r="B19" s="60">
        <f t="shared" si="1"/>
        <v>0</v>
      </c>
      <c r="C19" s="60">
        <f t="shared" si="1"/>
        <v>0</v>
      </c>
      <c r="D19" s="60">
        <f t="shared" si="2"/>
        <v>0</v>
      </c>
      <c r="E19" s="60">
        <v>0</v>
      </c>
      <c r="F19" s="60">
        <v>0</v>
      </c>
      <c r="G19" s="60">
        <f t="shared" si="3"/>
        <v>0</v>
      </c>
      <c r="H19" s="60">
        <v>0</v>
      </c>
      <c r="I19" s="60">
        <v>0</v>
      </c>
      <c r="J19" s="65" t="s">
        <v>64</v>
      </c>
      <c r="K19" s="74"/>
      <c r="L19" s="55"/>
    </row>
    <row r="20" spans="1:12" ht="13.5" thickBot="1" x14ac:dyDescent="0.25">
      <c r="A20" s="60">
        <f t="shared" si="0"/>
        <v>0</v>
      </c>
      <c r="B20" s="60">
        <f t="shared" si="1"/>
        <v>0</v>
      </c>
      <c r="C20" s="60">
        <f t="shared" si="1"/>
        <v>0</v>
      </c>
      <c r="D20" s="60">
        <f t="shared" si="2"/>
        <v>0</v>
      </c>
      <c r="E20" s="60">
        <v>0</v>
      </c>
      <c r="F20" s="60">
        <v>0</v>
      </c>
      <c r="G20" s="60">
        <f t="shared" si="3"/>
        <v>0</v>
      </c>
      <c r="H20" s="60">
        <v>0</v>
      </c>
      <c r="I20" s="60">
        <v>0</v>
      </c>
      <c r="J20" s="65" t="s">
        <v>61</v>
      </c>
      <c r="K20" s="66"/>
      <c r="L20" s="55"/>
    </row>
    <row r="21" spans="1:12" ht="13.5" thickBot="1" x14ac:dyDescent="0.25">
      <c r="A21" s="60">
        <f t="shared" si="0"/>
        <v>120</v>
      </c>
      <c r="B21" s="60">
        <f t="shared" si="1"/>
        <v>20</v>
      </c>
      <c r="C21" s="60">
        <f t="shared" si="1"/>
        <v>100</v>
      </c>
      <c r="D21" s="60">
        <f t="shared" si="2"/>
        <v>14</v>
      </c>
      <c r="E21" s="60">
        <v>0</v>
      </c>
      <c r="F21" s="60">
        <v>14</v>
      </c>
      <c r="G21" s="60">
        <f t="shared" si="3"/>
        <v>106</v>
      </c>
      <c r="H21" s="60">
        <v>20</v>
      </c>
      <c r="I21" s="60">
        <v>86</v>
      </c>
      <c r="J21" s="65" t="s">
        <v>62</v>
      </c>
      <c r="K21" s="66" t="s">
        <v>336</v>
      </c>
      <c r="L21" s="55"/>
    </row>
    <row r="22" spans="1:12" ht="13.5" thickBot="1" x14ac:dyDescent="0.25">
      <c r="A22" s="60">
        <f t="shared" si="0"/>
        <v>0</v>
      </c>
      <c r="B22" s="60">
        <f t="shared" si="1"/>
        <v>0</v>
      </c>
      <c r="C22" s="60">
        <f t="shared" si="1"/>
        <v>0</v>
      </c>
      <c r="D22" s="60">
        <f t="shared" si="2"/>
        <v>0</v>
      </c>
      <c r="E22" s="60">
        <v>0</v>
      </c>
      <c r="F22" s="60">
        <v>0</v>
      </c>
      <c r="G22" s="60">
        <f t="shared" si="3"/>
        <v>0</v>
      </c>
      <c r="H22" s="60">
        <v>0</v>
      </c>
      <c r="I22" s="60">
        <v>0</v>
      </c>
      <c r="J22" s="65" t="s">
        <v>64</v>
      </c>
      <c r="K22" s="74"/>
      <c r="L22" s="55"/>
    </row>
    <row r="23" spans="1:12" ht="13.5" thickBot="1" x14ac:dyDescent="0.25">
      <c r="A23" s="60">
        <f t="shared" si="0"/>
        <v>0</v>
      </c>
      <c r="B23" s="60">
        <f t="shared" si="1"/>
        <v>0</v>
      </c>
      <c r="C23" s="60">
        <f t="shared" si="1"/>
        <v>0</v>
      </c>
      <c r="D23" s="60">
        <f t="shared" si="2"/>
        <v>0</v>
      </c>
      <c r="E23" s="60">
        <v>0</v>
      </c>
      <c r="F23" s="60">
        <v>0</v>
      </c>
      <c r="G23" s="60">
        <f t="shared" si="3"/>
        <v>0</v>
      </c>
      <c r="H23" s="60">
        <v>0</v>
      </c>
      <c r="I23" s="60">
        <v>0</v>
      </c>
      <c r="J23" s="65" t="s">
        <v>61</v>
      </c>
      <c r="K23" s="66"/>
      <c r="L23" s="55"/>
    </row>
    <row r="24" spans="1:12" ht="13.5" thickBot="1" x14ac:dyDescent="0.25">
      <c r="A24" s="60">
        <f t="shared" si="0"/>
        <v>53</v>
      </c>
      <c r="B24" s="60">
        <f t="shared" si="1"/>
        <v>0</v>
      </c>
      <c r="C24" s="60">
        <f t="shared" si="1"/>
        <v>53</v>
      </c>
      <c r="D24" s="60">
        <f t="shared" si="2"/>
        <v>0</v>
      </c>
      <c r="E24" s="60">
        <v>0</v>
      </c>
      <c r="F24" s="60">
        <v>0</v>
      </c>
      <c r="G24" s="60">
        <f t="shared" si="3"/>
        <v>53</v>
      </c>
      <c r="H24" s="60">
        <v>0</v>
      </c>
      <c r="I24" s="60">
        <v>53</v>
      </c>
      <c r="J24" s="65" t="s">
        <v>62</v>
      </c>
      <c r="K24" s="66" t="s">
        <v>531</v>
      </c>
      <c r="L24" s="55"/>
    </row>
    <row r="25" spans="1:12" ht="13.5" thickBot="1" x14ac:dyDescent="0.25">
      <c r="A25" s="60">
        <f t="shared" si="0"/>
        <v>0</v>
      </c>
      <c r="B25" s="60">
        <f t="shared" si="1"/>
        <v>0</v>
      </c>
      <c r="C25" s="60">
        <f t="shared" si="1"/>
        <v>0</v>
      </c>
      <c r="D25" s="60">
        <f t="shared" si="2"/>
        <v>0</v>
      </c>
      <c r="E25" s="60">
        <v>0</v>
      </c>
      <c r="F25" s="60">
        <v>0</v>
      </c>
      <c r="G25" s="60">
        <f t="shared" si="3"/>
        <v>0</v>
      </c>
      <c r="H25" s="60">
        <v>0</v>
      </c>
      <c r="I25" s="60">
        <v>0</v>
      </c>
      <c r="J25" s="65" t="s">
        <v>64</v>
      </c>
      <c r="K25" s="74"/>
      <c r="L25" s="55"/>
    </row>
    <row r="26" spans="1:12" ht="13.5" thickBot="1" x14ac:dyDescent="0.25">
      <c r="A26" s="60">
        <f t="shared" si="0"/>
        <v>2</v>
      </c>
      <c r="B26" s="60">
        <f t="shared" si="1"/>
        <v>2</v>
      </c>
      <c r="C26" s="60">
        <f t="shared" si="1"/>
        <v>0</v>
      </c>
      <c r="D26" s="60">
        <f t="shared" si="2"/>
        <v>0</v>
      </c>
      <c r="E26" s="60">
        <v>0</v>
      </c>
      <c r="F26" s="60">
        <v>0</v>
      </c>
      <c r="G26" s="60">
        <f t="shared" si="3"/>
        <v>2</v>
      </c>
      <c r="H26" s="60">
        <v>2</v>
      </c>
      <c r="I26" s="60">
        <v>0</v>
      </c>
      <c r="J26" s="65" t="s">
        <v>61</v>
      </c>
      <c r="K26" s="66"/>
      <c r="L26" s="55"/>
    </row>
    <row r="27" spans="1:12" ht="13.5" thickBot="1" x14ac:dyDescent="0.25">
      <c r="A27" s="60">
        <f t="shared" si="0"/>
        <v>55</v>
      </c>
      <c r="B27" s="60">
        <f t="shared" si="1"/>
        <v>55</v>
      </c>
      <c r="C27" s="60">
        <f t="shared" si="1"/>
        <v>0</v>
      </c>
      <c r="D27" s="60">
        <f t="shared" si="2"/>
        <v>0</v>
      </c>
      <c r="E27" s="60">
        <v>0</v>
      </c>
      <c r="F27" s="60">
        <v>0</v>
      </c>
      <c r="G27" s="60">
        <f t="shared" si="3"/>
        <v>55</v>
      </c>
      <c r="H27" s="60">
        <v>55</v>
      </c>
      <c r="I27" s="60">
        <v>0</v>
      </c>
      <c r="J27" s="65" t="s">
        <v>62</v>
      </c>
      <c r="K27" s="66" t="s">
        <v>339</v>
      </c>
      <c r="L27" s="55"/>
    </row>
    <row r="28" spans="1:12" ht="13.5" thickBot="1" x14ac:dyDescent="0.25">
      <c r="A28" s="60">
        <f t="shared" si="0"/>
        <v>0</v>
      </c>
      <c r="B28" s="60">
        <f t="shared" si="1"/>
        <v>0</v>
      </c>
      <c r="C28" s="60">
        <f t="shared" si="1"/>
        <v>0</v>
      </c>
      <c r="D28" s="60">
        <f t="shared" si="2"/>
        <v>0</v>
      </c>
      <c r="E28" s="60">
        <v>0</v>
      </c>
      <c r="F28" s="60">
        <v>0</v>
      </c>
      <c r="G28" s="60">
        <f t="shared" si="3"/>
        <v>0</v>
      </c>
      <c r="H28" s="60">
        <v>0</v>
      </c>
      <c r="I28" s="60">
        <v>0</v>
      </c>
      <c r="J28" s="65" t="s">
        <v>64</v>
      </c>
      <c r="K28" s="74"/>
      <c r="L28" s="55"/>
    </row>
    <row r="29" spans="1:12" ht="13.5" thickBot="1" x14ac:dyDescent="0.25">
      <c r="A29" s="60">
        <f t="shared" si="0"/>
        <v>8</v>
      </c>
      <c r="B29" s="60">
        <f t="shared" si="1"/>
        <v>8</v>
      </c>
      <c r="C29" s="60">
        <f t="shared" si="1"/>
        <v>0</v>
      </c>
      <c r="D29" s="60">
        <f t="shared" si="2"/>
        <v>0</v>
      </c>
      <c r="E29" s="60">
        <v>0</v>
      </c>
      <c r="F29" s="60">
        <v>0</v>
      </c>
      <c r="G29" s="60">
        <f t="shared" si="3"/>
        <v>8</v>
      </c>
      <c r="H29" s="60">
        <v>8</v>
      </c>
      <c r="I29" s="60">
        <v>0</v>
      </c>
      <c r="J29" s="65" t="s">
        <v>61</v>
      </c>
      <c r="K29" s="66"/>
      <c r="L29" s="55"/>
    </row>
    <row r="30" spans="1:12" ht="13.5" thickBot="1" x14ac:dyDescent="0.25">
      <c r="A30" s="60">
        <f t="shared" si="0"/>
        <v>2</v>
      </c>
      <c r="B30" s="60">
        <f t="shared" si="1"/>
        <v>2</v>
      </c>
      <c r="C30" s="60">
        <f t="shared" si="1"/>
        <v>0</v>
      </c>
      <c r="D30" s="60">
        <f t="shared" si="2"/>
        <v>0</v>
      </c>
      <c r="E30" s="60">
        <v>0</v>
      </c>
      <c r="F30" s="60">
        <v>0</v>
      </c>
      <c r="G30" s="60">
        <f t="shared" si="3"/>
        <v>2</v>
      </c>
      <c r="H30" s="60">
        <v>2</v>
      </c>
      <c r="I30" s="60">
        <v>0</v>
      </c>
      <c r="J30" s="65" t="s">
        <v>62</v>
      </c>
      <c r="K30" s="66" t="s">
        <v>532</v>
      </c>
      <c r="L30" s="55"/>
    </row>
    <row r="31" spans="1:12" ht="13.5" thickBot="1" x14ac:dyDescent="0.25">
      <c r="A31" s="60">
        <f t="shared" si="0"/>
        <v>0</v>
      </c>
      <c r="B31" s="60">
        <f t="shared" si="1"/>
        <v>0</v>
      </c>
      <c r="C31" s="60">
        <f t="shared" si="1"/>
        <v>0</v>
      </c>
      <c r="D31" s="60">
        <f t="shared" si="2"/>
        <v>0</v>
      </c>
      <c r="E31" s="60">
        <v>0</v>
      </c>
      <c r="F31" s="60">
        <v>0</v>
      </c>
      <c r="G31" s="60">
        <f t="shared" si="3"/>
        <v>0</v>
      </c>
      <c r="H31" s="60">
        <v>0</v>
      </c>
      <c r="I31" s="60">
        <v>0</v>
      </c>
      <c r="J31" s="65" t="s">
        <v>64</v>
      </c>
      <c r="K31" s="74"/>
      <c r="L31" s="55"/>
    </row>
    <row r="32" spans="1:12" ht="13.5" thickBot="1" x14ac:dyDescent="0.25">
      <c r="A32" s="60">
        <f t="shared" si="0"/>
        <v>0</v>
      </c>
      <c r="B32" s="60">
        <f t="shared" si="1"/>
        <v>0</v>
      </c>
      <c r="C32" s="60">
        <f t="shared" si="1"/>
        <v>0</v>
      </c>
      <c r="D32" s="60">
        <f t="shared" si="2"/>
        <v>0</v>
      </c>
      <c r="E32" s="60">
        <v>0</v>
      </c>
      <c r="F32" s="60">
        <v>0</v>
      </c>
      <c r="G32" s="60">
        <f t="shared" si="3"/>
        <v>0</v>
      </c>
      <c r="H32" s="60">
        <v>0</v>
      </c>
      <c r="I32" s="60">
        <v>0</v>
      </c>
      <c r="J32" s="65" t="s">
        <v>61</v>
      </c>
      <c r="K32" s="66"/>
      <c r="L32" s="55"/>
    </row>
    <row r="33" spans="1:12" ht="13.5" thickBot="1" x14ac:dyDescent="0.25">
      <c r="A33" s="60">
        <f t="shared" si="0"/>
        <v>0</v>
      </c>
      <c r="B33" s="60">
        <f t="shared" si="1"/>
        <v>0</v>
      </c>
      <c r="C33" s="60">
        <f t="shared" si="1"/>
        <v>0</v>
      </c>
      <c r="D33" s="60">
        <f t="shared" si="2"/>
        <v>0</v>
      </c>
      <c r="E33" s="60">
        <v>0</v>
      </c>
      <c r="F33" s="60">
        <v>0</v>
      </c>
      <c r="G33" s="60">
        <f t="shared" si="3"/>
        <v>0</v>
      </c>
      <c r="H33" s="60">
        <v>0</v>
      </c>
      <c r="I33" s="60">
        <v>0</v>
      </c>
      <c r="J33" s="65" t="s">
        <v>62</v>
      </c>
      <c r="K33" s="66" t="s">
        <v>239</v>
      </c>
      <c r="L33" s="55"/>
    </row>
    <row r="34" spans="1:12" ht="13.5" thickBot="1" x14ac:dyDescent="0.25">
      <c r="A34" s="60">
        <f t="shared" si="0"/>
        <v>11</v>
      </c>
      <c r="B34" s="60">
        <f t="shared" si="1"/>
        <v>0</v>
      </c>
      <c r="C34" s="60">
        <f t="shared" si="1"/>
        <v>11</v>
      </c>
      <c r="D34" s="60">
        <f t="shared" si="2"/>
        <v>0</v>
      </c>
      <c r="E34" s="60">
        <v>0</v>
      </c>
      <c r="F34" s="60">
        <v>0</v>
      </c>
      <c r="G34" s="60">
        <f t="shared" si="3"/>
        <v>11</v>
      </c>
      <c r="H34" s="60">
        <v>0</v>
      </c>
      <c r="I34" s="60">
        <v>11</v>
      </c>
      <c r="J34" s="65" t="s">
        <v>64</v>
      </c>
      <c r="K34" s="74"/>
      <c r="L34" s="55"/>
    </row>
    <row r="35" spans="1:12" ht="13.5" thickBot="1" x14ac:dyDescent="0.25">
      <c r="A35" s="60">
        <f t="shared" si="0"/>
        <v>40</v>
      </c>
      <c r="B35" s="60">
        <f t="shared" si="1"/>
        <v>40</v>
      </c>
      <c r="C35" s="60">
        <f t="shared" si="1"/>
        <v>0</v>
      </c>
      <c r="D35" s="60">
        <f t="shared" si="2"/>
        <v>0</v>
      </c>
      <c r="E35" s="60">
        <v>0</v>
      </c>
      <c r="F35" s="60">
        <v>0</v>
      </c>
      <c r="G35" s="60">
        <f t="shared" si="3"/>
        <v>40</v>
      </c>
      <c r="H35" s="60">
        <v>40</v>
      </c>
      <c r="I35" s="60">
        <v>0</v>
      </c>
      <c r="J35" s="65" t="s">
        <v>61</v>
      </c>
      <c r="K35" s="66"/>
      <c r="L35" s="55"/>
    </row>
    <row r="36" spans="1:12" ht="13.5" thickBot="1" x14ac:dyDescent="0.25">
      <c r="A36" s="60">
        <f t="shared" si="0"/>
        <v>52</v>
      </c>
      <c r="B36" s="60">
        <f t="shared" si="1"/>
        <v>52</v>
      </c>
      <c r="C36" s="60">
        <f t="shared" si="1"/>
        <v>0</v>
      </c>
      <c r="D36" s="60">
        <f t="shared" si="2"/>
        <v>0</v>
      </c>
      <c r="E36" s="60">
        <v>0</v>
      </c>
      <c r="F36" s="60">
        <v>0</v>
      </c>
      <c r="G36" s="60">
        <f t="shared" si="3"/>
        <v>52</v>
      </c>
      <c r="H36" s="60">
        <v>52</v>
      </c>
      <c r="I36" s="60">
        <v>0</v>
      </c>
      <c r="J36" s="65" t="s">
        <v>62</v>
      </c>
      <c r="K36" s="66" t="s">
        <v>533</v>
      </c>
      <c r="L36" s="55"/>
    </row>
    <row r="37" spans="1:12" ht="13.5" thickBot="1" x14ac:dyDescent="0.25">
      <c r="A37" s="60">
        <f t="shared" si="0"/>
        <v>0</v>
      </c>
      <c r="B37" s="60">
        <f t="shared" si="1"/>
        <v>0</v>
      </c>
      <c r="C37" s="60">
        <f t="shared" si="1"/>
        <v>0</v>
      </c>
      <c r="D37" s="60">
        <f t="shared" si="2"/>
        <v>0</v>
      </c>
      <c r="E37" s="60">
        <v>0</v>
      </c>
      <c r="F37" s="60">
        <v>0</v>
      </c>
      <c r="G37" s="60">
        <f t="shared" si="3"/>
        <v>0</v>
      </c>
      <c r="H37" s="60">
        <v>0</v>
      </c>
      <c r="I37" s="60">
        <v>0</v>
      </c>
      <c r="J37" s="65" t="s">
        <v>64</v>
      </c>
      <c r="K37" s="74"/>
      <c r="L37" s="55"/>
    </row>
    <row r="38" spans="1:12" ht="13.5" thickBot="1" x14ac:dyDescent="0.25">
      <c r="A38" s="60">
        <f t="shared" ref="A38:I40" si="4">A5+A8+A11+A14+A17+A20+A23+A26+A29+A32+A35</f>
        <v>152</v>
      </c>
      <c r="B38" s="60">
        <f t="shared" si="4"/>
        <v>76</v>
      </c>
      <c r="C38" s="60">
        <f t="shared" si="4"/>
        <v>76</v>
      </c>
      <c r="D38" s="60">
        <f t="shared" si="4"/>
        <v>2</v>
      </c>
      <c r="E38" s="60">
        <f t="shared" si="4"/>
        <v>1</v>
      </c>
      <c r="F38" s="60">
        <f t="shared" si="4"/>
        <v>1</v>
      </c>
      <c r="G38" s="60">
        <f t="shared" si="4"/>
        <v>150</v>
      </c>
      <c r="H38" s="60">
        <f t="shared" si="4"/>
        <v>75</v>
      </c>
      <c r="I38" s="60">
        <f>I5+I8+I11+I14+I17+I20+I23+I26+I29+I32+I35</f>
        <v>75</v>
      </c>
      <c r="J38" s="65" t="s">
        <v>231</v>
      </c>
      <c r="K38" s="57"/>
      <c r="L38" s="55"/>
    </row>
    <row r="39" spans="1:12" ht="15.75" customHeight="1" thickBot="1" x14ac:dyDescent="0.25">
      <c r="A39" s="60">
        <f t="shared" si="4"/>
        <v>723</v>
      </c>
      <c r="B39" s="60">
        <f t="shared" si="4"/>
        <v>257</v>
      </c>
      <c r="C39" s="60">
        <f t="shared" si="4"/>
        <v>466</v>
      </c>
      <c r="D39" s="60">
        <f t="shared" si="4"/>
        <v>27</v>
      </c>
      <c r="E39" s="60">
        <f t="shared" si="4"/>
        <v>3</v>
      </c>
      <c r="F39" s="60">
        <f t="shared" si="4"/>
        <v>24</v>
      </c>
      <c r="G39" s="60">
        <f t="shared" si="4"/>
        <v>696</v>
      </c>
      <c r="H39" s="60">
        <f t="shared" si="4"/>
        <v>254</v>
      </c>
      <c r="I39" s="60">
        <f t="shared" si="4"/>
        <v>442</v>
      </c>
      <c r="J39" s="65" t="s">
        <v>62</v>
      </c>
      <c r="K39" s="68" t="s">
        <v>232</v>
      </c>
      <c r="L39" s="55"/>
    </row>
    <row r="40" spans="1:12" ht="16.5" customHeight="1" thickBot="1" x14ac:dyDescent="0.25">
      <c r="A40" s="60">
        <f t="shared" si="4"/>
        <v>433</v>
      </c>
      <c r="B40" s="60">
        <f t="shared" si="4"/>
        <v>50</v>
      </c>
      <c r="C40" s="60">
        <f t="shared" si="4"/>
        <v>383</v>
      </c>
      <c r="D40" s="60">
        <f t="shared" si="4"/>
        <v>2</v>
      </c>
      <c r="E40" s="60">
        <f t="shared" si="4"/>
        <v>0</v>
      </c>
      <c r="F40" s="60">
        <f t="shared" si="4"/>
        <v>2</v>
      </c>
      <c r="G40" s="60">
        <f t="shared" si="4"/>
        <v>431</v>
      </c>
      <c r="H40" s="60">
        <f t="shared" si="4"/>
        <v>50</v>
      </c>
      <c r="I40" s="60">
        <f t="shared" si="4"/>
        <v>381</v>
      </c>
      <c r="J40" s="65" t="s">
        <v>64</v>
      </c>
      <c r="K40" s="59"/>
      <c r="L40" s="55"/>
    </row>
    <row r="41" spans="1:12" ht="16.5" customHeight="1" thickBot="1" x14ac:dyDescent="0.25">
      <c r="A41" s="60">
        <f t="shared" ref="A41:H41" si="5">SUM(A38:A40)</f>
        <v>1308</v>
      </c>
      <c r="B41" s="60">
        <f t="shared" si="5"/>
        <v>383</v>
      </c>
      <c r="C41" s="60">
        <f t="shared" si="5"/>
        <v>925</v>
      </c>
      <c r="D41" s="60">
        <f t="shared" si="5"/>
        <v>31</v>
      </c>
      <c r="E41" s="60">
        <f t="shared" si="5"/>
        <v>4</v>
      </c>
      <c r="F41" s="60">
        <f t="shared" si="5"/>
        <v>27</v>
      </c>
      <c r="G41" s="60">
        <f t="shared" si="5"/>
        <v>1277</v>
      </c>
      <c r="H41" s="60">
        <f t="shared" si="5"/>
        <v>379</v>
      </c>
      <c r="I41" s="60">
        <f>SUM(I38:I40)</f>
        <v>898</v>
      </c>
      <c r="J41" s="184" t="s">
        <v>233</v>
      </c>
      <c r="K41" s="184"/>
      <c r="L41" s="55"/>
    </row>
    <row r="42" spans="1:12" x14ac:dyDescent="0.2">
      <c r="A42" s="97"/>
      <c r="B42" s="97"/>
      <c r="C42" s="97"/>
      <c r="D42" s="97"/>
      <c r="E42" s="97"/>
      <c r="F42" s="97"/>
      <c r="G42" s="97"/>
      <c r="H42" s="97"/>
      <c r="I42" s="97"/>
      <c r="J42" s="98"/>
      <c r="K42" s="98"/>
      <c r="L42" s="55"/>
    </row>
    <row r="43" spans="1:12" x14ac:dyDescent="0.2">
      <c r="A43" s="177" t="s">
        <v>529</v>
      </c>
      <c r="B43" s="177"/>
      <c r="C43" s="177"/>
      <c r="D43" s="177"/>
      <c r="E43" s="177"/>
      <c r="F43" s="177"/>
      <c r="G43" s="177"/>
      <c r="H43" s="177"/>
      <c r="I43" s="177"/>
      <c r="J43" s="177"/>
      <c r="K43" s="177"/>
    </row>
    <row r="44" spans="1:12" ht="13.5" thickBot="1" x14ac:dyDescent="0.25">
      <c r="A44" s="178" t="s">
        <v>530</v>
      </c>
      <c r="B44" s="178"/>
      <c r="C44" s="178"/>
      <c r="D44" s="178"/>
      <c r="E44" s="178"/>
      <c r="F44" s="178"/>
      <c r="G44" s="178"/>
      <c r="H44" s="178"/>
      <c r="I44" s="178"/>
      <c r="J44" s="178"/>
      <c r="K44" s="178"/>
    </row>
    <row r="45" spans="1:12" ht="13.5" thickBot="1" x14ac:dyDescent="0.25">
      <c r="A45" s="179" t="s">
        <v>5</v>
      </c>
      <c r="B45" s="179"/>
      <c r="C45" s="179"/>
      <c r="D45" s="179" t="s">
        <v>162</v>
      </c>
      <c r="E45" s="179"/>
      <c r="F45" s="179"/>
      <c r="G45" s="179" t="s">
        <v>163</v>
      </c>
      <c r="H45" s="179"/>
      <c r="I45" s="179"/>
      <c r="J45" s="179" t="s">
        <v>72</v>
      </c>
      <c r="K45" s="179"/>
    </row>
    <row r="46" spans="1:12" ht="13.5" thickBot="1" x14ac:dyDescent="0.25">
      <c r="A46" s="58" t="s">
        <v>216</v>
      </c>
      <c r="B46" s="58" t="s">
        <v>11</v>
      </c>
      <c r="C46" s="58" t="s">
        <v>10</v>
      </c>
      <c r="D46" s="58" t="s">
        <v>216</v>
      </c>
      <c r="E46" s="58" t="s">
        <v>11</v>
      </c>
      <c r="F46" s="58" t="s">
        <v>10</v>
      </c>
      <c r="G46" s="58" t="s">
        <v>216</v>
      </c>
      <c r="H46" s="58" t="s">
        <v>11</v>
      </c>
      <c r="I46" s="58" t="s">
        <v>10</v>
      </c>
      <c r="J46" s="180" t="s">
        <v>164</v>
      </c>
      <c r="K46" s="180"/>
    </row>
    <row r="47" spans="1:12" ht="13.5" thickBot="1" x14ac:dyDescent="0.25">
      <c r="A47" s="60">
        <f>SUM(B47:C47)</f>
        <v>21</v>
      </c>
      <c r="B47" s="60">
        <v>0</v>
      </c>
      <c r="C47" s="60">
        <v>21</v>
      </c>
      <c r="D47" s="60">
        <f>SUM(E47:F47)</f>
        <v>0</v>
      </c>
      <c r="E47" s="60">
        <v>0</v>
      </c>
      <c r="F47" s="60">
        <v>0</v>
      </c>
      <c r="G47" s="60">
        <f>SUM(H47:I47)</f>
        <v>21</v>
      </c>
      <c r="H47" s="60">
        <v>0</v>
      </c>
      <c r="I47" s="60">
        <v>21</v>
      </c>
      <c r="J47" s="65" t="s">
        <v>61</v>
      </c>
      <c r="K47" s="66"/>
    </row>
    <row r="48" spans="1:12" ht="13.5" thickBot="1" x14ac:dyDescent="0.25">
      <c r="A48" s="60">
        <f t="shared" ref="A48:A61" si="6">SUM(B48:C48)</f>
        <v>37</v>
      </c>
      <c r="B48" s="60">
        <v>0</v>
      </c>
      <c r="C48" s="60">
        <v>37</v>
      </c>
      <c r="D48" s="60">
        <f t="shared" ref="D48:D61" si="7">SUM(E48:F48)</f>
        <v>2</v>
      </c>
      <c r="E48" s="60">
        <v>0</v>
      </c>
      <c r="F48" s="60">
        <v>2</v>
      </c>
      <c r="G48" s="60">
        <f t="shared" ref="G48:G61" si="8">SUM(H48:I48)</f>
        <v>35</v>
      </c>
      <c r="H48" s="60">
        <v>0</v>
      </c>
      <c r="I48" s="60">
        <v>35</v>
      </c>
      <c r="J48" s="65" t="s">
        <v>62</v>
      </c>
      <c r="K48" s="66" t="s">
        <v>346</v>
      </c>
    </row>
    <row r="49" spans="1:11" ht="13.5" thickBot="1" x14ac:dyDescent="0.25">
      <c r="A49" s="60">
        <f t="shared" si="6"/>
        <v>0</v>
      </c>
      <c r="B49" s="60">
        <v>0</v>
      </c>
      <c r="C49" s="60">
        <v>0</v>
      </c>
      <c r="D49" s="60">
        <f t="shared" si="7"/>
        <v>0</v>
      </c>
      <c r="E49" s="60">
        <v>0</v>
      </c>
      <c r="F49" s="60">
        <v>0</v>
      </c>
      <c r="G49" s="60">
        <f t="shared" si="8"/>
        <v>0</v>
      </c>
      <c r="H49" s="60">
        <v>0</v>
      </c>
      <c r="I49" s="60">
        <v>0</v>
      </c>
      <c r="J49" s="65" t="s">
        <v>64</v>
      </c>
      <c r="K49" s="74"/>
    </row>
    <row r="50" spans="1:11" ht="13.5" thickBot="1" x14ac:dyDescent="0.25">
      <c r="A50" s="60">
        <f t="shared" si="6"/>
        <v>26</v>
      </c>
      <c r="B50" s="60">
        <v>0</v>
      </c>
      <c r="C50" s="60">
        <v>26</v>
      </c>
      <c r="D50" s="60">
        <f t="shared" si="7"/>
        <v>3</v>
      </c>
      <c r="E50" s="60">
        <v>0</v>
      </c>
      <c r="F50" s="60">
        <v>3</v>
      </c>
      <c r="G50" s="60">
        <f t="shared" si="8"/>
        <v>23</v>
      </c>
      <c r="H50" s="60">
        <v>0</v>
      </c>
      <c r="I50" s="60">
        <v>23</v>
      </c>
      <c r="J50" s="65" t="s">
        <v>61</v>
      </c>
      <c r="K50" s="66"/>
    </row>
    <row r="51" spans="1:11" ht="13.5" thickBot="1" x14ac:dyDescent="0.25">
      <c r="A51" s="60">
        <f t="shared" si="6"/>
        <v>30</v>
      </c>
      <c r="B51" s="60">
        <v>0</v>
      </c>
      <c r="C51" s="60">
        <v>30</v>
      </c>
      <c r="D51" s="60">
        <f t="shared" si="7"/>
        <v>4</v>
      </c>
      <c r="E51" s="60">
        <v>0</v>
      </c>
      <c r="F51" s="60">
        <v>4</v>
      </c>
      <c r="G51" s="60">
        <f t="shared" si="8"/>
        <v>26</v>
      </c>
      <c r="H51" s="60">
        <v>0</v>
      </c>
      <c r="I51" s="60">
        <v>26</v>
      </c>
      <c r="J51" s="65" t="s">
        <v>62</v>
      </c>
      <c r="K51" s="66" t="s">
        <v>347</v>
      </c>
    </row>
    <row r="52" spans="1:11" ht="13.5" thickBot="1" x14ac:dyDescent="0.25">
      <c r="A52" s="60">
        <f t="shared" si="6"/>
        <v>0</v>
      </c>
      <c r="B52" s="60">
        <v>0</v>
      </c>
      <c r="C52" s="60">
        <v>0</v>
      </c>
      <c r="D52" s="60">
        <f t="shared" si="7"/>
        <v>0</v>
      </c>
      <c r="E52" s="60">
        <v>0</v>
      </c>
      <c r="F52" s="60">
        <v>0</v>
      </c>
      <c r="G52" s="60">
        <f t="shared" si="8"/>
        <v>0</v>
      </c>
      <c r="H52" s="60">
        <v>0</v>
      </c>
      <c r="I52" s="60">
        <v>0</v>
      </c>
      <c r="J52" s="65" t="s">
        <v>64</v>
      </c>
      <c r="K52" s="74"/>
    </row>
    <row r="53" spans="1:11" ht="13.5" thickBot="1" x14ac:dyDescent="0.25">
      <c r="A53" s="60">
        <f t="shared" si="6"/>
        <v>60</v>
      </c>
      <c r="B53" s="60">
        <v>0</v>
      </c>
      <c r="C53" s="60">
        <v>60</v>
      </c>
      <c r="D53" s="60">
        <f t="shared" si="7"/>
        <v>5</v>
      </c>
      <c r="E53" s="60">
        <v>0</v>
      </c>
      <c r="F53" s="60">
        <v>5</v>
      </c>
      <c r="G53" s="60">
        <f t="shared" si="8"/>
        <v>55</v>
      </c>
      <c r="H53" s="60">
        <v>0</v>
      </c>
      <c r="I53" s="60">
        <v>55</v>
      </c>
      <c r="J53" s="65" t="s">
        <v>61</v>
      </c>
      <c r="K53" s="66"/>
    </row>
    <row r="54" spans="1:11" ht="13.5" thickBot="1" x14ac:dyDescent="0.25">
      <c r="A54" s="60">
        <f t="shared" si="6"/>
        <v>63</v>
      </c>
      <c r="B54" s="60">
        <v>0</v>
      </c>
      <c r="C54" s="60">
        <v>63</v>
      </c>
      <c r="D54" s="60">
        <f t="shared" si="7"/>
        <v>6</v>
      </c>
      <c r="E54" s="60">
        <v>0</v>
      </c>
      <c r="F54" s="60">
        <v>6</v>
      </c>
      <c r="G54" s="60">
        <f t="shared" si="8"/>
        <v>57</v>
      </c>
      <c r="H54" s="60">
        <v>0</v>
      </c>
      <c r="I54" s="60">
        <v>57</v>
      </c>
      <c r="J54" s="65" t="s">
        <v>62</v>
      </c>
      <c r="K54" s="66" t="s">
        <v>348</v>
      </c>
    </row>
    <row r="55" spans="1:11" ht="13.5" thickBot="1" x14ac:dyDescent="0.25">
      <c r="A55" s="60">
        <f t="shared" si="6"/>
        <v>22</v>
      </c>
      <c r="B55" s="60">
        <v>0</v>
      </c>
      <c r="C55" s="60">
        <v>22</v>
      </c>
      <c r="D55" s="60">
        <f t="shared" si="7"/>
        <v>22</v>
      </c>
      <c r="E55" s="60">
        <v>0</v>
      </c>
      <c r="F55" s="60">
        <v>22</v>
      </c>
      <c r="G55" s="60">
        <f t="shared" si="8"/>
        <v>0</v>
      </c>
      <c r="H55" s="60">
        <v>0</v>
      </c>
      <c r="I55" s="60">
        <v>0</v>
      </c>
      <c r="J55" s="65" t="s">
        <v>64</v>
      </c>
      <c r="K55" s="74"/>
    </row>
    <row r="56" spans="1:11" ht="13.5" thickBot="1" x14ac:dyDescent="0.25">
      <c r="A56" s="60">
        <f t="shared" si="6"/>
        <v>67</v>
      </c>
      <c r="B56" s="60">
        <v>0</v>
      </c>
      <c r="C56" s="60">
        <v>67</v>
      </c>
      <c r="D56" s="60">
        <f t="shared" si="7"/>
        <v>2</v>
      </c>
      <c r="E56" s="60">
        <v>0</v>
      </c>
      <c r="F56" s="60">
        <v>2</v>
      </c>
      <c r="G56" s="60">
        <f t="shared" si="8"/>
        <v>65</v>
      </c>
      <c r="H56" s="60">
        <v>0</v>
      </c>
      <c r="I56" s="60">
        <v>65</v>
      </c>
      <c r="J56" s="65" t="s">
        <v>61</v>
      </c>
      <c r="K56" s="66"/>
    </row>
    <row r="57" spans="1:11" ht="13.5" thickBot="1" x14ac:dyDescent="0.25">
      <c r="A57" s="60">
        <f t="shared" si="6"/>
        <v>105</v>
      </c>
      <c r="B57" s="60">
        <v>0</v>
      </c>
      <c r="C57" s="60">
        <v>105</v>
      </c>
      <c r="D57" s="60">
        <f t="shared" si="7"/>
        <v>3</v>
      </c>
      <c r="E57" s="60">
        <v>0</v>
      </c>
      <c r="F57" s="60">
        <v>3</v>
      </c>
      <c r="G57" s="60">
        <f t="shared" si="8"/>
        <v>102</v>
      </c>
      <c r="H57" s="60">
        <v>0</v>
      </c>
      <c r="I57" s="60">
        <v>102</v>
      </c>
      <c r="J57" s="65" t="s">
        <v>62</v>
      </c>
      <c r="K57" s="66" t="s">
        <v>349</v>
      </c>
    </row>
    <row r="58" spans="1:11" ht="13.5" thickBot="1" x14ac:dyDescent="0.25">
      <c r="A58" s="60">
        <f t="shared" si="6"/>
        <v>26</v>
      </c>
      <c r="B58" s="60">
        <v>0</v>
      </c>
      <c r="C58" s="60">
        <v>26</v>
      </c>
      <c r="D58" s="60">
        <f t="shared" si="7"/>
        <v>26</v>
      </c>
      <c r="E58" s="60">
        <v>0</v>
      </c>
      <c r="F58" s="60">
        <v>26</v>
      </c>
      <c r="G58" s="60">
        <f t="shared" si="8"/>
        <v>0</v>
      </c>
      <c r="H58" s="60">
        <v>0</v>
      </c>
      <c r="I58" s="60">
        <v>0</v>
      </c>
      <c r="J58" s="65" t="s">
        <v>64</v>
      </c>
      <c r="K58" s="74"/>
    </row>
    <row r="59" spans="1:11" ht="13.5" thickBot="1" x14ac:dyDescent="0.25">
      <c r="A59" s="60">
        <f t="shared" si="6"/>
        <v>16</v>
      </c>
      <c r="B59" s="60">
        <v>0</v>
      </c>
      <c r="C59" s="60">
        <v>16</v>
      </c>
      <c r="D59" s="60">
        <f t="shared" si="7"/>
        <v>0</v>
      </c>
      <c r="E59" s="60">
        <v>0</v>
      </c>
      <c r="F59" s="60">
        <v>0</v>
      </c>
      <c r="G59" s="60">
        <f t="shared" si="8"/>
        <v>16</v>
      </c>
      <c r="H59" s="60">
        <v>0</v>
      </c>
      <c r="I59" s="60">
        <v>16</v>
      </c>
      <c r="J59" s="65" t="s">
        <v>61</v>
      </c>
      <c r="K59" s="66"/>
    </row>
    <row r="60" spans="1:11" ht="13.5" thickBot="1" x14ac:dyDescent="0.25">
      <c r="A60" s="60">
        <f t="shared" si="6"/>
        <v>60</v>
      </c>
      <c r="B60" s="60">
        <v>0</v>
      </c>
      <c r="C60" s="60">
        <v>60</v>
      </c>
      <c r="D60" s="60">
        <f t="shared" si="7"/>
        <v>1</v>
      </c>
      <c r="E60" s="60">
        <v>0</v>
      </c>
      <c r="F60" s="60">
        <v>1</v>
      </c>
      <c r="G60" s="60">
        <f t="shared" si="8"/>
        <v>59</v>
      </c>
      <c r="H60" s="60">
        <v>0</v>
      </c>
      <c r="I60" s="60">
        <v>59</v>
      </c>
      <c r="J60" s="65" t="s">
        <v>62</v>
      </c>
      <c r="K60" s="66" t="s">
        <v>350</v>
      </c>
    </row>
    <row r="61" spans="1:11" ht="13.5" thickBot="1" x14ac:dyDescent="0.25">
      <c r="A61" s="60">
        <f t="shared" si="6"/>
        <v>0</v>
      </c>
      <c r="B61" s="60">
        <v>0</v>
      </c>
      <c r="C61" s="60">
        <v>0</v>
      </c>
      <c r="D61" s="60">
        <f t="shared" si="7"/>
        <v>0</v>
      </c>
      <c r="E61" s="60">
        <v>0</v>
      </c>
      <c r="F61" s="60">
        <v>0</v>
      </c>
      <c r="G61" s="60">
        <f t="shared" si="8"/>
        <v>0</v>
      </c>
      <c r="H61" s="60">
        <v>0</v>
      </c>
      <c r="I61" s="60">
        <v>0</v>
      </c>
      <c r="J61" s="65" t="s">
        <v>64</v>
      </c>
      <c r="K61" s="74"/>
    </row>
    <row r="62" spans="1:11" ht="18.75" customHeight="1" thickBot="1" x14ac:dyDescent="0.25">
      <c r="A62" s="60">
        <f t="shared" ref="A62:I64" si="9">A47+A50+A53+A56+A59</f>
        <v>190</v>
      </c>
      <c r="B62" s="60">
        <f t="shared" si="9"/>
        <v>0</v>
      </c>
      <c r="C62" s="60">
        <f t="shared" si="9"/>
        <v>190</v>
      </c>
      <c r="D62" s="60">
        <f t="shared" si="9"/>
        <v>10</v>
      </c>
      <c r="E62" s="60">
        <f t="shared" si="9"/>
        <v>0</v>
      </c>
      <c r="F62" s="60">
        <f t="shared" si="9"/>
        <v>10</v>
      </c>
      <c r="G62" s="60">
        <f t="shared" si="9"/>
        <v>180</v>
      </c>
      <c r="H62" s="60">
        <f t="shared" si="9"/>
        <v>0</v>
      </c>
      <c r="I62" s="60">
        <f>I47+I50+I53+I56+I59</f>
        <v>180</v>
      </c>
      <c r="J62" s="65" t="s">
        <v>231</v>
      </c>
      <c r="K62" s="57"/>
    </row>
    <row r="63" spans="1:11" ht="18.75" customHeight="1" thickBot="1" x14ac:dyDescent="0.25">
      <c r="A63" s="60">
        <f t="shared" si="9"/>
        <v>295</v>
      </c>
      <c r="B63" s="60">
        <f t="shared" si="9"/>
        <v>0</v>
      </c>
      <c r="C63" s="60">
        <f t="shared" si="9"/>
        <v>295</v>
      </c>
      <c r="D63" s="60">
        <f t="shared" si="9"/>
        <v>16</v>
      </c>
      <c r="E63" s="60">
        <f t="shared" si="9"/>
        <v>0</v>
      </c>
      <c r="F63" s="60">
        <f t="shared" si="9"/>
        <v>16</v>
      </c>
      <c r="G63" s="60">
        <f t="shared" si="9"/>
        <v>279</v>
      </c>
      <c r="H63" s="60">
        <f t="shared" si="9"/>
        <v>0</v>
      </c>
      <c r="I63" s="60">
        <f t="shared" si="9"/>
        <v>279</v>
      </c>
      <c r="J63" s="65" t="s">
        <v>62</v>
      </c>
      <c r="K63" s="68" t="s">
        <v>232</v>
      </c>
    </row>
    <row r="64" spans="1:11" ht="13.5" thickBot="1" x14ac:dyDescent="0.25">
      <c r="A64" s="60">
        <f t="shared" si="9"/>
        <v>48</v>
      </c>
      <c r="B64" s="60">
        <f t="shared" si="9"/>
        <v>0</v>
      </c>
      <c r="C64" s="60">
        <f t="shared" si="9"/>
        <v>48</v>
      </c>
      <c r="D64" s="60">
        <f t="shared" si="9"/>
        <v>48</v>
      </c>
      <c r="E64" s="60">
        <f t="shared" si="9"/>
        <v>0</v>
      </c>
      <c r="F64" s="60">
        <f t="shared" si="9"/>
        <v>48</v>
      </c>
      <c r="G64" s="60">
        <f t="shared" si="9"/>
        <v>0</v>
      </c>
      <c r="H64" s="60">
        <f t="shared" si="9"/>
        <v>0</v>
      </c>
      <c r="I64" s="60">
        <f t="shared" si="9"/>
        <v>0</v>
      </c>
      <c r="J64" s="65" t="s">
        <v>64</v>
      </c>
      <c r="K64" s="59"/>
    </row>
    <row r="65" spans="1:11" ht="14.25" customHeight="1" thickBot="1" x14ac:dyDescent="0.25">
      <c r="A65" s="60">
        <f t="shared" ref="A65:H65" si="10">SUM(A62:A64)</f>
        <v>533</v>
      </c>
      <c r="B65" s="60">
        <f t="shared" si="10"/>
        <v>0</v>
      </c>
      <c r="C65" s="60">
        <f t="shared" si="10"/>
        <v>533</v>
      </c>
      <c r="D65" s="60">
        <f t="shared" si="10"/>
        <v>74</v>
      </c>
      <c r="E65" s="60">
        <f t="shared" si="10"/>
        <v>0</v>
      </c>
      <c r="F65" s="60">
        <f t="shared" si="10"/>
        <v>74</v>
      </c>
      <c r="G65" s="60">
        <f t="shared" si="10"/>
        <v>459</v>
      </c>
      <c r="H65" s="60">
        <f t="shared" si="10"/>
        <v>0</v>
      </c>
      <c r="I65" s="60">
        <f>SUM(I62:I64)</f>
        <v>459</v>
      </c>
      <c r="J65" s="184" t="s">
        <v>233</v>
      </c>
      <c r="K65" s="184"/>
    </row>
    <row r="67" spans="1:11" x14ac:dyDescent="0.2">
      <c r="A67" s="177" t="s">
        <v>529</v>
      </c>
      <c r="B67" s="177"/>
      <c r="C67" s="177"/>
      <c r="D67" s="177"/>
      <c r="E67" s="177"/>
      <c r="F67" s="177"/>
      <c r="G67" s="177"/>
      <c r="H67" s="177"/>
      <c r="I67" s="177"/>
      <c r="J67" s="177"/>
      <c r="K67" s="177"/>
    </row>
    <row r="68" spans="1:11" ht="13.5" thickBot="1" x14ac:dyDescent="0.25">
      <c r="A68" s="178" t="s">
        <v>530</v>
      </c>
      <c r="B68" s="178"/>
      <c r="C68" s="178"/>
      <c r="D68" s="178"/>
      <c r="E68" s="178"/>
      <c r="F68" s="178"/>
      <c r="G68" s="178"/>
      <c r="H68" s="178"/>
      <c r="I68" s="178"/>
      <c r="J68" s="178"/>
      <c r="K68" s="178"/>
    </row>
    <row r="69" spans="1:11" ht="13.5" thickBot="1" x14ac:dyDescent="0.25">
      <c r="A69" s="179" t="s">
        <v>5</v>
      </c>
      <c r="B69" s="179"/>
      <c r="C69" s="179"/>
      <c r="D69" s="179" t="s">
        <v>162</v>
      </c>
      <c r="E69" s="179"/>
      <c r="F69" s="179"/>
      <c r="G69" s="179" t="s">
        <v>163</v>
      </c>
      <c r="H69" s="179"/>
      <c r="I69" s="179"/>
      <c r="J69" s="179" t="s">
        <v>72</v>
      </c>
      <c r="K69" s="179"/>
    </row>
    <row r="70" spans="1:11" ht="13.5" thickBot="1" x14ac:dyDescent="0.25">
      <c r="A70" s="58" t="s">
        <v>216</v>
      </c>
      <c r="B70" s="58" t="s">
        <v>11</v>
      </c>
      <c r="C70" s="58" t="s">
        <v>10</v>
      </c>
      <c r="D70" s="58" t="s">
        <v>216</v>
      </c>
      <c r="E70" s="58" t="s">
        <v>11</v>
      </c>
      <c r="F70" s="58" t="s">
        <v>10</v>
      </c>
      <c r="G70" s="58" t="s">
        <v>216</v>
      </c>
      <c r="H70" s="58" t="s">
        <v>11</v>
      </c>
      <c r="I70" s="58" t="s">
        <v>10</v>
      </c>
      <c r="J70" s="180" t="s">
        <v>76</v>
      </c>
      <c r="K70" s="180"/>
    </row>
    <row r="71" spans="1:11" ht="13.5" thickBot="1" x14ac:dyDescent="0.25">
      <c r="A71" s="60">
        <f t="shared" ref="A71:C97" si="11">G71+D71</f>
        <v>0</v>
      </c>
      <c r="B71" s="60">
        <f t="shared" si="11"/>
        <v>0</v>
      </c>
      <c r="C71" s="60">
        <f t="shared" si="11"/>
        <v>0</v>
      </c>
      <c r="D71" s="60">
        <f>F71+E71</f>
        <v>0</v>
      </c>
      <c r="E71" s="60">
        <v>0</v>
      </c>
      <c r="F71" s="60">
        <v>0</v>
      </c>
      <c r="G71" s="60">
        <f>I71+H71</f>
        <v>0</v>
      </c>
      <c r="H71" s="60">
        <v>0</v>
      </c>
      <c r="I71" s="60">
        <v>0</v>
      </c>
      <c r="J71" s="65" t="s">
        <v>61</v>
      </c>
      <c r="K71" s="66"/>
    </row>
    <row r="72" spans="1:11" ht="13.5" thickBot="1" x14ac:dyDescent="0.25">
      <c r="A72" s="60">
        <f t="shared" si="11"/>
        <v>25</v>
      </c>
      <c r="B72" s="60">
        <f t="shared" si="11"/>
        <v>14</v>
      </c>
      <c r="C72" s="60">
        <f t="shared" si="11"/>
        <v>11</v>
      </c>
      <c r="D72" s="60">
        <f t="shared" ref="D72:D97" si="12">F72+E72</f>
        <v>0</v>
      </c>
      <c r="E72" s="60">
        <v>0</v>
      </c>
      <c r="F72" s="60">
        <v>0</v>
      </c>
      <c r="G72" s="60">
        <f t="shared" ref="G72:G97" si="13">I72+H72</f>
        <v>25</v>
      </c>
      <c r="H72" s="60">
        <v>14</v>
      </c>
      <c r="I72" s="60">
        <v>11</v>
      </c>
      <c r="J72" s="65" t="s">
        <v>62</v>
      </c>
      <c r="K72" s="66" t="s">
        <v>352</v>
      </c>
    </row>
    <row r="73" spans="1:11" ht="13.5" thickBot="1" x14ac:dyDescent="0.25">
      <c r="A73" s="60">
        <f t="shared" si="11"/>
        <v>0</v>
      </c>
      <c r="B73" s="60">
        <f t="shared" si="11"/>
        <v>0</v>
      </c>
      <c r="C73" s="60">
        <f t="shared" si="11"/>
        <v>0</v>
      </c>
      <c r="D73" s="60">
        <f t="shared" si="12"/>
        <v>0</v>
      </c>
      <c r="E73" s="60">
        <v>0</v>
      </c>
      <c r="F73" s="60">
        <v>0</v>
      </c>
      <c r="G73" s="60">
        <f t="shared" si="13"/>
        <v>0</v>
      </c>
      <c r="H73" s="60">
        <v>0</v>
      </c>
      <c r="I73" s="60">
        <v>0</v>
      </c>
      <c r="J73" s="65" t="s">
        <v>64</v>
      </c>
      <c r="K73" s="74"/>
    </row>
    <row r="74" spans="1:11" ht="13.5" thickBot="1" x14ac:dyDescent="0.25">
      <c r="A74" s="60">
        <f t="shared" si="11"/>
        <v>12</v>
      </c>
      <c r="B74" s="60">
        <f t="shared" si="11"/>
        <v>4</v>
      </c>
      <c r="C74" s="60">
        <f t="shared" si="11"/>
        <v>8</v>
      </c>
      <c r="D74" s="60">
        <f t="shared" si="12"/>
        <v>0</v>
      </c>
      <c r="E74" s="60">
        <v>0</v>
      </c>
      <c r="F74" s="60">
        <v>0</v>
      </c>
      <c r="G74" s="60">
        <f t="shared" si="13"/>
        <v>12</v>
      </c>
      <c r="H74" s="60">
        <v>4</v>
      </c>
      <c r="I74" s="60">
        <v>8</v>
      </c>
      <c r="J74" s="65" t="s">
        <v>61</v>
      </c>
      <c r="K74" s="66"/>
    </row>
    <row r="75" spans="1:11" ht="13.5" thickBot="1" x14ac:dyDescent="0.25">
      <c r="A75" s="60">
        <f t="shared" si="11"/>
        <v>66</v>
      </c>
      <c r="B75" s="60">
        <f t="shared" si="11"/>
        <v>34</v>
      </c>
      <c r="C75" s="60">
        <f t="shared" si="11"/>
        <v>32</v>
      </c>
      <c r="D75" s="60">
        <f t="shared" si="12"/>
        <v>5</v>
      </c>
      <c r="E75" s="60">
        <v>2</v>
      </c>
      <c r="F75" s="60">
        <v>3</v>
      </c>
      <c r="G75" s="60">
        <f t="shared" si="13"/>
        <v>61</v>
      </c>
      <c r="H75" s="60">
        <v>32</v>
      </c>
      <c r="I75" s="60">
        <v>29</v>
      </c>
      <c r="J75" s="65" t="s">
        <v>62</v>
      </c>
      <c r="K75" s="66" t="s">
        <v>353</v>
      </c>
    </row>
    <row r="76" spans="1:11" ht="13.5" thickBot="1" x14ac:dyDescent="0.25">
      <c r="A76" s="60">
        <f t="shared" si="11"/>
        <v>0</v>
      </c>
      <c r="B76" s="60">
        <f t="shared" si="11"/>
        <v>0</v>
      </c>
      <c r="C76" s="60">
        <f t="shared" si="11"/>
        <v>0</v>
      </c>
      <c r="D76" s="60">
        <f t="shared" si="12"/>
        <v>0</v>
      </c>
      <c r="E76" s="60">
        <v>0</v>
      </c>
      <c r="F76" s="60">
        <v>0</v>
      </c>
      <c r="G76" s="60">
        <f t="shared" si="13"/>
        <v>0</v>
      </c>
      <c r="H76" s="60">
        <v>0</v>
      </c>
      <c r="I76" s="60">
        <v>0</v>
      </c>
      <c r="J76" s="65" t="s">
        <v>64</v>
      </c>
      <c r="K76" s="74"/>
    </row>
    <row r="77" spans="1:11" ht="13.5" thickBot="1" x14ac:dyDescent="0.25">
      <c r="A77" s="60">
        <f t="shared" si="11"/>
        <v>87</v>
      </c>
      <c r="B77" s="60">
        <f t="shared" si="11"/>
        <v>0</v>
      </c>
      <c r="C77" s="60">
        <f t="shared" si="11"/>
        <v>87</v>
      </c>
      <c r="D77" s="60">
        <f t="shared" si="12"/>
        <v>0</v>
      </c>
      <c r="E77" s="60">
        <v>0</v>
      </c>
      <c r="F77" s="60">
        <v>0</v>
      </c>
      <c r="G77" s="60">
        <f t="shared" si="13"/>
        <v>87</v>
      </c>
      <c r="H77" s="60">
        <v>0</v>
      </c>
      <c r="I77" s="60">
        <v>87</v>
      </c>
      <c r="J77" s="65" t="s">
        <v>61</v>
      </c>
      <c r="K77" s="66"/>
    </row>
    <row r="78" spans="1:11" ht="13.5" thickBot="1" x14ac:dyDescent="0.25">
      <c r="A78" s="60">
        <f t="shared" si="11"/>
        <v>94</v>
      </c>
      <c r="B78" s="60">
        <f t="shared" si="11"/>
        <v>0</v>
      </c>
      <c r="C78" s="60">
        <f t="shared" si="11"/>
        <v>94</v>
      </c>
      <c r="D78" s="60">
        <f t="shared" si="12"/>
        <v>0</v>
      </c>
      <c r="E78" s="60">
        <v>0</v>
      </c>
      <c r="F78" s="60">
        <v>0</v>
      </c>
      <c r="G78" s="60">
        <f t="shared" si="13"/>
        <v>94</v>
      </c>
      <c r="H78" s="60">
        <v>0</v>
      </c>
      <c r="I78" s="60">
        <f>185-91</f>
        <v>94</v>
      </c>
      <c r="J78" s="65" t="s">
        <v>62</v>
      </c>
      <c r="K78" s="66" t="s">
        <v>534</v>
      </c>
    </row>
    <row r="79" spans="1:11" ht="13.5" thickBot="1" x14ac:dyDescent="0.25">
      <c r="A79" s="60">
        <f t="shared" si="11"/>
        <v>0</v>
      </c>
      <c r="B79" s="60">
        <f t="shared" si="11"/>
        <v>0</v>
      </c>
      <c r="C79" s="60">
        <f t="shared" si="11"/>
        <v>0</v>
      </c>
      <c r="D79" s="60">
        <f t="shared" si="12"/>
        <v>0</v>
      </c>
      <c r="E79" s="60">
        <v>0</v>
      </c>
      <c r="F79" s="60">
        <v>0</v>
      </c>
      <c r="G79" s="60">
        <f t="shared" si="13"/>
        <v>0</v>
      </c>
      <c r="H79" s="60">
        <v>0</v>
      </c>
      <c r="I79" s="60">
        <v>0</v>
      </c>
      <c r="J79" s="65" t="s">
        <v>64</v>
      </c>
      <c r="K79" s="74"/>
    </row>
    <row r="80" spans="1:11" ht="13.5" thickBot="1" x14ac:dyDescent="0.25">
      <c r="A80" s="60">
        <f t="shared" si="11"/>
        <v>0</v>
      </c>
      <c r="B80" s="60">
        <f t="shared" si="11"/>
        <v>0</v>
      </c>
      <c r="C80" s="60">
        <f t="shared" si="11"/>
        <v>0</v>
      </c>
      <c r="D80" s="60">
        <f t="shared" si="12"/>
        <v>0</v>
      </c>
      <c r="E80" s="60">
        <v>0</v>
      </c>
      <c r="F80" s="60">
        <v>0</v>
      </c>
      <c r="G80" s="60">
        <f t="shared" si="13"/>
        <v>0</v>
      </c>
      <c r="H80" s="60">
        <v>0</v>
      </c>
      <c r="I80" s="60">
        <v>0</v>
      </c>
      <c r="J80" s="65" t="s">
        <v>61</v>
      </c>
      <c r="K80" s="66"/>
    </row>
    <row r="81" spans="1:11" ht="13.5" thickBot="1" x14ac:dyDescent="0.25">
      <c r="A81" s="60">
        <f t="shared" si="11"/>
        <v>38</v>
      </c>
      <c r="B81" s="60">
        <f t="shared" si="11"/>
        <v>33</v>
      </c>
      <c r="C81" s="60">
        <f t="shared" si="11"/>
        <v>5</v>
      </c>
      <c r="D81" s="60">
        <f t="shared" si="12"/>
        <v>0</v>
      </c>
      <c r="E81" s="60">
        <v>0</v>
      </c>
      <c r="F81" s="60">
        <v>0</v>
      </c>
      <c r="G81" s="60">
        <f t="shared" si="13"/>
        <v>38</v>
      </c>
      <c r="H81" s="60">
        <v>33</v>
      </c>
      <c r="I81" s="60">
        <v>5</v>
      </c>
      <c r="J81" s="65" t="s">
        <v>62</v>
      </c>
      <c r="K81" s="66" t="s">
        <v>354</v>
      </c>
    </row>
    <row r="82" spans="1:11" ht="13.5" thickBot="1" x14ac:dyDescent="0.25">
      <c r="A82" s="60">
        <f t="shared" si="11"/>
        <v>0</v>
      </c>
      <c r="B82" s="60">
        <f t="shared" si="11"/>
        <v>0</v>
      </c>
      <c r="C82" s="60">
        <f t="shared" si="11"/>
        <v>0</v>
      </c>
      <c r="D82" s="60">
        <f t="shared" si="12"/>
        <v>0</v>
      </c>
      <c r="E82" s="60">
        <v>0</v>
      </c>
      <c r="F82" s="60">
        <v>0</v>
      </c>
      <c r="G82" s="60">
        <f t="shared" si="13"/>
        <v>0</v>
      </c>
      <c r="H82" s="60">
        <v>0</v>
      </c>
      <c r="I82" s="60">
        <v>0</v>
      </c>
      <c r="J82" s="65" t="s">
        <v>64</v>
      </c>
      <c r="K82" s="74"/>
    </row>
    <row r="83" spans="1:11" ht="13.5" thickBot="1" x14ac:dyDescent="0.25">
      <c r="A83" s="60">
        <f t="shared" si="11"/>
        <v>0</v>
      </c>
      <c r="B83" s="60">
        <f t="shared" si="11"/>
        <v>0</v>
      </c>
      <c r="C83" s="60">
        <f t="shared" si="11"/>
        <v>0</v>
      </c>
      <c r="D83" s="60">
        <f t="shared" si="12"/>
        <v>0</v>
      </c>
      <c r="E83" s="60">
        <v>0</v>
      </c>
      <c r="F83" s="60">
        <v>0</v>
      </c>
      <c r="G83" s="60">
        <f t="shared" si="13"/>
        <v>0</v>
      </c>
      <c r="H83" s="60">
        <v>0</v>
      </c>
      <c r="I83" s="60">
        <v>0</v>
      </c>
      <c r="J83" s="65" t="s">
        <v>61</v>
      </c>
      <c r="K83" s="66"/>
    </row>
    <row r="84" spans="1:11" ht="13.5" thickBot="1" x14ac:dyDescent="0.25">
      <c r="A84" s="60">
        <f t="shared" si="11"/>
        <v>21</v>
      </c>
      <c r="B84" s="60">
        <f t="shared" si="11"/>
        <v>8</v>
      </c>
      <c r="C84" s="60">
        <f t="shared" si="11"/>
        <v>13</v>
      </c>
      <c r="D84" s="60">
        <f t="shared" si="12"/>
        <v>0</v>
      </c>
      <c r="E84" s="60">
        <v>0</v>
      </c>
      <c r="F84" s="60">
        <v>0</v>
      </c>
      <c r="G84" s="60">
        <f t="shared" si="13"/>
        <v>21</v>
      </c>
      <c r="H84" s="60">
        <v>8</v>
      </c>
      <c r="I84" s="60">
        <v>13</v>
      </c>
      <c r="J84" s="65" t="s">
        <v>62</v>
      </c>
      <c r="K84" s="66" t="s">
        <v>242</v>
      </c>
    </row>
    <row r="85" spans="1:11" ht="13.5" thickBot="1" x14ac:dyDescent="0.25">
      <c r="A85" s="60">
        <f t="shared" si="11"/>
        <v>40</v>
      </c>
      <c r="B85" s="60">
        <f t="shared" si="11"/>
        <v>0</v>
      </c>
      <c r="C85" s="60">
        <f t="shared" si="11"/>
        <v>40</v>
      </c>
      <c r="D85" s="60">
        <f t="shared" si="12"/>
        <v>40</v>
      </c>
      <c r="E85" s="60">
        <v>0</v>
      </c>
      <c r="F85" s="60">
        <v>40</v>
      </c>
      <c r="G85" s="60">
        <f t="shared" si="13"/>
        <v>0</v>
      </c>
      <c r="H85" s="60">
        <v>0</v>
      </c>
      <c r="I85" s="60">
        <v>0</v>
      </c>
      <c r="J85" s="65" t="s">
        <v>64</v>
      </c>
      <c r="K85" s="74"/>
    </row>
    <row r="86" spans="1:11" ht="13.5" thickBot="1" x14ac:dyDescent="0.25">
      <c r="A86" s="60">
        <f t="shared" si="11"/>
        <v>13</v>
      </c>
      <c r="B86" s="60">
        <f t="shared" si="11"/>
        <v>6</v>
      </c>
      <c r="C86" s="60">
        <f t="shared" si="11"/>
        <v>7</v>
      </c>
      <c r="D86" s="60">
        <f t="shared" si="12"/>
        <v>0</v>
      </c>
      <c r="E86" s="60">
        <v>0</v>
      </c>
      <c r="F86" s="60">
        <v>0</v>
      </c>
      <c r="G86" s="60">
        <f t="shared" si="13"/>
        <v>13</v>
      </c>
      <c r="H86" s="60">
        <v>6</v>
      </c>
      <c r="I86" s="60">
        <v>7</v>
      </c>
      <c r="J86" s="65" t="s">
        <v>61</v>
      </c>
      <c r="K86" s="66"/>
    </row>
    <row r="87" spans="1:11" ht="13.5" thickBot="1" x14ac:dyDescent="0.25">
      <c r="A87" s="60">
        <f t="shared" si="11"/>
        <v>77</v>
      </c>
      <c r="B87" s="60">
        <f t="shared" si="11"/>
        <v>45</v>
      </c>
      <c r="C87" s="60">
        <f t="shared" si="11"/>
        <v>32</v>
      </c>
      <c r="D87" s="60">
        <f t="shared" si="12"/>
        <v>7</v>
      </c>
      <c r="E87" s="60">
        <v>4</v>
      </c>
      <c r="F87" s="60">
        <v>3</v>
      </c>
      <c r="G87" s="60">
        <f t="shared" si="13"/>
        <v>70</v>
      </c>
      <c r="H87" s="60">
        <v>41</v>
      </c>
      <c r="I87" s="60">
        <v>29</v>
      </c>
      <c r="J87" s="65" t="s">
        <v>62</v>
      </c>
      <c r="K87" s="66" t="s">
        <v>356</v>
      </c>
    </row>
    <row r="88" spans="1:11" ht="13.5" thickBot="1" x14ac:dyDescent="0.25">
      <c r="A88" s="60">
        <f t="shared" si="11"/>
        <v>0</v>
      </c>
      <c r="B88" s="60">
        <f t="shared" si="11"/>
        <v>0</v>
      </c>
      <c r="C88" s="60">
        <f t="shared" si="11"/>
        <v>0</v>
      </c>
      <c r="D88" s="60">
        <f t="shared" si="12"/>
        <v>0</v>
      </c>
      <c r="E88" s="60">
        <v>0</v>
      </c>
      <c r="F88" s="60">
        <v>0</v>
      </c>
      <c r="G88" s="60">
        <f t="shared" si="13"/>
        <v>0</v>
      </c>
      <c r="H88" s="60">
        <v>0</v>
      </c>
      <c r="I88" s="60">
        <v>0</v>
      </c>
      <c r="J88" s="65" t="s">
        <v>64</v>
      </c>
      <c r="K88" s="74"/>
    </row>
    <row r="89" spans="1:11" ht="13.5" thickBot="1" x14ac:dyDescent="0.25">
      <c r="A89" s="60">
        <f t="shared" si="11"/>
        <v>18</v>
      </c>
      <c r="B89" s="60">
        <f t="shared" si="11"/>
        <v>1</v>
      </c>
      <c r="C89" s="60">
        <f t="shared" si="11"/>
        <v>17</v>
      </c>
      <c r="D89" s="60">
        <f t="shared" si="12"/>
        <v>0</v>
      </c>
      <c r="E89" s="60">
        <v>0</v>
      </c>
      <c r="F89" s="60">
        <v>0</v>
      </c>
      <c r="G89" s="60">
        <f t="shared" si="13"/>
        <v>18</v>
      </c>
      <c r="H89" s="60">
        <v>1</v>
      </c>
      <c r="I89" s="60">
        <v>17</v>
      </c>
      <c r="J89" s="65" t="s">
        <v>61</v>
      </c>
      <c r="K89" s="66"/>
    </row>
    <row r="90" spans="1:11" ht="13.5" thickBot="1" x14ac:dyDescent="0.25">
      <c r="A90" s="60">
        <f t="shared" si="11"/>
        <v>60</v>
      </c>
      <c r="B90" s="60">
        <f t="shared" si="11"/>
        <v>27</v>
      </c>
      <c r="C90" s="60">
        <f t="shared" si="11"/>
        <v>33</v>
      </c>
      <c r="D90" s="60">
        <f t="shared" si="12"/>
        <v>8</v>
      </c>
      <c r="E90" s="60">
        <v>0</v>
      </c>
      <c r="F90" s="60">
        <v>8</v>
      </c>
      <c r="G90" s="60">
        <f t="shared" si="13"/>
        <v>52</v>
      </c>
      <c r="H90" s="60">
        <v>27</v>
      </c>
      <c r="I90" s="60">
        <v>25</v>
      </c>
      <c r="J90" s="65" t="s">
        <v>62</v>
      </c>
      <c r="K90" s="66" t="s">
        <v>348</v>
      </c>
    </row>
    <row r="91" spans="1:11" ht="13.5" thickBot="1" x14ac:dyDescent="0.25">
      <c r="A91" s="60">
        <f t="shared" si="11"/>
        <v>0</v>
      </c>
      <c r="B91" s="60">
        <f t="shared" si="11"/>
        <v>0</v>
      </c>
      <c r="C91" s="60">
        <f t="shared" si="11"/>
        <v>0</v>
      </c>
      <c r="D91" s="60">
        <f t="shared" si="12"/>
        <v>0</v>
      </c>
      <c r="E91" s="60">
        <v>0</v>
      </c>
      <c r="F91" s="60">
        <v>0</v>
      </c>
      <c r="G91" s="60">
        <f t="shared" si="13"/>
        <v>0</v>
      </c>
      <c r="H91" s="60">
        <v>0</v>
      </c>
      <c r="I91" s="60">
        <v>0</v>
      </c>
      <c r="J91" s="65" t="s">
        <v>64</v>
      </c>
      <c r="K91" s="74"/>
    </row>
    <row r="92" spans="1:11" ht="13.5" thickBot="1" x14ac:dyDescent="0.25">
      <c r="A92" s="60">
        <f t="shared" si="11"/>
        <v>53</v>
      </c>
      <c r="B92" s="60">
        <f t="shared" si="11"/>
        <v>27</v>
      </c>
      <c r="C92" s="60">
        <f t="shared" si="11"/>
        <v>26</v>
      </c>
      <c r="D92" s="60">
        <f t="shared" si="12"/>
        <v>0</v>
      </c>
      <c r="E92" s="60">
        <v>0</v>
      </c>
      <c r="F92" s="60">
        <v>0</v>
      </c>
      <c r="G92" s="60">
        <f t="shared" si="13"/>
        <v>53</v>
      </c>
      <c r="H92" s="60">
        <v>27</v>
      </c>
      <c r="I92" s="60">
        <v>26</v>
      </c>
      <c r="J92" s="65" t="s">
        <v>61</v>
      </c>
      <c r="K92" s="66"/>
    </row>
    <row r="93" spans="1:11" ht="13.5" thickBot="1" x14ac:dyDescent="0.25">
      <c r="A93" s="60">
        <f t="shared" si="11"/>
        <v>61</v>
      </c>
      <c r="B93" s="60">
        <f t="shared" si="11"/>
        <v>30</v>
      </c>
      <c r="C93" s="60">
        <f t="shared" si="11"/>
        <v>31</v>
      </c>
      <c r="D93" s="60">
        <f t="shared" si="12"/>
        <v>0</v>
      </c>
      <c r="E93" s="60">
        <v>0</v>
      </c>
      <c r="F93" s="60">
        <v>0</v>
      </c>
      <c r="G93" s="60">
        <f t="shared" si="13"/>
        <v>61</v>
      </c>
      <c r="H93" s="60">
        <v>30</v>
      </c>
      <c r="I93" s="60">
        <v>31</v>
      </c>
      <c r="J93" s="65" t="s">
        <v>62</v>
      </c>
      <c r="K93" s="66" t="s">
        <v>357</v>
      </c>
    </row>
    <row r="94" spans="1:11" ht="13.5" thickBot="1" x14ac:dyDescent="0.25">
      <c r="A94" s="60">
        <f t="shared" si="11"/>
        <v>74</v>
      </c>
      <c r="B94" s="60">
        <f t="shared" si="11"/>
        <v>0</v>
      </c>
      <c r="C94" s="60">
        <f t="shared" si="11"/>
        <v>74</v>
      </c>
      <c r="D94" s="60">
        <f t="shared" si="12"/>
        <v>0</v>
      </c>
      <c r="E94" s="60">
        <v>0</v>
      </c>
      <c r="F94" s="60">
        <v>0</v>
      </c>
      <c r="G94" s="60">
        <f t="shared" si="13"/>
        <v>74</v>
      </c>
      <c r="H94" s="60">
        <v>0</v>
      </c>
      <c r="I94" s="60">
        <f>114-40</f>
        <v>74</v>
      </c>
      <c r="J94" s="65" t="s">
        <v>64</v>
      </c>
      <c r="K94" s="74"/>
    </row>
    <row r="95" spans="1:11" ht="13.5" thickBot="1" x14ac:dyDescent="0.25">
      <c r="A95" s="60">
        <f t="shared" si="11"/>
        <v>62</v>
      </c>
      <c r="B95" s="60">
        <f t="shared" si="11"/>
        <v>6</v>
      </c>
      <c r="C95" s="60">
        <f t="shared" si="11"/>
        <v>56</v>
      </c>
      <c r="D95" s="60">
        <f t="shared" si="12"/>
        <v>0</v>
      </c>
      <c r="E95" s="60">
        <v>0</v>
      </c>
      <c r="F95" s="60">
        <v>0</v>
      </c>
      <c r="G95" s="60">
        <f t="shared" si="13"/>
        <v>62</v>
      </c>
      <c r="H95" s="60">
        <v>6</v>
      </c>
      <c r="I95" s="60">
        <v>56</v>
      </c>
      <c r="J95" s="65" t="s">
        <v>61</v>
      </c>
      <c r="K95" s="66"/>
    </row>
    <row r="96" spans="1:11" ht="13.5" thickBot="1" x14ac:dyDescent="0.25">
      <c r="A96" s="60">
        <f t="shared" si="11"/>
        <v>821</v>
      </c>
      <c r="B96" s="60">
        <f t="shared" si="11"/>
        <v>348</v>
      </c>
      <c r="C96" s="60">
        <f t="shared" si="11"/>
        <v>473</v>
      </c>
      <c r="D96" s="60">
        <f t="shared" si="12"/>
        <v>0</v>
      </c>
      <c r="E96" s="60">
        <v>0</v>
      </c>
      <c r="F96" s="60">
        <v>0</v>
      </c>
      <c r="G96" s="60">
        <f t="shared" si="13"/>
        <v>821</v>
      </c>
      <c r="H96" s="60">
        <f>438-90</f>
        <v>348</v>
      </c>
      <c r="I96" s="60">
        <f>673-100-100</f>
        <v>473</v>
      </c>
      <c r="J96" s="65" t="s">
        <v>62</v>
      </c>
      <c r="K96" s="66" t="s">
        <v>75</v>
      </c>
    </row>
    <row r="97" spans="1:11" ht="13.5" thickBot="1" x14ac:dyDescent="0.25">
      <c r="A97" s="60">
        <f t="shared" si="11"/>
        <v>104</v>
      </c>
      <c r="B97" s="60">
        <f t="shared" si="11"/>
        <v>34</v>
      </c>
      <c r="C97" s="60">
        <f t="shared" si="11"/>
        <v>70</v>
      </c>
      <c r="D97" s="60">
        <f t="shared" si="12"/>
        <v>2</v>
      </c>
      <c r="E97" s="60">
        <v>1</v>
      </c>
      <c r="F97" s="60">
        <v>1</v>
      </c>
      <c r="G97" s="60">
        <f t="shared" si="13"/>
        <v>102</v>
      </c>
      <c r="H97" s="60">
        <v>33</v>
      </c>
      <c r="I97" s="60">
        <f>109-40</f>
        <v>69</v>
      </c>
      <c r="J97" s="65" t="s">
        <v>64</v>
      </c>
      <c r="K97" s="74"/>
    </row>
    <row r="98" spans="1:11" ht="18" customHeight="1" thickBot="1" x14ac:dyDescent="0.25">
      <c r="A98" s="60">
        <f t="shared" ref="A98:I100" si="14">A71+A74+A77+A80+A83+A86+A89+A92+A95</f>
        <v>245</v>
      </c>
      <c r="B98" s="60">
        <f t="shared" si="14"/>
        <v>44</v>
      </c>
      <c r="C98" s="60">
        <f t="shared" si="14"/>
        <v>201</v>
      </c>
      <c r="D98" s="60">
        <f t="shared" si="14"/>
        <v>0</v>
      </c>
      <c r="E98" s="60">
        <f t="shared" si="14"/>
        <v>0</v>
      </c>
      <c r="F98" s="60">
        <f t="shared" si="14"/>
        <v>0</v>
      </c>
      <c r="G98" s="60">
        <f t="shared" si="14"/>
        <v>245</v>
      </c>
      <c r="H98" s="60">
        <f t="shared" si="14"/>
        <v>44</v>
      </c>
      <c r="I98" s="60">
        <f>I71+I74+I77+I80+I83+I86+I89+I92+I95</f>
        <v>201</v>
      </c>
      <c r="J98" s="65" t="s">
        <v>231</v>
      </c>
      <c r="K98" s="57"/>
    </row>
    <row r="99" spans="1:11" ht="18.75" customHeight="1" thickBot="1" x14ac:dyDescent="0.25">
      <c r="A99" s="60">
        <f t="shared" si="14"/>
        <v>1263</v>
      </c>
      <c r="B99" s="60">
        <f t="shared" si="14"/>
        <v>539</v>
      </c>
      <c r="C99" s="60">
        <f t="shared" si="14"/>
        <v>724</v>
      </c>
      <c r="D99" s="60">
        <f t="shared" si="14"/>
        <v>20</v>
      </c>
      <c r="E99" s="60">
        <f t="shared" si="14"/>
        <v>6</v>
      </c>
      <c r="F99" s="60">
        <f t="shared" si="14"/>
        <v>14</v>
      </c>
      <c r="G99" s="60">
        <f t="shared" si="14"/>
        <v>1243</v>
      </c>
      <c r="H99" s="60">
        <f t="shared" si="14"/>
        <v>533</v>
      </c>
      <c r="I99" s="60">
        <f t="shared" si="14"/>
        <v>710</v>
      </c>
      <c r="J99" s="65" t="s">
        <v>62</v>
      </c>
      <c r="K99" s="68" t="s">
        <v>232</v>
      </c>
    </row>
    <row r="100" spans="1:11" ht="19.5" customHeight="1" thickBot="1" x14ac:dyDescent="0.25">
      <c r="A100" s="60">
        <f t="shared" si="14"/>
        <v>218</v>
      </c>
      <c r="B100" s="60">
        <f t="shared" si="14"/>
        <v>34</v>
      </c>
      <c r="C100" s="60">
        <f t="shared" si="14"/>
        <v>184</v>
      </c>
      <c r="D100" s="60">
        <f t="shared" si="14"/>
        <v>42</v>
      </c>
      <c r="E100" s="60">
        <f t="shared" si="14"/>
        <v>1</v>
      </c>
      <c r="F100" s="60">
        <f t="shared" si="14"/>
        <v>41</v>
      </c>
      <c r="G100" s="60">
        <f t="shared" si="14"/>
        <v>176</v>
      </c>
      <c r="H100" s="60">
        <f t="shared" si="14"/>
        <v>33</v>
      </c>
      <c r="I100" s="60">
        <f t="shared" si="14"/>
        <v>143</v>
      </c>
      <c r="J100" s="65" t="s">
        <v>64</v>
      </c>
      <c r="K100" s="59"/>
    </row>
    <row r="101" spans="1:11" ht="18.75" customHeight="1" thickBot="1" x14ac:dyDescent="0.25">
      <c r="A101" s="60">
        <f t="shared" ref="A101:H101" si="15">SUM(A98:A100)</f>
        <v>1726</v>
      </c>
      <c r="B101" s="60">
        <f t="shared" si="15"/>
        <v>617</v>
      </c>
      <c r="C101" s="60">
        <f t="shared" si="15"/>
        <v>1109</v>
      </c>
      <c r="D101" s="60">
        <f t="shared" si="15"/>
        <v>62</v>
      </c>
      <c r="E101" s="60">
        <f t="shared" si="15"/>
        <v>7</v>
      </c>
      <c r="F101" s="60">
        <f t="shared" si="15"/>
        <v>55</v>
      </c>
      <c r="G101" s="60">
        <f t="shared" si="15"/>
        <v>1664</v>
      </c>
      <c r="H101" s="60">
        <f t="shared" si="15"/>
        <v>610</v>
      </c>
      <c r="I101" s="60">
        <f>SUM(I98:I100)</f>
        <v>1054</v>
      </c>
      <c r="J101" s="184" t="s">
        <v>233</v>
      </c>
      <c r="K101" s="184"/>
    </row>
    <row r="103" spans="1:11" x14ac:dyDescent="0.2">
      <c r="A103" s="177" t="s">
        <v>529</v>
      </c>
      <c r="B103" s="177"/>
      <c r="C103" s="177"/>
      <c r="D103" s="177"/>
      <c r="E103" s="177"/>
      <c r="F103" s="177"/>
      <c r="G103" s="177"/>
      <c r="H103" s="177"/>
      <c r="I103" s="177"/>
      <c r="J103" s="177"/>
      <c r="K103" s="177"/>
    </row>
    <row r="104" spans="1:11" ht="13.5" thickBot="1" x14ac:dyDescent="0.25">
      <c r="A104" s="178" t="s">
        <v>530</v>
      </c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</row>
    <row r="105" spans="1:11" ht="13.5" thickBot="1" x14ac:dyDescent="0.25">
      <c r="A105" s="179" t="s">
        <v>5</v>
      </c>
      <c r="B105" s="179"/>
      <c r="C105" s="179"/>
      <c r="D105" s="179" t="s">
        <v>162</v>
      </c>
      <c r="E105" s="179"/>
      <c r="F105" s="179"/>
      <c r="G105" s="179" t="s">
        <v>163</v>
      </c>
      <c r="H105" s="179"/>
      <c r="I105" s="179"/>
      <c r="J105" s="179" t="s">
        <v>72</v>
      </c>
      <c r="K105" s="179"/>
    </row>
    <row r="106" spans="1:11" ht="13.5" thickBot="1" x14ac:dyDescent="0.25">
      <c r="A106" s="58" t="s">
        <v>216</v>
      </c>
      <c r="B106" s="58" t="s">
        <v>11</v>
      </c>
      <c r="C106" s="58" t="s">
        <v>10</v>
      </c>
      <c r="D106" s="58" t="s">
        <v>216</v>
      </c>
      <c r="E106" s="58" t="s">
        <v>11</v>
      </c>
      <c r="F106" s="58" t="s">
        <v>10</v>
      </c>
      <c r="G106" s="58" t="s">
        <v>216</v>
      </c>
      <c r="H106" s="58" t="s">
        <v>11</v>
      </c>
      <c r="I106" s="58" t="s">
        <v>10</v>
      </c>
      <c r="J106" s="180" t="s">
        <v>78</v>
      </c>
      <c r="K106" s="180"/>
    </row>
    <row r="107" spans="1:11" ht="13.5" thickBot="1" x14ac:dyDescent="0.25">
      <c r="A107" s="60">
        <f>SUM(B107:C107)</f>
        <v>2</v>
      </c>
      <c r="B107" s="60">
        <f>H107+E107</f>
        <v>1</v>
      </c>
      <c r="C107" s="60">
        <f>I107+F107</f>
        <v>1</v>
      </c>
      <c r="D107" s="60">
        <f>SUM(E107:F107)</f>
        <v>1</v>
      </c>
      <c r="E107" s="60">
        <v>1</v>
      </c>
      <c r="F107" s="60">
        <v>0</v>
      </c>
      <c r="G107" s="60">
        <f>SUM(H107:I107)</f>
        <v>1</v>
      </c>
      <c r="H107" s="60">
        <v>0</v>
      </c>
      <c r="I107" s="60">
        <v>1</v>
      </c>
      <c r="J107" s="65" t="s">
        <v>61</v>
      </c>
      <c r="K107" s="66"/>
    </row>
    <row r="108" spans="1:11" ht="13.5" thickBot="1" x14ac:dyDescent="0.25">
      <c r="A108" s="60">
        <f t="shared" ref="A108:A154" si="16">SUM(B108:C108)</f>
        <v>56</v>
      </c>
      <c r="B108" s="60">
        <f t="shared" ref="B108:C154" si="17">H108+E108</f>
        <v>7</v>
      </c>
      <c r="C108" s="60">
        <f t="shared" si="17"/>
        <v>49</v>
      </c>
      <c r="D108" s="60">
        <f t="shared" ref="D108:D154" si="18">SUM(E108:F108)</f>
        <v>8</v>
      </c>
      <c r="E108" s="60">
        <v>0</v>
      </c>
      <c r="F108" s="60">
        <v>8</v>
      </c>
      <c r="G108" s="60">
        <f t="shared" ref="G108:G154" si="19">SUM(H108:I108)</f>
        <v>48</v>
      </c>
      <c r="H108" s="60">
        <v>7</v>
      </c>
      <c r="I108" s="60">
        <v>41</v>
      </c>
      <c r="J108" s="65" t="s">
        <v>62</v>
      </c>
      <c r="K108" s="66" t="s">
        <v>360</v>
      </c>
    </row>
    <row r="109" spans="1:11" ht="13.5" thickBot="1" x14ac:dyDescent="0.25">
      <c r="A109" s="60">
        <f t="shared" si="16"/>
        <v>0</v>
      </c>
      <c r="B109" s="60">
        <f t="shared" si="17"/>
        <v>0</v>
      </c>
      <c r="C109" s="60">
        <f t="shared" si="17"/>
        <v>0</v>
      </c>
      <c r="D109" s="60">
        <f t="shared" si="18"/>
        <v>0</v>
      </c>
      <c r="E109" s="60">
        <v>0</v>
      </c>
      <c r="F109" s="60">
        <v>0</v>
      </c>
      <c r="G109" s="60">
        <f t="shared" si="19"/>
        <v>0</v>
      </c>
      <c r="H109" s="60">
        <v>0</v>
      </c>
      <c r="I109" s="60">
        <v>0</v>
      </c>
      <c r="J109" s="65" t="s">
        <v>64</v>
      </c>
      <c r="K109" s="74"/>
    </row>
    <row r="110" spans="1:11" ht="13.5" thickBot="1" x14ac:dyDescent="0.25">
      <c r="A110" s="60">
        <f t="shared" si="16"/>
        <v>1</v>
      </c>
      <c r="B110" s="60">
        <f t="shared" si="17"/>
        <v>1</v>
      </c>
      <c r="C110" s="60">
        <f t="shared" si="17"/>
        <v>0</v>
      </c>
      <c r="D110" s="60">
        <f t="shared" si="18"/>
        <v>0</v>
      </c>
      <c r="E110" s="60">
        <v>0</v>
      </c>
      <c r="F110" s="60">
        <v>0</v>
      </c>
      <c r="G110" s="60">
        <f t="shared" si="19"/>
        <v>1</v>
      </c>
      <c r="H110" s="60">
        <v>1</v>
      </c>
      <c r="I110" s="60">
        <v>0</v>
      </c>
      <c r="J110" s="65" t="s">
        <v>61</v>
      </c>
      <c r="K110" s="66"/>
    </row>
    <row r="111" spans="1:11" ht="13.5" thickBot="1" x14ac:dyDescent="0.25">
      <c r="A111" s="60">
        <f t="shared" si="16"/>
        <v>19</v>
      </c>
      <c r="B111" s="60">
        <f t="shared" si="17"/>
        <v>8</v>
      </c>
      <c r="C111" s="60">
        <f t="shared" si="17"/>
        <v>11</v>
      </c>
      <c r="D111" s="60">
        <f t="shared" si="18"/>
        <v>1</v>
      </c>
      <c r="E111" s="60">
        <v>1</v>
      </c>
      <c r="F111" s="60">
        <v>0</v>
      </c>
      <c r="G111" s="60">
        <f t="shared" si="19"/>
        <v>18</v>
      </c>
      <c r="H111" s="60">
        <v>7</v>
      </c>
      <c r="I111" s="60">
        <v>11</v>
      </c>
      <c r="J111" s="65" t="s">
        <v>62</v>
      </c>
      <c r="K111" s="66" t="s">
        <v>337</v>
      </c>
    </row>
    <row r="112" spans="1:11" ht="13.5" thickBot="1" x14ac:dyDescent="0.25">
      <c r="A112" s="60">
        <f t="shared" si="16"/>
        <v>0</v>
      </c>
      <c r="B112" s="60">
        <f t="shared" si="17"/>
        <v>0</v>
      </c>
      <c r="C112" s="60">
        <f t="shared" si="17"/>
        <v>0</v>
      </c>
      <c r="D112" s="60">
        <f t="shared" si="18"/>
        <v>0</v>
      </c>
      <c r="E112" s="60">
        <v>0</v>
      </c>
      <c r="F112" s="60">
        <v>0</v>
      </c>
      <c r="G112" s="60">
        <f t="shared" si="19"/>
        <v>0</v>
      </c>
      <c r="H112" s="60">
        <v>0</v>
      </c>
      <c r="I112" s="60">
        <v>0</v>
      </c>
      <c r="J112" s="65" t="s">
        <v>64</v>
      </c>
      <c r="K112" s="74"/>
    </row>
    <row r="113" spans="1:11" ht="13.5" thickBot="1" x14ac:dyDescent="0.25">
      <c r="A113" s="60">
        <f t="shared" si="16"/>
        <v>39</v>
      </c>
      <c r="B113" s="60">
        <f t="shared" si="17"/>
        <v>22</v>
      </c>
      <c r="C113" s="60">
        <f t="shared" si="17"/>
        <v>17</v>
      </c>
      <c r="D113" s="60">
        <f t="shared" si="18"/>
        <v>1</v>
      </c>
      <c r="E113" s="60">
        <v>0</v>
      </c>
      <c r="F113" s="60">
        <v>1</v>
      </c>
      <c r="G113" s="60">
        <f t="shared" si="19"/>
        <v>38</v>
      </c>
      <c r="H113" s="60">
        <v>22</v>
      </c>
      <c r="I113" s="60">
        <v>16</v>
      </c>
      <c r="J113" s="65" t="s">
        <v>61</v>
      </c>
      <c r="K113" s="66"/>
    </row>
    <row r="114" spans="1:11" ht="13.5" thickBot="1" x14ac:dyDescent="0.25">
      <c r="A114" s="60">
        <f t="shared" si="16"/>
        <v>141</v>
      </c>
      <c r="B114" s="60">
        <f t="shared" si="17"/>
        <v>73</v>
      </c>
      <c r="C114" s="60">
        <f t="shared" si="17"/>
        <v>68</v>
      </c>
      <c r="D114" s="60">
        <f t="shared" si="18"/>
        <v>6</v>
      </c>
      <c r="E114" s="60">
        <v>1</v>
      </c>
      <c r="F114" s="60">
        <v>5</v>
      </c>
      <c r="G114" s="60">
        <f t="shared" si="19"/>
        <v>135</v>
      </c>
      <c r="H114" s="60">
        <v>72</v>
      </c>
      <c r="I114" s="60">
        <v>63</v>
      </c>
      <c r="J114" s="65" t="s">
        <v>62</v>
      </c>
      <c r="K114" s="66" t="s">
        <v>363</v>
      </c>
    </row>
    <row r="115" spans="1:11" ht="13.5" thickBot="1" x14ac:dyDescent="0.25">
      <c r="A115" s="60">
        <f t="shared" si="16"/>
        <v>0</v>
      </c>
      <c r="B115" s="60">
        <f t="shared" si="17"/>
        <v>0</v>
      </c>
      <c r="C115" s="60">
        <f t="shared" si="17"/>
        <v>0</v>
      </c>
      <c r="D115" s="60">
        <f t="shared" si="18"/>
        <v>0</v>
      </c>
      <c r="E115" s="60">
        <v>0</v>
      </c>
      <c r="F115" s="60">
        <v>0</v>
      </c>
      <c r="G115" s="60">
        <f t="shared" si="19"/>
        <v>0</v>
      </c>
      <c r="H115" s="60">
        <v>0</v>
      </c>
      <c r="I115" s="60">
        <v>0</v>
      </c>
      <c r="J115" s="65" t="s">
        <v>64</v>
      </c>
      <c r="K115" s="74"/>
    </row>
    <row r="116" spans="1:11" ht="13.5" thickBot="1" x14ac:dyDescent="0.25">
      <c r="A116" s="60">
        <f t="shared" si="16"/>
        <v>59</v>
      </c>
      <c r="B116" s="60">
        <f t="shared" si="17"/>
        <v>13</v>
      </c>
      <c r="C116" s="60">
        <f t="shared" si="17"/>
        <v>46</v>
      </c>
      <c r="D116" s="60">
        <f t="shared" si="18"/>
        <v>1</v>
      </c>
      <c r="E116" s="60">
        <v>0</v>
      </c>
      <c r="F116" s="60">
        <v>1</v>
      </c>
      <c r="G116" s="60">
        <f t="shared" si="19"/>
        <v>58</v>
      </c>
      <c r="H116" s="60">
        <v>13</v>
      </c>
      <c r="I116" s="60">
        <v>45</v>
      </c>
      <c r="J116" s="65" t="s">
        <v>61</v>
      </c>
      <c r="K116" s="66"/>
    </row>
    <row r="117" spans="1:11" ht="13.5" thickBot="1" x14ac:dyDescent="0.25">
      <c r="A117" s="60">
        <f t="shared" si="16"/>
        <v>401</v>
      </c>
      <c r="B117" s="60">
        <f t="shared" si="17"/>
        <v>157</v>
      </c>
      <c r="C117" s="60">
        <f t="shared" si="17"/>
        <v>244</v>
      </c>
      <c r="D117" s="60">
        <f t="shared" si="18"/>
        <v>14</v>
      </c>
      <c r="E117" s="60">
        <v>2</v>
      </c>
      <c r="F117" s="60">
        <v>12</v>
      </c>
      <c r="G117" s="60">
        <f t="shared" si="19"/>
        <v>387</v>
      </c>
      <c r="H117" s="60">
        <v>155</v>
      </c>
      <c r="I117" s="60">
        <v>232</v>
      </c>
      <c r="J117" s="65" t="s">
        <v>62</v>
      </c>
      <c r="K117" s="66" t="s">
        <v>364</v>
      </c>
    </row>
    <row r="118" spans="1:11" ht="13.5" thickBot="1" x14ac:dyDescent="0.25">
      <c r="A118" s="60">
        <f t="shared" si="16"/>
        <v>0</v>
      </c>
      <c r="B118" s="60">
        <f t="shared" si="17"/>
        <v>0</v>
      </c>
      <c r="C118" s="60">
        <f t="shared" si="17"/>
        <v>0</v>
      </c>
      <c r="D118" s="60">
        <f t="shared" si="18"/>
        <v>0</v>
      </c>
      <c r="E118" s="60">
        <v>0</v>
      </c>
      <c r="F118" s="60">
        <v>0</v>
      </c>
      <c r="G118" s="60">
        <f t="shared" si="19"/>
        <v>0</v>
      </c>
      <c r="H118" s="60">
        <v>0</v>
      </c>
      <c r="I118" s="60">
        <v>0</v>
      </c>
      <c r="J118" s="65" t="s">
        <v>64</v>
      </c>
      <c r="K118" s="74"/>
    </row>
    <row r="119" spans="1:11" ht="13.5" thickBot="1" x14ac:dyDescent="0.25">
      <c r="A119" s="60">
        <f t="shared" si="16"/>
        <v>1</v>
      </c>
      <c r="B119" s="60">
        <f t="shared" si="17"/>
        <v>0</v>
      </c>
      <c r="C119" s="60">
        <f t="shared" si="17"/>
        <v>1</v>
      </c>
      <c r="D119" s="60">
        <f t="shared" si="18"/>
        <v>0</v>
      </c>
      <c r="E119" s="60">
        <v>0</v>
      </c>
      <c r="F119" s="60">
        <v>0</v>
      </c>
      <c r="G119" s="60">
        <f t="shared" si="19"/>
        <v>1</v>
      </c>
      <c r="H119" s="60">
        <v>0</v>
      </c>
      <c r="I119" s="60">
        <v>1</v>
      </c>
      <c r="J119" s="65" t="s">
        <v>61</v>
      </c>
      <c r="K119" s="66"/>
    </row>
    <row r="120" spans="1:11" ht="13.5" thickBot="1" x14ac:dyDescent="0.25">
      <c r="A120" s="60">
        <f t="shared" si="16"/>
        <v>58</v>
      </c>
      <c r="B120" s="60">
        <f t="shared" si="17"/>
        <v>23</v>
      </c>
      <c r="C120" s="60">
        <f t="shared" si="17"/>
        <v>35</v>
      </c>
      <c r="D120" s="60">
        <f t="shared" si="18"/>
        <v>11</v>
      </c>
      <c r="E120" s="60">
        <v>4</v>
      </c>
      <c r="F120" s="60">
        <v>7</v>
      </c>
      <c r="G120" s="60">
        <f t="shared" si="19"/>
        <v>47</v>
      </c>
      <c r="H120" s="60">
        <v>19</v>
      </c>
      <c r="I120" s="60">
        <v>28</v>
      </c>
      <c r="J120" s="65" t="s">
        <v>62</v>
      </c>
      <c r="K120" s="66" t="s">
        <v>263</v>
      </c>
    </row>
    <row r="121" spans="1:11" ht="13.5" thickBot="1" x14ac:dyDescent="0.25">
      <c r="A121" s="60">
        <f t="shared" si="16"/>
        <v>8</v>
      </c>
      <c r="B121" s="60">
        <f t="shared" si="17"/>
        <v>8</v>
      </c>
      <c r="C121" s="60">
        <f t="shared" si="17"/>
        <v>0</v>
      </c>
      <c r="D121" s="60">
        <f t="shared" si="18"/>
        <v>1</v>
      </c>
      <c r="E121" s="60">
        <v>1</v>
      </c>
      <c r="F121" s="60">
        <v>0</v>
      </c>
      <c r="G121" s="60">
        <f t="shared" si="19"/>
        <v>7</v>
      </c>
      <c r="H121" s="60">
        <v>7</v>
      </c>
      <c r="I121" s="60">
        <v>0</v>
      </c>
      <c r="J121" s="65" t="s">
        <v>64</v>
      </c>
      <c r="K121" s="74"/>
    </row>
    <row r="122" spans="1:11" ht="13.5" thickBot="1" x14ac:dyDescent="0.25">
      <c r="A122" s="60">
        <f t="shared" si="16"/>
        <v>0</v>
      </c>
      <c r="B122" s="60">
        <f t="shared" si="17"/>
        <v>0</v>
      </c>
      <c r="C122" s="60">
        <f t="shared" si="17"/>
        <v>0</v>
      </c>
      <c r="D122" s="60">
        <f t="shared" si="18"/>
        <v>0</v>
      </c>
      <c r="E122" s="60">
        <v>0</v>
      </c>
      <c r="F122" s="60">
        <v>0</v>
      </c>
      <c r="G122" s="60">
        <f t="shared" si="19"/>
        <v>0</v>
      </c>
      <c r="H122" s="60">
        <v>0</v>
      </c>
      <c r="I122" s="60">
        <v>0</v>
      </c>
      <c r="J122" s="65" t="s">
        <v>61</v>
      </c>
      <c r="K122" s="66"/>
    </row>
    <row r="123" spans="1:11" ht="13.5" thickBot="1" x14ac:dyDescent="0.25">
      <c r="A123" s="60">
        <f t="shared" si="16"/>
        <v>9</v>
      </c>
      <c r="B123" s="60">
        <f t="shared" si="17"/>
        <v>9</v>
      </c>
      <c r="C123" s="60">
        <f t="shared" si="17"/>
        <v>0</v>
      </c>
      <c r="D123" s="60">
        <f t="shared" si="18"/>
        <v>0</v>
      </c>
      <c r="E123" s="60">
        <v>0</v>
      </c>
      <c r="F123" s="60">
        <v>0</v>
      </c>
      <c r="G123" s="60">
        <f t="shared" si="19"/>
        <v>9</v>
      </c>
      <c r="H123" s="60">
        <v>9</v>
      </c>
      <c r="I123" s="60">
        <v>0</v>
      </c>
      <c r="J123" s="65" t="s">
        <v>62</v>
      </c>
      <c r="K123" s="66" t="s">
        <v>244</v>
      </c>
    </row>
    <row r="124" spans="1:11" ht="13.5" thickBot="1" x14ac:dyDescent="0.25">
      <c r="A124" s="60">
        <f t="shared" si="16"/>
        <v>0</v>
      </c>
      <c r="B124" s="60">
        <f t="shared" si="17"/>
        <v>0</v>
      </c>
      <c r="C124" s="60">
        <f t="shared" si="17"/>
        <v>0</v>
      </c>
      <c r="D124" s="60">
        <f t="shared" si="18"/>
        <v>0</v>
      </c>
      <c r="E124" s="60">
        <v>0</v>
      </c>
      <c r="F124" s="60">
        <v>0</v>
      </c>
      <c r="G124" s="60">
        <f t="shared" si="19"/>
        <v>0</v>
      </c>
      <c r="H124" s="60">
        <v>0</v>
      </c>
      <c r="I124" s="60">
        <v>0</v>
      </c>
      <c r="J124" s="65" t="s">
        <v>64</v>
      </c>
      <c r="K124" s="74"/>
    </row>
    <row r="125" spans="1:11" ht="13.5" thickBot="1" x14ac:dyDescent="0.25">
      <c r="A125" s="60">
        <f t="shared" si="16"/>
        <v>19</v>
      </c>
      <c r="B125" s="60">
        <f t="shared" si="17"/>
        <v>13</v>
      </c>
      <c r="C125" s="60">
        <f t="shared" si="17"/>
        <v>6</v>
      </c>
      <c r="D125" s="60">
        <f t="shared" si="18"/>
        <v>5</v>
      </c>
      <c r="E125" s="60">
        <v>1</v>
      </c>
      <c r="F125" s="60">
        <v>4</v>
      </c>
      <c r="G125" s="60">
        <f t="shared" si="19"/>
        <v>14</v>
      </c>
      <c r="H125" s="60">
        <v>12</v>
      </c>
      <c r="I125" s="60">
        <v>2</v>
      </c>
      <c r="J125" s="65" t="s">
        <v>61</v>
      </c>
      <c r="K125" s="66"/>
    </row>
    <row r="126" spans="1:11" ht="13.5" thickBot="1" x14ac:dyDescent="0.25">
      <c r="A126" s="60">
        <f t="shared" si="16"/>
        <v>185</v>
      </c>
      <c r="B126" s="60">
        <f t="shared" si="17"/>
        <v>70</v>
      </c>
      <c r="C126" s="60">
        <f t="shared" si="17"/>
        <v>115</v>
      </c>
      <c r="D126" s="60">
        <f t="shared" si="18"/>
        <v>25</v>
      </c>
      <c r="E126" s="60">
        <v>13</v>
      </c>
      <c r="F126" s="60">
        <v>12</v>
      </c>
      <c r="G126" s="60">
        <f t="shared" si="19"/>
        <v>160</v>
      </c>
      <c r="H126" s="60">
        <v>57</v>
      </c>
      <c r="I126" s="60">
        <v>103</v>
      </c>
      <c r="J126" s="65" t="s">
        <v>62</v>
      </c>
      <c r="K126" s="66" t="s">
        <v>365</v>
      </c>
    </row>
    <row r="127" spans="1:11" ht="13.5" thickBot="1" x14ac:dyDescent="0.25">
      <c r="A127" s="60">
        <f t="shared" si="16"/>
        <v>0</v>
      </c>
      <c r="B127" s="60">
        <f t="shared" si="17"/>
        <v>0</v>
      </c>
      <c r="C127" s="60">
        <f t="shared" si="17"/>
        <v>0</v>
      </c>
      <c r="D127" s="60">
        <f t="shared" si="18"/>
        <v>0</v>
      </c>
      <c r="E127" s="60">
        <v>0</v>
      </c>
      <c r="F127" s="60">
        <v>0</v>
      </c>
      <c r="G127" s="60">
        <f t="shared" si="19"/>
        <v>0</v>
      </c>
      <c r="H127" s="60">
        <v>0</v>
      </c>
      <c r="I127" s="60">
        <v>0</v>
      </c>
      <c r="J127" s="65" t="s">
        <v>64</v>
      </c>
      <c r="K127" s="74"/>
    </row>
    <row r="128" spans="1:11" ht="13.5" thickBot="1" x14ac:dyDescent="0.25">
      <c r="A128" s="60">
        <f t="shared" si="16"/>
        <v>0</v>
      </c>
      <c r="B128" s="60">
        <f t="shared" si="17"/>
        <v>0</v>
      </c>
      <c r="C128" s="60">
        <f t="shared" si="17"/>
        <v>0</v>
      </c>
      <c r="D128" s="60">
        <f t="shared" si="18"/>
        <v>0</v>
      </c>
      <c r="E128" s="60">
        <v>0</v>
      </c>
      <c r="F128" s="60">
        <v>0</v>
      </c>
      <c r="G128" s="60">
        <f t="shared" si="19"/>
        <v>0</v>
      </c>
      <c r="H128" s="60">
        <v>0</v>
      </c>
      <c r="I128" s="60">
        <v>0</v>
      </c>
      <c r="J128" s="65" t="s">
        <v>61</v>
      </c>
      <c r="K128" s="66"/>
    </row>
    <row r="129" spans="1:11" ht="13.5" thickBot="1" x14ac:dyDescent="0.25">
      <c r="A129" s="60">
        <f t="shared" si="16"/>
        <v>220</v>
      </c>
      <c r="B129" s="60">
        <f t="shared" si="17"/>
        <v>80</v>
      </c>
      <c r="C129" s="60">
        <f t="shared" si="17"/>
        <v>140</v>
      </c>
      <c r="D129" s="60">
        <f t="shared" si="18"/>
        <v>5</v>
      </c>
      <c r="E129" s="60">
        <v>3</v>
      </c>
      <c r="F129" s="60">
        <v>2</v>
      </c>
      <c r="G129" s="60">
        <f t="shared" si="19"/>
        <v>215</v>
      </c>
      <c r="H129" s="60">
        <v>77</v>
      </c>
      <c r="I129" s="60">
        <v>138</v>
      </c>
      <c r="J129" s="65" t="s">
        <v>62</v>
      </c>
      <c r="K129" s="66" t="s">
        <v>366</v>
      </c>
    </row>
    <row r="130" spans="1:11" ht="13.5" thickBot="1" x14ac:dyDescent="0.25">
      <c r="A130" s="60">
        <f t="shared" si="16"/>
        <v>0</v>
      </c>
      <c r="B130" s="60">
        <f t="shared" si="17"/>
        <v>0</v>
      </c>
      <c r="C130" s="60">
        <f t="shared" si="17"/>
        <v>0</v>
      </c>
      <c r="D130" s="60">
        <f t="shared" si="18"/>
        <v>0</v>
      </c>
      <c r="E130" s="60">
        <v>0</v>
      </c>
      <c r="F130" s="60">
        <v>0</v>
      </c>
      <c r="G130" s="60">
        <f t="shared" si="19"/>
        <v>0</v>
      </c>
      <c r="H130" s="60">
        <v>0</v>
      </c>
      <c r="I130" s="60">
        <v>0</v>
      </c>
      <c r="J130" s="65" t="s">
        <v>64</v>
      </c>
      <c r="K130" s="74"/>
    </row>
    <row r="131" spans="1:11" ht="13.5" thickBot="1" x14ac:dyDescent="0.25">
      <c r="A131" s="60">
        <f t="shared" si="16"/>
        <v>0</v>
      </c>
      <c r="B131" s="60">
        <f t="shared" si="17"/>
        <v>0</v>
      </c>
      <c r="C131" s="60">
        <f t="shared" si="17"/>
        <v>0</v>
      </c>
      <c r="D131" s="60">
        <f t="shared" si="18"/>
        <v>0</v>
      </c>
      <c r="E131" s="60">
        <v>0</v>
      </c>
      <c r="F131" s="60">
        <v>0</v>
      </c>
      <c r="G131" s="60">
        <f t="shared" si="19"/>
        <v>0</v>
      </c>
      <c r="H131" s="60">
        <v>0</v>
      </c>
      <c r="I131" s="60">
        <v>0</v>
      </c>
      <c r="J131" s="65" t="s">
        <v>61</v>
      </c>
      <c r="K131" s="66"/>
    </row>
    <row r="132" spans="1:11" ht="13.5" thickBot="1" x14ac:dyDescent="0.25">
      <c r="A132" s="60">
        <f t="shared" si="16"/>
        <v>82</v>
      </c>
      <c r="B132" s="60">
        <f t="shared" si="17"/>
        <v>42</v>
      </c>
      <c r="C132" s="60">
        <f t="shared" si="17"/>
        <v>40</v>
      </c>
      <c r="D132" s="60">
        <f t="shared" si="18"/>
        <v>13</v>
      </c>
      <c r="E132" s="60">
        <v>5</v>
      </c>
      <c r="F132" s="60">
        <v>8</v>
      </c>
      <c r="G132" s="60">
        <f t="shared" si="19"/>
        <v>69</v>
      </c>
      <c r="H132" s="60">
        <v>37</v>
      </c>
      <c r="I132" s="60">
        <v>32</v>
      </c>
      <c r="J132" s="65" t="s">
        <v>62</v>
      </c>
      <c r="K132" s="66" t="s">
        <v>355</v>
      </c>
    </row>
    <row r="133" spans="1:11" ht="13.5" thickBot="1" x14ac:dyDescent="0.25">
      <c r="A133" s="60">
        <f t="shared" si="16"/>
        <v>0</v>
      </c>
      <c r="B133" s="60">
        <f t="shared" si="17"/>
        <v>0</v>
      </c>
      <c r="C133" s="60">
        <f t="shared" si="17"/>
        <v>0</v>
      </c>
      <c r="D133" s="60">
        <f t="shared" si="18"/>
        <v>0</v>
      </c>
      <c r="E133" s="60">
        <v>0</v>
      </c>
      <c r="F133" s="60">
        <v>0</v>
      </c>
      <c r="G133" s="60">
        <f t="shared" si="19"/>
        <v>0</v>
      </c>
      <c r="H133" s="60">
        <v>0</v>
      </c>
      <c r="I133" s="60">
        <v>0</v>
      </c>
      <c r="J133" s="65" t="s">
        <v>64</v>
      </c>
      <c r="K133" s="74"/>
    </row>
    <row r="134" spans="1:11" ht="13.5" thickBot="1" x14ac:dyDescent="0.25">
      <c r="A134" s="60">
        <f t="shared" si="16"/>
        <v>0</v>
      </c>
      <c r="B134" s="60">
        <f t="shared" si="17"/>
        <v>0</v>
      </c>
      <c r="C134" s="60">
        <f t="shared" si="17"/>
        <v>0</v>
      </c>
      <c r="D134" s="60">
        <f t="shared" si="18"/>
        <v>0</v>
      </c>
      <c r="E134" s="60">
        <v>0</v>
      </c>
      <c r="F134" s="60">
        <v>0</v>
      </c>
      <c r="G134" s="60">
        <f t="shared" si="19"/>
        <v>0</v>
      </c>
      <c r="H134" s="60">
        <v>0</v>
      </c>
      <c r="I134" s="60">
        <v>0</v>
      </c>
      <c r="J134" s="65" t="s">
        <v>61</v>
      </c>
      <c r="K134" s="66"/>
    </row>
    <row r="135" spans="1:11" ht="13.5" thickBot="1" x14ac:dyDescent="0.25">
      <c r="A135" s="60">
        <f t="shared" si="16"/>
        <v>19</v>
      </c>
      <c r="B135" s="60">
        <f t="shared" si="17"/>
        <v>0</v>
      </c>
      <c r="C135" s="60">
        <f t="shared" si="17"/>
        <v>19</v>
      </c>
      <c r="D135" s="60">
        <f t="shared" si="18"/>
        <v>0</v>
      </c>
      <c r="E135" s="60">
        <v>0</v>
      </c>
      <c r="F135" s="60">
        <v>0</v>
      </c>
      <c r="G135" s="60">
        <f t="shared" si="19"/>
        <v>19</v>
      </c>
      <c r="H135" s="60">
        <v>0</v>
      </c>
      <c r="I135" s="60">
        <v>19</v>
      </c>
      <c r="J135" s="65" t="s">
        <v>62</v>
      </c>
      <c r="K135" s="66" t="s">
        <v>535</v>
      </c>
    </row>
    <row r="136" spans="1:11" ht="13.5" thickBot="1" x14ac:dyDescent="0.25">
      <c r="A136" s="60">
        <f t="shared" si="16"/>
        <v>0</v>
      </c>
      <c r="B136" s="60">
        <f t="shared" si="17"/>
        <v>0</v>
      </c>
      <c r="C136" s="60">
        <f t="shared" si="17"/>
        <v>0</v>
      </c>
      <c r="D136" s="60">
        <f t="shared" si="18"/>
        <v>0</v>
      </c>
      <c r="E136" s="60">
        <v>0</v>
      </c>
      <c r="F136" s="60">
        <v>0</v>
      </c>
      <c r="G136" s="60">
        <f t="shared" si="19"/>
        <v>0</v>
      </c>
      <c r="H136" s="60">
        <v>0</v>
      </c>
      <c r="I136" s="60">
        <v>0</v>
      </c>
      <c r="J136" s="65" t="s">
        <v>64</v>
      </c>
      <c r="K136" s="74"/>
    </row>
    <row r="137" spans="1:11" ht="13.5" thickBot="1" x14ac:dyDescent="0.25">
      <c r="A137" s="60">
        <f t="shared" si="16"/>
        <v>3</v>
      </c>
      <c r="B137" s="60">
        <f t="shared" si="17"/>
        <v>0</v>
      </c>
      <c r="C137" s="60">
        <f t="shared" si="17"/>
        <v>3</v>
      </c>
      <c r="D137" s="60">
        <f t="shared" si="18"/>
        <v>2</v>
      </c>
      <c r="E137" s="60">
        <v>0</v>
      </c>
      <c r="F137" s="60">
        <v>2</v>
      </c>
      <c r="G137" s="60">
        <f t="shared" si="19"/>
        <v>1</v>
      </c>
      <c r="H137" s="60">
        <v>0</v>
      </c>
      <c r="I137" s="60">
        <v>1</v>
      </c>
      <c r="J137" s="65" t="s">
        <v>61</v>
      </c>
      <c r="K137" s="66"/>
    </row>
    <row r="138" spans="1:11" ht="13.5" thickBot="1" x14ac:dyDescent="0.25">
      <c r="A138" s="60">
        <f t="shared" si="16"/>
        <v>60</v>
      </c>
      <c r="B138" s="60">
        <f t="shared" si="17"/>
        <v>0</v>
      </c>
      <c r="C138" s="60">
        <f t="shared" si="17"/>
        <v>60</v>
      </c>
      <c r="D138" s="60">
        <f t="shared" si="18"/>
        <v>16</v>
      </c>
      <c r="E138" s="60">
        <v>0</v>
      </c>
      <c r="F138" s="60">
        <v>16</v>
      </c>
      <c r="G138" s="60">
        <f t="shared" si="19"/>
        <v>44</v>
      </c>
      <c r="H138" s="60">
        <v>0</v>
      </c>
      <c r="I138" s="60">
        <v>44</v>
      </c>
      <c r="J138" s="65" t="s">
        <v>62</v>
      </c>
      <c r="K138" s="66" t="s">
        <v>377</v>
      </c>
    </row>
    <row r="139" spans="1:11" ht="13.5" thickBot="1" x14ac:dyDescent="0.25">
      <c r="A139" s="60">
        <f t="shared" si="16"/>
        <v>0</v>
      </c>
      <c r="B139" s="60">
        <f t="shared" si="17"/>
        <v>0</v>
      </c>
      <c r="C139" s="60">
        <f t="shared" si="17"/>
        <v>0</v>
      </c>
      <c r="D139" s="60">
        <f t="shared" si="18"/>
        <v>0</v>
      </c>
      <c r="E139" s="60">
        <v>0</v>
      </c>
      <c r="F139" s="60">
        <v>0</v>
      </c>
      <c r="G139" s="60">
        <f t="shared" si="19"/>
        <v>0</v>
      </c>
      <c r="H139" s="60">
        <v>0</v>
      </c>
      <c r="I139" s="60">
        <v>0</v>
      </c>
      <c r="J139" s="65" t="s">
        <v>64</v>
      </c>
      <c r="K139" s="74"/>
    </row>
    <row r="140" spans="1:11" ht="13.5" thickBot="1" x14ac:dyDescent="0.25">
      <c r="A140" s="60">
        <f t="shared" si="16"/>
        <v>0</v>
      </c>
      <c r="B140" s="60">
        <f t="shared" si="17"/>
        <v>0</v>
      </c>
      <c r="C140" s="60">
        <f t="shared" si="17"/>
        <v>0</v>
      </c>
      <c r="D140" s="60">
        <f t="shared" si="18"/>
        <v>0</v>
      </c>
      <c r="E140" s="60">
        <v>0</v>
      </c>
      <c r="F140" s="60">
        <v>0</v>
      </c>
      <c r="G140" s="60">
        <f t="shared" si="19"/>
        <v>0</v>
      </c>
      <c r="H140" s="60">
        <v>0</v>
      </c>
      <c r="I140" s="60">
        <v>0</v>
      </c>
      <c r="J140" s="65" t="s">
        <v>61</v>
      </c>
      <c r="K140" s="66"/>
    </row>
    <row r="141" spans="1:11" ht="13.5" thickBot="1" x14ac:dyDescent="0.25">
      <c r="A141" s="60">
        <f t="shared" si="16"/>
        <v>22</v>
      </c>
      <c r="B141" s="60">
        <f t="shared" si="17"/>
        <v>16</v>
      </c>
      <c r="C141" s="60">
        <f t="shared" si="17"/>
        <v>6</v>
      </c>
      <c r="D141" s="60">
        <f t="shared" si="18"/>
        <v>1</v>
      </c>
      <c r="E141" s="60">
        <v>1</v>
      </c>
      <c r="F141" s="60">
        <v>0</v>
      </c>
      <c r="G141" s="60">
        <f t="shared" si="19"/>
        <v>21</v>
      </c>
      <c r="H141" s="60">
        <v>15</v>
      </c>
      <c r="I141" s="60">
        <v>6</v>
      </c>
      <c r="J141" s="65" t="s">
        <v>62</v>
      </c>
      <c r="K141" s="66" t="s">
        <v>536</v>
      </c>
    </row>
    <row r="142" spans="1:11" ht="13.5" thickBot="1" x14ac:dyDescent="0.25">
      <c r="A142" s="60">
        <f t="shared" si="16"/>
        <v>0</v>
      </c>
      <c r="B142" s="60">
        <f t="shared" si="17"/>
        <v>0</v>
      </c>
      <c r="C142" s="60">
        <f t="shared" si="17"/>
        <v>0</v>
      </c>
      <c r="D142" s="60">
        <f t="shared" si="18"/>
        <v>0</v>
      </c>
      <c r="E142" s="60">
        <v>0</v>
      </c>
      <c r="F142" s="60">
        <v>0</v>
      </c>
      <c r="G142" s="60">
        <f t="shared" si="19"/>
        <v>0</v>
      </c>
      <c r="H142" s="60">
        <v>0</v>
      </c>
      <c r="I142" s="60">
        <v>0</v>
      </c>
      <c r="J142" s="65" t="s">
        <v>64</v>
      </c>
      <c r="K142" s="74"/>
    </row>
    <row r="143" spans="1:11" ht="13.5" thickBot="1" x14ac:dyDescent="0.25">
      <c r="A143" s="60">
        <f t="shared" si="16"/>
        <v>0</v>
      </c>
      <c r="B143" s="60">
        <f t="shared" si="17"/>
        <v>0</v>
      </c>
      <c r="C143" s="60">
        <f t="shared" si="17"/>
        <v>0</v>
      </c>
      <c r="D143" s="60">
        <f t="shared" si="18"/>
        <v>0</v>
      </c>
      <c r="E143" s="60">
        <v>0</v>
      </c>
      <c r="F143" s="60">
        <v>0</v>
      </c>
      <c r="G143" s="60">
        <f t="shared" si="19"/>
        <v>0</v>
      </c>
      <c r="H143" s="60">
        <v>0</v>
      </c>
      <c r="I143" s="60">
        <v>0</v>
      </c>
      <c r="J143" s="65" t="s">
        <v>61</v>
      </c>
      <c r="K143" s="66"/>
    </row>
    <row r="144" spans="1:11" ht="13.5" thickBot="1" x14ac:dyDescent="0.25">
      <c r="A144" s="60">
        <f t="shared" si="16"/>
        <v>5</v>
      </c>
      <c r="B144" s="60">
        <f t="shared" si="17"/>
        <v>0</v>
      </c>
      <c r="C144" s="60">
        <f t="shared" si="17"/>
        <v>5</v>
      </c>
      <c r="D144" s="60">
        <f t="shared" si="18"/>
        <v>0</v>
      </c>
      <c r="E144" s="60">
        <v>0</v>
      </c>
      <c r="F144" s="60">
        <v>0</v>
      </c>
      <c r="G144" s="60">
        <f t="shared" si="19"/>
        <v>5</v>
      </c>
      <c r="H144" s="60">
        <v>0</v>
      </c>
      <c r="I144" s="60">
        <v>5</v>
      </c>
      <c r="J144" s="65" t="s">
        <v>62</v>
      </c>
      <c r="K144" s="66" t="s">
        <v>537</v>
      </c>
    </row>
    <row r="145" spans="1:11" ht="13.5" thickBot="1" x14ac:dyDescent="0.25">
      <c r="A145" s="60">
        <f t="shared" si="16"/>
        <v>0</v>
      </c>
      <c r="B145" s="60">
        <f t="shared" si="17"/>
        <v>0</v>
      </c>
      <c r="C145" s="60">
        <f t="shared" si="17"/>
        <v>0</v>
      </c>
      <c r="D145" s="60">
        <f t="shared" si="18"/>
        <v>0</v>
      </c>
      <c r="E145" s="60">
        <v>0</v>
      </c>
      <c r="F145" s="60">
        <v>0</v>
      </c>
      <c r="G145" s="60">
        <f t="shared" si="19"/>
        <v>0</v>
      </c>
      <c r="H145" s="60">
        <v>0</v>
      </c>
      <c r="I145" s="60">
        <v>0</v>
      </c>
      <c r="J145" s="65" t="s">
        <v>64</v>
      </c>
      <c r="K145" s="74"/>
    </row>
    <row r="146" spans="1:11" ht="13.5" thickBot="1" x14ac:dyDescent="0.25">
      <c r="A146" s="60">
        <f t="shared" si="16"/>
        <v>0</v>
      </c>
      <c r="B146" s="60">
        <f t="shared" si="17"/>
        <v>0</v>
      </c>
      <c r="C146" s="60">
        <f t="shared" si="17"/>
        <v>0</v>
      </c>
      <c r="D146" s="60">
        <f t="shared" si="18"/>
        <v>0</v>
      </c>
      <c r="E146" s="60">
        <v>0</v>
      </c>
      <c r="F146" s="60">
        <v>0</v>
      </c>
      <c r="G146" s="60">
        <f t="shared" si="19"/>
        <v>0</v>
      </c>
      <c r="H146" s="60">
        <v>0</v>
      </c>
      <c r="I146" s="60">
        <v>0</v>
      </c>
      <c r="J146" s="65" t="s">
        <v>61</v>
      </c>
      <c r="K146" s="66"/>
    </row>
    <row r="147" spans="1:11" ht="13.5" thickBot="1" x14ac:dyDescent="0.25">
      <c r="A147" s="60">
        <f t="shared" si="16"/>
        <v>14</v>
      </c>
      <c r="B147" s="60">
        <f t="shared" si="17"/>
        <v>14</v>
      </c>
      <c r="C147" s="60">
        <f t="shared" si="17"/>
        <v>0</v>
      </c>
      <c r="D147" s="60">
        <f t="shared" si="18"/>
        <v>1</v>
      </c>
      <c r="E147" s="60">
        <v>1</v>
      </c>
      <c r="F147" s="60">
        <v>0</v>
      </c>
      <c r="G147" s="60">
        <f t="shared" si="19"/>
        <v>13</v>
      </c>
      <c r="H147" s="60">
        <v>13</v>
      </c>
      <c r="I147" s="60">
        <v>0</v>
      </c>
      <c r="J147" s="65" t="s">
        <v>62</v>
      </c>
      <c r="K147" s="66" t="s">
        <v>367</v>
      </c>
    </row>
    <row r="148" spans="1:11" ht="13.5" thickBot="1" x14ac:dyDescent="0.25">
      <c r="A148" s="60">
        <f t="shared" si="16"/>
        <v>0</v>
      </c>
      <c r="B148" s="60">
        <f t="shared" si="17"/>
        <v>0</v>
      </c>
      <c r="C148" s="60">
        <f t="shared" si="17"/>
        <v>0</v>
      </c>
      <c r="D148" s="60">
        <f t="shared" si="18"/>
        <v>0</v>
      </c>
      <c r="E148" s="60">
        <v>0</v>
      </c>
      <c r="F148" s="60">
        <v>0</v>
      </c>
      <c r="G148" s="60">
        <f t="shared" si="19"/>
        <v>0</v>
      </c>
      <c r="H148" s="60">
        <v>0</v>
      </c>
      <c r="I148" s="60">
        <v>0</v>
      </c>
      <c r="J148" s="65" t="s">
        <v>64</v>
      </c>
      <c r="K148" s="74"/>
    </row>
    <row r="149" spans="1:11" ht="13.5" thickBot="1" x14ac:dyDescent="0.25">
      <c r="A149" s="60">
        <f t="shared" si="16"/>
        <v>4</v>
      </c>
      <c r="B149" s="60">
        <f t="shared" si="17"/>
        <v>2</v>
      </c>
      <c r="C149" s="60">
        <f t="shared" si="17"/>
        <v>2</v>
      </c>
      <c r="D149" s="60">
        <f t="shared" si="18"/>
        <v>0</v>
      </c>
      <c r="E149" s="60">
        <v>0</v>
      </c>
      <c r="F149" s="60">
        <v>0</v>
      </c>
      <c r="G149" s="60">
        <f t="shared" si="19"/>
        <v>4</v>
      </c>
      <c r="H149" s="60">
        <v>2</v>
      </c>
      <c r="I149" s="60">
        <v>2</v>
      </c>
      <c r="J149" s="65" t="s">
        <v>61</v>
      </c>
      <c r="K149" s="66"/>
    </row>
    <row r="150" spans="1:11" ht="13.5" thickBot="1" x14ac:dyDescent="0.25">
      <c r="A150" s="60">
        <f t="shared" si="16"/>
        <v>14</v>
      </c>
      <c r="B150" s="60">
        <f t="shared" si="17"/>
        <v>10</v>
      </c>
      <c r="C150" s="60">
        <f t="shared" si="17"/>
        <v>4</v>
      </c>
      <c r="D150" s="60">
        <f t="shared" si="18"/>
        <v>0</v>
      </c>
      <c r="E150" s="60">
        <v>0</v>
      </c>
      <c r="F150" s="60">
        <v>0</v>
      </c>
      <c r="G150" s="60">
        <f t="shared" si="19"/>
        <v>14</v>
      </c>
      <c r="H150" s="60">
        <v>10</v>
      </c>
      <c r="I150" s="60">
        <v>4</v>
      </c>
      <c r="J150" s="65" t="s">
        <v>62</v>
      </c>
      <c r="K150" s="66" t="s">
        <v>368</v>
      </c>
    </row>
    <row r="151" spans="1:11" ht="13.5" thickBot="1" x14ac:dyDescent="0.25">
      <c r="A151" s="60">
        <f t="shared" si="16"/>
        <v>0</v>
      </c>
      <c r="B151" s="60">
        <f t="shared" si="17"/>
        <v>0</v>
      </c>
      <c r="C151" s="60">
        <f t="shared" si="17"/>
        <v>0</v>
      </c>
      <c r="D151" s="60">
        <f t="shared" si="18"/>
        <v>0</v>
      </c>
      <c r="E151" s="60">
        <v>0</v>
      </c>
      <c r="F151" s="60">
        <v>0</v>
      </c>
      <c r="G151" s="60">
        <f t="shared" si="19"/>
        <v>0</v>
      </c>
      <c r="H151" s="60">
        <v>0</v>
      </c>
      <c r="I151" s="60">
        <v>0</v>
      </c>
      <c r="J151" s="65" t="s">
        <v>64</v>
      </c>
      <c r="K151" s="74"/>
    </row>
    <row r="152" spans="1:11" ht="13.5" thickBot="1" x14ac:dyDescent="0.25">
      <c r="A152" s="60">
        <f t="shared" si="16"/>
        <v>0</v>
      </c>
      <c r="B152" s="60">
        <f t="shared" si="17"/>
        <v>0</v>
      </c>
      <c r="C152" s="60">
        <f t="shared" si="17"/>
        <v>0</v>
      </c>
      <c r="D152" s="60">
        <f t="shared" si="18"/>
        <v>0</v>
      </c>
      <c r="E152" s="60">
        <v>0</v>
      </c>
      <c r="F152" s="60">
        <v>0</v>
      </c>
      <c r="G152" s="60">
        <f t="shared" si="19"/>
        <v>0</v>
      </c>
      <c r="H152" s="60">
        <v>0</v>
      </c>
      <c r="I152" s="60">
        <v>0</v>
      </c>
      <c r="J152" s="65" t="s">
        <v>61</v>
      </c>
      <c r="K152" s="66"/>
    </row>
    <row r="153" spans="1:11" ht="13.5" thickBot="1" x14ac:dyDescent="0.25">
      <c r="A153" s="60">
        <f t="shared" si="16"/>
        <v>0</v>
      </c>
      <c r="B153" s="60">
        <f t="shared" si="17"/>
        <v>0</v>
      </c>
      <c r="C153" s="60">
        <f t="shared" si="17"/>
        <v>0</v>
      </c>
      <c r="D153" s="60">
        <f t="shared" si="18"/>
        <v>0</v>
      </c>
      <c r="E153" s="60">
        <v>0</v>
      </c>
      <c r="F153" s="60">
        <v>0</v>
      </c>
      <c r="G153" s="60">
        <f t="shared" si="19"/>
        <v>0</v>
      </c>
      <c r="H153" s="60">
        <v>0</v>
      </c>
      <c r="I153" s="60">
        <v>0</v>
      </c>
      <c r="J153" s="65" t="s">
        <v>62</v>
      </c>
      <c r="K153" s="66" t="s">
        <v>77</v>
      </c>
    </row>
    <row r="154" spans="1:11" ht="13.5" thickBot="1" x14ac:dyDescent="0.25">
      <c r="A154" s="60">
        <f t="shared" si="16"/>
        <v>136</v>
      </c>
      <c r="B154" s="60">
        <f t="shared" si="17"/>
        <v>44</v>
      </c>
      <c r="C154" s="60">
        <f t="shared" si="17"/>
        <v>92</v>
      </c>
      <c r="D154" s="60">
        <f t="shared" si="18"/>
        <v>0</v>
      </c>
      <c r="E154" s="60">
        <v>0</v>
      </c>
      <c r="F154" s="60">
        <v>0</v>
      </c>
      <c r="G154" s="60">
        <f t="shared" si="19"/>
        <v>136</v>
      </c>
      <c r="H154" s="60">
        <v>44</v>
      </c>
      <c r="I154" s="60">
        <v>92</v>
      </c>
      <c r="J154" s="65" t="s">
        <v>64</v>
      </c>
      <c r="K154" s="74"/>
    </row>
    <row r="155" spans="1:11" ht="13.5" thickBot="1" x14ac:dyDescent="0.25">
      <c r="A155" s="60">
        <f t="shared" ref="A155:I157" si="20">A107+A110+A113+A116+A119+A122+A125+A128+A131+A134+A137+A140+A143+A146+A149+A152</f>
        <v>128</v>
      </c>
      <c r="B155" s="60">
        <f t="shared" si="20"/>
        <v>52</v>
      </c>
      <c r="C155" s="60">
        <f t="shared" si="20"/>
        <v>76</v>
      </c>
      <c r="D155" s="60">
        <f t="shared" si="20"/>
        <v>10</v>
      </c>
      <c r="E155" s="60">
        <f t="shared" si="20"/>
        <v>2</v>
      </c>
      <c r="F155" s="60">
        <f t="shared" si="20"/>
        <v>8</v>
      </c>
      <c r="G155" s="60">
        <f t="shared" si="20"/>
        <v>118</v>
      </c>
      <c r="H155" s="60">
        <f t="shared" si="20"/>
        <v>50</v>
      </c>
      <c r="I155" s="60">
        <f>I107+I110+I113+I116+I119+I122+I125+I128+I131+I134+I137+I140+I143+I146+I149+I152</f>
        <v>68</v>
      </c>
      <c r="J155" s="65" t="s">
        <v>231</v>
      </c>
      <c r="K155" s="57"/>
    </row>
    <row r="156" spans="1:11" ht="15" customHeight="1" thickBot="1" x14ac:dyDescent="0.25">
      <c r="A156" s="60">
        <f t="shared" si="20"/>
        <v>1305</v>
      </c>
      <c r="B156" s="60">
        <f t="shared" si="20"/>
        <v>509</v>
      </c>
      <c r="C156" s="60">
        <f t="shared" si="20"/>
        <v>796</v>
      </c>
      <c r="D156" s="60">
        <f t="shared" si="20"/>
        <v>101</v>
      </c>
      <c r="E156" s="60">
        <f t="shared" si="20"/>
        <v>31</v>
      </c>
      <c r="F156" s="60">
        <f t="shared" si="20"/>
        <v>70</v>
      </c>
      <c r="G156" s="60">
        <f t="shared" si="20"/>
        <v>1204</v>
      </c>
      <c r="H156" s="60">
        <f t="shared" si="20"/>
        <v>478</v>
      </c>
      <c r="I156" s="60">
        <f t="shared" si="20"/>
        <v>726</v>
      </c>
      <c r="J156" s="65" t="s">
        <v>62</v>
      </c>
      <c r="K156" s="68" t="s">
        <v>232</v>
      </c>
    </row>
    <row r="157" spans="1:11" ht="12" customHeight="1" thickBot="1" x14ac:dyDescent="0.25">
      <c r="A157" s="60">
        <f t="shared" si="20"/>
        <v>144</v>
      </c>
      <c r="B157" s="60">
        <f t="shared" si="20"/>
        <v>52</v>
      </c>
      <c r="C157" s="60">
        <f t="shared" si="20"/>
        <v>92</v>
      </c>
      <c r="D157" s="60">
        <f t="shared" si="20"/>
        <v>1</v>
      </c>
      <c r="E157" s="60">
        <f t="shared" si="20"/>
        <v>1</v>
      </c>
      <c r="F157" s="60">
        <f t="shared" si="20"/>
        <v>0</v>
      </c>
      <c r="G157" s="60">
        <f t="shared" si="20"/>
        <v>143</v>
      </c>
      <c r="H157" s="60">
        <f t="shared" si="20"/>
        <v>51</v>
      </c>
      <c r="I157" s="60">
        <f t="shared" si="20"/>
        <v>92</v>
      </c>
      <c r="J157" s="65" t="s">
        <v>64</v>
      </c>
      <c r="K157" s="59"/>
    </row>
    <row r="158" spans="1:11" ht="13.5" customHeight="1" thickBot="1" x14ac:dyDescent="0.25">
      <c r="A158" s="60">
        <f t="shared" ref="A158:H158" si="21">SUM(A155:A157)</f>
        <v>1577</v>
      </c>
      <c r="B158" s="60">
        <f t="shared" si="21"/>
        <v>613</v>
      </c>
      <c r="C158" s="60">
        <f t="shared" si="21"/>
        <v>964</v>
      </c>
      <c r="D158" s="60">
        <f t="shared" si="21"/>
        <v>112</v>
      </c>
      <c r="E158" s="60">
        <f t="shared" si="21"/>
        <v>34</v>
      </c>
      <c r="F158" s="60">
        <f t="shared" si="21"/>
        <v>78</v>
      </c>
      <c r="G158" s="60">
        <f t="shared" si="21"/>
        <v>1465</v>
      </c>
      <c r="H158" s="60">
        <f t="shared" si="21"/>
        <v>579</v>
      </c>
      <c r="I158" s="60">
        <f>SUM(I155:I157)</f>
        <v>886</v>
      </c>
      <c r="J158" s="184" t="s">
        <v>233</v>
      </c>
      <c r="K158" s="184"/>
    </row>
    <row r="160" spans="1:11" x14ac:dyDescent="0.2">
      <c r="A160" s="177" t="s">
        <v>529</v>
      </c>
      <c r="B160" s="177"/>
      <c r="C160" s="177"/>
      <c r="D160" s="177"/>
      <c r="E160" s="177"/>
      <c r="F160" s="177"/>
      <c r="G160" s="177"/>
      <c r="H160" s="177"/>
      <c r="I160" s="177"/>
      <c r="J160" s="177"/>
      <c r="K160" s="177"/>
    </row>
    <row r="161" spans="1:11" ht="13.5" thickBot="1" x14ac:dyDescent="0.25">
      <c r="A161" s="178" t="s">
        <v>530</v>
      </c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</row>
    <row r="162" spans="1:11" ht="13.5" thickBot="1" x14ac:dyDescent="0.25">
      <c r="A162" s="179" t="s">
        <v>5</v>
      </c>
      <c r="B162" s="179"/>
      <c r="C162" s="179"/>
      <c r="D162" s="179" t="s">
        <v>162</v>
      </c>
      <c r="E162" s="179"/>
      <c r="F162" s="179"/>
      <c r="G162" s="179" t="s">
        <v>163</v>
      </c>
      <c r="H162" s="179"/>
      <c r="I162" s="179"/>
      <c r="J162" s="179" t="s">
        <v>72</v>
      </c>
      <c r="K162" s="179"/>
    </row>
    <row r="163" spans="1:11" ht="13.5" thickBot="1" x14ac:dyDescent="0.25">
      <c r="A163" s="58" t="s">
        <v>216</v>
      </c>
      <c r="B163" s="58" t="s">
        <v>11</v>
      </c>
      <c r="C163" s="58" t="s">
        <v>10</v>
      </c>
      <c r="D163" s="58" t="s">
        <v>216</v>
      </c>
      <c r="E163" s="58" t="s">
        <v>11</v>
      </c>
      <c r="F163" s="58" t="s">
        <v>10</v>
      </c>
      <c r="G163" s="58" t="s">
        <v>216</v>
      </c>
      <c r="H163" s="58" t="s">
        <v>11</v>
      </c>
      <c r="I163" s="58" t="s">
        <v>10</v>
      </c>
      <c r="J163" s="180" t="s">
        <v>79</v>
      </c>
      <c r="K163" s="180"/>
    </row>
    <row r="164" spans="1:11" ht="13.5" thickBot="1" x14ac:dyDescent="0.25">
      <c r="A164" s="60">
        <f t="shared" ref="A164:A199" si="22">SUM(B164:C164)</f>
        <v>33</v>
      </c>
      <c r="B164" s="60">
        <f>H164+E164</f>
        <v>12</v>
      </c>
      <c r="C164" s="60">
        <f>I164+F164</f>
        <v>21</v>
      </c>
      <c r="D164" s="60">
        <f>SUM(E164:F164)</f>
        <v>0</v>
      </c>
      <c r="E164" s="60">
        <v>0</v>
      </c>
      <c r="F164" s="60">
        <v>0</v>
      </c>
      <c r="G164" s="60">
        <f>SUM(H164:I164)</f>
        <v>33</v>
      </c>
      <c r="H164" s="60">
        <v>12</v>
      </c>
      <c r="I164" s="60">
        <v>21</v>
      </c>
      <c r="J164" s="65" t="s">
        <v>61</v>
      </c>
      <c r="K164" s="66"/>
    </row>
    <row r="165" spans="1:11" ht="13.5" thickBot="1" x14ac:dyDescent="0.25">
      <c r="A165" s="60">
        <f t="shared" si="22"/>
        <v>185</v>
      </c>
      <c r="B165" s="60">
        <f t="shared" ref="B165:C199" si="23">H165+E165</f>
        <v>127</v>
      </c>
      <c r="C165" s="60">
        <f t="shared" si="23"/>
        <v>58</v>
      </c>
      <c r="D165" s="60">
        <f t="shared" ref="D165:D199" si="24">SUM(E165:F165)</f>
        <v>9</v>
      </c>
      <c r="E165" s="60">
        <v>4</v>
      </c>
      <c r="F165" s="60">
        <v>5</v>
      </c>
      <c r="G165" s="60">
        <f t="shared" ref="G165:G199" si="25">SUM(H165:I165)</f>
        <v>176</v>
      </c>
      <c r="H165" s="60">
        <v>123</v>
      </c>
      <c r="I165" s="60">
        <v>53</v>
      </c>
      <c r="J165" s="65" t="s">
        <v>62</v>
      </c>
      <c r="K165" s="66" t="s">
        <v>375</v>
      </c>
    </row>
    <row r="166" spans="1:11" ht="13.5" thickBot="1" x14ac:dyDescent="0.25">
      <c r="A166" s="60">
        <f t="shared" si="22"/>
        <v>0</v>
      </c>
      <c r="B166" s="60">
        <f t="shared" si="23"/>
        <v>0</v>
      </c>
      <c r="C166" s="60">
        <f t="shared" si="23"/>
        <v>0</v>
      </c>
      <c r="D166" s="60">
        <f t="shared" si="24"/>
        <v>0</v>
      </c>
      <c r="E166" s="60">
        <v>0</v>
      </c>
      <c r="F166" s="60">
        <v>0</v>
      </c>
      <c r="G166" s="60">
        <f t="shared" si="25"/>
        <v>0</v>
      </c>
      <c r="H166" s="60">
        <v>0</v>
      </c>
      <c r="I166" s="60">
        <v>0</v>
      </c>
      <c r="J166" s="65" t="s">
        <v>64</v>
      </c>
      <c r="K166" s="74"/>
    </row>
    <row r="167" spans="1:11" ht="13.5" thickBot="1" x14ac:dyDescent="0.25">
      <c r="A167" s="60">
        <f t="shared" si="22"/>
        <v>0</v>
      </c>
      <c r="B167" s="60">
        <f t="shared" si="23"/>
        <v>0</v>
      </c>
      <c r="C167" s="60">
        <f t="shared" si="23"/>
        <v>0</v>
      </c>
      <c r="D167" s="60">
        <f t="shared" si="24"/>
        <v>0</v>
      </c>
      <c r="E167" s="60">
        <v>0</v>
      </c>
      <c r="F167" s="60">
        <v>0</v>
      </c>
      <c r="G167" s="60">
        <f t="shared" si="25"/>
        <v>0</v>
      </c>
      <c r="H167" s="60">
        <v>0</v>
      </c>
      <c r="I167" s="60">
        <v>0</v>
      </c>
      <c r="J167" s="65" t="s">
        <v>61</v>
      </c>
      <c r="K167" s="66"/>
    </row>
    <row r="168" spans="1:11" ht="13.5" thickBot="1" x14ac:dyDescent="0.25">
      <c r="A168" s="60">
        <f t="shared" si="22"/>
        <v>4</v>
      </c>
      <c r="B168" s="60">
        <f t="shared" si="23"/>
        <v>3</v>
      </c>
      <c r="C168" s="60">
        <f t="shared" si="23"/>
        <v>1</v>
      </c>
      <c r="D168" s="60">
        <f t="shared" si="24"/>
        <v>2</v>
      </c>
      <c r="E168" s="60">
        <v>1</v>
      </c>
      <c r="F168" s="60">
        <v>1</v>
      </c>
      <c r="G168" s="60">
        <f t="shared" si="25"/>
        <v>2</v>
      </c>
      <c r="H168" s="60">
        <v>2</v>
      </c>
      <c r="I168" s="60">
        <v>0</v>
      </c>
      <c r="J168" s="65" t="s">
        <v>62</v>
      </c>
      <c r="K168" s="66" t="s">
        <v>263</v>
      </c>
    </row>
    <row r="169" spans="1:11" ht="13.5" thickBot="1" x14ac:dyDescent="0.25">
      <c r="A169" s="60">
        <f t="shared" si="22"/>
        <v>0</v>
      </c>
      <c r="B169" s="60">
        <f t="shared" si="23"/>
        <v>0</v>
      </c>
      <c r="C169" s="60">
        <f t="shared" si="23"/>
        <v>0</v>
      </c>
      <c r="D169" s="60">
        <f t="shared" si="24"/>
        <v>0</v>
      </c>
      <c r="E169" s="60">
        <v>0</v>
      </c>
      <c r="F169" s="60">
        <v>0</v>
      </c>
      <c r="G169" s="60">
        <f t="shared" si="25"/>
        <v>0</v>
      </c>
      <c r="H169" s="60">
        <v>0</v>
      </c>
      <c r="I169" s="60">
        <v>0</v>
      </c>
      <c r="J169" s="65" t="s">
        <v>64</v>
      </c>
      <c r="K169" s="74"/>
    </row>
    <row r="170" spans="1:11" ht="13.5" thickBot="1" x14ac:dyDescent="0.25">
      <c r="A170" s="60">
        <f t="shared" si="22"/>
        <v>0</v>
      </c>
      <c r="B170" s="60">
        <f t="shared" si="23"/>
        <v>0</v>
      </c>
      <c r="C170" s="60">
        <f t="shared" si="23"/>
        <v>0</v>
      </c>
      <c r="D170" s="60">
        <f t="shared" si="24"/>
        <v>0</v>
      </c>
      <c r="E170" s="60">
        <v>0</v>
      </c>
      <c r="F170" s="60">
        <v>0</v>
      </c>
      <c r="G170" s="60">
        <f t="shared" si="25"/>
        <v>0</v>
      </c>
      <c r="H170" s="60">
        <v>0</v>
      </c>
      <c r="I170" s="60">
        <v>0</v>
      </c>
      <c r="J170" s="65" t="s">
        <v>61</v>
      </c>
      <c r="K170" s="66"/>
    </row>
    <row r="171" spans="1:11" ht="13.5" thickBot="1" x14ac:dyDescent="0.25">
      <c r="A171" s="60">
        <f t="shared" si="22"/>
        <v>3</v>
      </c>
      <c r="B171" s="60">
        <f t="shared" si="23"/>
        <v>3</v>
      </c>
      <c r="C171" s="60">
        <f t="shared" si="23"/>
        <v>0</v>
      </c>
      <c r="D171" s="60">
        <f t="shared" si="24"/>
        <v>0</v>
      </c>
      <c r="E171" s="60">
        <v>0</v>
      </c>
      <c r="F171" s="60">
        <v>0</v>
      </c>
      <c r="G171" s="60">
        <f t="shared" si="25"/>
        <v>3</v>
      </c>
      <c r="H171" s="60">
        <v>3</v>
      </c>
      <c r="I171" s="60">
        <v>0</v>
      </c>
      <c r="J171" s="65" t="s">
        <v>62</v>
      </c>
      <c r="K171" s="66" t="s">
        <v>376</v>
      </c>
    </row>
    <row r="172" spans="1:11" ht="13.5" thickBot="1" x14ac:dyDescent="0.25">
      <c r="A172" s="60">
        <f t="shared" si="22"/>
        <v>0</v>
      </c>
      <c r="B172" s="60">
        <f t="shared" si="23"/>
        <v>0</v>
      </c>
      <c r="C172" s="60">
        <f t="shared" si="23"/>
        <v>0</v>
      </c>
      <c r="D172" s="60">
        <f t="shared" si="24"/>
        <v>0</v>
      </c>
      <c r="E172" s="60">
        <v>0</v>
      </c>
      <c r="F172" s="60">
        <v>0</v>
      </c>
      <c r="G172" s="60">
        <f t="shared" si="25"/>
        <v>0</v>
      </c>
      <c r="H172" s="60">
        <v>0</v>
      </c>
      <c r="I172" s="60">
        <v>0</v>
      </c>
      <c r="J172" s="65" t="s">
        <v>64</v>
      </c>
      <c r="K172" s="74"/>
    </row>
    <row r="173" spans="1:11" ht="13.5" thickBot="1" x14ac:dyDescent="0.25">
      <c r="A173" s="60">
        <f t="shared" si="22"/>
        <v>40</v>
      </c>
      <c r="B173" s="60">
        <f t="shared" si="23"/>
        <v>16</v>
      </c>
      <c r="C173" s="60">
        <f t="shared" si="23"/>
        <v>24</v>
      </c>
      <c r="D173" s="60">
        <f t="shared" si="24"/>
        <v>0</v>
      </c>
      <c r="E173" s="60">
        <v>0</v>
      </c>
      <c r="F173" s="60">
        <v>0</v>
      </c>
      <c r="G173" s="60">
        <f t="shared" si="25"/>
        <v>40</v>
      </c>
      <c r="H173" s="60">
        <v>16</v>
      </c>
      <c r="I173" s="60">
        <v>24</v>
      </c>
      <c r="J173" s="65" t="s">
        <v>61</v>
      </c>
      <c r="K173" s="66"/>
    </row>
    <row r="174" spans="1:11" ht="13.5" thickBot="1" x14ac:dyDescent="0.25">
      <c r="A174" s="60">
        <f t="shared" si="22"/>
        <v>339</v>
      </c>
      <c r="B174" s="60">
        <f t="shared" si="23"/>
        <v>257</v>
      </c>
      <c r="C174" s="60">
        <f t="shared" si="23"/>
        <v>82</v>
      </c>
      <c r="D174" s="60">
        <f t="shared" si="24"/>
        <v>54</v>
      </c>
      <c r="E174" s="60">
        <v>30</v>
      </c>
      <c r="F174" s="60">
        <v>24</v>
      </c>
      <c r="G174" s="60">
        <f t="shared" si="25"/>
        <v>285</v>
      </c>
      <c r="H174" s="60">
        <v>227</v>
      </c>
      <c r="I174" s="60">
        <v>58</v>
      </c>
      <c r="J174" s="65" t="s">
        <v>62</v>
      </c>
      <c r="K174" s="66" t="s">
        <v>359</v>
      </c>
    </row>
    <row r="175" spans="1:11" ht="13.5" thickBot="1" x14ac:dyDescent="0.25">
      <c r="A175" s="60">
        <f t="shared" si="22"/>
        <v>0</v>
      </c>
      <c r="B175" s="60">
        <f t="shared" si="23"/>
        <v>0</v>
      </c>
      <c r="C175" s="60">
        <f t="shared" si="23"/>
        <v>0</v>
      </c>
      <c r="D175" s="60">
        <f t="shared" si="24"/>
        <v>0</v>
      </c>
      <c r="E175" s="60">
        <v>0</v>
      </c>
      <c r="F175" s="60">
        <v>0</v>
      </c>
      <c r="G175" s="60">
        <f t="shared" si="25"/>
        <v>0</v>
      </c>
      <c r="H175" s="60">
        <v>0</v>
      </c>
      <c r="I175" s="60">
        <v>0</v>
      </c>
      <c r="J175" s="65" t="s">
        <v>64</v>
      </c>
      <c r="K175" s="74"/>
    </row>
    <row r="176" spans="1:11" ht="13.5" thickBot="1" x14ac:dyDescent="0.25">
      <c r="A176" s="60">
        <f t="shared" si="22"/>
        <v>11</v>
      </c>
      <c r="B176" s="60">
        <f t="shared" si="23"/>
        <v>0</v>
      </c>
      <c r="C176" s="60">
        <f t="shared" si="23"/>
        <v>11</v>
      </c>
      <c r="D176" s="60">
        <f t="shared" si="24"/>
        <v>0</v>
      </c>
      <c r="E176" s="60">
        <v>0</v>
      </c>
      <c r="F176" s="60">
        <v>0</v>
      </c>
      <c r="G176" s="60">
        <f t="shared" si="25"/>
        <v>11</v>
      </c>
      <c r="H176" s="60">
        <v>0</v>
      </c>
      <c r="I176" s="60">
        <v>11</v>
      </c>
      <c r="J176" s="65" t="s">
        <v>61</v>
      </c>
      <c r="K176" s="66"/>
    </row>
    <row r="177" spans="1:12" ht="13.5" thickBot="1" x14ac:dyDescent="0.25">
      <c r="A177" s="60">
        <f t="shared" si="22"/>
        <v>204</v>
      </c>
      <c r="B177" s="60">
        <f t="shared" si="23"/>
        <v>0</v>
      </c>
      <c r="C177" s="60">
        <f t="shared" si="23"/>
        <v>204</v>
      </c>
      <c r="D177" s="60">
        <f t="shared" si="24"/>
        <v>11</v>
      </c>
      <c r="E177" s="60">
        <v>0</v>
      </c>
      <c r="F177" s="60">
        <v>11</v>
      </c>
      <c r="G177" s="60">
        <f t="shared" si="25"/>
        <v>193</v>
      </c>
      <c r="H177" s="60">
        <v>0</v>
      </c>
      <c r="I177" s="60">
        <v>193</v>
      </c>
      <c r="J177" s="65" t="s">
        <v>62</v>
      </c>
      <c r="K177" s="66" t="s">
        <v>377</v>
      </c>
    </row>
    <row r="178" spans="1:12" ht="13.5" thickBot="1" x14ac:dyDescent="0.25">
      <c r="A178" s="60">
        <f t="shared" si="22"/>
        <v>0</v>
      </c>
      <c r="B178" s="60">
        <f t="shared" si="23"/>
        <v>0</v>
      </c>
      <c r="C178" s="60">
        <f t="shared" si="23"/>
        <v>0</v>
      </c>
      <c r="D178" s="60">
        <f t="shared" si="24"/>
        <v>0</v>
      </c>
      <c r="E178" s="60">
        <v>0</v>
      </c>
      <c r="F178" s="60">
        <v>0</v>
      </c>
      <c r="G178" s="60">
        <f t="shared" si="25"/>
        <v>0</v>
      </c>
      <c r="H178" s="60">
        <v>0</v>
      </c>
      <c r="I178" s="60">
        <v>0</v>
      </c>
      <c r="J178" s="65" t="s">
        <v>64</v>
      </c>
      <c r="K178" s="74"/>
    </row>
    <row r="179" spans="1:12" ht="13.5" thickBot="1" x14ac:dyDescent="0.25">
      <c r="A179" s="60">
        <f t="shared" si="22"/>
        <v>0</v>
      </c>
      <c r="B179" s="60">
        <f t="shared" si="23"/>
        <v>0</v>
      </c>
      <c r="C179" s="60">
        <f t="shared" si="23"/>
        <v>0</v>
      </c>
      <c r="D179" s="60">
        <f t="shared" si="24"/>
        <v>0</v>
      </c>
      <c r="E179" s="60">
        <v>0</v>
      </c>
      <c r="F179" s="60">
        <v>0</v>
      </c>
      <c r="G179" s="60">
        <f t="shared" si="25"/>
        <v>0</v>
      </c>
      <c r="H179" s="60">
        <v>0</v>
      </c>
      <c r="I179" s="60">
        <v>0</v>
      </c>
      <c r="J179" s="65" t="s">
        <v>61</v>
      </c>
      <c r="K179" s="66"/>
    </row>
    <row r="180" spans="1:12" ht="13.5" thickBot="1" x14ac:dyDescent="0.25">
      <c r="A180" s="60">
        <f t="shared" si="22"/>
        <v>63</v>
      </c>
      <c r="B180" s="60">
        <f t="shared" si="23"/>
        <v>47</v>
      </c>
      <c r="C180" s="60">
        <f t="shared" si="23"/>
        <v>16</v>
      </c>
      <c r="D180" s="60">
        <f t="shared" si="24"/>
        <v>7</v>
      </c>
      <c r="E180" s="60">
        <v>4</v>
      </c>
      <c r="F180" s="60">
        <v>3</v>
      </c>
      <c r="G180" s="60">
        <f t="shared" si="25"/>
        <v>56</v>
      </c>
      <c r="H180" s="60">
        <v>43</v>
      </c>
      <c r="I180" s="60">
        <v>13</v>
      </c>
      <c r="J180" s="65" t="s">
        <v>62</v>
      </c>
      <c r="K180" s="66" t="s">
        <v>378</v>
      </c>
    </row>
    <row r="181" spans="1:12" ht="13.5" thickBot="1" x14ac:dyDescent="0.25">
      <c r="A181" s="60">
        <f t="shared" si="22"/>
        <v>0</v>
      </c>
      <c r="B181" s="60">
        <f t="shared" si="23"/>
        <v>0</v>
      </c>
      <c r="C181" s="60">
        <f t="shared" si="23"/>
        <v>0</v>
      </c>
      <c r="D181" s="60">
        <f t="shared" si="24"/>
        <v>0</v>
      </c>
      <c r="E181" s="60">
        <v>0</v>
      </c>
      <c r="F181" s="60">
        <v>0</v>
      </c>
      <c r="G181" s="60">
        <f t="shared" si="25"/>
        <v>0</v>
      </c>
      <c r="H181" s="60">
        <v>0</v>
      </c>
      <c r="I181" s="60">
        <v>0</v>
      </c>
      <c r="J181" s="65" t="s">
        <v>64</v>
      </c>
      <c r="K181" s="74"/>
    </row>
    <row r="182" spans="1:12" ht="13.5" thickBot="1" x14ac:dyDescent="0.25">
      <c r="A182" s="60">
        <f t="shared" si="22"/>
        <v>2</v>
      </c>
      <c r="B182" s="60">
        <f t="shared" si="23"/>
        <v>0</v>
      </c>
      <c r="C182" s="60">
        <f t="shared" si="23"/>
        <v>2</v>
      </c>
      <c r="D182" s="60">
        <f t="shared" si="24"/>
        <v>0</v>
      </c>
      <c r="E182" s="60">
        <v>0</v>
      </c>
      <c r="F182" s="60">
        <v>0</v>
      </c>
      <c r="G182" s="60">
        <f t="shared" si="25"/>
        <v>2</v>
      </c>
      <c r="H182" s="60">
        <v>0</v>
      </c>
      <c r="I182" s="60">
        <v>2</v>
      </c>
      <c r="J182" s="65" t="s">
        <v>61</v>
      </c>
      <c r="K182" s="66"/>
    </row>
    <row r="183" spans="1:12" ht="13.5" thickBot="1" x14ac:dyDescent="0.25">
      <c r="A183" s="60">
        <f t="shared" si="22"/>
        <v>4</v>
      </c>
      <c r="B183" s="60">
        <f t="shared" si="23"/>
        <v>0</v>
      </c>
      <c r="C183" s="60">
        <f t="shared" si="23"/>
        <v>4</v>
      </c>
      <c r="D183" s="60">
        <f t="shared" si="24"/>
        <v>0</v>
      </c>
      <c r="E183" s="60">
        <v>0</v>
      </c>
      <c r="F183" s="60">
        <v>0</v>
      </c>
      <c r="G183" s="60">
        <f t="shared" si="25"/>
        <v>4</v>
      </c>
      <c r="H183" s="60">
        <v>0</v>
      </c>
      <c r="I183" s="60">
        <v>4</v>
      </c>
      <c r="J183" s="65" t="s">
        <v>62</v>
      </c>
      <c r="K183" s="66" t="s">
        <v>379</v>
      </c>
    </row>
    <row r="184" spans="1:12" ht="13.5" thickBot="1" x14ac:dyDescent="0.25">
      <c r="A184" s="60">
        <f t="shared" si="22"/>
        <v>0</v>
      </c>
      <c r="B184" s="60">
        <f t="shared" si="23"/>
        <v>0</v>
      </c>
      <c r="C184" s="60">
        <f t="shared" si="23"/>
        <v>0</v>
      </c>
      <c r="D184" s="60">
        <f t="shared" si="24"/>
        <v>0</v>
      </c>
      <c r="E184" s="60">
        <v>0</v>
      </c>
      <c r="F184" s="60">
        <v>0</v>
      </c>
      <c r="G184" s="60">
        <f t="shared" si="25"/>
        <v>0</v>
      </c>
      <c r="H184" s="60">
        <v>0</v>
      </c>
      <c r="I184" s="60">
        <v>0</v>
      </c>
      <c r="J184" s="65" t="s">
        <v>64</v>
      </c>
      <c r="K184" s="74"/>
    </row>
    <row r="185" spans="1:12" ht="13.5" thickBot="1" x14ac:dyDescent="0.25">
      <c r="A185" s="60">
        <f t="shared" si="22"/>
        <v>0</v>
      </c>
      <c r="B185" s="60">
        <f t="shared" si="23"/>
        <v>0</v>
      </c>
      <c r="C185" s="60">
        <f t="shared" si="23"/>
        <v>0</v>
      </c>
      <c r="D185" s="60">
        <f t="shared" si="24"/>
        <v>0</v>
      </c>
      <c r="E185" s="60">
        <v>0</v>
      </c>
      <c r="F185" s="60">
        <v>0</v>
      </c>
      <c r="G185" s="60">
        <f t="shared" si="25"/>
        <v>0</v>
      </c>
      <c r="H185" s="60">
        <v>0</v>
      </c>
      <c r="I185" s="60">
        <v>0</v>
      </c>
      <c r="J185" s="65" t="s">
        <v>61</v>
      </c>
      <c r="K185" s="66"/>
    </row>
    <row r="186" spans="1:12" ht="13.5" thickBot="1" x14ac:dyDescent="0.25">
      <c r="A186" s="60">
        <f t="shared" si="22"/>
        <v>6</v>
      </c>
      <c r="B186" s="60">
        <f t="shared" si="23"/>
        <v>0</v>
      </c>
      <c r="C186" s="60">
        <f t="shared" si="23"/>
        <v>6</v>
      </c>
      <c r="D186" s="60">
        <f t="shared" si="24"/>
        <v>3</v>
      </c>
      <c r="E186" s="60">
        <v>0</v>
      </c>
      <c r="F186" s="60">
        <v>3</v>
      </c>
      <c r="G186" s="60">
        <f t="shared" si="25"/>
        <v>3</v>
      </c>
      <c r="H186" s="60">
        <v>0</v>
      </c>
      <c r="I186" s="60">
        <v>3</v>
      </c>
      <c r="J186" s="65" t="s">
        <v>62</v>
      </c>
      <c r="K186" s="66" t="s">
        <v>538</v>
      </c>
    </row>
    <row r="187" spans="1:12" ht="13.5" thickBot="1" x14ac:dyDescent="0.25">
      <c r="A187" s="60">
        <f t="shared" si="22"/>
        <v>0</v>
      </c>
      <c r="B187" s="60">
        <f t="shared" si="23"/>
        <v>0</v>
      </c>
      <c r="C187" s="60">
        <f t="shared" si="23"/>
        <v>0</v>
      </c>
      <c r="D187" s="60">
        <f t="shared" si="24"/>
        <v>0</v>
      </c>
      <c r="E187" s="60">
        <v>0</v>
      </c>
      <c r="F187" s="60">
        <v>0</v>
      </c>
      <c r="G187" s="60">
        <f t="shared" si="25"/>
        <v>0</v>
      </c>
      <c r="H187" s="60">
        <v>0</v>
      </c>
      <c r="I187" s="60">
        <v>0</v>
      </c>
      <c r="J187" s="65" t="s">
        <v>64</v>
      </c>
      <c r="K187" s="74"/>
    </row>
    <row r="188" spans="1:12" ht="13.5" thickBot="1" x14ac:dyDescent="0.25">
      <c r="A188" s="60">
        <f t="shared" si="22"/>
        <v>0</v>
      </c>
      <c r="B188" s="60">
        <f t="shared" si="23"/>
        <v>0</v>
      </c>
      <c r="C188" s="60">
        <f t="shared" si="23"/>
        <v>0</v>
      </c>
      <c r="D188" s="60">
        <f t="shared" si="24"/>
        <v>0</v>
      </c>
      <c r="E188" s="60">
        <v>0</v>
      </c>
      <c r="F188" s="60">
        <v>0</v>
      </c>
      <c r="G188" s="60">
        <f t="shared" si="25"/>
        <v>0</v>
      </c>
      <c r="H188" s="60">
        <v>0</v>
      </c>
      <c r="I188" s="60">
        <v>0</v>
      </c>
      <c r="J188" s="65" t="s">
        <v>61</v>
      </c>
      <c r="K188" s="66"/>
    </row>
    <row r="189" spans="1:12" ht="13.5" thickBot="1" x14ac:dyDescent="0.25">
      <c r="A189" s="60">
        <f t="shared" si="22"/>
        <v>7</v>
      </c>
      <c r="B189" s="60">
        <f t="shared" si="23"/>
        <v>7</v>
      </c>
      <c r="C189" s="60">
        <f t="shared" si="23"/>
        <v>0</v>
      </c>
      <c r="D189" s="60">
        <f t="shared" si="24"/>
        <v>0</v>
      </c>
      <c r="E189" s="60">
        <v>0</v>
      </c>
      <c r="F189" s="60">
        <v>0</v>
      </c>
      <c r="G189" s="60">
        <f t="shared" si="25"/>
        <v>7</v>
      </c>
      <c r="H189" s="60">
        <v>7</v>
      </c>
      <c r="I189" s="60">
        <v>0</v>
      </c>
      <c r="J189" s="65" t="s">
        <v>62</v>
      </c>
      <c r="K189" s="66" t="s">
        <v>380</v>
      </c>
    </row>
    <row r="190" spans="1:12" ht="13.5" thickBot="1" x14ac:dyDescent="0.25">
      <c r="A190" s="60">
        <f t="shared" si="22"/>
        <v>0</v>
      </c>
      <c r="B190" s="60">
        <f t="shared" si="23"/>
        <v>0</v>
      </c>
      <c r="C190" s="60">
        <f t="shared" si="23"/>
        <v>0</v>
      </c>
      <c r="D190" s="60">
        <f t="shared" si="24"/>
        <v>0</v>
      </c>
      <c r="E190" s="60">
        <v>0</v>
      </c>
      <c r="F190" s="60">
        <v>0</v>
      </c>
      <c r="G190" s="60">
        <f t="shared" si="25"/>
        <v>0</v>
      </c>
      <c r="H190" s="60">
        <v>0</v>
      </c>
      <c r="I190" s="60">
        <v>0</v>
      </c>
      <c r="J190" s="65" t="s">
        <v>64</v>
      </c>
      <c r="K190" s="74"/>
    </row>
    <row r="191" spans="1:12" ht="13.5" thickBot="1" x14ac:dyDescent="0.25">
      <c r="A191" s="60">
        <f t="shared" si="22"/>
        <v>0</v>
      </c>
      <c r="B191" s="60">
        <f t="shared" si="23"/>
        <v>0</v>
      </c>
      <c r="C191" s="60">
        <f t="shared" si="23"/>
        <v>0</v>
      </c>
      <c r="D191" s="60">
        <f t="shared" si="24"/>
        <v>0</v>
      </c>
      <c r="E191" s="60">
        <v>0</v>
      </c>
      <c r="F191" s="60">
        <v>0</v>
      </c>
      <c r="G191" s="60">
        <f t="shared" si="25"/>
        <v>0</v>
      </c>
      <c r="H191" s="60">
        <v>0</v>
      </c>
      <c r="I191" s="60">
        <v>0</v>
      </c>
      <c r="J191" s="65" t="s">
        <v>61</v>
      </c>
      <c r="K191" s="66"/>
      <c r="L191" s="69"/>
    </row>
    <row r="192" spans="1:12" ht="13.5" thickBot="1" x14ac:dyDescent="0.25">
      <c r="A192" s="60">
        <f t="shared" si="22"/>
        <v>14</v>
      </c>
      <c r="B192" s="60">
        <f t="shared" si="23"/>
        <v>12</v>
      </c>
      <c r="C192" s="60">
        <f t="shared" si="23"/>
        <v>2</v>
      </c>
      <c r="D192" s="60">
        <f t="shared" si="24"/>
        <v>0</v>
      </c>
      <c r="E192" s="60">
        <v>0</v>
      </c>
      <c r="F192" s="60">
        <v>0</v>
      </c>
      <c r="G192" s="60">
        <f t="shared" si="25"/>
        <v>14</v>
      </c>
      <c r="H192" s="60">
        <v>12</v>
      </c>
      <c r="I192" s="60">
        <v>2</v>
      </c>
      <c r="J192" s="65" t="s">
        <v>62</v>
      </c>
      <c r="K192" s="66" t="s">
        <v>75</v>
      </c>
    </row>
    <row r="193" spans="1:11" ht="13.5" thickBot="1" x14ac:dyDescent="0.25">
      <c r="A193" s="60">
        <f t="shared" si="22"/>
        <v>61</v>
      </c>
      <c r="B193" s="60">
        <f t="shared" si="23"/>
        <v>36</v>
      </c>
      <c r="C193" s="60">
        <f t="shared" si="23"/>
        <v>25</v>
      </c>
      <c r="D193" s="60">
        <f t="shared" si="24"/>
        <v>0</v>
      </c>
      <c r="E193" s="60">
        <v>0</v>
      </c>
      <c r="F193" s="60">
        <v>0</v>
      </c>
      <c r="G193" s="60">
        <f t="shared" si="25"/>
        <v>61</v>
      </c>
      <c r="H193" s="60">
        <v>36</v>
      </c>
      <c r="I193" s="60">
        <v>25</v>
      </c>
      <c r="J193" s="65" t="s">
        <v>64</v>
      </c>
      <c r="K193" s="74"/>
    </row>
    <row r="194" spans="1:11" ht="13.5" thickBot="1" x14ac:dyDescent="0.25">
      <c r="A194" s="60">
        <f t="shared" si="22"/>
        <v>0</v>
      </c>
      <c r="B194" s="60">
        <f t="shared" si="23"/>
        <v>0</v>
      </c>
      <c r="C194" s="60">
        <f t="shared" si="23"/>
        <v>0</v>
      </c>
      <c r="D194" s="60">
        <f t="shared" si="24"/>
        <v>0</v>
      </c>
      <c r="E194" s="60">
        <v>0</v>
      </c>
      <c r="F194" s="60">
        <v>0</v>
      </c>
      <c r="G194" s="60">
        <f t="shared" si="25"/>
        <v>0</v>
      </c>
      <c r="H194" s="60">
        <v>0</v>
      </c>
      <c r="I194" s="60">
        <v>0</v>
      </c>
      <c r="J194" s="65" t="s">
        <v>61</v>
      </c>
      <c r="K194" s="66"/>
    </row>
    <row r="195" spans="1:11" ht="13.5" thickBot="1" x14ac:dyDescent="0.25">
      <c r="A195" s="60">
        <f t="shared" si="22"/>
        <v>1</v>
      </c>
      <c r="B195" s="60">
        <f t="shared" si="23"/>
        <v>1</v>
      </c>
      <c r="C195" s="60">
        <f t="shared" si="23"/>
        <v>0</v>
      </c>
      <c r="D195" s="60">
        <f t="shared" si="24"/>
        <v>0</v>
      </c>
      <c r="E195" s="60">
        <v>0</v>
      </c>
      <c r="F195" s="60">
        <v>0</v>
      </c>
      <c r="G195" s="60">
        <f t="shared" si="25"/>
        <v>1</v>
      </c>
      <c r="H195" s="60">
        <v>1</v>
      </c>
      <c r="I195" s="60">
        <v>0</v>
      </c>
      <c r="J195" s="65" t="s">
        <v>62</v>
      </c>
      <c r="K195" s="66" t="s">
        <v>381</v>
      </c>
    </row>
    <row r="196" spans="1:11" ht="13.5" thickBot="1" x14ac:dyDescent="0.25">
      <c r="A196" s="60">
        <f t="shared" si="22"/>
        <v>0</v>
      </c>
      <c r="B196" s="60">
        <f t="shared" si="23"/>
        <v>0</v>
      </c>
      <c r="C196" s="60">
        <f t="shared" si="23"/>
        <v>0</v>
      </c>
      <c r="D196" s="60">
        <f t="shared" si="24"/>
        <v>0</v>
      </c>
      <c r="E196" s="60">
        <v>0</v>
      </c>
      <c r="F196" s="60">
        <v>0</v>
      </c>
      <c r="G196" s="60">
        <f t="shared" si="25"/>
        <v>0</v>
      </c>
      <c r="H196" s="60">
        <v>0</v>
      </c>
      <c r="I196" s="60">
        <v>0</v>
      </c>
      <c r="J196" s="65" t="s">
        <v>64</v>
      </c>
      <c r="K196" s="74"/>
    </row>
    <row r="197" spans="1:11" ht="13.5" thickBot="1" x14ac:dyDescent="0.25">
      <c r="A197" s="60">
        <f t="shared" si="22"/>
        <v>0</v>
      </c>
      <c r="B197" s="60">
        <f t="shared" si="23"/>
        <v>0</v>
      </c>
      <c r="C197" s="60">
        <f t="shared" si="23"/>
        <v>0</v>
      </c>
      <c r="D197" s="60">
        <f t="shared" si="24"/>
        <v>0</v>
      </c>
      <c r="E197" s="60">
        <v>0</v>
      </c>
      <c r="F197" s="60">
        <v>0</v>
      </c>
      <c r="G197" s="60">
        <f t="shared" si="25"/>
        <v>0</v>
      </c>
      <c r="H197" s="60">
        <v>0</v>
      </c>
      <c r="I197" s="60">
        <v>0</v>
      </c>
      <c r="J197" s="65" t="s">
        <v>61</v>
      </c>
      <c r="K197" s="66"/>
    </row>
    <row r="198" spans="1:11" ht="13.5" thickBot="1" x14ac:dyDescent="0.25">
      <c r="A198" s="60">
        <f t="shared" si="22"/>
        <v>1</v>
      </c>
      <c r="B198" s="60">
        <f t="shared" si="23"/>
        <v>1</v>
      </c>
      <c r="C198" s="60">
        <f t="shared" si="23"/>
        <v>0</v>
      </c>
      <c r="D198" s="60">
        <f t="shared" si="24"/>
        <v>0</v>
      </c>
      <c r="E198" s="60">
        <v>0</v>
      </c>
      <c r="F198" s="60">
        <v>0</v>
      </c>
      <c r="G198" s="60">
        <f t="shared" si="25"/>
        <v>1</v>
      </c>
      <c r="H198" s="60">
        <v>1</v>
      </c>
      <c r="I198" s="60">
        <v>0</v>
      </c>
      <c r="J198" s="65" t="s">
        <v>62</v>
      </c>
      <c r="K198" s="66" t="s">
        <v>384</v>
      </c>
    </row>
    <row r="199" spans="1:11" ht="13.5" thickBot="1" x14ac:dyDescent="0.25">
      <c r="A199" s="60">
        <f t="shared" si="22"/>
        <v>0</v>
      </c>
      <c r="B199" s="60">
        <f t="shared" si="23"/>
        <v>0</v>
      </c>
      <c r="C199" s="60">
        <f t="shared" si="23"/>
        <v>0</v>
      </c>
      <c r="D199" s="60">
        <f t="shared" si="24"/>
        <v>0</v>
      </c>
      <c r="E199" s="60">
        <v>0</v>
      </c>
      <c r="F199" s="60">
        <v>0</v>
      </c>
      <c r="G199" s="60">
        <f t="shared" si="25"/>
        <v>0</v>
      </c>
      <c r="H199" s="60">
        <v>0</v>
      </c>
      <c r="I199" s="60">
        <v>0</v>
      </c>
      <c r="J199" s="65" t="s">
        <v>64</v>
      </c>
      <c r="K199" s="74"/>
    </row>
    <row r="200" spans="1:11" ht="13.5" thickBot="1" x14ac:dyDescent="0.25">
      <c r="A200" s="60">
        <f t="shared" ref="A200:I202" si="26">A164+A167+A170+A173+A176+A179++A182+A185+A188+A191+A194+A197</f>
        <v>86</v>
      </c>
      <c r="B200" s="60">
        <f t="shared" si="26"/>
        <v>28</v>
      </c>
      <c r="C200" s="60">
        <f t="shared" si="26"/>
        <v>58</v>
      </c>
      <c r="D200" s="60">
        <f t="shared" si="26"/>
        <v>0</v>
      </c>
      <c r="E200" s="60">
        <f t="shared" si="26"/>
        <v>0</v>
      </c>
      <c r="F200" s="60">
        <f t="shared" si="26"/>
        <v>0</v>
      </c>
      <c r="G200" s="60">
        <f t="shared" si="26"/>
        <v>86</v>
      </c>
      <c r="H200" s="60">
        <f t="shared" si="26"/>
        <v>28</v>
      </c>
      <c r="I200" s="60">
        <f>I164+I167+I170+I173+I176+I179++I182+I185+I188+I191+I194+I197</f>
        <v>58</v>
      </c>
      <c r="J200" s="65" t="s">
        <v>231</v>
      </c>
      <c r="K200" s="57"/>
    </row>
    <row r="201" spans="1:11" ht="14.25" customHeight="1" thickBot="1" x14ac:dyDescent="0.25">
      <c r="A201" s="60">
        <f t="shared" si="26"/>
        <v>831</v>
      </c>
      <c r="B201" s="60">
        <f t="shared" si="26"/>
        <v>458</v>
      </c>
      <c r="C201" s="60">
        <f t="shared" si="26"/>
        <v>373</v>
      </c>
      <c r="D201" s="60">
        <f t="shared" si="26"/>
        <v>86</v>
      </c>
      <c r="E201" s="60">
        <f t="shared" si="26"/>
        <v>39</v>
      </c>
      <c r="F201" s="60">
        <f t="shared" si="26"/>
        <v>47</v>
      </c>
      <c r="G201" s="60">
        <f t="shared" si="26"/>
        <v>745</v>
      </c>
      <c r="H201" s="60">
        <f t="shared" si="26"/>
        <v>419</v>
      </c>
      <c r="I201" s="60">
        <f t="shared" si="26"/>
        <v>326</v>
      </c>
      <c r="J201" s="65" t="s">
        <v>62</v>
      </c>
      <c r="K201" s="68" t="s">
        <v>232</v>
      </c>
    </row>
    <row r="202" spans="1:11" ht="13.5" thickBot="1" x14ac:dyDescent="0.25">
      <c r="A202" s="60">
        <f t="shared" si="26"/>
        <v>61</v>
      </c>
      <c r="B202" s="60">
        <f t="shared" si="26"/>
        <v>36</v>
      </c>
      <c r="C202" s="60">
        <f t="shared" si="26"/>
        <v>25</v>
      </c>
      <c r="D202" s="60">
        <f t="shared" si="26"/>
        <v>0</v>
      </c>
      <c r="E202" s="60">
        <f t="shared" si="26"/>
        <v>0</v>
      </c>
      <c r="F202" s="60">
        <f t="shared" si="26"/>
        <v>0</v>
      </c>
      <c r="G202" s="60">
        <f t="shared" si="26"/>
        <v>61</v>
      </c>
      <c r="H202" s="60">
        <f t="shared" si="26"/>
        <v>36</v>
      </c>
      <c r="I202" s="60">
        <f>I166+I169+I172+I175+I178+I181++I184+I187+I190+I193+I196+I199</f>
        <v>25</v>
      </c>
      <c r="J202" s="65" t="s">
        <v>64</v>
      </c>
      <c r="K202" s="59"/>
    </row>
    <row r="203" spans="1:11" ht="15.75" customHeight="1" thickBot="1" x14ac:dyDescent="0.25">
      <c r="A203" s="60">
        <f t="shared" ref="A203:H203" si="27">SUM(A200:A202)</f>
        <v>978</v>
      </c>
      <c r="B203" s="60">
        <f t="shared" si="27"/>
        <v>522</v>
      </c>
      <c r="C203" s="60">
        <f t="shared" si="27"/>
        <v>456</v>
      </c>
      <c r="D203" s="60">
        <f t="shared" si="27"/>
        <v>86</v>
      </c>
      <c r="E203" s="60">
        <f t="shared" si="27"/>
        <v>39</v>
      </c>
      <c r="F203" s="60">
        <f t="shared" si="27"/>
        <v>47</v>
      </c>
      <c r="G203" s="60">
        <f t="shared" si="27"/>
        <v>892</v>
      </c>
      <c r="H203" s="60">
        <f t="shared" si="27"/>
        <v>483</v>
      </c>
      <c r="I203" s="60">
        <f>SUM(I200:I202)</f>
        <v>409</v>
      </c>
      <c r="J203" s="184" t="s">
        <v>233</v>
      </c>
      <c r="K203" s="184"/>
    </row>
    <row r="205" spans="1:11" x14ac:dyDescent="0.2">
      <c r="A205" s="177" t="s">
        <v>529</v>
      </c>
      <c r="B205" s="177"/>
      <c r="C205" s="177"/>
      <c r="D205" s="177"/>
      <c r="E205" s="177"/>
      <c r="F205" s="177"/>
      <c r="G205" s="177"/>
      <c r="H205" s="177"/>
      <c r="I205" s="177"/>
      <c r="J205" s="177"/>
      <c r="K205" s="177"/>
    </row>
    <row r="206" spans="1:11" ht="13.5" thickBot="1" x14ac:dyDescent="0.25">
      <c r="A206" s="178" t="s">
        <v>530</v>
      </c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</row>
    <row r="207" spans="1:11" ht="13.5" thickBot="1" x14ac:dyDescent="0.25">
      <c r="A207" s="179" t="s">
        <v>5</v>
      </c>
      <c r="B207" s="179"/>
      <c r="C207" s="179"/>
      <c r="D207" s="179" t="s">
        <v>162</v>
      </c>
      <c r="E207" s="179"/>
      <c r="F207" s="179"/>
      <c r="G207" s="179" t="s">
        <v>163</v>
      </c>
      <c r="H207" s="179"/>
      <c r="I207" s="179"/>
      <c r="J207" s="179" t="s">
        <v>72</v>
      </c>
      <c r="K207" s="179"/>
    </row>
    <row r="208" spans="1:11" ht="13.5" thickBot="1" x14ac:dyDescent="0.25">
      <c r="A208" s="58" t="s">
        <v>216</v>
      </c>
      <c r="B208" s="58" t="s">
        <v>11</v>
      </c>
      <c r="C208" s="58" t="s">
        <v>10</v>
      </c>
      <c r="D208" s="58" t="s">
        <v>216</v>
      </c>
      <c r="E208" s="58" t="s">
        <v>11</v>
      </c>
      <c r="F208" s="58" t="s">
        <v>10</v>
      </c>
      <c r="G208" s="58" t="s">
        <v>216</v>
      </c>
      <c r="H208" s="58" t="s">
        <v>11</v>
      </c>
      <c r="I208" s="58" t="s">
        <v>10</v>
      </c>
      <c r="J208" s="180" t="s">
        <v>98</v>
      </c>
      <c r="K208" s="180"/>
    </row>
    <row r="209" spans="1:11" ht="13.5" thickBot="1" x14ac:dyDescent="0.25">
      <c r="A209" s="60">
        <f>SUM(B209:C209)</f>
        <v>3</v>
      </c>
      <c r="B209" s="60">
        <f>H209+E209</f>
        <v>0</v>
      </c>
      <c r="C209" s="60">
        <f>I209+F209</f>
        <v>3</v>
      </c>
      <c r="D209" s="60">
        <f>SUM(E209:F209)</f>
        <v>2</v>
      </c>
      <c r="E209" s="60">
        <v>0</v>
      </c>
      <c r="F209" s="60">
        <v>2</v>
      </c>
      <c r="G209" s="60">
        <f>SUM(H209:I209)</f>
        <v>1</v>
      </c>
      <c r="H209" s="60">
        <v>0</v>
      </c>
      <c r="I209" s="60">
        <v>1</v>
      </c>
      <c r="J209" s="65" t="s">
        <v>61</v>
      </c>
      <c r="K209" s="66"/>
    </row>
    <row r="210" spans="1:11" ht="13.5" thickBot="1" x14ac:dyDescent="0.25">
      <c r="A210" s="60">
        <f t="shared" ref="A210:A226" si="28">SUM(B210:C210)</f>
        <v>27</v>
      </c>
      <c r="B210" s="60">
        <f t="shared" ref="B210:C226" si="29">H210+E210</f>
        <v>0</v>
      </c>
      <c r="C210" s="60">
        <f t="shared" si="29"/>
        <v>27</v>
      </c>
      <c r="D210" s="60">
        <f t="shared" ref="D210:D226" si="30">SUM(E210:F210)</f>
        <v>22</v>
      </c>
      <c r="E210" s="60">
        <v>0</v>
      </c>
      <c r="F210" s="60">
        <v>22</v>
      </c>
      <c r="G210" s="60">
        <f t="shared" ref="G210:G226" si="31">SUM(H210:I210)</f>
        <v>5</v>
      </c>
      <c r="H210" s="60">
        <v>0</v>
      </c>
      <c r="I210" s="60">
        <v>5</v>
      </c>
      <c r="J210" s="65" t="s">
        <v>62</v>
      </c>
      <c r="K210" s="66" t="s">
        <v>388</v>
      </c>
    </row>
    <row r="211" spans="1:11" ht="13.5" thickBot="1" x14ac:dyDescent="0.25">
      <c r="A211" s="60">
        <f t="shared" si="28"/>
        <v>0</v>
      </c>
      <c r="B211" s="60">
        <f t="shared" si="29"/>
        <v>0</v>
      </c>
      <c r="C211" s="60">
        <f t="shared" si="29"/>
        <v>0</v>
      </c>
      <c r="D211" s="60">
        <f t="shared" si="30"/>
        <v>0</v>
      </c>
      <c r="E211" s="60">
        <v>0</v>
      </c>
      <c r="F211" s="60">
        <v>0</v>
      </c>
      <c r="G211" s="60">
        <f t="shared" si="31"/>
        <v>0</v>
      </c>
      <c r="H211" s="60">
        <v>0</v>
      </c>
      <c r="I211" s="60">
        <v>0</v>
      </c>
      <c r="J211" s="65" t="s">
        <v>64</v>
      </c>
      <c r="K211" s="74"/>
    </row>
    <row r="212" spans="1:11" ht="13.5" thickBot="1" x14ac:dyDescent="0.25">
      <c r="A212" s="60">
        <f t="shared" si="28"/>
        <v>0</v>
      </c>
      <c r="B212" s="60">
        <f t="shared" si="29"/>
        <v>0</v>
      </c>
      <c r="C212" s="60">
        <f t="shared" si="29"/>
        <v>0</v>
      </c>
      <c r="D212" s="60">
        <f t="shared" si="30"/>
        <v>0</v>
      </c>
      <c r="E212" s="60">
        <v>0</v>
      </c>
      <c r="F212" s="60">
        <v>0</v>
      </c>
      <c r="G212" s="60">
        <f t="shared" si="31"/>
        <v>0</v>
      </c>
      <c r="H212" s="60">
        <v>0</v>
      </c>
      <c r="I212" s="60">
        <v>0</v>
      </c>
      <c r="J212" s="65" t="s">
        <v>61</v>
      </c>
      <c r="K212" s="66"/>
    </row>
    <row r="213" spans="1:11" ht="13.5" thickBot="1" x14ac:dyDescent="0.25">
      <c r="A213" s="60">
        <f t="shared" si="28"/>
        <v>13</v>
      </c>
      <c r="B213" s="60">
        <f t="shared" si="29"/>
        <v>0</v>
      </c>
      <c r="C213" s="60">
        <f t="shared" si="29"/>
        <v>13</v>
      </c>
      <c r="D213" s="60">
        <f t="shared" si="30"/>
        <v>5</v>
      </c>
      <c r="E213" s="60">
        <v>0</v>
      </c>
      <c r="F213" s="60">
        <v>5</v>
      </c>
      <c r="G213" s="60">
        <f t="shared" si="31"/>
        <v>8</v>
      </c>
      <c r="H213" s="60">
        <v>0</v>
      </c>
      <c r="I213" s="60">
        <v>8</v>
      </c>
      <c r="J213" s="65" t="s">
        <v>62</v>
      </c>
      <c r="K213" s="66" t="s">
        <v>390</v>
      </c>
    </row>
    <row r="214" spans="1:11" ht="13.5" thickBot="1" x14ac:dyDescent="0.25">
      <c r="A214" s="60">
        <f t="shared" si="28"/>
        <v>0</v>
      </c>
      <c r="B214" s="60">
        <f t="shared" si="29"/>
        <v>0</v>
      </c>
      <c r="C214" s="60">
        <f t="shared" si="29"/>
        <v>0</v>
      </c>
      <c r="D214" s="60">
        <f t="shared" si="30"/>
        <v>0</v>
      </c>
      <c r="E214" s="60">
        <v>0</v>
      </c>
      <c r="F214" s="60">
        <v>0</v>
      </c>
      <c r="G214" s="60">
        <f t="shared" si="31"/>
        <v>0</v>
      </c>
      <c r="H214" s="60">
        <v>0</v>
      </c>
      <c r="I214" s="60">
        <v>0</v>
      </c>
      <c r="J214" s="65" t="s">
        <v>64</v>
      </c>
      <c r="K214" s="74"/>
    </row>
    <row r="215" spans="1:11" ht="13.5" thickBot="1" x14ac:dyDescent="0.25">
      <c r="A215" s="60">
        <f t="shared" si="28"/>
        <v>3</v>
      </c>
      <c r="B215" s="60">
        <f t="shared" si="29"/>
        <v>0</v>
      </c>
      <c r="C215" s="60">
        <f t="shared" si="29"/>
        <v>3</v>
      </c>
      <c r="D215" s="60">
        <f t="shared" si="30"/>
        <v>1</v>
      </c>
      <c r="E215" s="60">
        <v>0</v>
      </c>
      <c r="F215" s="60">
        <v>1</v>
      </c>
      <c r="G215" s="60">
        <f t="shared" si="31"/>
        <v>2</v>
      </c>
      <c r="H215" s="60">
        <v>0</v>
      </c>
      <c r="I215" s="60">
        <v>2</v>
      </c>
      <c r="J215" s="65" t="s">
        <v>61</v>
      </c>
      <c r="K215" s="66"/>
    </row>
    <row r="216" spans="1:11" ht="13.5" thickBot="1" x14ac:dyDescent="0.25">
      <c r="A216" s="60">
        <f t="shared" si="28"/>
        <v>27</v>
      </c>
      <c r="B216" s="60">
        <f t="shared" si="29"/>
        <v>0</v>
      </c>
      <c r="C216" s="60">
        <f t="shared" si="29"/>
        <v>27</v>
      </c>
      <c r="D216" s="60">
        <f t="shared" si="30"/>
        <v>26</v>
      </c>
      <c r="E216" s="60">
        <v>0</v>
      </c>
      <c r="F216" s="60">
        <v>26</v>
      </c>
      <c r="G216" s="60">
        <f t="shared" si="31"/>
        <v>1</v>
      </c>
      <c r="H216" s="60">
        <v>0</v>
      </c>
      <c r="I216" s="60">
        <v>1</v>
      </c>
      <c r="J216" s="65" t="s">
        <v>62</v>
      </c>
      <c r="K216" s="66" t="s">
        <v>391</v>
      </c>
    </row>
    <row r="217" spans="1:11" ht="13.5" thickBot="1" x14ac:dyDescent="0.25">
      <c r="A217" s="60">
        <f t="shared" si="28"/>
        <v>0</v>
      </c>
      <c r="B217" s="60">
        <f t="shared" si="29"/>
        <v>0</v>
      </c>
      <c r="C217" s="60">
        <f t="shared" si="29"/>
        <v>0</v>
      </c>
      <c r="D217" s="60">
        <f t="shared" si="30"/>
        <v>0</v>
      </c>
      <c r="E217" s="60">
        <v>0</v>
      </c>
      <c r="F217" s="60">
        <v>0</v>
      </c>
      <c r="G217" s="60">
        <f t="shared" si="31"/>
        <v>0</v>
      </c>
      <c r="H217" s="60">
        <v>0</v>
      </c>
      <c r="I217" s="60">
        <v>0</v>
      </c>
      <c r="J217" s="65" t="s">
        <v>64</v>
      </c>
      <c r="K217" s="74"/>
    </row>
    <row r="218" spans="1:11" ht="13.5" thickBot="1" x14ac:dyDescent="0.25">
      <c r="A218" s="60">
        <f t="shared" si="28"/>
        <v>4</v>
      </c>
      <c r="B218" s="60">
        <f t="shared" si="29"/>
        <v>0</v>
      </c>
      <c r="C218" s="60">
        <f t="shared" si="29"/>
        <v>4</v>
      </c>
      <c r="D218" s="60">
        <f t="shared" si="30"/>
        <v>2</v>
      </c>
      <c r="E218" s="60">
        <v>0</v>
      </c>
      <c r="F218" s="60">
        <v>2</v>
      </c>
      <c r="G218" s="60">
        <f t="shared" si="31"/>
        <v>2</v>
      </c>
      <c r="H218" s="60">
        <v>0</v>
      </c>
      <c r="I218" s="60">
        <v>2</v>
      </c>
      <c r="J218" s="65" t="s">
        <v>61</v>
      </c>
      <c r="K218" s="66"/>
    </row>
    <row r="219" spans="1:11" ht="13.5" thickBot="1" x14ac:dyDescent="0.25">
      <c r="A219" s="60">
        <f t="shared" si="28"/>
        <v>19</v>
      </c>
      <c r="B219" s="60">
        <f t="shared" si="29"/>
        <v>0</v>
      </c>
      <c r="C219" s="60">
        <f t="shared" si="29"/>
        <v>19</v>
      </c>
      <c r="D219" s="60">
        <f t="shared" si="30"/>
        <v>14</v>
      </c>
      <c r="E219" s="60">
        <v>0</v>
      </c>
      <c r="F219" s="60">
        <v>14</v>
      </c>
      <c r="G219" s="60">
        <f t="shared" si="31"/>
        <v>5</v>
      </c>
      <c r="H219" s="60">
        <v>0</v>
      </c>
      <c r="I219" s="60">
        <v>5</v>
      </c>
      <c r="J219" s="65" t="s">
        <v>62</v>
      </c>
      <c r="K219" s="66" t="s">
        <v>359</v>
      </c>
    </row>
    <row r="220" spans="1:11" ht="13.5" thickBot="1" x14ac:dyDescent="0.25">
      <c r="A220" s="60">
        <f t="shared" si="28"/>
        <v>0</v>
      </c>
      <c r="B220" s="60">
        <f t="shared" si="29"/>
        <v>0</v>
      </c>
      <c r="C220" s="60">
        <f t="shared" si="29"/>
        <v>0</v>
      </c>
      <c r="D220" s="60">
        <f t="shared" si="30"/>
        <v>0</v>
      </c>
      <c r="E220" s="60">
        <v>0</v>
      </c>
      <c r="F220" s="60">
        <v>0</v>
      </c>
      <c r="G220" s="60">
        <f t="shared" si="31"/>
        <v>0</v>
      </c>
      <c r="H220" s="60">
        <v>0</v>
      </c>
      <c r="I220" s="60">
        <v>0</v>
      </c>
      <c r="J220" s="65" t="s">
        <v>64</v>
      </c>
      <c r="K220" s="74"/>
    </row>
    <row r="221" spans="1:11" ht="13.5" thickBot="1" x14ac:dyDescent="0.25">
      <c r="A221" s="60">
        <f t="shared" si="28"/>
        <v>0</v>
      </c>
      <c r="B221" s="60">
        <f t="shared" si="29"/>
        <v>0</v>
      </c>
      <c r="C221" s="60">
        <f t="shared" si="29"/>
        <v>0</v>
      </c>
      <c r="D221" s="60">
        <f t="shared" si="30"/>
        <v>0</v>
      </c>
      <c r="E221" s="60">
        <v>0</v>
      </c>
      <c r="F221" s="60">
        <v>0</v>
      </c>
      <c r="G221" s="60">
        <f t="shared" si="31"/>
        <v>0</v>
      </c>
      <c r="H221" s="60">
        <v>0</v>
      </c>
      <c r="I221" s="60">
        <v>0</v>
      </c>
      <c r="J221" s="65" t="s">
        <v>61</v>
      </c>
      <c r="K221" s="66"/>
    </row>
    <row r="222" spans="1:11" ht="13.5" thickBot="1" x14ac:dyDescent="0.25">
      <c r="A222" s="60">
        <f t="shared" si="28"/>
        <v>6</v>
      </c>
      <c r="B222" s="60">
        <f t="shared" si="29"/>
        <v>0</v>
      </c>
      <c r="C222" s="60">
        <f t="shared" si="29"/>
        <v>6</v>
      </c>
      <c r="D222" s="60">
        <f t="shared" si="30"/>
        <v>4</v>
      </c>
      <c r="E222" s="60">
        <v>0</v>
      </c>
      <c r="F222" s="60">
        <v>4</v>
      </c>
      <c r="G222" s="60">
        <f t="shared" si="31"/>
        <v>2</v>
      </c>
      <c r="H222" s="60">
        <v>0</v>
      </c>
      <c r="I222" s="60">
        <v>2</v>
      </c>
      <c r="J222" s="65" t="s">
        <v>62</v>
      </c>
      <c r="K222" s="66" t="s">
        <v>539</v>
      </c>
    </row>
    <row r="223" spans="1:11" ht="13.5" thickBot="1" x14ac:dyDescent="0.25">
      <c r="A223" s="60">
        <f t="shared" si="28"/>
        <v>0</v>
      </c>
      <c r="B223" s="60">
        <f t="shared" si="29"/>
        <v>0</v>
      </c>
      <c r="C223" s="60">
        <f t="shared" si="29"/>
        <v>0</v>
      </c>
      <c r="D223" s="60">
        <f t="shared" si="30"/>
        <v>0</v>
      </c>
      <c r="E223" s="60">
        <v>0</v>
      </c>
      <c r="F223" s="60">
        <v>0</v>
      </c>
      <c r="G223" s="60">
        <f t="shared" si="31"/>
        <v>0</v>
      </c>
      <c r="H223" s="60">
        <v>0</v>
      </c>
      <c r="I223" s="60">
        <v>0</v>
      </c>
      <c r="J223" s="65" t="s">
        <v>64</v>
      </c>
      <c r="K223" s="74"/>
    </row>
    <row r="224" spans="1:11" ht="13.5" thickBot="1" x14ac:dyDescent="0.25">
      <c r="A224" s="60">
        <f t="shared" si="28"/>
        <v>0</v>
      </c>
      <c r="B224" s="60">
        <f t="shared" si="29"/>
        <v>0</v>
      </c>
      <c r="C224" s="60">
        <f t="shared" si="29"/>
        <v>0</v>
      </c>
      <c r="D224" s="60">
        <f t="shared" si="30"/>
        <v>0</v>
      </c>
      <c r="E224" s="60">
        <v>0</v>
      </c>
      <c r="F224" s="60">
        <v>0</v>
      </c>
      <c r="G224" s="60">
        <f t="shared" si="31"/>
        <v>0</v>
      </c>
      <c r="H224" s="60">
        <v>0</v>
      </c>
      <c r="I224" s="60">
        <v>0</v>
      </c>
      <c r="J224" s="65" t="s">
        <v>61</v>
      </c>
      <c r="K224" s="66"/>
    </row>
    <row r="225" spans="1:11" ht="13.5" thickBot="1" x14ac:dyDescent="0.25">
      <c r="A225" s="60">
        <f t="shared" si="28"/>
        <v>81</v>
      </c>
      <c r="B225" s="60">
        <f t="shared" si="29"/>
        <v>0</v>
      </c>
      <c r="C225" s="60">
        <f t="shared" si="29"/>
        <v>81</v>
      </c>
      <c r="D225" s="60">
        <f t="shared" si="30"/>
        <v>71</v>
      </c>
      <c r="E225" s="60">
        <v>0</v>
      </c>
      <c r="F225" s="60">
        <v>71</v>
      </c>
      <c r="G225" s="60">
        <f t="shared" si="31"/>
        <v>10</v>
      </c>
      <c r="H225" s="60">
        <v>0</v>
      </c>
      <c r="I225" s="60">
        <v>10</v>
      </c>
      <c r="J225" s="65" t="s">
        <v>62</v>
      </c>
      <c r="K225" s="66" t="s">
        <v>392</v>
      </c>
    </row>
    <row r="226" spans="1:11" ht="13.5" thickBot="1" x14ac:dyDescent="0.25">
      <c r="A226" s="60">
        <f t="shared" si="28"/>
        <v>0</v>
      </c>
      <c r="B226" s="60">
        <f t="shared" si="29"/>
        <v>0</v>
      </c>
      <c r="C226" s="60">
        <f t="shared" si="29"/>
        <v>0</v>
      </c>
      <c r="D226" s="60">
        <f t="shared" si="30"/>
        <v>0</v>
      </c>
      <c r="E226" s="60">
        <v>0</v>
      </c>
      <c r="F226" s="60">
        <v>0</v>
      </c>
      <c r="G226" s="60">
        <f t="shared" si="31"/>
        <v>0</v>
      </c>
      <c r="H226" s="60">
        <v>0</v>
      </c>
      <c r="I226" s="60">
        <v>0</v>
      </c>
      <c r="J226" s="65" t="s">
        <v>64</v>
      </c>
      <c r="K226" s="74"/>
    </row>
    <row r="227" spans="1:11" ht="13.5" thickBot="1" x14ac:dyDescent="0.25">
      <c r="A227" s="60">
        <f t="shared" ref="A227:I229" si="32">A209+A212+A215+A218+A221+A224</f>
        <v>10</v>
      </c>
      <c r="B227" s="60">
        <f t="shared" si="32"/>
        <v>0</v>
      </c>
      <c r="C227" s="60">
        <f t="shared" si="32"/>
        <v>10</v>
      </c>
      <c r="D227" s="60">
        <f t="shared" si="32"/>
        <v>5</v>
      </c>
      <c r="E227" s="60">
        <f t="shared" si="32"/>
        <v>0</v>
      </c>
      <c r="F227" s="60">
        <f t="shared" si="32"/>
        <v>5</v>
      </c>
      <c r="G227" s="60">
        <f t="shared" si="32"/>
        <v>5</v>
      </c>
      <c r="H227" s="60">
        <f t="shared" si="32"/>
        <v>0</v>
      </c>
      <c r="I227" s="60">
        <f>I209+I212+I215+I218+I221+I224</f>
        <v>5</v>
      </c>
      <c r="J227" s="65" t="s">
        <v>231</v>
      </c>
      <c r="K227" s="57"/>
    </row>
    <row r="228" spans="1:11" ht="13.5" thickBot="1" x14ac:dyDescent="0.25">
      <c r="A228" s="60">
        <f t="shared" si="32"/>
        <v>173</v>
      </c>
      <c r="B228" s="60">
        <f t="shared" si="32"/>
        <v>0</v>
      </c>
      <c r="C228" s="60">
        <f t="shared" si="32"/>
        <v>173</v>
      </c>
      <c r="D228" s="60">
        <f t="shared" si="32"/>
        <v>142</v>
      </c>
      <c r="E228" s="60">
        <f t="shared" si="32"/>
        <v>0</v>
      </c>
      <c r="F228" s="60">
        <f t="shared" si="32"/>
        <v>142</v>
      </c>
      <c r="G228" s="60">
        <f t="shared" si="32"/>
        <v>31</v>
      </c>
      <c r="H228" s="60">
        <f t="shared" si="32"/>
        <v>0</v>
      </c>
      <c r="I228" s="60">
        <f t="shared" si="32"/>
        <v>31</v>
      </c>
      <c r="J228" s="65" t="s">
        <v>62</v>
      </c>
      <c r="K228" s="68" t="s">
        <v>232</v>
      </c>
    </row>
    <row r="229" spans="1:11" ht="13.5" thickBot="1" x14ac:dyDescent="0.25">
      <c r="A229" s="60">
        <f t="shared" si="32"/>
        <v>0</v>
      </c>
      <c r="B229" s="60">
        <f t="shared" si="32"/>
        <v>0</v>
      </c>
      <c r="C229" s="60">
        <f t="shared" si="32"/>
        <v>0</v>
      </c>
      <c r="D229" s="60">
        <f t="shared" si="32"/>
        <v>0</v>
      </c>
      <c r="E229" s="60">
        <f t="shared" si="32"/>
        <v>0</v>
      </c>
      <c r="F229" s="60">
        <f t="shared" si="32"/>
        <v>0</v>
      </c>
      <c r="G229" s="60">
        <f t="shared" si="32"/>
        <v>0</v>
      </c>
      <c r="H229" s="60">
        <f t="shared" si="32"/>
        <v>0</v>
      </c>
      <c r="I229" s="60">
        <f t="shared" si="32"/>
        <v>0</v>
      </c>
      <c r="J229" s="65" t="s">
        <v>64</v>
      </c>
      <c r="K229" s="59"/>
    </row>
    <row r="230" spans="1:11" ht="13.5" thickBot="1" x14ac:dyDescent="0.25">
      <c r="A230" s="60">
        <f t="shared" ref="A230:H230" si="33">SUM(A227:A229)</f>
        <v>183</v>
      </c>
      <c r="B230" s="60">
        <f t="shared" si="33"/>
        <v>0</v>
      </c>
      <c r="C230" s="60">
        <f t="shared" si="33"/>
        <v>183</v>
      </c>
      <c r="D230" s="60">
        <f t="shared" si="33"/>
        <v>147</v>
      </c>
      <c r="E230" s="60">
        <f t="shared" si="33"/>
        <v>0</v>
      </c>
      <c r="F230" s="60">
        <f t="shared" si="33"/>
        <v>147</v>
      </c>
      <c r="G230" s="60">
        <f t="shared" si="33"/>
        <v>36</v>
      </c>
      <c r="H230" s="60">
        <f t="shared" si="33"/>
        <v>0</v>
      </c>
      <c r="I230" s="60">
        <f>SUM(I227:I229)</f>
        <v>36</v>
      </c>
      <c r="J230" s="184" t="s">
        <v>233</v>
      </c>
      <c r="K230" s="184"/>
    </row>
    <row r="232" spans="1:11" x14ac:dyDescent="0.2">
      <c r="A232" s="177" t="s">
        <v>529</v>
      </c>
      <c r="B232" s="177"/>
      <c r="C232" s="177"/>
      <c r="D232" s="177"/>
      <c r="E232" s="177"/>
      <c r="F232" s="177"/>
      <c r="G232" s="177"/>
      <c r="H232" s="177"/>
      <c r="I232" s="177"/>
      <c r="J232" s="177"/>
      <c r="K232" s="177"/>
    </row>
    <row r="233" spans="1:11" ht="13.5" thickBot="1" x14ac:dyDescent="0.25">
      <c r="A233" s="178" t="s">
        <v>530</v>
      </c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</row>
    <row r="234" spans="1:11" ht="13.5" thickBot="1" x14ac:dyDescent="0.25">
      <c r="A234" s="179" t="s">
        <v>5</v>
      </c>
      <c r="B234" s="179"/>
      <c r="C234" s="179"/>
      <c r="D234" s="179" t="s">
        <v>162</v>
      </c>
      <c r="E234" s="179"/>
      <c r="F234" s="179"/>
      <c r="G234" s="179" t="s">
        <v>163</v>
      </c>
      <c r="H234" s="179"/>
      <c r="I234" s="179"/>
      <c r="J234" s="179" t="s">
        <v>72</v>
      </c>
      <c r="K234" s="179"/>
    </row>
    <row r="235" spans="1:11" ht="13.5" thickBot="1" x14ac:dyDescent="0.25">
      <c r="A235" s="58" t="s">
        <v>216</v>
      </c>
      <c r="B235" s="58" t="s">
        <v>11</v>
      </c>
      <c r="C235" s="58" t="s">
        <v>10</v>
      </c>
      <c r="D235" s="58" t="s">
        <v>216</v>
      </c>
      <c r="E235" s="58" t="s">
        <v>11</v>
      </c>
      <c r="F235" s="58" t="s">
        <v>10</v>
      </c>
      <c r="G235" s="58" t="s">
        <v>216</v>
      </c>
      <c r="H235" s="58" t="s">
        <v>11</v>
      </c>
      <c r="I235" s="58" t="s">
        <v>10</v>
      </c>
      <c r="J235" s="180" t="s">
        <v>80</v>
      </c>
      <c r="K235" s="180"/>
    </row>
    <row r="236" spans="1:11" ht="13.5" thickBot="1" x14ac:dyDescent="0.25">
      <c r="A236" s="60">
        <f>SUM(B236:C236)</f>
        <v>0</v>
      </c>
      <c r="B236" s="60">
        <f>H236+E236</f>
        <v>0</v>
      </c>
      <c r="C236" s="60">
        <f>I236+F236</f>
        <v>0</v>
      </c>
      <c r="D236" s="60">
        <f>SUM(E236:F236)</f>
        <v>0</v>
      </c>
      <c r="E236" s="60">
        <v>0</v>
      </c>
      <c r="F236" s="60">
        <v>0</v>
      </c>
      <c r="G236" s="60">
        <f>SUM(H236:I236)</f>
        <v>0</v>
      </c>
      <c r="H236" s="60">
        <v>0</v>
      </c>
      <c r="I236" s="60">
        <v>0</v>
      </c>
      <c r="J236" s="65" t="s">
        <v>61</v>
      </c>
      <c r="K236" s="66"/>
    </row>
    <row r="237" spans="1:11" ht="13.5" thickBot="1" x14ac:dyDescent="0.25">
      <c r="A237" s="60">
        <f t="shared" ref="A237:A262" si="34">SUM(B237:C237)</f>
        <v>8</v>
      </c>
      <c r="B237" s="60">
        <f t="shared" ref="B237:C262" si="35">H237+E237</f>
        <v>0</v>
      </c>
      <c r="C237" s="60">
        <f t="shared" si="35"/>
        <v>8</v>
      </c>
      <c r="D237" s="60">
        <f t="shared" ref="D237:D262" si="36">SUM(E237:F237)</f>
        <v>0</v>
      </c>
      <c r="E237" s="60">
        <v>0</v>
      </c>
      <c r="F237" s="60">
        <v>0</v>
      </c>
      <c r="G237" s="60">
        <f t="shared" ref="G237:G262" si="37">SUM(H237:I237)</f>
        <v>8</v>
      </c>
      <c r="H237" s="60">
        <v>0</v>
      </c>
      <c r="I237" s="60">
        <v>8</v>
      </c>
      <c r="J237" s="65" t="s">
        <v>62</v>
      </c>
      <c r="K237" s="66" t="s">
        <v>393</v>
      </c>
    </row>
    <row r="238" spans="1:11" ht="13.5" thickBot="1" x14ac:dyDescent="0.25">
      <c r="A238" s="60">
        <f t="shared" si="34"/>
        <v>0</v>
      </c>
      <c r="B238" s="60">
        <f t="shared" si="35"/>
        <v>0</v>
      </c>
      <c r="C238" s="60">
        <f t="shared" si="35"/>
        <v>0</v>
      </c>
      <c r="D238" s="60">
        <f t="shared" si="36"/>
        <v>0</v>
      </c>
      <c r="E238" s="60">
        <v>0</v>
      </c>
      <c r="F238" s="60">
        <v>0</v>
      </c>
      <c r="G238" s="60">
        <f t="shared" si="37"/>
        <v>0</v>
      </c>
      <c r="H238" s="60">
        <v>0</v>
      </c>
      <c r="I238" s="60">
        <v>0</v>
      </c>
      <c r="J238" s="65" t="s">
        <v>64</v>
      </c>
      <c r="K238" s="74"/>
    </row>
    <row r="239" spans="1:11" ht="13.5" thickBot="1" x14ac:dyDescent="0.25">
      <c r="A239" s="60">
        <f t="shared" si="34"/>
        <v>0</v>
      </c>
      <c r="B239" s="60">
        <f t="shared" si="35"/>
        <v>0</v>
      </c>
      <c r="C239" s="60">
        <f t="shared" si="35"/>
        <v>0</v>
      </c>
      <c r="D239" s="60">
        <f t="shared" si="36"/>
        <v>0</v>
      </c>
      <c r="E239" s="60">
        <v>0</v>
      </c>
      <c r="F239" s="60">
        <v>0</v>
      </c>
      <c r="G239" s="60">
        <f t="shared" si="37"/>
        <v>0</v>
      </c>
      <c r="H239" s="60">
        <v>0</v>
      </c>
      <c r="I239" s="60">
        <v>0</v>
      </c>
      <c r="J239" s="65" t="s">
        <v>61</v>
      </c>
      <c r="K239" s="66"/>
    </row>
    <row r="240" spans="1:11" ht="13.5" thickBot="1" x14ac:dyDescent="0.25">
      <c r="A240" s="60">
        <f t="shared" si="34"/>
        <v>4</v>
      </c>
      <c r="B240" s="60">
        <f t="shared" si="35"/>
        <v>0</v>
      </c>
      <c r="C240" s="60">
        <f t="shared" si="35"/>
        <v>4</v>
      </c>
      <c r="D240" s="60">
        <f t="shared" si="36"/>
        <v>0</v>
      </c>
      <c r="E240" s="60">
        <v>0</v>
      </c>
      <c r="F240" s="60">
        <v>0</v>
      </c>
      <c r="G240" s="60">
        <f t="shared" si="37"/>
        <v>4</v>
      </c>
      <c r="H240" s="60">
        <v>0</v>
      </c>
      <c r="I240" s="60">
        <v>4</v>
      </c>
      <c r="J240" s="65" t="s">
        <v>62</v>
      </c>
      <c r="K240" s="66" t="s">
        <v>394</v>
      </c>
    </row>
    <row r="241" spans="1:11" ht="13.5" thickBot="1" x14ac:dyDescent="0.25">
      <c r="A241" s="60">
        <f t="shared" si="34"/>
        <v>0</v>
      </c>
      <c r="B241" s="60">
        <f t="shared" si="35"/>
        <v>0</v>
      </c>
      <c r="C241" s="60">
        <f t="shared" si="35"/>
        <v>0</v>
      </c>
      <c r="D241" s="60">
        <f t="shared" si="36"/>
        <v>0</v>
      </c>
      <c r="E241" s="60">
        <v>0</v>
      </c>
      <c r="F241" s="60">
        <v>0</v>
      </c>
      <c r="G241" s="60">
        <f t="shared" si="37"/>
        <v>0</v>
      </c>
      <c r="H241" s="60">
        <v>0</v>
      </c>
      <c r="I241" s="60">
        <v>0</v>
      </c>
      <c r="J241" s="65" t="s">
        <v>64</v>
      </c>
      <c r="K241" s="74"/>
    </row>
    <row r="242" spans="1:11" ht="13.5" thickBot="1" x14ac:dyDescent="0.25">
      <c r="A242" s="60">
        <f t="shared" si="34"/>
        <v>0</v>
      </c>
      <c r="B242" s="60">
        <f t="shared" si="35"/>
        <v>0</v>
      </c>
      <c r="C242" s="60">
        <f t="shared" si="35"/>
        <v>0</v>
      </c>
      <c r="D242" s="60">
        <f t="shared" si="36"/>
        <v>0</v>
      </c>
      <c r="E242" s="60">
        <v>0</v>
      </c>
      <c r="F242" s="60">
        <v>0</v>
      </c>
      <c r="G242" s="60">
        <f t="shared" si="37"/>
        <v>0</v>
      </c>
      <c r="H242" s="60">
        <v>0</v>
      </c>
      <c r="I242" s="60">
        <v>0</v>
      </c>
      <c r="J242" s="65" t="s">
        <v>61</v>
      </c>
      <c r="K242" s="66"/>
    </row>
    <row r="243" spans="1:11" ht="13.5" thickBot="1" x14ac:dyDescent="0.25">
      <c r="A243" s="60">
        <f t="shared" si="34"/>
        <v>23</v>
      </c>
      <c r="B243" s="60">
        <f t="shared" si="35"/>
        <v>12</v>
      </c>
      <c r="C243" s="60">
        <f t="shared" si="35"/>
        <v>11</v>
      </c>
      <c r="D243" s="60">
        <f t="shared" si="36"/>
        <v>0</v>
      </c>
      <c r="E243" s="60">
        <v>0</v>
      </c>
      <c r="F243" s="60">
        <v>0</v>
      </c>
      <c r="G243" s="60">
        <f t="shared" si="37"/>
        <v>23</v>
      </c>
      <c r="H243" s="60">
        <v>12</v>
      </c>
      <c r="I243" s="60">
        <v>11</v>
      </c>
      <c r="J243" s="65" t="s">
        <v>62</v>
      </c>
      <c r="K243" s="66" t="s">
        <v>396</v>
      </c>
    </row>
    <row r="244" spans="1:11" ht="13.5" thickBot="1" x14ac:dyDescent="0.25">
      <c r="A244" s="60">
        <f t="shared" si="34"/>
        <v>0</v>
      </c>
      <c r="B244" s="60">
        <f t="shared" si="35"/>
        <v>0</v>
      </c>
      <c r="C244" s="60">
        <f t="shared" si="35"/>
        <v>0</v>
      </c>
      <c r="D244" s="60">
        <f t="shared" si="36"/>
        <v>0</v>
      </c>
      <c r="E244" s="60">
        <v>0</v>
      </c>
      <c r="F244" s="60">
        <v>0</v>
      </c>
      <c r="G244" s="60">
        <f t="shared" si="37"/>
        <v>0</v>
      </c>
      <c r="H244" s="60">
        <v>0</v>
      </c>
      <c r="I244" s="60">
        <v>0</v>
      </c>
      <c r="J244" s="65" t="s">
        <v>64</v>
      </c>
      <c r="K244" s="74"/>
    </row>
    <row r="245" spans="1:11" ht="13.5" thickBot="1" x14ac:dyDescent="0.25">
      <c r="A245" s="60">
        <f t="shared" si="34"/>
        <v>0</v>
      </c>
      <c r="B245" s="60">
        <f t="shared" si="35"/>
        <v>0</v>
      </c>
      <c r="C245" s="60">
        <f t="shared" si="35"/>
        <v>0</v>
      </c>
      <c r="D245" s="60">
        <f t="shared" si="36"/>
        <v>0</v>
      </c>
      <c r="E245" s="60">
        <v>0</v>
      </c>
      <c r="F245" s="60">
        <v>0</v>
      </c>
      <c r="G245" s="60">
        <f t="shared" si="37"/>
        <v>0</v>
      </c>
      <c r="H245" s="60">
        <v>0</v>
      </c>
      <c r="I245" s="60">
        <v>0</v>
      </c>
      <c r="J245" s="65" t="s">
        <v>61</v>
      </c>
      <c r="K245" s="66"/>
    </row>
    <row r="246" spans="1:11" ht="13.5" thickBot="1" x14ac:dyDescent="0.25">
      <c r="A246" s="60">
        <f t="shared" si="34"/>
        <v>12</v>
      </c>
      <c r="B246" s="60">
        <f t="shared" si="35"/>
        <v>10</v>
      </c>
      <c r="C246" s="60">
        <f t="shared" si="35"/>
        <v>2</v>
      </c>
      <c r="D246" s="60">
        <f t="shared" si="36"/>
        <v>0</v>
      </c>
      <c r="E246" s="60">
        <v>0</v>
      </c>
      <c r="F246" s="60">
        <v>0</v>
      </c>
      <c r="G246" s="60">
        <f t="shared" si="37"/>
        <v>12</v>
      </c>
      <c r="H246" s="60">
        <v>10</v>
      </c>
      <c r="I246" s="60">
        <v>2</v>
      </c>
      <c r="J246" s="65" t="s">
        <v>62</v>
      </c>
      <c r="K246" s="66" t="s">
        <v>399</v>
      </c>
    </row>
    <row r="247" spans="1:11" ht="13.5" thickBot="1" x14ac:dyDescent="0.25">
      <c r="A247" s="60">
        <f t="shared" si="34"/>
        <v>0</v>
      </c>
      <c r="B247" s="60">
        <f t="shared" si="35"/>
        <v>0</v>
      </c>
      <c r="C247" s="60">
        <f t="shared" si="35"/>
        <v>0</v>
      </c>
      <c r="D247" s="60">
        <f t="shared" si="36"/>
        <v>0</v>
      </c>
      <c r="E247" s="60">
        <v>0</v>
      </c>
      <c r="F247" s="60">
        <v>0</v>
      </c>
      <c r="G247" s="60">
        <f t="shared" si="37"/>
        <v>0</v>
      </c>
      <c r="H247" s="60">
        <v>0</v>
      </c>
      <c r="I247" s="60">
        <v>0</v>
      </c>
      <c r="J247" s="65" t="s">
        <v>64</v>
      </c>
      <c r="K247" s="74"/>
    </row>
    <row r="248" spans="1:11" ht="13.5" thickBot="1" x14ac:dyDescent="0.25">
      <c r="A248" s="60">
        <f t="shared" si="34"/>
        <v>0</v>
      </c>
      <c r="B248" s="60">
        <f t="shared" si="35"/>
        <v>0</v>
      </c>
      <c r="C248" s="60">
        <f t="shared" si="35"/>
        <v>0</v>
      </c>
      <c r="D248" s="60">
        <f t="shared" si="36"/>
        <v>0</v>
      </c>
      <c r="E248" s="60">
        <v>0</v>
      </c>
      <c r="F248" s="60">
        <v>0</v>
      </c>
      <c r="G248" s="60">
        <f t="shared" si="37"/>
        <v>0</v>
      </c>
      <c r="H248" s="60">
        <v>0</v>
      </c>
      <c r="I248" s="60">
        <v>0</v>
      </c>
      <c r="J248" s="65" t="s">
        <v>61</v>
      </c>
      <c r="K248" s="66"/>
    </row>
    <row r="249" spans="1:11" ht="13.5" thickBot="1" x14ac:dyDescent="0.25">
      <c r="A249" s="60">
        <f t="shared" si="34"/>
        <v>6</v>
      </c>
      <c r="B249" s="60">
        <f t="shared" si="35"/>
        <v>0</v>
      </c>
      <c r="C249" s="60">
        <f t="shared" si="35"/>
        <v>6</v>
      </c>
      <c r="D249" s="60">
        <f t="shared" si="36"/>
        <v>0</v>
      </c>
      <c r="E249" s="60">
        <v>0</v>
      </c>
      <c r="F249" s="60">
        <v>0</v>
      </c>
      <c r="G249" s="60">
        <f t="shared" si="37"/>
        <v>6</v>
      </c>
      <c r="H249" s="60">
        <v>0</v>
      </c>
      <c r="I249" s="60">
        <v>6</v>
      </c>
      <c r="J249" s="65" t="s">
        <v>62</v>
      </c>
      <c r="K249" s="66" t="s">
        <v>401</v>
      </c>
    </row>
    <row r="250" spans="1:11" ht="13.5" thickBot="1" x14ac:dyDescent="0.25">
      <c r="A250" s="60">
        <f t="shared" si="34"/>
        <v>0</v>
      </c>
      <c r="B250" s="60">
        <f t="shared" si="35"/>
        <v>0</v>
      </c>
      <c r="C250" s="60">
        <f t="shared" si="35"/>
        <v>0</v>
      </c>
      <c r="D250" s="60">
        <f t="shared" si="36"/>
        <v>0</v>
      </c>
      <c r="E250" s="60">
        <v>0</v>
      </c>
      <c r="F250" s="60">
        <v>0</v>
      </c>
      <c r="G250" s="60">
        <f t="shared" si="37"/>
        <v>0</v>
      </c>
      <c r="H250" s="60">
        <v>0</v>
      </c>
      <c r="I250" s="60">
        <v>0</v>
      </c>
      <c r="J250" s="65" t="s">
        <v>64</v>
      </c>
      <c r="K250" s="74"/>
    </row>
    <row r="251" spans="1:11" ht="13.5" thickBot="1" x14ac:dyDescent="0.25">
      <c r="A251" s="60">
        <f t="shared" si="34"/>
        <v>11</v>
      </c>
      <c r="B251" s="60">
        <f t="shared" si="35"/>
        <v>6</v>
      </c>
      <c r="C251" s="60">
        <f t="shared" si="35"/>
        <v>5</v>
      </c>
      <c r="D251" s="60">
        <f t="shared" si="36"/>
        <v>0</v>
      </c>
      <c r="E251" s="60">
        <v>0</v>
      </c>
      <c r="F251" s="60">
        <v>0</v>
      </c>
      <c r="G251" s="60">
        <f t="shared" si="37"/>
        <v>11</v>
      </c>
      <c r="H251" s="60">
        <v>6</v>
      </c>
      <c r="I251" s="60">
        <v>5</v>
      </c>
      <c r="J251" s="65" t="s">
        <v>61</v>
      </c>
      <c r="K251" s="66"/>
    </row>
    <row r="252" spans="1:11" ht="13.5" thickBot="1" x14ac:dyDescent="0.25">
      <c r="A252" s="60">
        <f t="shared" si="34"/>
        <v>1</v>
      </c>
      <c r="B252" s="60">
        <f t="shared" si="35"/>
        <v>0</v>
      </c>
      <c r="C252" s="60">
        <f t="shared" si="35"/>
        <v>1</v>
      </c>
      <c r="D252" s="60">
        <f t="shared" si="36"/>
        <v>0</v>
      </c>
      <c r="E252" s="60">
        <v>0</v>
      </c>
      <c r="F252" s="60">
        <v>0</v>
      </c>
      <c r="G252" s="60">
        <f t="shared" si="37"/>
        <v>1</v>
      </c>
      <c r="H252" s="60">
        <v>0</v>
      </c>
      <c r="I252" s="60">
        <v>1</v>
      </c>
      <c r="J252" s="65" t="s">
        <v>62</v>
      </c>
      <c r="K252" s="66" t="s">
        <v>402</v>
      </c>
    </row>
    <row r="253" spans="1:11" ht="13.5" thickBot="1" x14ac:dyDescent="0.25">
      <c r="A253" s="60">
        <f t="shared" si="34"/>
        <v>0</v>
      </c>
      <c r="B253" s="60">
        <f t="shared" si="35"/>
        <v>0</v>
      </c>
      <c r="C253" s="60">
        <f t="shared" si="35"/>
        <v>0</v>
      </c>
      <c r="D253" s="60">
        <f t="shared" si="36"/>
        <v>0</v>
      </c>
      <c r="E253" s="60">
        <v>0</v>
      </c>
      <c r="F253" s="60">
        <v>0</v>
      </c>
      <c r="G253" s="60">
        <f t="shared" si="37"/>
        <v>0</v>
      </c>
      <c r="H253" s="60">
        <v>0</v>
      </c>
      <c r="I253" s="60">
        <v>0</v>
      </c>
      <c r="J253" s="65" t="s">
        <v>64</v>
      </c>
      <c r="K253" s="74"/>
    </row>
    <row r="254" spans="1:11" ht="13.5" thickBot="1" x14ac:dyDescent="0.25">
      <c r="A254" s="60">
        <f t="shared" si="34"/>
        <v>0</v>
      </c>
      <c r="B254" s="60">
        <f t="shared" si="35"/>
        <v>0</v>
      </c>
      <c r="C254" s="60">
        <f t="shared" si="35"/>
        <v>0</v>
      </c>
      <c r="D254" s="60">
        <f t="shared" si="36"/>
        <v>0</v>
      </c>
      <c r="E254" s="60">
        <v>0</v>
      </c>
      <c r="F254" s="60">
        <v>0</v>
      </c>
      <c r="G254" s="60">
        <f t="shared" si="37"/>
        <v>0</v>
      </c>
      <c r="H254" s="60">
        <v>0</v>
      </c>
      <c r="I254" s="60">
        <v>0</v>
      </c>
      <c r="J254" s="65" t="s">
        <v>61</v>
      </c>
      <c r="K254" s="66"/>
    </row>
    <row r="255" spans="1:11" ht="13.5" thickBot="1" x14ac:dyDescent="0.25">
      <c r="A255" s="60">
        <f t="shared" si="34"/>
        <v>3</v>
      </c>
      <c r="B255" s="60">
        <f t="shared" si="35"/>
        <v>3</v>
      </c>
      <c r="C255" s="60">
        <f t="shared" si="35"/>
        <v>0</v>
      </c>
      <c r="D255" s="60">
        <f t="shared" si="36"/>
        <v>0</v>
      </c>
      <c r="E255" s="60">
        <v>0</v>
      </c>
      <c r="F255" s="60">
        <v>0</v>
      </c>
      <c r="G255" s="60">
        <f t="shared" si="37"/>
        <v>3</v>
      </c>
      <c r="H255" s="60">
        <v>3</v>
      </c>
      <c r="I255" s="60">
        <v>0</v>
      </c>
      <c r="J255" s="65" t="s">
        <v>62</v>
      </c>
      <c r="K255" s="66" t="s">
        <v>404</v>
      </c>
    </row>
    <row r="256" spans="1:11" ht="13.5" thickBot="1" x14ac:dyDescent="0.25">
      <c r="A256" s="60">
        <f t="shared" si="34"/>
        <v>0</v>
      </c>
      <c r="B256" s="60">
        <f t="shared" si="35"/>
        <v>0</v>
      </c>
      <c r="C256" s="60">
        <f t="shared" si="35"/>
        <v>0</v>
      </c>
      <c r="D256" s="60">
        <f t="shared" si="36"/>
        <v>0</v>
      </c>
      <c r="E256" s="60">
        <v>0</v>
      </c>
      <c r="F256" s="60">
        <v>0</v>
      </c>
      <c r="G256" s="60">
        <f t="shared" si="37"/>
        <v>0</v>
      </c>
      <c r="H256" s="60">
        <v>0</v>
      </c>
      <c r="I256" s="60">
        <v>0</v>
      </c>
      <c r="J256" s="65" t="s">
        <v>64</v>
      </c>
      <c r="K256" s="74"/>
    </row>
    <row r="257" spans="1:11" ht="13.5" thickBot="1" x14ac:dyDescent="0.25">
      <c r="A257" s="60">
        <f t="shared" si="34"/>
        <v>0</v>
      </c>
      <c r="B257" s="60">
        <f t="shared" si="35"/>
        <v>0</v>
      </c>
      <c r="C257" s="60">
        <f t="shared" si="35"/>
        <v>0</v>
      </c>
      <c r="D257" s="60">
        <f t="shared" si="36"/>
        <v>0</v>
      </c>
      <c r="E257" s="60">
        <v>0</v>
      </c>
      <c r="F257" s="60">
        <v>0</v>
      </c>
      <c r="G257" s="60">
        <f t="shared" si="37"/>
        <v>0</v>
      </c>
      <c r="H257" s="60">
        <v>0</v>
      </c>
      <c r="I257" s="60">
        <v>0</v>
      </c>
      <c r="J257" s="65" t="s">
        <v>61</v>
      </c>
      <c r="K257" s="66"/>
    </row>
    <row r="258" spans="1:11" ht="13.5" thickBot="1" x14ac:dyDescent="0.25">
      <c r="A258" s="60">
        <f t="shared" si="34"/>
        <v>11</v>
      </c>
      <c r="B258" s="60">
        <f t="shared" si="35"/>
        <v>11</v>
      </c>
      <c r="C258" s="60">
        <f t="shared" si="35"/>
        <v>0</v>
      </c>
      <c r="D258" s="60">
        <f t="shared" si="36"/>
        <v>0</v>
      </c>
      <c r="E258" s="60">
        <v>0</v>
      </c>
      <c r="F258" s="60">
        <v>0</v>
      </c>
      <c r="G258" s="60">
        <f t="shared" si="37"/>
        <v>11</v>
      </c>
      <c r="H258" s="60">
        <v>11</v>
      </c>
      <c r="I258" s="60">
        <v>0</v>
      </c>
      <c r="J258" s="65" t="s">
        <v>62</v>
      </c>
      <c r="K258" s="66" t="s">
        <v>405</v>
      </c>
    </row>
    <row r="259" spans="1:11" ht="13.5" thickBot="1" x14ac:dyDescent="0.25">
      <c r="A259" s="60">
        <f t="shared" si="34"/>
        <v>3</v>
      </c>
      <c r="B259" s="60">
        <f t="shared" si="35"/>
        <v>3</v>
      </c>
      <c r="C259" s="60">
        <f t="shared" si="35"/>
        <v>0</v>
      </c>
      <c r="D259" s="60">
        <f t="shared" si="36"/>
        <v>0</v>
      </c>
      <c r="E259" s="60">
        <v>0</v>
      </c>
      <c r="F259" s="60">
        <v>0</v>
      </c>
      <c r="G259" s="60">
        <f t="shared" si="37"/>
        <v>3</v>
      </c>
      <c r="H259" s="60">
        <v>3</v>
      </c>
      <c r="I259" s="60">
        <v>0</v>
      </c>
      <c r="J259" s="65" t="s">
        <v>64</v>
      </c>
      <c r="K259" s="74"/>
    </row>
    <row r="260" spans="1:11" ht="13.5" thickBot="1" x14ac:dyDescent="0.25">
      <c r="A260" s="60">
        <f t="shared" si="34"/>
        <v>0</v>
      </c>
      <c r="B260" s="60">
        <f t="shared" si="35"/>
        <v>0</v>
      </c>
      <c r="C260" s="60">
        <f t="shared" si="35"/>
        <v>0</v>
      </c>
      <c r="D260" s="60">
        <f t="shared" si="36"/>
        <v>0</v>
      </c>
      <c r="E260" s="60">
        <v>0</v>
      </c>
      <c r="F260" s="60">
        <v>0</v>
      </c>
      <c r="G260" s="60">
        <f t="shared" si="37"/>
        <v>0</v>
      </c>
      <c r="H260" s="60">
        <v>0</v>
      </c>
      <c r="I260" s="60">
        <v>0</v>
      </c>
      <c r="J260" s="65" t="s">
        <v>61</v>
      </c>
      <c r="K260" s="66"/>
    </row>
    <row r="261" spans="1:11" ht="13.5" thickBot="1" x14ac:dyDescent="0.25">
      <c r="A261" s="60">
        <f t="shared" si="34"/>
        <v>7</v>
      </c>
      <c r="B261" s="60">
        <f t="shared" si="35"/>
        <v>7</v>
      </c>
      <c r="C261" s="60">
        <f t="shared" si="35"/>
        <v>0</v>
      </c>
      <c r="D261" s="60">
        <f t="shared" si="36"/>
        <v>0</v>
      </c>
      <c r="E261" s="60">
        <v>0</v>
      </c>
      <c r="F261" s="60">
        <v>0</v>
      </c>
      <c r="G261" s="60">
        <f t="shared" si="37"/>
        <v>7</v>
      </c>
      <c r="H261" s="60">
        <v>7</v>
      </c>
      <c r="I261" s="60">
        <v>0</v>
      </c>
      <c r="J261" s="65" t="s">
        <v>62</v>
      </c>
      <c r="K261" s="66" t="s">
        <v>411</v>
      </c>
    </row>
    <row r="262" spans="1:11" ht="13.5" thickBot="1" x14ac:dyDescent="0.25">
      <c r="A262" s="60">
        <f t="shared" si="34"/>
        <v>0</v>
      </c>
      <c r="B262" s="60">
        <f t="shared" si="35"/>
        <v>0</v>
      </c>
      <c r="C262" s="60">
        <f t="shared" si="35"/>
        <v>0</v>
      </c>
      <c r="D262" s="60">
        <f t="shared" si="36"/>
        <v>0</v>
      </c>
      <c r="E262" s="60">
        <v>0</v>
      </c>
      <c r="F262" s="60">
        <v>0</v>
      </c>
      <c r="G262" s="60">
        <f t="shared" si="37"/>
        <v>0</v>
      </c>
      <c r="H262" s="60">
        <v>0</v>
      </c>
      <c r="I262" s="60">
        <v>0</v>
      </c>
      <c r="J262" s="65" t="s">
        <v>64</v>
      </c>
      <c r="K262" s="74"/>
    </row>
    <row r="263" spans="1:11" ht="13.5" thickBot="1" x14ac:dyDescent="0.25">
      <c r="A263" s="60">
        <f t="shared" ref="A263:I265" si="38">A236+A239+A242+A245+A248+A251+A254+A257+A260</f>
        <v>11</v>
      </c>
      <c r="B263" s="60">
        <f t="shared" si="38"/>
        <v>6</v>
      </c>
      <c r="C263" s="60">
        <f t="shared" si="38"/>
        <v>5</v>
      </c>
      <c r="D263" s="60">
        <f t="shared" si="38"/>
        <v>0</v>
      </c>
      <c r="E263" s="60">
        <f t="shared" si="38"/>
        <v>0</v>
      </c>
      <c r="F263" s="60">
        <f t="shared" si="38"/>
        <v>0</v>
      </c>
      <c r="G263" s="60">
        <f t="shared" si="38"/>
        <v>11</v>
      </c>
      <c r="H263" s="60">
        <f t="shared" si="38"/>
        <v>6</v>
      </c>
      <c r="I263" s="60">
        <f>I236+I239+I242+I245+I248+I251+I254+I257+I260</f>
        <v>5</v>
      </c>
      <c r="J263" s="65" t="s">
        <v>231</v>
      </c>
      <c r="K263" s="57"/>
    </row>
    <row r="264" spans="1:11" ht="13.5" thickBot="1" x14ac:dyDescent="0.25">
      <c r="A264" s="60">
        <f t="shared" si="38"/>
        <v>75</v>
      </c>
      <c r="B264" s="60">
        <f t="shared" si="38"/>
        <v>43</v>
      </c>
      <c r="C264" s="60">
        <f t="shared" si="38"/>
        <v>32</v>
      </c>
      <c r="D264" s="60">
        <f t="shared" si="38"/>
        <v>0</v>
      </c>
      <c r="E264" s="60">
        <f t="shared" si="38"/>
        <v>0</v>
      </c>
      <c r="F264" s="60">
        <f t="shared" si="38"/>
        <v>0</v>
      </c>
      <c r="G264" s="60">
        <f t="shared" si="38"/>
        <v>75</v>
      </c>
      <c r="H264" s="60">
        <f t="shared" si="38"/>
        <v>43</v>
      </c>
      <c r="I264" s="60">
        <f t="shared" si="38"/>
        <v>32</v>
      </c>
      <c r="J264" s="65" t="s">
        <v>62</v>
      </c>
      <c r="K264" s="68" t="s">
        <v>232</v>
      </c>
    </row>
    <row r="265" spans="1:11" ht="13.5" thickBot="1" x14ac:dyDescent="0.25">
      <c r="A265" s="60">
        <f t="shared" si="38"/>
        <v>3</v>
      </c>
      <c r="B265" s="60">
        <f t="shared" si="38"/>
        <v>3</v>
      </c>
      <c r="C265" s="60">
        <f t="shared" si="38"/>
        <v>0</v>
      </c>
      <c r="D265" s="60">
        <f t="shared" si="38"/>
        <v>0</v>
      </c>
      <c r="E265" s="60">
        <f t="shared" si="38"/>
        <v>0</v>
      </c>
      <c r="F265" s="60">
        <f t="shared" si="38"/>
        <v>0</v>
      </c>
      <c r="G265" s="60">
        <f t="shared" si="38"/>
        <v>3</v>
      </c>
      <c r="H265" s="60">
        <f t="shared" si="38"/>
        <v>3</v>
      </c>
      <c r="I265" s="60">
        <f t="shared" si="38"/>
        <v>0</v>
      </c>
      <c r="J265" s="65" t="s">
        <v>64</v>
      </c>
      <c r="K265" s="59"/>
    </row>
    <row r="266" spans="1:11" ht="13.5" thickBot="1" x14ac:dyDescent="0.25">
      <c r="A266" s="60">
        <f t="shared" ref="A266:H266" si="39">SUM(A263:A265)</f>
        <v>89</v>
      </c>
      <c r="B266" s="60">
        <f t="shared" si="39"/>
        <v>52</v>
      </c>
      <c r="C266" s="60">
        <f t="shared" si="39"/>
        <v>37</v>
      </c>
      <c r="D266" s="60">
        <f t="shared" si="39"/>
        <v>0</v>
      </c>
      <c r="E266" s="60">
        <f t="shared" si="39"/>
        <v>0</v>
      </c>
      <c r="F266" s="60">
        <f t="shared" si="39"/>
        <v>0</v>
      </c>
      <c r="G266" s="60">
        <f t="shared" si="39"/>
        <v>89</v>
      </c>
      <c r="H266" s="60">
        <f t="shared" si="39"/>
        <v>52</v>
      </c>
      <c r="I266" s="60">
        <f>SUM(I263:I265)</f>
        <v>37</v>
      </c>
      <c r="J266" s="184" t="s">
        <v>233</v>
      </c>
      <c r="K266" s="184"/>
    </row>
    <row r="268" spans="1:11" x14ac:dyDescent="0.2">
      <c r="A268" s="177" t="s">
        <v>529</v>
      </c>
      <c r="B268" s="177"/>
      <c r="C268" s="177"/>
      <c r="D268" s="177"/>
      <c r="E268" s="177"/>
      <c r="F268" s="177"/>
      <c r="G268" s="177"/>
      <c r="H268" s="177"/>
      <c r="I268" s="177"/>
      <c r="J268" s="177"/>
      <c r="K268" s="177"/>
    </row>
    <row r="269" spans="1:11" ht="13.5" thickBot="1" x14ac:dyDescent="0.25">
      <c r="A269" s="178" t="s">
        <v>530</v>
      </c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</row>
    <row r="270" spans="1:11" ht="13.5" thickBot="1" x14ac:dyDescent="0.25">
      <c r="A270" s="179" t="s">
        <v>5</v>
      </c>
      <c r="B270" s="179"/>
      <c r="C270" s="179"/>
      <c r="D270" s="179" t="s">
        <v>162</v>
      </c>
      <c r="E270" s="179"/>
      <c r="F270" s="179"/>
      <c r="G270" s="179" t="s">
        <v>163</v>
      </c>
      <c r="H270" s="179"/>
      <c r="I270" s="179"/>
      <c r="J270" s="179" t="s">
        <v>72</v>
      </c>
      <c r="K270" s="179"/>
    </row>
    <row r="271" spans="1:11" ht="13.5" thickBot="1" x14ac:dyDescent="0.25">
      <c r="A271" s="58" t="s">
        <v>216</v>
      </c>
      <c r="B271" s="58" t="s">
        <v>11</v>
      </c>
      <c r="C271" s="58" t="s">
        <v>10</v>
      </c>
      <c r="D271" s="58" t="s">
        <v>216</v>
      </c>
      <c r="E271" s="58" t="s">
        <v>11</v>
      </c>
      <c r="F271" s="58" t="s">
        <v>10</v>
      </c>
      <c r="G271" s="58" t="s">
        <v>216</v>
      </c>
      <c r="H271" s="58" t="s">
        <v>11</v>
      </c>
      <c r="I271" s="58" t="s">
        <v>10</v>
      </c>
      <c r="J271" s="180" t="s">
        <v>81</v>
      </c>
      <c r="K271" s="180"/>
    </row>
    <row r="272" spans="1:11" ht="13.5" thickBot="1" x14ac:dyDescent="0.25">
      <c r="A272" s="60">
        <f>SUM(B272:C272)</f>
        <v>0</v>
      </c>
      <c r="B272" s="60">
        <f>H272+E272</f>
        <v>0</v>
      </c>
      <c r="C272" s="60">
        <f>I272+F272</f>
        <v>0</v>
      </c>
      <c r="D272" s="60">
        <f>SUM(E272:F272)</f>
        <v>0</v>
      </c>
      <c r="E272" s="60">
        <v>0</v>
      </c>
      <c r="F272" s="60">
        <v>0</v>
      </c>
      <c r="G272" s="60">
        <f>SUM(H272:I272)</f>
        <v>0</v>
      </c>
      <c r="H272" s="60">
        <v>0</v>
      </c>
      <c r="I272" s="60">
        <v>0</v>
      </c>
      <c r="J272" s="65" t="s">
        <v>61</v>
      </c>
      <c r="K272" s="66"/>
    </row>
    <row r="273" spans="1:11" ht="13.5" thickBot="1" x14ac:dyDescent="0.25">
      <c r="A273" s="60">
        <f t="shared" ref="A273:A280" si="40">SUM(B273:C273)</f>
        <v>96</v>
      </c>
      <c r="B273" s="60">
        <f t="shared" ref="B273:C283" si="41">H273+E273</f>
        <v>22</v>
      </c>
      <c r="C273" s="60">
        <f t="shared" si="41"/>
        <v>74</v>
      </c>
      <c r="D273" s="60">
        <f t="shared" ref="D273:D280" si="42">SUM(E273:F273)</f>
        <v>0</v>
      </c>
      <c r="E273" s="60">
        <v>0</v>
      </c>
      <c r="F273" s="60">
        <v>0</v>
      </c>
      <c r="G273" s="60">
        <f t="shared" ref="G273:G280" si="43">SUM(H273:I273)</f>
        <v>96</v>
      </c>
      <c r="H273" s="60">
        <v>22</v>
      </c>
      <c r="I273" s="60">
        <v>74</v>
      </c>
      <c r="J273" s="65" t="s">
        <v>62</v>
      </c>
      <c r="K273" s="66" t="s">
        <v>540</v>
      </c>
    </row>
    <row r="274" spans="1:11" ht="17.25" customHeight="1" thickBot="1" x14ac:dyDescent="0.25">
      <c r="A274" s="60">
        <f t="shared" si="40"/>
        <v>966</v>
      </c>
      <c r="B274" s="60">
        <f t="shared" si="41"/>
        <v>104</v>
      </c>
      <c r="C274" s="60">
        <f t="shared" si="41"/>
        <v>862</v>
      </c>
      <c r="D274" s="60">
        <f t="shared" si="42"/>
        <v>0</v>
      </c>
      <c r="E274" s="60">
        <v>0</v>
      </c>
      <c r="F274" s="60">
        <v>0</v>
      </c>
      <c r="G274" s="60">
        <f t="shared" si="43"/>
        <v>966</v>
      </c>
      <c r="H274" s="60">
        <f>242-95-43</f>
        <v>104</v>
      </c>
      <c r="I274" s="60">
        <f>1468-606</f>
        <v>862</v>
      </c>
      <c r="J274" s="65" t="s">
        <v>64</v>
      </c>
      <c r="K274" s="74"/>
    </row>
    <row r="275" spans="1:11" ht="13.5" thickBot="1" x14ac:dyDescent="0.25">
      <c r="A275" s="60">
        <f t="shared" si="40"/>
        <v>0</v>
      </c>
      <c r="B275" s="60">
        <f t="shared" si="41"/>
        <v>0</v>
      </c>
      <c r="C275" s="60">
        <f t="shared" si="41"/>
        <v>0</v>
      </c>
      <c r="D275" s="60">
        <f t="shared" si="42"/>
        <v>0</v>
      </c>
      <c r="E275" s="60">
        <v>0</v>
      </c>
      <c r="F275" s="60">
        <v>0</v>
      </c>
      <c r="G275" s="60">
        <f t="shared" si="43"/>
        <v>0</v>
      </c>
      <c r="H275" s="60">
        <v>0</v>
      </c>
      <c r="I275" s="60">
        <v>0</v>
      </c>
      <c r="J275" s="65" t="s">
        <v>61</v>
      </c>
      <c r="K275" s="66"/>
    </row>
    <row r="276" spans="1:11" ht="13.5" thickBot="1" x14ac:dyDescent="0.25">
      <c r="A276" s="60">
        <f t="shared" si="40"/>
        <v>9</v>
      </c>
      <c r="B276" s="60">
        <f t="shared" si="41"/>
        <v>2</v>
      </c>
      <c r="C276" s="60">
        <f t="shared" si="41"/>
        <v>7</v>
      </c>
      <c r="D276" s="60">
        <f t="shared" si="42"/>
        <v>0</v>
      </c>
      <c r="E276" s="60">
        <v>0</v>
      </c>
      <c r="F276" s="60">
        <v>0</v>
      </c>
      <c r="G276" s="60">
        <f t="shared" si="43"/>
        <v>9</v>
      </c>
      <c r="H276" s="60">
        <v>2</v>
      </c>
      <c r="I276" s="60">
        <v>7</v>
      </c>
      <c r="J276" s="65" t="s">
        <v>62</v>
      </c>
      <c r="K276" s="66" t="s">
        <v>432</v>
      </c>
    </row>
    <row r="277" spans="1:11" ht="13.5" thickBot="1" x14ac:dyDescent="0.25">
      <c r="A277" s="60">
        <f t="shared" si="40"/>
        <v>0</v>
      </c>
      <c r="B277" s="60">
        <f t="shared" si="41"/>
        <v>0</v>
      </c>
      <c r="C277" s="60">
        <f t="shared" si="41"/>
        <v>0</v>
      </c>
      <c r="D277" s="60">
        <f t="shared" si="42"/>
        <v>0</v>
      </c>
      <c r="E277" s="60">
        <v>0</v>
      </c>
      <c r="F277" s="60">
        <v>0</v>
      </c>
      <c r="G277" s="60">
        <f t="shared" si="43"/>
        <v>0</v>
      </c>
      <c r="H277" s="60">
        <v>0</v>
      </c>
      <c r="I277" s="60">
        <v>0</v>
      </c>
      <c r="J277" s="65" t="s">
        <v>64</v>
      </c>
      <c r="K277" s="74"/>
    </row>
    <row r="278" spans="1:11" ht="13.5" thickBot="1" x14ac:dyDescent="0.25">
      <c r="A278" s="60">
        <f t="shared" si="40"/>
        <v>0</v>
      </c>
      <c r="B278" s="60">
        <f t="shared" si="41"/>
        <v>0</v>
      </c>
      <c r="C278" s="60">
        <f t="shared" si="41"/>
        <v>0</v>
      </c>
      <c r="D278" s="60">
        <f t="shared" si="42"/>
        <v>0</v>
      </c>
      <c r="E278" s="60">
        <v>0</v>
      </c>
      <c r="F278" s="60">
        <v>0</v>
      </c>
      <c r="G278" s="60">
        <f t="shared" si="43"/>
        <v>0</v>
      </c>
      <c r="H278" s="60">
        <v>0</v>
      </c>
      <c r="I278" s="60">
        <v>0</v>
      </c>
      <c r="J278" s="65" t="s">
        <v>61</v>
      </c>
      <c r="K278" s="66"/>
    </row>
    <row r="279" spans="1:11" ht="13.5" thickBot="1" x14ac:dyDescent="0.25">
      <c r="A279" s="60">
        <f t="shared" si="40"/>
        <v>0</v>
      </c>
      <c r="B279" s="60">
        <f t="shared" si="41"/>
        <v>0</v>
      </c>
      <c r="C279" s="60">
        <f t="shared" si="41"/>
        <v>0</v>
      </c>
      <c r="D279" s="60">
        <f t="shared" si="42"/>
        <v>0</v>
      </c>
      <c r="E279" s="60">
        <v>0</v>
      </c>
      <c r="F279" s="60">
        <v>0</v>
      </c>
      <c r="G279" s="60">
        <f t="shared" si="43"/>
        <v>0</v>
      </c>
      <c r="H279" s="60">
        <v>0</v>
      </c>
      <c r="I279" s="60">
        <v>0</v>
      </c>
      <c r="J279" s="65" t="s">
        <v>62</v>
      </c>
      <c r="K279" s="66" t="s">
        <v>541</v>
      </c>
    </row>
    <row r="280" spans="1:11" ht="13.5" thickBot="1" x14ac:dyDescent="0.25">
      <c r="A280" s="60">
        <f t="shared" si="40"/>
        <v>48</v>
      </c>
      <c r="B280" s="60">
        <f t="shared" si="41"/>
        <v>48</v>
      </c>
      <c r="C280" s="60">
        <f t="shared" si="41"/>
        <v>0</v>
      </c>
      <c r="D280" s="60">
        <f t="shared" si="42"/>
        <v>0</v>
      </c>
      <c r="E280" s="60">
        <v>0</v>
      </c>
      <c r="F280" s="60">
        <v>0</v>
      </c>
      <c r="G280" s="60">
        <f t="shared" si="43"/>
        <v>48</v>
      </c>
      <c r="H280" s="60">
        <f>143-95</f>
        <v>48</v>
      </c>
      <c r="I280" s="60">
        <v>0</v>
      </c>
      <c r="J280" s="65" t="s">
        <v>64</v>
      </c>
      <c r="K280" s="74"/>
    </row>
    <row r="281" spans="1:11" ht="13.5" thickBot="1" x14ac:dyDescent="0.25">
      <c r="A281" s="60">
        <f t="shared" ref="A281:I283" si="44">A272+A275+A278</f>
        <v>0</v>
      </c>
      <c r="B281" s="60">
        <f t="shared" si="41"/>
        <v>0</v>
      </c>
      <c r="C281" s="60">
        <f t="shared" si="41"/>
        <v>0</v>
      </c>
      <c r="D281" s="60">
        <f t="shared" si="44"/>
        <v>0</v>
      </c>
      <c r="E281" s="60">
        <f t="shared" si="44"/>
        <v>0</v>
      </c>
      <c r="F281" s="60">
        <f t="shared" si="44"/>
        <v>0</v>
      </c>
      <c r="G281" s="60">
        <f t="shared" si="44"/>
        <v>0</v>
      </c>
      <c r="H281" s="60">
        <f t="shared" si="44"/>
        <v>0</v>
      </c>
      <c r="I281" s="60">
        <f>I272+I275+I278</f>
        <v>0</v>
      </c>
      <c r="J281" s="65" t="s">
        <v>231</v>
      </c>
      <c r="K281" s="57"/>
    </row>
    <row r="282" spans="1:11" ht="13.5" thickBot="1" x14ac:dyDescent="0.25">
      <c r="A282" s="60">
        <f t="shared" si="44"/>
        <v>105</v>
      </c>
      <c r="B282" s="60">
        <f t="shared" si="41"/>
        <v>24</v>
      </c>
      <c r="C282" s="60">
        <f t="shared" si="41"/>
        <v>81</v>
      </c>
      <c r="D282" s="60">
        <f t="shared" si="44"/>
        <v>0</v>
      </c>
      <c r="E282" s="60">
        <f t="shared" si="44"/>
        <v>0</v>
      </c>
      <c r="F282" s="60">
        <f t="shared" si="44"/>
        <v>0</v>
      </c>
      <c r="G282" s="60">
        <f t="shared" si="44"/>
        <v>105</v>
      </c>
      <c r="H282" s="60">
        <f t="shared" si="44"/>
        <v>24</v>
      </c>
      <c r="I282" s="60">
        <f t="shared" si="44"/>
        <v>81</v>
      </c>
      <c r="J282" s="65" t="s">
        <v>62</v>
      </c>
      <c r="K282" s="68" t="s">
        <v>232</v>
      </c>
    </row>
    <row r="283" spans="1:11" ht="16.5" customHeight="1" thickBot="1" x14ac:dyDescent="0.25">
      <c r="A283" s="60">
        <f t="shared" si="44"/>
        <v>1014</v>
      </c>
      <c r="B283" s="60">
        <f t="shared" si="41"/>
        <v>152</v>
      </c>
      <c r="C283" s="60">
        <f t="shared" si="41"/>
        <v>862</v>
      </c>
      <c r="D283" s="60">
        <f t="shared" si="44"/>
        <v>0</v>
      </c>
      <c r="E283" s="60">
        <f t="shared" si="44"/>
        <v>0</v>
      </c>
      <c r="F283" s="60">
        <f t="shared" si="44"/>
        <v>0</v>
      </c>
      <c r="G283" s="60">
        <f t="shared" si="44"/>
        <v>1014</v>
      </c>
      <c r="H283" s="60">
        <f t="shared" si="44"/>
        <v>152</v>
      </c>
      <c r="I283" s="60">
        <f t="shared" si="44"/>
        <v>862</v>
      </c>
      <c r="J283" s="65" t="s">
        <v>64</v>
      </c>
      <c r="K283" s="59"/>
    </row>
    <row r="284" spans="1:11" ht="16.5" customHeight="1" thickBot="1" x14ac:dyDescent="0.25">
      <c r="A284" s="60">
        <f t="shared" ref="A284:H284" si="45">SUM(A281:A283)</f>
        <v>1119</v>
      </c>
      <c r="B284" s="60">
        <f t="shared" si="45"/>
        <v>176</v>
      </c>
      <c r="C284" s="60">
        <f t="shared" si="45"/>
        <v>943</v>
      </c>
      <c r="D284" s="60">
        <f t="shared" si="45"/>
        <v>0</v>
      </c>
      <c r="E284" s="60">
        <f t="shared" si="45"/>
        <v>0</v>
      </c>
      <c r="F284" s="60">
        <f t="shared" si="45"/>
        <v>0</v>
      </c>
      <c r="G284" s="60">
        <f t="shared" si="45"/>
        <v>1119</v>
      </c>
      <c r="H284" s="60">
        <f t="shared" si="45"/>
        <v>176</v>
      </c>
      <c r="I284" s="60">
        <f>SUM(I281:I283)</f>
        <v>943</v>
      </c>
      <c r="J284" s="184" t="s">
        <v>233</v>
      </c>
      <c r="K284" s="184"/>
    </row>
    <row r="286" spans="1:11" x14ac:dyDescent="0.2">
      <c r="A286" s="177" t="s">
        <v>529</v>
      </c>
      <c r="B286" s="177"/>
      <c r="C286" s="177"/>
      <c r="D286" s="177"/>
      <c r="E286" s="177"/>
      <c r="F286" s="177"/>
      <c r="G286" s="177"/>
      <c r="H286" s="177"/>
      <c r="I286" s="177"/>
      <c r="J286" s="177"/>
      <c r="K286" s="177"/>
    </row>
    <row r="287" spans="1:11" ht="13.5" thickBot="1" x14ac:dyDescent="0.25">
      <c r="A287" s="178" t="s">
        <v>530</v>
      </c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</row>
    <row r="288" spans="1:11" ht="13.5" thickBot="1" x14ac:dyDescent="0.25">
      <c r="A288" s="179" t="s">
        <v>5</v>
      </c>
      <c r="B288" s="179"/>
      <c r="C288" s="179"/>
      <c r="D288" s="179" t="s">
        <v>162</v>
      </c>
      <c r="E288" s="179"/>
      <c r="F288" s="179"/>
      <c r="G288" s="179" t="s">
        <v>163</v>
      </c>
      <c r="H288" s="179"/>
      <c r="I288" s="179"/>
      <c r="J288" s="179" t="s">
        <v>72</v>
      </c>
      <c r="K288" s="179"/>
    </row>
    <row r="289" spans="1:11" ht="13.5" thickBot="1" x14ac:dyDescent="0.25">
      <c r="A289" s="58" t="s">
        <v>216</v>
      </c>
      <c r="B289" s="58" t="s">
        <v>11</v>
      </c>
      <c r="C289" s="58" t="s">
        <v>10</v>
      </c>
      <c r="D289" s="58" t="s">
        <v>216</v>
      </c>
      <c r="E289" s="58" t="s">
        <v>11</v>
      </c>
      <c r="F289" s="58" t="s">
        <v>10</v>
      </c>
      <c r="G289" s="58" t="s">
        <v>216</v>
      </c>
      <c r="H289" s="58" t="s">
        <v>11</v>
      </c>
      <c r="I289" s="58" t="s">
        <v>10</v>
      </c>
      <c r="J289" s="180" t="s">
        <v>108</v>
      </c>
      <c r="K289" s="180"/>
    </row>
    <row r="290" spans="1:11" ht="13.5" thickBot="1" x14ac:dyDescent="0.25">
      <c r="A290" s="60">
        <f>SUM(B290:C290)</f>
        <v>0</v>
      </c>
      <c r="B290" s="60">
        <f>H290+E290</f>
        <v>0</v>
      </c>
      <c r="C290" s="60">
        <f>I290+F290</f>
        <v>0</v>
      </c>
      <c r="D290" s="60">
        <f>SUM(E290:F290)</f>
        <v>0</v>
      </c>
      <c r="E290" s="60">
        <v>0</v>
      </c>
      <c r="F290" s="60">
        <v>0</v>
      </c>
      <c r="G290" s="60">
        <f>SUM(H290:I290)</f>
        <v>0</v>
      </c>
      <c r="H290" s="60">
        <v>0</v>
      </c>
      <c r="I290" s="60">
        <v>0</v>
      </c>
      <c r="J290" s="65" t="s">
        <v>61</v>
      </c>
      <c r="K290" s="66"/>
    </row>
    <row r="291" spans="1:11" ht="13.5" thickBot="1" x14ac:dyDescent="0.25">
      <c r="A291" s="60">
        <f t="shared" ref="A291:A304" si="46">SUM(B291:C291)</f>
        <v>75</v>
      </c>
      <c r="B291" s="60">
        <f t="shared" ref="B291:C304" si="47">H291+E291</f>
        <v>0</v>
      </c>
      <c r="C291" s="60">
        <f t="shared" si="47"/>
        <v>75</v>
      </c>
      <c r="D291" s="60">
        <f t="shared" ref="D291:D304" si="48">SUM(E291:F291)</f>
        <v>0</v>
      </c>
      <c r="E291" s="60">
        <v>0</v>
      </c>
      <c r="F291" s="60">
        <v>0</v>
      </c>
      <c r="G291" s="60">
        <f t="shared" ref="G291:G304" si="49">SUM(H291:I291)</f>
        <v>75</v>
      </c>
      <c r="H291" s="60">
        <v>0</v>
      </c>
      <c r="I291" s="60">
        <v>75</v>
      </c>
      <c r="J291" s="65" t="s">
        <v>62</v>
      </c>
      <c r="K291" s="66" t="s">
        <v>419</v>
      </c>
    </row>
    <row r="292" spans="1:11" ht="13.5" thickBot="1" x14ac:dyDescent="0.25">
      <c r="A292" s="60">
        <f t="shared" si="46"/>
        <v>0</v>
      </c>
      <c r="B292" s="60">
        <f t="shared" si="47"/>
        <v>0</v>
      </c>
      <c r="C292" s="60">
        <f t="shared" si="47"/>
        <v>0</v>
      </c>
      <c r="D292" s="60">
        <f t="shared" si="48"/>
        <v>0</v>
      </c>
      <c r="E292" s="60">
        <v>0</v>
      </c>
      <c r="F292" s="60">
        <v>0</v>
      </c>
      <c r="G292" s="60">
        <f t="shared" si="49"/>
        <v>0</v>
      </c>
      <c r="H292" s="60">
        <v>0</v>
      </c>
      <c r="I292" s="60">
        <v>0</v>
      </c>
      <c r="J292" s="65" t="s">
        <v>64</v>
      </c>
      <c r="K292" s="74"/>
    </row>
    <row r="293" spans="1:11" ht="13.5" thickBot="1" x14ac:dyDescent="0.25">
      <c r="A293" s="60">
        <f t="shared" si="46"/>
        <v>0</v>
      </c>
      <c r="B293" s="60">
        <f t="shared" si="47"/>
        <v>0</v>
      </c>
      <c r="C293" s="60">
        <f t="shared" si="47"/>
        <v>0</v>
      </c>
      <c r="D293" s="60">
        <f t="shared" si="48"/>
        <v>0</v>
      </c>
      <c r="E293" s="60">
        <v>0</v>
      </c>
      <c r="F293" s="60">
        <v>0</v>
      </c>
      <c r="G293" s="60">
        <f t="shared" si="49"/>
        <v>0</v>
      </c>
      <c r="H293" s="60">
        <v>0</v>
      </c>
      <c r="I293" s="60">
        <v>0</v>
      </c>
      <c r="J293" s="65" t="s">
        <v>61</v>
      </c>
      <c r="K293" s="66"/>
    </row>
    <row r="294" spans="1:11" ht="13.5" thickBot="1" x14ac:dyDescent="0.25">
      <c r="A294" s="60">
        <f t="shared" si="46"/>
        <v>107</v>
      </c>
      <c r="B294" s="60">
        <f t="shared" si="47"/>
        <v>29</v>
      </c>
      <c r="C294" s="60">
        <f t="shared" si="47"/>
        <v>78</v>
      </c>
      <c r="D294" s="60">
        <f t="shared" si="48"/>
        <v>0</v>
      </c>
      <c r="E294" s="60">
        <v>0</v>
      </c>
      <c r="F294" s="60">
        <v>0</v>
      </c>
      <c r="G294" s="60">
        <f t="shared" si="49"/>
        <v>107</v>
      </c>
      <c r="H294" s="60">
        <f>35-5-1</f>
        <v>29</v>
      </c>
      <c r="I294" s="60">
        <v>78</v>
      </c>
      <c r="J294" s="65" t="s">
        <v>62</v>
      </c>
      <c r="K294" s="66" t="s">
        <v>438</v>
      </c>
    </row>
    <row r="295" spans="1:11" ht="13.5" thickBot="1" x14ac:dyDescent="0.25">
      <c r="A295" s="60">
        <f t="shared" si="46"/>
        <v>0</v>
      </c>
      <c r="B295" s="60">
        <f t="shared" si="47"/>
        <v>0</v>
      </c>
      <c r="C295" s="60">
        <f t="shared" si="47"/>
        <v>0</v>
      </c>
      <c r="D295" s="60">
        <f t="shared" si="48"/>
        <v>0</v>
      </c>
      <c r="E295" s="60">
        <v>0</v>
      </c>
      <c r="F295" s="60">
        <v>0</v>
      </c>
      <c r="G295" s="60">
        <f t="shared" si="49"/>
        <v>0</v>
      </c>
      <c r="H295" s="60">
        <v>0</v>
      </c>
      <c r="I295" s="60">
        <v>0</v>
      </c>
      <c r="J295" s="65" t="s">
        <v>64</v>
      </c>
      <c r="K295" s="74"/>
    </row>
    <row r="296" spans="1:11" ht="13.5" thickBot="1" x14ac:dyDescent="0.25">
      <c r="A296" s="60">
        <f t="shared" si="46"/>
        <v>0</v>
      </c>
      <c r="B296" s="60">
        <f t="shared" si="47"/>
        <v>0</v>
      </c>
      <c r="C296" s="60">
        <f t="shared" si="47"/>
        <v>0</v>
      </c>
      <c r="D296" s="60">
        <f t="shared" si="48"/>
        <v>0</v>
      </c>
      <c r="E296" s="60">
        <v>0</v>
      </c>
      <c r="F296" s="60">
        <v>0</v>
      </c>
      <c r="G296" s="60">
        <f t="shared" si="49"/>
        <v>0</v>
      </c>
      <c r="H296" s="60">
        <v>0</v>
      </c>
      <c r="I296" s="60">
        <v>0</v>
      </c>
      <c r="J296" s="65" t="s">
        <v>61</v>
      </c>
      <c r="K296" s="66"/>
    </row>
    <row r="297" spans="1:11" ht="13.5" thickBot="1" x14ac:dyDescent="0.25">
      <c r="A297" s="60">
        <f t="shared" si="46"/>
        <v>3</v>
      </c>
      <c r="B297" s="60">
        <f t="shared" si="47"/>
        <v>0</v>
      </c>
      <c r="C297" s="60">
        <f t="shared" si="47"/>
        <v>3</v>
      </c>
      <c r="D297" s="60">
        <f t="shared" si="48"/>
        <v>0</v>
      </c>
      <c r="E297" s="60">
        <v>0</v>
      </c>
      <c r="F297" s="60">
        <v>0</v>
      </c>
      <c r="G297" s="60">
        <f t="shared" si="49"/>
        <v>3</v>
      </c>
      <c r="H297" s="60">
        <v>0</v>
      </c>
      <c r="I297" s="60">
        <v>3</v>
      </c>
      <c r="J297" s="65" t="s">
        <v>62</v>
      </c>
      <c r="K297" s="66" t="s">
        <v>439</v>
      </c>
    </row>
    <row r="298" spans="1:11" ht="13.5" thickBot="1" x14ac:dyDescent="0.25">
      <c r="A298" s="60">
        <f t="shared" si="46"/>
        <v>0</v>
      </c>
      <c r="B298" s="60">
        <f t="shared" si="47"/>
        <v>0</v>
      </c>
      <c r="C298" s="60">
        <f t="shared" si="47"/>
        <v>0</v>
      </c>
      <c r="D298" s="60">
        <f t="shared" si="48"/>
        <v>0</v>
      </c>
      <c r="E298" s="60">
        <v>0</v>
      </c>
      <c r="F298" s="60">
        <v>0</v>
      </c>
      <c r="G298" s="60">
        <f t="shared" si="49"/>
        <v>0</v>
      </c>
      <c r="H298" s="60">
        <v>0</v>
      </c>
      <c r="I298" s="60">
        <v>0</v>
      </c>
      <c r="J298" s="65" t="s">
        <v>64</v>
      </c>
      <c r="K298" s="74"/>
    </row>
    <row r="299" spans="1:11" ht="13.5" thickBot="1" x14ac:dyDescent="0.25">
      <c r="A299" s="60">
        <f t="shared" si="46"/>
        <v>0</v>
      </c>
      <c r="B299" s="60">
        <f t="shared" si="47"/>
        <v>0</v>
      </c>
      <c r="C299" s="60">
        <f t="shared" si="47"/>
        <v>0</v>
      </c>
      <c r="D299" s="60">
        <f t="shared" si="48"/>
        <v>0</v>
      </c>
      <c r="E299" s="60">
        <v>0</v>
      </c>
      <c r="F299" s="60">
        <v>0</v>
      </c>
      <c r="G299" s="60">
        <f t="shared" si="49"/>
        <v>0</v>
      </c>
      <c r="H299" s="60">
        <v>0</v>
      </c>
      <c r="I299" s="60">
        <v>0</v>
      </c>
      <c r="J299" s="65" t="s">
        <v>61</v>
      </c>
      <c r="K299" s="66"/>
    </row>
    <row r="300" spans="1:11" ht="13.5" thickBot="1" x14ac:dyDescent="0.25">
      <c r="A300" s="60">
        <f t="shared" si="46"/>
        <v>23</v>
      </c>
      <c r="B300" s="60">
        <f t="shared" si="47"/>
        <v>0</v>
      </c>
      <c r="C300" s="60">
        <f t="shared" si="47"/>
        <v>23</v>
      </c>
      <c r="D300" s="60">
        <f t="shared" si="48"/>
        <v>0</v>
      </c>
      <c r="E300" s="60">
        <v>0</v>
      </c>
      <c r="F300" s="60">
        <v>0</v>
      </c>
      <c r="G300" s="60">
        <f t="shared" si="49"/>
        <v>23</v>
      </c>
      <c r="H300" s="60">
        <v>0</v>
      </c>
      <c r="I300" s="60">
        <f>24-1</f>
        <v>23</v>
      </c>
      <c r="J300" s="65" t="s">
        <v>62</v>
      </c>
      <c r="K300" s="66" t="s">
        <v>440</v>
      </c>
    </row>
    <row r="301" spans="1:11" ht="13.5" thickBot="1" x14ac:dyDescent="0.25">
      <c r="A301" s="60">
        <f t="shared" si="46"/>
        <v>0</v>
      </c>
      <c r="B301" s="60">
        <f t="shared" si="47"/>
        <v>0</v>
      </c>
      <c r="C301" s="60">
        <f t="shared" si="47"/>
        <v>0</v>
      </c>
      <c r="D301" s="60">
        <f t="shared" si="48"/>
        <v>0</v>
      </c>
      <c r="E301" s="60">
        <v>0</v>
      </c>
      <c r="F301" s="60">
        <v>0</v>
      </c>
      <c r="G301" s="60">
        <f t="shared" si="49"/>
        <v>0</v>
      </c>
      <c r="H301" s="60">
        <v>0</v>
      </c>
      <c r="I301" s="60">
        <v>0</v>
      </c>
      <c r="J301" s="65" t="s">
        <v>64</v>
      </c>
      <c r="K301" s="74"/>
    </row>
    <row r="302" spans="1:11" ht="13.5" thickBot="1" x14ac:dyDescent="0.25">
      <c r="A302" s="60">
        <f t="shared" si="46"/>
        <v>0</v>
      </c>
      <c r="B302" s="60">
        <f t="shared" si="47"/>
        <v>0</v>
      </c>
      <c r="C302" s="60">
        <f t="shared" si="47"/>
        <v>0</v>
      </c>
      <c r="D302" s="60">
        <f t="shared" si="48"/>
        <v>0</v>
      </c>
      <c r="E302" s="60">
        <v>0</v>
      </c>
      <c r="F302" s="60">
        <v>0</v>
      </c>
      <c r="G302" s="60">
        <f t="shared" si="49"/>
        <v>0</v>
      </c>
      <c r="H302" s="60">
        <v>0</v>
      </c>
      <c r="I302" s="60">
        <v>0</v>
      </c>
      <c r="J302" s="65" t="s">
        <v>61</v>
      </c>
      <c r="K302" s="66"/>
    </row>
    <row r="303" spans="1:11" ht="13.5" thickBot="1" x14ac:dyDescent="0.25">
      <c r="A303" s="60">
        <f t="shared" si="46"/>
        <v>9</v>
      </c>
      <c r="B303" s="60">
        <f t="shared" si="47"/>
        <v>2</v>
      </c>
      <c r="C303" s="60">
        <f t="shared" si="47"/>
        <v>7</v>
      </c>
      <c r="D303" s="60">
        <f t="shared" si="48"/>
        <v>0</v>
      </c>
      <c r="E303" s="60">
        <v>0</v>
      </c>
      <c r="F303" s="60">
        <v>0</v>
      </c>
      <c r="G303" s="60">
        <f t="shared" si="49"/>
        <v>9</v>
      </c>
      <c r="H303" s="60">
        <v>2</v>
      </c>
      <c r="I303" s="60">
        <v>7</v>
      </c>
      <c r="J303" s="65" t="s">
        <v>62</v>
      </c>
      <c r="K303" s="66" t="s">
        <v>359</v>
      </c>
    </row>
    <row r="304" spans="1:11" ht="13.5" thickBot="1" x14ac:dyDescent="0.25">
      <c r="A304" s="60">
        <f t="shared" si="46"/>
        <v>0</v>
      </c>
      <c r="B304" s="60">
        <f t="shared" si="47"/>
        <v>0</v>
      </c>
      <c r="C304" s="60">
        <f t="shared" si="47"/>
        <v>0</v>
      </c>
      <c r="D304" s="60">
        <f t="shared" si="48"/>
        <v>0</v>
      </c>
      <c r="E304" s="60">
        <v>0</v>
      </c>
      <c r="F304" s="60">
        <v>0</v>
      </c>
      <c r="G304" s="60">
        <f t="shared" si="49"/>
        <v>0</v>
      </c>
      <c r="H304" s="60">
        <v>0</v>
      </c>
      <c r="I304" s="60">
        <v>0</v>
      </c>
      <c r="J304" s="65" t="s">
        <v>64</v>
      </c>
      <c r="K304" s="74"/>
    </row>
    <row r="305" spans="1:11" ht="13.5" thickBot="1" x14ac:dyDescent="0.25">
      <c r="A305" s="60">
        <f t="shared" ref="A305:I307" si="50">A290+A293+A296+A299+A302</f>
        <v>0</v>
      </c>
      <c r="B305" s="60">
        <f t="shared" si="50"/>
        <v>0</v>
      </c>
      <c r="C305" s="60">
        <f t="shared" si="50"/>
        <v>0</v>
      </c>
      <c r="D305" s="60">
        <f t="shared" si="50"/>
        <v>0</v>
      </c>
      <c r="E305" s="60">
        <f t="shared" si="50"/>
        <v>0</v>
      </c>
      <c r="F305" s="60">
        <f t="shared" si="50"/>
        <v>0</v>
      </c>
      <c r="G305" s="60">
        <f t="shared" si="50"/>
        <v>0</v>
      </c>
      <c r="H305" s="60">
        <f t="shared" si="50"/>
        <v>0</v>
      </c>
      <c r="I305" s="60">
        <f>I290+I293+I296+I299+I302</f>
        <v>0</v>
      </c>
      <c r="J305" s="65" t="s">
        <v>231</v>
      </c>
      <c r="K305" s="57"/>
    </row>
    <row r="306" spans="1:11" ht="17.25" customHeight="1" thickBot="1" x14ac:dyDescent="0.25">
      <c r="A306" s="60">
        <f t="shared" si="50"/>
        <v>217</v>
      </c>
      <c r="B306" s="60">
        <f t="shared" si="50"/>
        <v>31</v>
      </c>
      <c r="C306" s="60">
        <f t="shared" si="50"/>
        <v>186</v>
      </c>
      <c r="D306" s="60">
        <f t="shared" si="50"/>
        <v>0</v>
      </c>
      <c r="E306" s="60">
        <f t="shared" si="50"/>
        <v>0</v>
      </c>
      <c r="F306" s="60">
        <f t="shared" si="50"/>
        <v>0</v>
      </c>
      <c r="G306" s="60">
        <f t="shared" si="50"/>
        <v>217</v>
      </c>
      <c r="H306" s="60">
        <f t="shared" si="50"/>
        <v>31</v>
      </c>
      <c r="I306" s="60">
        <f t="shared" si="50"/>
        <v>186</v>
      </c>
      <c r="J306" s="65" t="s">
        <v>62</v>
      </c>
      <c r="K306" s="68" t="s">
        <v>232</v>
      </c>
    </row>
    <row r="307" spans="1:11" ht="15" customHeight="1" thickBot="1" x14ac:dyDescent="0.25">
      <c r="A307" s="60">
        <f t="shared" si="50"/>
        <v>0</v>
      </c>
      <c r="B307" s="60">
        <f t="shared" si="50"/>
        <v>0</v>
      </c>
      <c r="C307" s="60">
        <f t="shared" si="50"/>
        <v>0</v>
      </c>
      <c r="D307" s="60">
        <f t="shared" si="50"/>
        <v>0</v>
      </c>
      <c r="E307" s="60">
        <f t="shared" si="50"/>
        <v>0</v>
      </c>
      <c r="F307" s="60">
        <f t="shared" si="50"/>
        <v>0</v>
      </c>
      <c r="G307" s="60">
        <f t="shared" si="50"/>
        <v>0</v>
      </c>
      <c r="H307" s="60">
        <f t="shared" si="50"/>
        <v>0</v>
      </c>
      <c r="I307" s="60">
        <f t="shared" si="50"/>
        <v>0</v>
      </c>
      <c r="J307" s="65" t="s">
        <v>64</v>
      </c>
      <c r="K307" s="59"/>
    </row>
    <row r="308" spans="1:11" ht="15.75" customHeight="1" thickBot="1" x14ac:dyDescent="0.25">
      <c r="A308" s="60">
        <f t="shared" ref="A308:H308" si="51">SUM(A305:A307)</f>
        <v>217</v>
      </c>
      <c r="B308" s="60">
        <f t="shared" si="51"/>
        <v>31</v>
      </c>
      <c r="C308" s="60">
        <f t="shared" si="51"/>
        <v>186</v>
      </c>
      <c r="D308" s="60">
        <f t="shared" si="51"/>
        <v>0</v>
      </c>
      <c r="E308" s="60">
        <f t="shared" si="51"/>
        <v>0</v>
      </c>
      <c r="F308" s="60">
        <f t="shared" si="51"/>
        <v>0</v>
      </c>
      <c r="G308" s="60">
        <f t="shared" si="51"/>
        <v>217</v>
      </c>
      <c r="H308" s="60">
        <f t="shared" si="51"/>
        <v>31</v>
      </c>
      <c r="I308" s="60">
        <f>SUM(I305:I307)</f>
        <v>186</v>
      </c>
      <c r="J308" s="184" t="s">
        <v>233</v>
      </c>
      <c r="K308" s="184"/>
    </row>
    <row r="310" spans="1:11" x14ac:dyDescent="0.2">
      <c r="A310" s="177" t="s">
        <v>529</v>
      </c>
      <c r="B310" s="177"/>
      <c r="C310" s="177"/>
      <c r="D310" s="177"/>
      <c r="E310" s="177"/>
      <c r="F310" s="177"/>
      <c r="G310" s="177"/>
      <c r="H310" s="177"/>
      <c r="I310" s="177"/>
      <c r="J310" s="177"/>
      <c r="K310" s="177"/>
    </row>
    <row r="311" spans="1:11" ht="13.5" thickBot="1" x14ac:dyDescent="0.25">
      <c r="A311" s="178" t="s">
        <v>530</v>
      </c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</row>
    <row r="312" spans="1:11" ht="13.5" thickBot="1" x14ac:dyDescent="0.25">
      <c r="A312" s="179" t="s">
        <v>5</v>
      </c>
      <c r="B312" s="179"/>
      <c r="C312" s="179"/>
      <c r="D312" s="179" t="s">
        <v>162</v>
      </c>
      <c r="E312" s="179"/>
      <c r="F312" s="179"/>
      <c r="G312" s="179" t="s">
        <v>163</v>
      </c>
      <c r="H312" s="179"/>
      <c r="I312" s="179"/>
      <c r="J312" s="179" t="s">
        <v>72</v>
      </c>
      <c r="K312" s="179"/>
    </row>
    <row r="313" spans="1:11" ht="13.5" thickBot="1" x14ac:dyDescent="0.25">
      <c r="A313" s="58" t="s">
        <v>216</v>
      </c>
      <c r="B313" s="58" t="s">
        <v>11</v>
      </c>
      <c r="C313" s="58" t="s">
        <v>10</v>
      </c>
      <c r="D313" s="58" t="s">
        <v>216</v>
      </c>
      <c r="E313" s="58" t="s">
        <v>11</v>
      </c>
      <c r="F313" s="58" t="s">
        <v>10</v>
      </c>
      <c r="G313" s="58" t="s">
        <v>216</v>
      </c>
      <c r="H313" s="58" t="s">
        <v>11</v>
      </c>
      <c r="I313" s="58" t="s">
        <v>10</v>
      </c>
      <c r="J313" s="180" t="s">
        <v>83</v>
      </c>
      <c r="K313" s="180"/>
    </row>
    <row r="314" spans="1:11" ht="13.5" thickBot="1" x14ac:dyDescent="0.25">
      <c r="A314" s="60">
        <f>SUM(B314:C314)</f>
        <v>0</v>
      </c>
      <c r="B314" s="60">
        <f>H314+E314</f>
        <v>0</v>
      </c>
      <c r="C314" s="60">
        <f>I314+F314</f>
        <v>0</v>
      </c>
      <c r="D314" s="60">
        <f>SUM(E314:F314)</f>
        <v>0</v>
      </c>
      <c r="E314" s="60">
        <v>0</v>
      </c>
      <c r="F314" s="60">
        <v>0</v>
      </c>
      <c r="G314" s="60">
        <f>SUM(H314:I314)</f>
        <v>0</v>
      </c>
      <c r="H314" s="60">
        <v>0</v>
      </c>
      <c r="I314" s="60">
        <v>0</v>
      </c>
      <c r="J314" s="65" t="s">
        <v>61</v>
      </c>
      <c r="K314" s="66"/>
    </row>
    <row r="315" spans="1:11" ht="13.5" thickBot="1" x14ac:dyDescent="0.25">
      <c r="A315" s="60">
        <f t="shared" ref="A315:A322" si="52">SUM(B315:C315)</f>
        <v>26</v>
      </c>
      <c r="B315" s="60">
        <f t="shared" ref="B315:C322" si="53">H315+E315</f>
        <v>10</v>
      </c>
      <c r="C315" s="60">
        <f t="shared" si="53"/>
        <v>16</v>
      </c>
      <c r="D315" s="60">
        <f t="shared" ref="D315:D322" si="54">SUM(E315:F315)</f>
        <v>0</v>
      </c>
      <c r="E315" s="60">
        <v>0</v>
      </c>
      <c r="F315" s="60">
        <v>0</v>
      </c>
      <c r="G315" s="60">
        <f t="shared" ref="G315:G322" si="55">SUM(H315:I315)</f>
        <v>26</v>
      </c>
      <c r="H315" s="60">
        <f>20-10</f>
        <v>10</v>
      </c>
      <c r="I315" s="60">
        <v>16</v>
      </c>
      <c r="J315" s="65" t="s">
        <v>62</v>
      </c>
      <c r="K315" s="66" t="s">
        <v>364</v>
      </c>
    </row>
    <row r="316" spans="1:11" ht="13.5" thickBot="1" x14ac:dyDescent="0.25">
      <c r="A316" s="60">
        <f t="shared" si="52"/>
        <v>0</v>
      </c>
      <c r="B316" s="60">
        <f t="shared" si="53"/>
        <v>0</v>
      </c>
      <c r="C316" s="60">
        <f t="shared" si="53"/>
        <v>0</v>
      </c>
      <c r="D316" s="60">
        <f t="shared" si="54"/>
        <v>0</v>
      </c>
      <c r="E316" s="60">
        <v>0</v>
      </c>
      <c r="F316" s="60">
        <v>0</v>
      </c>
      <c r="G316" s="60">
        <f t="shared" si="55"/>
        <v>0</v>
      </c>
      <c r="H316" s="60">
        <v>0</v>
      </c>
      <c r="I316" s="60">
        <v>0</v>
      </c>
      <c r="J316" s="65" t="s">
        <v>64</v>
      </c>
      <c r="K316" s="74"/>
    </row>
    <row r="317" spans="1:11" ht="13.5" thickBot="1" x14ac:dyDescent="0.25">
      <c r="A317" s="60">
        <f t="shared" si="52"/>
        <v>0</v>
      </c>
      <c r="B317" s="60">
        <f t="shared" si="53"/>
        <v>0</v>
      </c>
      <c r="C317" s="60">
        <f t="shared" si="53"/>
        <v>0</v>
      </c>
      <c r="D317" s="60">
        <f t="shared" si="54"/>
        <v>0</v>
      </c>
      <c r="E317" s="60">
        <v>0</v>
      </c>
      <c r="F317" s="60">
        <v>0</v>
      </c>
      <c r="G317" s="60">
        <f t="shared" si="55"/>
        <v>0</v>
      </c>
      <c r="H317" s="60">
        <v>0</v>
      </c>
      <c r="I317" s="60">
        <v>0</v>
      </c>
      <c r="J317" s="65" t="s">
        <v>61</v>
      </c>
      <c r="K317" s="66"/>
    </row>
    <row r="318" spans="1:11" ht="13.5" thickBot="1" x14ac:dyDescent="0.25">
      <c r="A318" s="60">
        <f t="shared" si="52"/>
        <v>29</v>
      </c>
      <c r="B318" s="60">
        <f t="shared" si="53"/>
        <v>12</v>
      </c>
      <c r="C318" s="60">
        <f t="shared" si="53"/>
        <v>17</v>
      </c>
      <c r="D318" s="60">
        <f t="shared" si="54"/>
        <v>0</v>
      </c>
      <c r="E318" s="60">
        <v>0</v>
      </c>
      <c r="F318" s="60">
        <v>0</v>
      </c>
      <c r="G318" s="60">
        <f t="shared" si="55"/>
        <v>29</v>
      </c>
      <c r="H318" s="60">
        <f>19-7</f>
        <v>12</v>
      </c>
      <c r="I318" s="60">
        <v>17</v>
      </c>
      <c r="J318" s="65" t="s">
        <v>62</v>
      </c>
      <c r="K318" s="66" t="s">
        <v>359</v>
      </c>
    </row>
    <row r="319" spans="1:11" ht="13.5" thickBot="1" x14ac:dyDescent="0.25">
      <c r="A319" s="60">
        <f t="shared" si="52"/>
        <v>0</v>
      </c>
      <c r="B319" s="60">
        <f t="shared" si="53"/>
        <v>0</v>
      </c>
      <c r="C319" s="60">
        <f t="shared" si="53"/>
        <v>0</v>
      </c>
      <c r="D319" s="60">
        <f t="shared" si="54"/>
        <v>0</v>
      </c>
      <c r="E319" s="60">
        <v>0</v>
      </c>
      <c r="F319" s="60">
        <v>0</v>
      </c>
      <c r="G319" s="60">
        <f t="shared" si="55"/>
        <v>0</v>
      </c>
      <c r="H319" s="60">
        <v>0</v>
      </c>
      <c r="I319" s="60">
        <v>0</v>
      </c>
      <c r="J319" s="65" t="s">
        <v>64</v>
      </c>
      <c r="K319" s="74"/>
    </row>
    <row r="320" spans="1:11" ht="13.5" thickBot="1" x14ac:dyDescent="0.25">
      <c r="A320" s="60">
        <f t="shared" si="52"/>
        <v>0</v>
      </c>
      <c r="B320" s="60">
        <f t="shared" si="53"/>
        <v>0</v>
      </c>
      <c r="C320" s="60">
        <f t="shared" si="53"/>
        <v>0</v>
      </c>
      <c r="D320" s="60">
        <f t="shared" si="54"/>
        <v>0</v>
      </c>
      <c r="E320" s="60">
        <v>0</v>
      </c>
      <c r="F320" s="60">
        <v>0</v>
      </c>
      <c r="G320" s="60">
        <f t="shared" si="55"/>
        <v>0</v>
      </c>
      <c r="H320" s="60">
        <v>0</v>
      </c>
      <c r="I320" s="60">
        <v>0</v>
      </c>
      <c r="J320" s="65" t="s">
        <v>61</v>
      </c>
      <c r="K320" s="66"/>
    </row>
    <row r="321" spans="1:11" ht="13.5" thickBot="1" x14ac:dyDescent="0.25">
      <c r="A321" s="60">
        <f t="shared" si="52"/>
        <v>22</v>
      </c>
      <c r="B321" s="60">
        <f t="shared" si="53"/>
        <v>8</v>
      </c>
      <c r="C321" s="60">
        <f t="shared" si="53"/>
        <v>14</v>
      </c>
      <c r="D321" s="60">
        <f t="shared" si="54"/>
        <v>0</v>
      </c>
      <c r="E321" s="60">
        <v>0</v>
      </c>
      <c r="F321" s="60">
        <v>0</v>
      </c>
      <c r="G321" s="60">
        <f t="shared" si="55"/>
        <v>22</v>
      </c>
      <c r="H321" s="60">
        <f>11-3</f>
        <v>8</v>
      </c>
      <c r="I321" s="60">
        <v>14</v>
      </c>
      <c r="J321" s="65" t="s">
        <v>62</v>
      </c>
      <c r="K321" s="66" t="s">
        <v>363</v>
      </c>
    </row>
    <row r="322" spans="1:11" ht="13.5" thickBot="1" x14ac:dyDescent="0.25">
      <c r="A322" s="60">
        <f t="shared" si="52"/>
        <v>0</v>
      </c>
      <c r="B322" s="60">
        <f t="shared" si="53"/>
        <v>0</v>
      </c>
      <c r="C322" s="60">
        <f t="shared" si="53"/>
        <v>0</v>
      </c>
      <c r="D322" s="60">
        <f t="shared" si="54"/>
        <v>0</v>
      </c>
      <c r="E322" s="60">
        <v>0</v>
      </c>
      <c r="F322" s="60">
        <v>0</v>
      </c>
      <c r="G322" s="60">
        <f t="shared" si="55"/>
        <v>0</v>
      </c>
      <c r="H322" s="60">
        <v>0</v>
      </c>
      <c r="I322" s="60">
        <v>0</v>
      </c>
      <c r="J322" s="65" t="s">
        <v>64</v>
      </c>
      <c r="K322" s="74"/>
    </row>
    <row r="323" spans="1:11" ht="13.5" thickBot="1" x14ac:dyDescent="0.25">
      <c r="A323" s="60">
        <f t="shared" ref="A323:I325" si="56">A314+A317+A320</f>
        <v>0</v>
      </c>
      <c r="B323" s="60">
        <f t="shared" si="56"/>
        <v>0</v>
      </c>
      <c r="C323" s="60">
        <f t="shared" si="56"/>
        <v>0</v>
      </c>
      <c r="D323" s="60">
        <f t="shared" si="56"/>
        <v>0</v>
      </c>
      <c r="E323" s="60">
        <f t="shared" si="56"/>
        <v>0</v>
      </c>
      <c r="F323" s="60">
        <f t="shared" si="56"/>
        <v>0</v>
      </c>
      <c r="G323" s="60">
        <f t="shared" si="56"/>
        <v>0</v>
      </c>
      <c r="H323" s="60">
        <f t="shared" si="56"/>
        <v>0</v>
      </c>
      <c r="I323" s="60">
        <f>I314+I317+I320</f>
        <v>0</v>
      </c>
      <c r="J323" s="65" t="s">
        <v>231</v>
      </c>
      <c r="K323" s="57"/>
    </row>
    <row r="324" spans="1:11" ht="13.5" thickBot="1" x14ac:dyDescent="0.25">
      <c r="A324" s="60">
        <f t="shared" si="56"/>
        <v>77</v>
      </c>
      <c r="B324" s="60">
        <f t="shared" si="56"/>
        <v>30</v>
      </c>
      <c r="C324" s="60">
        <f t="shared" si="56"/>
        <v>47</v>
      </c>
      <c r="D324" s="60">
        <f t="shared" si="56"/>
        <v>0</v>
      </c>
      <c r="E324" s="60">
        <f t="shared" si="56"/>
        <v>0</v>
      </c>
      <c r="F324" s="60">
        <f t="shared" si="56"/>
        <v>0</v>
      </c>
      <c r="G324" s="60">
        <f t="shared" si="56"/>
        <v>77</v>
      </c>
      <c r="H324" s="60">
        <f t="shared" si="56"/>
        <v>30</v>
      </c>
      <c r="I324" s="60">
        <f t="shared" si="56"/>
        <v>47</v>
      </c>
      <c r="J324" s="65" t="s">
        <v>62</v>
      </c>
      <c r="K324" s="68" t="s">
        <v>232</v>
      </c>
    </row>
    <row r="325" spans="1:11" ht="13.5" thickBot="1" x14ac:dyDescent="0.25">
      <c r="A325" s="60">
        <f t="shared" si="56"/>
        <v>0</v>
      </c>
      <c r="B325" s="60">
        <f t="shared" si="56"/>
        <v>0</v>
      </c>
      <c r="C325" s="60">
        <f t="shared" si="56"/>
        <v>0</v>
      </c>
      <c r="D325" s="60">
        <f t="shared" si="56"/>
        <v>0</v>
      </c>
      <c r="E325" s="60">
        <f t="shared" si="56"/>
        <v>0</v>
      </c>
      <c r="F325" s="60">
        <f t="shared" si="56"/>
        <v>0</v>
      </c>
      <c r="G325" s="60">
        <f t="shared" si="56"/>
        <v>0</v>
      </c>
      <c r="H325" s="60">
        <f t="shared" si="56"/>
        <v>0</v>
      </c>
      <c r="I325" s="60">
        <f t="shared" si="56"/>
        <v>0</v>
      </c>
      <c r="J325" s="65" t="s">
        <v>64</v>
      </c>
      <c r="K325" s="59"/>
    </row>
    <row r="326" spans="1:11" ht="13.5" thickBot="1" x14ac:dyDescent="0.25">
      <c r="A326" s="60">
        <f t="shared" ref="A326:H326" si="57">SUM(A323:A325)</f>
        <v>77</v>
      </c>
      <c r="B326" s="60">
        <f t="shared" si="57"/>
        <v>30</v>
      </c>
      <c r="C326" s="60">
        <f t="shared" si="57"/>
        <v>47</v>
      </c>
      <c r="D326" s="60">
        <f t="shared" si="57"/>
        <v>0</v>
      </c>
      <c r="E326" s="60">
        <f t="shared" si="57"/>
        <v>0</v>
      </c>
      <c r="F326" s="60">
        <f t="shared" si="57"/>
        <v>0</v>
      </c>
      <c r="G326" s="60">
        <f t="shared" si="57"/>
        <v>77</v>
      </c>
      <c r="H326" s="60">
        <f t="shared" si="57"/>
        <v>30</v>
      </c>
      <c r="I326" s="60">
        <f>SUM(I323:I325)</f>
        <v>47</v>
      </c>
      <c r="J326" s="184" t="s">
        <v>233</v>
      </c>
      <c r="K326" s="184"/>
    </row>
    <row r="328" spans="1:11" x14ac:dyDescent="0.2">
      <c r="A328" s="177" t="s">
        <v>529</v>
      </c>
      <c r="B328" s="177"/>
      <c r="C328" s="177"/>
      <c r="D328" s="177"/>
      <c r="E328" s="177"/>
      <c r="F328" s="177"/>
      <c r="G328" s="177"/>
      <c r="H328" s="177"/>
      <c r="I328" s="177"/>
      <c r="J328" s="177"/>
      <c r="K328" s="177"/>
    </row>
    <row r="329" spans="1:11" ht="13.5" thickBot="1" x14ac:dyDescent="0.25">
      <c r="A329" s="178" t="s">
        <v>530</v>
      </c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</row>
    <row r="330" spans="1:11" ht="13.5" thickBot="1" x14ac:dyDescent="0.25">
      <c r="A330" s="179" t="s">
        <v>5</v>
      </c>
      <c r="B330" s="179"/>
      <c r="C330" s="179"/>
      <c r="D330" s="179" t="s">
        <v>162</v>
      </c>
      <c r="E330" s="179"/>
      <c r="F330" s="179"/>
      <c r="G330" s="179" t="s">
        <v>163</v>
      </c>
      <c r="H330" s="179"/>
      <c r="I330" s="179"/>
      <c r="J330" s="179" t="s">
        <v>72</v>
      </c>
      <c r="K330" s="179"/>
    </row>
    <row r="331" spans="1:11" ht="13.5" thickBot="1" x14ac:dyDescent="0.25">
      <c r="A331" s="58" t="s">
        <v>216</v>
      </c>
      <c r="B331" s="58" t="s">
        <v>11</v>
      </c>
      <c r="C331" s="58" t="s">
        <v>10</v>
      </c>
      <c r="D331" s="58" t="s">
        <v>216</v>
      </c>
      <c r="E331" s="58" t="s">
        <v>11</v>
      </c>
      <c r="F331" s="58" t="s">
        <v>10</v>
      </c>
      <c r="G331" s="58" t="s">
        <v>216</v>
      </c>
      <c r="H331" s="58" t="s">
        <v>11</v>
      </c>
      <c r="I331" s="58" t="s">
        <v>10</v>
      </c>
      <c r="J331" s="180" t="s">
        <v>165</v>
      </c>
      <c r="K331" s="180"/>
    </row>
    <row r="332" spans="1:11" ht="13.5" thickBot="1" x14ac:dyDescent="0.25">
      <c r="A332" s="60">
        <f>SUM(B332:C332)</f>
        <v>0</v>
      </c>
      <c r="B332" s="60">
        <f>H332+E332</f>
        <v>0</v>
      </c>
      <c r="C332" s="60">
        <f>I332+F332</f>
        <v>0</v>
      </c>
      <c r="D332" s="60">
        <f>SUM(E332:F332)</f>
        <v>0</v>
      </c>
      <c r="E332" s="60">
        <v>0</v>
      </c>
      <c r="F332" s="60">
        <v>0</v>
      </c>
      <c r="G332" s="60">
        <f>SUM(H332:I332)</f>
        <v>0</v>
      </c>
      <c r="H332" s="60">
        <v>0</v>
      </c>
      <c r="I332" s="60">
        <v>0</v>
      </c>
      <c r="J332" s="65" t="s">
        <v>61</v>
      </c>
      <c r="K332" s="66"/>
    </row>
    <row r="333" spans="1:11" ht="13.5" thickBot="1" x14ac:dyDescent="0.25">
      <c r="A333" s="60">
        <f t="shared" ref="A333:A337" si="58">SUM(B333:C333)</f>
        <v>39</v>
      </c>
      <c r="B333" s="60">
        <f t="shared" ref="B333:C337" si="59">H333+E333</f>
        <v>24</v>
      </c>
      <c r="C333" s="60">
        <f t="shared" si="59"/>
        <v>15</v>
      </c>
      <c r="D333" s="60">
        <f t="shared" ref="D333:D337" si="60">SUM(E333:F333)</f>
        <v>0</v>
      </c>
      <c r="E333" s="60">
        <v>0</v>
      </c>
      <c r="F333" s="60">
        <v>0</v>
      </c>
      <c r="G333" s="60">
        <f t="shared" ref="G333:G337" si="61">SUM(H333:I333)</f>
        <v>39</v>
      </c>
      <c r="H333" s="60">
        <v>24</v>
      </c>
      <c r="I333" s="60">
        <v>15</v>
      </c>
      <c r="J333" s="65" t="s">
        <v>62</v>
      </c>
      <c r="K333" s="66" t="s">
        <v>542</v>
      </c>
    </row>
    <row r="334" spans="1:11" ht="13.5" thickBot="1" x14ac:dyDescent="0.25">
      <c r="A334" s="60">
        <f t="shared" si="58"/>
        <v>0</v>
      </c>
      <c r="B334" s="60">
        <f t="shared" si="59"/>
        <v>0</v>
      </c>
      <c r="C334" s="60">
        <f t="shared" si="59"/>
        <v>0</v>
      </c>
      <c r="D334" s="60">
        <f t="shared" si="60"/>
        <v>0</v>
      </c>
      <c r="E334" s="60">
        <v>0</v>
      </c>
      <c r="F334" s="60">
        <v>0</v>
      </c>
      <c r="G334" s="60">
        <f t="shared" si="61"/>
        <v>0</v>
      </c>
      <c r="H334" s="60">
        <v>0</v>
      </c>
      <c r="I334" s="60">
        <v>0</v>
      </c>
      <c r="J334" s="65" t="s">
        <v>64</v>
      </c>
      <c r="K334" s="74"/>
    </row>
    <row r="335" spans="1:11" ht="13.5" thickBot="1" x14ac:dyDescent="0.25">
      <c r="A335" s="60">
        <f t="shared" si="58"/>
        <v>0</v>
      </c>
      <c r="B335" s="60">
        <f t="shared" si="59"/>
        <v>0</v>
      </c>
      <c r="C335" s="60">
        <f t="shared" si="59"/>
        <v>0</v>
      </c>
      <c r="D335" s="60">
        <f t="shared" si="60"/>
        <v>0</v>
      </c>
      <c r="E335" s="60">
        <v>0</v>
      </c>
      <c r="F335" s="60">
        <v>0</v>
      </c>
      <c r="G335" s="60">
        <f t="shared" si="61"/>
        <v>0</v>
      </c>
      <c r="H335" s="60">
        <v>0</v>
      </c>
      <c r="I335" s="60">
        <v>0</v>
      </c>
      <c r="J335" s="65" t="s">
        <v>61</v>
      </c>
      <c r="K335" s="66"/>
    </row>
    <row r="336" spans="1:11" ht="13.5" thickBot="1" x14ac:dyDescent="0.25">
      <c r="A336" s="60">
        <f t="shared" si="58"/>
        <v>13</v>
      </c>
      <c r="B336" s="60">
        <f t="shared" si="59"/>
        <v>5</v>
      </c>
      <c r="C336" s="60">
        <f t="shared" si="59"/>
        <v>8</v>
      </c>
      <c r="D336" s="60">
        <f t="shared" si="60"/>
        <v>1</v>
      </c>
      <c r="E336" s="60">
        <v>0</v>
      </c>
      <c r="F336" s="60">
        <v>1</v>
      </c>
      <c r="G336" s="60">
        <f t="shared" si="61"/>
        <v>12</v>
      </c>
      <c r="H336" s="60">
        <v>5</v>
      </c>
      <c r="I336" s="60">
        <v>7</v>
      </c>
      <c r="J336" s="65" t="s">
        <v>62</v>
      </c>
      <c r="K336" s="66" t="s">
        <v>543</v>
      </c>
    </row>
    <row r="337" spans="1:11" ht="13.5" thickBot="1" x14ac:dyDescent="0.25">
      <c r="A337" s="60">
        <f t="shared" si="58"/>
        <v>0</v>
      </c>
      <c r="B337" s="60">
        <f t="shared" si="59"/>
        <v>0</v>
      </c>
      <c r="C337" s="60">
        <f t="shared" si="59"/>
        <v>0</v>
      </c>
      <c r="D337" s="60">
        <f t="shared" si="60"/>
        <v>0</v>
      </c>
      <c r="E337" s="60">
        <v>0</v>
      </c>
      <c r="F337" s="60">
        <v>0</v>
      </c>
      <c r="G337" s="60">
        <f t="shared" si="61"/>
        <v>0</v>
      </c>
      <c r="H337" s="60">
        <v>0</v>
      </c>
      <c r="I337" s="60">
        <v>0</v>
      </c>
      <c r="J337" s="65" t="s">
        <v>64</v>
      </c>
      <c r="K337" s="74"/>
    </row>
    <row r="338" spans="1:11" ht="13.5" thickBot="1" x14ac:dyDescent="0.25">
      <c r="A338" s="60">
        <f t="shared" ref="A338:I340" si="62">A332+A335</f>
        <v>0</v>
      </c>
      <c r="B338" s="60">
        <f t="shared" si="62"/>
        <v>0</v>
      </c>
      <c r="C338" s="60">
        <f t="shared" si="62"/>
        <v>0</v>
      </c>
      <c r="D338" s="60">
        <f t="shared" si="62"/>
        <v>0</v>
      </c>
      <c r="E338" s="60">
        <f t="shared" si="62"/>
        <v>0</v>
      </c>
      <c r="F338" s="60">
        <f t="shared" si="62"/>
        <v>0</v>
      </c>
      <c r="G338" s="60">
        <f t="shared" si="62"/>
        <v>0</v>
      </c>
      <c r="H338" s="60">
        <f t="shared" si="62"/>
        <v>0</v>
      </c>
      <c r="I338" s="60">
        <f>I332+I335</f>
        <v>0</v>
      </c>
      <c r="J338" s="65" t="s">
        <v>231</v>
      </c>
      <c r="K338" s="57"/>
    </row>
    <row r="339" spans="1:11" ht="13.5" thickBot="1" x14ac:dyDescent="0.25">
      <c r="A339" s="60">
        <f t="shared" si="62"/>
        <v>52</v>
      </c>
      <c r="B339" s="60">
        <f t="shared" si="62"/>
        <v>29</v>
      </c>
      <c r="C339" s="60">
        <f t="shared" si="62"/>
        <v>23</v>
      </c>
      <c r="D339" s="60">
        <f t="shared" si="62"/>
        <v>1</v>
      </c>
      <c r="E339" s="60">
        <f t="shared" si="62"/>
        <v>0</v>
      </c>
      <c r="F339" s="60">
        <f t="shared" si="62"/>
        <v>1</v>
      </c>
      <c r="G339" s="60">
        <f t="shared" si="62"/>
        <v>51</v>
      </c>
      <c r="H339" s="60">
        <f t="shared" si="62"/>
        <v>29</v>
      </c>
      <c r="I339" s="60">
        <f t="shared" si="62"/>
        <v>22</v>
      </c>
      <c r="J339" s="65" t="s">
        <v>62</v>
      </c>
      <c r="K339" s="68" t="s">
        <v>232</v>
      </c>
    </row>
    <row r="340" spans="1:11" ht="13.5" thickBot="1" x14ac:dyDescent="0.25">
      <c r="A340" s="60">
        <f t="shared" si="62"/>
        <v>0</v>
      </c>
      <c r="B340" s="60">
        <f t="shared" si="62"/>
        <v>0</v>
      </c>
      <c r="C340" s="60">
        <f t="shared" si="62"/>
        <v>0</v>
      </c>
      <c r="D340" s="60">
        <f t="shared" si="62"/>
        <v>0</v>
      </c>
      <c r="E340" s="60">
        <f t="shared" si="62"/>
        <v>0</v>
      </c>
      <c r="F340" s="60">
        <f t="shared" si="62"/>
        <v>0</v>
      </c>
      <c r="G340" s="60">
        <f t="shared" si="62"/>
        <v>0</v>
      </c>
      <c r="H340" s="60">
        <f t="shared" si="62"/>
        <v>0</v>
      </c>
      <c r="I340" s="60">
        <f t="shared" si="62"/>
        <v>0</v>
      </c>
      <c r="J340" s="65" t="s">
        <v>64</v>
      </c>
      <c r="K340" s="59"/>
    </row>
    <row r="341" spans="1:11" ht="13.5" thickBot="1" x14ac:dyDescent="0.25">
      <c r="A341" s="60">
        <f t="shared" ref="A341:H341" si="63">SUM(A338:A340)</f>
        <v>52</v>
      </c>
      <c r="B341" s="60">
        <f t="shared" si="63"/>
        <v>29</v>
      </c>
      <c r="C341" s="60">
        <f t="shared" si="63"/>
        <v>23</v>
      </c>
      <c r="D341" s="60">
        <f t="shared" si="63"/>
        <v>1</v>
      </c>
      <c r="E341" s="60">
        <f t="shared" si="63"/>
        <v>0</v>
      </c>
      <c r="F341" s="60">
        <f t="shared" si="63"/>
        <v>1</v>
      </c>
      <c r="G341" s="60">
        <f t="shared" si="63"/>
        <v>51</v>
      </c>
      <c r="H341" s="60">
        <f t="shared" si="63"/>
        <v>29</v>
      </c>
      <c r="I341" s="60">
        <f>SUM(I338:I340)</f>
        <v>22</v>
      </c>
      <c r="J341" s="184" t="s">
        <v>233</v>
      </c>
      <c r="K341" s="184"/>
    </row>
    <row r="343" spans="1:11" x14ac:dyDescent="0.2">
      <c r="A343" s="177" t="s">
        <v>529</v>
      </c>
      <c r="B343" s="177"/>
      <c r="C343" s="177"/>
      <c r="D343" s="177"/>
      <c r="E343" s="177"/>
      <c r="F343" s="177"/>
      <c r="G343" s="177"/>
      <c r="H343" s="177"/>
      <c r="I343" s="177"/>
      <c r="J343" s="177"/>
      <c r="K343" s="177"/>
    </row>
    <row r="344" spans="1:11" ht="13.5" thickBot="1" x14ac:dyDescent="0.25">
      <c r="A344" s="178" t="s">
        <v>530</v>
      </c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</row>
    <row r="345" spans="1:11" ht="13.5" thickBot="1" x14ac:dyDescent="0.25">
      <c r="A345" s="179" t="s">
        <v>5</v>
      </c>
      <c r="B345" s="179"/>
      <c r="C345" s="179"/>
      <c r="D345" s="179" t="s">
        <v>162</v>
      </c>
      <c r="E345" s="179"/>
      <c r="F345" s="179"/>
      <c r="G345" s="179" t="s">
        <v>163</v>
      </c>
      <c r="H345" s="179"/>
      <c r="I345" s="179"/>
      <c r="J345" s="179" t="s">
        <v>72</v>
      </c>
      <c r="K345" s="179"/>
    </row>
    <row r="346" spans="1:11" ht="13.5" thickBot="1" x14ac:dyDescent="0.25">
      <c r="A346" s="58" t="s">
        <v>216</v>
      </c>
      <c r="B346" s="58" t="s">
        <v>11</v>
      </c>
      <c r="C346" s="58" t="s">
        <v>10</v>
      </c>
      <c r="D346" s="58" t="s">
        <v>216</v>
      </c>
      <c r="E346" s="58" t="s">
        <v>11</v>
      </c>
      <c r="F346" s="58" t="s">
        <v>10</v>
      </c>
      <c r="G346" s="58" t="s">
        <v>216</v>
      </c>
      <c r="H346" s="58" t="s">
        <v>11</v>
      </c>
      <c r="I346" s="58" t="s">
        <v>10</v>
      </c>
      <c r="J346" s="180" t="s">
        <v>171</v>
      </c>
      <c r="K346" s="180"/>
    </row>
    <row r="347" spans="1:11" ht="13.5" thickBot="1" x14ac:dyDescent="0.25">
      <c r="A347" s="60">
        <f>SUM(B347:C347)</f>
        <v>0</v>
      </c>
      <c r="B347" s="60">
        <f>H347+E347</f>
        <v>0</v>
      </c>
      <c r="C347" s="60">
        <f>I347+F347</f>
        <v>0</v>
      </c>
      <c r="D347" s="60">
        <f>SUM(E347:F347)</f>
        <v>0</v>
      </c>
      <c r="E347" s="60">
        <v>0</v>
      </c>
      <c r="F347" s="60">
        <v>0</v>
      </c>
      <c r="G347" s="60">
        <f>SUM(H347:I347)</f>
        <v>0</v>
      </c>
      <c r="H347" s="60">
        <v>0</v>
      </c>
      <c r="I347" s="60">
        <v>0</v>
      </c>
      <c r="J347" s="65" t="s">
        <v>61</v>
      </c>
      <c r="K347" s="66"/>
    </row>
    <row r="348" spans="1:11" ht="13.5" thickBot="1" x14ac:dyDescent="0.25">
      <c r="A348" s="60">
        <f t="shared" ref="A348:A352" si="64">SUM(B348:C348)</f>
        <v>0</v>
      </c>
      <c r="B348" s="60">
        <f t="shared" ref="B348:C352" si="65">H348+E348</f>
        <v>0</v>
      </c>
      <c r="C348" s="60">
        <f t="shared" si="65"/>
        <v>0</v>
      </c>
      <c r="D348" s="60">
        <f t="shared" ref="D348:D352" si="66">SUM(E348:F348)</f>
        <v>0</v>
      </c>
      <c r="E348" s="60">
        <v>0</v>
      </c>
      <c r="F348" s="60">
        <v>0</v>
      </c>
      <c r="G348" s="60">
        <f t="shared" ref="G348:G352" si="67">SUM(H348:I348)</f>
        <v>0</v>
      </c>
      <c r="H348" s="60">
        <v>0</v>
      </c>
      <c r="I348" s="60">
        <v>0</v>
      </c>
      <c r="J348" s="65" t="s">
        <v>62</v>
      </c>
      <c r="K348" s="66" t="s">
        <v>171</v>
      </c>
    </row>
    <row r="349" spans="1:11" ht="13.5" thickBot="1" x14ac:dyDescent="0.25">
      <c r="A349" s="60">
        <f t="shared" si="64"/>
        <v>170</v>
      </c>
      <c r="B349" s="60">
        <f t="shared" si="65"/>
        <v>0</v>
      </c>
      <c r="C349" s="60">
        <f t="shared" si="65"/>
        <v>170</v>
      </c>
      <c r="D349" s="60">
        <f t="shared" si="66"/>
        <v>0</v>
      </c>
      <c r="E349" s="60">
        <v>0</v>
      </c>
      <c r="F349" s="60">
        <v>0</v>
      </c>
      <c r="G349" s="60">
        <f t="shared" si="67"/>
        <v>170</v>
      </c>
      <c r="H349" s="60">
        <v>0</v>
      </c>
      <c r="I349" s="60">
        <f>225-55</f>
        <v>170</v>
      </c>
      <c r="J349" s="65" t="s">
        <v>64</v>
      </c>
      <c r="K349" s="74"/>
    </row>
    <row r="350" spans="1:11" ht="13.5" thickBot="1" x14ac:dyDescent="0.25">
      <c r="A350" s="60">
        <f t="shared" si="64"/>
        <v>0</v>
      </c>
      <c r="B350" s="60">
        <f t="shared" si="65"/>
        <v>0</v>
      </c>
      <c r="C350" s="60">
        <f t="shared" si="65"/>
        <v>0</v>
      </c>
      <c r="D350" s="60">
        <f t="shared" si="66"/>
        <v>0</v>
      </c>
      <c r="E350" s="60">
        <f t="shared" ref="E350:I352" si="68">E347</f>
        <v>0</v>
      </c>
      <c r="F350" s="60">
        <f t="shared" si="68"/>
        <v>0</v>
      </c>
      <c r="G350" s="60">
        <f t="shared" si="67"/>
        <v>0</v>
      </c>
      <c r="H350" s="60">
        <f t="shared" si="68"/>
        <v>0</v>
      </c>
      <c r="I350" s="60">
        <f>I347</f>
        <v>0</v>
      </c>
      <c r="J350" s="65" t="s">
        <v>231</v>
      </c>
      <c r="K350" s="57"/>
    </row>
    <row r="351" spans="1:11" ht="13.5" thickBot="1" x14ac:dyDescent="0.25">
      <c r="A351" s="60">
        <f t="shared" si="64"/>
        <v>0</v>
      </c>
      <c r="B351" s="60">
        <f t="shared" si="65"/>
        <v>0</v>
      </c>
      <c r="C351" s="60">
        <f t="shared" si="65"/>
        <v>0</v>
      </c>
      <c r="D351" s="60">
        <f t="shared" si="66"/>
        <v>0</v>
      </c>
      <c r="E351" s="60">
        <f t="shared" si="68"/>
        <v>0</v>
      </c>
      <c r="F351" s="60">
        <f t="shared" si="68"/>
        <v>0</v>
      </c>
      <c r="G351" s="60">
        <f t="shared" si="67"/>
        <v>0</v>
      </c>
      <c r="H351" s="60">
        <f t="shared" si="68"/>
        <v>0</v>
      </c>
      <c r="I351" s="60">
        <f t="shared" si="68"/>
        <v>0</v>
      </c>
      <c r="J351" s="65" t="s">
        <v>62</v>
      </c>
      <c r="K351" s="68" t="s">
        <v>232</v>
      </c>
    </row>
    <row r="352" spans="1:11" ht="13.5" thickBot="1" x14ac:dyDescent="0.25">
      <c r="A352" s="60">
        <f t="shared" si="64"/>
        <v>170</v>
      </c>
      <c r="B352" s="60">
        <f t="shared" si="65"/>
        <v>0</v>
      </c>
      <c r="C352" s="60">
        <f t="shared" si="65"/>
        <v>170</v>
      </c>
      <c r="D352" s="60">
        <f t="shared" si="66"/>
        <v>0</v>
      </c>
      <c r="E352" s="60">
        <f t="shared" si="68"/>
        <v>0</v>
      </c>
      <c r="F352" s="60">
        <f t="shared" si="68"/>
        <v>0</v>
      </c>
      <c r="G352" s="60">
        <f t="shared" si="67"/>
        <v>170</v>
      </c>
      <c r="H352" s="60">
        <f t="shared" si="68"/>
        <v>0</v>
      </c>
      <c r="I352" s="60">
        <f t="shared" si="68"/>
        <v>170</v>
      </c>
      <c r="J352" s="65" t="s">
        <v>64</v>
      </c>
      <c r="K352" s="59"/>
    </row>
    <row r="353" spans="1:11" ht="15.75" customHeight="1" thickBot="1" x14ac:dyDescent="0.25">
      <c r="A353" s="60">
        <f t="shared" ref="A353:H353" si="69">SUM(A350:A352)</f>
        <v>170</v>
      </c>
      <c r="B353" s="60">
        <f t="shared" si="69"/>
        <v>0</v>
      </c>
      <c r="C353" s="60">
        <f t="shared" si="69"/>
        <v>170</v>
      </c>
      <c r="D353" s="60">
        <f t="shared" si="69"/>
        <v>0</v>
      </c>
      <c r="E353" s="60">
        <f t="shared" si="69"/>
        <v>0</v>
      </c>
      <c r="F353" s="60">
        <f t="shared" si="69"/>
        <v>0</v>
      </c>
      <c r="G353" s="60">
        <f t="shared" si="69"/>
        <v>170</v>
      </c>
      <c r="H353" s="60">
        <f t="shared" si="69"/>
        <v>0</v>
      </c>
      <c r="I353" s="60">
        <f>SUM(I350:I352)</f>
        <v>170</v>
      </c>
      <c r="J353" s="184" t="s">
        <v>233</v>
      </c>
      <c r="K353" s="184"/>
    </row>
    <row r="354" spans="1:11" x14ac:dyDescent="0.2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</row>
    <row r="355" spans="1:11" x14ac:dyDescent="0.2">
      <c r="A355" s="174" t="s">
        <v>529</v>
      </c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</row>
    <row r="356" spans="1:11" ht="13.5" thickBot="1" x14ac:dyDescent="0.25">
      <c r="A356" s="175" t="s">
        <v>530</v>
      </c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</row>
    <row r="357" spans="1:11" ht="13.5" thickBot="1" x14ac:dyDescent="0.25">
      <c r="A357" s="176" t="s">
        <v>5</v>
      </c>
      <c r="B357" s="176"/>
      <c r="C357" s="176"/>
      <c r="D357" s="176" t="s">
        <v>162</v>
      </c>
      <c r="E357" s="176"/>
      <c r="F357" s="176"/>
      <c r="G357" s="176" t="s">
        <v>163</v>
      </c>
      <c r="H357" s="176"/>
      <c r="I357" s="176"/>
      <c r="J357" s="176" t="s">
        <v>72</v>
      </c>
      <c r="K357" s="176"/>
    </row>
    <row r="358" spans="1:11" ht="13.5" thickBot="1" x14ac:dyDescent="0.25">
      <c r="A358" s="51" t="s">
        <v>216</v>
      </c>
      <c r="B358" s="51" t="s">
        <v>11</v>
      </c>
      <c r="C358" s="51" t="s">
        <v>10</v>
      </c>
      <c r="D358" s="51" t="s">
        <v>216</v>
      </c>
      <c r="E358" s="51" t="s">
        <v>11</v>
      </c>
      <c r="F358" s="51" t="s">
        <v>10</v>
      </c>
      <c r="G358" s="51" t="s">
        <v>216</v>
      </c>
      <c r="H358" s="51" t="s">
        <v>11</v>
      </c>
      <c r="I358" s="51" t="s">
        <v>10</v>
      </c>
      <c r="J358" s="182" t="s">
        <v>173</v>
      </c>
      <c r="K358" s="182"/>
    </row>
    <row r="359" spans="1:11" ht="13.5" thickBot="1" x14ac:dyDescent="0.25">
      <c r="A359" s="53">
        <f>SUM(B359:C359)</f>
        <v>0</v>
      </c>
      <c r="B359" s="53">
        <f>H359+E359</f>
        <v>0</v>
      </c>
      <c r="C359" s="53">
        <f>I359+F359</f>
        <v>0</v>
      </c>
      <c r="D359" s="53">
        <f>SUM(E359:F359)</f>
        <v>0</v>
      </c>
      <c r="E359" s="53">
        <v>0</v>
      </c>
      <c r="F359" s="53">
        <v>0</v>
      </c>
      <c r="G359" s="53">
        <f>SUM(H359:I359)</f>
        <v>0</v>
      </c>
      <c r="H359" s="53">
        <v>0</v>
      </c>
      <c r="I359" s="53">
        <v>0</v>
      </c>
      <c r="J359" s="70" t="s">
        <v>61</v>
      </c>
      <c r="K359" s="71"/>
    </row>
    <row r="360" spans="1:11" ht="13.5" thickBot="1" x14ac:dyDescent="0.25">
      <c r="A360" s="53">
        <f t="shared" ref="A360:A367" si="70">SUM(B360:C360)</f>
        <v>29</v>
      </c>
      <c r="B360" s="53">
        <f t="shared" ref="B360:C367" si="71">H360+E360</f>
        <v>9</v>
      </c>
      <c r="C360" s="53">
        <f t="shared" si="71"/>
        <v>20</v>
      </c>
      <c r="D360" s="53">
        <f t="shared" ref="D360:D367" si="72">SUM(E360:F360)</f>
        <v>2</v>
      </c>
      <c r="E360" s="53">
        <v>0</v>
      </c>
      <c r="F360" s="53">
        <v>2</v>
      </c>
      <c r="G360" s="53">
        <f t="shared" ref="G360:G367" si="73">SUM(H360:I360)</f>
        <v>27</v>
      </c>
      <c r="H360" s="53">
        <v>9</v>
      </c>
      <c r="I360" s="53">
        <v>18</v>
      </c>
      <c r="J360" s="70" t="s">
        <v>62</v>
      </c>
      <c r="K360" s="71" t="s">
        <v>138</v>
      </c>
    </row>
    <row r="361" spans="1:11" ht="13.5" thickBot="1" x14ac:dyDescent="0.25">
      <c r="A361" s="53">
        <f t="shared" si="70"/>
        <v>0</v>
      </c>
      <c r="B361" s="53">
        <f t="shared" si="71"/>
        <v>0</v>
      </c>
      <c r="C361" s="53">
        <f t="shared" si="71"/>
        <v>0</v>
      </c>
      <c r="D361" s="53">
        <f t="shared" si="72"/>
        <v>0</v>
      </c>
      <c r="E361" s="53">
        <v>0</v>
      </c>
      <c r="F361" s="53">
        <v>0</v>
      </c>
      <c r="G361" s="53">
        <f t="shared" si="73"/>
        <v>0</v>
      </c>
      <c r="H361" s="53">
        <v>0</v>
      </c>
      <c r="I361" s="53">
        <v>0</v>
      </c>
      <c r="J361" s="70" t="s">
        <v>64</v>
      </c>
      <c r="K361" s="76"/>
    </row>
    <row r="362" spans="1:11" ht="13.5" thickBot="1" x14ac:dyDescent="0.25">
      <c r="A362" s="53">
        <f t="shared" si="70"/>
        <v>0</v>
      </c>
      <c r="B362" s="53">
        <f t="shared" si="71"/>
        <v>0</v>
      </c>
      <c r="C362" s="53">
        <f t="shared" si="71"/>
        <v>0</v>
      </c>
      <c r="D362" s="53">
        <f t="shared" si="72"/>
        <v>0</v>
      </c>
      <c r="E362" s="53">
        <v>0</v>
      </c>
      <c r="F362" s="53">
        <v>0</v>
      </c>
      <c r="G362" s="53">
        <f t="shared" si="73"/>
        <v>0</v>
      </c>
      <c r="H362" s="53">
        <v>0</v>
      </c>
      <c r="I362" s="53">
        <v>0</v>
      </c>
      <c r="J362" s="70" t="s">
        <v>61</v>
      </c>
      <c r="K362" s="71"/>
    </row>
    <row r="363" spans="1:11" ht="13.5" thickBot="1" x14ac:dyDescent="0.25">
      <c r="A363" s="53">
        <f t="shared" si="70"/>
        <v>10</v>
      </c>
      <c r="B363" s="53">
        <f t="shared" si="71"/>
        <v>0</v>
      </c>
      <c r="C363" s="53">
        <f t="shared" si="71"/>
        <v>10</v>
      </c>
      <c r="D363" s="53">
        <f t="shared" si="72"/>
        <v>1</v>
      </c>
      <c r="E363" s="53">
        <v>0</v>
      </c>
      <c r="F363" s="53">
        <v>1</v>
      </c>
      <c r="G363" s="53">
        <f t="shared" si="73"/>
        <v>9</v>
      </c>
      <c r="H363" s="53">
        <v>0</v>
      </c>
      <c r="I363" s="53">
        <v>9</v>
      </c>
      <c r="J363" s="70" t="s">
        <v>62</v>
      </c>
      <c r="K363" s="71" t="s">
        <v>140</v>
      </c>
    </row>
    <row r="364" spans="1:11" ht="13.5" thickBot="1" x14ac:dyDescent="0.25">
      <c r="A364" s="53">
        <f t="shared" si="70"/>
        <v>0</v>
      </c>
      <c r="B364" s="53">
        <f t="shared" si="71"/>
        <v>0</v>
      </c>
      <c r="C364" s="53">
        <f t="shared" si="71"/>
        <v>0</v>
      </c>
      <c r="D364" s="53">
        <f t="shared" si="72"/>
        <v>0</v>
      </c>
      <c r="E364" s="53">
        <v>0</v>
      </c>
      <c r="F364" s="53">
        <v>0</v>
      </c>
      <c r="G364" s="53">
        <f t="shared" si="73"/>
        <v>0</v>
      </c>
      <c r="H364" s="53">
        <v>0</v>
      </c>
      <c r="I364" s="53">
        <v>0</v>
      </c>
      <c r="J364" s="70" t="s">
        <v>64</v>
      </c>
      <c r="K364" s="76"/>
    </row>
    <row r="365" spans="1:11" ht="13.5" thickBot="1" x14ac:dyDescent="0.25">
      <c r="A365" s="53">
        <f t="shared" si="70"/>
        <v>0</v>
      </c>
      <c r="B365" s="53">
        <f t="shared" si="71"/>
        <v>0</v>
      </c>
      <c r="C365" s="53">
        <f t="shared" si="71"/>
        <v>0</v>
      </c>
      <c r="D365" s="53">
        <f t="shared" si="72"/>
        <v>0</v>
      </c>
      <c r="E365" s="53">
        <v>0</v>
      </c>
      <c r="F365" s="53">
        <v>0</v>
      </c>
      <c r="G365" s="53">
        <f t="shared" si="73"/>
        <v>0</v>
      </c>
      <c r="H365" s="53">
        <v>0</v>
      </c>
      <c r="I365" s="53">
        <v>0</v>
      </c>
      <c r="J365" s="70" t="s">
        <v>61</v>
      </c>
      <c r="K365" s="71"/>
    </row>
    <row r="366" spans="1:11" ht="13.5" thickBot="1" x14ac:dyDescent="0.25">
      <c r="A366" s="53">
        <f t="shared" si="70"/>
        <v>0</v>
      </c>
      <c r="B366" s="53">
        <f t="shared" si="71"/>
        <v>0</v>
      </c>
      <c r="C366" s="53">
        <f t="shared" si="71"/>
        <v>0</v>
      </c>
      <c r="D366" s="53">
        <f t="shared" si="72"/>
        <v>0</v>
      </c>
      <c r="E366" s="53">
        <v>0</v>
      </c>
      <c r="F366" s="53">
        <v>0</v>
      </c>
      <c r="G366" s="53">
        <f t="shared" si="73"/>
        <v>0</v>
      </c>
      <c r="H366" s="53">
        <v>0</v>
      </c>
      <c r="I366" s="53">
        <v>0</v>
      </c>
      <c r="J366" s="70" t="s">
        <v>62</v>
      </c>
      <c r="K366" s="71" t="s">
        <v>153</v>
      </c>
    </row>
    <row r="367" spans="1:11" ht="13.5" thickBot="1" x14ac:dyDescent="0.25">
      <c r="A367" s="53">
        <f t="shared" si="70"/>
        <v>9</v>
      </c>
      <c r="B367" s="53">
        <f t="shared" si="71"/>
        <v>0</v>
      </c>
      <c r="C367" s="53">
        <f t="shared" si="71"/>
        <v>9</v>
      </c>
      <c r="D367" s="53">
        <f t="shared" si="72"/>
        <v>9</v>
      </c>
      <c r="E367" s="53">
        <v>0</v>
      </c>
      <c r="F367" s="53">
        <v>9</v>
      </c>
      <c r="G367" s="53">
        <f t="shared" si="73"/>
        <v>0</v>
      </c>
      <c r="H367" s="53">
        <v>0</v>
      </c>
      <c r="I367" s="53">
        <v>0</v>
      </c>
      <c r="J367" s="70" t="s">
        <v>64</v>
      </c>
      <c r="K367" s="76"/>
    </row>
    <row r="368" spans="1:11" ht="13.5" thickBot="1" x14ac:dyDescent="0.25">
      <c r="A368" s="53">
        <f t="shared" ref="A368:I370" si="74">A359+A362+A365</f>
        <v>0</v>
      </c>
      <c r="B368" s="53">
        <f t="shared" si="74"/>
        <v>0</v>
      </c>
      <c r="C368" s="53">
        <f t="shared" si="74"/>
        <v>0</v>
      </c>
      <c r="D368" s="53">
        <f t="shared" si="74"/>
        <v>0</v>
      </c>
      <c r="E368" s="53">
        <f t="shared" si="74"/>
        <v>0</v>
      </c>
      <c r="F368" s="53">
        <f t="shared" si="74"/>
        <v>0</v>
      </c>
      <c r="G368" s="53">
        <f t="shared" si="74"/>
        <v>0</v>
      </c>
      <c r="H368" s="53">
        <f t="shared" si="74"/>
        <v>0</v>
      </c>
      <c r="I368" s="53">
        <f>I359+I362+I365</f>
        <v>0</v>
      </c>
      <c r="J368" s="70" t="s">
        <v>231</v>
      </c>
      <c r="K368" s="50"/>
    </row>
    <row r="369" spans="1:11" ht="13.5" thickBot="1" x14ac:dyDescent="0.25">
      <c r="A369" s="53">
        <f t="shared" si="74"/>
        <v>39</v>
      </c>
      <c r="B369" s="53">
        <f t="shared" si="74"/>
        <v>9</v>
      </c>
      <c r="C369" s="53">
        <f t="shared" si="74"/>
        <v>30</v>
      </c>
      <c r="D369" s="53">
        <f t="shared" si="74"/>
        <v>3</v>
      </c>
      <c r="E369" s="53">
        <f t="shared" si="74"/>
        <v>0</v>
      </c>
      <c r="F369" s="53">
        <f t="shared" si="74"/>
        <v>3</v>
      </c>
      <c r="G369" s="53">
        <f t="shared" si="74"/>
        <v>36</v>
      </c>
      <c r="H369" s="53">
        <f t="shared" si="74"/>
        <v>9</v>
      </c>
      <c r="I369" s="53">
        <f t="shared" si="74"/>
        <v>27</v>
      </c>
      <c r="J369" s="70" t="s">
        <v>62</v>
      </c>
      <c r="K369" s="73" t="s">
        <v>232</v>
      </c>
    </row>
    <row r="370" spans="1:11" ht="13.5" thickBot="1" x14ac:dyDescent="0.25">
      <c r="A370" s="53">
        <f t="shared" si="74"/>
        <v>9</v>
      </c>
      <c r="B370" s="53">
        <f t="shared" si="74"/>
        <v>0</v>
      </c>
      <c r="C370" s="53">
        <f t="shared" si="74"/>
        <v>9</v>
      </c>
      <c r="D370" s="53">
        <f t="shared" si="74"/>
        <v>9</v>
      </c>
      <c r="E370" s="53">
        <f t="shared" si="74"/>
        <v>0</v>
      </c>
      <c r="F370" s="53">
        <f t="shared" si="74"/>
        <v>9</v>
      </c>
      <c r="G370" s="53">
        <f t="shared" si="74"/>
        <v>0</v>
      </c>
      <c r="H370" s="53">
        <f t="shared" si="74"/>
        <v>0</v>
      </c>
      <c r="I370" s="53">
        <f t="shared" si="74"/>
        <v>0</v>
      </c>
      <c r="J370" s="70" t="s">
        <v>64</v>
      </c>
      <c r="K370" s="52"/>
    </row>
    <row r="371" spans="1:11" ht="13.5" thickBot="1" x14ac:dyDescent="0.25">
      <c r="A371" s="53">
        <f t="shared" ref="A371:H371" si="75">SUM(A368:A370)</f>
        <v>48</v>
      </c>
      <c r="B371" s="53">
        <f t="shared" si="75"/>
        <v>9</v>
      </c>
      <c r="C371" s="53">
        <f t="shared" si="75"/>
        <v>39</v>
      </c>
      <c r="D371" s="53">
        <f t="shared" si="75"/>
        <v>12</v>
      </c>
      <c r="E371" s="53">
        <f t="shared" si="75"/>
        <v>0</v>
      </c>
      <c r="F371" s="53">
        <f t="shared" si="75"/>
        <v>12</v>
      </c>
      <c r="G371" s="53">
        <f t="shared" si="75"/>
        <v>36</v>
      </c>
      <c r="H371" s="53">
        <f t="shared" si="75"/>
        <v>9</v>
      </c>
      <c r="I371" s="53">
        <f>SUM(I368:I370)</f>
        <v>27</v>
      </c>
      <c r="J371" s="185" t="s">
        <v>233</v>
      </c>
      <c r="K371" s="185"/>
    </row>
  </sheetData>
  <mergeCells count="104">
    <mergeCell ref="J4:K4"/>
    <mergeCell ref="J41:K41"/>
    <mergeCell ref="A43:K43"/>
    <mergeCell ref="A44:K44"/>
    <mergeCell ref="A45:C45"/>
    <mergeCell ref="D45:F45"/>
    <mergeCell ref="G45:I45"/>
    <mergeCell ref="J45:K45"/>
    <mergeCell ref="A1:K1"/>
    <mergeCell ref="A2:K2"/>
    <mergeCell ref="A3:C3"/>
    <mergeCell ref="D3:F3"/>
    <mergeCell ref="G3:I3"/>
    <mergeCell ref="J3:K3"/>
    <mergeCell ref="J70:K70"/>
    <mergeCell ref="J101:K101"/>
    <mergeCell ref="A103:K103"/>
    <mergeCell ref="A104:K104"/>
    <mergeCell ref="A105:C105"/>
    <mergeCell ref="D105:F105"/>
    <mergeCell ref="G105:I105"/>
    <mergeCell ref="J105:K105"/>
    <mergeCell ref="J46:K46"/>
    <mergeCell ref="J65:K65"/>
    <mergeCell ref="A67:K67"/>
    <mergeCell ref="A68:K68"/>
    <mergeCell ref="A69:C69"/>
    <mergeCell ref="D69:F69"/>
    <mergeCell ref="G69:I69"/>
    <mergeCell ref="J69:K69"/>
    <mergeCell ref="J163:K163"/>
    <mergeCell ref="J203:K203"/>
    <mergeCell ref="A205:K205"/>
    <mergeCell ref="A206:K206"/>
    <mergeCell ref="A207:C207"/>
    <mergeCell ref="D207:F207"/>
    <mergeCell ref="G207:I207"/>
    <mergeCell ref="J207:K207"/>
    <mergeCell ref="J106:K106"/>
    <mergeCell ref="J158:K158"/>
    <mergeCell ref="A160:K160"/>
    <mergeCell ref="A161:K161"/>
    <mergeCell ref="A162:C162"/>
    <mergeCell ref="D162:F162"/>
    <mergeCell ref="G162:I162"/>
    <mergeCell ref="J162:K162"/>
    <mergeCell ref="J235:K235"/>
    <mergeCell ref="J266:K266"/>
    <mergeCell ref="A268:K268"/>
    <mergeCell ref="A269:K269"/>
    <mergeCell ref="A270:C270"/>
    <mergeCell ref="D270:F270"/>
    <mergeCell ref="G270:I270"/>
    <mergeCell ref="J270:K270"/>
    <mergeCell ref="J208:K208"/>
    <mergeCell ref="J230:K230"/>
    <mergeCell ref="A232:K232"/>
    <mergeCell ref="A233:K233"/>
    <mergeCell ref="A234:C234"/>
    <mergeCell ref="D234:F234"/>
    <mergeCell ref="G234:I234"/>
    <mergeCell ref="J234:K234"/>
    <mergeCell ref="J289:K289"/>
    <mergeCell ref="J308:K308"/>
    <mergeCell ref="A310:K310"/>
    <mergeCell ref="A311:K311"/>
    <mergeCell ref="A312:C312"/>
    <mergeCell ref="D312:F312"/>
    <mergeCell ref="G312:I312"/>
    <mergeCell ref="J312:K312"/>
    <mergeCell ref="J271:K271"/>
    <mergeCell ref="J284:K284"/>
    <mergeCell ref="A286:K286"/>
    <mergeCell ref="A287:K287"/>
    <mergeCell ref="A288:C288"/>
    <mergeCell ref="D288:F288"/>
    <mergeCell ref="G288:I288"/>
    <mergeCell ref="J288:K288"/>
    <mergeCell ref="J331:K331"/>
    <mergeCell ref="J341:K341"/>
    <mergeCell ref="A343:K343"/>
    <mergeCell ref="A344:K344"/>
    <mergeCell ref="A345:C345"/>
    <mergeCell ref="D345:F345"/>
    <mergeCell ref="G345:I345"/>
    <mergeCell ref="J345:K345"/>
    <mergeCell ref="J313:K313"/>
    <mergeCell ref="J326:K326"/>
    <mergeCell ref="A328:K328"/>
    <mergeCell ref="A329:K329"/>
    <mergeCell ref="A330:C330"/>
    <mergeCell ref="D330:F330"/>
    <mergeCell ref="G330:I330"/>
    <mergeCell ref="J330:K330"/>
    <mergeCell ref="J358:K358"/>
    <mergeCell ref="J371:K371"/>
    <mergeCell ref="J346:K346"/>
    <mergeCell ref="J353:K353"/>
    <mergeCell ref="A355:K355"/>
    <mergeCell ref="A356:K356"/>
    <mergeCell ref="A357:C357"/>
    <mergeCell ref="D357:F357"/>
    <mergeCell ref="G357:I357"/>
    <mergeCell ref="J357:K357"/>
  </mergeCells>
  <pageMargins left="0.4" right="0.4" top="0.25" bottom="0.25" header="0.25" footer="0.25"/>
  <pageSetup paperSize="9" scale="62" orientation="landscape" horizontalDpi="300" verticalDpi="300" r:id="rId1"/>
  <headerFooter alignWithMargins="0"/>
  <rowBreaks count="2" manualBreakCount="2">
    <brk id="288" max="10" man="1"/>
    <brk id="353" max="10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1"/>
  <sheetViews>
    <sheetView showGridLines="0" topLeftCell="A13" zoomScaleNormal="100" workbookViewId="0">
      <selection activeCell="M6" sqref="M6"/>
    </sheetView>
  </sheetViews>
  <sheetFormatPr defaultRowHeight="12.75" x14ac:dyDescent="0.2"/>
  <cols>
    <col min="1" max="9" width="9.625" style="56" customWidth="1"/>
    <col min="10" max="10" width="35.75" style="56" customWidth="1"/>
    <col min="11" max="11" width="8.25" style="56" customWidth="1"/>
    <col min="12" max="256" width="9" style="56"/>
    <col min="257" max="265" width="9.625" style="56" customWidth="1"/>
    <col min="266" max="266" width="35.75" style="56" customWidth="1"/>
    <col min="267" max="267" width="8.25" style="56" customWidth="1"/>
    <col min="268" max="512" width="9" style="56"/>
    <col min="513" max="521" width="9.625" style="56" customWidth="1"/>
    <col min="522" max="522" width="35.75" style="56" customWidth="1"/>
    <col min="523" max="523" width="8.25" style="56" customWidth="1"/>
    <col min="524" max="768" width="9" style="56"/>
    <col min="769" max="777" width="9.625" style="56" customWidth="1"/>
    <col min="778" max="778" width="35.75" style="56" customWidth="1"/>
    <col min="779" max="779" width="8.25" style="56" customWidth="1"/>
    <col min="780" max="1024" width="9" style="56"/>
    <col min="1025" max="1033" width="9.625" style="56" customWidth="1"/>
    <col min="1034" max="1034" width="35.75" style="56" customWidth="1"/>
    <col min="1035" max="1035" width="8.25" style="56" customWidth="1"/>
    <col min="1036" max="1280" width="9" style="56"/>
    <col min="1281" max="1289" width="9.625" style="56" customWidth="1"/>
    <col min="1290" max="1290" width="35.75" style="56" customWidth="1"/>
    <col min="1291" max="1291" width="8.25" style="56" customWidth="1"/>
    <col min="1292" max="1536" width="9" style="56"/>
    <col min="1537" max="1545" width="9.625" style="56" customWidth="1"/>
    <col min="1546" max="1546" width="35.75" style="56" customWidth="1"/>
    <col min="1547" max="1547" width="8.25" style="56" customWidth="1"/>
    <col min="1548" max="1792" width="9" style="56"/>
    <col min="1793" max="1801" width="9.625" style="56" customWidth="1"/>
    <col min="1802" max="1802" width="35.75" style="56" customWidth="1"/>
    <col min="1803" max="1803" width="8.25" style="56" customWidth="1"/>
    <col min="1804" max="2048" width="9" style="56"/>
    <col min="2049" max="2057" width="9.625" style="56" customWidth="1"/>
    <col min="2058" max="2058" width="35.75" style="56" customWidth="1"/>
    <col min="2059" max="2059" width="8.25" style="56" customWidth="1"/>
    <col min="2060" max="2304" width="9" style="56"/>
    <col min="2305" max="2313" width="9.625" style="56" customWidth="1"/>
    <col min="2314" max="2314" width="35.75" style="56" customWidth="1"/>
    <col min="2315" max="2315" width="8.25" style="56" customWidth="1"/>
    <col min="2316" max="2560" width="9" style="56"/>
    <col min="2561" max="2569" width="9.625" style="56" customWidth="1"/>
    <col min="2570" max="2570" width="35.75" style="56" customWidth="1"/>
    <col min="2571" max="2571" width="8.25" style="56" customWidth="1"/>
    <col min="2572" max="2816" width="9" style="56"/>
    <col min="2817" max="2825" width="9.625" style="56" customWidth="1"/>
    <col min="2826" max="2826" width="35.75" style="56" customWidth="1"/>
    <col min="2827" max="2827" width="8.25" style="56" customWidth="1"/>
    <col min="2828" max="3072" width="9" style="56"/>
    <col min="3073" max="3081" width="9.625" style="56" customWidth="1"/>
    <col min="3082" max="3082" width="35.75" style="56" customWidth="1"/>
    <col min="3083" max="3083" width="8.25" style="56" customWidth="1"/>
    <col min="3084" max="3328" width="9" style="56"/>
    <col min="3329" max="3337" width="9.625" style="56" customWidth="1"/>
    <col min="3338" max="3338" width="35.75" style="56" customWidth="1"/>
    <col min="3339" max="3339" width="8.25" style="56" customWidth="1"/>
    <col min="3340" max="3584" width="9" style="56"/>
    <col min="3585" max="3593" width="9.625" style="56" customWidth="1"/>
    <col min="3594" max="3594" width="35.75" style="56" customWidth="1"/>
    <col min="3595" max="3595" width="8.25" style="56" customWidth="1"/>
    <col min="3596" max="3840" width="9" style="56"/>
    <col min="3841" max="3849" width="9.625" style="56" customWidth="1"/>
    <col min="3850" max="3850" width="35.75" style="56" customWidth="1"/>
    <col min="3851" max="3851" width="8.25" style="56" customWidth="1"/>
    <col min="3852" max="4096" width="9" style="56"/>
    <col min="4097" max="4105" width="9.625" style="56" customWidth="1"/>
    <col min="4106" max="4106" width="35.75" style="56" customWidth="1"/>
    <col min="4107" max="4107" width="8.25" style="56" customWidth="1"/>
    <col min="4108" max="4352" width="9" style="56"/>
    <col min="4353" max="4361" width="9.625" style="56" customWidth="1"/>
    <col min="4362" max="4362" width="35.75" style="56" customWidth="1"/>
    <col min="4363" max="4363" width="8.25" style="56" customWidth="1"/>
    <col min="4364" max="4608" width="9" style="56"/>
    <col min="4609" max="4617" width="9.625" style="56" customWidth="1"/>
    <col min="4618" max="4618" width="35.75" style="56" customWidth="1"/>
    <col min="4619" max="4619" width="8.25" style="56" customWidth="1"/>
    <col min="4620" max="4864" width="9" style="56"/>
    <col min="4865" max="4873" width="9.625" style="56" customWidth="1"/>
    <col min="4874" max="4874" width="35.75" style="56" customWidth="1"/>
    <col min="4875" max="4875" width="8.25" style="56" customWidth="1"/>
    <col min="4876" max="5120" width="9" style="56"/>
    <col min="5121" max="5129" width="9.625" style="56" customWidth="1"/>
    <col min="5130" max="5130" width="35.75" style="56" customWidth="1"/>
    <col min="5131" max="5131" width="8.25" style="56" customWidth="1"/>
    <col min="5132" max="5376" width="9" style="56"/>
    <col min="5377" max="5385" width="9.625" style="56" customWidth="1"/>
    <col min="5386" max="5386" width="35.75" style="56" customWidth="1"/>
    <col min="5387" max="5387" width="8.25" style="56" customWidth="1"/>
    <col min="5388" max="5632" width="9" style="56"/>
    <col min="5633" max="5641" width="9.625" style="56" customWidth="1"/>
    <col min="5642" max="5642" width="35.75" style="56" customWidth="1"/>
    <col min="5643" max="5643" width="8.25" style="56" customWidth="1"/>
    <col min="5644" max="5888" width="9" style="56"/>
    <col min="5889" max="5897" width="9.625" style="56" customWidth="1"/>
    <col min="5898" max="5898" width="35.75" style="56" customWidth="1"/>
    <col min="5899" max="5899" width="8.25" style="56" customWidth="1"/>
    <col min="5900" max="6144" width="9" style="56"/>
    <col min="6145" max="6153" width="9.625" style="56" customWidth="1"/>
    <col min="6154" max="6154" width="35.75" style="56" customWidth="1"/>
    <col min="6155" max="6155" width="8.25" style="56" customWidth="1"/>
    <col min="6156" max="6400" width="9" style="56"/>
    <col min="6401" max="6409" width="9.625" style="56" customWidth="1"/>
    <col min="6410" max="6410" width="35.75" style="56" customWidth="1"/>
    <col min="6411" max="6411" width="8.25" style="56" customWidth="1"/>
    <col min="6412" max="6656" width="9" style="56"/>
    <col min="6657" max="6665" width="9.625" style="56" customWidth="1"/>
    <col min="6666" max="6666" width="35.75" style="56" customWidth="1"/>
    <col min="6667" max="6667" width="8.25" style="56" customWidth="1"/>
    <col min="6668" max="6912" width="9" style="56"/>
    <col min="6913" max="6921" width="9.625" style="56" customWidth="1"/>
    <col min="6922" max="6922" width="35.75" style="56" customWidth="1"/>
    <col min="6923" max="6923" width="8.25" style="56" customWidth="1"/>
    <col min="6924" max="7168" width="9" style="56"/>
    <col min="7169" max="7177" width="9.625" style="56" customWidth="1"/>
    <col min="7178" max="7178" width="35.75" style="56" customWidth="1"/>
    <col min="7179" max="7179" width="8.25" style="56" customWidth="1"/>
    <col min="7180" max="7424" width="9" style="56"/>
    <col min="7425" max="7433" width="9.625" style="56" customWidth="1"/>
    <col min="7434" max="7434" width="35.75" style="56" customWidth="1"/>
    <col min="7435" max="7435" width="8.25" style="56" customWidth="1"/>
    <col min="7436" max="7680" width="9" style="56"/>
    <col min="7681" max="7689" width="9.625" style="56" customWidth="1"/>
    <col min="7690" max="7690" width="35.75" style="56" customWidth="1"/>
    <col min="7691" max="7691" width="8.25" style="56" customWidth="1"/>
    <col min="7692" max="7936" width="9" style="56"/>
    <col min="7937" max="7945" width="9.625" style="56" customWidth="1"/>
    <col min="7946" max="7946" width="35.75" style="56" customWidth="1"/>
    <col min="7947" max="7947" width="8.25" style="56" customWidth="1"/>
    <col min="7948" max="8192" width="9" style="56"/>
    <col min="8193" max="8201" width="9.625" style="56" customWidth="1"/>
    <col min="8202" max="8202" width="35.75" style="56" customWidth="1"/>
    <col min="8203" max="8203" width="8.25" style="56" customWidth="1"/>
    <col min="8204" max="8448" width="9" style="56"/>
    <col min="8449" max="8457" width="9.625" style="56" customWidth="1"/>
    <col min="8458" max="8458" width="35.75" style="56" customWidth="1"/>
    <col min="8459" max="8459" width="8.25" style="56" customWidth="1"/>
    <col min="8460" max="8704" width="9" style="56"/>
    <col min="8705" max="8713" width="9.625" style="56" customWidth="1"/>
    <col min="8714" max="8714" width="35.75" style="56" customWidth="1"/>
    <col min="8715" max="8715" width="8.25" style="56" customWidth="1"/>
    <col min="8716" max="8960" width="9" style="56"/>
    <col min="8961" max="8969" width="9.625" style="56" customWidth="1"/>
    <col min="8970" max="8970" width="35.75" style="56" customWidth="1"/>
    <col min="8971" max="8971" width="8.25" style="56" customWidth="1"/>
    <col min="8972" max="9216" width="9" style="56"/>
    <col min="9217" max="9225" width="9.625" style="56" customWidth="1"/>
    <col min="9226" max="9226" width="35.75" style="56" customWidth="1"/>
    <col min="9227" max="9227" width="8.25" style="56" customWidth="1"/>
    <col min="9228" max="9472" width="9" style="56"/>
    <col min="9473" max="9481" width="9.625" style="56" customWidth="1"/>
    <col min="9482" max="9482" width="35.75" style="56" customWidth="1"/>
    <col min="9483" max="9483" width="8.25" style="56" customWidth="1"/>
    <col min="9484" max="9728" width="9" style="56"/>
    <col min="9729" max="9737" width="9.625" style="56" customWidth="1"/>
    <col min="9738" max="9738" width="35.75" style="56" customWidth="1"/>
    <col min="9739" max="9739" width="8.25" style="56" customWidth="1"/>
    <col min="9740" max="9984" width="9" style="56"/>
    <col min="9985" max="9993" width="9.625" style="56" customWidth="1"/>
    <col min="9994" max="9994" width="35.75" style="56" customWidth="1"/>
    <col min="9995" max="9995" width="8.25" style="56" customWidth="1"/>
    <col min="9996" max="10240" width="9" style="56"/>
    <col min="10241" max="10249" width="9.625" style="56" customWidth="1"/>
    <col min="10250" max="10250" width="35.75" style="56" customWidth="1"/>
    <col min="10251" max="10251" width="8.25" style="56" customWidth="1"/>
    <col min="10252" max="10496" width="9" style="56"/>
    <col min="10497" max="10505" width="9.625" style="56" customWidth="1"/>
    <col min="10506" max="10506" width="35.75" style="56" customWidth="1"/>
    <col min="10507" max="10507" width="8.25" style="56" customWidth="1"/>
    <col min="10508" max="10752" width="9" style="56"/>
    <col min="10753" max="10761" width="9.625" style="56" customWidth="1"/>
    <col min="10762" max="10762" width="35.75" style="56" customWidth="1"/>
    <col min="10763" max="10763" width="8.25" style="56" customWidth="1"/>
    <col min="10764" max="11008" width="9" style="56"/>
    <col min="11009" max="11017" width="9.625" style="56" customWidth="1"/>
    <col min="11018" max="11018" width="35.75" style="56" customWidth="1"/>
    <col min="11019" max="11019" width="8.25" style="56" customWidth="1"/>
    <col min="11020" max="11264" width="9" style="56"/>
    <col min="11265" max="11273" width="9.625" style="56" customWidth="1"/>
    <col min="11274" max="11274" width="35.75" style="56" customWidth="1"/>
    <col min="11275" max="11275" width="8.25" style="56" customWidth="1"/>
    <col min="11276" max="11520" width="9" style="56"/>
    <col min="11521" max="11529" width="9.625" style="56" customWidth="1"/>
    <col min="11530" max="11530" width="35.75" style="56" customWidth="1"/>
    <col min="11531" max="11531" width="8.25" style="56" customWidth="1"/>
    <col min="11532" max="11776" width="9" style="56"/>
    <col min="11777" max="11785" width="9.625" style="56" customWidth="1"/>
    <col min="11786" max="11786" width="35.75" style="56" customWidth="1"/>
    <col min="11787" max="11787" width="8.25" style="56" customWidth="1"/>
    <col min="11788" max="12032" width="9" style="56"/>
    <col min="12033" max="12041" width="9.625" style="56" customWidth="1"/>
    <col min="12042" max="12042" width="35.75" style="56" customWidth="1"/>
    <col min="12043" max="12043" width="8.25" style="56" customWidth="1"/>
    <col min="12044" max="12288" width="9" style="56"/>
    <col min="12289" max="12297" width="9.625" style="56" customWidth="1"/>
    <col min="12298" max="12298" width="35.75" style="56" customWidth="1"/>
    <col min="12299" max="12299" width="8.25" style="56" customWidth="1"/>
    <col min="12300" max="12544" width="9" style="56"/>
    <col min="12545" max="12553" width="9.625" style="56" customWidth="1"/>
    <col min="12554" max="12554" width="35.75" style="56" customWidth="1"/>
    <col min="12555" max="12555" width="8.25" style="56" customWidth="1"/>
    <col min="12556" max="12800" width="9" style="56"/>
    <col min="12801" max="12809" width="9.625" style="56" customWidth="1"/>
    <col min="12810" max="12810" width="35.75" style="56" customWidth="1"/>
    <col min="12811" max="12811" width="8.25" style="56" customWidth="1"/>
    <col min="12812" max="13056" width="9" style="56"/>
    <col min="13057" max="13065" width="9.625" style="56" customWidth="1"/>
    <col min="13066" max="13066" width="35.75" style="56" customWidth="1"/>
    <col min="13067" max="13067" width="8.25" style="56" customWidth="1"/>
    <col min="13068" max="13312" width="9" style="56"/>
    <col min="13313" max="13321" width="9.625" style="56" customWidth="1"/>
    <col min="13322" max="13322" width="35.75" style="56" customWidth="1"/>
    <col min="13323" max="13323" width="8.25" style="56" customWidth="1"/>
    <col min="13324" max="13568" width="9" style="56"/>
    <col min="13569" max="13577" width="9.625" style="56" customWidth="1"/>
    <col min="13578" max="13578" width="35.75" style="56" customWidth="1"/>
    <col min="13579" max="13579" width="8.25" style="56" customWidth="1"/>
    <col min="13580" max="13824" width="9" style="56"/>
    <col min="13825" max="13833" width="9.625" style="56" customWidth="1"/>
    <col min="13834" max="13834" width="35.75" style="56" customWidth="1"/>
    <col min="13835" max="13835" width="8.25" style="56" customWidth="1"/>
    <col min="13836" max="14080" width="9" style="56"/>
    <col min="14081" max="14089" width="9.625" style="56" customWidth="1"/>
    <col min="14090" max="14090" width="35.75" style="56" customWidth="1"/>
    <col min="14091" max="14091" width="8.25" style="56" customWidth="1"/>
    <col min="14092" max="14336" width="9" style="56"/>
    <col min="14337" max="14345" width="9.625" style="56" customWidth="1"/>
    <col min="14346" max="14346" width="35.75" style="56" customWidth="1"/>
    <col min="14347" max="14347" width="8.25" style="56" customWidth="1"/>
    <col min="14348" max="14592" width="9" style="56"/>
    <col min="14593" max="14601" width="9.625" style="56" customWidth="1"/>
    <col min="14602" max="14602" width="35.75" style="56" customWidth="1"/>
    <col min="14603" max="14603" width="8.25" style="56" customWidth="1"/>
    <col min="14604" max="14848" width="9" style="56"/>
    <col min="14849" max="14857" width="9.625" style="56" customWidth="1"/>
    <col min="14858" max="14858" width="35.75" style="56" customWidth="1"/>
    <col min="14859" max="14859" width="8.25" style="56" customWidth="1"/>
    <col min="14860" max="15104" width="9" style="56"/>
    <col min="15105" max="15113" width="9.625" style="56" customWidth="1"/>
    <col min="15114" max="15114" width="35.75" style="56" customWidth="1"/>
    <col min="15115" max="15115" width="8.25" style="56" customWidth="1"/>
    <col min="15116" max="15360" width="9" style="56"/>
    <col min="15361" max="15369" width="9.625" style="56" customWidth="1"/>
    <col min="15370" max="15370" width="35.75" style="56" customWidth="1"/>
    <col min="15371" max="15371" width="8.25" style="56" customWidth="1"/>
    <col min="15372" max="15616" width="9" style="56"/>
    <col min="15617" max="15625" width="9.625" style="56" customWidth="1"/>
    <col min="15626" max="15626" width="35.75" style="56" customWidth="1"/>
    <col min="15627" max="15627" width="8.25" style="56" customWidth="1"/>
    <col min="15628" max="15872" width="9" style="56"/>
    <col min="15873" max="15881" width="9.625" style="56" customWidth="1"/>
    <col min="15882" max="15882" width="35.75" style="56" customWidth="1"/>
    <col min="15883" max="15883" width="8.25" style="56" customWidth="1"/>
    <col min="15884" max="16128" width="9" style="56"/>
    <col min="16129" max="16137" width="9.625" style="56" customWidth="1"/>
    <col min="16138" max="16138" width="35.75" style="56" customWidth="1"/>
    <col min="16139" max="16139" width="8.25" style="56" customWidth="1"/>
    <col min="16140" max="16384" width="9" style="56"/>
  </cols>
  <sheetData>
    <row r="1" spans="1:12" ht="20.100000000000001" customHeight="1" x14ac:dyDescent="0.2">
      <c r="A1" s="192" t="s">
        <v>544</v>
      </c>
      <c r="B1" s="192"/>
      <c r="C1" s="192"/>
      <c r="D1" s="192"/>
      <c r="E1" s="192"/>
      <c r="F1" s="192"/>
      <c r="G1" s="192"/>
      <c r="H1" s="192"/>
      <c r="I1" s="192"/>
      <c r="J1" s="192"/>
      <c r="K1" s="55"/>
    </row>
    <row r="2" spans="1:12" ht="20.100000000000001" customHeight="1" thickBot="1" x14ac:dyDescent="0.25">
      <c r="A2" s="193" t="s">
        <v>545</v>
      </c>
      <c r="B2" s="193"/>
      <c r="C2" s="193"/>
      <c r="D2" s="193"/>
      <c r="E2" s="193"/>
      <c r="F2" s="193"/>
      <c r="G2" s="193"/>
      <c r="H2" s="193"/>
      <c r="I2" s="193"/>
      <c r="J2" s="193"/>
      <c r="K2" s="55"/>
    </row>
    <row r="3" spans="1:12" ht="13.5" thickBot="1" x14ac:dyDescent="0.25">
      <c r="A3" s="187" t="s">
        <v>5</v>
      </c>
      <c r="B3" s="187"/>
      <c r="C3" s="187"/>
      <c r="D3" s="187" t="s">
        <v>162</v>
      </c>
      <c r="E3" s="187"/>
      <c r="F3" s="187"/>
      <c r="G3" s="187" t="s">
        <v>163</v>
      </c>
      <c r="H3" s="187"/>
      <c r="I3" s="187"/>
      <c r="J3" s="94"/>
      <c r="K3" s="55"/>
    </row>
    <row r="4" spans="1:12" ht="13.5" thickBot="1" x14ac:dyDescent="0.25">
      <c r="A4" s="89" t="s">
        <v>216</v>
      </c>
      <c r="B4" s="89" t="s">
        <v>11</v>
      </c>
      <c r="C4" s="89" t="s">
        <v>10</v>
      </c>
      <c r="D4" s="89" t="s">
        <v>216</v>
      </c>
      <c r="E4" s="89" t="s">
        <v>11</v>
      </c>
      <c r="F4" s="89" t="s">
        <v>10</v>
      </c>
      <c r="G4" s="89" t="s">
        <v>216</v>
      </c>
      <c r="H4" s="89" t="s">
        <v>11</v>
      </c>
      <c r="I4" s="89" t="s">
        <v>10</v>
      </c>
      <c r="J4" s="96" t="s">
        <v>72</v>
      </c>
      <c r="K4" s="55"/>
    </row>
    <row r="5" spans="1:12" ht="13.5" thickBot="1" x14ac:dyDescent="0.25">
      <c r="A5" s="90">
        <f>SUM(B5:C5)</f>
        <v>2396</v>
      </c>
      <c r="B5" s="90">
        <f>H5+E5</f>
        <v>652</v>
      </c>
      <c r="C5" s="90">
        <f>I5+F5</f>
        <v>1744</v>
      </c>
      <c r="D5" s="90">
        <f>SUM(E5:F5)</f>
        <v>380</v>
      </c>
      <c r="E5" s="90">
        <v>82</v>
      </c>
      <c r="F5" s="90">
        <v>298</v>
      </c>
      <c r="G5" s="90">
        <f>SUM(H5:I5)</f>
        <v>2016</v>
      </c>
      <c r="H5" s="90">
        <v>570</v>
      </c>
      <c r="I5" s="90">
        <v>1446</v>
      </c>
      <c r="J5" s="99" t="s">
        <v>74</v>
      </c>
    </row>
    <row r="6" spans="1:12" ht="13.5" thickBot="1" x14ac:dyDescent="0.25">
      <c r="A6" s="90">
        <f t="shared" ref="A6:A29" si="0">SUM(B6:C6)</f>
        <v>621</v>
      </c>
      <c r="B6" s="90">
        <f t="shared" ref="B6:C29" si="1">H6+E6</f>
        <v>0</v>
      </c>
      <c r="C6" s="90">
        <f t="shared" si="1"/>
        <v>621</v>
      </c>
      <c r="D6" s="90">
        <f>SUM(E6:F6)</f>
        <v>621</v>
      </c>
      <c r="E6" s="90">
        <v>0</v>
      </c>
      <c r="F6" s="90">
        <v>621</v>
      </c>
      <c r="G6" s="90">
        <f t="shared" ref="G6:G29" si="2">SUM(H6:I6)</f>
        <v>0</v>
      </c>
      <c r="H6" s="90">
        <v>0</v>
      </c>
      <c r="I6" s="90">
        <v>0</v>
      </c>
      <c r="J6" s="99" t="s">
        <v>164</v>
      </c>
      <c r="K6" s="55"/>
      <c r="L6" s="55"/>
    </row>
    <row r="7" spans="1:12" ht="13.5" thickBot="1" x14ac:dyDescent="0.25">
      <c r="A7" s="90">
        <f t="shared" si="0"/>
        <v>662</v>
      </c>
      <c r="B7" s="90">
        <f t="shared" si="1"/>
        <v>1</v>
      </c>
      <c r="C7" s="90">
        <f t="shared" si="1"/>
        <v>661</v>
      </c>
      <c r="D7" s="90">
        <f t="shared" ref="D7:D29" si="3">SUM(E7:F7)</f>
        <v>167</v>
      </c>
      <c r="E7" s="90">
        <v>0</v>
      </c>
      <c r="F7" s="90">
        <v>167</v>
      </c>
      <c r="G7" s="90">
        <f t="shared" si="2"/>
        <v>495</v>
      </c>
      <c r="H7" s="90">
        <v>1</v>
      </c>
      <c r="I7" s="90">
        <v>494</v>
      </c>
      <c r="J7" s="99" t="s">
        <v>76</v>
      </c>
      <c r="K7" s="55"/>
    </row>
    <row r="8" spans="1:12" ht="13.5" thickBot="1" x14ac:dyDescent="0.25">
      <c r="A8" s="90">
        <f t="shared" si="0"/>
        <v>11899</v>
      </c>
      <c r="B8" s="90">
        <f t="shared" si="1"/>
        <v>4427</v>
      </c>
      <c r="C8" s="90">
        <f t="shared" si="1"/>
        <v>7472</v>
      </c>
      <c r="D8" s="90">
        <f t="shared" si="3"/>
        <v>701</v>
      </c>
      <c r="E8" s="90">
        <v>326</v>
      </c>
      <c r="F8" s="90">
        <v>375</v>
      </c>
      <c r="G8" s="90">
        <f t="shared" si="2"/>
        <v>11198</v>
      </c>
      <c r="H8" s="90">
        <v>4101</v>
      </c>
      <c r="I8" s="90">
        <v>7097</v>
      </c>
      <c r="J8" s="99" t="s">
        <v>78</v>
      </c>
      <c r="K8" s="55"/>
    </row>
    <row r="9" spans="1:12" ht="13.5" thickBot="1" x14ac:dyDescent="0.25">
      <c r="A9" s="90">
        <f t="shared" si="0"/>
        <v>2171</v>
      </c>
      <c r="B9" s="90">
        <f t="shared" si="1"/>
        <v>416</v>
      </c>
      <c r="C9" s="90">
        <f t="shared" si="1"/>
        <v>1755</v>
      </c>
      <c r="D9" s="90">
        <f t="shared" si="3"/>
        <v>31</v>
      </c>
      <c r="E9" s="90">
        <v>4</v>
      </c>
      <c r="F9" s="90">
        <v>27</v>
      </c>
      <c r="G9" s="90">
        <f t="shared" si="2"/>
        <v>2140</v>
      </c>
      <c r="H9" s="90">
        <v>412</v>
      </c>
      <c r="I9" s="90">
        <v>1728</v>
      </c>
      <c r="J9" s="99" t="s">
        <v>79</v>
      </c>
      <c r="K9" s="55"/>
    </row>
    <row r="10" spans="1:12" ht="13.5" thickBot="1" x14ac:dyDescent="0.25">
      <c r="A10" s="90">
        <f t="shared" si="0"/>
        <v>1411</v>
      </c>
      <c r="B10" s="90">
        <f t="shared" si="1"/>
        <v>0</v>
      </c>
      <c r="C10" s="90">
        <f t="shared" si="1"/>
        <v>1411</v>
      </c>
      <c r="D10" s="90">
        <f>SUM(E10:F10)</f>
        <v>54</v>
      </c>
      <c r="E10" s="90">
        <v>0</v>
      </c>
      <c r="F10" s="90">
        <v>54</v>
      </c>
      <c r="G10" s="90">
        <f t="shared" si="2"/>
        <v>1357</v>
      </c>
      <c r="H10" s="90">
        <v>0</v>
      </c>
      <c r="I10" s="90">
        <v>1357</v>
      </c>
      <c r="J10" s="99" t="s">
        <v>98</v>
      </c>
      <c r="K10" s="55"/>
    </row>
    <row r="11" spans="1:12" ht="13.5" thickBot="1" x14ac:dyDescent="0.25">
      <c r="A11" s="90">
        <f t="shared" si="0"/>
        <v>5568</v>
      </c>
      <c r="B11" s="90">
        <f t="shared" si="1"/>
        <v>4186</v>
      </c>
      <c r="C11" s="90">
        <f t="shared" si="1"/>
        <v>1382</v>
      </c>
      <c r="D11" s="90">
        <f t="shared" si="3"/>
        <v>35</v>
      </c>
      <c r="E11" s="90">
        <v>24</v>
      </c>
      <c r="F11" s="90">
        <v>11</v>
      </c>
      <c r="G11" s="90">
        <f t="shared" si="2"/>
        <v>5533</v>
      </c>
      <c r="H11" s="90">
        <v>4162</v>
      </c>
      <c r="I11" s="90">
        <v>1371</v>
      </c>
      <c r="J11" s="99" t="s">
        <v>80</v>
      </c>
      <c r="K11" s="55"/>
    </row>
    <row r="12" spans="1:12" ht="13.5" thickBot="1" x14ac:dyDescent="0.25">
      <c r="A12" s="90">
        <f t="shared" si="0"/>
        <v>3792</v>
      </c>
      <c r="B12" s="90">
        <f t="shared" si="1"/>
        <v>2330</v>
      </c>
      <c r="C12" s="90">
        <f t="shared" si="1"/>
        <v>1462</v>
      </c>
      <c r="D12" s="90">
        <f t="shared" si="3"/>
        <v>3</v>
      </c>
      <c r="E12" s="90">
        <v>0</v>
      </c>
      <c r="F12" s="90">
        <v>3</v>
      </c>
      <c r="G12" s="90">
        <f t="shared" si="2"/>
        <v>3789</v>
      </c>
      <c r="H12" s="90">
        <v>2330</v>
      </c>
      <c r="I12" s="90">
        <v>1459</v>
      </c>
      <c r="J12" s="99" t="s">
        <v>81</v>
      </c>
      <c r="K12" s="55"/>
    </row>
    <row r="13" spans="1:12" ht="13.5" thickBot="1" x14ac:dyDescent="0.25">
      <c r="A13" s="90">
        <f t="shared" si="0"/>
        <v>1109</v>
      </c>
      <c r="B13" s="90">
        <f t="shared" si="1"/>
        <v>156</v>
      </c>
      <c r="C13" s="90">
        <f t="shared" si="1"/>
        <v>953</v>
      </c>
      <c r="D13" s="90">
        <f t="shared" si="3"/>
        <v>0</v>
      </c>
      <c r="E13" s="90">
        <v>0</v>
      </c>
      <c r="F13" s="90">
        <v>0</v>
      </c>
      <c r="G13" s="90">
        <f t="shared" si="2"/>
        <v>1109</v>
      </c>
      <c r="H13" s="90">
        <v>156</v>
      </c>
      <c r="I13" s="90">
        <v>953</v>
      </c>
      <c r="J13" s="99" t="s">
        <v>108</v>
      </c>
      <c r="K13" s="55"/>
    </row>
    <row r="14" spans="1:12" ht="13.5" thickBot="1" x14ac:dyDescent="0.25">
      <c r="A14" s="90">
        <f t="shared" si="0"/>
        <v>2713</v>
      </c>
      <c r="B14" s="90">
        <f t="shared" si="1"/>
        <v>1722</v>
      </c>
      <c r="C14" s="90">
        <f t="shared" si="1"/>
        <v>991</v>
      </c>
      <c r="D14" s="90">
        <f t="shared" si="3"/>
        <v>34</v>
      </c>
      <c r="E14" s="90">
        <v>23</v>
      </c>
      <c r="F14" s="90">
        <v>11</v>
      </c>
      <c r="G14" s="90">
        <f t="shared" si="2"/>
        <v>2679</v>
      </c>
      <c r="H14" s="90">
        <v>1699</v>
      </c>
      <c r="I14" s="90">
        <v>980</v>
      </c>
      <c r="J14" s="99" t="s">
        <v>82</v>
      </c>
      <c r="K14" s="55"/>
    </row>
    <row r="15" spans="1:12" ht="13.5" thickBot="1" x14ac:dyDescent="0.25">
      <c r="A15" s="90">
        <f t="shared" si="0"/>
        <v>1466</v>
      </c>
      <c r="B15" s="90">
        <f t="shared" si="1"/>
        <v>789</v>
      </c>
      <c r="C15" s="90">
        <f t="shared" si="1"/>
        <v>677</v>
      </c>
      <c r="D15" s="90">
        <f t="shared" si="3"/>
        <v>0</v>
      </c>
      <c r="E15" s="90">
        <v>0</v>
      </c>
      <c r="F15" s="90">
        <v>0</v>
      </c>
      <c r="G15" s="90">
        <f t="shared" si="2"/>
        <v>1466</v>
      </c>
      <c r="H15" s="90">
        <v>789</v>
      </c>
      <c r="I15" s="90">
        <v>677</v>
      </c>
      <c r="J15" s="99" t="s">
        <v>83</v>
      </c>
      <c r="K15" s="55"/>
    </row>
    <row r="16" spans="1:12" ht="13.5" thickBot="1" x14ac:dyDescent="0.25">
      <c r="A16" s="90">
        <f t="shared" si="0"/>
        <v>102</v>
      </c>
      <c r="B16" s="90">
        <f t="shared" si="1"/>
        <v>0</v>
      </c>
      <c r="C16" s="90">
        <f t="shared" si="1"/>
        <v>102</v>
      </c>
      <c r="D16" s="90">
        <f t="shared" si="3"/>
        <v>0</v>
      </c>
      <c r="E16" s="90">
        <v>0</v>
      </c>
      <c r="F16" s="90">
        <v>0</v>
      </c>
      <c r="G16" s="90">
        <f t="shared" si="2"/>
        <v>102</v>
      </c>
      <c r="H16" s="90">
        <v>0</v>
      </c>
      <c r="I16" s="90">
        <v>102</v>
      </c>
      <c r="J16" s="99" t="s">
        <v>165</v>
      </c>
      <c r="K16" s="55"/>
    </row>
    <row r="17" spans="1:11" ht="13.5" thickBot="1" x14ac:dyDescent="0.25">
      <c r="A17" s="90">
        <f t="shared" si="0"/>
        <v>2611</v>
      </c>
      <c r="B17" s="90">
        <f t="shared" si="1"/>
        <v>1157</v>
      </c>
      <c r="C17" s="90">
        <f t="shared" si="1"/>
        <v>1454</v>
      </c>
      <c r="D17" s="90">
        <f t="shared" si="3"/>
        <v>0</v>
      </c>
      <c r="E17" s="90">
        <v>0</v>
      </c>
      <c r="F17" s="90">
        <v>0</v>
      </c>
      <c r="G17" s="90">
        <f t="shared" si="2"/>
        <v>2611</v>
      </c>
      <c r="H17" s="90">
        <v>1157</v>
      </c>
      <c r="I17" s="90">
        <v>1454</v>
      </c>
      <c r="J17" s="99" t="s">
        <v>115</v>
      </c>
      <c r="K17" s="55"/>
    </row>
    <row r="18" spans="1:11" ht="13.5" thickBot="1" x14ac:dyDescent="0.25">
      <c r="A18" s="90">
        <f t="shared" si="0"/>
        <v>1403</v>
      </c>
      <c r="B18" s="90">
        <f t="shared" si="1"/>
        <v>885</v>
      </c>
      <c r="C18" s="90">
        <f t="shared" si="1"/>
        <v>518</v>
      </c>
      <c r="D18" s="90">
        <f t="shared" si="3"/>
        <v>0</v>
      </c>
      <c r="E18" s="90">
        <v>0</v>
      </c>
      <c r="F18" s="90">
        <v>0</v>
      </c>
      <c r="G18" s="90">
        <f t="shared" si="2"/>
        <v>1403</v>
      </c>
      <c r="H18" s="90">
        <v>885</v>
      </c>
      <c r="I18" s="90">
        <v>518</v>
      </c>
      <c r="J18" s="99" t="s">
        <v>118</v>
      </c>
      <c r="K18" s="55"/>
    </row>
    <row r="19" spans="1:11" ht="13.5" thickBot="1" x14ac:dyDescent="0.25">
      <c r="A19" s="90">
        <f t="shared" si="0"/>
        <v>4256</v>
      </c>
      <c r="B19" s="90">
        <f t="shared" si="1"/>
        <v>780</v>
      </c>
      <c r="C19" s="90">
        <f t="shared" si="1"/>
        <v>3476</v>
      </c>
      <c r="D19" s="90">
        <f t="shared" si="3"/>
        <v>0</v>
      </c>
      <c r="E19" s="90">
        <v>0</v>
      </c>
      <c r="F19" s="90">
        <v>0</v>
      </c>
      <c r="G19" s="90">
        <f t="shared" si="2"/>
        <v>4256</v>
      </c>
      <c r="H19" s="90">
        <v>780</v>
      </c>
      <c r="I19" s="90">
        <v>3476</v>
      </c>
      <c r="J19" s="99" t="s">
        <v>120</v>
      </c>
      <c r="K19" s="55"/>
    </row>
    <row r="20" spans="1:11" ht="13.5" thickBot="1" x14ac:dyDescent="0.25">
      <c r="A20" s="90">
        <f t="shared" si="0"/>
        <v>1919</v>
      </c>
      <c r="B20" s="90">
        <f t="shared" si="1"/>
        <v>1252</v>
      </c>
      <c r="C20" s="90">
        <f t="shared" si="1"/>
        <v>667</v>
      </c>
      <c r="D20" s="90">
        <f t="shared" si="3"/>
        <v>0</v>
      </c>
      <c r="E20" s="90">
        <v>0</v>
      </c>
      <c r="F20" s="90">
        <v>0</v>
      </c>
      <c r="G20" s="90">
        <f t="shared" si="2"/>
        <v>1919</v>
      </c>
      <c r="H20" s="90">
        <v>1252</v>
      </c>
      <c r="I20" s="90">
        <v>667</v>
      </c>
      <c r="J20" s="99" t="s">
        <v>124</v>
      </c>
      <c r="K20" s="55"/>
    </row>
    <row r="21" spans="1:11" ht="13.5" thickBot="1" x14ac:dyDescent="0.25">
      <c r="A21" s="90">
        <f t="shared" si="0"/>
        <v>734</v>
      </c>
      <c r="B21" s="90">
        <f t="shared" si="1"/>
        <v>67</v>
      </c>
      <c r="C21" s="90">
        <f t="shared" si="1"/>
        <v>667</v>
      </c>
      <c r="D21" s="90">
        <f t="shared" si="3"/>
        <v>0</v>
      </c>
      <c r="E21" s="90">
        <v>0</v>
      </c>
      <c r="F21" s="90">
        <v>0</v>
      </c>
      <c r="G21" s="90">
        <f t="shared" si="2"/>
        <v>734</v>
      </c>
      <c r="H21" s="90">
        <v>67</v>
      </c>
      <c r="I21" s="90">
        <v>667</v>
      </c>
      <c r="J21" s="99" t="s">
        <v>126</v>
      </c>
      <c r="K21" s="55"/>
    </row>
    <row r="22" spans="1:11" ht="13.5" thickBot="1" x14ac:dyDescent="0.25">
      <c r="A22" s="90">
        <f t="shared" si="0"/>
        <v>1475</v>
      </c>
      <c r="B22" s="90">
        <f t="shared" si="1"/>
        <v>796</v>
      </c>
      <c r="C22" s="90">
        <f t="shared" si="1"/>
        <v>679</v>
      </c>
      <c r="D22" s="90">
        <f t="shared" si="3"/>
        <v>5</v>
      </c>
      <c r="E22" s="90">
        <v>1</v>
      </c>
      <c r="F22" s="90">
        <v>4</v>
      </c>
      <c r="G22" s="90">
        <f t="shared" si="2"/>
        <v>1470</v>
      </c>
      <c r="H22" s="90">
        <v>795</v>
      </c>
      <c r="I22" s="90">
        <v>675</v>
      </c>
      <c r="J22" s="99" t="s">
        <v>129</v>
      </c>
      <c r="K22" s="55"/>
    </row>
    <row r="23" spans="1:11" ht="13.5" thickBot="1" x14ac:dyDescent="0.25">
      <c r="A23" s="90">
        <f t="shared" si="0"/>
        <v>1971</v>
      </c>
      <c r="B23" s="90">
        <f t="shared" si="1"/>
        <v>1971</v>
      </c>
      <c r="C23" s="90">
        <f t="shared" si="1"/>
        <v>0</v>
      </c>
      <c r="D23" s="90">
        <f t="shared" si="3"/>
        <v>0</v>
      </c>
      <c r="E23" s="90">
        <v>0</v>
      </c>
      <c r="F23" s="90">
        <v>0</v>
      </c>
      <c r="G23" s="90">
        <f t="shared" si="2"/>
        <v>1971</v>
      </c>
      <c r="H23" s="90">
        <v>1971</v>
      </c>
      <c r="I23" s="90">
        <v>0</v>
      </c>
      <c r="J23" s="99" t="s">
        <v>131</v>
      </c>
      <c r="K23" s="55"/>
    </row>
    <row r="24" spans="1:11" ht="13.5" thickBot="1" x14ac:dyDescent="0.25">
      <c r="A24" s="90">
        <f t="shared" si="0"/>
        <v>464</v>
      </c>
      <c r="B24" s="90">
        <f t="shared" si="1"/>
        <v>279</v>
      </c>
      <c r="C24" s="90">
        <f t="shared" si="1"/>
        <v>185</v>
      </c>
      <c r="D24" s="90">
        <f t="shared" si="3"/>
        <v>0</v>
      </c>
      <c r="E24" s="90">
        <v>0</v>
      </c>
      <c r="F24" s="90">
        <v>0</v>
      </c>
      <c r="G24" s="90">
        <f t="shared" si="2"/>
        <v>464</v>
      </c>
      <c r="H24" s="90">
        <v>279</v>
      </c>
      <c r="I24" s="90">
        <v>185</v>
      </c>
      <c r="J24" s="99" t="s">
        <v>133</v>
      </c>
      <c r="K24" s="55"/>
    </row>
    <row r="25" spans="1:11" ht="13.5" thickBot="1" x14ac:dyDescent="0.25">
      <c r="A25" s="90">
        <f t="shared" si="0"/>
        <v>63537</v>
      </c>
      <c r="B25" s="90">
        <f t="shared" si="1"/>
        <v>3031</v>
      </c>
      <c r="C25" s="90">
        <f t="shared" si="1"/>
        <v>60506</v>
      </c>
      <c r="D25" s="90">
        <f t="shared" si="3"/>
        <v>800</v>
      </c>
      <c r="E25" s="90">
        <v>4</v>
      </c>
      <c r="F25" s="90">
        <v>796</v>
      </c>
      <c r="G25" s="90">
        <f t="shared" si="2"/>
        <v>62737</v>
      </c>
      <c r="H25" s="90">
        <v>3027</v>
      </c>
      <c r="I25" s="90">
        <v>59710</v>
      </c>
      <c r="J25" s="99" t="s">
        <v>168</v>
      </c>
      <c r="K25" s="55"/>
    </row>
    <row r="26" spans="1:11" ht="13.5" thickBot="1" x14ac:dyDescent="0.25">
      <c r="A26" s="90">
        <f t="shared" si="0"/>
        <v>203</v>
      </c>
      <c r="B26" s="90">
        <f t="shared" si="1"/>
        <v>93</v>
      </c>
      <c r="C26" s="90">
        <f t="shared" si="1"/>
        <v>110</v>
      </c>
      <c r="D26" s="90">
        <f t="shared" si="3"/>
        <v>0</v>
      </c>
      <c r="E26" s="90">
        <v>0</v>
      </c>
      <c r="F26" s="90">
        <v>0</v>
      </c>
      <c r="G26" s="90">
        <f t="shared" si="2"/>
        <v>203</v>
      </c>
      <c r="H26" s="90">
        <v>93</v>
      </c>
      <c r="I26" s="90">
        <v>110</v>
      </c>
      <c r="J26" s="99" t="s">
        <v>169</v>
      </c>
      <c r="K26" s="55"/>
    </row>
    <row r="27" spans="1:11" ht="13.5" thickBot="1" x14ac:dyDescent="0.25">
      <c r="A27" s="90">
        <f t="shared" si="0"/>
        <v>4752</v>
      </c>
      <c r="B27" s="90">
        <f t="shared" si="1"/>
        <v>0</v>
      </c>
      <c r="C27" s="90">
        <f t="shared" si="1"/>
        <v>4752</v>
      </c>
      <c r="D27" s="90">
        <f t="shared" si="3"/>
        <v>14</v>
      </c>
      <c r="E27" s="90">
        <v>0</v>
      </c>
      <c r="F27" s="90">
        <v>14</v>
      </c>
      <c r="G27" s="90">
        <f t="shared" si="2"/>
        <v>4738</v>
      </c>
      <c r="H27" s="90">
        <v>0</v>
      </c>
      <c r="I27" s="90">
        <v>4738</v>
      </c>
      <c r="J27" s="99" t="s">
        <v>170</v>
      </c>
      <c r="K27" s="55"/>
    </row>
    <row r="28" spans="1:11" ht="13.5" thickBot="1" x14ac:dyDescent="0.25">
      <c r="A28" s="90">
        <f t="shared" si="0"/>
        <v>2515</v>
      </c>
      <c r="B28" s="90">
        <f t="shared" si="1"/>
        <v>336</v>
      </c>
      <c r="C28" s="90">
        <f t="shared" si="1"/>
        <v>2179</v>
      </c>
      <c r="D28" s="90">
        <f t="shared" si="3"/>
        <v>0</v>
      </c>
      <c r="E28" s="90">
        <v>0</v>
      </c>
      <c r="F28" s="90">
        <v>0</v>
      </c>
      <c r="G28" s="90">
        <f t="shared" si="2"/>
        <v>2515</v>
      </c>
      <c r="H28" s="90">
        <v>336</v>
      </c>
      <c r="I28" s="90">
        <v>2179</v>
      </c>
      <c r="J28" s="99" t="s">
        <v>171</v>
      </c>
      <c r="K28" s="55"/>
    </row>
    <row r="29" spans="1:11" ht="13.5" thickBot="1" x14ac:dyDescent="0.25">
      <c r="A29" s="90">
        <f t="shared" si="0"/>
        <v>425</v>
      </c>
      <c r="B29" s="90">
        <f t="shared" si="1"/>
        <v>183</v>
      </c>
      <c r="C29" s="90">
        <f t="shared" si="1"/>
        <v>242</v>
      </c>
      <c r="D29" s="90">
        <f t="shared" si="3"/>
        <v>17</v>
      </c>
      <c r="E29" s="90">
        <v>15</v>
      </c>
      <c r="F29" s="90">
        <v>2</v>
      </c>
      <c r="G29" s="90">
        <f t="shared" si="2"/>
        <v>408</v>
      </c>
      <c r="H29" s="90">
        <v>168</v>
      </c>
      <c r="I29" s="90">
        <v>240</v>
      </c>
      <c r="J29" s="99" t="s">
        <v>173</v>
      </c>
      <c r="K29" s="55"/>
    </row>
    <row r="30" spans="1:11" ht="13.5" thickBot="1" x14ac:dyDescent="0.25">
      <c r="A30" s="90">
        <f t="shared" ref="A30:H30" si="4">SUM(A5:A29)</f>
        <v>120175</v>
      </c>
      <c r="B30" s="90">
        <f t="shared" si="4"/>
        <v>25509</v>
      </c>
      <c r="C30" s="90">
        <f t="shared" si="4"/>
        <v>94666</v>
      </c>
      <c r="D30" s="90">
        <f t="shared" si="4"/>
        <v>2862</v>
      </c>
      <c r="E30" s="90">
        <f t="shared" si="4"/>
        <v>479</v>
      </c>
      <c r="F30" s="90">
        <f t="shared" si="4"/>
        <v>2383</v>
      </c>
      <c r="G30" s="90">
        <f t="shared" si="4"/>
        <v>117313</v>
      </c>
      <c r="H30" s="90">
        <f t="shared" si="4"/>
        <v>25030</v>
      </c>
      <c r="I30" s="90">
        <f>SUM(I5:I29)</f>
        <v>92283</v>
      </c>
      <c r="J30" s="96" t="s">
        <v>211</v>
      </c>
      <c r="K30" s="55"/>
    </row>
    <row r="31" spans="1:11" x14ac:dyDescent="0.2">
      <c r="A31" s="100"/>
      <c r="B31" s="100"/>
      <c r="C31" s="100"/>
      <c r="D31" s="100"/>
      <c r="E31" s="100"/>
      <c r="F31" s="100"/>
      <c r="G31" s="100"/>
      <c r="H31" s="100"/>
      <c r="I31" s="100"/>
      <c r="J31" s="100"/>
    </row>
  </sheetData>
  <mergeCells count="5">
    <mergeCell ref="A1:J1"/>
    <mergeCell ref="A2:J2"/>
    <mergeCell ref="A3:C3"/>
    <mergeCell ref="D3:F3"/>
    <mergeCell ref="G3:I3"/>
  </mergeCells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32"/>
  <sheetViews>
    <sheetView showGridLines="0" topLeftCell="A4" zoomScaleNormal="100" zoomScaleSheetLayoutView="100" workbookViewId="0">
      <selection activeCell="M6" sqref="M6"/>
    </sheetView>
  </sheetViews>
  <sheetFormatPr defaultRowHeight="12.75" x14ac:dyDescent="0.2"/>
  <cols>
    <col min="1" max="9" width="9.625" style="56" customWidth="1"/>
    <col min="10" max="10" width="27.375" style="56" customWidth="1"/>
    <col min="11" max="11" width="11.25" style="56" customWidth="1"/>
    <col min="12" max="256" width="9" style="56"/>
    <col min="257" max="265" width="9.625" style="56" customWidth="1"/>
    <col min="266" max="266" width="27.375" style="56" customWidth="1"/>
    <col min="267" max="267" width="11.25" style="56" customWidth="1"/>
    <col min="268" max="512" width="9" style="56"/>
    <col min="513" max="521" width="9.625" style="56" customWidth="1"/>
    <col min="522" max="522" width="27.375" style="56" customWidth="1"/>
    <col min="523" max="523" width="11.25" style="56" customWidth="1"/>
    <col min="524" max="768" width="9" style="56"/>
    <col min="769" max="777" width="9.625" style="56" customWidth="1"/>
    <col min="778" max="778" width="27.375" style="56" customWidth="1"/>
    <col min="779" max="779" width="11.25" style="56" customWidth="1"/>
    <col min="780" max="1024" width="9" style="56"/>
    <col min="1025" max="1033" width="9.625" style="56" customWidth="1"/>
    <col min="1034" max="1034" width="27.375" style="56" customWidth="1"/>
    <col min="1035" max="1035" width="11.25" style="56" customWidth="1"/>
    <col min="1036" max="1280" width="9" style="56"/>
    <col min="1281" max="1289" width="9.625" style="56" customWidth="1"/>
    <col min="1290" max="1290" width="27.375" style="56" customWidth="1"/>
    <col min="1291" max="1291" width="11.25" style="56" customWidth="1"/>
    <col min="1292" max="1536" width="9" style="56"/>
    <col min="1537" max="1545" width="9.625" style="56" customWidth="1"/>
    <col min="1546" max="1546" width="27.375" style="56" customWidth="1"/>
    <col min="1547" max="1547" width="11.25" style="56" customWidth="1"/>
    <col min="1548" max="1792" width="9" style="56"/>
    <col min="1793" max="1801" width="9.625" style="56" customWidth="1"/>
    <col min="1802" max="1802" width="27.375" style="56" customWidth="1"/>
    <col min="1803" max="1803" width="11.25" style="56" customWidth="1"/>
    <col min="1804" max="2048" width="9" style="56"/>
    <col min="2049" max="2057" width="9.625" style="56" customWidth="1"/>
    <col min="2058" max="2058" width="27.375" style="56" customWidth="1"/>
    <col min="2059" max="2059" width="11.25" style="56" customWidth="1"/>
    <col min="2060" max="2304" width="9" style="56"/>
    <col min="2305" max="2313" width="9.625" style="56" customWidth="1"/>
    <col min="2314" max="2314" width="27.375" style="56" customWidth="1"/>
    <col min="2315" max="2315" width="11.25" style="56" customWidth="1"/>
    <col min="2316" max="2560" width="9" style="56"/>
    <col min="2561" max="2569" width="9.625" style="56" customWidth="1"/>
    <col min="2570" max="2570" width="27.375" style="56" customWidth="1"/>
    <col min="2571" max="2571" width="11.25" style="56" customWidth="1"/>
    <col min="2572" max="2816" width="9" style="56"/>
    <col min="2817" max="2825" width="9.625" style="56" customWidth="1"/>
    <col min="2826" max="2826" width="27.375" style="56" customWidth="1"/>
    <col min="2827" max="2827" width="11.25" style="56" customWidth="1"/>
    <col min="2828" max="3072" width="9" style="56"/>
    <col min="3073" max="3081" width="9.625" style="56" customWidth="1"/>
    <col min="3082" max="3082" width="27.375" style="56" customWidth="1"/>
    <col min="3083" max="3083" width="11.25" style="56" customWidth="1"/>
    <col min="3084" max="3328" width="9" style="56"/>
    <col min="3329" max="3337" width="9.625" style="56" customWidth="1"/>
    <col min="3338" max="3338" width="27.375" style="56" customWidth="1"/>
    <col min="3339" max="3339" width="11.25" style="56" customWidth="1"/>
    <col min="3340" max="3584" width="9" style="56"/>
    <col min="3585" max="3593" width="9.625" style="56" customWidth="1"/>
    <col min="3594" max="3594" width="27.375" style="56" customWidth="1"/>
    <col min="3595" max="3595" width="11.25" style="56" customWidth="1"/>
    <col min="3596" max="3840" width="9" style="56"/>
    <col min="3841" max="3849" width="9.625" style="56" customWidth="1"/>
    <col min="3850" max="3850" width="27.375" style="56" customWidth="1"/>
    <col min="3851" max="3851" width="11.25" style="56" customWidth="1"/>
    <col min="3852" max="4096" width="9" style="56"/>
    <col min="4097" max="4105" width="9.625" style="56" customWidth="1"/>
    <col min="4106" max="4106" width="27.375" style="56" customWidth="1"/>
    <col min="4107" max="4107" width="11.25" style="56" customWidth="1"/>
    <col min="4108" max="4352" width="9" style="56"/>
    <col min="4353" max="4361" width="9.625" style="56" customWidth="1"/>
    <col min="4362" max="4362" width="27.375" style="56" customWidth="1"/>
    <col min="4363" max="4363" width="11.25" style="56" customWidth="1"/>
    <col min="4364" max="4608" width="9" style="56"/>
    <col min="4609" max="4617" width="9.625" style="56" customWidth="1"/>
    <col min="4618" max="4618" width="27.375" style="56" customWidth="1"/>
    <col min="4619" max="4619" width="11.25" style="56" customWidth="1"/>
    <col min="4620" max="4864" width="9" style="56"/>
    <col min="4865" max="4873" width="9.625" style="56" customWidth="1"/>
    <col min="4874" max="4874" width="27.375" style="56" customWidth="1"/>
    <col min="4875" max="4875" width="11.25" style="56" customWidth="1"/>
    <col min="4876" max="5120" width="9" style="56"/>
    <col min="5121" max="5129" width="9.625" style="56" customWidth="1"/>
    <col min="5130" max="5130" width="27.375" style="56" customWidth="1"/>
    <col min="5131" max="5131" width="11.25" style="56" customWidth="1"/>
    <col min="5132" max="5376" width="9" style="56"/>
    <col min="5377" max="5385" width="9.625" style="56" customWidth="1"/>
    <col min="5386" max="5386" width="27.375" style="56" customWidth="1"/>
    <col min="5387" max="5387" width="11.25" style="56" customWidth="1"/>
    <col min="5388" max="5632" width="9" style="56"/>
    <col min="5633" max="5641" width="9.625" style="56" customWidth="1"/>
    <col min="5642" max="5642" width="27.375" style="56" customWidth="1"/>
    <col min="5643" max="5643" width="11.25" style="56" customWidth="1"/>
    <col min="5644" max="5888" width="9" style="56"/>
    <col min="5889" max="5897" width="9.625" style="56" customWidth="1"/>
    <col min="5898" max="5898" width="27.375" style="56" customWidth="1"/>
    <col min="5899" max="5899" width="11.25" style="56" customWidth="1"/>
    <col min="5900" max="6144" width="9" style="56"/>
    <col min="6145" max="6153" width="9.625" style="56" customWidth="1"/>
    <col min="6154" max="6154" width="27.375" style="56" customWidth="1"/>
    <col min="6155" max="6155" width="11.25" style="56" customWidth="1"/>
    <col min="6156" max="6400" width="9" style="56"/>
    <col min="6401" max="6409" width="9.625" style="56" customWidth="1"/>
    <col min="6410" max="6410" width="27.375" style="56" customWidth="1"/>
    <col min="6411" max="6411" width="11.25" style="56" customWidth="1"/>
    <col min="6412" max="6656" width="9" style="56"/>
    <col min="6657" max="6665" width="9.625" style="56" customWidth="1"/>
    <col min="6666" max="6666" width="27.375" style="56" customWidth="1"/>
    <col min="6667" max="6667" width="11.25" style="56" customWidth="1"/>
    <col min="6668" max="6912" width="9" style="56"/>
    <col min="6913" max="6921" width="9.625" style="56" customWidth="1"/>
    <col min="6922" max="6922" width="27.375" style="56" customWidth="1"/>
    <col min="6923" max="6923" width="11.25" style="56" customWidth="1"/>
    <col min="6924" max="7168" width="9" style="56"/>
    <col min="7169" max="7177" width="9.625" style="56" customWidth="1"/>
    <col min="7178" max="7178" width="27.375" style="56" customWidth="1"/>
    <col min="7179" max="7179" width="11.25" style="56" customWidth="1"/>
    <col min="7180" max="7424" width="9" style="56"/>
    <col min="7425" max="7433" width="9.625" style="56" customWidth="1"/>
    <col min="7434" max="7434" width="27.375" style="56" customWidth="1"/>
    <col min="7435" max="7435" width="11.25" style="56" customWidth="1"/>
    <col min="7436" max="7680" width="9" style="56"/>
    <col min="7681" max="7689" width="9.625" style="56" customWidth="1"/>
    <col min="7690" max="7690" width="27.375" style="56" customWidth="1"/>
    <col min="7691" max="7691" width="11.25" style="56" customWidth="1"/>
    <col min="7692" max="7936" width="9" style="56"/>
    <col min="7937" max="7945" width="9.625" style="56" customWidth="1"/>
    <col min="7946" max="7946" width="27.375" style="56" customWidth="1"/>
    <col min="7947" max="7947" width="11.25" style="56" customWidth="1"/>
    <col min="7948" max="8192" width="9" style="56"/>
    <col min="8193" max="8201" width="9.625" style="56" customWidth="1"/>
    <col min="8202" max="8202" width="27.375" style="56" customWidth="1"/>
    <col min="8203" max="8203" width="11.25" style="56" customWidth="1"/>
    <col min="8204" max="8448" width="9" style="56"/>
    <col min="8449" max="8457" width="9.625" style="56" customWidth="1"/>
    <col min="8458" max="8458" width="27.375" style="56" customWidth="1"/>
    <col min="8459" max="8459" width="11.25" style="56" customWidth="1"/>
    <col min="8460" max="8704" width="9" style="56"/>
    <col min="8705" max="8713" width="9.625" style="56" customWidth="1"/>
    <col min="8714" max="8714" width="27.375" style="56" customWidth="1"/>
    <col min="8715" max="8715" width="11.25" style="56" customWidth="1"/>
    <col min="8716" max="8960" width="9" style="56"/>
    <col min="8961" max="8969" width="9.625" style="56" customWidth="1"/>
    <col min="8970" max="8970" width="27.375" style="56" customWidth="1"/>
    <col min="8971" max="8971" width="11.25" style="56" customWidth="1"/>
    <col min="8972" max="9216" width="9" style="56"/>
    <col min="9217" max="9225" width="9.625" style="56" customWidth="1"/>
    <col min="9226" max="9226" width="27.375" style="56" customWidth="1"/>
    <col min="9227" max="9227" width="11.25" style="56" customWidth="1"/>
    <col min="9228" max="9472" width="9" style="56"/>
    <col min="9473" max="9481" width="9.625" style="56" customWidth="1"/>
    <col min="9482" max="9482" width="27.375" style="56" customWidth="1"/>
    <col min="9483" max="9483" width="11.25" style="56" customWidth="1"/>
    <col min="9484" max="9728" width="9" style="56"/>
    <col min="9729" max="9737" width="9.625" style="56" customWidth="1"/>
    <col min="9738" max="9738" width="27.375" style="56" customWidth="1"/>
    <col min="9739" max="9739" width="11.25" style="56" customWidth="1"/>
    <col min="9740" max="9984" width="9" style="56"/>
    <col min="9985" max="9993" width="9.625" style="56" customWidth="1"/>
    <col min="9994" max="9994" width="27.375" style="56" customWidth="1"/>
    <col min="9995" max="9995" width="11.25" style="56" customWidth="1"/>
    <col min="9996" max="10240" width="9" style="56"/>
    <col min="10241" max="10249" width="9.625" style="56" customWidth="1"/>
    <col min="10250" max="10250" width="27.375" style="56" customWidth="1"/>
    <col min="10251" max="10251" width="11.25" style="56" customWidth="1"/>
    <col min="10252" max="10496" width="9" style="56"/>
    <col min="10497" max="10505" width="9.625" style="56" customWidth="1"/>
    <col min="10506" max="10506" width="27.375" style="56" customWidth="1"/>
    <col min="10507" max="10507" width="11.25" style="56" customWidth="1"/>
    <col min="10508" max="10752" width="9" style="56"/>
    <col min="10753" max="10761" width="9.625" style="56" customWidth="1"/>
    <col min="10762" max="10762" width="27.375" style="56" customWidth="1"/>
    <col min="10763" max="10763" width="11.25" style="56" customWidth="1"/>
    <col min="10764" max="11008" width="9" style="56"/>
    <col min="11009" max="11017" width="9.625" style="56" customWidth="1"/>
    <col min="11018" max="11018" width="27.375" style="56" customWidth="1"/>
    <col min="11019" max="11019" width="11.25" style="56" customWidth="1"/>
    <col min="11020" max="11264" width="9" style="56"/>
    <col min="11265" max="11273" width="9.625" style="56" customWidth="1"/>
    <col min="11274" max="11274" width="27.375" style="56" customWidth="1"/>
    <col min="11275" max="11275" width="11.25" style="56" customWidth="1"/>
    <col min="11276" max="11520" width="9" style="56"/>
    <col min="11521" max="11529" width="9.625" style="56" customWidth="1"/>
    <col min="11530" max="11530" width="27.375" style="56" customWidth="1"/>
    <col min="11531" max="11531" width="11.25" style="56" customWidth="1"/>
    <col min="11532" max="11776" width="9" style="56"/>
    <col min="11777" max="11785" width="9.625" style="56" customWidth="1"/>
    <col min="11786" max="11786" width="27.375" style="56" customWidth="1"/>
    <col min="11787" max="11787" width="11.25" style="56" customWidth="1"/>
    <col min="11788" max="12032" width="9" style="56"/>
    <col min="12033" max="12041" width="9.625" style="56" customWidth="1"/>
    <col min="12042" max="12042" width="27.375" style="56" customWidth="1"/>
    <col min="12043" max="12043" width="11.25" style="56" customWidth="1"/>
    <col min="12044" max="12288" width="9" style="56"/>
    <col min="12289" max="12297" width="9.625" style="56" customWidth="1"/>
    <col min="12298" max="12298" width="27.375" style="56" customWidth="1"/>
    <col min="12299" max="12299" width="11.25" style="56" customWidth="1"/>
    <col min="12300" max="12544" width="9" style="56"/>
    <col min="12545" max="12553" width="9.625" style="56" customWidth="1"/>
    <col min="12554" max="12554" width="27.375" style="56" customWidth="1"/>
    <col min="12555" max="12555" width="11.25" style="56" customWidth="1"/>
    <col min="12556" max="12800" width="9" style="56"/>
    <col min="12801" max="12809" width="9.625" style="56" customWidth="1"/>
    <col min="12810" max="12810" width="27.375" style="56" customWidth="1"/>
    <col min="12811" max="12811" width="11.25" style="56" customWidth="1"/>
    <col min="12812" max="13056" width="9" style="56"/>
    <col min="13057" max="13065" width="9.625" style="56" customWidth="1"/>
    <col min="13066" max="13066" width="27.375" style="56" customWidth="1"/>
    <col min="13067" max="13067" width="11.25" style="56" customWidth="1"/>
    <col min="13068" max="13312" width="9" style="56"/>
    <col min="13313" max="13321" width="9.625" style="56" customWidth="1"/>
    <col min="13322" max="13322" width="27.375" style="56" customWidth="1"/>
    <col min="13323" max="13323" width="11.25" style="56" customWidth="1"/>
    <col min="13324" max="13568" width="9" style="56"/>
    <col min="13569" max="13577" width="9.625" style="56" customWidth="1"/>
    <col min="13578" max="13578" width="27.375" style="56" customWidth="1"/>
    <col min="13579" max="13579" width="11.25" style="56" customWidth="1"/>
    <col min="13580" max="13824" width="9" style="56"/>
    <col min="13825" max="13833" width="9.625" style="56" customWidth="1"/>
    <col min="13834" max="13834" width="27.375" style="56" customWidth="1"/>
    <col min="13835" max="13835" width="11.25" style="56" customWidth="1"/>
    <col min="13836" max="14080" width="9" style="56"/>
    <col min="14081" max="14089" width="9.625" style="56" customWidth="1"/>
    <col min="14090" max="14090" width="27.375" style="56" customWidth="1"/>
    <col min="14091" max="14091" width="11.25" style="56" customWidth="1"/>
    <col min="14092" max="14336" width="9" style="56"/>
    <col min="14337" max="14345" width="9.625" style="56" customWidth="1"/>
    <col min="14346" max="14346" width="27.375" style="56" customWidth="1"/>
    <col min="14347" max="14347" width="11.25" style="56" customWidth="1"/>
    <col min="14348" max="14592" width="9" style="56"/>
    <col min="14593" max="14601" width="9.625" style="56" customWidth="1"/>
    <col min="14602" max="14602" width="27.375" style="56" customWidth="1"/>
    <col min="14603" max="14603" width="11.25" style="56" customWidth="1"/>
    <col min="14604" max="14848" width="9" style="56"/>
    <col min="14849" max="14857" width="9.625" style="56" customWidth="1"/>
    <col min="14858" max="14858" width="27.375" style="56" customWidth="1"/>
    <col min="14859" max="14859" width="11.25" style="56" customWidth="1"/>
    <col min="14860" max="15104" width="9" style="56"/>
    <col min="15105" max="15113" width="9.625" style="56" customWidth="1"/>
    <col min="15114" max="15114" width="27.375" style="56" customWidth="1"/>
    <col min="15115" max="15115" width="11.25" style="56" customWidth="1"/>
    <col min="15116" max="15360" width="9" style="56"/>
    <col min="15361" max="15369" width="9.625" style="56" customWidth="1"/>
    <col min="15370" max="15370" width="27.375" style="56" customWidth="1"/>
    <col min="15371" max="15371" width="11.25" style="56" customWidth="1"/>
    <col min="15372" max="15616" width="9" style="56"/>
    <col min="15617" max="15625" width="9.625" style="56" customWidth="1"/>
    <col min="15626" max="15626" width="27.375" style="56" customWidth="1"/>
    <col min="15627" max="15627" width="11.25" style="56" customWidth="1"/>
    <col min="15628" max="15872" width="9" style="56"/>
    <col min="15873" max="15881" width="9.625" style="56" customWidth="1"/>
    <col min="15882" max="15882" width="27.375" style="56" customWidth="1"/>
    <col min="15883" max="15883" width="11.25" style="56" customWidth="1"/>
    <col min="15884" max="16128" width="9" style="56"/>
    <col min="16129" max="16137" width="9.625" style="56" customWidth="1"/>
    <col min="16138" max="16138" width="27.375" style="56" customWidth="1"/>
    <col min="16139" max="16139" width="11.25" style="56" customWidth="1"/>
    <col min="16140" max="16384" width="9" style="56"/>
  </cols>
  <sheetData>
    <row r="1" spans="1:18" ht="20.100000000000001" customHeight="1" x14ac:dyDescent="0.2">
      <c r="A1" s="174" t="s">
        <v>546</v>
      </c>
      <c r="B1" s="174"/>
      <c r="C1" s="174"/>
      <c r="D1" s="174"/>
      <c r="E1" s="174"/>
      <c r="F1" s="174"/>
      <c r="G1" s="174"/>
      <c r="H1" s="174"/>
      <c r="I1" s="174"/>
      <c r="J1" s="174"/>
      <c r="K1" s="55"/>
    </row>
    <row r="2" spans="1:18" ht="20.100000000000001" customHeight="1" thickBot="1" x14ac:dyDescent="0.25">
      <c r="A2" s="175" t="s">
        <v>547</v>
      </c>
      <c r="B2" s="175"/>
      <c r="C2" s="175"/>
      <c r="D2" s="175"/>
      <c r="E2" s="175"/>
      <c r="F2" s="175"/>
      <c r="G2" s="175"/>
      <c r="H2" s="175"/>
      <c r="I2" s="175"/>
      <c r="J2" s="175"/>
      <c r="K2" s="55"/>
    </row>
    <row r="3" spans="1:18" ht="13.5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50"/>
      <c r="K3" s="55"/>
    </row>
    <row r="4" spans="1:18" ht="13.5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52" t="s">
        <v>228</v>
      </c>
      <c r="K4" s="55"/>
    </row>
    <row r="5" spans="1:18" ht="13.5" thickBot="1" x14ac:dyDescent="0.25">
      <c r="A5" s="53">
        <f>SUM(B5:C5)</f>
        <v>6887</v>
      </c>
      <c r="B5" s="53">
        <f>H5+E5</f>
        <v>1178</v>
      </c>
      <c r="C5" s="53">
        <f>I5+F5</f>
        <v>5709</v>
      </c>
      <c r="D5" s="53">
        <f>SUM(E5:F5)</f>
        <v>67</v>
      </c>
      <c r="E5" s="53">
        <v>29</v>
      </c>
      <c r="F5" s="53">
        <v>38</v>
      </c>
      <c r="G5" s="53">
        <f>SUM(H5:I5)</f>
        <v>6820</v>
      </c>
      <c r="H5" s="53">
        <v>1149</v>
      </c>
      <c r="I5" s="53">
        <v>5671</v>
      </c>
      <c r="J5" s="54" t="s">
        <v>182</v>
      </c>
      <c r="K5" s="55"/>
      <c r="Q5" s="101"/>
    </row>
    <row r="6" spans="1:18" ht="13.5" thickBot="1" x14ac:dyDescent="0.25">
      <c r="A6" s="53">
        <f t="shared" ref="A6:A27" si="0">SUM(B6:C6)</f>
        <v>7713</v>
      </c>
      <c r="B6" s="53">
        <f t="shared" ref="B6:C27" si="1">H6+E6</f>
        <v>0</v>
      </c>
      <c r="C6" s="53">
        <f t="shared" si="1"/>
        <v>7713</v>
      </c>
      <c r="D6" s="53">
        <f t="shared" ref="D6:D27" si="2">SUM(E6:F6)</f>
        <v>96</v>
      </c>
      <c r="E6" s="53">
        <v>0</v>
      </c>
      <c r="F6" s="53">
        <v>96</v>
      </c>
      <c r="G6" s="53">
        <f t="shared" ref="G6:G27" si="3">SUM(H6:I6)</f>
        <v>7617</v>
      </c>
      <c r="H6" s="53">
        <v>0</v>
      </c>
      <c r="I6" s="53">
        <v>7617</v>
      </c>
      <c r="J6" s="54" t="s">
        <v>183</v>
      </c>
      <c r="K6" s="55"/>
      <c r="Q6" s="101"/>
    </row>
    <row r="7" spans="1:18" ht="13.5" thickBot="1" x14ac:dyDescent="0.25">
      <c r="A7" s="53">
        <f t="shared" si="0"/>
        <v>346</v>
      </c>
      <c r="B7" s="53">
        <f t="shared" si="1"/>
        <v>0</v>
      </c>
      <c r="C7" s="53">
        <f t="shared" si="1"/>
        <v>346</v>
      </c>
      <c r="D7" s="53">
        <f t="shared" si="2"/>
        <v>210</v>
      </c>
      <c r="E7" s="53">
        <v>0</v>
      </c>
      <c r="F7" s="53">
        <v>210</v>
      </c>
      <c r="G7" s="53">
        <f t="shared" si="3"/>
        <v>136</v>
      </c>
      <c r="H7" s="53">
        <v>0</v>
      </c>
      <c r="I7" s="53">
        <v>136</v>
      </c>
      <c r="J7" s="54" t="s">
        <v>184</v>
      </c>
      <c r="K7" s="55"/>
      <c r="Q7" s="102"/>
      <c r="R7" s="103"/>
    </row>
    <row r="8" spans="1:18" ht="13.5" thickBot="1" x14ac:dyDescent="0.25">
      <c r="A8" s="53">
        <f t="shared" si="0"/>
        <v>5108</v>
      </c>
      <c r="B8" s="53">
        <f t="shared" si="1"/>
        <v>1030</v>
      </c>
      <c r="C8" s="53">
        <f t="shared" si="1"/>
        <v>4078</v>
      </c>
      <c r="D8" s="53">
        <f t="shared" si="2"/>
        <v>68</v>
      </c>
      <c r="E8" s="53">
        <v>11</v>
      </c>
      <c r="F8" s="53">
        <v>57</v>
      </c>
      <c r="G8" s="53">
        <f t="shared" si="3"/>
        <v>5040</v>
      </c>
      <c r="H8" s="53">
        <v>1019</v>
      </c>
      <c r="I8" s="53">
        <v>4021</v>
      </c>
      <c r="J8" s="54" t="s">
        <v>185</v>
      </c>
      <c r="K8" s="55"/>
      <c r="Q8" s="104"/>
      <c r="R8" s="103"/>
    </row>
    <row r="9" spans="1:18" ht="13.5" thickBot="1" x14ac:dyDescent="0.25">
      <c r="A9" s="53">
        <f t="shared" si="0"/>
        <v>2090</v>
      </c>
      <c r="B9" s="53">
        <f t="shared" si="1"/>
        <v>157</v>
      </c>
      <c r="C9" s="53">
        <f t="shared" si="1"/>
        <v>1933</v>
      </c>
      <c r="D9" s="53">
        <f t="shared" si="2"/>
        <v>36</v>
      </c>
      <c r="E9" s="53">
        <v>0</v>
      </c>
      <c r="F9" s="53">
        <v>36</v>
      </c>
      <c r="G9" s="53">
        <f t="shared" si="3"/>
        <v>2054</v>
      </c>
      <c r="H9" s="53">
        <v>157</v>
      </c>
      <c r="I9" s="53">
        <v>1897</v>
      </c>
      <c r="J9" s="54" t="s">
        <v>186</v>
      </c>
      <c r="K9" s="55"/>
      <c r="Q9" s="102"/>
      <c r="R9" s="103"/>
    </row>
    <row r="10" spans="1:18" ht="13.5" thickBot="1" x14ac:dyDescent="0.25">
      <c r="A10" s="53">
        <f t="shared" si="0"/>
        <v>8808</v>
      </c>
      <c r="B10" s="53">
        <f t="shared" si="1"/>
        <v>1975</v>
      </c>
      <c r="C10" s="53">
        <f t="shared" si="1"/>
        <v>6833</v>
      </c>
      <c r="D10" s="53">
        <f t="shared" si="2"/>
        <v>535</v>
      </c>
      <c r="E10" s="53">
        <v>81</v>
      </c>
      <c r="F10" s="53">
        <v>454</v>
      </c>
      <c r="G10" s="53">
        <f t="shared" si="3"/>
        <v>8273</v>
      </c>
      <c r="H10" s="53">
        <v>1894</v>
      </c>
      <c r="I10" s="53">
        <v>6379</v>
      </c>
      <c r="J10" s="54" t="s">
        <v>187</v>
      </c>
      <c r="K10" s="55"/>
      <c r="Q10" s="102"/>
      <c r="R10" s="103"/>
    </row>
    <row r="11" spans="1:18" ht="13.5" thickBot="1" x14ac:dyDescent="0.25">
      <c r="A11" s="53">
        <f t="shared" si="0"/>
        <v>3135</v>
      </c>
      <c r="B11" s="53">
        <f t="shared" si="1"/>
        <v>1699</v>
      </c>
      <c r="C11" s="53">
        <f t="shared" si="1"/>
        <v>1436</v>
      </c>
      <c r="D11" s="53">
        <f t="shared" si="2"/>
        <v>77</v>
      </c>
      <c r="E11" s="53">
        <v>54</v>
      </c>
      <c r="F11" s="53">
        <v>23</v>
      </c>
      <c r="G11" s="53">
        <f t="shared" si="3"/>
        <v>3058</v>
      </c>
      <c r="H11" s="53">
        <f>1518+127</f>
        <v>1645</v>
      </c>
      <c r="I11" s="53">
        <v>1413</v>
      </c>
      <c r="J11" s="54" t="s">
        <v>188</v>
      </c>
      <c r="K11" s="55"/>
      <c r="Q11" s="104"/>
      <c r="R11" s="103"/>
    </row>
    <row r="12" spans="1:18" ht="13.5" thickBot="1" x14ac:dyDescent="0.25">
      <c r="A12" s="53">
        <f t="shared" si="0"/>
        <v>726</v>
      </c>
      <c r="B12" s="53">
        <f t="shared" si="1"/>
        <v>167</v>
      </c>
      <c r="C12" s="53">
        <f t="shared" si="1"/>
        <v>559</v>
      </c>
      <c r="D12" s="53">
        <f t="shared" si="2"/>
        <v>16</v>
      </c>
      <c r="E12" s="53">
        <v>6</v>
      </c>
      <c r="F12" s="53">
        <v>10</v>
      </c>
      <c r="G12" s="53">
        <f t="shared" si="3"/>
        <v>710</v>
      </c>
      <c r="H12" s="53">
        <v>161</v>
      </c>
      <c r="I12" s="53">
        <v>549</v>
      </c>
      <c r="J12" s="54" t="s">
        <v>189</v>
      </c>
      <c r="K12" s="55"/>
      <c r="Q12" s="102"/>
      <c r="R12" s="103"/>
    </row>
    <row r="13" spans="1:18" ht="13.5" thickBot="1" x14ac:dyDescent="0.25">
      <c r="A13" s="53">
        <f t="shared" si="0"/>
        <v>27773</v>
      </c>
      <c r="B13" s="53">
        <f t="shared" si="1"/>
        <v>3578</v>
      </c>
      <c r="C13" s="53">
        <f t="shared" si="1"/>
        <v>24195</v>
      </c>
      <c r="D13" s="53">
        <f t="shared" si="2"/>
        <v>842</v>
      </c>
      <c r="E13" s="53">
        <v>18</v>
      </c>
      <c r="F13" s="53">
        <f>1059-34-201</f>
        <v>824</v>
      </c>
      <c r="G13" s="53">
        <f t="shared" si="3"/>
        <v>26931</v>
      </c>
      <c r="H13" s="53">
        <v>3560</v>
      </c>
      <c r="I13" s="53">
        <f>23278-108+201</f>
        <v>23371</v>
      </c>
      <c r="J13" s="54" t="s">
        <v>190</v>
      </c>
      <c r="K13" s="55"/>
      <c r="Q13" s="103"/>
      <c r="R13" s="103"/>
    </row>
    <row r="14" spans="1:18" ht="13.5" thickBot="1" x14ac:dyDescent="0.25">
      <c r="A14" s="53">
        <f t="shared" si="0"/>
        <v>255</v>
      </c>
      <c r="B14" s="53">
        <f t="shared" si="1"/>
        <v>0</v>
      </c>
      <c r="C14" s="53">
        <f t="shared" si="1"/>
        <v>255</v>
      </c>
      <c r="D14" s="53">
        <f t="shared" si="2"/>
        <v>3</v>
      </c>
      <c r="E14" s="53">
        <v>0</v>
      </c>
      <c r="F14" s="53">
        <v>3</v>
      </c>
      <c r="G14" s="53">
        <f t="shared" si="3"/>
        <v>252</v>
      </c>
      <c r="H14" s="53">
        <v>0</v>
      </c>
      <c r="I14" s="53">
        <v>252</v>
      </c>
      <c r="J14" s="54" t="s">
        <v>191</v>
      </c>
      <c r="K14" s="55"/>
      <c r="Q14" s="103"/>
      <c r="R14" s="103"/>
    </row>
    <row r="15" spans="1:18" ht="13.5" thickBot="1" x14ac:dyDescent="0.25">
      <c r="A15" s="53">
        <f t="shared" si="0"/>
        <v>2058</v>
      </c>
      <c r="B15" s="53">
        <f t="shared" si="1"/>
        <v>1305</v>
      </c>
      <c r="C15" s="53">
        <f t="shared" si="1"/>
        <v>753</v>
      </c>
      <c r="D15" s="53">
        <f t="shared" si="2"/>
        <v>2</v>
      </c>
      <c r="E15" s="53">
        <v>2</v>
      </c>
      <c r="F15" s="53">
        <v>0</v>
      </c>
      <c r="G15" s="53">
        <f t="shared" si="3"/>
        <v>2056</v>
      </c>
      <c r="H15" s="53">
        <v>1303</v>
      </c>
      <c r="I15" s="53">
        <v>753</v>
      </c>
      <c r="J15" s="54" t="s">
        <v>192</v>
      </c>
      <c r="K15" s="55"/>
      <c r="Q15" s="103"/>
      <c r="R15" s="103"/>
    </row>
    <row r="16" spans="1:18" ht="13.5" thickBot="1" x14ac:dyDescent="0.25">
      <c r="A16" s="53">
        <f t="shared" si="0"/>
        <v>1254</v>
      </c>
      <c r="B16" s="53">
        <f t="shared" si="1"/>
        <v>307</v>
      </c>
      <c r="C16" s="53">
        <f t="shared" si="1"/>
        <v>947</v>
      </c>
      <c r="D16" s="53">
        <f t="shared" si="2"/>
        <v>9</v>
      </c>
      <c r="E16" s="53">
        <v>0</v>
      </c>
      <c r="F16" s="53">
        <v>9</v>
      </c>
      <c r="G16" s="53">
        <f t="shared" si="3"/>
        <v>1245</v>
      </c>
      <c r="H16" s="53">
        <v>307</v>
      </c>
      <c r="I16" s="53">
        <v>938</v>
      </c>
      <c r="J16" s="54" t="s">
        <v>193</v>
      </c>
      <c r="K16" s="55"/>
      <c r="Q16" s="103"/>
      <c r="R16" s="103"/>
    </row>
    <row r="17" spans="1:11" ht="13.5" thickBot="1" x14ac:dyDescent="0.25">
      <c r="A17" s="53">
        <f t="shared" si="0"/>
        <v>113</v>
      </c>
      <c r="B17" s="53">
        <f t="shared" si="1"/>
        <v>90</v>
      </c>
      <c r="C17" s="53">
        <f t="shared" si="1"/>
        <v>23</v>
      </c>
      <c r="D17" s="53">
        <f t="shared" si="2"/>
        <v>0</v>
      </c>
      <c r="E17" s="53">
        <v>0</v>
      </c>
      <c r="F17" s="53">
        <v>0</v>
      </c>
      <c r="G17" s="53">
        <f t="shared" si="3"/>
        <v>113</v>
      </c>
      <c r="H17" s="53">
        <v>90</v>
      </c>
      <c r="I17" s="53">
        <v>23</v>
      </c>
      <c r="J17" s="54" t="s">
        <v>194</v>
      </c>
      <c r="K17" s="55"/>
    </row>
    <row r="18" spans="1:11" ht="13.5" thickBot="1" x14ac:dyDescent="0.25">
      <c r="A18" s="53">
        <f t="shared" si="0"/>
        <v>21979</v>
      </c>
      <c r="B18" s="53">
        <f t="shared" si="1"/>
        <v>8779</v>
      </c>
      <c r="C18" s="53">
        <f t="shared" si="1"/>
        <v>13200</v>
      </c>
      <c r="D18" s="53">
        <f t="shared" si="2"/>
        <v>367</v>
      </c>
      <c r="E18" s="53">
        <v>56</v>
      </c>
      <c r="F18" s="53">
        <v>311</v>
      </c>
      <c r="G18" s="53">
        <f t="shared" si="3"/>
        <v>21612</v>
      </c>
      <c r="H18" s="53">
        <v>8723</v>
      </c>
      <c r="I18" s="53">
        <v>12889</v>
      </c>
      <c r="J18" s="54" t="s">
        <v>195</v>
      </c>
      <c r="K18" s="55"/>
    </row>
    <row r="19" spans="1:11" ht="13.5" thickBot="1" x14ac:dyDescent="0.25">
      <c r="A19" s="53">
        <f t="shared" si="0"/>
        <v>14635</v>
      </c>
      <c r="B19" s="53">
        <f t="shared" si="1"/>
        <v>964</v>
      </c>
      <c r="C19" s="53">
        <f t="shared" si="1"/>
        <v>13671</v>
      </c>
      <c r="D19" s="53">
        <f t="shared" si="2"/>
        <v>205</v>
      </c>
      <c r="E19" s="53">
        <v>0</v>
      </c>
      <c r="F19" s="53">
        <v>205</v>
      </c>
      <c r="G19" s="53">
        <f t="shared" si="3"/>
        <v>14430</v>
      </c>
      <c r="H19" s="53">
        <v>964</v>
      </c>
      <c r="I19" s="53">
        <v>13466</v>
      </c>
      <c r="J19" s="54" t="s">
        <v>196</v>
      </c>
      <c r="K19" s="55"/>
    </row>
    <row r="20" spans="1:11" ht="13.5" thickBot="1" x14ac:dyDescent="0.25">
      <c r="A20" s="53">
        <f t="shared" si="0"/>
        <v>1098</v>
      </c>
      <c r="B20" s="53">
        <f t="shared" si="1"/>
        <v>174</v>
      </c>
      <c r="C20" s="53">
        <f t="shared" si="1"/>
        <v>924</v>
      </c>
      <c r="D20" s="53">
        <f t="shared" si="2"/>
        <v>7</v>
      </c>
      <c r="E20" s="53">
        <v>3</v>
      </c>
      <c r="F20" s="53">
        <v>4</v>
      </c>
      <c r="G20" s="53">
        <f t="shared" si="3"/>
        <v>1091</v>
      </c>
      <c r="H20" s="53">
        <v>171</v>
      </c>
      <c r="I20" s="53">
        <v>920</v>
      </c>
      <c r="J20" s="54" t="s">
        <v>197</v>
      </c>
      <c r="K20" s="55"/>
    </row>
    <row r="21" spans="1:11" ht="13.5" thickBot="1" x14ac:dyDescent="0.25">
      <c r="A21" s="53">
        <f t="shared" si="0"/>
        <v>2945</v>
      </c>
      <c r="B21" s="53">
        <f t="shared" si="1"/>
        <v>0</v>
      </c>
      <c r="C21" s="53">
        <f t="shared" si="1"/>
        <v>2945</v>
      </c>
      <c r="D21" s="53">
        <f t="shared" si="2"/>
        <v>48</v>
      </c>
      <c r="E21" s="53">
        <v>0</v>
      </c>
      <c r="F21" s="53">
        <v>48</v>
      </c>
      <c r="G21" s="53">
        <f t="shared" si="3"/>
        <v>2897</v>
      </c>
      <c r="H21" s="53">
        <v>0</v>
      </c>
      <c r="I21" s="53">
        <v>2897</v>
      </c>
      <c r="J21" s="54" t="s">
        <v>198</v>
      </c>
      <c r="K21" s="55"/>
    </row>
    <row r="22" spans="1:11" ht="13.5" thickBot="1" x14ac:dyDescent="0.25">
      <c r="A22" s="53">
        <f t="shared" si="0"/>
        <v>39</v>
      </c>
      <c r="B22" s="53">
        <f t="shared" si="1"/>
        <v>0</v>
      </c>
      <c r="C22" s="53">
        <f t="shared" si="1"/>
        <v>39</v>
      </c>
      <c r="D22" s="53">
        <f t="shared" si="2"/>
        <v>2</v>
      </c>
      <c r="E22" s="53">
        <v>0</v>
      </c>
      <c r="F22" s="53">
        <v>2</v>
      </c>
      <c r="G22" s="53">
        <f t="shared" si="3"/>
        <v>37</v>
      </c>
      <c r="H22" s="53">
        <v>0</v>
      </c>
      <c r="I22" s="53">
        <v>37</v>
      </c>
      <c r="J22" s="54" t="s">
        <v>199</v>
      </c>
      <c r="K22" s="55"/>
    </row>
    <row r="23" spans="1:11" ht="13.5" thickBot="1" x14ac:dyDescent="0.25">
      <c r="A23" s="53">
        <f t="shared" si="0"/>
        <v>12129</v>
      </c>
      <c r="B23" s="53">
        <f t="shared" si="1"/>
        <v>3992</v>
      </c>
      <c r="C23" s="53">
        <f t="shared" si="1"/>
        <v>8137</v>
      </c>
      <c r="D23" s="53">
        <f t="shared" si="2"/>
        <v>261</v>
      </c>
      <c r="E23" s="53">
        <f>187+31</f>
        <v>218</v>
      </c>
      <c r="F23" s="53">
        <v>43</v>
      </c>
      <c r="G23" s="53">
        <f t="shared" si="3"/>
        <v>11868</v>
      </c>
      <c r="H23" s="53">
        <f>3805-31</f>
        <v>3774</v>
      </c>
      <c r="I23" s="53">
        <v>8094</v>
      </c>
      <c r="J23" s="54" t="s">
        <v>201</v>
      </c>
      <c r="K23" s="55"/>
    </row>
    <row r="24" spans="1:11" ht="13.5" thickBot="1" x14ac:dyDescent="0.25">
      <c r="A24" s="53">
        <f t="shared" si="0"/>
        <v>481</v>
      </c>
      <c r="B24" s="53">
        <f t="shared" si="1"/>
        <v>0</v>
      </c>
      <c r="C24" s="53">
        <f t="shared" si="1"/>
        <v>481</v>
      </c>
      <c r="D24" s="53">
        <f t="shared" si="2"/>
        <v>10</v>
      </c>
      <c r="E24" s="53">
        <v>0</v>
      </c>
      <c r="F24" s="53">
        <v>10</v>
      </c>
      <c r="G24" s="53">
        <f t="shared" si="3"/>
        <v>471</v>
      </c>
      <c r="H24" s="53">
        <v>0</v>
      </c>
      <c r="I24" s="53">
        <v>471</v>
      </c>
      <c r="J24" s="54" t="s">
        <v>202</v>
      </c>
      <c r="K24" s="55"/>
    </row>
    <row r="25" spans="1:11" ht="13.5" thickBot="1" x14ac:dyDescent="0.25">
      <c r="A25" s="53">
        <f t="shared" si="0"/>
        <v>114</v>
      </c>
      <c r="B25" s="53">
        <f t="shared" si="1"/>
        <v>114</v>
      </c>
      <c r="C25" s="53">
        <f t="shared" si="1"/>
        <v>0</v>
      </c>
      <c r="D25" s="53">
        <f t="shared" si="2"/>
        <v>1</v>
      </c>
      <c r="E25" s="53">
        <v>1</v>
      </c>
      <c r="F25" s="53">
        <v>0</v>
      </c>
      <c r="G25" s="53">
        <f t="shared" si="3"/>
        <v>113</v>
      </c>
      <c r="H25" s="53">
        <v>113</v>
      </c>
      <c r="I25" s="53">
        <v>0</v>
      </c>
      <c r="J25" s="54" t="s">
        <v>203</v>
      </c>
      <c r="K25" s="55"/>
    </row>
    <row r="26" spans="1:11" ht="13.5" thickBot="1" x14ac:dyDescent="0.25">
      <c r="A26" s="53">
        <f t="shared" si="0"/>
        <v>370</v>
      </c>
      <c r="B26" s="53">
        <f t="shared" si="1"/>
        <v>0</v>
      </c>
      <c r="C26" s="53">
        <f t="shared" si="1"/>
        <v>370</v>
      </c>
      <c r="D26" s="53">
        <f t="shared" si="2"/>
        <v>0</v>
      </c>
      <c r="E26" s="53">
        <v>0</v>
      </c>
      <c r="F26" s="53">
        <v>0</v>
      </c>
      <c r="G26" s="53">
        <f t="shared" si="3"/>
        <v>370</v>
      </c>
      <c r="H26" s="53">
        <v>0</v>
      </c>
      <c r="I26" s="53">
        <v>370</v>
      </c>
      <c r="J26" s="54" t="s">
        <v>204</v>
      </c>
      <c r="K26" s="55"/>
    </row>
    <row r="27" spans="1:11" ht="13.5" thickBot="1" x14ac:dyDescent="0.25">
      <c r="A27" s="53">
        <f t="shared" si="0"/>
        <v>119</v>
      </c>
      <c r="B27" s="53">
        <f t="shared" si="1"/>
        <v>0</v>
      </c>
      <c r="C27" s="53">
        <f t="shared" si="1"/>
        <v>119</v>
      </c>
      <c r="D27" s="53">
        <f t="shared" si="2"/>
        <v>0</v>
      </c>
      <c r="E27" s="53">
        <v>0</v>
      </c>
      <c r="F27" s="53">
        <v>0</v>
      </c>
      <c r="G27" s="53">
        <f t="shared" si="3"/>
        <v>119</v>
      </c>
      <c r="H27" s="53">
        <v>0</v>
      </c>
      <c r="I27" s="53">
        <v>119</v>
      </c>
      <c r="J27" s="54" t="s">
        <v>57</v>
      </c>
      <c r="K27" s="55"/>
    </row>
    <row r="28" spans="1:11" ht="13.5" thickBot="1" x14ac:dyDescent="0.25">
      <c r="A28" s="53">
        <f t="shared" ref="A28:H28" si="4">SUM(A5:A27)</f>
        <v>120175</v>
      </c>
      <c r="B28" s="53">
        <f t="shared" si="4"/>
        <v>25509</v>
      </c>
      <c r="C28" s="53">
        <f t="shared" si="4"/>
        <v>94666</v>
      </c>
      <c r="D28" s="53">
        <f t="shared" si="4"/>
        <v>2862</v>
      </c>
      <c r="E28" s="53">
        <f t="shared" si="4"/>
        <v>479</v>
      </c>
      <c r="F28" s="53">
        <f t="shared" si="4"/>
        <v>2383</v>
      </c>
      <c r="G28" s="53">
        <f t="shared" si="4"/>
        <v>117313</v>
      </c>
      <c r="H28" s="53">
        <f t="shared" si="4"/>
        <v>25030</v>
      </c>
      <c r="I28" s="53">
        <f>SUM(I5:I27)</f>
        <v>92283</v>
      </c>
      <c r="J28" s="52" t="s">
        <v>211</v>
      </c>
      <c r="K28" s="55"/>
    </row>
    <row r="30" spans="1:11" x14ac:dyDescent="0.2">
      <c r="A30" s="105"/>
      <c r="B30" s="105"/>
      <c r="C30" s="105"/>
      <c r="D30" s="105"/>
      <c r="E30" s="105"/>
      <c r="F30" s="105"/>
      <c r="G30" s="105"/>
      <c r="H30" s="105"/>
      <c r="I30" s="105"/>
    </row>
    <row r="32" spans="1:11" x14ac:dyDescent="0.2">
      <c r="A32" s="106"/>
      <c r="B32" s="106"/>
      <c r="C32" s="106"/>
      <c r="D32" s="106"/>
      <c r="E32" s="106"/>
      <c r="F32" s="106"/>
      <c r="G32" s="106"/>
      <c r="H32" s="106"/>
      <c r="I32" s="106"/>
    </row>
  </sheetData>
  <mergeCells count="5">
    <mergeCell ref="A1:J1"/>
    <mergeCell ref="A2:J2"/>
    <mergeCell ref="A3:C3"/>
    <mergeCell ref="D3:F3"/>
    <mergeCell ref="G3:I3"/>
  </mergeCells>
  <pageMargins left="0.4" right="0.4" top="0.25" bottom="0.25" header="0.25" footer="0.25"/>
  <pageSetup paperSize="9" orientation="landscape" r:id="rId1"/>
  <headerFooter alignWithMargins="0"/>
  <colBreaks count="1" manualBreakCount="1">
    <brk id="10" max="27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4"/>
  <sheetViews>
    <sheetView showGridLines="0" topLeftCell="A46" zoomScaleNormal="100" zoomScaleSheetLayoutView="90" workbookViewId="0">
      <selection activeCell="M6" sqref="M6"/>
    </sheetView>
  </sheetViews>
  <sheetFormatPr defaultRowHeight="12.75" customHeight="1" x14ac:dyDescent="0.2"/>
  <cols>
    <col min="1" max="9" width="9.625" style="56" customWidth="1"/>
    <col min="10" max="10" width="5.75" style="56" bestFit="1" customWidth="1"/>
    <col min="11" max="11" width="33.625" style="56" customWidth="1"/>
    <col min="12" max="12" width="23.25" style="56" customWidth="1"/>
    <col min="13" max="13" width="9" style="56"/>
    <col min="14" max="14" width="9" style="107"/>
    <col min="15" max="256" width="9" style="56"/>
    <col min="257" max="265" width="9.625" style="56" customWidth="1"/>
    <col min="266" max="266" width="5.75" style="56" bestFit="1" customWidth="1"/>
    <col min="267" max="267" width="33.625" style="56" customWidth="1"/>
    <col min="268" max="268" width="2" style="56" customWidth="1"/>
    <col min="269" max="512" width="9" style="56"/>
    <col min="513" max="521" width="9.625" style="56" customWidth="1"/>
    <col min="522" max="522" width="5.75" style="56" bestFit="1" customWidth="1"/>
    <col min="523" max="523" width="33.625" style="56" customWidth="1"/>
    <col min="524" max="524" width="2" style="56" customWidth="1"/>
    <col min="525" max="768" width="9" style="56"/>
    <col min="769" max="777" width="9.625" style="56" customWidth="1"/>
    <col min="778" max="778" width="5.75" style="56" bestFit="1" customWidth="1"/>
    <col min="779" max="779" width="33.625" style="56" customWidth="1"/>
    <col min="780" max="780" width="2" style="56" customWidth="1"/>
    <col min="781" max="1024" width="9" style="56"/>
    <col min="1025" max="1033" width="9.625" style="56" customWidth="1"/>
    <col min="1034" max="1034" width="5.75" style="56" bestFit="1" customWidth="1"/>
    <col min="1035" max="1035" width="33.625" style="56" customWidth="1"/>
    <col min="1036" max="1036" width="2" style="56" customWidth="1"/>
    <col min="1037" max="1280" width="9" style="56"/>
    <col min="1281" max="1289" width="9.625" style="56" customWidth="1"/>
    <col min="1290" max="1290" width="5.75" style="56" bestFit="1" customWidth="1"/>
    <col min="1291" max="1291" width="33.625" style="56" customWidth="1"/>
    <col min="1292" max="1292" width="2" style="56" customWidth="1"/>
    <col min="1293" max="1536" width="9" style="56"/>
    <col min="1537" max="1545" width="9.625" style="56" customWidth="1"/>
    <col min="1546" max="1546" width="5.75" style="56" bestFit="1" customWidth="1"/>
    <col min="1547" max="1547" width="33.625" style="56" customWidth="1"/>
    <col min="1548" max="1548" width="2" style="56" customWidth="1"/>
    <col min="1549" max="1792" width="9" style="56"/>
    <col min="1793" max="1801" width="9.625" style="56" customWidth="1"/>
    <col min="1802" max="1802" width="5.75" style="56" bestFit="1" customWidth="1"/>
    <col min="1803" max="1803" width="33.625" style="56" customWidth="1"/>
    <col min="1804" max="1804" width="2" style="56" customWidth="1"/>
    <col min="1805" max="2048" width="9" style="56"/>
    <col min="2049" max="2057" width="9.625" style="56" customWidth="1"/>
    <col min="2058" max="2058" width="5.75" style="56" bestFit="1" customWidth="1"/>
    <col min="2059" max="2059" width="33.625" style="56" customWidth="1"/>
    <col min="2060" max="2060" width="2" style="56" customWidth="1"/>
    <col min="2061" max="2304" width="9" style="56"/>
    <col min="2305" max="2313" width="9.625" style="56" customWidth="1"/>
    <col min="2314" max="2314" width="5.75" style="56" bestFit="1" customWidth="1"/>
    <col min="2315" max="2315" width="33.625" style="56" customWidth="1"/>
    <col min="2316" max="2316" width="2" style="56" customWidth="1"/>
    <col min="2317" max="2560" width="9" style="56"/>
    <col min="2561" max="2569" width="9.625" style="56" customWidth="1"/>
    <col min="2570" max="2570" width="5.75" style="56" bestFit="1" customWidth="1"/>
    <col min="2571" max="2571" width="33.625" style="56" customWidth="1"/>
    <col min="2572" max="2572" width="2" style="56" customWidth="1"/>
    <col min="2573" max="2816" width="9" style="56"/>
    <col min="2817" max="2825" width="9.625" style="56" customWidth="1"/>
    <col min="2826" max="2826" width="5.75" style="56" bestFit="1" customWidth="1"/>
    <col min="2827" max="2827" width="33.625" style="56" customWidth="1"/>
    <col min="2828" max="2828" width="2" style="56" customWidth="1"/>
    <col min="2829" max="3072" width="9" style="56"/>
    <col min="3073" max="3081" width="9.625" style="56" customWidth="1"/>
    <col min="3082" max="3082" width="5.75" style="56" bestFit="1" customWidth="1"/>
    <col min="3083" max="3083" width="33.625" style="56" customWidth="1"/>
    <col min="3084" max="3084" width="2" style="56" customWidth="1"/>
    <col min="3085" max="3328" width="9" style="56"/>
    <col min="3329" max="3337" width="9.625" style="56" customWidth="1"/>
    <col min="3338" max="3338" width="5.75" style="56" bestFit="1" customWidth="1"/>
    <col min="3339" max="3339" width="33.625" style="56" customWidth="1"/>
    <col min="3340" max="3340" width="2" style="56" customWidth="1"/>
    <col min="3341" max="3584" width="9" style="56"/>
    <col min="3585" max="3593" width="9.625" style="56" customWidth="1"/>
    <col min="3594" max="3594" width="5.75" style="56" bestFit="1" customWidth="1"/>
    <col min="3595" max="3595" width="33.625" style="56" customWidth="1"/>
    <col min="3596" max="3596" width="2" style="56" customWidth="1"/>
    <col min="3597" max="3840" width="9" style="56"/>
    <col min="3841" max="3849" width="9.625" style="56" customWidth="1"/>
    <col min="3850" max="3850" width="5.75" style="56" bestFit="1" customWidth="1"/>
    <col min="3851" max="3851" width="33.625" style="56" customWidth="1"/>
    <col min="3852" max="3852" width="2" style="56" customWidth="1"/>
    <col min="3853" max="4096" width="9" style="56"/>
    <col min="4097" max="4105" width="9.625" style="56" customWidth="1"/>
    <col min="4106" max="4106" width="5.75" style="56" bestFit="1" customWidth="1"/>
    <col min="4107" max="4107" width="33.625" style="56" customWidth="1"/>
    <col min="4108" max="4108" width="2" style="56" customWidth="1"/>
    <col min="4109" max="4352" width="9" style="56"/>
    <col min="4353" max="4361" width="9.625" style="56" customWidth="1"/>
    <col min="4362" max="4362" width="5.75" style="56" bestFit="1" customWidth="1"/>
    <col min="4363" max="4363" width="33.625" style="56" customWidth="1"/>
    <col min="4364" max="4364" width="2" style="56" customWidth="1"/>
    <col min="4365" max="4608" width="9" style="56"/>
    <col min="4609" max="4617" width="9.625" style="56" customWidth="1"/>
    <col min="4618" max="4618" width="5.75" style="56" bestFit="1" customWidth="1"/>
    <col min="4619" max="4619" width="33.625" style="56" customWidth="1"/>
    <col min="4620" max="4620" width="2" style="56" customWidth="1"/>
    <col min="4621" max="4864" width="9" style="56"/>
    <col min="4865" max="4873" width="9.625" style="56" customWidth="1"/>
    <col min="4874" max="4874" width="5.75" style="56" bestFit="1" customWidth="1"/>
    <col min="4875" max="4875" width="33.625" style="56" customWidth="1"/>
    <col min="4876" max="4876" width="2" style="56" customWidth="1"/>
    <col min="4877" max="5120" width="9" style="56"/>
    <col min="5121" max="5129" width="9.625" style="56" customWidth="1"/>
    <col min="5130" max="5130" width="5.75" style="56" bestFit="1" customWidth="1"/>
    <col min="5131" max="5131" width="33.625" style="56" customWidth="1"/>
    <col min="5132" max="5132" width="2" style="56" customWidth="1"/>
    <col min="5133" max="5376" width="9" style="56"/>
    <col min="5377" max="5385" width="9.625" style="56" customWidth="1"/>
    <col min="5386" max="5386" width="5.75" style="56" bestFit="1" customWidth="1"/>
    <col min="5387" max="5387" width="33.625" style="56" customWidth="1"/>
    <col min="5388" max="5388" width="2" style="56" customWidth="1"/>
    <col min="5389" max="5632" width="9" style="56"/>
    <col min="5633" max="5641" width="9.625" style="56" customWidth="1"/>
    <col min="5642" max="5642" width="5.75" style="56" bestFit="1" customWidth="1"/>
    <col min="5643" max="5643" width="33.625" style="56" customWidth="1"/>
    <col min="5644" max="5644" width="2" style="56" customWidth="1"/>
    <col min="5645" max="5888" width="9" style="56"/>
    <col min="5889" max="5897" width="9.625" style="56" customWidth="1"/>
    <col min="5898" max="5898" width="5.75" style="56" bestFit="1" customWidth="1"/>
    <col min="5899" max="5899" width="33.625" style="56" customWidth="1"/>
    <col min="5900" max="5900" width="2" style="56" customWidth="1"/>
    <col min="5901" max="6144" width="9" style="56"/>
    <col min="6145" max="6153" width="9.625" style="56" customWidth="1"/>
    <col min="6154" max="6154" width="5.75" style="56" bestFit="1" customWidth="1"/>
    <col min="6155" max="6155" width="33.625" style="56" customWidth="1"/>
    <col min="6156" max="6156" width="2" style="56" customWidth="1"/>
    <col min="6157" max="6400" width="9" style="56"/>
    <col min="6401" max="6409" width="9.625" style="56" customWidth="1"/>
    <col min="6410" max="6410" width="5.75" style="56" bestFit="1" customWidth="1"/>
    <col min="6411" max="6411" width="33.625" style="56" customWidth="1"/>
    <col min="6412" max="6412" width="2" style="56" customWidth="1"/>
    <col min="6413" max="6656" width="9" style="56"/>
    <col min="6657" max="6665" width="9.625" style="56" customWidth="1"/>
    <col min="6666" max="6666" width="5.75" style="56" bestFit="1" customWidth="1"/>
    <col min="6667" max="6667" width="33.625" style="56" customWidth="1"/>
    <col min="6668" max="6668" width="2" style="56" customWidth="1"/>
    <col min="6669" max="6912" width="9" style="56"/>
    <col min="6913" max="6921" width="9.625" style="56" customWidth="1"/>
    <col min="6922" max="6922" width="5.75" style="56" bestFit="1" customWidth="1"/>
    <col min="6923" max="6923" width="33.625" style="56" customWidth="1"/>
    <col min="6924" max="6924" width="2" style="56" customWidth="1"/>
    <col min="6925" max="7168" width="9" style="56"/>
    <col min="7169" max="7177" width="9.625" style="56" customWidth="1"/>
    <col min="7178" max="7178" width="5.75" style="56" bestFit="1" customWidth="1"/>
    <col min="7179" max="7179" width="33.625" style="56" customWidth="1"/>
    <col min="7180" max="7180" width="2" style="56" customWidth="1"/>
    <col min="7181" max="7424" width="9" style="56"/>
    <col min="7425" max="7433" width="9.625" style="56" customWidth="1"/>
    <col min="7434" max="7434" width="5.75" style="56" bestFit="1" customWidth="1"/>
    <col min="7435" max="7435" width="33.625" style="56" customWidth="1"/>
    <col min="7436" max="7436" width="2" style="56" customWidth="1"/>
    <col min="7437" max="7680" width="9" style="56"/>
    <col min="7681" max="7689" width="9.625" style="56" customWidth="1"/>
    <col min="7690" max="7690" width="5.75" style="56" bestFit="1" customWidth="1"/>
    <col min="7691" max="7691" width="33.625" style="56" customWidth="1"/>
    <col min="7692" max="7692" width="2" style="56" customWidth="1"/>
    <col min="7693" max="7936" width="9" style="56"/>
    <col min="7937" max="7945" width="9.625" style="56" customWidth="1"/>
    <col min="7946" max="7946" width="5.75" style="56" bestFit="1" customWidth="1"/>
    <col min="7947" max="7947" width="33.625" style="56" customWidth="1"/>
    <col min="7948" max="7948" width="2" style="56" customWidth="1"/>
    <col min="7949" max="8192" width="9" style="56"/>
    <col min="8193" max="8201" width="9.625" style="56" customWidth="1"/>
    <col min="8202" max="8202" width="5.75" style="56" bestFit="1" customWidth="1"/>
    <col min="8203" max="8203" width="33.625" style="56" customWidth="1"/>
    <col min="8204" max="8204" width="2" style="56" customWidth="1"/>
    <col min="8205" max="8448" width="9" style="56"/>
    <col min="8449" max="8457" width="9.625" style="56" customWidth="1"/>
    <col min="8458" max="8458" width="5.75" style="56" bestFit="1" customWidth="1"/>
    <col min="8459" max="8459" width="33.625" style="56" customWidth="1"/>
    <col min="8460" max="8460" width="2" style="56" customWidth="1"/>
    <col min="8461" max="8704" width="9" style="56"/>
    <col min="8705" max="8713" width="9.625" style="56" customWidth="1"/>
    <col min="8714" max="8714" width="5.75" style="56" bestFit="1" customWidth="1"/>
    <col min="8715" max="8715" width="33.625" style="56" customWidth="1"/>
    <col min="8716" max="8716" width="2" style="56" customWidth="1"/>
    <col min="8717" max="8960" width="9" style="56"/>
    <col min="8961" max="8969" width="9.625" style="56" customWidth="1"/>
    <col min="8970" max="8970" width="5.75" style="56" bestFit="1" customWidth="1"/>
    <col min="8971" max="8971" width="33.625" style="56" customWidth="1"/>
    <col min="8972" max="8972" width="2" style="56" customWidth="1"/>
    <col min="8973" max="9216" width="9" style="56"/>
    <col min="9217" max="9225" width="9.625" style="56" customWidth="1"/>
    <col min="9226" max="9226" width="5.75" style="56" bestFit="1" customWidth="1"/>
    <col min="9227" max="9227" width="33.625" style="56" customWidth="1"/>
    <col min="9228" max="9228" width="2" style="56" customWidth="1"/>
    <col min="9229" max="9472" width="9" style="56"/>
    <col min="9473" max="9481" width="9.625" style="56" customWidth="1"/>
    <col min="9482" max="9482" width="5.75" style="56" bestFit="1" customWidth="1"/>
    <col min="9483" max="9483" width="33.625" style="56" customWidth="1"/>
    <col min="9484" max="9484" width="2" style="56" customWidth="1"/>
    <col min="9485" max="9728" width="9" style="56"/>
    <col min="9729" max="9737" width="9.625" style="56" customWidth="1"/>
    <col min="9738" max="9738" width="5.75" style="56" bestFit="1" customWidth="1"/>
    <col min="9739" max="9739" width="33.625" style="56" customWidth="1"/>
    <col min="9740" max="9740" width="2" style="56" customWidth="1"/>
    <col min="9741" max="9984" width="9" style="56"/>
    <col min="9985" max="9993" width="9.625" style="56" customWidth="1"/>
    <col min="9994" max="9994" width="5.75" style="56" bestFit="1" customWidth="1"/>
    <col min="9995" max="9995" width="33.625" style="56" customWidth="1"/>
    <col min="9996" max="9996" width="2" style="56" customWidth="1"/>
    <col min="9997" max="10240" width="9" style="56"/>
    <col min="10241" max="10249" width="9.625" style="56" customWidth="1"/>
    <col min="10250" max="10250" width="5.75" style="56" bestFit="1" customWidth="1"/>
    <col min="10251" max="10251" width="33.625" style="56" customWidth="1"/>
    <col min="10252" max="10252" width="2" style="56" customWidth="1"/>
    <col min="10253" max="10496" width="9" style="56"/>
    <col min="10497" max="10505" width="9.625" style="56" customWidth="1"/>
    <col min="10506" max="10506" width="5.75" style="56" bestFit="1" customWidth="1"/>
    <col min="10507" max="10507" width="33.625" style="56" customWidth="1"/>
    <col min="10508" max="10508" width="2" style="56" customWidth="1"/>
    <col min="10509" max="10752" width="9" style="56"/>
    <col min="10753" max="10761" width="9.625" style="56" customWidth="1"/>
    <col min="10762" max="10762" width="5.75" style="56" bestFit="1" customWidth="1"/>
    <col min="10763" max="10763" width="33.625" style="56" customWidth="1"/>
    <col min="10764" max="10764" width="2" style="56" customWidth="1"/>
    <col min="10765" max="11008" width="9" style="56"/>
    <col min="11009" max="11017" width="9.625" style="56" customWidth="1"/>
    <col min="11018" max="11018" width="5.75" style="56" bestFit="1" customWidth="1"/>
    <col min="11019" max="11019" width="33.625" style="56" customWidth="1"/>
    <col min="11020" max="11020" width="2" style="56" customWidth="1"/>
    <col min="11021" max="11264" width="9" style="56"/>
    <col min="11265" max="11273" width="9.625" style="56" customWidth="1"/>
    <col min="11274" max="11274" width="5.75" style="56" bestFit="1" customWidth="1"/>
    <col min="11275" max="11275" width="33.625" style="56" customWidth="1"/>
    <col min="11276" max="11276" width="2" style="56" customWidth="1"/>
    <col min="11277" max="11520" width="9" style="56"/>
    <col min="11521" max="11529" width="9.625" style="56" customWidth="1"/>
    <col min="11530" max="11530" width="5.75" style="56" bestFit="1" customWidth="1"/>
    <col min="11531" max="11531" width="33.625" style="56" customWidth="1"/>
    <col min="11532" max="11532" width="2" style="56" customWidth="1"/>
    <col min="11533" max="11776" width="9" style="56"/>
    <col min="11777" max="11785" width="9.625" style="56" customWidth="1"/>
    <col min="11786" max="11786" width="5.75" style="56" bestFit="1" customWidth="1"/>
    <col min="11787" max="11787" width="33.625" style="56" customWidth="1"/>
    <col min="11788" max="11788" width="2" style="56" customWidth="1"/>
    <col min="11789" max="12032" width="9" style="56"/>
    <col min="12033" max="12041" width="9.625" style="56" customWidth="1"/>
    <col min="12042" max="12042" width="5.75" style="56" bestFit="1" customWidth="1"/>
    <col min="12043" max="12043" width="33.625" style="56" customWidth="1"/>
    <col min="12044" max="12044" width="2" style="56" customWidth="1"/>
    <col min="12045" max="12288" width="9" style="56"/>
    <col min="12289" max="12297" width="9.625" style="56" customWidth="1"/>
    <col min="12298" max="12298" width="5.75" style="56" bestFit="1" customWidth="1"/>
    <col min="12299" max="12299" width="33.625" style="56" customWidth="1"/>
    <col min="12300" max="12300" width="2" style="56" customWidth="1"/>
    <col min="12301" max="12544" width="9" style="56"/>
    <col min="12545" max="12553" width="9.625" style="56" customWidth="1"/>
    <col min="12554" max="12554" width="5.75" style="56" bestFit="1" customWidth="1"/>
    <col min="12555" max="12555" width="33.625" style="56" customWidth="1"/>
    <col min="12556" max="12556" width="2" style="56" customWidth="1"/>
    <col min="12557" max="12800" width="9" style="56"/>
    <col min="12801" max="12809" width="9.625" style="56" customWidth="1"/>
    <col min="12810" max="12810" width="5.75" style="56" bestFit="1" customWidth="1"/>
    <col min="12811" max="12811" width="33.625" style="56" customWidth="1"/>
    <col min="12812" max="12812" width="2" style="56" customWidth="1"/>
    <col min="12813" max="13056" width="9" style="56"/>
    <col min="13057" max="13065" width="9.625" style="56" customWidth="1"/>
    <col min="13066" max="13066" width="5.75" style="56" bestFit="1" customWidth="1"/>
    <col min="13067" max="13067" width="33.625" style="56" customWidth="1"/>
    <col min="13068" max="13068" width="2" style="56" customWidth="1"/>
    <col min="13069" max="13312" width="9" style="56"/>
    <col min="13313" max="13321" width="9.625" style="56" customWidth="1"/>
    <col min="13322" max="13322" width="5.75" style="56" bestFit="1" customWidth="1"/>
    <col min="13323" max="13323" width="33.625" style="56" customWidth="1"/>
    <col min="13324" max="13324" width="2" style="56" customWidth="1"/>
    <col min="13325" max="13568" width="9" style="56"/>
    <col min="13569" max="13577" width="9.625" style="56" customWidth="1"/>
    <col min="13578" max="13578" width="5.75" style="56" bestFit="1" customWidth="1"/>
    <col min="13579" max="13579" width="33.625" style="56" customWidth="1"/>
    <col min="13580" max="13580" width="2" style="56" customWidth="1"/>
    <col min="13581" max="13824" width="9" style="56"/>
    <col min="13825" max="13833" width="9.625" style="56" customWidth="1"/>
    <col min="13834" max="13834" width="5.75" style="56" bestFit="1" customWidth="1"/>
    <col min="13835" max="13835" width="33.625" style="56" customWidth="1"/>
    <col min="13836" max="13836" width="2" style="56" customWidth="1"/>
    <col min="13837" max="14080" width="9" style="56"/>
    <col min="14081" max="14089" width="9.625" style="56" customWidth="1"/>
    <col min="14090" max="14090" width="5.75" style="56" bestFit="1" customWidth="1"/>
    <col min="14091" max="14091" width="33.625" style="56" customWidth="1"/>
    <col min="14092" max="14092" width="2" style="56" customWidth="1"/>
    <col min="14093" max="14336" width="9" style="56"/>
    <col min="14337" max="14345" width="9.625" style="56" customWidth="1"/>
    <col min="14346" max="14346" width="5.75" style="56" bestFit="1" customWidth="1"/>
    <col min="14347" max="14347" width="33.625" style="56" customWidth="1"/>
    <col min="14348" max="14348" width="2" style="56" customWidth="1"/>
    <col min="14349" max="14592" width="9" style="56"/>
    <col min="14593" max="14601" width="9.625" style="56" customWidth="1"/>
    <col min="14602" max="14602" width="5.75" style="56" bestFit="1" customWidth="1"/>
    <col min="14603" max="14603" width="33.625" style="56" customWidth="1"/>
    <col min="14604" max="14604" width="2" style="56" customWidth="1"/>
    <col min="14605" max="14848" width="9" style="56"/>
    <col min="14849" max="14857" width="9.625" style="56" customWidth="1"/>
    <col min="14858" max="14858" width="5.75" style="56" bestFit="1" customWidth="1"/>
    <col min="14859" max="14859" width="33.625" style="56" customWidth="1"/>
    <col min="14860" max="14860" width="2" style="56" customWidth="1"/>
    <col min="14861" max="15104" width="9" style="56"/>
    <col min="15105" max="15113" width="9.625" style="56" customWidth="1"/>
    <col min="15114" max="15114" width="5.75" style="56" bestFit="1" customWidth="1"/>
    <col min="15115" max="15115" width="33.625" style="56" customWidth="1"/>
    <col min="15116" max="15116" width="2" style="56" customWidth="1"/>
    <col min="15117" max="15360" width="9" style="56"/>
    <col min="15361" max="15369" width="9.625" style="56" customWidth="1"/>
    <col min="15370" max="15370" width="5.75" style="56" bestFit="1" customWidth="1"/>
    <col min="15371" max="15371" width="33.625" style="56" customWidth="1"/>
    <col min="15372" max="15372" width="2" style="56" customWidth="1"/>
    <col min="15373" max="15616" width="9" style="56"/>
    <col min="15617" max="15625" width="9.625" style="56" customWidth="1"/>
    <col min="15626" max="15626" width="5.75" style="56" bestFit="1" customWidth="1"/>
    <col min="15627" max="15627" width="33.625" style="56" customWidth="1"/>
    <col min="15628" max="15628" width="2" style="56" customWidth="1"/>
    <col min="15629" max="15872" width="9" style="56"/>
    <col min="15873" max="15881" width="9.625" style="56" customWidth="1"/>
    <col min="15882" max="15882" width="5.75" style="56" bestFit="1" customWidth="1"/>
    <col min="15883" max="15883" width="33.625" style="56" customWidth="1"/>
    <col min="15884" max="15884" width="2" style="56" customWidth="1"/>
    <col min="15885" max="16128" width="9" style="56"/>
    <col min="16129" max="16137" width="9.625" style="56" customWidth="1"/>
    <col min="16138" max="16138" width="5.75" style="56" bestFit="1" customWidth="1"/>
    <col min="16139" max="16139" width="33.625" style="56" customWidth="1"/>
    <col min="16140" max="16140" width="2" style="56" customWidth="1"/>
    <col min="16141" max="16384" width="9" style="56"/>
  </cols>
  <sheetData>
    <row r="1" spans="1:14" ht="12.75" customHeight="1" x14ac:dyDescent="0.2">
      <c r="A1" s="177" t="s">
        <v>548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4" ht="12.75" customHeight="1" thickBot="1" x14ac:dyDescent="0.25">
      <c r="A2" s="178" t="s">
        <v>549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4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94" t="s">
        <v>72</v>
      </c>
      <c r="K3" s="195"/>
      <c r="L3" s="55"/>
    </row>
    <row r="4" spans="1:14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96"/>
      <c r="K4" s="197"/>
      <c r="L4" s="55"/>
    </row>
    <row r="5" spans="1:14" ht="12.75" customHeight="1" thickBot="1" x14ac:dyDescent="0.25">
      <c r="A5" s="60">
        <f>SUM(B5:C5)</f>
        <v>43939</v>
      </c>
      <c r="B5" s="60">
        <f>H5+E5</f>
        <v>24955</v>
      </c>
      <c r="C5" s="60">
        <f>I5+F5</f>
        <v>18984</v>
      </c>
      <c r="D5" s="60">
        <f>SUM(E5:F5)</f>
        <v>869</v>
      </c>
      <c r="E5" s="60">
        <v>392</v>
      </c>
      <c r="F5" s="60">
        <v>477</v>
      </c>
      <c r="G5" s="60">
        <f>SUM(H5:I5)</f>
        <v>43070</v>
      </c>
      <c r="H5" s="60">
        <v>24563</v>
      </c>
      <c r="I5" s="60">
        <v>18507</v>
      </c>
      <c r="J5" s="65" t="s">
        <v>221</v>
      </c>
      <c r="K5" s="66"/>
      <c r="L5" s="55"/>
      <c r="N5" s="108"/>
    </row>
    <row r="6" spans="1:14" ht="12.75" customHeight="1" thickBot="1" x14ac:dyDescent="0.25">
      <c r="A6" s="60">
        <f t="shared" ref="A6:A69" si="0">SUM(B6:C6)</f>
        <v>1682</v>
      </c>
      <c r="B6" s="60">
        <f t="shared" ref="B6:C69" si="1">H6+E6</f>
        <v>1682</v>
      </c>
      <c r="C6" s="60">
        <f t="shared" si="1"/>
        <v>0</v>
      </c>
      <c r="D6" s="60">
        <f t="shared" ref="D6:D69" si="2">SUM(E6:F6)</f>
        <v>17</v>
      </c>
      <c r="E6" s="60">
        <v>17</v>
      </c>
      <c r="F6" s="60">
        <v>0</v>
      </c>
      <c r="G6" s="60">
        <f t="shared" ref="G6:G69" si="3">SUM(H6:I6)</f>
        <v>1665</v>
      </c>
      <c r="H6" s="60">
        <v>1665</v>
      </c>
      <c r="I6" s="60">
        <v>0</v>
      </c>
      <c r="J6" s="65" t="s">
        <v>222</v>
      </c>
      <c r="K6" s="66" t="s">
        <v>74</v>
      </c>
      <c r="L6" s="55"/>
      <c r="M6" s="63"/>
      <c r="N6" s="108"/>
    </row>
    <row r="7" spans="1:14" ht="12.75" customHeight="1" thickBot="1" x14ac:dyDescent="0.25">
      <c r="A7" s="60">
        <f t="shared" ref="A7:H7" si="4">SUM(A5:A6)</f>
        <v>45621</v>
      </c>
      <c r="B7" s="60">
        <f t="shared" si="4"/>
        <v>26637</v>
      </c>
      <c r="C7" s="60">
        <f t="shared" si="4"/>
        <v>18984</v>
      </c>
      <c r="D7" s="60">
        <f t="shared" si="4"/>
        <v>886</v>
      </c>
      <c r="E7" s="60">
        <f t="shared" si="4"/>
        <v>409</v>
      </c>
      <c r="F7" s="60">
        <f t="shared" si="4"/>
        <v>477</v>
      </c>
      <c r="G7" s="60">
        <f t="shared" si="4"/>
        <v>44735</v>
      </c>
      <c r="H7" s="60">
        <f t="shared" si="4"/>
        <v>26228</v>
      </c>
      <c r="I7" s="60">
        <f>SUM(I5:I6)</f>
        <v>18507</v>
      </c>
      <c r="J7" s="65" t="s">
        <v>13</v>
      </c>
      <c r="K7" s="67"/>
      <c r="L7" s="55"/>
      <c r="M7" s="63"/>
      <c r="N7" s="108"/>
    </row>
    <row r="8" spans="1:14" ht="12.75" customHeight="1" thickBot="1" x14ac:dyDescent="0.25">
      <c r="A8" s="60">
        <f t="shared" si="0"/>
        <v>5695</v>
      </c>
      <c r="B8" s="60">
        <f t="shared" si="1"/>
        <v>0</v>
      </c>
      <c r="C8" s="60">
        <f t="shared" si="1"/>
        <v>5695</v>
      </c>
      <c r="D8" s="60">
        <f t="shared" si="2"/>
        <v>2510</v>
      </c>
      <c r="E8" s="60">
        <v>0</v>
      </c>
      <c r="F8" s="60">
        <v>2510</v>
      </c>
      <c r="G8" s="60">
        <f t="shared" si="3"/>
        <v>3185</v>
      </c>
      <c r="H8" s="60">
        <v>0</v>
      </c>
      <c r="I8" s="60">
        <v>3185</v>
      </c>
      <c r="J8" s="65" t="s">
        <v>221</v>
      </c>
      <c r="K8" s="66"/>
      <c r="L8" s="55"/>
      <c r="M8" s="63"/>
      <c r="N8" s="108"/>
    </row>
    <row r="9" spans="1:14" ht="12.75" customHeight="1" thickBot="1" x14ac:dyDescent="0.25">
      <c r="A9" s="60">
        <f t="shared" si="0"/>
        <v>232</v>
      </c>
      <c r="B9" s="60">
        <f t="shared" si="1"/>
        <v>0</v>
      </c>
      <c r="C9" s="60">
        <f t="shared" si="1"/>
        <v>232</v>
      </c>
      <c r="D9" s="60">
        <f t="shared" si="2"/>
        <v>38</v>
      </c>
      <c r="E9" s="60">
        <v>0</v>
      </c>
      <c r="F9" s="60">
        <v>38</v>
      </c>
      <c r="G9" s="60">
        <f t="shared" si="3"/>
        <v>194</v>
      </c>
      <c r="H9" s="60">
        <v>0</v>
      </c>
      <c r="I9" s="60">
        <v>194</v>
      </c>
      <c r="J9" s="65" t="s">
        <v>222</v>
      </c>
      <c r="K9" s="66" t="s">
        <v>164</v>
      </c>
      <c r="L9" s="55"/>
      <c r="N9" s="108"/>
    </row>
    <row r="10" spans="1:14" ht="12.75" customHeight="1" thickBot="1" x14ac:dyDescent="0.25">
      <c r="A10" s="60">
        <f t="shared" ref="A10:H10" si="5">SUM(A8:A9)</f>
        <v>5927</v>
      </c>
      <c r="B10" s="60">
        <f t="shared" si="5"/>
        <v>0</v>
      </c>
      <c r="C10" s="60">
        <f t="shared" si="5"/>
        <v>5927</v>
      </c>
      <c r="D10" s="60">
        <f t="shared" si="5"/>
        <v>2548</v>
      </c>
      <c r="E10" s="60">
        <f t="shared" si="5"/>
        <v>0</v>
      </c>
      <c r="F10" s="60">
        <f t="shared" si="5"/>
        <v>2548</v>
      </c>
      <c r="G10" s="60">
        <f t="shared" si="5"/>
        <v>3379</v>
      </c>
      <c r="H10" s="60">
        <f t="shared" si="5"/>
        <v>0</v>
      </c>
      <c r="I10" s="60">
        <f>SUM(I8:I9)</f>
        <v>3379</v>
      </c>
      <c r="J10" s="65" t="s">
        <v>13</v>
      </c>
      <c r="K10" s="67"/>
      <c r="L10" s="55"/>
      <c r="M10" s="63"/>
      <c r="N10" s="63"/>
    </row>
    <row r="11" spans="1:14" ht="12.75" customHeight="1" thickBot="1" x14ac:dyDescent="0.25">
      <c r="A11" s="60">
        <f t="shared" si="0"/>
        <v>27440</v>
      </c>
      <c r="B11" s="60">
        <f t="shared" si="1"/>
        <v>11309</v>
      </c>
      <c r="C11" s="60">
        <f t="shared" si="1"/>
        <v>16131</v>
      </c>
      <c r="D11" s="60">
        <f t="shared" si="2"/>
        <v>580</v>
      </c>
      <c r="E11" s="60">
        <v>73</v>
      </c>
      <c r="F11" s="60">
        <v>507</v>
      </c>
      <c r="G11" s="60">
        <f t="shared" si="3"/>
        <v>26860</v>
      </c>
      <c r="H11" s="60">
        <v>11236</v>
      </c>
      <c r="I11" s="60">
        <v>15624</v>
      </c>
      <c r="J11" s="65" t="s">
        <v>221</v>
      </c>
      <c r="K11" s="66"/>
      <c r="L11" s="55"/>
      <c r="M11" s="63"/>
      <c r="N11" s="108"/>
    </row>
    <row r="12" spans="1:14" ht="12.75" customHeight="1" thickBot="1" x14ac:dyDescent="0.25">
      <c r="A12" s="60">
        <f t="shared" si="0"/>
        <v>6718</v>
      </c>
      <c r="B12" s="60">
        <f t="shared" si="1"/>
        <v>1928</v>
      </c>
      <c r="C12" s="60">
        <f t="shared" si="1"/>
        <v>4790</v>
      </c>
      <c r="D12" s="60">
        <f t="shared" si="2"/>
        <v>26</v>
      </c>
      <c r="E12" s="60">
        <v>12</v>
      </c>
      <c r="F12" s="60">
        <v>14</v>
      </c>
      <c r="G12" s="60">
        <f t="shared" si="3"/>
        <v>6692</v>
      </c>
      <c r="H12" s="60">
        <v>1916</v>
      </c>
      <c r="I12" s="60">
        <v>4776</v>
      </c>
      <c r="J12" s="65" t="s">
        <v>222</v>
      </c>
      <c r="K12" s="66" t="s">
        <v>76</v>
      </c>
      <c r="L12" s="55"/>
      <c r="N12" s="108"/>
    </row>
    <row r="13" spans="1:14" ht="12.75" customHeight="1" thickBot="1" x14ac:dyDescent="0.25">
      <c r="A13" s="60">
        <f t="shared" ref="A13:H13" si="6">SUM(A11:A12)</f>
        <v>34158</v>
      </c>
      <c r="B13" s="60">
        <f t="shared" si="6"/>
        <v>13237</v>
      </c>
      <c r="C13" s="60">
        <f t="shared" si="6"/>
        <v>20921</v>
      </c>
      <c r="D13" s="60">
        <f t="shared" si="6"/>
        <v>606</v>
      </c>
      <c r="E13" s="60">
        <f t="shared" si="6"/>
        <v>85</v>
      </c>
      <c r="F13" s="60">
        <f t="shared" si="6"/>
        <v>521</v>
      </c>
      <c r="G13" s="60">
        <f t="shared" si="6"/>
        <v>33552</v>
      </c>
      <c r="H13" s="60">
        <f t="shared" si="6"/>
        <v>13152</v>
      </c>
      <c r="I13" s="60">
        <f>SUM(I11:I12)</f>
        <v>20400</v>
      </c>
      <c r="J13" s="65" t="s">
        <v>13</v>
      </c>
      <c r="K13" s="67"/>
      <c r="L13" s="55"/>
      <c r="M13" s="63"/>
      <c r="N13" s="63"/>
    </row>
    <row r="14" spans="1:14" ht="12.75" customHeight="1" thickBot="1" x14ac:dyDescent="0.25">
      <c r="A14" s="60">
        <f t="shared" si="0"/>
        <v>54307</v>
      </c>
      <c r="B14" s="60">
        <f t="shared" si="1"/>
        <v>22566</v>
      </c>
      <c r="C14" s="60">
        <f t="shared" si="1"/>
        <v>31741</v>
      </c>
      <c r="D14" s="60">
        <f t="shared" si="2"/>
        <v>988</v>
      </c>
      <c r="E14" s="60">
        <v>444</v>
      </c>
      <c r="F14" s="60">
        <v>544</v>
      </c>
      <c r="G14" s="60">
        <f t="shared" si="3"/>
        <v>53319</v>
      </c>
      <c r="H14" s="60">
        <v>22122</v>
      </c>
      <c r="I14" s="60">
        <v>31197</v>
      </c>
      <c r="J14" s="65" t="s">
        <v>221</v>
      </c>
      <c r="K14" s="66"/>
      <c r="L14" s="55"/>
      <c r="M14" s="63"/>
      <c r="N14" s="108"/>
    </row>
    <row r="15" spans="1:14" ht="12.75" customHeight="1" thickBot="1" x14ac:dyDescent="0.25">
      <c r="A15" s="60">
        <f t="shared" si="0"/>
        <v>0</v>
      </c>
      <c r="B15" s="60">
        <f t="shared" si="1"/>
        <v>0</v>
      </c>
      <c r="C15" s="60">
        <f t="shared" si="1"/>
        <v>0</v>
      </c>
      <c r="D15" s="60">
        <f t="shared" si="2"/>
        <v>0</v>
      </c>
      <c r="E15" s="60">
        <v>0</v>
      </c>
      <c r="F15" s="60">
        <v>0</v>
      </c>
      <c r="G15" s="60">
        <f t="shared" si="3"/>
        <v>0</v>
      </c>
      <c r="H15" s="60">
        <v>0</v>
      </c>
      <c r="I15" s="60">
        <v>0</v>
      </c>
      <c r="J15" s="65" t="s">
        <v>222</v>
      </c>
      <c r="K15" s="66" t="s">
        <v>78</v>
      </c>
      <c r="L15" s="55"/>
      <c r="N15" s="108"/>
    </row>
    <row r="16" spans="1:14" ht="12.75" customHeight="1" thickBot="1" x14ac:dyDescent="0.25">
      <c r="A16" s="60">
        <f t="shared" ref="A16:H16" si="7">SUM(A14:A15)</f>
        <v>54307</v>
      </c>
      <c r="B16" s="60">
        <f t="shared" si="7"/>
        <v>22566</v>
      </c>
      <c r="C16" s="60">
        <f t="shared" si="7"/>
        <v>31741</v>
      </c>
      <c r="D16" s="60">
        <f t="shared" si="7"/>
        <v>988</v>
      </c>
      <c r="E16" s="60">
        <f t="shared" si="7"/>
        <v>444</v>
      </c>
      <c r="F16" s="60">
        <f t="shared" si="7"/>
        <v>544</v>
      </c>
      <c r="G16" s="60">
        <f t="shared" si="7"/>
        <v>53319</v>
      </c>
      <c r="H16" s="60">
        <f t="shared" si="7"/>
        <v>22122</v>
      </c>
      <c r="I16" s="60">
        <f>SUM(I14:I15)</f>
        <v>31197</v>
      </c>
      <c r="J16" s="65" t="s">
        <v>13</v>
      </c>
      <c r="K16" s="67"/>
      <c r="L16" s="55"/>
      <c r="M16" s="63"/>
      <c r="N16" s="63"/>
    </row>
    <row r="17" spans="1:14" ht="12.75" customHeight="1" thickBot="1" x14ac:dyDescent="0.25">
      <c r="A17" s="60">
        <f t="shared" si="0"/>
        <v>53939</v>
      </c>
      <c r="B17" s="60">
        <f t="shared" si="1"/>
        <v>33646</v>
      </c>
      <c r="C17" s="60">
        <f t="shared" si="1"/>
        <v>20293</v>
      </c>
      <c r="D17" s="60">
        <f t="shared" si="2"/>
        <v>1518</v>
      </c>
      <c r="E17" s="60">
        <v>966</v>
      </c>
      <c r="F17" s="60">
        <v>552</v>
      </c>
      <c r="G17" s="60">
        <f t="shared" si="3"/>
        <v>52421</v>
      </c>
      <c r="H17" s="60">
        <v>32680</v>
      </c>
      <c r="I17" s="60">
        <v>19741</v>
      </c>
      <c r="J17" s="65" t="s">
        <v>221</v>
      </c>
      <c r="K17" s="66"/>
      <c r="L17" s="55"/>
      <c r="M17" s="63"/>
      <c r="N17" s="108"/>
    </row>
    <row r="18" spans="1:14" ht="12.75" customHeight="1" thickBot="1" x14ac:dyDescent="0.25">
      <c r="A18" s="60">
        <f t="shared" si="0"/>
        <v>37581</v>
      </c>
      <c r="B18" s="60">
        <f t="shared" si="1"/>
        <v>13180</v>
      </c>
      <c r="C18" s="60">
        <f t="shared" si="1"/>
        <v>24401</v>
      </c>
      <c r="D18" s="60">
        <f t="shared" si="2"/>
        <v>1596</v>
      </c>
      <c r="E18" s="60">
        <v>1182</v>
      </c>
      <c r="F18" s="60">
        <v>414</v>
      </c>
      <c r="G18" s="60">
        <f t="shared" si="3"/>
        <v>35985</v>
      </c>
      <c r="H18" s="60">
        <v>11998</v>
      </c>
      <c r="I18" s="60">
        <v>23987</v>
      </c>
      <c r="J18" s="65" t="s">
        <v>222</v>
      </c>
      <c r="K18" s="66" t="s">
        <v>79</v>
      </c>
      <c r="L18" s="55"/>
      <c r="N18" s="108"/>
    </row>
    <row r="19" spans="1:14" ht="12.75" customHeight="1" thickBot="1" x14ac:dyDescent="0.25">
      <c r="A19" s="60">
        <f t="shared" ref="A19:H19" si="8">SUM(A17:A18)</f>
        <v>91520</v>
      </c>
      <c r="B19" s="60">
        <f t="shared" si="8"/>
        <v>46826</v>
      </c>
      <c r="C19" s="60">
        <f t="shared" si="8"/>
        <v>44694</v>
      </c>
      <c r="D19" s="60">
        <f t="shared" si="8"/>
        <v>3114</v>
      </c>
      <c r="E19" s="60">
        <f t="shared" si="8"/>
        <v>2148</v>
      </c>
      <c r="F19" s="60">
        <f t="shared" si="8"/>
        <v>966</v>
      </c>
      <c r="G19" s="60">
        <f t="shared" si="8"/>
        <v>88406</v>
      </c>
      <c r="H19" s="60">
        <f t="shared" si="8"/>
        <v>44678</v>
      </c>
      <c r="I19" s="60">
        <f>SUM(I17:I18)</f>
        <v>43728</v>
      </c>
      <c r="J19" s="65" t="s">
        <v>13</v>
      </c>
      <c r="K19" s="67"/>
      <c r="L19" s="55"/>
      <c r="M19" s="63"/>
      <c r="N19" s="63"/>
    </row>
    <row r="20" spans="1:14" ht="12.75" customHeight="1" thickBot="1" x14ac:dyDescent="0.25">
      <c r="A20" s="60">
        <f t="shared" si="0"/>
        <v>6522</v>
      </c>
      <c r="B20" s="60">
        <f t="shared" si="1"/>
        <v>0</v>
      </c>
      <c r="C20" s="60">
        <f t="shared" si="1"/>
        <v>6522</v>
      </c>
      <c r="D20" s="60">
        <f t="shared" si="2"/>
        <v>453</v>
      </c>
      <c r="E20" s="60">
        <v>0</v>
      </c>
      <c r="F20" s="60">
        <v>453</v>
      </c>
      <c r="G20" s="60">
        <f t="shared" si="3"/>
        <v>6069</v>
      </c>
      <c r="H20" s="60">
        <v>0</v>
      </c>
      <c r="I20" s="60">
        <v>6069</v>
      </c>
      <c r="J20" s="65" t="s">
        <v>221</v>
      </c>
      <c r="K20" s="66"/>
      <c r="L20" s="55"/>
      <c r="M20" s="63"/>
      <c r="N20" s="108"/>
    </row>
    <row r="21" spans="1:14" ht="12.75" customHeight="1" thickBot="1" x14ac:dyDescent="0.25">
      <c r="A21" s="60">
        <f t="shared" si="0"/>
        <v>0</v>
      </c>
      <c r="B21" s="60">
        <f t="shared" si="1"/>
        <v>0</v>
      </c>
      <c r="C21" s="60">
        <f t="shared" si="1"/>
        <v>0</v>
      </c>
      <c r="D21" s="60">
        <f t="shared" si="2"/>
        <v>0</v>
      </c>
      <c r="E21" s="60">
        <v>0</v>
      </c>
      <c r="F21" s="60">
        <v>0</v>
      </c>
      <c r="G21" s="60">
        <f t="shared" si="3"/>
        <v>0</v>
      </c>
      <c r="H21" s="60">
        <v>0</v>
      </c>
      <c r="I21" s="60">
        <v>0</v>
      </c>
      <c r="J21" s="65" t="s">
        <v>222</v>
      </c>
      <c r="K21" s="66" t="s">
        <v>98</v>
      </c>
      <c r="L21" s="55"/>
      <c r="N21" s="108"/>
    </row>
    <row r="22" spans="1:14" ht="12.75" customHeight="1" thickBot="1" x14ac:dyDescent="0.25">
      <c r="A22" s="60">
        <f t="shared" ref="A22:H22" si="9">SUM(A20:A21)</f>
        <v>6522</v>
      </c>
      <c r="B22" s="60">
        <f t="shared" si="9"/>
        <v>0</v>
      </c>
      <c r="C22" s="60">
        <f t="shared" si="9"/>
        <v>6522</v>
      </c>
      <c r="D22" s="60">
        <f t="shared" si="9"/>
        <v>453</v>
      </c>
      <c r="E22" s="60">
        <f t="shared" si="9"/>
        <v>0</v>
      </c>
      <c r="F22" s="60">
        <f t="shared" si="9"/>
        <v>453</v>
      </c>
      <c r="G22" s="60">
        <f t="shared" si="9"/>
        <v>6069</v>
      </c>
      <c r="H22" s="60">
        <f t="shared" si="9"/>
        <v>0</v>
      </c>
      <c r="I22" s="60">
        <f>SUM(I20:I21)</f>
        <v>6069</v>
      </c>
      <c r="J22" s="65" t="s">
        <v>13</v>
      </c>
      <c r="K22" s="67"/>
      <c r="L22" s="55"/>
      <c r="M22" s="63"/>
      <c r="N22" s="63"/>
    </row>
    <row r="23" spans="1:14" ht="12.75" customHeight="1" thickBot="1" x14ac:dyDescent="0.25">
      <c r="A23" s="60">
        <f t="shared" si="0"/>
        <v>44454</v>
      </c>
      <c r="B23" s="60">
        <f t="shared" si="1"/>
        <v>33849</v>
      </c>
      <c r="C23" s="60">
        <f t="shared" si="1"/>
        <v>10605</v>
      </c>
      <c r="D23" s="60">
        <f t="shared" si="2"/>
        <v>259</v>
      </c>
      <c r="E23" s="60">
        <v>161</v>
      </c>
      <c r="F23" s="60">
        <v>98</v>
      </c>
      <c r="G23" s="60">
        <f t="shared" si="3"/>
        <v>44195</v>
      </c>
      <c r="H23" s="60">
        <v>33688</v>
      </c>
      <c r="I23" s="60">
        <v>10507</v>
      </c>
      <c r="J23" s="65" t="s">
        <v>221</v>
      </c>
      <c r="K23" s="66"/>
      <c r="L23" s="55"/>
      <c r="M23" s="63"/>
      <c r="N23" s="108"/>
    </row>
    <row r="24" spans="1:14" ht="12.75" customHeight="1" thickBot="1" x14ac:dyDescent="0.25">
      <c r="A24" s="60">
        <f t="shared" si="0"/>
        <v>7203</v>
      </c>
      <c r="B24" s="60">
        <f t="shared" si="1"/>
        <v>7203</v>
      </c>
      <c r="C24" s="60">
        <f t="shared" si="1"/>
        <v>0</v>
      </c>
      <c r="D24" s="60">
        <f t="shared" si="2"/>
        <v>13</v>
      </c>
      <c r="E24" s="60">
        <v>13</v>
      </c>
      <c r="F24" s="60">
        <v>0</v>
      </c>
      <c r="G24" s="60">
        <f t="shared" si="3"/>
        <v>7190</v>
      </c>
      <c r="H24" s="60">
        <v>7190</v>
      </c>
      <c r="I24" s="60">
        <v>0</v>
      </c>
      <c r="J24" s="65" t="s">
        <v>222</v>
      </c>
      <c r="K24" s="66" t="s">
        <v>80</v>
      </c>
      <c r="L24" s="55"/>
      <c r="N24" s="108"/>
    </row>
    <row r="25" spans="1:14" ht="12.75" customHeight="1" thickBot="1" x14ac:dyDescent="0.25">
      <c r="A25" s="60">
        <f t="shared" ref="A25:H25" si="10">SUM(A23:A24)</f>
        <v>51657</v>
      </c>
      <c r="B25" s="60">
        <f t="shared" si="10"/>
        <v>41052</v>
      </c>
      <c r="C25" s="60">
        <f t="shared" si="10"/>
        <v>10605</v>
      </c>
      <c r="D25" s="60">
        <f t="shared" si="10"/>
        <v>272</v>
      </c>
      <c r="E25" s="60">
        <f t="shared" si="10"/>
        <v>174</v>
      </c>
      <c r="F25" s="60">
        <f t="shared" si="10"/>
        <v>98</v>
      </c>
      <c r="G25" s="60">
        <f t="shared" si="10"/>
        <v>51385</v>
      </c>
      <c r="H25" s="60">
        <f t="shared" si="10"/>
        <v>40878</v>
      </c>
      <c r="I25" s="60">
        <f>SUM(I23:I24)</f>
        <v>10507</v>
      </c>
      <c r="J25" s="65" t="s">
        <v>13</v>
      </c>
      <c r="K25" s="67"/>
      <c r="L25" s="55"/>
      <c r="M25" s="63"/>
      <c r="N25" s="63"/>
    </row>
    <row r="26" spans="1:14" ht="12.75" customHeight="1" thickBot="1" x14ac:dyDescent="0.25">
      <c r="A26" s="60">
        <f t="shared" si="0"/>
        <v>37549</v>
      </c>
      <c r="B26" s="60">
        <f t="shared" si="1"/>
        <v>26816</v>
      </c>
      <c r="C26" s="60">
        <f t="shared" si="1"/>
        <v>10733</v>
      </c>
      <c r="D26" s="60">
        <f t="shared" si="2"/>
        <v>98</v>
      </c>
      <c r="E26" s="60">
        <v>1</v>
      </c>
      <c r="F26" s="60">
        <v>97</v>
      </c>
      <c r="G26" s="60">
        <f t="shared" si="3"/>
        <v>37451</v>
      </c>
      <c r="H26" s="60">
        <v>26815</v>
      </c>
      <c r="I26" s="60">
        <v>10636</v>
      </c>
      <c r="J26" s="65" t="s">
        <v>221</v>
      </c>
      <c r="K26" s="66"/>
      <c r="L26" s="55"/>
      <c r="M26" s="63"/>
      <c r="N26" s="108"/>
    </row>
    <row r="27" spans="1:14" ht="12.75" customHeight="1" thickBot="1" x14ac:dyDescent="0.25">
      <c r="A27" s="60">
        <f t="shared" si="0"/>
        <v>6048</v>
      </c>
      <c r="B27" s="60">
        <f t="shared" si="1"/>
        <v>5514</v>
      </c>
      <c r="C27" s="60">
        <f t="shared" si="1"/>
        <v>534</v>
      </c>
      <c r="D27" s="60">
        <f t="shared" si="2"/>
        <v>0</v>
      </c>
      <c r="E27" s="60">
        <v>0</v>
      </c>
      <c r="F27" s="60">
        <v>0</v>
      </c>
      <c r="G27" s="60">
        <f t="shared" si="3"/>
        <v>6048</v>
      </c>
      <c r="H27" s="60">
        <v>5514</v>
      </c>
      <c r="I27" s="60">
        <v>534</v>
      </c>
      <c r="J27" s="65" t="s">
        <v>222</v>
      </c>
      <c r="K27" s="66" t="s">
        <v>81</v>
      </c>
      <c r="L27" s="55"/>
      <c r="N27" s="108"/>
    </row>
    <row r="28" spans="1:14" ht="12.75" customHeight="1" thickBot="1" x14ac:dyDescent="0.25">
      <c r="A28" s="60">
        <f t="shared" ref="A28:H28" si="11">SUM(A26:A27)</f>
        <v>43597</v>
      </c>
      <c r="B28" s="60">
        <f t="shared" si="11"/>
        <v>32330</v>
      </c>
      <c r="C28" s="60">
        <f t="shared" si="11"/>
        <v>11267</v>
      </c>
      <c r="D28" s="60">
        <f t="shared" si="11"/>
        <v>98</v>
      </c>
      <c r="E28" s="60">
        <f t="shared" si="11"/>
        <v>1</v>
      </c>
      <c r="F28" s="60">
        <f t="shared" si="11"/>
        <v>97</v>
      </c>
      <c r="G28" s="60">
        <f t="shared" si="11"/>
        <v>43499</v>
      </c>
      <c r="H28" s="60">
        <f t="shared" si="11"/>
        <v>32329</v>
      </c>
      <c r="I28" s="60">
        <f>SUM(I26:I27)</f>
        <v>11170</v>
      </c>
      <c r="J28" s="65" t="s">
        <v>13</v>
      </c>
      <c r="K28" s="67"/>
      <c r="L28" s="55"/>
      <c r="M28" s="63"/>
      <c r="N28" s="63"/>
    </row>
    <row r="29" spans="1:14" ht="12.75" customHeight="1" thickBot="1" x14ac:dyDescent="0.25">
      <c r="A29" s="60">
        <f t="shared" si="0"/>
        <v>35200</v>
      </c>
      <c r="B29" s="60">
        <f t="shared" si="1"/>
        <v>19886</v>
      </c>
      <c r="C29" s="60">
        <f t="shared" si="1"/>
        <v>15314</v>
      </c>
      <c r="D29" s="60">
        <f t="shared" si="2"/>
        <v>86</v>
      </c>
      <c r="E29" s="60">
        <v>10</v>
      </c>
      <c r="F29" s="60">
        <v>76</v>
      </c>
      <c r="G29" s="60">
        <f t="shared" si="3"/>
        <v>35114</v>
      </c>
      <c r="H29" s="60">
        <v>19876</v>
      </c>
      <c r="I29" s="60">
        <v>15238</v>
      </c>
      <c r="J29" s="65" t="s">
        <v>221</v>
      </c>
      <c r="K29" s="66"/>
      <c r="L29" s="55"/>
      <c r="M29" s="63"/>
      <c r="N29" s="108"/>
    </row>
    <row r="30" spans="1:14" ht="12.75" customHeight="1" thickBot="1" x14ac:dyDescent="0.25">
      <c r="A30" s="60">
        <f t="shared" si="0"/>
        <v>2995</v>
      </c>
      <c r="B30" s="60">
        <f t="shared" si="1"/>
        <v>2978</v>
      </c>
      <c r="C30" s="60">
        <f t="shared" si="1"/>
        <v>17</v>
      </c>
      <c r="D30" s="60">
        <f t="shared" si="2"/>
        <v>0</v>
      </c>
      <c r="E30" s="60">
        <v>0</v>
      </c>
      <c r="F30" s="60">
        <v>0</v>
      </c>
      <c r="G30" s="60">
        <f t="shared" si="3"/>
        <v>2995</v>
      </c>
      <c r="H30" s="60">
        <v>2978</v>
      </c>
      <c r="I30" s="60">
        <v>17</v>
      </c>
      <c r="J30" s="65" t="s">
        <v>222</v>
      </c>
      <c r="K30" s="66" t="s">
        <v>108</v>
      </c>
      <c r="L30" s="55"/>
      <c r="N30" s="108"/>
    </row>
    <row r="31" spans="1:14" ht="12.75" customHeight="1" thickBot="1" x14ac:dyDescent="0.25">
      <c r="A31" s="60">
        <f t="shared" ref="A31:H31" si="12">SUM(A29:A30)</f>
        <v>38195</v>
      </c>
      <c r="B31" s="60">
        <f t="shared" si="12"/>
        <v>22864</v>
      </c>
      <c r="C31" s="60">
        <f t="shared" si="12"/>
        <v>15331</v>
      </c>
      <c r="D31" s="60">
        <f t="shared" si="12"/>
        <v>86</v>
      </c>
      <c r="E31" s="60">
        <f t="shared" si="12"/>
        <v>10</v>
      </c>
      <c r="F31" s="60">
        <f t="shared" si="12"/>
        <v>76</v>
      </c>
      <c r="G31" s="60">
        <f t="shared" si="12"/>
        <v>38109</v>
      </c>
      <c r="H31" s="60">
        <f t="shared" si="12"/>
        <v>22854</v>
      </c>
      <c r="I31" s="60">
        <f>SUM(I29:I30)</f>
        <v>15255</v>
      </c>
      <c r="J31" s="65" t="s">
        <v>13</v>
      </c>
      <c r="K31" s="67"/>
      <c r="L31" s="55"/>
      <c r="M31" s="63"/>
      <c r="N31" s="63"/>
    </row>
    <row r="32" spans="1:14" ht="12.75" customHeight="1" thickBot="1" x14ac:dyDescent="0.25">
      <c r="A32" s="60">
        <f t="shared" si="0"/>
        <v>30561</v>
      </c>
      <c r="B32" s="60">
        <f t="shared" si="1"/>
        <v>21314</v>
      </c>
      <c r="C32" s="60">
        <f t="shared" si="1"/>
        <v>9247</v>
      </c>
      <c r="D32" s="60">
        <f t="shared" si="2"/>
        <v>318</v>
      </c>
      <c r="E32" s="60">
        <v>212</v>
      </c>
      <c r="F32" s="60">
        <v>106</v>
      </c>
      <c r="G32" s="60">
        <f t="shared" si="3"/>
        <v>30243</v>
      </c>
      <c r="H32" s="60">
        <v>21102</v>
      </c>
      <c r="I32" s="60">
        <v>9141</v>
      </c>
      <c r="J32" s="65" t="s">
        <v>221</v>
      </c>
      <c r="K32" s="66"/>
      <c r="L32" s="55"/>
      <c r="M32" s="63"/>
      <c r="N32" s="108"/>
    </row>
    <row r="33" spans="1:14" ht="12.75" customHeight="1" thickBot="1" x14ac:dyDescent="0.25">
      <c r="A33" s="60">
        <f t="shared" si="0"/>
        <v>1659</v>
      </c>
      <c r="B33" s="60">
        <f t="shared" si="1"/>
        <v>1593</v>
      </c>
      <c r="C33" s="60">
        <f t="shared" si="1"/>
        <v>66</v>
      </c>
      <c r="D33" s="60">
        <f t="shared" si="2"/>
        <v>0</v>
      </c>
      <c r="E33" s="60">
        <v>0</v>
      </c>
      <c r="F33" s="60">
        <v>0</v>
      </c>
      <c r="G33" s="60">
        <f t="shared" si="3"/>
        <v>1659</v>
      </c>
      <c r="H33" s="60">
        <v>1593</v>
      </c>
      <c r="I33" s="60">
        <v>66</v>
      </c>
      <c r="J33" s="65" t="s">
        <v>222</v>
      </c>
      <c r="K33" s="66" t="s">
        <v>82</v>
      </c>
      <c r="L33" s="55"/>
      <c r="N33" s="108"/>
    </row>
    <row r="34" spans="1:14" ht="12.75" customHeight="1" thickBot="1" x14ac:dyDescent="0.25">
      <c r="A34" s="60">
        <f t="shared" ref="A34:H34" si="13">SUM(A32:A33)</f>
        <v>32220</v>
      </c>
      <c r="B34" s="60">
        <f t="shared" si="13"/>
        <v>22907</v>
      </c>
      <c r="C34" s="60">
        <f t="shared" si="13"/>
        <v>9313</v>
      </c>
      <c r="D34" s="60">
        <f t="shared" si="13"/>
        <v>318</v>
      </c>
      <c r="E34" s="60">
        <f t="shared" si="13"/>
        <v>212</v>
      </c>
      <c r="F34" s="60">
        <f t="shared" si="13"/>
        <v>106</v>
      </c>
      <c r="G34" s="60">
        <f t="shared" si="13"/>
        <v>31902</v>
      </c>
      <c r="H34" s="60">
        <f t="shared" si="13"/>
        <v>22695</v>
      </c>
      <c r="I34" s="60">
        <f>SUM(I32:I33)</f>
        <v>9207</v>
      </c>
      <c r="J34" s="65" t="s">
        <v>13</v>
      </c>
      <c r="K34" s="67"/>
      <c r="L34" s="55"/>
      <c r="M34" s="63"/>
      <c r="N34" s="63"/>
    </row>
    <row r="35" spans="1:14" ht="12.75" customHeight="1" thickBot="1" x14ac:dyDescent="0.25">
      <c r="A35" s="60">
        <f t="shared" si="0"/>
        <v>22498</v>
      </c>
      <c r="B35" s="60">
        <f t="shared" si="1"/>
        <v>14499</v>
      </c>
      <c r="C35" s="60">
        <f t="shared" si="1"/>
        <v>7999</v>
      </c>
      <c r="D35" s="60">
        <f t="shared" si="2"/>
        <v>160</v>
      </c>
      <c r="E35" s="60">
        <v>94</v>
      </c>
      <c r="F35" s="60">
        <v>66</v>
      </c>
      <c r="G35" s="60">
        <f t="shared" si="3"/>
        <v>22338</v>
      </c>
      <c r="H35" s="60">
        <v>14405</v>
      </c>
      <c r="I35" s="60">
        <v>7933</v>
      </c>
      <c r="J35" s="65" t="s">
        <v>221</v>
      </c>
      <c r="K35" s="66"/>
      <c r="L35" s="55"/>
      <c r="M35" s="63"/>
      <c r="N35" s="108"/>
    </row>
    <row r="36" spans="1:14" ht="12.75" customHeight="1" thickBot="1" x14ac:dyDescent="0.25">
      <c r="A36" s="60">
        <f t="shared" si="0"/>
        <v>3105</v>
      </c>
      <c r="B36" s="60">
        <f t="shared" si="1"/>
        <v>3105</v>
      </c>
      <c r="C36" s="60">
        <f t="shared" si="1"/>
        <v>0</v>
      </c>
      <c r="D36" s="60">
        <f t="shared" si="2"/>
        <v>0</v>
      </c>
      <c r="E36" s="60">
        <v>0</v>
      </c>
      <c r="F36" s="60">
        <v>0</v>
      </c>
      <c r="G36" s="60">
        <f t="shared" si="3"/>
        <v>3105</v>
      </c>
      <c r="H36" s="60">
        <v>3105</v>
      </c>
      <c r="I36" s="60">
        <v>0</v>
      </c>
      <c r="J36" s="65" t="s">
        <v>222</v>
      </c>
      <c r="K36" s="66" t="s">
        <v>83</v>
      </c>
      <c r="L36" s="55"/>
      <c r="N36" s="108"/>
    </row>
    <row r="37" spans="1:14" ht="12.75" customHeight="1" thickBot="1" x14ac:dyDescent="0.25">
      <c r="A37" s="60">
        <f t="shared" ref="A37:H37" si="14">SUM(A35:A36)</f>
        <v>25603</v>
      </c>
      <c r="B37" s="60">
        <f t="shared" si="14"/>
        <v>17604</v>
      </c>
      <c r="C37" s="60">
        <f t="shared" si="14"/>
        <v>7999</v>
      </c>
      <c r="D37" s="60">
        <f t="shared" si="14"/>
        <v>160</v>
      </c>
      <c r="E37" s="60">
        <f t="shared" si="14"/>
        <v>94</v>
      </c>
      <c r="F37" s="60">
        <f t="shared" si="14"/>
        <v>66</v>
      </c>
      <c r="G37" s="60">
        <f t="shared" si="14"/>
        <v>25443</v>
      </c>
      <c r="H37" s="60">
        <f t="shared" si="14"/>
        <v>17510</v>
      </c>
      <c r="I37" s="60">
        <f>SUM(I35:I36)</f>
        <v>7933</v>
      </c>
      <c r="J37" s="65" t="s">
        <v>13</v>
      </c>
      <c r="K37" s="67"/>
      <c r="L37" s="55"/>
      <c r="M37" s="63"/>
      <c r="N37" s="63"/>
    </row>
    <row r="38" spans="1:14" ht="12.75" customHeight="1" thickBot="1" x14ac:dyDescent="0.25">
      <c r="A38" s="60">
        <f t="shared" si="0"/>
        <v>799</v>
      </c>
      <c r="B38" s="60">
        <f t="shared" si="1"/>
        <v>645</v>
      </c>
      <c r="C38" s="60">
        <f t="shared" si="1"/>
        <v>154</v>
      </c>
      <c r="D38" s="60">
        <f t="shared" si="2"/>
        <v>4</v>
      </c>
      <c r="E38" s="60">
        <v>4</v>
      </c>
      <c r="F38" s="60">
        <v>0</v>
      </c>
      <c r="G38" s="60">
        <f t="shared" si="3"/>
        <v>795</v>
      </c>
      <c r="H38" s="60">
        <v>641</v>
      </c>
      <c r="I38" s="60">
        <v>154</v>
      </c>
      <c r="J38" s="65" t="s">
        <v>221</v>
      </c>
      <c r="K38" s="66"/>
      <c r="L38" s="55"/>
      <c r="M38" s="63"/>
      <c r="N38" s="108"/>
    </row>
    <row r="39" spans="1:14" ht="12.75" customHeight="1" thickBot="1" x14ac:dyDescent="0.25">
      <c r="A39" s="60">
        <f t="shared" si="0"/>
        <v>0</v>
      </c>
      <c r="B39" s="60">
        <f t="shared" si="1"/>
        <v>0</v>
      </c>
      <c r="C39" s="60">
        <f t="shared" si="1"/>
        <v>0</v>
      </c>
      <c r="D39" s="60">
        <f t="shared" si="2"/>
        <v>0</v>
      </c>
      <c r="E39" s="60">
        <v>0</v>
      </c>
      <c r="F39" s="60">
        <v>0</v>
      </c>
      <c r="G39" s="60">
        <f t="shared" si="3"/>
        <v>0</v>
      </c>
      <c r="H39" s="60">
        <v>0</v>
      </c>
      <c r="I39" s="60">
        <v>0</v>
      </c>
      <c r="J39" s="65" t="s">
        <v>222</v>
      </c>
      <c r="K39" s="66" t="s">
        <v>165</v>
      </c>
      <c r="L39" s="55"/>
      <c r="N39" s="108"/>
    </row>
    <row r="40" spans="1:14" ht="12.75" customHeight="1" thickBot="1" x14ac:dyDescent="0.25">
      <c r="A40" s="60">
        <f t="shared" ref="A40:H40" si="15">SUM(A38:A39)</f>
        <v>799</v>
      </c>
      <c r="B40" s="60">
        <f t="shared" si="15"/>
        <v>645</v>
      </c>
      <c r="C40" s="60">
        <f t="shared" si="15"/>
        <v>154</v>
      </c>
      <c r="D40" s="60">
        <f t="shared" si="15"/>
        <v>4</v>
      </c>
      <c r="E40" s="60">
        <f t="shared" si="15"/>
        <v>4</v>
      </c>
      <c r="F40" s="60">
        <f t="shared" si="15"/>
        <v>0</v>
      </c>
      <c r="G40" s="60">
        <f t="shared" si="15"/>
        <v>795</v>
      </c>
      <c r="H40" s="60">
        <f t="shared" si="15"/>
        <v>641</v>
      </c>
      <c r="I40" s="60">
        <f>SUM(I38:I39)</f>
        <v>154</v>
      </c>
      <c r="J40" s="65" t="s">
        <v>13</v>
      </c>
      <c r="K40" s="67"/>
      <c r="L40" s="55"/>
      <c r="M40" s="63"/>
      <c r="N40" s="63"/>
    </row>
    <row r="41" spans="1:14" ht="12.75" customHeight="1" thickBot="1" x14ac:dyDescent="0.25">
      <c r="A41" s="60">
        <f t="shared" si="0"/>
        <v>16228</v>
      </c>
      <c r="B41" s="60">
        <f t="shared" si="1"/>
        <v>10852</v>
      </c>
      <c r="C41" s="60">
        <f t="shared" si="1"/>
        <v>5376</v>
      </c>
      <c r="D41" s="60">
        <f t="shared" si="2"/>
        <v>25</v>
      </c>
      <c r="E41" s="60">
        <v>25</v>
      </c>
      <c r="F41" s="60">
        <v>0</v>
      </c>
      <c r="G41" s="60">
        <f t="shared" si="3"/>
        <v>16203</v>
      </c>
      <c r="H41" s="60">
        <v>10827</v>
      </c>
      <c r="I41" s="60">
        <v>5376</v>
      </c>
      <c r="J41" s="65" t="s">
        <v>221</v>
      </c>
      <c r="K41" s="66"/>
      <c r="L41" s="55"/>
      <c r="M41" s="63"/>
      <c r="N41" s="108"/>
    </row>
    <row r="42" spans="1:14" ht="12.75" customHeight="1" thickBot="1" x14ac:dyDescent="0.25">
      <c r="A42" s="60">
        <f t="shared" si="0"/>
        <v>4694</v>
      </c>
      <c r="B42" s="60">
        <f t="shared" si="1"/>
        <v>4694</v>
      </c>
      <c r="C42" s="60">
        <f t="shared" si="1"/>
        <v>0</v>
      </c>
      <c r="D42" s="60">
        <f t="shared" si="2"/>
        <v>18</v>
      </c>
      <c r="E42" s="60">
        <v>18</v>
      </c>
      <c r="F42" s="60">
        <v>0</v>
      </c>
      <c r="G42" s="60">
        <f t="shared" si="3"/>
        <v>4676</v>
      </c>
      <c r="H42" s="60">
        <v>4676</v>
      </c>
      <c r="I42" s="60">
        <v>0</v>
      </c>
      <c r="J42" s="65" t="s">
        <v>222</v>
      </c>
      <c r="K42" s="66" t="s">
        <v>115</v>
      </c>
      <c r="L42" s="55"/>
      <c r="N42" s="108"/>
    </row>
    <row r="43" spans="1:14" ht="12.75" customHeight="1" thickBot="1" x14ac:dyDescent="0.25">
      <c r="A43" s="60">
        <f t="shared" ref="A43:H43" si="16">SUM(A41:A42)</f>
        <v>20922</v>
      </c>
      <c r="B43" s="60">
        <f t="shared" si="16"/>
        <v>15546</v>
      </c>
      <c r="C43" s="60">
        <f t="shared" si="16"/>
        <v>5376</v>
      </c>
      <c r="D43" s="60">
        <f t="shared" si="16"/>
        <v>43</v>
      </c>
      <c r="E43" s="60">
        <f t="shared" si="16"/>
        <v>43</v>
      </c>
      <c r="F43" s="60">
        <f t="shared" si="16"/>
        <v>0</v>
      </c>
      <c r="G43" s="60">
        <f t="shared" si="16"/>
        <v>20879</v>
      </c>
      <c r="H43" s="60">
        <f t="shared" si="16"/>
        <v>15503</v>
      </c>
      <c r="I43" s="60">
        <f>SUM(I41:I42)</f>
        <v>5376</v>
      </c>
      <c r="J43" s="65" t="s">
        <v>13</v>
      </c>
      <c r="K43" s="67"/>
      <c r="L43" s="55"/>
      <c r="M43" s="63"/>
      <c r="N43" s="63"/>
    </row>
    <row r="44" spans="1:14" ht="12.75" customHeight="1" thickBot="1" x14ac:dyDescent="0.25">
      <c r="A44" s="60">
        <f t="shared" si="0"/>
        <v>13307</v>
      </c>
      <c r="B44" s="60">
        <f t="shared" si="1"/>
        <v>9450</v>
      </c>
      <c r="C44" s="60">
        <f t="shared" si="1"/>
        <v>3857</v>
      </c>
      <c r="D44" s="60">
        <f t="shared" si="2"/>
        <v>58</v>
      </c>
      <c r="E44" s="60">
        <v>0</v>
      </c>
      <c r="F44" s="60">
        <v>58</v>
      </c>
      <c r="G44" s="60">
        <f t="shared" si="3"/>
        <v>13249</v>
      </c>
      <c r="H44" s="60">
        <v>9450</v>
      </c>
      <c r="I44" s="60">
        <v>3799</v>
      </c>
      <c r="J44" s="65" t="s">
        <v>221</v>
      </c>
      <c r="K44" s="66"/>
      <c r="L44" s="55"/>
      <c r="M44" s="63"/>
      <c r="N44" s="108"/>
    </row>
    <row r="45" spans="1:14" ht="12.75" customHeight="1" thickBot="1" x14ac:dyDescent="0.25">
      <c r="A45" s="60">
        <f t="shared" si="0"/>
        <v>1840</v>
      </c>
      <c r="B45" s="60">
        <f t="shared" si="1"/>
        <v>1840</v>
      </c>
      <c r="C45" s="60">
        <f t="shared" si="1"/>
        <v>0</v>
      </c>
      <c r="D45" s="60">
        <f t="shared" si="2"/>
        <v>0</v>
      </c>
      <c r="E45" s="60">
        <v>0</v>
      </c>
      <c r="F45" s="60">
        <v>0</v>
      </c>
      <c r="G45" s="60">
        <f t="shared" si="3"/>
        <v>1840</v>
      </c>
      <c r="H45" s="60">
        <v>1840</v>
      </c>
      <c r="I45" s="60">
        <v>0</v>
      </c>
      <c r="J45" s="65" t="s">
        <v>222</v>
      </c>
      <c r="K45" s="66" t="s">
        <v>118</v>
      </c>
      <c r="L45" s="55"/>
      <c r="N45" s="108"/>
    </row>
    <row r="46" spans="1:14" ht="12.75" customHeight="1" thickBot="1" x14ac:dyDescent="0.25">
      <c r="A46" s="60">
        <f t="shared" ref="A46:H46" si="17">SUM(A44:A45)</f>
        <v>15147</v>
      </c>
      <c r="B46" s="60">
        <f t="shared" si="17"/>
        <v>11290</v>
      </c>
      <c r="C46" s="60">
        <f t="shared" si="17"/>
        <v>3857</v>
      </c>
      <c r="D46" s="60">
        <f t="shared" si="17"/>
        <v>58</v>
      </c>
      <c r="E46" s="60">
        <f t="shared" si="17"/>
        <v>0</v>
      </c>
      <c r="F46" s="60">
        <f t="shared" si="17"/>
        <v>58</v>
      </c>
      <c r="G46" s="60">
        <f t="shared" si="17"/>
        <v>15089</v>
      </c>
      <c r="H46" s="60">
        <f t="shared" si="17"/>
        <v>11290</v>
      </c>
      <c r="I46" s="60">
        <f>SUM(I44:I45)</f>
        <v>3799</v>
      </c>
      <c r="J46" s="65" t="s">
        <v>13</v>
      </c>
      <c r="K46" s="67"/>
      <c r="L46" s="55"/>
      <c r="M46" s="63"/>
      <c r="N46" s="63"/>
    </row>
    <row r="47" spans="1:14" ht="12.75" customHeight="1" thickBot="1" x14ac:dyDescent="0.25">
      <c r="A47" s="60">
        <f t="shared" si="0"/>
        <v>15068</v>
      </c>
      <c r="B47" s="60">
        <f t="shared" si="1"/>
        <v>7207</v>
      </c>
      <c r="C47" s="60">
        <f t="shared" si="1"/>
        <v>7861</v>
      </c>
      <c r="D47" s="60">
        <f t="shared" si="2"/>
        <v>1</v>
      </c>
      <c r="E47" s="60">
        <v>1</v>
      </c>
      <c r="F47" s="60">
        <v>0</v>
      </c>
      <c r="G47" s="60">
        <f>SUM(H47:I47)</f>
        <v>15067</v>
      </c>
      <c r="H47" s="60">
        <v>7206</v>
      </c>
      <c r="I47" s="60">
        <v>7861</v>
      </c>
      <c r="J47" s="65" t="s">
        <v>221</v>
      </c>
      <c r="K47" s="66"/>
      <c r="L47" s="55"/>
      <c r="M47" s="63"/>
      <c r="N47" s="108"/>
    </row>
    <row r="48" spans="1:14" ht="12.75" customHeight="1" thickBot="1" x14ac:dyDescent="0.25">
      <c r="A48" s="60">
        <f t="shared" si="0"/>
        <v>448</v>
      </c>
      <c r="B48" s="60">
        <f t="shared" si="1"/>
        <v>448</v>
      </c>
      <c r="C48" s="60">
        <f t="shared" si="1"/>
        <v>0</v>
      </c>
      <c r="D48" s="60">
        <f t="shared" si="2"/>
        <v>0</v>
      </c>
      <c r="E48" s="60">
        <v>0</v>
      </c>
      <c r="F48" s="60">
        <v>0</v>
      </c>
      <c r="G48" s="60">
        <f t="shared" si="3"/>
        <v>448</v>
      </c>
      <c r="H48" s="60">
        <v>448</v>
      </c>
      <c r="I48" s="60">
        <v>0</v>
      </c>
      <c r="J48" s="65" t="s">
        <v>222</v>
      </c>
      <c r="K48" s="66" t="s">
        <v>120</v>
      </c>
      <c r="L48" s="55"/>
      <c r="N48" s="108"/>
    </row>
    <row r="49" spans="1:14" ht="12.75" customHeight="1" thickBot="1" x14ac:dyDescent="0.25">
      <c r="A49" s="60">
        <f t="shared" ref="A49:H49" si="18">SUM(A47:A48)</f>
        <v>15516</v>
      </c>
      <c r="B49" s="60">
        <f t="shared" si="18"/>
        <v>7655</v>
      </c>
      <c r="C49" s="60">
        <f t="shared" si="18"/>
        <v>7861</v>
      </c>
      <c r="D49" s="60">
        <f t="shared" si="18"/>
        <v>1</v>
      </c>
      <c r="E49" s="60">
        <f t="shared" si="18"/>
        <v>1</v>
      </c>
      <c r="F49" s="60">
        <f t="shared" si="18"/>
        <v>0</v>
      </c>
      <c r="G49" s="60">
        <f t="shared" si="18"/>
        <v>15515</v>
      </c>
      <c r="H49" s="60">
        <f t="shared" si="18"/>
        <v>7654</v>
      </c>
      <c r="I49" s="60">
        <f>SUM(I47:I48)</f>
        <v>7861</v>
      </c>
      <c r="J49" s="65" t="s">
        <v>13</v>
      </c>
      <c r="K49" s="67"/>
      <c r="L49" s="55"/>
      <c r="M49" s="63"/>
      <c r="N49" s="63"/>
    </row>
    <row r="50" spans="1:14" ht="12.75" customHeight="1" thickBot="1" x14ac:dyDescent="0.25">
      <c r="A50" s="60">
        <f t="shared" si="0"/>
        <v>10462</v>
      </c>
      <c r="B50" s="60">
        <f t="shared" si="1"/>
        <v>7670</v>
      </c>
      <c r="C50" s="60">
        <f t="shared" si="1"/>
        <v>2792</v>
      </c>
      <c r="D50" s="60">
        <f t="shared" si="2"/>
        <v>8</v>
      </c>
      <c r="E50" s="60">
        <v>8</v>
      </c>
      <c r="F50" s="60">
        <v>0</v>
      </c>
      <c r="G50" s="60">
        <f t="shared" si="3"/>
        <v>10454</v>
      </c>
      <c r="H50" s="60">
        <v>7662</v>
      </c>
      <c r="I50" s="60">
        <v>2792</v>
      </c>
      <c r="J50" s="65" t="s">
        <v>221</v>
      </c>
      <c r="K50" s="66"/>
      <c r="L50" s="55"/>
      <c r="M50" s="63"/>
      <c r="N50" s="108"/>
    </row>
    <row r="51" spans="1:14" ht="12.75" customHeight="1" thickBot="1" x14ac:dyDescent="0.25">
      <c r="A51" s="60">
        <f t="shared" si="0"/>
        <v>1155</v>
      </c>
      <c r="B51" s="60">
        <f t="shared" si="1"/>
        <v>1155</v>
      </c>
      <c r="C51" s="60">
        <f t="shared" si="1"/>
        <v>0</v>
      </c>
      <c r="D51" s="60">
        <f t="shared" si="2"/>
        <v>0</v>
      </c>
      <c r="E51" s="60">
        <v>0</v>
      </c>
      <c r="F51" s="60">
        <v>0</v>
      </c>
      <c r="G51" s="60">
        <f t="shared" si="3"/>
        <v>1155</v>
      </c>
      <c r="H51" s="60">
        <v>1155</v>
      </c>
      <c r="I51" s="60">
        <v>0</v>
      </c>
      <c r="J51" s="65" t="s">
        <v>222</v>
      </c>
      <c r="K51" s="66" t="s">
        <v>124</v>
      </c>
      <c r="L51" s="55"/>
      <c r="N51" s="108"/>
    </row>
    <row r="52" spans="1:14" ht="12.75" customHeight="1" thickBot="1" x14ac:dyDescent="0.25">
      <c r="A52" s="60">
        <f t="shared" ref="A52:H52" si="19">SUM(A50:A51)</f>
        <v>11617</v>
      </c>
      <c r="B52" s="60">
        <f t="shared" si="19"/>
        <v>8825</v>
      </c>
      <c r="C52" s="60">
        <f t="shared" si="19"/>
        <v>2792</v>
      </c>
      <c r="D52" s="60">
        <f t="shared" si="19"/>
        <v>8</v>
      </c>
      <c r="E52" s="60">
        <f t="shared" si="19"/>
        <v>8</v>
      </c>
      <c r="F52" s="60">
        <f t="shared" si="19"/>
        <v>0</v>
      </c>
      <c r="G52" s="60">
        <f t="shared" si="19"/>
        <v>11609</v>
      </c>
      <c r="H52" s="60">
        <f t="shared" si="19"/>
        <v>8817</v>
      </c>
      <c r="I52" s="60">
        <f>SUM(I50:I51)</f>
        <v>2792</v>
      </c>
      <c r="J52" s="65" t="s">
        <v>13</v>
      </c>
      <c r="K52" s="67"/>
      <c r="L52" s="55"/>
      <c r="M52" s="63"/>
      <c r="N52" s="63"/>
    </row>
    <row r="53" spans="1:14" ht="12.75" customHeight="1" thickBot="1" x14ac:dyDescent="0.25">
      <c r="A53" s="60">
        <f t="shared" si="0"/>
        <v>10750</v>
      </c>
      <c r="B53" s="60">
        <f t="shared" si="1"/>
        <v>8236</v>
      </c>
      <c r="C53" s="60">
        <f t="shared" si="1"/>
        <v>2514</v>
      </c>
      <c r="D53" s="60">
        <f t="shared" si="2"/>
        <v>8</v>
      </c>
      <c r="E53" s="60">
        <v>8</v>
      </c>
      <c r="F53" s="60">
        <v>0</v>
      </c>
      <c r="G53" s="60">
        <f t="shared" si="3"/>
        <v>10742</v>
      </c>
      <c r="H53" s="60">
        <v>8228</v>
      </c>
      <c r="I53" s="60">
        <v>2514</v>
      </c>
      <c r="J53" s="65" t="s">
        <v>221</v>
      </c>
      <c r="K53" s="66"/>
      <c r="L53" s="55"/>
      <c r="M53" s="63"/>
      <c r="N53" s="108"/>
    </row>
    <row r="54" spans="1:14" ht="12.75" customHeight="1" thickBot="1" x14ac:dyDescent="0.25">
      <c r="A54" s="60">
        <f t="shared" si="0"/>
        <v>739</v>
      </c>
      <c r="B54" s="60">
        <f t="shared" si="1"/>
        <v>739</v>
      </c>
      <c r="C54" s="60">
        <f t="shared" si="1"/>
        <v>0</v>
      </c>
      <c r="D54" s="60">
        <f t="shared" si="2"/>
        <v>0</v>
      </c>
      <c r="E54" s="60">
        <v>0</v>
      </c>
      <c r="F54" s="60">
        <v>0</v>
      </c>
      <c r="G54" s="60">
        <f t="shared" si="3"/>
        <v>739</v>
      </c>
      <c r="H54" s="60">
        <v>739</v>
      </c>
      <c r="I54" s="60">
        <v>0</v>
      </c>
      <c r="J54" s="65" t="s">
        <v>222</v>
      </c>
      <c r="K54" s="66" t="s">
        <v>126</v>
      </c>
      <c r="L54" s="55"/>
      <c r="N54" s="108"/>
    </row>
    <row r="55" spans="1:14" ht="12.75" customHeight="1" thickBot="1" x14ac:dyDescent="0.25">
      <c r="A55" s="60">
        <f t="shared" ref="A55:H55" si="20">SUM(A53:A54)</f>
        <v>11489</v>
      </c>
      <c r="B55" s="60">
        <f t="shared" si="20"/>
        <v>8975</v>
      </c>
      <c r="C55" s="60">
        <f t="shared" si="20"/>
        <v>2514</v>
      </c>
      <c r="D55" s="60">
        <f t="shared" si="20"/>
        <v>8</v>
      </c>
      <c r="E55" s="60">
        <f t="shared" si="20"/>
        <v>8</v>
      </c>
      <c r="F55" s="60">
        <f t="shared" si="20"/>
        <v>0</v>
      </c>
      <c r="G55" s="60">
        <f t="shared" si="20"/>
        <v>11481</v>
      </c>
      <c r="H55" s="60">
        <f t="shared" si="20"/>
        <v>8967</v>
      </c>
      <c r="I55" s="60">
        <f>SUM(I53:I54)</f>
        <v>2514</v>
      </c>
      <c r="J55" s="65" t="s">
        <v>13</v>
      </c>
      <c r="K55" s="67"/>
      <c r="L55" s="55"/>
      <c r="M55" s="63"/>
      <c r="N55" s="63"/>
    </row>
    <row r="56" spans="1:14" ht="12.75" customHeight="1" thickBot="1" x14ac:dyDescent="0.25">
      <c r="A56" s="60">
        <f t="shared" si="0"/>
        <v>5981</v>
      </c>
      <c r="B56" s="60">
        <f t="shared" si="1"/>
        <v>5355</v>
      </c>
      <c r="C56" s="60">
        <f t="shared" si="1"/>
        <v>626</v>
      </c>
      <c r="D56" s="60">
        <f t="shared" si="2"/>
        <v>19</v>
      </c>
      <c r="E56" s="60">
        <v>19</v>
      </c>
      <c r="F56" s="60">
        <v>0</v>
      </c>
      <c r="G56" s="60">
        <f t="shared" si="3"/>
        <v>5962</v>
      </c>
      <c r="H56" s="60">
        <v>5336</v>
      </c>
      <c r="I56" s="60">
        <v>626</v>
      </c>
      <c r="J56" s="65" t="s">
        <v>221</v>
      </c>
      <c r="K56" s="66"/>
      <c r="L56" s="55"/>
      <c r="M56" s="63"/>
      <c r="N56" s="108"/>
    </row>
    <row r="57" spans="1:14" ht="12.75" customHeight="1" thickBot="1" x14ac:dyDescent="0.25">
      <c r="A57" s="60">
        <f t="shared" si="0"/>
        <v>616</v>
      </c>
      <c r="B57" s="60">
        <f t="shared" si="1"/>
        <v>616</v>
      </c>
      <c r="C57" s="60">
        <f t="shared" si="1"/>
        <v>0</v>
      </c>
      <c r="D57" s="60">
        <f t="shared" si="2"/>
        <v>8</v>
      </c>
      <c r="E57" s="60">
        <v>8</v>
      </c>
      <c r="F57" s="60">
        <v>0</v>
      </c>
      <c r="G57" s="60">
        <f t="shared" si="3"/>
        <v>608</v>
      </c>
      <c r="H57" s="60">
        <v>608</v>
      </c>
      <c r="I57" s="60">
        <v>0</v>
      </c>
      <c r="J57" s="65" t="s">
        <v>222</v>
      </c>
      <c r="K57" s="66" t="s">
        <v>129</v>
      </c>
      <c r="L57" s="55"/>
      <c r="N57" s="108"/>
    </row>
    <row r="58" spans="1:14" ht="12.75" customHeight="1" thickBot="1" x14ac:dyDescent="0.25">
      <c r="A58" s="60">
        <f t="shared" ref="A58:H58" si="21">SUM(A56:A57)</f>
        <v>6597</v>
      </c>
      <c r="B58" s="60">
        <f t="shared" si="21"/>
        <v>5971</v>
      </c>
      <c r="C58" s="60">
        <f t="shared" si="21"/>
        <v>626</v>
      </c>
      <c r="D58" s="60">
        <f t="shared" si="21"/>
        <v>27</v>
      </c>
      <c r="E58" s="60">
        <f t="shared" si="21"/>
        <v>27</v>
      </c>
      <c r="F58" s="60">
        <f t="shared" si="21"/>
        <v>0</v>
      </c>
      <c r="G58" s="60">
        <f t="shared" si="21"/>
        <v>6570</v>
      </c>
      <c r="H58" s="60">
        <f t="shared" si="21"/>
        <v>5944</v>
      </c>
      <c r="I58" s="60">
        <f>SUM(I56:I57)</f>
        <v>626</v>
      </c>
      <c r="J58" s="65" t="s">
        <v>13</v>
      </c>
      <c r="K58" s="67"/>
      <c r="L58" s="55"/>
      <c r="M58" s="63"/>
      <c r="N58" s="63"/>
    </row>
    <row r="59" spans="1:14" ht="12.75" customHeight="1" thickBot="1" x14ac:dyDescent="0.25">
      <c r="A59" s="60">
        <f t="shared" si="0"/>
        <v>33239</v>
      </c>
      <c r="B59" s="60">
        <f t="shared" si="1"/>
        <v>33239</v>
      </c>
      <c r="C59" s="60">
        <f t="shared" si="1"/>
        <v>0</v>
      </c>
      <c r="D59" s="60">
        <f t="shared" si="2"/>
        <v>65</v>
      </c>
      <c r="E59" s="60">
        <v>65</v>
      </c>
      <c r="F59" s="60">
        <v>0</v>
      </c>
      <c r="G59" s="60">
        <f t="shared" si="3"/>
        <v>33174</v>
      </c>
      <c r="H59" s="60">
        <v>33174</v>
      </c>
      <c r="I59" s="60">
        <v>0</v>
      </c>
      <c r="J59" s="65" t="s">
        <v>221</v>
      </c>
      <c r="K59" s="66"/>
      <c r="L59" s="55"/>
      <c r="M59" s="63"/>
      <c r="N59" s="108"/>
    </row>
    <row r="60" spans="1:14" ht="12.75" customHeight="1" thickBot="1" x14ac:dyDescent="0.25">
      <c r="A60" s="60">
        <f t="shared" si="0"/>
        <v>7859</v>
      </c>
      <c r="B60" s="60">
        <f t="shared" si="1"/>
        <v>7859</v>
      </c>
      <c r="C60" s="60">
        <f t="shared" si="1"/>
        <v>0</v>
      </c>
      <c r="D60" s="60">
        <f t="shared" si="2"/>
        <v>13</v>
      </c>
      <c r="E60" s="60">
        <v>13</v>
      </c>
      <c r="F60" s="60">
        <v>0</v>
      </c>
      <c r="G60" s="60">
        <f t="shared" si="3"/>
        <v>7846</v>
      </c>
      <c r="H60" s="60">
        <v>7846</v>
      </c>
      <c r="I60" s="60">
        <v>0</v>
      </c>
      <c r="J60" s="65" t="s">
        <v>222</v>
      </c>
      <c r="K60" s="66" t="s">
        <v>131</v>
      </c>
      <c r="L60" s="55"/>
      <c r="N60" s="108"/>
    </row>
    <row r="61" spans="1:14" ht="12.75" customHeight="1" thickBot="1" x14ac:dyDescent="0.25">
      <c r="A61" s="60">
        <f t="shared" ref="A61:H61" si="22">SUM(A59:A60)</f>
        <v>41098</v>
      </c>
      <c r="B61" s="60">
        <f t="shared" si="22"/>
        <v>41098</v>
      </c>
      <c r="C61" s="60">
        <f t="shared" si="22"/>
        <v>0</v>
      </c>
      <c r="D61" s="60">
        <f t="shared" si="22"/>
        <v>78</v>
      </c>
      <c r="E61" s="60">
        <f t="shared" si="22"/>
        <v>78</v>
      </c>
      <c r="F61" s="60">
        <f t="shared" si="22"/>
        <v>0</v>
      </c>
      <c r="G61" s="60">
        <f t="shared" si="22"/>
        <v>41020</v>
      </c>
      <c r="H61" s="60">
        <f t="shared" si="22"/>
        <v>41020</v>
      </c>
      <c r="I61" s="60">
        <f>SUM(I59:I60)</f>
        <v>0</v>
      </c>
      <c r="J61" s="65" t="s">
        <v>13</v>
      </c>
      <c r="K61" s="67"/>
      <c r="L61" s="55"/>
      <c r="M61" s="63"/>
      <c r="N61" s="63"/>
    </row>
    <row r="62" spans="1:14" ht="12.75" customHeight="1" thickBot="1" x14ac:dyDescent="0.25">
      <c r="A62" s="60">
        <f t="shared" si="0"/>
        <v>4031</v>
      </c>
      <c r="B62" s="60">
        <f t="shared" si="1"/>
        <v>2806</v>
      </c>
      <c r="C62" s="60">
        <f t="shared" si="1"/>
        <v>1225</v>
      </c>
      <c r="D62" s="60">
        <f t="shared" si="2"/>
        <v>0</v>
      </c>
      <c r="E62" s="60">
        <v>0</v>
      </c>
      <c r="F62" s="60">
        <v>0</v>
      </c>
      <c r="G62" s="60">
        <f t="shared" si="3"/>
        <v>4031</v>
      </c>
      <c r="H62" s="60">
        <v>2806</v>
      </c>
      <c r="I62" s="60">
        <v>1225</v>
      </c>
      <c r="J62" s="65" t="s">
        <v>221</v>
      </c>
      <c r="K62" s="66"/>
      <c r="L62" s="55"/>
      <c r="M62" s="63"/>
      <c r="N62" s="108"/>
    </row>
    <row r="63" spans="1:14" ht="12.75" customHeight="1" thickBot="1" x14ac:dyDescent="0.25">
      <c r="A63" s="60">
        <f t="shared" si="0"/>
        <v>629</v>
      </c>
      <c r="B63" s="60">
        <f t="shared" si="1"/>
        <v>629</v>
      </c>
      <c r="C63" s="60">
        <f t="shared" si="1"/>
        <v>0</v>
      </c>
      <c r="D63" s="60">
        <f t="shared" si="2"/>
        <v>0</v>
      </c>
      <c r="E63" s="60">
        <v>0</v>
      </c>
      <c r="F63" s="60">
        <v>0</v>
      </c>
      <c r="G63" s="60">
        <f t="shared" si="3"/>
        <v>629</v>
      </c>
      <c r="H63" s="60">
        <v>629</v>
      </c>
      <c r="I63" s="60">
        <v>0</v>
      </c>
      <c r="J63" s="65" t="s">
        <v>222</v>
      </c>
      <c r="K63" s="66" t="s">
        <v>133</v>
      </c>
      <c r="L63" s="55"/>
      <c r="N63" s="108"/>
    </row>
    <row r="64" spans="1:14" ht="12.75" customHeight="1" thickBot="1" x14ac:dyDescent="0.25">
      <c r="A64" s="60">
        <f t="shared" ref="A64:H64" si="23">SUM(A62:A63)</f>
        <v>4660</v>
      </c>
      <c r="B64" s="60">
        <f t="shared" si="23"/>
        <v>3435</v>
      </c>
      <c r="C64" s="60">
        <f t="shared" si="23"/>
        <v>1225</v>
      </c>
      <c r="D64" s="60">
        <f t="shared" si="23"/>
        <v>0</v>
      </c>
      <c r="E64" s="60">
        <f t="shared" si="23"/>
        <v>0</v>
      </c>
      <c r="F64" s="60">
        <f t="shared" si="23"/>
        <v>0</v>
      </c>
      <c r="G64" s="60">
        <f t="shared" si="23"/>
        <v>4660</v>
      </c>
      <c r="H64" s="60">
        <f t="shared" si="23"/>
        <v>3435</v>
      </c>
      <c r="I64" s="60">
        <f>SUM(I62:I63)</f>
        <v>1225</v>
      </c>
      <c r="J64" s="65" t="s">
        <v>13</v>
      </c>
      <c r="K64" s="67"/>
      <c r="L64" s="55"/>
      <c r="M64" s="63"/>
      <c r="N64" s="63"/>
    </row>
    <row r="65" spans="1:14" ht="12.75" customHeight="1" thickBot="1" x14ac:dyDescent="0.25">
      <c r="A65" s="60">
        <f t="shared" si="0"/>
        <v>1037</v>
      </c>
      <c r="B65" s="60">
        <f t="shared" si="1"/>
        <v>0</v>
      </c>
      <c r="C65" s="60">
        <f t="shared" si="1"/>
        <v>1037</v>
      </c>
      <c r="D65" s="60">
        <f t="shared" si="2"/>
        <v>0</v>
      </c>
      <c r="E65" s="60">
        <v>0</v>
      </c>
      <c r="F65" s="60">
        <v>0</v>
      </c>
      <c r="G65" s="60">
        <f t="shared" si="3"/>
        <v>1037</v>
      </c>
      <c r="H65" s="60">
        <v>0</v>
      </c>
      <c r="I65" s="60">
        <v>1037</v>
      </c>
      <c r="J65" s="65" t="s">
        <v>221</v>
      </c>
      <c r="K65" s="66"/>
      <c r="L65" s="55"/>
      <c r="M65" s="63"/>
      <c r="N65" s="108"/>
    </row>
    <row r="66" spans="1:14" ht="12.75" customHeight="1" thickBot="1" x14ac:dyDescent="0.25">
      <c r="A66" s="60">
        <f t="shared" si="0"/>
        <v>0</v>
      </c>
      <c r="B66" s="60">
        <f t="shared" si="1"/>
        <v>0</v>
      </c>
      <c r="C66" s="60">
        <f t="shared" si="1"/>
        <v>0</v>
      </c>
      <c r="D66" s="60">
        <f t="shared" si="2"/>
        <v>0</v>
      </c>
      <c r="E66" s="60">
        <v>0</v>
      </c>
      <c r="F66" s="60">
        <v>0</v>
      </c>
      <c r="G66" s="60">
        <f t="shared" si="3"/>
        <v>0</v>
      </c>
      <c r="H66" s="60">
        <v>0</v>
      </c>
      <c r="I66" s="60">
        <v>0</v>
      </c>
      <c r="J66" s="65" t="s">
        <v>222</v>
      </c>
      <c r="K66" s="66" t="s">
        <v>168</v>
      </c>
      <c r="L66" s="55"/>
      <c r="N66" s="108"/>
    </row>
    <row r="67" spans="1:14" ht="12.75" customHeight="1" thickBot="1" x14ac:dyDescent="0.25">
      <c r="A67" s="60">
        <f t="shared" ref="A67:H67" si="24">SUM(A65:A66)</f>
        <v>1037</v>
      </c>
      <c r="B67" s="60">
        <f t="shared" si="24"/>
        <v>0</v>
      </c>
      <c r="C67" s="60">
        <f t="shared" si="24"/>
        <v>1037</v>
      </c>
      <c r="D67" s="60">
        <f t="shared" si="24"/>
        <v>0</v>
      </c>
      <c r="E67" s="60">
        <f t="shared" si="24"/>
        <v>0</v>
      </c>
      <c r="F67" s="60">
        <f t="shared" si="24"/>
        <v>0</v>
      </c>
      <c r="G67" s="60">
        <f t="shared" si="24"/>
        <v>1037</v>
      </c>
      <c r="H67" s="60">
        <f t="shared" si="24"/>
        <v>0</v>
      </c>
      <c r="I67" s="60">
        <f>SUM(I65:I66)</f>
        <v>1037</v>
      </c>
      <c r="J67" s="65" t="s">
        <v>13</v>
      </c>
      <c r="K67" s="67"/>
      <c r="L67" s="55"/>
      <c r="M67" s="63"/>
      <c r="N67" s="63"/>
    </row>
    <row r="68" spans="1:14" ht="12.75" customHeight="1" thickBot="1" x14ac:dyDescent="0.25">
      <c r="A68" s="60">
        <f t="shared" si="0"/>
        <v>114</v>
      </c>
      <c r="B68" s="60">
        <f t="shared" si="1"/>
        <v>72</v>
      </c>
      <c r="C68" s="60">
        <f t="shared" si="1"/>
        <v>42</v>
      </c>
      <c r="D68" s="60">
        <f t="shared" si="2"/>
        <v>0</v>
      </c>
      <c r="E68" s="60">
        <v>0</v>
      </c>
      <c r="F68" s="60">
        <v>0</v>
      </c>
      <c r="G68" s="60">
        <f t="shared" si="3"/>
        <v>114</v>
      </c>
      <c r="H68" s="60">
        <v>72</v>
      </c>
      <c r="I68" s="60">
        <v>42</v>
      </c>
      <c r="J68" s="65" t="s">
        <v>221</v>
      </c>
      <c r="K68" s="66"/>
      <c r="L68" s="55"/>
      <c r="M68" s="63"/>
      <c r="N68" s="108"/>
    </row>
    <row r="69" spans="1:14" ht="12.75" customHeight="1" thickBot="1" x14ac:dyDescent="0.25">
      <c r="A69" s="60">
        <f t="shared" si="0"/>
        <v>0</v>
      </c>
      <c r="B69" s="60">
        <f t="shared" si="1"/>
        <v>0</v>
      </c>
      <c r="C69" s="60">
        <f t="shared" si="1"/>
        <v>0</v>
      </c>
      <c r="D69" s="60">
        <f t="shared" si="2"/>
        <v>0</v>
      </c>
      <c r="E69" s="60">
        <v>0</v>
      </c>
      <c r="F69" s="60">
        <v>0</v>
      </c>
      <c r="G69" s="60">
        <f t="shared" si="3"/>
        <v>0</v>
      </c>
      <c r="H69" s="60">
        <v>0</v>
      </c>
      <c r="I69" s="60">
        <v>0</v>
      </c>
      <c r="J69" s="65" t="s">
        <v>222</v>
      </c>
      <c r="K69" s="66" t="s">
        <v>169</v>
      </c>
      <c r="L69" s="55"/>
      <c r="N69" s="108"/>
    </row>
    <row r="70" spans="1:14" ht="12.75" customHeight="1" thickBot="1" x14ac:dyDescent="0.25">
      <c r="A70" s="60">
        <f t="shared" ref="A70:H70" si="25">SUM(A68:A69)</f>
        <v>114</v>
      </c>
      <c r="B70" s="60">
        <f t="shared" si="25"/>
        <v>72</v>
      </c>
      <c r="C70" s="60">
        <f t="shared" si="25"/>
        <v>42</v>
      </c>
      <c r="D70" s="60">
        <f t="shared" si="25"/>
        <v>0</v>
      </c>
      <c r="E70" s="60">
        <f t="shared" si="25"/>
        <v>0</v>
      </c>
      <c r="F70" s="60">
        <f t="shared" si="25"/>
        <v>0</v>
      </c>
      <c r="G70" s="60">
        <f t="shared" si="25"/>
        <v>114</v>
      </c>
      <c r="H70" s="60">
        <f t="shared" si="25"/>
        <v>72</v>
      </c>
      <c r="I70" s="60">
        <f>SUM(I68:I69)</f>
        <v>42</v>
      </c>
      <c r="J70" s="65" t="s">
        <v>13</v>
      </c>
      <c r="K70" s="67"/>
      <c r="L70" s="55"/>
      <c r="M70" s="63"/>
      <c r="N70" s="63"/>
    </row>
    <row r="71" spans="1:14" ht="12.75" customHeight="1" thickBot="1" x14ac:dyDescent="0.25">
      <c r="A71" s="60">
        <f t="shared" ref="A71:A75" si="26">SUM(B71:C71)</f>
        <v>2115</v>
      </c>
      <c r="B71" s="60">
        <f t="shared" ref="B71:C75" si="27">H71+E71</f>
        <v>1051</v>
      </c>
      <c r="C71" s="60">
        <f t="shared" si="27"/>
        <v>1064</v>
      </c>
      <c r="D71" s="60">
        <f t="shared" ref="D71:D75" si="28">SUM(E71:F71)</f>
        <v>7</v>
      </c>
      <c r="E71" s="60">
        <v>5</v>
      </c>
      <c r="F71" s="60">
        <v>2</v>
      </c>
      <c r="G71" s="60">
        <f t="shared" ref="G71:G75" si="29">SUM(H71:I71)</f>
        <v>2108</v>
      </c>
      <c r="H71" s="60">
        <v>1046</v>
      </c>
      <c r="I71" s="60">
        <v>1062</v>
      </c>
      <c r="J71" s="65" t="s">
        <v>221</v>
      </c>
      <c r="K71" s="66"/>
      <c r="L71" s="55"/>
      <c r="M71" s="63"/>
      <c r="N71" s="108"/>
    </row>
    <row r="72" spans="1:14" ht="12.75" customHeight="1" thickBot="1" x14ac:dyDescent="0.25">
      <c r="A72" s="60">
        <f t="shared" si="26"/>
        <v>0</v>
      </c>
      <c r="B72" s="60">
        <f t="shared" si="27"/>
        <v>0</v>
      </c>
      <c r="C72" s="60">
        <f t="shared" si="27"/>
        <v>0</v>
      </c>
      <c r="D72" s="60">
        <f t="shared" si="28"/>
        <v>0</v>
      </c>
      <c r="E72" s="60">
        <v>0</v>
      </c>
      <c r="F72" s="60">
        <v>0</v>
      </c>
      <c r="G72" s="60">
        <f t="shared" si="29"/>
        <v>0</v>
      </c>
      <c r="H72" s="60">
        <v>0</v>
      </c>
      <c r="I72" s="60">
        <v>0</v>
      </c>
      <c r="J72" s="65" t="s">
        <v>222</v>
      </c>
      <c r="K72" s="66" t="s">
        <v>170</v>
      </c>
      <c r="L72" s="55"/>
      <c r="N72" s="108"/>
    </row>
    <row r="73" spans="1:14" ht="12.75" customHeight="1" thickBot="1" x14ac:dyDescent="0.25">
      <c r="A73" s="60">
        <f t="shared" ref="A73:H73" si="30">SUM(A71:A72)</f>
        <v>2115</v>
      </c>
      <c r="B73" s="60">
        <f t="shared" si="30"/>
        <v>1051</v>
      </c>
      <c r="C73" s="60">
        <f t="shared" si="30"/>
        <v>1064</v>
      </c>
      <c r="D73" s="60">
        <f t="shared" si="30"/>
        <v>7</v>
      </c>
      <c r="E73" s="60">
        <f t="shared" si="30"/>
        <v>5</v>
      </c>
      <c r="F73" s="60">
        <f t="shared" si="30"/>
        <v>2</v>
      </c>
      <c r="G73" s="60">
        <f t="shared" si="30"/>
        <v>2108</v>
      </c>
      <c r="H73" s="60">
        <f t="shared" si="30"/>
        <v>1046</v>
      </c>
      <c r="I73" s="60">
        <f>SUM(I71:I72)</f>
        <v>1062</v>
      </c>
      <c r="J73" s="65" t="s">
        <v>13</v>
      </c>
      <c r="K73" s="67"/>
      <c r="L73" s="55"/>
      <c r="M73" s="63"/>
      <c r="N73" s="63"/>
    </row>
    <row r="74" spans="1:14" ht="12.75" customHeight="1" thickBot="1" x14ac:dyDescent="0.25">
      <c r="A74" s="60">
        <f t="shared" si="26"/>
        <v>18905</v>
      </c>
      <c r="B74" s="60">
        <f t="shared" si="27"/>
        <v>9440</v>
      </c>
      <c r="C74" s="60">
        <f t="shared" si="27"/>
        <v>9465</v>
      </c>
      <c r="D74" s="60">
        <f t="shared" si="28"/>
        <v>4696</v>
      </c>
      <c r="E74" s="60">
        <v>2790</v>
      </c>
      <c r="F74" s="60">
        <v>1906</v>
      </c>
      <c r="G74" s="60">
        <f t="shared" si="29"/>
        <v>14209</v>
      </c>
      <c r="H74" s="60">
        <v>6650</v>
      </c>
      <c r="I74" s="60">
        <v>7559</v>
      </c>
      <c r="J74" s="65" t="s">
        <v>221</v>
      </c>
      <c r="K74" s="66"/>
      <c r="L74" s="55"/>
      <c r="M74" s="63"/>
      <c r="N74" s="108"/>
    </row>
    <row r="75" spans="1:14" ht="12.75" customHeight="1" thickBot="1" x14ac:dyDescent="0.25">
      <c r="A75" s="60">
        <f t="shared" si="26"/>
        <v>0</v>
      </c>
      <c r="B75" s="60">
        <f t="shared" si="27"/>
        <v>0</v>
      </c>
      <c r="C75" s="60">
        <f t="shared" si="27"/>
        <v>0</v>
      </c>
      <c r="D75" s="60">
        <f t="shared" si="28"/>
        <v>0</v>
      </c>
      <c r="E75" s="60">
        <v>0</v>
      </c>
      <c r="F75" s="60">
        <v>0</v>
      </c>
      <c r="G75" s="60">
        <f t="shared" si="29"/>
        <v>0</v>
      </c>
      <c r="H75" s="60">
        <v>0</v>
      </c>
      <c r="I75" s="60">
        <v>0</v>
      </c>
      <c r="J75" s="65" t="s">
        <v>222</v>
      </c>
      <c r="K75" s="66" t="s">
        <v>173</v>
      </c>
      <c r="L75" s="55"/>
      <c r="N75" s="108"/>
    </row>
    <row r="76" spans="1:14" ht="12.75" customHeight="1" thickBot="1" x14ac:dyDescent="0.25">
      <c r="A76" s="60">
        <f t="shared" ref="A76:H76" si="31">SUM(A74:A75)</f>
        <v>18905</v>
      </c>
      <c r="B76" s="60">
        <f t="shared" si="31"/>
        <v>9440</v>
      </c>
      <c r="C76" s="60">
        <f t="shared" si="31"/>
        <v>9465</v>
      </c>
      <c r="D76" s="60">
        <f t="shared" si="31"/>
        <v>4696</v>
      </c>
      <c r="E76" s="60">
        <f t="shared" si="31"/>
        <v>2790</v>
      </c>
      <c r="F76" s="60">
        <f t="shared" si="31"/>
        <v>1906</v>
      </c>
      <c r="G76" s="60">
        <f t="shared" si="31"/>
        <v>14209</v>
      </c>
      <c r="H76" s="60">
        <f t="shared" si="31"/>
        <v>6650</v>
      </c>
      <c r="I76" s="60">
        <f>SUM(I74:I75)</f>
        <v>7559</v>
      </c>
      <c r="J76" s="65" t="s">
        <v>13</v>
      </c>
      <c r="K76" s="67"/>
      <c r="L76" s="55"/>
      <c r="M76" s="63"/>
      <c r="N76" s="63"/>
    </row>
    <row r="77" spans="1:14" ht="12.75" customHeight="1" thickBot="1" x14ac:dyDescent="0.25">
      <c r="A77" s="60">
        <f t="shared" ref="A77:I79" si="32">A5+A8+A11+A14+A17+A20+A26+A23+A29+A32+A35+A38+A41+A44+A47+A50+A53+A56+A59+A62+A65+A68+A71+A74</f>
        <v>494140</v>
      </c>
      <c r="B77" s="60">
        <f t="shared" si="32"/>
        <v>304863</v>
      </c>
      <c r="C77" s="60">
        <f t="shared" si="32"/>
        <v>189277</v>
      </c>
      <c r="D77" s="60">
        <f t="shared" si="32"/>
        <v>12730</v>
      </c>
      <c r="E77" s="60">
        <f t="shared" si="32"/>
        <v>5278</v>
      </c>
      <c r="F77" s="60">
        <f t="shared" si="32"/>
        <v>7452</v>
      </c>
      <c r="G77" s="60">
        <f t="shared" si="32"/>
        <v>481410</v>
      </c>
      <c r="H77" s="60">
        <f t="shared" si="32"/>
        <v>299585</v>
      </c>
      <c r="I77" s="60">
        <f>I5+I8+I11+I14+I17+I20+I26+I23+I29+I32+I35+I38+I41+I44+I47+I50+I53+I56+I59+I62+I65+I68+I71+I74</f>
        <v>181825</v>
      </c>
      <c r="J77" s="65" t="s">
        <v>224</v>
      </c>
      <c r="K77" s="57"/>
      <c r="L77" s="55"/>
      <c r="M77" s="63"/>
      <c r="N77" s="108"/>
    </row>
    <row r="78" spans="1:14" ht="12.75" customHeight="1" thickBot="1" x14ac:dyDescent="0.25">
      <c r="A78" s="60">
        <f t="shared" si="32"/>
        <v>85203</v>
      </c>
      <c r="B78" s="60">
        <f t="shared" si="32"/>
        <v>55163</v>
      </c>
      <c r="C78" s="60">
        <f t="shared" si="32"/>
        <v>30040</v>
      </c>
      <c r="D78" s="60">
        <f t="shared" si="32"/>
        <v>1729</v>
      </c>
      <c r="E78" s="60">
        <f t="shared" si="32"/>
        <v>1263</v>
      </c>
      <c r="F78" s="60">
        <f t="shared" si="32"/>
        <v>466</v>
      </c>
      <c r="G78" s="60">
        <f t="shared" si="32"/>
        <v>83474</v>
      </c>
      <c r="H78" s="60">
        <f t="shared" si="32"/>
        <v>53900</v>
      </c>
      <c r="I78" s="60">
        <f t="shared" si="32"/>
        <v>29574</v>
      </c>
      <c r="J78" s="65" t="s">
        <v>225</v>
      </c>
      <c r="K78" s="68" t="s">
        <v>211</v>
      </c>
      <c r="L78" s="55"/>
      <c r="M78" s="63"/>
      <c r="N78" s="108"/>
    </row>
    <row r="79" spans="1:14" ht="12.75" customHeight="1" thickBot="1" x14ac:dyDescent="0.25">
      <c r="A79" s="60">
        <f t="shared" si="32"/>
        <v>579343</v>
      </c>
      <c r="B79" s="60">
        <f t="shared" si="32"/>
        <v>360026</v>
      </c>
      <c r="C79" s="60">
        <f t="shared" si="32"/>
        <v>219317</v>
      </c>
      <c r="D79" s="60">
        <f t="shared" si="32"/>
        <v>14459</v>
      </c>
      <c r="E79" s="60">
        <f t="shared" si="32"/>
        <v>6541</v>
      </c>
      <c r="F79" s="60">
        <f t="shared" si="32"/>
        <v>7918</v>
      </c>
      <c r="G79" s="60">
        <f t="shared" si="32"/>
        <v>564884</v>
      </c>
      <c r="H79" s="60">
        <f t="shared" si="32"/>
        <v>353485</v>
      </c>
      <c r="I79" s="60">
        <f t="shared" si="32"/>
        <v>211399</v>
      </c>
      <c r="J79" s="65" t="s">
        <v>13</v>
      </c>
      <c r="K79" s="59"/>
      <c r="L79" s="55"/>
      <c r="M79" s="63"/>
      <c r="N79" s="108"/>
    </row>
    <row r="80" spans="1:14" ht="12.75" customHeight="1" x14ac:dyDescent="0.2">
      <c r="B80" s="69"/>
    </row>
    <row r="81" spans="1:9" ht="12.75" customHeight="1" x14ac:dyDescent="0.2">
      <c r="A81" s="69"/>
      <c r="B81" s="69"/>
      <c r="C81" s="69"/>
      <c r="D81" s="69"/>
      <c r="E81" s="69"/>
      <c r="F81" s="69"/>
      <c r="G81" s="69"/>
      <c r="H81" s="69"/>
      <c r="I81" s="69"/>
    </row>
    <row r="82" spans="1:9" ht="12.75" customHeight="1" x14ac:dyDescent="0.2">
      <c r="A82" s="69"/>
      <c r="B82" s="69"/>
      <c r="C82" s="69"/>
      <c r="D82" s="69"/>
      <c r="E82" s="69"/>
      <c r="F82" s="69"/>
      <c r="G82" s="69"/>
      <c r="H82" s="69"/>
      <c r="I82" s="69"/>
    </row>
    <row r="84" spans="1:9" ht="12.75" customHeight="1" x14ac:dyDescent="0.2">
      <c r="A84" s="69"/>
      <c r="B84" s="69"/>
      <c r="C84" s="69"/>
      <c r="D84" s="69"/>
      <c r="E84" s="69"/>
      <c r="F84" s="69"/>
      <c r="G84" s="69"/>
      <c r="H84" s="69"/>
      <c r="I84" s="69"/>
    </row>
  </sheetData>
  <mergeCells count="6">
    <mergeCell ref="A1:K1"/>
    <mergeCell ref="A2:K2"/>
    <mergeCell ref="A3:C3"/>
    <mergeCell ref="D3:F3"/>
    <mergeCell ref="G3:I3"/>
    <mergeCell ref="J3:K4"/>
  </mergeCells>
  <pageMargins left="0.39370078740157483" right="0.39370078740157483" top="0.23622047244094491" bottom="0.23622047244094491" header="0.23622047244094491" footer="0.23622047244094491"/>
  <pageSetup paperSize="9" orientation="landscape" r:id="rId1"/>
  <headerFooter alignWithMargins="0"/>
  <rowBreaks count="1" manualBreakCount="1">
    <brk id="43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3"/>
  <sheetViews>
    <sheetView showGridLines="0" topLeftCell="A55" zoomScale="80" zoomScaleNormal="80" zoomScaleSheetLayoutView="100" workbookViewId="0">
      <selection activeCell="M6" sqref="M6"/>
    </sheetView>
  </sheetViews>
  <sheetFormatPr defaultRowHeight="12.75" customHeight="1" x14ac:dyDescent="0.2"/>
  <cols>
    <col min="1" max="10" width="9.625" style="56" customWidth="1"/>
    <col min="11" max="11" width="27.375" style="56" customWidth="1"/>
    <col min="12" max="12" width="4.875" style="56" customWidth="1"/>
    <col min="13" max="13" width="9" style="56"/>
    <col min="14" max="14" width="9" style="107"/>
    <col min="15" max="256" width="9" style="56"/>
    <col min="257" max="266" width="9.625" style="56" customWidth="1"/>
    <col min="267" max="267" width="27.375" style="56" customWidth="1"/>
    <col min="268" max="268" width="4.875" style="56" customWidth="1"/>
    <col min="269" max="512" width="9" style="56"/>
    <col min="513" max="522" width="9.625" style="56" customWidth="1"/>
    <col min="523" max="523" width="27.375" style="56" customWidth="1"/>
    <col min="524" max="524" width="4.875" style="56" customWidth="1"/>
    <col min="525" max="768" width="9" style="56"/>
    <col min="769" max="778" width="9.625" style="56" customWidth="1"/>
    <col min="779" max="779" width="27.375" style="56" customWidth="1"/>
    <col min="780" max="780" width="4.875" style="56" customWidth="1"/>
    <col min="781" max="1024" width="9" style="56"/>
    <col min="1025" max="1034" width="9.625" style="56" customWidth="1"/>
    <col min="1035" max="1035" width="27.375" style="56" customWidth="1"/>
    <col min="1036" max="1036" width="4.875" style="56" customWidth="1"/>
    <col min="1037" max="1280" width="9" style="56"/>
    <col min="1281" max="1290" width="9.625" style="56" customWidth="1"/>
    <col min="1291" max="1291" width="27.375" style="56" customWidth="1"/>
    <col min="1292" max="1292" width="4.875" style="56" customWidth="1"/>
    <col min="1293" max="1536" width="9" style="56"/>
    <col min="1537" max="1546" width="9.625" style="56" customWidth="1"/>
    <col min="1547" max="1547" width="27.375" style="56" customWidth="1"/>
    <col min="1548" max="1548" width="4.875" style="56" customWidth="1"/>
    <col min="1549" max="1792" width="9" style="56"/>
    <col min="1793" max="1802" width="9.625" style="56" customWidth="1"/>
    <col min="1803" max="1803" width="27.375" style="56" customWidth="1"/>
    <col min="1804" max="1804" width="4.875" style="56" customWidth="1"/>
    <col min="1805" max="2048" width="9" style="56"/>
    <col min="2049" max="2058" width="9.625" style="56" customWidth="1"/>
    <col min="2059" max="2059" width="27.375" style="56" customWidth="1"/>
    <col min="2060" max="2060" width="4.875" style="56" customWidth="1"/>
    <col min="2061" max="2304" width="9" style="56"/>
    <col min="2305" max="2314" width="9.625" style="56" customWidth="1"/>
    <col min="2315" max="2315" width="27.375" style="56" customWidth="1"/>
    <col min="2316" max="2316" width="4.875" style="56" customWidth="1"/>
    <col min="2317" max="2560" width="9" style="56"/>
    <col min="2561" max="2570" width="9.625" style="56" customWidth="1"/>
    <col min="2571" max="2571" width="27.375" style="56" customWidth="1"/>
    <col min="2572" max="2572" width="4.875" style="56" customWidth="1"/>
    <col min="2573" max="2816" width="9" style="56"/>
    <col min="2817" max="2826" width="9.625" style="56" customWidth="1"/>
    <col min="2827" max="2827" width="27.375" style="56" customWidth="1"/>
    <col min="2828" max="2828" width="4.875" style="56" customWidth="1"/>
    <col min="2829" max="3072" width="9" style="56"/>
    <col min="3073" max="3082" width="9.625" style="56" customWidth="1"/>
    <col min="3083" max="3083" width="27.375" style="56" customWidth="1"/>
    <col min="3084" max="3084" width="4.875" style="56" customWidth="1"/>
    <col min="3085" max="3328" width="9" style="56"/>
    <col min="3329" max="3338" width="9.625" style="56" customWidth="1"/>
    <col min="3339" max="3339" width="27.375" style="56" customWidth="1"/>
    <col min="3340" max="3340" width="4.875" style="56" customWidth="1"/>
    <col min="3341" max="3584" width="9" style="56"/>
    <col min="3585" max="3594" width="9.625" style="56" customWidth="1"/>
    <col min="3595" max="3595" width="27.375" style="56" customWidth="1"/>
    <col min="3596" max="3596" width="4.875" style="56" customWidth="1"/>
    <col min="3597" max="3840" width="9" style="56"/>
    <col min="3841" max="3850" width="9.625" style="56" customWidth="1"/>
    <col min="3851" max="3851" width="27.375" style="56" customWidth="1"/>
    <col min="3852" max="3852" width="4.875" style="56" customWidth="1"/>
    <col min="3853" max="4096" width="9" style="56"/>
    <col min="4097" max="4106" width="9.625" style="56" customWidth="1"/>
    <col min="4107" max="4107" width="27.375" style="56" customWidth="1"/>
    <col min="4108" max="4108" width="4.875" style="56" customWidth="1"/>
    <col min="4109" max="4352" width="9" style="56"/>
    <col min="4353" max="4362" width="9.625" style="56" customWidth="1"/>
    <col min="4363" max="4363" width="27.375" style="56" customWidth="1"/>
    <col min="4364" max="4364" width="4.875" style="56" customWidth="1"/>
    <col min="4365" max="4608" width="9" style="56"/>
    <col min="4609" max="4618" width="9.625" style="56" customWidth="1"/>
    <col min="4619" max="4619" width="27.375" style="56" customWidth="1"/>
    <col min="4620" max="4620" width="4.875" style="56" customWidth="1"/>
    <col min="4621" max="4864" width="9" style="56"/>
    <col min="4865" max="4874" width="9.625" style="56" customWidth="1"/>
    <col min="4875" max="4875" width="27.375" style="56" customWidth="1"/>
    <col min="4876" max="4876" width="4.875" style="56" customWidth="1"/>
    <col min="4877" max="5120" width="9" style="56"/>
    <col min="5121" max="5130" width="9.625" style="56" customWidth="1"/>
    <col min="5131" max="5131" width="27.375" style="56" customWidth="1"/>
    <col min="5132" max="5132" width="4.875" style="56" customWidth="1"/>
    <col min="5133" max="5376" width="9" style="56"/>
    <col min="5377" max="5386" width="9.625" style="56" customWidth="1"/>
    <col min="5387" max="5387" width="27.375" style="56" customWidth="1"/>
    <col min="5388" max="5388" width="4.875" style="56" customWidth="1"/>
    <col min="5389" max="5632" width="9" style="56"/>
    <col min="5633" max="5642" width="9.625" style="56" customWidth="1"/>
    <col min="5643" max="5643" width="27.375" style="56" customWidth="1"/>
    <col min="5644" max="5644" width="4.875" style="56" customWidth="1"/>
    <col min="5645" max="5888" width="9" style="56"/>
    <col min="5889" max="5898" width="9.625" style="56" customWidth="1"/>
    <col min="5899" max="5899" width="27.375" style="56" customWidth="1"/>
    <col min="5900" max="5900" width="4.875" style="56" customWidth="1"/>
    <col min="5901" max="6144" width="9" style="56"/>
    <col min="6145" max="6154" width="9.625" style="56" customWidth="1"/>
    <col min="6155" max="6155" width="27.375" style="56" customWidth="1"/>
    <col min="6156" max="6156" width="4.875" style="56" customWidth="1"/>
    <col min="6157" max="6400" width="9" style="56"/>
    <col min="6401" max="6410" width="9.625" style="56" customWidth="1"/>
    <col min="6411" max="6411" width="27.375" style="56" customWidth="1"/>
    <col min="6412" max="6412" width="4.875" style="56" customWidth="1"/>
    <col min="6413" max="6656" width="9" style="56"/>
    <col min="6657" max="6666" width="9.625" style="56" customWidth="1"/>
    <col min="6667" max="6667" width="27.375" style="56" customWidth="1"/>
    <col min="6668" max="6668" width="4.875" style="56" customWidth="1"/>
    <col min="6669" max="6912" width="9" style="56"/>
    <col min="6913" max="6922" width="9.625" style="56" customWidth="1"/>
    <col min="6923" max="6923" width="27.375" style="56" customWidth="1"/>
    <col min="6924" max="6924" width="4.875" style="56" customWidth="1"/>
    <col min="6925" max="7168" width="9" style="56"/>
    <col min="7169" max="7178" width="9.625" style="56" customWidth="1"/>
    <col min="7179" max="7179" width="27.375" style="56" customWidth="1"/>
    <col min="7180" max="7180" width="4.875" style="56" customWidth="1"/>
    <col min="7181" max="7424" width="9" style="56"/>
    <col min="7425" max="7434" width="9.625" style="56" customWidth="1"/>
    <col min="7435" max="7435" width="27.375" style="56" customWidth="1"/>
    <col min="7436" max="7436" width="4.875" style="56" customWidth="1"/>
    <col min="7437" max="7680" width="9" style="56"/>
    <col min="7681" max="7690" width="9.625" style="56" customWidth="1"/>
    <col min="7691" max="7691" width="27.375" style="56" customWidth="1"/>
    <col min="7692" max="7692" width="4.875" style="56" customWidth="1"/>
    <col min="7693" max="7936" width="9" style="56"/>
    <col min="7937" max="7946" width="9.625" style="56" customWidth="1"/>
    <col min="7947" max="7947" width="27.375" style="56" customWidth="1"/>
    <col min="7948" max="7948" width="4.875" style="56" customWidth="1"/>
    <col min="7949" max="8192" width="9" style="56"/>
    <col min="8193" max="8202" width="9.625" style="56" customWidth="1"/>
    <col min="8203" max="8203" width="27.375" style="56" customWidth="1"/>
    <col min="8204" max="8204" width="4.875" style="56" customWidth="1"/>
    <col min="8205" max="8448" width="9" style="56"/>
    <col min="8449" max="8458" width="9.625" style="56" customWidth="1"/>
    <col min="8459" max="8459" width="27.375" style="56" customWidth="1"/>
    <col min="8460" max="8460" width="4.875" style="56" customWidth="1"/>
    <col min="8461" max="8704" width="9" style="56"/>
    <col min="8705" max="8714" width="9.625" style="56" customWidth="1"/>
    <col min="8715" max="8715" width="27.375" style="56" customWidth="1"/>
    <col min="8716" max="8716" width="4.875" style="56" customWidth="1"/>
    <col min="8717" max="8960" width="9" style="56"/>
    <col min="8961" max="8970" width="9.625" style="56" customWidth="1"/>
    <col min="8971" max="8971" width="27.375" style="56" customWidth="1"/>
    <col min="8972" max="8972" width="4.875" style="56" customWidth="1"/>
    <col min="8973" max="9216" width="9" style="56"/>
    <col min="9217" max="9226" width="9.625" style="56" customWidth="1"/>
    <col min="9227" max="9227" width="27.375" style="56" customWidth="1"/>
    <col min="9228" max="9228" width="4.875" style="56" customWidth="1"/>
    <col min="9229" max="9472" width="9" style="56"/>
    <col min="9473" max="9482" width="9.625" style="56" customWidth="1"/>
    <col min="9483" max="9483" width="27.375" style="56" customWidth="1"/>
    <col min="9484" max="9484" width="4.875" style="56" customWidth="1"/>
    <col min="9485" max="9728" width="9" style="56"/>
    <col min="9729" max="9738" width="9.625" style="56" customWidth="1"/>
    <col min="9739" max="9739" width="27.375" style="56" customWidth="1"/>
    <col min="9740" max="9740" width="4.875" style="56" customWidth="1"/>
    <col min="9741" max="9984" width="9" style="56"/>
    <col min="9985" max="9994" width="9.625" style="56" customWidth="1"/>
    <col min="9995" max="9995" width="27.375" style="56" customWidth="1"/>
    <col min="9996" max="9996" width="4.875" style="56" customWidth="1"/>
    <col min="9997" max="10240" width="9" style="56"/>
    <col min="10241" max="10250" width="9.625" style="56" customWidth="1"/>
    <col min="10251" max="10251" width="27.375" style="56" customWidth="1"/>
    <col min="10252" max="10252" width="4.875" style="56" customWidth="1"/>
    <col min="10253" max="10496" width="9" style="56"/>
    <col min="10497" max="10506" width="9.625" style="56" customWidth="1"/>
    <col min="10507" max="10507" width="27.375" style="56" customWidth="1"/>
    <col min="10508" max="10508" width="4.875" style="56" customWidth="1"/>
    <col min="10509" max="10752" width="9" style="56"/>
    <col min="10753" max="10762" width="9.625" style="56" customWidth="1"/>
    <col min="10763" max="10763" width="27.375" style="56" customWidth="1"/>
    <col min="10764" max="10764" width="4.875" style="56" customWidth="1"/>
    <col min="10765" max="11008" width="9" style="56"/>
    <col min="11009" max="11018" width="9.625" style="56" customWidth="1"/>
    <col min="11019" max="11019" width="27.375" style="56" customWidth="1"/>
    <col min="11020" max="11020" width="4.875" style="56" customWidth="1"/>
    <col min="11021" max="11264" width="9" style="56"/>
    <col min="11265" max="11274" width="9.625" style="56" customWidth="1"/>
    <col min="11275" max="11275" width="27.375" style="56" customWidth="1"/>
    <col min="11276" max="11276" width="4.875" style="56" customWidth="1"/>
    <col min="11277" max="11520" width="9" style="56"/>
    <col min="11521" max="11530" width="9.625" style="56" customWidth="1"/>
    <col min="11531" max="11531" width="27.375" style="56" customWidth="1"/>
    <col min="11532" max="11532" width="4.875" style="56" customWidth="1"/>
    <col min="11533" max="11776" width="9" style="56"/>
    <col min="11777" max="11786" width="9.625" style="56" customWidth="1"/>
    <col min="11787" max="11787" width="27.375" style="56" customWidth="1"/>
    <col min="11788" max="11788" width="4.875" style="56" customWidth="1"/>
    <col min="11789" max="12032" width="9" style="56"/>
    <col min="12033" max="12042" width="9.625" style="56" customWidth="1"/>
    <col min="12043" max="12043" width="27.375" style="56" customWidth="1"/>
    <col min="12044" max="12044" width="4.875" style="56" customWidth="1"/>
    <col min="12045" max="12288" width="9" style="56"/>
    <col min="12289" max="12298" width="9.625" style="56" customWidth="1"/>
    <col min="12299" max="12299" width="27.375" style="56" customWidth="1"/>
    <col min="12300" max="12300" width="4.875" style="56" customWidth="1"/>
    <col min="12301" max="12544" width="9" style="56"/>
    <col min="12545" max="12554" width="9.625" style="56" customWidth="1"/>
    <col min="12555" max="12555" width="27.375" style="56" customWidth="1"/>
    <col min="12556" max="12556" width="4.875" style="56" customWidth="1"/>
    <col min="12557" max="12800" width="9" style="56"/>
    <col min="12801" max="12810" width="9.625" style="56" customWidth="1"/>
    <col min="12811" max="12811" width="27.375" style="56" customWidth="1"/>
    <col min="12812" max="12812" width="4.875" style="56" customWidth="1"/>
    <col min="12813" max="13056" width="9" style="56"/>
    <col min="13057" max="13066" width="9.625" style="56" customWidth="1"/>
    <col min="13067" max="13067" width="27.375" style="56" customWidth="1"/>
    <col min="13068" max="13068" width="4.875" style="56" customWidth="1"/>
    <col min="13069" max="13312" width="9" style="56"/>
    <col min="13313" max="13322" width="9.625" style="56" customWidth="1"/>
    <col min="13323" max="13323" width="27.375" style="56" customWidth="1"/>
    <col min="13324" max="13324" width="4.875" style="56" customWidth="1"/>
    <col min="13325" max="13568" width="9" style="56"/>
    <col min="13569" max="13578" width="9.625" style="56" customWidth="1"/>
    <col min="13579" max="13579" width="27.375" style="56" customWidth="1"/>
    <col min="13580" max="13580" width="4.875" style="56" customWidth="1"/>
    <col min="13581" max="13824" width="9" style="56"/>
    <col min="13825" max="13834" width="9.625" style="56" customWidth="1"/>
    <col min="13835" max="13835" width="27.375" style="56" customWidth="1"/>
    <col min="13836" max="13836" width="4.875" style="56" customWidth="1"/>
    <col min="13837" max="14080" width="9" style="56"/>
    <col min="14081" max="14090" width="9.625" style="56" customWidth="1"/>
    <col min="14091" max="14091" width="27.375" style="56" customWidth="1"/>
    <col min="14092" max="14092" width="4.875" style="56" customWidth="1"/>
    <col min="14093" max="14336" width="9" style="56"/>
    <col min="14337" max="14346" width="9.625" style="56" customWidth="1"/>
    <col min="14347" max="14347" width="27.375" style="56" customWidth="1"/>
    <col min="14348" max="14348" width="4.875" style="56" customWidth="1"/>
    <col min="14349" max="14592" width="9" style="56"/>
    <col min="14593" max="14602" width="9.625" style="56" customWidth="1"/>
    <col min="14603" max="14603" width="27.375" style="56" customWidth="1"/>
    <col min="14604" max="14604" width="4.875" style="56" customWidth="1"/>
    <col min="14605" max="14848" width="9" style="56"/>
    <col min="14849" max="14858" width="9.625" style="56" customWidth="1"/>
    <col min="14859" max="14859" width="27.375" style="56" customWidth="1"/>
    <col min="14860" max="14860" width="4.875" style="56" customWidth="1"/>
    <col min="14861" max="15104" width="9" style="56"/>
    <col min="15105" max="15114" width="9.625" style="56" customWidth="1"/>
    <col min="15115" max="15115" width="27.375" style="56" customWidth="1"/>
    <col min="15116" max="15116" width="4.875" style="56" customWidth="1"/>
    <col min="15117" max="15360" width="9" style="56"/>
    <col min="15361" max="15370" width="9.625" style="56" customWidth="1"/>
    <col min="15371" max="15371" width="27.375" style="56" customWidth="1"/>
    <col min="15372" max="15372" width="4.875" style="56" customWidth="1"/>
    <col min="15373" max="15616" width="9" style="56"/>
    <col min="15617" max="15626" width="9.625" style="56" customWidth="1"/>
    <col min="15627" max="15627" width="27.375" style="56" customWidth="1"/>
    <col min="15628" max="15628" width="4.875" style="56" customWidth="1"/>
    <col min="15629" max="15872" width="9" style="56"/>
    <col min="15873" max="15882" width="9.625" style="56" customWidth="1"/>
    <col min="15883" max="15883" width="27.375" style="56" customWidth="1"/>
    <col min="15884" max="15884" width="4.875" style="56" customWidth="1"/>
    <col min="15885" max="16128" width="9" style="56"/>
    <col min="16129" max="16138" width="9.625" style="56" customWidth="1"/>
    <col min="16139" max="16139" width="27.375" style="56" customWidth="1"/>
    <col min="16140" max="16140" width="4.875" style="56" customWidth="1"/>
    <col min="16141" max="16384" width="9" style="56"/>
  </cols>
  <sheetData>
    <row r="1" spans="1:14" ht="12.75" customHeight="1" x14ac:dyDescent="0.2">
      <c r="A1" s="174" t="s">
        <v>550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55"/>
    </row>
    <row r="2" spans="1:14" ht="12.75" customHeight="1" thickBot="1" x14ac:dyDescent="0.25">
      <c r="A2" s="175" t="s">
        <v>551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55"/>
    </row>
    <row r="3" spans="1:14" ht="12.75" customHeight="1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183"/>
      <c r="K3" s="183"/>
      <c r="L3" s="55"/>
    </row>
    <row r="4" spans="1:14" ht="12.75" customHeight="1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182" t="s">
        <v>228</v>
      </c>
      <c r="K4" s="182"/>
      <c r="L4" s="55"/>
    </row>
    <row r="5" spans="1:14" ht="12.75" customHeight="1" thickBot="1" x14ac:dyDescent="0.25">
      <c r="A5" s="53">
        <f>SUM(B5:C5)</f>
        <v>18391</v>
      </c>
      <c r="B5" s="53">
        <f>H5+E5</f>
        <v>6760</v>
      </c>
      <c r="C5" s="53">
        <f>I5+F5</f>
        <v>11631</v>
      </c>
      <c r="D5" s="53">
        <f>SUM(E5:F5)</f>
        <v>579</v>
      </c>
      <c r="E5" s="53">
        <f>263-30</f>
        <v>233</v>
      </c>
      <c r="F5" s="53">
        <v>346</v>
      </c>
      <c r="G5" s="53">
        <f>SUM(H5:I5)</f>
        <v>17812</v>
      </c>
      <c r="H5" s="53">
        <f>7027-500</f>
        <v>6527</v>
      </c>
      <c r="I5" s="53">
        <f>10785+500</f>
        <v>11285</v>
      </c>
      <c r="J5" s="70" t="s">
        <v>221</v>
      </c>
      <c r="K5" s="71"/>
      <c r="L5" s="55"/>
      <c r="M5" s="63"/>
    </row>
    <row r="6" spans="1:14" ht="12.75" customHeight="1" thickBot="1" x14ac:dyDescent="0.25">
      <c r="A6" s="53">
        <f t="shared" ref="A6:A69" si="0">SUM(B6:C6)</f>
        <v>170</v>
      </c>
      <c r="B6" s="53">
        <f t="shared" ref="B6:C69" si="1">H6+E6</f>
        <v>170</v>
      </c>
      <c r="C6" s="53">
        <f t="shared" si="1"/>
        <v>0</v>
      </c>
      <c r="D6" s="53">
        <f t="shared" ref="D6:D69" si="2">SUM(E6:F6)</f>
        <v>2</v>
      </c>
      <c r="E6" s="53">
        <v>2</v>
      </c>
      <c r="F6" s="53">
        <v>0</v>
      </c>
      <c r="G6" s="53">
        <f t="shared" ref="G6:G69" si="3">SUM(H6:I6)</f>
        <v>168</v>
      </c>
      <c r="H6" s="53">
        <v>168</v>
      </c>
      <c r="I6" s="53">
        <v>0</v>
      </c>
      <c r="J6" s="70" t="s">
        <v>222</v>
      </c>
      <c r="K6" s="71" t="s">
        <v>182</v>
      </c>
      <c r="L6" s="55"/>
      <c r="N6" s="108"/>
    </row>
    <row r="7" spans="1:14" ht="12.75" customHeight="1" thickBot="1" x14ac:dyDescent="0.25">
      <c r="A7" s="53">
        <f t="shared" si="0"/>
        <v>18561</v>
      </c>
      <c r="B7" s="53">
        <f t="shared" si="1"/>
        <v>6930</v>
      </c>
      <c r="C7" s="53">
        <f t="shared" si="1"/>
        <v>11631</v>
      </c>
      <c r="D7" s="53">
        <f t="shared" si="2"/>
        <v>581</v>
      </c>
      <c r="E7" s="53">
        <f>E5+E6</f>
        <v>235</v>
      </c>
      <c r="F7" s="53">
        <f>F5+F6</f>
        <v>346</v>
      </c>
      <c r="G7" s="53">
        <f t="shared" si="3"/>
        <v>17980</v>
      </c>
      <c r="H7" s="53">
        <f>H5+H6</f>
        <v>6695</v>
      </c>
      <c r="I7" s="53">
        <f>I5+I6</f>
        <v>11285</v>
      </c>
      <c r="J7" s="70" t="s">
        <v>13</v>
      </c>
      <c r="K7" s="72"/>
      <c r="L7" s="55"/>
      <c r="M7" s="63"/>
    </row>
    <row r="8" spans="1:14" ht="12.75" customHeight="1" thickBot="1" x14ac:dyDescent="0.25">
      <c r="A8" s="53">
        <f t="shared" si="0"/>
        <v>40146</v>
      </c>
      <c r="B8" s="53">
        <f t="shared" si="1"/>
        <v>20340</v>
      </c>
      <c r="C8" s="53">
        <f t="shared" si="1"/>
        <v>19806</v>
      </c>
      <c r="D8" s="53">
        <f t="shared" si="2"/>
        <v>2896</v>
      </c>
      <c r="E8" s="53">
        <v>115</v>
      </c>
      <c r="F8" s="53">
        <f>3183-402</f>
        <v>2781</v>
      </c>
      <c r="G8" s="53">
        <f t="shared" si="3"/>
        <v>37250</v>
      </c>
      <c r="H8" s="53">
        <f>19954+771-500</f>
        <v>20225</v>
      </c>
      <c r="I8" s="53">
        <f>16525+500</f>
        <v>17025</v>
      </c>
      <c r="J8" s="70" t="s">
        <v>221</v>
      </c>
      <c r="K8" s="71"/>
      <c r="L8" s="55"/>
      <c r="M8" s="63"/>
    </row>
    <row r="9" spans="1:14" ht="12.75" customHeight="1" thickBot="1" x14ac:dyDescent="0.25">
      <c r="A9" s="53">
        <f t="shared" si="0"/>
        <v>14065</v>
      </c>
      <c r="B9" s="53">
        <f t="shared" si="1"/>
        <v>11143</v>
      </c>
      <c r="C9" s="53">
        <f t="shared" si="1"/>
        <v>2922</v>
      </c>
      <c r="D9" s="53">
        <f t="shared" si="2"/>
        <v>61</v>
      </c>
      <c r="E9" s="53">
        <v>21</v>
      </c>
      <c r="F9" s="53">
        <f>49-9</f>
        <v>40</v>
      </c>
      <c r="G9" s="53">
        <f t="shared" si="3"/>
        <v>14004</v>
      </c>
      <c r="H9" s="53">
        <f>10646+476</f>
        <v>11122</v>
      </c>
      <c r="I9" s="53">
        <f>3382-500</f>
        <v>2882</v>
      </c>
      <c r="J9" s="70" t="s">
        <v>222</v>
      </c>
      <c r="K9" s="71" t="s">
        <v>183</v>
      </c>
      <c r="L9" s="55"/>
    </row>
    <row r="10" spans="1:14" ht="12.75" customHeight="1" thickBot="1" x14ac:dyDescent="0.25">
      <c r="A10" s="53">
        <f t="shared" si="0"/>
        <v>54211</v>
      </c>
      <c r="B10" s="53">
        <f t="shared" si="1"/>
        <v>31483</v>
      </c>
      <c r="C10" s="53">
        <f t="shared" si="1"/>
        <v>22728</v>
      </c>
      <c r="D10" s="53">
        <f t="shared" si="2"/>
        <v>2957</v>
      </c>
      <c r="E10" s="53">
        <f>E8+E9</f>
        <v>136</v>
      </c>
      <c r="F10" s="53">
        <f>F8+F9</f>
        <v>2821</v>
      </c>
      <c r="G10" s="53">
        <f t="shared" si="3"/>
        <v>51254</v>
      </c>
      <c r="H10" s="53">
        <f>H8+H9</f>
        <v>31347</v>
      </c>
      <c r="I10" s="53">
        <f>I8+I9</f>
        <v>19907</v>
      </c>
      <c r="J10" s="70" t="s">
        <v>13</v>
      </c>
      <c r="K10" s="72"/>
      <c r="L10" s="55"/>
      <c r="M10" s="63"/>
      <c r="N10" s="63"/>
    </row>
    <row r="11" spans="1:14" ht="12.75" customHeight="1" thickBot="1" x14ac:dyDescent="0.25">
      <c r="A11" s="53">
        <f t="shared" si="0"/>
        <v>10403</v>
      </c>
      <c r="B11" s="53">
        <f t="shared" si="1"/>
        <v>4506</v>
      </c>
      <c r="C11" s="53">
        <f t="shared" si="1"/>
        <v>5897</v>
      </c>
      <c r="D11" s="53">
        <f t="shared" si="2"/>
        <v>16</v>
      </c>
      <c r="E11" s="53">
        <v>10</v>
      </c>
      <c r="F11" s="53">
        <v>6</v>
      </c>
      <c r="G11" s="53">
        <f t="shared" si="3"/>
        <v>10387</v>
      </c>
      <c r="H11" s="53">
        <v>4496</v>
      </c>
      <c r="I11" s="53">
        <f>5391+500</f>
        <v>5891</v>
      </c>
      <c r="J11" s="70" t="s">
        <v>221</v>
      </c>
      <c r="K11" s="71"/>
      <c r="L11" s="55"/>
      <c r="M11" s="63"/>
    </row>
    <row r="12" spans="1:14" ht="12.75" customHeight="1" thickBot="1" x14ac:dyDescent="0.25">
      <c r="A12" s="53">
        <f t="shared" si="0"/>
        <v>1451</v>
      </c>
      <c r="B12" s="53">
        <f t="shared" si="1"/>
        <v>1451</v>
      </c>
      <c r="C12" s="53">
        <f t="shared" si="1"/>
        <v>0</v>
      </c>
      <c r="D12" s="53">
        <f t="shared" si="2"/>
        <v>0</v>
      </c>
      <c r="E12" s="53">
        <v>0</v>
      </c>
      <c r="F12" s="53">
        <v>0</v>
      </c>
      <c r="G12" s="53">
        <f t="shared" si="3"/>
        <v>1451</v>
      </c>
      <c r="H12" s="53">
        <v>1451</v>
      </c>
      <c r="I12" s="53">
        <v>0</v>
      </c>
      <c r="J12" s="70" t="s">
        <v>222</v>
      </c>
      <c r="K12" s="71" t="s">
        <v>184</v>
      </c>
      <c r="L12" s="55"/>
    </row>
    <row r="13" spans="1:14" ht="12.75" customHeight="1" thickBot="1" x14ac:dyDescent="0.25">
      <c r="A13" s="53">
        <f t="shared" si="0"/>
        <v>11854</v>
      </c>
      <c r="B13" s="53">
        <f t="shared" si="1"/>
        <v>5957</v>
      </c>
      <c r="C13" s="53">
        <f t="shared" si="1"/>
        <v>5897</v>
      </c>
      <c r="D13" s="53">
        <f t="shared" si="2"/>
        <v>16</v>
      </c>
      <c r="E13" s="53">
        <f>E11+E12</f>
        <v>10</v>
      </c>
      <c r="F13" s="53">
        <f>F11+F12</f>
        <v>6</v>
      </c>
      <c r="G13" s="53">
        <f t="shared" si="3"/>
        <v>11838</v>
      </c>
      <c r="H13" s="53">
        <f>H11+H12</f>
        <v>5947</v>
      </c>
      <c r="I13" s="53">
        <f>I11+I12</f>
        <v>5891</v>
      </c>
      <c r="J13" s="70" t="s">
        <v>13</v>
      </c>
      <c r="K13" s="72"/>
      <c r="L13" s="55"/>
      <c r="M13" s="63"/>
      <c r="N13" s="63"/>
    </row>
    <row r="14" spans="1:14" ht="12.75" customHeight="1" thickBot="1" x14ac:dyDescent="0.25">
      <c r="A14" s="53">
        <f t="shared" si="0"/>
        <v>64698</v>
      </c>
      <c r="B14" s="53">
        <f t="shared" si="1"/>
        <v>50929</v>
      </c>
      <c r="C14" s="53">
        <f t="shared" si="1"/>
        <v>13769</v>
      </c>
      <c r="D14" s="53">
        <f t="shared" si="2"/>
        <v>760</v>
      </c>
      <c r="E14" s="53">
        <v>364</v>
      </c>
      <c r="F14" s="53">
        <v>396</v>
      </c>
      <c r="G14" s="53">
        <f t="shared" si="3"/>
        <v>63938</v>
      </c>
      <c r="H14" s="53">
        <v>50565</v>
      </c>
      <c r="I14" s="53">
        <f>12873+500</f>
        <v>13373</v>
      </c>
      <c r="J14" s="70" t="s">
        <v>221</v>
      </c>
      <c r="K14" s="71"/>
      <c r="L14" s="55"/>
      <c r="M14" s="63"/>
    </row>
    <row r="15" spans="1:14" ht="12.75" customHeight="1" thickBot="1" x14ac:dyDescent="0.25">
      <c r="A15" s="53">
        <f t="shared" si="0"/>
        <v>14541</v>
      </c>
      <c r="B15" s="53">
        <f t="shared" si="1"/>
        <v>12791</v>
      </c>
      <c r="C15" s="53">
        <f t="shared" si="1"/>
        <v>1750</v>
      </c>
      <c r="D15" s="53">
        <f t="shared" si="2"/>
        <v>33</v>
      </c>
      <c r="E15" s="53">
        <v>33</v>
      </c>
      <c r="F15" s="53">
        <v>0</v>
      </c>
      <c r="G15" s="53">
        <f t="shared" si="3"/>
        <v>14508</v>
      </c>
      <c r="H15" s="53">
        <f>12258+500</f>
        <v>12758</v>
      </c>
      <c r="I15" s="53">
        <v>1750</v>
      </c>
      <c r="J15" s="70" t="s">
        <v>222</v>
      </c>
      <c r="K15" s="71" t="s">
        <v>185</v>
      </c>
      <c r="L15" s="55"/>
    </row>
    <row r="16" spans="1:14" ht="12.75" customHeight="1" thickBot="1" x14ac:dyDescent="0.25">
      <c r="A16" s="53">
        <f t="shared" si="0"/>
        <v>79239</v>
      </c>
      <c r="B16" s="53">
        <f t="shared" si="1"/>
        <v>63720</v>
      </c>
      <c r="C16" s="53">
        <f t="shared" si="1"/>
        <v>15519</v>
      </c>
      <c r="D16" s="53">
        <f t="shared" si="2"/>
        <v>793</v>
      </c>
      <c r="E16" s="53">
        <f>E14+E15</f>
        <v>397</v>
      </c>
      <c r="F16" s="53">
        <f>F14+F15</f>
        <v>396</v>
      </c>
      <c r="G16" s="53">
        <f t="shared" si="3"/>
        <v>78446</v>
      </c>
      <c r="H16" s="53">
        <f>H14+H15</f>
        <v>63323</v>
      </c>
      <c r="I16" s="53">
        <f>I14+I15</f>
        <v>15123</v>
      </c>
      <c r="J16" s="70" t="s">
        <v>13</v>
      </c>
      <c r="K16" s="72"/>
      <c r="L16" s="55"/>
      <c r="M16" s="63"/>
      <c r="N16" s="63"/>
    </row>
    <row r="17" spans="1:14" ht="12.75" customHeight="1" thickBot="1" x14ac:dyDescent="0.25">
      <c r="A17" s="53">
        <f t="shared" si="0"/>
        <v>1757</v>
      </c>
      <c r="B17" s="53">
        <f t="shared" si="1"/>
        <v>1302</v>
      </c>
      <c r="C17" s="53">
        <f t="shared" si="1"/>
        <v>455</v>
      </c>
      <c r="D17" s="53">
        <f t="shared" si="2"/>
        <v>272</v>
      </c>
      <c r="E17" s="53">
        <v>265</v>
      </c>
      <c r="F17" s="53">
        <v>7</v>
      </c>
      <c r="G17" s="53">
        <f t="shared" si="3"/>
        <v>1485</v>
      </c>
      <c r="H17" s="53">
        <v>1037</v>
      </c>
      <c r="I17" s="53">
        <v>448</v>
      </c>
      <c r="J17" s="70" t="s">
        <v>221</v>
      </c>
      <c r="K17" s="71"/>
      <c r="L17" s="55"/>
      <c r="M17" s="63"/>
    </row>
    <row r="18" spans="1:14" ht="12.75" customHeight="1" thickBot="1" x14ac:dyDescent="0.25">
      <c r="A18" s="53">
        <f t="shared" si="0"/>
        <v>0</v>
      </c>
      <c r="B18" s="53">
        <f t="shared" si="1"/>
        <v>0</v>
      </c>
      <c r="C18" s="53">
        <f t="shared" si="1"/>
        <v>0</v>
      </c>
      <c r="D18" s="53">
        <f t="shared" si="2"/>
        <v>0</v>
      </c>
      <c r="E18" s="53">
        <v>0</v>
      </c>
      <c r="F18" s="53">
        <v>0</v>
      </c>
      <c r="G18" s="53">
        <f t="shared" si="3"/>
        <v>0</v>
      </c>
      <c r="H18" s="53">
        <v>0</v>
      </c>
      <c r="I18" s="53">
        <v>0</v>
      </c>
      <c r="J18" s="70" t="s">
        <v>222</v>
      </c>
      <c r="K18" s="71" t="s">
        <v>186</v>
      </c>
      <c r="L18" s="55"/>
    </row>
    <row r="19" spans="1:14" ht="12.75" customHeight="1" thickBot="1" x14ac:dyDescent="0.25">
      <c r="A19" s="53">
        <f t="shared" si="0"/>
        <v>1757</v>
      </c>
      <c r="B19" s="53">
        <f t="shared" si="1"/>
        <v>1302</v>
      </c>
      <c r="C19" s="53">
        <f t="shared" si="1"/>
        <v>455</v>
      </c>
      <c r="D19" s="53">
        <f t="shared" si="2"/>
        <v>272</v>
      </c>
      <c r="E19" s="53">
        <f>E17+E18</f>
        <v>265</v>
      </c>
      <c r="F19" s="53">
        <f>F17+F18</f>
        <v>7</v>
      </c>
      <c r="G19" s="53">
        <f t="shared" si="3"/>
        <v>1485</v>
      </c>
      <c r="H19" s="53">
        <f>H17+H18</f>
        <v>1037</v>
      </c>
      <c r="I19" s="53">
        <f>I17+I18</f>
        <v>448</v>
      </c>
      <c r="J19" s="70" t="s">
        <v>13</v>
      </c>
      <c r="K19" s="72"/>
      <c r="L19" s="55"/>
      <c r="M19" s="63"/>
      <c r="N19" s="63"/>
    </row>
    <row r="20" spans="1:14" ht="12.75" customHeight="1" thickBot="1" x14ac:dyDescent="0.25">
      <c r="A20" s="53">
        <f t="shared" si="0"/>
        <v>99653</v>
      </c>
      <c r="B20" s="53">
        <f t="shared" si="1"/>
        <v>70365</v>
      </c>
      <c r="C20" s="53">
        <f t="shared" si="1"/>
        <v>29288</v>
      </c>
      <c r="D20" s="53">
        <f t="shared" si="2"/>
        <v>895</v>
      </c>
      <c r="E20" s="53">
        <f>619+30</f>
        <v>649</v>
      </c>
      <c r="F20" s="53">
        <v>246</v>
      </c>
      <c r="G20" s="53">
        <f t="shared" si="3"/>
        <v>98758</v>
      </c>
      <c r="H20" s="53">
        <v>69716</v>
      </c>
      <c r="I20" s="53">
        <f>27476+1566</f>
        <v>29042</v>
      </c>
      <c r="J20" s="70" t="s">
        <v>221</v>
      </c>
      <c r="K20" s="71"/>
      <c r="L20" s="55"/>
      <c r="M20" s="63"/>
    </row>
    <row r="21" spans="1:14" ht="12.75" customHeight="1" thickBot="1" x14ac:dyDescent="0.25">
      <c r="A21" s="53">
        <f t="shared" si="0"/>
        <v>29094</v>
      </c>
      <c r="B21" s="53">
        <f t="shared" si="1"/>
        <v>19258</v>
      </c>
      <c r="C21" s="53">
        <f t="shared" si="1"/>
        <v>9836</v>
      </c>
      <c r="D21" s="53">
        <f t="shared" si="2"/>
        <v>642</v>
      </c>
      <c r="E21" s="53">
        <v>560</v>
      </c>
      <c r="F21" s="53">
        <f>107-25</f>
        <v>82</v>
      </c>
      <c r="G21" s="53">
        <f t="shared" si="3"/>
        <v>28452</v>
      </c>
      <c r="H21" s="53">
        <f>20403-1705</f>
        <v>18698</v>
      </c>
      <c r="I21" s="53">
        <f>10835+65-1146</f>
        <v>9754</v>
      </c>
      <c r="J21" s="70" t="s">
        <v>222</v>
      </c>
      <c r="K21" s="71" t="s">
        <v>187</v>
      </c>
      <c r="L21" s="55"/>
    </row>
    <row r="22" spans="1:14" ht="12.75" customHeight="1" thickBot="1" x14ac:dyDescent="0.25">
      <c r="A22" s="53">
        <f t="shared" si="0"/>
        <v>128747</v>
      </c>
      <c r="B22" s="53">
        <f t="shared" si="1"/>
        <v>89623</v>
      </c>
      <c r="C22" s="53">
        <f t="shared" si="1"/>
        <v>39124</v>
      </c>
      <c r="D22" s="53">
        <f t="shared" si="2"/>
        <v>1537</v>
      </c>
      <c r="E22" s="53">
        <f>E20+E21</f>
        <v>1209</v>
      </c>
      <c r="F22" s="53">
        <f>F20+F21</f>
        <v>328</v>
      </c>
      <c r="G22" s="53">
        <f t="shared" si="3"/>
        <v>127210</v>
      </c>
      <c r="H22" s="53">
        <f>H20+H21</f>
        <v>88414</v>
      </c>
      <c r="I22" s="53">
        <f>I20+I21</f>
        <v>38796</v>
      </c>
      <c r="J22" s="70" t="s">
        <v>13</v>
      </c>
      <c r="K22" s="72"/>
      <c r="L22" s="55"/>
      <c r="M22" s="63"/>
      <c r="N22" s="63"/>
    </row>
    <row r="23" spans="1:14" ht="12.75" customHeight="1" thickBot="1" x14ac:dyDescent="0.25">
      <c r="A23" s="53">
        <f t="shared" si="0"/>
        <v>30944</v>
      </c>
      <c r="B23" s="53">
        <f t="shared" si="1"/>
        <v>27922</v>
      </c>
      <c r="C23" s="53">
        <f t="shared" si="1"/>
        <v>3022</v>
      </c>
      <c r="D23" s="53">
        <f t="shared" si="2"/>
        <v>121</v>
      </c>
      <c r="E23" s="53">
        <v>89</v>
      </c>
      <c r="F23" s="53">
        <v>32</v>
      </c>
      <c r="G23" s="53">
        <f t="shared" si="3"/>
        <v>30823</v>
      </c>
      <c r="H23" s="53">
        <v>27833</v>
      </c>
      <c r="I23" s="53">
        <v>2990</v>
      </c>
      <c r="J23" s="70" t="s">
        <v>221</v>
      </c>
      <c r="K23" s="71"/>
      <c r="L23" s="55"/>
      <c r="M23" s="63"/>
    </row>
    <row r="24" spans="1:14" ht="12.75" customHeight="1" thickBot="1" x14ac:dyDescent="0.25">
      <c r="A24" s="53">
        <f t="shared" si="0"/>
        <v>2048</v>
      </c>
      <c r="B24" s="53">
        <f t="shared" si="1"/>
        <v>2048</v>
      </c>
      <c r="C24" s="53">
        <f t="shared" si="1"/>
        <v>0</v>
      </c>
      <c r="D24" s="53">
        <f t="shared" si="2"/>
        <v>5</v>
      </c>
      <c r="E24" s="53">
        <v>5</v>
      </c>
      <c r="F24" s="53">
        <v>0</v>
      </c>
      <c r="G24" s="53">
        <f t="shared" si="3"/>
        <v>2043</v>
      </c>
      <c r="H24" s="53">
        <v>2043</v>
      </c>
      <c r="I24" s="53">
        <v>0</v>
      </c>
      <c r="J24" s="70" t="s">
        <v>222</v>
      </c>
      <c r="K24" s="71" t="s">
        <v>188</v>
      </c>
      <c r="L24" s="55"/>
    </row>
    <row r="25" spans="1:14" ht="12.75" customHeight="1" thickBot="1" x14ac:dyDescent="0.25">
      <c r="A25" s="53">
        <f t="shared" si="0"/>
        <v>32992</v>
      </c>
      <c r="B25" s="53">
        <f t="shared" si="1"/>
        <v>29970</v>
      </c>
      <c r="C25" s="53">
        <f t="shared" si="1"/>
        <v>3022</v>
      </c>
      <c r="D25" s="53">
        <f t="shared" si="2"/>
        <v>126</v>
      </c>
      <c r="E25" s="53">
        <f>E23+E24</f>
        <v>94</v>
      </c>
      <c r="F25" s="53">
        <f>F23+F24</f>
        <v>32</v>
      </c>
      <c r="G25" s="53">
        <f t="shared" si="3"/>
        <v>32866</v>
      </c>
      <c r="H25" s="53">
        <f>H23+H24</f>
        <v>29876</v>
      </c>
      <c r="I25" s="53">
        <f>I23+I24</f>
        <v>2990</v>
      </c>
      <c r="J25" s="70" t="s">
        <v>13</v>
      </c>
      <c r="K25" s="72"/>
      <c r="L25" s="55"/>
      <c r="M25" s="63"/>
      <c r="N25" s="63"/>
    </row>
    <row r="26" spans="1:14" ht="12.75" customHeight="1" thickBot="1" x14ac:dyDescent="0.25">
      <c r="A26" s="53">
        <f t="shared" si="0"/>
        <v>11011</v>
      </c>
      <c r="B26" s="53">
        <f t="shared" si="1"/>
        <v>6023</v>
      </c>
      <c r="C26" s="53">
        <f t="shared" si="1"/>
        <v>4988</v>
      </c>
      <c r="D26" s="53">
        <f t="shared" si="2"/>
        <v>567</v>
      </c>
      <c r="E26" s="53">
        <v>162</v>
      </c>
      <c r="F26" s="53">
        <v>405</v>
      </c>
      <c r="G26" s="53">
        <f t="shared" si="3"/>
        <v>10444</v>
      </c>
      <c r="H26" s="53">
        <v>5861</v>
      </c>
      <c r="I26" s="53">
        <v>4583</v>
      </c>
      <c r="J26" s="70" t="s">
        <v>221</v>
      </c>
      <c r="K26" s="71"/>
      <c r="L26" s="55"/>
      <c r="M26" s="63"/>
    </row>
    <row r="27" spans="1:14" ht="12.75" customHeight="1" thickBot="1" x14ac:dyDescent="0.25">
      <c r="A27" s="53">
        <f t="shared" si="0"/>
        <v>3569</v>
      </c>
      <c r="B27" s="53">
        <f t="shared" si="1"/>
        <v>2073</v>
      </c>
      <c r="C27" s="53">
        <f t="shared" si="1"/>
        <v>1496</v>
      </c>
      <c r="D27" s="53">
        <f t="shared" si="2"/>
        <v>7</v>
      </c>
      <c r="E27" s="53">
        <v>4</v>
      </c>
      <c r="F27" s="53">
        <v>3</v>
      </c>
      <c r="G27" s="53">
        <f t="shared" si="3"/>
        <v>3562</v>
      </c>
      <c r="H27" s="53">
        <v>2069</v>
      </c>
      <c r="I27" s="53">
        <f>1793-300</f>
        <v>1493</v>
      </c>
      <c r="J27" s="70" t="s">
        <v>222</v>
      </c>
      <c r="K27" s="71" t="s">
        <v>189</v>
      </c>
      <c r="L27" s="55"/>
    </row>
    <row r="28" spans="1:14" ht="12.75" customHeight="1" thickBot="1" x14ac:dyDescent="0.25">
      <c r="A28" s="53">
        <f t="shared" si="0"/>
        <v>14580</v>
      </c>
      <c r="B28" s="53">
        <f t="shared" si="1"/>
        <v>8096</v>
      </c>
      <c r="C28" s="53">
        <f t="shared" si="1"/>
        <v>6484</v>
      </c>
      <c r="D28" s="53">
        <f t="shared" si="2"/>
        <v>574</v>
      </c>
      <c r="E28" s="53">
        <f>E26+E27</f>
        <v>166</v>
      </c>
      <c r="F28" s="53">
        <f>F26+F27</f>
        <v>408</v>
      </c>
      <c r="G28" s="53">
        <f t="shared" si="3"/>
        <v>14006</v>
      </c>
      <c r="H28" s="53">
        <f>H26+H27</f>
        <v>7930</v>
      </c>
      <c r="I28" s="53">
        <f>I26+I27</f>
        <v>6076</v>
      </c>
      <c r="J28" s="70" t="s">
        <v>13</v>
      </c>
      <c r="K28" s="72"/>
      <c r="L28" s="55"/>
      <c r="M28" s="63"/>
      <c r="N28" s="63"/>
    </row>
    <row r="29" spans="1:14" ht="12.75" customHeight="1" thickBot="1" x14ac:dyDescent="0.25">
      <c r="A29" s="53">
        <f t="shared" si="0"/>
        <v>49949</v>
      </c>
      <c r="B29" s="53">
        <f t="shared" si="1"/>
        <v>22164</v>
      </c>
      <c r="C29" s="53">
        <f t="shared" si="1"/>
        <v>27785</v>
      </c>
      <c r="D29" s="53">
        <f t="shared" si="2"/>
        <v>1729</v>
      </c>
      <c r="E29" s="53">
        <v>876</v>
      </c>
      <c r="F29" s="53">
        <v>853</v>
      </c>
      <c r="G29" s="53">
        <f t="shared" si="3"/>
        <v>48220</v>
      </c>
      <c r="H29" s="53">
        <f>21568-280</f>
        <v>21288</v>
      </c>
      <c r="I29" s="53">
        <f>27854-922</f>
        <v>26932</v>
      </c>
      <c r="J29" s="70" t="s">
        <v>221</v>
      </c>
      <c r="K29" s="71"/>
      <c r="L29" s="55"/>
      <c r="M29" s="63"/>
    </row>
    <row r="30" spans="1:14" ht="12.75" customHeight="1" thickBot="1" x14ac:dyDescent="0.25">
      <c r="A30" s="53">
        <f t="shared" si="0"/>
        <v>18910</v>
      </c>
      <c r="B30" s="53">
        <f t="shared" si="1"/>
        <v>5731</v>
      </c>
      <c r="C30" s="53">
        <f t="shared" si="1"/>
        <v>13179</v>
      </c>
      <c r="D30" s="53">
        <f t="shared" si="2"/>
        <v>979</v>
      </c>
      <c r="E30" s="53">
        <f>608+30</f>
        <v>638</v>
      </c>
      <c r="F30" s="53">
        <f>426-85</f>
        <v>341</v>
      </c>
      <c r="G30" s="53">
        <f t="shared" si="3"/>
        <v>17931</v>
      </c>
      <c r="H30" s="53">
        <v>5093</v>
      </c>
      <c r="I30" s="53">
        <f>13338-500</f>
        <v>12838</v>
      </c>
      <c r="J30" s="70" t="s">
        <v>222</v>
      </c>
      <c r="K30" s="71" t="s">
        <v>190</v>
      </c>
      <c r="L30" s="55"/>
    </row>
    <row r="31" spans="1:14" ht="12.75" customHeight="1" thickBot="1" x14ac:dyDescent="0.25">
      <c r="A31" s="53">
        <f t="shared" si="0"/>
        <v>68859</v>
      </c>
      <c r="B31" s="53">
        <f t="shared" si="1"/>
        <v>27895</v>
      </c>
      <c r="C31" s="53">
        <f t="shared" si="1"/>
        <v>40964</v>
      </c>
      <c r="D31" s="53">
        <f t="shared" si="2"/>
        <v>2708</v>
      </c>
      <c r="E31" s="53">
        <f>E29+E30</f>
        <v>1514</v>
      </c>
      <c r="F31" s="53">
        <f>F29+F30</f>
        <v>1194</v>
      </c>
      <c r="G31" s="53">
        <f t="shared" si="3"/>
        <v>66151</v>
      </c>
      <c r="H31" s="53">
        <f>H29+H30</f>
        <v>26381</v>
      </c>
      <c r="I31" s="53">
        <f>I29+I30</f>
        <v>39770</v>
      </c>
      <c r="J31" s="70" t="s">
        <v>13</v>
      </c>
      <c r="K31" s="72"/>
      <c r="L31" s="55"/>
      <c r="M31" s="63"/>
      <c r="N31" s="63"/>
    </row>
    <row r="32" spans="1:14" ht="12.75" customHeight="1" thickBot="1" x14ac:dyDescent="0.25">
      <c r="A32" s="53">
        <f t="shared" si="0"/>
        <v>675</v>
      </c>
      <c r="B32" s="53">
        <f t="shared" si="1"/>
        <v>675</v>
      </c>
      <c r="C32" s="53">
        <f t="shared" si="1"/>
        <v>0</v>
      </c>
      <c r="D32" s="53">
        <f t="shared" si="2"/>
        <v>0</v>
      </c>
      <c r="E32" s="53">
        <v>0</v>
      </c>
      <c r="F32" s="53">
        <v>0</v>
      </c>
      <c r="G32" s="53">
        <f t="shared" si="3"/>
        <v>675</v>
      </c>
      <c r="H32" s="53">
        <v>675</v>
      </c>
      <c r="I32" s="53">
        <v>0</v>
      </c>
      <c r="J32" s="70" t="s">
        <v>221</v>
      </c>
      <c r="K32" s="71"/>
      <c r="L32" s="55"/>
      <c r="M32" s="63"/>
    </row>
    <row r="33" spans="1:14" ht="12.75" customHeight="1" thickBot="1" x14ac:dyDescent="0.25">
      <c r="A33" s="53">
        <f t="shared" si="0"/>
        <v>0</v>
      </c>
      <c r="B33" s="53">
        <f t="shared" si="1"/>
        <v>0</v>
      </c>
      <c r="C33" s="53">
        <f t="shared" si="1"/>
        <v>0</v>
      </c>
      <c r="D33" s="53">
        <f t="shared" si="2"/>
        <v>0</v>
      </c>
      <c r="E33" s="53">
        <v>0</v>
      </c>
      <c r="F33" s="53">
        <v>0</v>
      </c>
      <c r="G33" s="53">
        <f t="shared" si="3"/>
        <v>0</v>
      </c>
      <c r="H33" s="53">
        <v>0</v>
      </c>
      <c r="I33" s="53">
        <v>0</v>
      </c>
      <c r="J33" s="70" t="s">
        <v>222</v>
      </c>
      <c r="K33" s="71" t="s">
        <v>191</v>
      </c>
      <c r="L33" s="55"/>
    </row>
    <row r="34" spans="1:14" ht="12.75" customHeight="1" thickBot="1" x14ac:dyDescent="0.25">
      <c r="A34" s="53">
        <f t="shared" si="0"/>
        <v>675</v>
      </c>
      <c r="B34" s="53">
        <f t="shared" si="1"/>
        <v>675</v>
      </c>
      <c r="C34" s="53">
        <f t="shared" si="1"/>
        <v>0</v>
      </c>
      <c r="D34" s="53">
        <f t="shared" si="2"/>
        <v>0</v>
      </c>
      <c r="E34" s="53">
        <f>E32+E33</f>
        <v>0</v>
      </c>
      <c r="F34" s="53">
        <f>F32+F33</f>
        <v>0</v>
      </c>
      <c r="G34" s="53">
        <f t="shared" si="3"/>
        <v>675</v>
      </c>
      <c r="H34" s="53">
        <f>H32+H33</f>
        <v>675</v>
      </c>
      <c r="I34" s="53">
        <f>I32+I33</f>
        <v>0</v>
      </c>
      <c r="J34" s="70" t="s">
        <v>13</v>
      </c>
      <c r="K34" s="72"/>
      <c r="L34" s="55"/>
      <c r="M34" s="63"/>
      <c r="N34" s="63"/>
    </row>
    <row r="35" spans="1:14" ht="12.75" customHeight="1" thickBot="1" x14ac:dyDescent="0.25">
      <c r="A35" s="53">
        <f t="shared" si="0"/>
        <v>29704</v>
      </c>
      <c r="B35" s="53">
        <f t="shared" si="1"/>
        <v>19778</v>
      </c>
      <c r="C35" s="53">
        <f t="shared" si="1"/>
        <v>9926</v>
      </c>
      <c r="D35" s="53">
        <f t="shared" si="2"/>
        <v>388</v>
      </c>
      <c r="E35" s="53">
        <v>194</v>
      </c>
      <c r="F35" s="53">
        <v>194</v>
      </c>
      <c r="G35" s="53">
        <f t="shared" si="3"/>
        <v>29316</v>
      </c>
      <c r="H35" s="53">
        <f>19185+399</f>
        <v>19584</v>
      </c>
      <c r="I35" s="53">
        <v>9732</v>
      </c>
      <c r="J35" s="70" t="s">
        <v>221</v>
      </c>
      <c r="K35" s="71"/>
      <c r="L35" s="55"/>
      <c r="M35" s="63"/>
    </row>
    <row r="36" spans="1:14" ht="12.75" customHeight="1" thickBot="1" x14ac:dyDescent="0.25">
      <c r="A36" s="53">
        <f t="shared" si="0"/>
        <v>215</v>
      </c>
      <c r="B36" s="53">
        <f t="shared" si="1"/>
        <v>215</v>
      </c>
      <c r="C36" s="53">
        <f t="shared" si="1"/>
        <v>0</v>
      </c>
      <c r="D36" s="53">
        <f t="shared" si="2"/>
        <v>0</v>
      </c>
      <c r="E36" s="53">
        <v>0</v>
      </c>
      <c r="F36" s="53">
        <v>0</v>
      </c>
      <c r="G36" s="53">
        <f t="shared" si="3"/>
        <v>215</v>
      </c>
      <c r="H36" s="53">
        <v>215</v>
      </c>
      <c r="I36" s="53">
        <v>0</v>
      </c>
      <c r="J36" s="70" t="s">
        <v>222</v>
      </c>
      <c r="K36" s="71" t="s">
        <v>192</v>
      </c>
      <c r="L36" s="55"/>
    </row>
    <row r="37" spans="1:14" ht="12.75" customHeight="1" thickBot="1" x14ac:dyDescent="0.25">
      <c r="A37" s="53">
        <f t="shared" si="0"/>
        <v>29919</v>
      </c>
      <c r="B37" s="53">
        <f t="shared" si="1"/>
        <v>19993</v>
      </c>
      <c r="C37" s="53">
        <f t="shared" si="1"/>
        <v>9926</v>
      </c>
      <c r="D37" s="53">
        <f t="shared" si="2"/>
        <v>388</v>
      </c>
      <c r="E37" s="53">
        <f>E35+E36</f>
        <v>194</v>
      </c>
      <c r="F37" s="53">
        <f>F35+F36</f>
        <v>194</v>
      </c>
      <c r="G37" s="53">
        <f t="shared" si="3"/>
        <v>29531</v>
      </c>
      <c r="H37" s="53">
        <f>H35+H36</f>
        <v>19799</v>
      </c>
      <c r="I37" s="53">
        <f>I35+I36</f>
        <v>9732</v>
      </c>
      <c r="J37" s="70" t="s">
        <v>13</v>
      </c>
      <c r="K37" s="72"/>
      <c r="L37" s="55"/>
      <c r="M37" s="63"/>
      <c r="N37" s="63"/>
    </row>
    <row r="38" spans="1:14" ht="12.75" customHeight="1" thickBot="1" x14ac:dyDescent="0.25">
      <c r="A38" s="53">
        <f t="shared" si="0"/>
        <v>27440</v>
      </c>
      <c r="B38" s="53">
        <f t="shared" si="1"/>
        <v>19683</v>
      </c>
      <c r="C38" s="53">
        <f t="shared" si="1"/>
        <v>7757</v>
      </c>
      <c r="D38" s="53">
        <f t="shared" si="2"/>
        <v>231</v>
      </c>
      <c r="E38" s="53">
        <v>141</v>
      </c>
      <c r="F38" s="53">
        <v>90</v>
      </c>
      <c r="G38" s="53">
        <f t="shared" si="3"/>
        <v>27209</v>
      </c>
      <c r="H38" s="53">
        <v>19542</v>
      </c>
      <c r="I38" s="53">
        <v>7667</v>
      </c>
      <c r="J38" s="70" t="s">
        <v>221</v>
      </c>
      <c r="K38" s="71"/>
      <c r="L38" s="55"/>
      <c r="M38" s="63"/>
    </row>
    <row r="39" spans="1:14" ht="12.75" customHeight="1" thickBot="1" x14ac:dyDescent="0.25">
      <c r="A39" s="53">
        <f t="shared" si="0"/>
        <v>236</v>
      </c>
      <c r="B39" s="53">
        <f t="shared" si="1"/>
        <v>236</v>
      </c>
      <c r="C39" s="53">
        <f t="shared" si="1"/>
        <v>0</v>
      </c>
      <c r="D39" s="53">
        <f t="shared" si="2"/>
        <v>0</v>
      </c>
      <c r="E39" s="53">
        <v>0</v>
      </c>
      <c r="F39" s="53">
        <v>0</v>
      </c>
      <c r="G39" s="53">
        <f t="shared" si="3"/>
        <v>236</v>
      </c>
      <c r="H39" s="53">
        <v>236</v>
      </c>
      <c r="I39" s="53">
        <v>0</v>
      </c>
      <c r="J39" s="70" t="s">
        <v>222</v>
      </c>
      <c r="K39" s="71" t="s">
        <v>193</v>
      </c>
      <c r="L39" s="55"/>
    </row>
    <row r="40" spans="1:14" ht="12.75" customHeight="1" thickBot="1" x14ac:dyDescent="0.25">
      <c r="A40" s="53">
        <f t="shared" si="0"/>
        <v>27676</v>
      </c>
      <c r="B40" s="53">
        <f t="shared" si="1"/>
        <v>19919</v>
      </c>
      <c r="C40" s="53">
        <f t="shared" si="1"/>
        <v>7757</v>
      </c>
      <c r="D40" s="53">
        <f t="shared" si="2"/>
        <v>231</v>
      </c>
      <c r="E40" s="53">
        <f>E38+E39</f>
        <v>141</v>
      </c>
      <c r="F40" s="53">
        <f>F38+F39</f>
        <v>90</v>
      </c>
      <c r="G40" s="53">
        <f t="shared" si="3"/>
        <v>27445</v>
      </c>
      <c r="H40" s="53">
        <f>H38+H39</f>
        <v>19778</v>
      </c>
      <c r="I40" s="53">
        <f>I38+I39</f>
        <v>7667</v>
      </c>
      <c r="J40" s="70" t="s">
        <v>13</v>
      </c>
      <c r="K40" s="72"/>
      <c r="L40" s="55"/>
      <c r="M40" s="63"/>
      <c r="N40" s="63"/>
    </row>
    <row r="41" spans="1:14" ht="12.75" customHeight="1" thickBot="1" x14ac:dyDescent="0.25">
      <c r="A41" s="53">
        <f t="shared" si="0"/>
        <v>21097</v>
      </c>
      <c r="B41" s="53">
        <f t="shared" si="1"/>
        <v>17258</v>
      </c>
      <c r="C41" s="53">
        <f t="shared" si="1"/>
        <v>3839</v>
      </c>
      <c r="D41" s="53">
        <f t="shared" si="2"/>
        <v>100</v>
      </c>
      <c r="E41" s="53">
        <v>62</v>
      </c>
      <c r="F41" s="53">
        <v>38</v>
      </c>
      <c r="G41" s="53">
        <f t="shared" si="3"/>
        <v>20997</v>
      </c>
      <c r="H41" s="53">
        <v>17196</v>
      </c>
      <c r="I41" s="53">
        <v>3801</v>
      </c>
      <c r="J41" s="70" t="s">
        <v>221</v>
      </c>
      <c r="K41" s="71"/>
      <c r="L41" s="55"/>
      <c r="M41" s="63"/>
    </row>
    <row r="42" spans="1:14" ht="12.75" customHeight="1" thickBot="1" x14ac:dyDescent="0.25">
      <c r="A42" s="53">
        <f t="shared" si="0"/>
        <v>0</v>
      </c>
      <c r="B42" s="53">
        <f t="shared" si="1"/>
        <v>0</v>
      </c>
      <c r="C42" s="53">
        <f t="shared" si="1"/>
        <v>0</v>
      </c>
      <c r="D42" s="53">
        <f t="shared" si="2"/>
        <v>0</v>
      </c>
      <c r="E42" s="53">
        <v>0</v>
      </c>
      <c r="F42" s="53">
        <v>0</v>
      </c>
      <c r="G42" s="53">
        <f t="shared" si="3"/>
        <v>0</v>
      </c>
      <c r="H42" s="53">
        <v>0</v>
      </c>
      <c r="I42" s="53">
        <v>0</v>
      </c>
      <c r="J42" s="70" t="s">
        <v>222</v>
      </c>
      <c r="K42" s="71" t="s">
        <v>194</v>
      </c>
      <c r="L42" s="55"/>
    </row>
    <row r="43" spans="1:14" ht="12.75" customHeight="1" thickBot="1" x14ac:dyDescent="0.25">
      <c r="A43" s="53">
        <f t="shared" si="0"/>
        <v>21097</v>
      </c>
      <c r="B43" s="53">
        <f t="shared" si="1"/>
        <v>17258</v>
      </c>
      <c r="C43" s="53">
        <f t="shared" si="1"/>
        <v>3839</v>
      </c>
      <c r="D43" s="53">
        <f t="shared" si="2"/>
        <v>100</v>
      </c>
      <c r="E43" s="53">
        <f>E41+E42</f>
        <v>62</v>
      </c>
      <c r="F43" s="53">
        <f>F41+F42</f>
        <v>38</v>
      </c>
      <c r="G43" s="53">
        <f t="shared" si="3"/>
        <v>20997</v>
      </c>
      <c r="H43" s="53">
        <f>H41+H42</f>
        <v>17196</v>
      </c>
      <c r="I43" s="53">
        <f>I41+I42</f>
        <v>3801</v>
      </c>
      <c r="J43" s="70" t="s">
        <v>13</v>
      </c>
      <c r="K43" s="72"/>
      <c r="L43" s="55"/>
      <c r="M43" s="63"/>
      <c r="N43" s="63"/>
    </row>
    <row r="44" spans="1:14" ht="12.75" customHeight="1" thickBot="1" x14ac:dyDescent="0.25">
      <c r="A44" s="53">
        <f t="shared" si="0"/>
        <v>25367</v>
      </c>
      <c r="B44" s="53">
        <f t="shared" si="1"/>
        <v>11711</v>
      </c>
      <c r="C44" s="53">
        <f t="shared" si="1"/>
        <v>13656</v>
      </c>
      <c r="D44" s="53">
        <f t="shared" si="2"/>
        <v>2377</v>
      </c>
      <c r="E44" s="53">
        <f>995+274</f>
        <v>1269</v>
      </c>
      <c r="F44" s="53">
        <f>1369-261</f>
        <v>1108</v>
      </c>
      <c r="G44" s="53">
        <f t="shared" si="3"/>
        <v>22990</v>
      </c>
      <c r="H44" s="53">
        <v>10442</v>
      </c>
      <c r="I44" s="53">
        <v>12548</v>
      </c>
      <c r="J44" s="70" t="s">
        <v>221</v>
      </c>
      <c r="K44" s="71"/>
      <c r="L44" s="55"/>
      <c r="M44" s="63"/>
    </row>
    <row r="45" spans="1:14" ht="12.75" customHeight="1" thickBot="1" x14ac:dyDescent="0.25">
      <c r="A45" s="53">
        <f t="shared" si="0"/>
        <v>0</v>
      </c>
      <c r="B45" s="53">
        <f t="shared" si="1"/>
        <v>0</v>
      </c>
      <c r="C45" s="53">
        <f t="shared" si="1"/>
        <v>0</v>
      </c>
      <c r="D45" s="53">
        <f t="shared" si="2"/>
        <v>0</v>
      </c>
      <c r="E45" s="53">
        <v>0</v>
      </c>
      <c r="F45" s="53">
        <v>0</v>
      </c>
      <c r="G45" s="53">
        <f t="shared" si="3"/>
        <v>0</v>
      </c>
      <c r="H45" s="53">
        <v>0</v>
      </c>
      <c r="I45" s="53">
        <v>0</v>
      </c>
      <c r="J45" s="70" t="s">
        <v>222</v>
      </c>
      <c r="K45" s="71" t="s">
        <v>195</v>
      </c>
      <c r="L45" s="55"/>
    </row>
    <row r="46" spans="1:14" ht="12.75" customHeight="1" thickBot="1" x14ac:dyDescent="0.25">
      <c r="A46" s="53">
        <f t="shared" si="0"/>
        <v>25367</v>
      </c>
      <c r="B46" s="53">
        <f t="shared" si="1"/>
        <v>11711</v>
      </c>
      <c r="C46" s="53">
        <f t="shared" si="1"/>
        <v>13656</v>
      </c>
      <c r="D46" s="53">
        <f t="shared" si="2"/>
        <v>2377</v>
      </c>
      <c r="E46" s="53">
        <f>E44+E45</f>
        <v>1269</v>
      </c>
      <c r="F46" s="53">
        <f>F44+F45</f>
        <v>1108</v>
      </c>
      <c r="G46" s="53">
        <f t="shared" si="3"/>
        <v>22990</v>
      </c>
      <c r="H46" s="53">
        <f>H44+H45</f>
        <v>10442</v>
      </c>
      <c r="I46" s="53">
        <f>I44+I45</f>
        <v>12548</v>
      </c>
      <c r="J46" s="70" t="s">
        <v>13</v>
      </c>
      <c r="K46" s="72"/>
      <c r="L46" s="55"/>
      <c r="M46" s="63"/>
      <c r="N46" s="63"/>
    </row>
    <row r="47" spans="1:14" ht="12.75" customHeight="1" thickBot="1" x14ac:dyDescent="0.25">
      <c r="A47" s="53">
        <f t="shared" si="0"/>
        <v>11750</v>
      </c>
      <c r="B47" s="53">
        <f t="shared" si="1"/>
        <v>703</v>
      </c>
      <c r="C47" s="53">
        <f t="shared" si="1"/>
        <v>11047</v>
      </c>
      <c r="D47" s="53">
        <f t="shared" si="2"/>
        <v>628</v>
      </c>
      <c r="E47" s="53">
        <v>10</v>
      </c>
      <c r="F47" s="53">
        <v>618</v>
      </c>
      <c r="G47" s="53">
        <f t="shared" si="3"/>
        <v>11122</v>
      </c>
      <c r="H47" s="53">
        <v>693</v>
      </c>
      <c r="I47" s="53">
        <v>10429</v>
      </c>
      <c r="J47" s="70" t="s">
        <v>221</v>
      </c>
      <c r="K47" s="71"/>
      <c r="L47" s="55"/>
      <c r="M47" s="63"/>
    </row>
    <row r="48" spans="1:14" ht="12.75" customHeight="1" thickBot="1" x14ac:dyDescent="0.25">
      <c r="A48" s="53">
        <f t="shared" si="0"/>
        <v>0</v>
      </c>
      <c r="B48" s="53">
        <f t="shared" si="1"/>
        <v>0</v>
      </c>
      <c r="C48" s="53">
        <f t="shared" si="1"/>
        <v>0</v>
      </c>
      <c r="D48" s="53">
        <f t="shared" si="2"/>
        <v>0</v>
      </c>
      <c r="E48" s="53">
        <v>0</v>
      </c>
      <c r="F48" s="53">
        <v>0</v>
      </c>
      <c r="G48" s="53">
        <f t="shared" si="3"/>
        <v>0</v>
      </c>
      <c r="H48" s="53">
        <v>0</v>
      </c>
      <c r="I48" s="53">
        <v>0</v>
      </c>
      <c r="J48" s="70" t="s">
        <v>222</v>
      </c>
      <c r="K48" s="71" t="s">
        <v>196</v>
      </c>
      <c r="L48" s="55"/>
    </row>
    <row r="49" spans="1:14" ht="12.75" customHeight="1" thickBot="1" x14ac:dyDescent="0.25">
      <c r="A49" s="53">
        <f t="shared" si="0"/>
        <v>11750</v>
      </c>
      <c r="B49" s="53">
        <f t="shared" si="1"/>
        <v>703</v>
      </c>
      <c r="C49" s="53">
        <f t="shared" si="1"/>
        <v>11047</v>
      </c>
      <c r="D49" s="53">
        <f t="shared" si="2"/>
        <v>628</v>
      </c>
      <c r="E49" s="53">
        <f>E47+E48</f>
        <v>10</v>
      </c>
      <c r="F49" s="53">
        <f>F47+F48</f>
        <v>618</v>
      </c>
      <c r="G49" s="53">
        <f t="shared" si="3"/>
        <v>11122</v>
      </c>
      <c r="H49" s="53">
        <f>H47+H48</f>
        <v>693</v>
      </c>
      <c r="I49" s="53">
        <f>I47+I48</f>
        <v>10429</v>
      </c>
      <c r="J49" s="70" t="s">
        <v>13</v>
      </c>
      <c r="K49" s="72"/>
      <c r="L49" s="55"/>
      <c r="M49" s="63"/>
      <c r="N49" s="63"/>
    </row>
    <row r="50" spans="1:14" ht="12.75" customHeight="1" thickBot="1" x14ac:dyDescent="0.25">
      <c r="A50" s="53">
        <f t="shared" si="0"/>
        <v>1682</v>
      </c>
      <c r="B50" s="53">
        <f t="shared" si="1"/>
        <v>1492</v>
      </c>
      <c r="C50" s="53">
        <f t="shared" si="1"/>
        <v>190</v>
      </c>
      <c r="D50" s="53">
        <f t="shared" si="2"/>
        <v>15</v>
      </c>
      <c r="E50" s="53">
        <v>15</v>
      </c>
      <c r="F50" s="53">
        <v>0</v>
      </c>
      <c r="G50" s="53">
        <f t="shared" si="3"/>
        <v>1667</v>
      </c>
      <c r="H50" s="53">
        <v>1477</v>
      </c>
      <c r="I50" s="53">
        <v>190</v>
      </c>
      <c r="J50" s="70" t="s">
        <v>221</v>
      </c>
      <c r="K50" s="71"/>
      <c r="L50" s="55"/>
      <c r="M50" s="63"/>
    </row>
    <row r="51" spans="1:14" ht="12.75" customHeight="1" thickBot="1" x14ac:dyDescent="0.25">
      <c r="A51" s="53">
        <f t="shared" si="0"/>
        <v>0</v>
      </c>
      <c r="B51" s="53">
        <f t="shared" si="1"/>
        <v>0</v>
      </c>
      <c r="C51" s="53">
        <f t="shared" si="1"/>
        <v>0</v>
      </c>
      <c r="D51" s="53">
        <f t="shared" si="2"/>
        <v>0</v>
      </c>
      <c r="E51" s="53">
        <v>0</v>
      </c>
      <c r="F51" s="53">
        <v>0</v>
      </c>
      <c r="G51" s="53">
        <f t="shared" si="3"/>
        <v>0</v>
      </c>
      <c r="H51" s="53">
        <v>0</v>
      </c>
      <c r="I51" s="53">
        <v>0</v>
      </c>
      <c r="J51" s="70" t="s">
        <v>222</v>
      </c>
      <c r="K51" s="71" t="s">
        <v>197</v>
      </c>
      <c r="L51" s="55"/>
    </row>
    <row r="52" spans="1:14" ht="12.75" customHeight="1" thickBot="1" x14ac:dyDescent="0.25">
      <c r="A52" s="53">
        <f t="shared" si="0"/>
        <v>1682</v>
      </c>
      <c r="B52" s="53">
        <f t="shared" si="1"/>
        <v>1492</v>
      </c>
      <c r="C52" s="53">
        <f t="shared" si="1"/>
        <v>190</v>
      </c>
      <c r="D52" s="53">
        <f t="shared" si="2"/>
        <v>15</v>
      </c>
      <c r="E52" s="53">
        <f>E50+E51</f>
        <v>15</v>
      </c>
      <c r="F52" s="53">
        <f>F50+F51</f>
        <v>0</v>
      </c>
      <c r="G52" s="53">
        <f t="shared" si="3"/>
        <v>1667</v>
      </c>
      <c r="H52" s="53">
        <f>H50+H51</f>
        <v>1477</v>
      </c>
      <c r="I52" s="53">
        <f>I50+I51</f>
        <v>190</v>
      </c>
      <c r="J52" s="70" t="s">
        <v>13</v>
      </c>
      <c r="K52" s="72"/>
      <c r="L52" s="55"/>
      <c r="M52" s="63"/>
      <c r="N52" s="63"/>
    </row>
    <row r="53" spans="1:14" ht="12.75" customHeight="1" thickBot="1" x14ac:dyDescent="0.25">
      <c r="A53" s="53">
        <f t="shared" si="0"/>
        <v>6172</v>
      </c>
      <c r="B53" s="53">
        <f t="shared" si="1"/>
        <v>226</v>
      </c>
      <c r="C53" s="53">
        <f t="shared" si="1"/>
        <v>5946</v>
      </c>
      <c r="D53" s="53">
        <f t="shared" si="2"/>
        <v>123</v>
      </c>
      <c r="E53" s="53">
        <v>12</v>
      </c>
      <c r="F53" s="53">
        <f>150-39</f>
        <v>111</v>
      </c>
      <c r="G53" s="53">
        <f t="shared" si="3"/>
        <v>6049</v>
      </c>
      <c r="H53" s="53">
        <v>214</v>
      </c>
      <c r="I53" s="53">
        <v>5835</v>
      </c>
      <c r="J53" s="70" t="s">
        <v>221</v>
      </c>
      <c r="K53" s="71"/>
      <c r="L53" s="55"/>
      <c r="M53" s="63"/>
    </row>
    <row r="54" spans="1:14" ht="12.75" customHeight="1" thickBot="1" x14ac:dyDescent="0.25">
      <c r="A54" s="53">
        <f t="shared" si="0"/>
        <v>0</v>
      </c>
      <c r="B54" s="53">
        <f t="shared" si="1"/>
        <v>0</v>
      </c>
      <c r="C54" s="53">
        <f t="shared" si="1"/>
        <v>0</v>
      </c>
      <c r="D54" s="53">
        <f t="shared" si="2"/>
        <v>0</v>
      </c>
      <c r="E54" s="53">
        <v>0</v>
      </c>
      <c r="F54" s="53">
        <v>0</v>
      </c>
      <c r="G54" s="53">
        <f t="shared" si="3"/>
        <v>0</v>
      </c>
      <c r="H54" s="53">
        <v>0</v>
      </c>
      <c r="I54" s="53">
        <v>0</v>
      </c>
      <c r="J54" s="70" t="s">
        <v>222</v>
      </c>
      <c r="K54" s="71" t="s">
        <v>198</v>
      </c>
      <c r="L54" s="55"/>
    </row>
    <row r="55" spans="1:14" ht="12.75" customHeight="1" thickBot="1" x14ac:dyDescent="0.25">
      <c r="A55" s="53">
        <f t="shared" si="0"/>
        <v>6172</v>
      </c>
      <c r="B55" s="53">
        <f t="shared" si="1"/>
        <v>226</v>
      </c>
      <c r="C55" s="53">
        <f t="shared" si="1"/>
        <v>5946</v>
      </c>
      <c r="D55" s="53">
        <f t="shared" si="2"/>
        <v>123</v>
      </c>
      <c r="E55" s="53">
        <f>E53+E54</f>
        <v>12</v>
      </c>
      <c r="F55" s="53">
        <f>F53+F54</f>
        <v>111</v>
      </c>
      <c r="G55" s="53">
        <f t="shared" si="3"/>
        <v>6049</v>
      </c>
      <c r="H55" s="53">
        <f>H53+H54</f>
        <v>214</v>
      </c>
      <c r="I55" s="53">
        <f>I53+I54</f>
        <v>5835</v>
      </c>
      <c r="J55" s="70" t="s">
        <v>13</v>
      </c>
      <c r="K55" s="72"/>
      <c r="L55" s="55"/>
      <c r="M55" s="63"/>
      <c r="N55" s="63"/>
    </row>
    <row r="56" spans="1:14" ht="12.75" customHeight="1" thickBot="1" x14ac:dyDescent="0.25">
      <c r="A56" s="53">
        <f t="shared" si="0"/>
        <v>2679</v>
      </c>
      <c r="B56" s="53">
        <f t="shared" si="1"/>
        <v>18</v>
      </c>
      <c r="C56" s="53">
        <f t="shared" si="1"/>
        <v>2661</v>
      </c>
      <c r="D56" s="53">
        <f t="shared" si="2"/>
        <v>50</v>
      </c>
      <c r="E56" s="53">
        <v>18</v>
      </c>
      <c r="F56" s="53">
        <v>32</v>
      </c>
      <c r="G56" s="53">
        <f t="shared" si="3"/>
        <v>2629</v>
      </c>
      <c r="H56" s="53">
        <v>0</v>
      </c>
      <c r="I56" s="53">
        <v>2629</v>
      </c>
      <c r="J56" s="70" t="s">
        <v>221</v>
      </c>
      <c r="K56" s="71"/>
      <c r="L56" s="55"/>
      <c r="M56" s="63"/>
    </row>
    <row r="57" spans="1:14" ht="12.75" customHeight="1" thickBot="1" x14ac:dyDescent="0.25">
      <c r="A57" s="53">
        <f t="shared" si="0"/>
        <v>0</v>
      </c>
      <c r="B57" s="53">
        <f t="shared" si="1"/>
        <v>0</v>
      </c>
      <c r="C57" s="53">
        <f t="shared" si="1"/>
        <v>0</v>
      </c>
      <c r="D57" s="53">
        <f t="shared" si="2"/>
        <v>0</v>
      </c>
      <c r="E57" s="53">
        <v>0</v>
      </c>
      <c r="F57" s="53">
        <v>0</v>
      </c>
      <c r="G57" s="53">
        <f t="shared" si="3"/>
        <v>0</v>
      </c>
      <c r="H57" s="53">
        <v>0</v>
      </c>
      <c r="I57" s="53">
        <v>0</v>
      </c>
      <c r="J57" s="70" t="s">
        <v>222</v>
      </c>
      <c r="K57" s="71" t="s">
        <v>199</v>
      </c>
      <c r="L57" s="55"/>
    </row>
    <row r="58" spans="1:14" ht="12.75" customHeight="1" thickBot="1" x14ac:dyDescent="0.25">
      <c r="A58" s="53">
        <f t="shared" si="0"/>
        <v>2679</v>
      </c>
      <c r="B58" s="53">
        <f t="shared" si="1"/>
        <v>18</v>
      </c>
      <c r="C58" s="53">
        <f t="shared" si="1"/>
        <v>2661</v>
      </c>
      <c r="D58" s="53">
        <f t="shared" si="2"/>
        <v>50</v>
      </c>
      <c r="E58" s="53">
        <f>E56+E57</f>
        <v>18</v>
      </c>
      <c r="F58" s="53">
        <f>F56+F57</f>
        <v>32</v>
      </c>
      <c r="G58" s="53">
        <f t="shared" si="3"/>
        <v>2629</v>
      </c>
      <c r="H58" s="53">
        <f>H56+H57</f>
        <v>0</v>
      </c>
      <c r="I58" s="53">
        <f>I56+I57</f>
        <v>2629</v>
      </c>
      <c r="J58" s="70" t="s">
        <v>13</v>
      </c>
      <c r="K58" s="72"/>
      <c r="L58" s="55"/>
      <c r="M58" s="63"/>
      <c r="N58" s="63"/>
    </row>
    <row r="59" spans="1:14" ht="12.75" customHeight="1" thickBot="1" x14ac:dyDescent="0.25">
      <c r="A59" s="53">
        <f t="shared" si="0"/>
        <v>369</v>
      </c>
      <c r="B59" s="53">
        <f t="shared" si="1"/>
        <v>0</v>
      </c>
      <c r="C59" s="53">
        <f t="shared" si="1"/>
        <v>369</v>
      </c>
      <c r="D59" s="53">
        <f t="shared" si="2"/>
        <v>8</v>
      </c>
      <c r="E59" s="53">
        <v>0</v>
      </c>
      <c r="F59" s="53">
        <v>8</v>
      </c>
      <c r="G59" s="53">
        <f t="shared" si="3"/>
        <v>361</v>
      </c>
      <c r="H59" s="53">
        <v>0</v>
      </c>
      <c r="I59" s="53">
        <v>361</v>
      </c>
      <c r="J59" s="70" t="s">
        <v>221</v>
      </c>
      <c r="K59" s="71"/>
      <c r="L59" s="55"/>
      <c r="M59" s="63"/>
    </row>
    <row r="60" spans="1:14" ht="12.75" customHeight="1" thickBot="1" x14ac:dyDescent="0.25">
      <c r="A60" s="53">
        <f t="shared" si="0"/>
        <v>0</v>
      </c>
      <c r="B60" s="53">
        <f t="shared" si="1"/>
        <v>0</v>
      </c>
      <c r="C60" s="53">
        <f t="shared" si="1"/>
        <v>0</v>
      </c>
      <c r="D60" s="53">
        <f t="shared" si="2"/>
        <v>0</v>
      </c>
      <c r="E60" s="53">
        <v>0</v>
      </c>
      <c r="F60" s="53">
        <v>0</v>
      </c>
      <c r="G60" s="53">
        <f t="shared" si="3"/>
        <v>0</v>
      </c>
      <c r="H60" s="53">
        <v>0</v>
      </c>
      <c r="I60" s="53">
        <v>0</v>
      </c>
      <c r="J60" s="70" t="s">
        <v>222</v>
      </c>
      <c r="K60" s="71" t="s">
        <v>200</v>
      </c>
      <c r="L60" s="55"/>
    </row>
    <row r="61" spans="1:14" ht="12.75" customHeight="1" thickBot="1" x14ac:dyDescent="0.25">
      <c r="A61" s="53">
        <f t="shared" si="0"/>
        <v>369</v>
      </c>
      <c r="B61" s="53">
        <f t="shared" si="1"/>
        <v>0</v>
      </c>
      <c r="C61" s="53">
        <f t="shared" si="1"/>
        <v>369</v>
      </c>
      <c r="D61" s="53">
        <f t="shared" si="2"/>
        <v>8</v>
      </c>
      <c r="E61" s="53">
        <f>E59+E60</f>
        <v>0</v>
      </c>
      <c r="F61" s="53">
        <f>F59+F60</f>
        <v>8</v>
      </c>
      <c r="G61" s="53">
        <f t="shared" si="3"/>
        <v>361</v>
      </c>
      <c r="H61" s="53">
        <f>H59+H60</f>
        <v>0</v>
      </c>
      <c r="I61" s="53">
        <f>I59+I60</f>
        <v>361</v>
      </c>
      <c r="J61" s="70" t="s">
        <v>13</v>
      </c>
      <c r="K61" s="72"/>
      <c r="L61" s="55"/>
      <c r="M61" s="63"/>
      <c r="N61" s="63"/>
    </row>
    <row r="62" spans="1:14" ht="12.75" customHeight="1" thickBot="1" x14ac:dyDescent="0.25">
      <c r="A62" s="53">
        <f t="shared" si="0"/>
        <v>30597</v>
      </c>
      <c r="B62" s="53">
        <f t="shared" si="1"/>
        <v>16192</v>
      </c>
      <c r="C62" s="53">
        <f t="shared" si="1"/>
        <v>14405</v>
      </c>
      <c r="D62" s="53">
        <f t="shared" si="2"/>
        <v>741</v>
      </c>
      <c r="E62" s="53">
        <v>617</v>
      </c>
      <c r="F62" s="53">
        <f>324-200</f>
        <v>124</v>
      </c>
      <c r="G62" s="53">
        <f t="shared" si="3"/>
        <v>29856</v>
      </c>
      <c r="H62" s="53">
        <v>15575</v>
      </c>
      <c r="I62" s="53">
        <v>14281</v>
      </c>
      <c r="J62" s="70" t="s">
        <v>221</v>
      </c>
      <c r="K62" s="71"/>
      <c r="L62" s="55"/>
      <c r="M62" s="63"/>
    </row>
    <row r="63" spans="1:14" ht="12.75" customHeight="1" thickBot="1" x14ac:dyDescent="0.25">
      <c r="A63" s="53">
        <f t="shared" si="0"/>
        <v>904</v>
      </c>
      <c r="B63" s="53">
        <f t="shared" si="1"/>
        <v>47</v>
      </c>
      <c r="C63" s="53">
        <f t="shared" si="1"/>
        <v>857</v>
      </c>
      <c r="D63" s="53">
        <f t="shared" si="2"/>
        <v>0</v>
      </c>
      <c r="E63" s="53">
        <v>0</v>
      </c>
      <c r="F63" s="53">
        <v>0</v>
      </c>
      <c r="G63" s="53">
        <f t="shared" si="3"/>
        <v>904</v>
      </c>
      <c r="H63" s="53">
        <v>47</v>
      </c>
      <c r="I63" s="53">
        <f>956-99</f>
        <v>857</v>
      </c>
      <c r="J63" s="70" t="s">
        <v>222</v>
      </c>
      <c r="K63" s="71" t="s">
        <v>201</v>
      </c>
      <c r="L63" s="55"/>
    </row>
    <row r="64" spans="1:14" ht="12.75" customHeight="1" thickBot="1" x14ac:dyDescent="0.25">
      <c r="A64" s="53">
        <f t="shared" si="0"/>
        <v>31501</v>
      </c>
      <c r="B64" s="53">
        <f t="shared" si="1"/>
        <v>16239</v>
      </c>
      <c r="C64" s="53">
        <f t="shared" si="1"/>
        <v>15262</v>
      </c>
      <c r="D64" s="53">
        <f t="shared" si="2"/>
        <v>741</v>
      </c>
      <c r="E64" s="53">
        <f>E62+E63</f>
        <v>617</v>
      </c>
      <c r="F64" s="53">
        <f>F62+F63</f>
        <v>124</v>
      </c>
      <c r="G64" s="53">
        <f t="shared" si="3"/>
        <v>30760</v>
      </c>
      <c r="H64" s="53">
        <f>H62+H63</f>
        <v>15622</v>
      </c>
      <c r="I64" s="53">
        <f>I62+I63</f>
        <v>15138</v>
      </c>
      <c r="J64" s="70" t="s">
        <v>13</v>
      </c>
      <c r="K64" s="72"/>
      <c r="L64" s="55"/>
      <c r="M64" s="63"/>
      <c r="N64" s="63"/>
    </row>
    <row r="65" spans="1:14" ht="12.75" customHeight="1" thickBot="1" x14ac:dyDescent="0.25">
      <c r="A65" s="53">
        <f t="shared" si="0"/>
        <v>8630</v>
      </c>
      <c r="B65" s="53">
        <f t="shared" si="1"/>
        <v>6467</v>
      </c>
      <c r="C65" s="53">
        <f t="shared" si="1"/>
        <v>2163</v>
      </c>
      <c r="D65" s="53">
        <f t="shared" si="2"/>
        <v>92</v>
      </c>
      <c r="E65" s="53">
        <v>80</v>
      </c>
      <c r="F65" s="53">
        <v>12</v>
      </c>
      <c r="G65" s="53">
        <f t="shared" si="3"/>
        <v>8538</v>
      </c>
      <c r="H65" s="53">
        <v>6387</v>
      </c>
      <c r="I65" s="53">
        <v>2151</v>
      </c>
      <c r="J65" s="70" t="s">
        <v>221</v>
      </c>
      <c r="K65" s="71"/>
      <c r="L65" s="55"/>
      <c r="M65" s="63"/>
    </row>
    <row r="66" spans="1:14" ht="12.75" customHeight="1" thickBot="1" x14ac:dyDescent="0.25">
      <c r="A66" s="53">
        <f t="shared" si="0"/>
        <v>0</v>
      </c>
      <c r="B66" s="53">
        <f t="shared" si="1"/>
        <v>0</v>
      </c>
      <c r="C66" s="53">
        <f t="shared" si="1"/>
        <v>0</v>
      </c>
      <c r="D66" s="53">
        <f t="shared" si="2"/>
        <v>0</v>
      </c>
      <c r="E66" s="53">
        <v>0</v>
      </c>
      <c r="F66" s="53">
        <v>0</v>
      </c>
      <c r="G66" s="53">
        <f t="shared" si="3"/>
        <v>0</v>
      </c>
      <c r="H66" s="53">
        <v>0</v>
      </c>
      <c r="I66" s="53">
        <v>0</v>
      </c>
      <c r="J66" s="70" t="s">
        <v>222</v>
      </c>
      <c r="K66" s="71" t="s">
        <v>202</v>
      </c>
      <c r="L66" s="55"/>
    </row>
    <row r="67" spans="1:14" ht="12.75" customHeight="1" thickBot="1" x14ac:dyDescent="0.25">
      <c r="A67" s="53">
        <f t="shared" si="0"/>
        <v>8630</v>
      </c>
      <c r="B67" s="53">
        <f t="shared" si="1"/>
        <v>6467</v>
      </c>
      <c r="C67" s="53">
        <f t="shared" si="1"/>
        <v>2163</v>
      </c>
      <c r="D67" s="53">
        <f t="shared" si="2"/>
        <v>92</v>
      </c>
      <c r="E67" s="53">
        <f>E65+E66</f>
        <v>80</v>
      </c>
      <c r="F67" s="53">
        <f>F65+F66</f>
        <v>12</v>
      </c>
      <c r="G67" s="53">
        <f t="shared" si="3"/>
        <v>8538</v>
      </c>
      <c r="H67" s="53">
        <f>H65+H66</f>
        <v>6387</v>
      </c>
      <c r="I67" s="53">
        <f>I65+I66</f>
        <v>2151</v>
      </c>
      <c r="J67" s="70" t="s">
        <v>13</v>
      </c>
      <c r="K67" s="72"/>
      <c r="L67" s="55"/>
      <c r="M67" s="63"/>
      <c r="N67" s="63"/>
    </row>
    <row r="68" spans="1:14" ht="12.75" customHeight="1" thickBot="1" x14ac:dyDescent="0.25">
      <c r="A68" s="53">
        <f t="shared" si="0"/>
        <v>1026</v>
      </c>
      <c r="B68" s="53">
        <f t="shared" si="1"/>
        <v>349</v>
      </c>
      <c r="C68" s="53">
        <f t="shared" si="1"/>
        <v>677</v>
      </c>
      <c r="D68" s="53">
        <f t="shared" si="2"/>
        <v>142</v>
      </c>
      <c r="E68" s="53">
        <v>97</v>
      </c>
      <c r="F68" s="53">
        <v>45</v>
      </c>
      <c r="G68" s="53">
        <f t="shared" si="3"/>
        <v>884</v>
      </c>
      <c r="H68" s="53">
        <v>252</v>
      </c>
      <c r="I68" s="53">
        <v>632</v>
      </c>
      <c r="J68" s="70" t="s">
        <v>221</v>
      </c>
      <c r="K68" s="71"/>
      <c r="L68" s="55"/>
      <c r="M68" s="63"/>
    </row>
    <row r="69" spans="1:14" ht="12.75" customHeight="1" thickBot="1" x14ac:dyDescent="0.25">
      <c r="A69" s="53">
        <f t="shared" si="0"/>
        <v>0</v>
      </c>
      <c r="B69" s="53">
        <f t="shared" si="1"/>
        <v>0</v>
      </c>
      <c r="C69" s="53">
        <f t="shared" si="1"/>
        <v>0</v>
      </c>
      <c r="D69" s="53">
        <f t="shared" si="2"/>
        <v>0</v>
      </c>
      <c r="E69" s="53">
        <v>0</v>
      </c>
      <c r="F69" s="53">
        <v>0</v>
      </c>
      <c r="G69" s="53">
        <f t="shared" si="3"/>
        <v>0</v>
      </c>
      <c r="H69" s="53">
        <v>0</v>
      </c>
      <c r="I69" s="53">
        <v>0</v>
      </c>
      <c r="J69" s="70" t="s">
        <v>222</v>
      </c>
      <c r="K69" s="71" t="s">
        <v>57</v>
      </c>
      <c r="L69" s="55"/>
    </row>
    <row r="70" spans="1:14" ht="12.75" customHeight="1" thickBot="1" x14ac:dyDescent="0.25">
      <c r="A70" s="53">
        <f t="shared" ref="A70" si="4">SUM(B70:C70)</f>
        <v>1026</v>
      </c>
      <c r="B70" s="53">
        <f t="shared" ref="B70:C70" si="5">H70+E70</f>
        <v>349</v>
      </c>
      <c r="C70" s="53">
        <f t="shared" si="5"/>
        <v>677</v>
      </c>
      <c r="D70" s="53">
        <f t="shared" ref="D70" si="6">SUM(E70:F70)</f>
        <v>142</v>
      </c>
      <c r="E70" s="53">
        <f>E68+E69</f>
        <v>97</v>
      </c>
      <c r="F70" s="53">
        <f>F68+F69</f>
        <v>45</v>
      </c>
      <c r="G70" s="53">
        <f t="shared" ref="G70" si="7">SUM(H70:I70)</f>
        <v>884</v>
      </c>
      <c r="H70" s="53">
        <f>H68+H69</f>
        <v>252</v>
      </c>
      <c r="I70" s="53">
        <f>I68+I69</f>
        <v>632</v>
      </c>
      <c r="J70" s="70" t="s">
        <v>13</v>
      </c>
      <c r="K70" s="72"/>
      <c r="L70" s="55"/>
      <c r="M70" s="63"/>
      <c r="N70" s="63"/>
    </row>
    <row r="71" spans="1:14" ht="12.75" customHeight="1" thickBot="1" x14ac:dyDescent="0.25">
      <c r="A71" s="53">
        <f t="shared" ref="A71:I73" si="8">A5+A8+A11+A14+A17+A20+A23+A26+A29+A32+A35+A38+A41+A44+A47+A50+A53+A56+A59+A62+A65+A68</f>
        <v>494140</v>
      </c>
      <c r="B71" s="53">
        <f t="shared" si="8"/>
        <v>304863</v>
      </c>
      <c r="C71" s="53">
        <f t="shared" si="8"/>
        <v>189277</v>
      </c>
      <c r="D71" s="53">
        <f t="shared" si="8"/>
        <v>12730</v>
      </c>
      <c r="E71" s="53">
        <f t="shared" si="8"/>
        <v>5278</v>
      </c>
      <c r="F71" s="53">
        <f t="shared" si="8"/>
        <v>7452</v>
      </c>
      <c r="G71" s="53">
        <f t="shared" si="8"/>
        <v>481410</v>
      </c>
      <c r="H71" s="53">
        <f t="shared" si="8"/>
        <v>299585</v>
      </c>
      <c r="I71" s="53">
        <f>I5+I8+I11+I14+I17+I20+I23+I26+I29+I32+I35+I38+I41+I44+I47+I50+I53+I56+I59+I62+I65+I68</f>
        <v>181825</v>
      </c>
      <c r="J71" s="70" t="s">
        <v>224</v>
      </c>
      <c r="K71" s="50"/>
      <c r="L71" s="55"/>
      <c r="M71" s="63"/>
    </row>
    <row r="72" spans="1:14" ht="12.75" customHeight="1" thickBot="1" x14ac:dyDescent="0.25">
      <c r="A72" s="53">
        <f t="shared" si="8"/>
        <v>85203</v>
      </c>
      <c r="B72" s="53">
        <f t="shared" si="8"/>
        <v>55163</v>
      </c>
      <c r="C72" s="53">
        <f t="shared" si="8"/>
        <v>30040</v>
      </c>
      <c r="D72" s="53">
        <f t="shared" si="8"/>
        <v>1729</v>
      </c>
      <c r="E72" s="53">
        <f t="shared" si="8"/>
        <v>1263</v>
      </c>
      <c r="F72" s="53">
        <f t="shared" si="8"/>
        <v>466</v>
      </c>
      <c r="G72" s="53">
        <f t="shared" si="8"/>
        <v>83474</v>
      </c>
      <c r="H72" s="53">
        <f t="shared" si="8"/>
        <v>53900</v>
      </c>
      <c r="I72" s="53">
        <f t="shared" si="8"/>
        <v>29574</v>
      </c>
      <c r="J72" s="70" t="s">
        <v>225</v>
      </c>
      <c r="K72" s="73" t="s">
        <v>211</v>
      </c>
      <c r="L72" s="55"/>
      <c r="M72" s="63"/>
    </row>
    <row r="73" spans="1:14" ht="12.75" customHeight="1" thickBot="1" x14ac:dyDescent="0.25">
      <c r="A73" s="53">
        <f t="shared" si="8"/>
        <v>579343</v>
      </c>
      <c r="B73" s="53">
        <f t="shared" si="8"/>
        <v>360026</v>
      </c>
      <c r="C73" s="53">
        <f t="shared" si="8"/>
        <v>219317</v>
      </c>
      <c r="D73" s="53">
        <f t="shared" si="8"/>
        <v>14459</v>
      </c>
      <c r="E73" s="53">
        <f t="shared" si="8"/>
        <v>6541</v>
      </c>
      <c r="F73" s="53">
        <f t="shared" si="8"/>
        <v>7918</v>
      </c>
      <c r="G73" s="53">
        <f t="shared" si="8"/>
        <v>564884</v>
      </c>
      <c r="H73" s="53">
        <f t="shared" si="8"/>
        <v>353485</v>
      </c>
      <c r="I73" s="53">
        <f t="shared" si="8"/>
        <v>211399</v>
      </c>
      <c r="J73" s="70" t="s">
        <v>13</v>
      </c>
      <c r="K73" s="52"/>
      <c r="L73" s="55"/>
      <c r="M73" s="63"/>
    </row>
    <row r="75" spans="1:14" ht="12.75" customHeight="1" x14ac:dyDescent="0.2">
      <c r="A75" s="62"/>
      <c r="B75" s="62"/>
      <c r="C75" s="62"/>
      <c r="D75" s="62"/>
      <c r="E75" s="62"/>
      <c r="F75" s="62"/>
      <c r="G75" s="62"/>
      <c r="H75" s="62"/>
      <c r="I75" s="62"/>
    </row>
    <row r="76" spans="1:14" ht="12.75" customHeight="1" x14ac:dyDescent="0.2">
      <c r="A76" s="105"/>
      <c r="B76" s="105"/>
      <c r="C76" s="105"/>
      <c r="D76" s="105"/>
      <c r="E76" s="105"/>
      <c r="F76" s="105"/>
      <c r="G76" s="105"/>
      <c r="H76" s="105"/>
      <c r="I76" s="105"/>
    </row>
    <row r="77" spans="1:14" ht="12.75" customHeight="1" x14ac:dyDescent="0.2">
      <c r="A77" s="105"/>
      <c r="B77" s="105"/>
      <c r="C77" s="105"/>
      <c r="D77" s="105"/>
      <c r="E77" s="105"/>
      <c r="F77" s="105"/>
      <c r="G77" s="105"/>
      <c r="H77" s="105"/>
      <c r="I77" s="105"/>
    </row>
    <row r="78" spans="1:14" ht="12.75" customHeight="1" x14ac:dyDescent="0.2">
      <c r="A78" s="105"/>
      <c r="B78" s="105"/>
      <c r="C78" s="105"/>
      <c r="D78" s="105"/>
      <c r="E78" s="105"/>
      <c r="F78" s="105"/>
      <c r="G78" s="105"/>
      <c r="H78" s="105"/>
      <c r="I78" s="105"/>
    </row>
    <row r="79" spans="1:14" ht="12.75" customHeight="1" x14ac:dyDescent="0.2">
      <c r="A79" s="109"/>
      <c r="B79" s="109"/>
      <c r="C79" s="109"/>
      <c r="D79" s="109"/>
      <c r="E79" s="109"/>
      <c r="F79" s="109"/>
      <c r="G79" s="109"/>
      <c r="H79" s="109"/>
      <c r="I79" s="109"/>
      <c r="K79" s="109"/>
    </row>
    <row r="80" spans="1:14" ht="12.75" customHeight="1" x14ac:dyDescent="0.2">
      <c r="A80" s="109"/>
      <c r="B80" s="109"/>
      <c r="C80" s="109"/>
      <c r="D80" s="109"/>
      <c r="E80" s="109"/>
      <c r="F80" s="109"/>
      <c r="G80" s="109"/>
      <c r="H80" s="109"/>
      <c r="I80" s="109"/>
      <c r="K80" s="109"/>
    </row>
    <row r="81" spans="1:9" ht="12.75" customHeight="1" x14ac:dyDescent="0.2">
      <c r="A81" s="109"/>
      <c r="B81" s="109"/>
      <c r="C81" s="109"/>
      <c r="D81" s="109"/>
      <c r="E81" s="109"/>
      <c r="F81" s="109"/>
      <c r="G81" s="109"/>
      <c r="H81" s="109"/>
      <c r="I81" s="109"/>
    </row>
    <row r="82" spans="1:9" ht="12.75" customHeight="1" x14ac:dyDescent="0.2">
      <c r="A82" s="109"/>
      <c r="B82" s="109"/>
      <c r="C82" s="109"/>
      <c r="D82" s="109"/>
      <c r="E82" s="109"/>
      <c r="F82" s="109"/>
      <c r="G82" s="109"/>
      <c r="H82" s="109"/>
      <c r="I82" s="109"/>
    </row>
    <row r="83" spans="1:9" ht="12.75" customHeight="1" x14ac:dyDescent="0.2">
      <c r="A83" s="109"/>
      <c r="B83" s="109"/>
      <c r="C83" s="109"/>
      <c r="D83" s="109"/>
      <c r="E83" s="109"/>
      <c r="F83" s="109"/>
      <c r="G83" s="109"/>
      <c r="H83" s="109"/>
      <c r="I83" s="109"/>
    </row>
  </sheetData>
  <mergeCells count="7">
    <mergeCell ref="J4:K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orientation="landscape" horizontalDpi="300" verticalDpi="300" r:id="rId1"/>
  <headerFooter alignWithMargins="0"/>
  <rowBreaks count="1" manualBreakCount="1">
    <brk id="43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47"/>
  <sheetViews>
    <sheetView showGridLines="0" topLeftCell="A25" zoomScale="90" zoomScaleNormal="90" zoomScaleSheetLayoutView="89" workbookViewId="0">
      <selection activeCell="N5" sqref="M5:N46"/>
    </sheetView>
  </sheetViews>
  <sheetFormatPr defaultRowHeight="12.75" x14ac:dyDescent="0.2"/>
  <cols>
    <col min="1" max="10" width="9.625" style="56" customWidth="1"/>
    <col min="11" max="11" width="34.25" style="56" customWidth="1"/>
    <col min="12" max="12" width="3.625" style="56" customWidth="1"/>
    <col min="13" max="256" width="9" style="56"/>
    <col min="257" max="266" width="9.625" style="56" customWidth="1"/>
    <col min="267" max="267" width="34.25" style="56" customWidth="1"/>
    <col min="268" max="268" width="3.625" style="56" customWidth="1"/>
    <col min="269" max="512" width="9" style="56"/>
    <col min="513" max="522" width="9.625" style="56" customWidth="1"/>
    <col min="523" max="523" width="34.25" style="56" customWidth="1"/>
    <col min="524" max="524" width="3.625" style="56" customWidth="1"/>
    <col min="525" max="768" width="9" style="56"/>
    <col min="769" max="778" width="9.625" style="56" customWidth="1"/>
    <col min="779" max="779" width="34.25" style="56" customWidth="1"/>
    <col min="780" max="780" width="3.625" style="56" customWidth="1"/>
    <col min="781" max="1024" width="9" style="56"/>
    <col min="1025" max="1034" width="9.625" style="56" customWidth="1"/>
    <col min="1035" max="1035" width="34.25" style="56" customWidth="1"/>
    <col min="1036" max="1036" width="3.625" style="56" customWidth="1"/>
    <col min="1037" max="1280" width="9" style="56"/>
    <col min="1281" max="1290" width="9.625" style="56" customWidth="1"/>
    <col min="1291" max="1291" width="34.25" style="56" customWidth="1"/>
    <col min="1292" max="1292" width="3.625" style="56" customWidth="1"/>
    <col min="1293" max="1536" width="9" style="56"/>
    <col min="1537" max="1546" width="9.625" style="56" customWidth="1"/>
    <col min="1547" max="1547" width="34.25" style="56" customWidth="1"/>
    <col min="1548" max="1548" width="3.625" style="56" customWidth="1"/>
    <col min="1549" max="1792" width="9" style="56"/>
    <col min="1793" max="1802" width="9.625" style="56" customWidth="1"/>
    <col min="1803" max="1803" width="34.25" style="56" customWidth="1"/>
    <col min="1804" max="1804" width="3.625" style="56" customWidth="1"/>
    <col min="1805" max="2048" width="9" style="56"/>
    <col min="2049" max="2058" width="9.625" style="56" customWidth="1"/>
    <col min="2059" max="2059" width="34.25" style="56" customWidth="1"/>
    <col min="2060" max="2060" width="3.625" style="56" customWidth="1"/>
    <col min="2061" max="2304" width="9" style="56"/>
    <col min="2305" max="2314" width="9.625" style="56" customWidth="1"/>
    <col min="2315" max="2315" width="34.25" style="56" customWidth="1"/>
    <col min="2316" max="2316" width="3.625" style="56" customWidth="1"/>
    <col min="2317" max="2560" width="9" style="56"/>
    <col min="2561" max="2570" width="9.625" style="56" customWidth="1"/>
    <col min="2571" max="2571" width="34.25" style="56" customWidth="1"/>
    <col min="2572" max="2572" width="3.625" style="56" customWidth="1"/>
    <col min="2573" max="2816" width="9" style="56"/>
    <col min="2817" max="2826" width="9.625" style="56" customWidth="1"/>
    <col min="2827" max="2827" width="34.25" style="56" customWidth="1"/>
    <col min="2828" max="2828" width="3.625" style="56" customWidth="1"/>
    <col min="2829" max="3072" width="9" style="56"/>
    <col min="3073" max="3082" width="9.625" style="56" customWidth="1"/>
    <col min="3083" max="3083" width="34.25" style="56" customWidth="1"/>
    <col min="3084" max="3084" width="3.625" style="56" customWidth="1"/>
    <col min="3085" max="3328" width="9" style="56"/>
    <col min="3329" max="3338" width="9.625" style="56" customWidth="1"/>
    <col min="3339" max="3339" width="34.25" style="56" customWidth="1"/>
    <col min="3340" max="3340" width="3.625" style="56" customWidth="1"/>
    <col min="3341" max="3584" width="9" style="56"/>
    <col min="3585" max="3594" width="9.625" style="56" customWidth="1"/>
    <col min="3595" max="3595" width="34.25" style="56" customWidth="1"/>
    <col min="3596" max="3596" width="3.625" style="56" customWidth="1"/>
    <col min="3597" max="3840" width="9" style="56"/>
    <col min="3841" max="3850" width="9.625" style="56" customWidth="1"/>
    <col min="3851" max="3851" width="34.25" style="56" customWidth="1"/>
    <col min="3852" max="3852" width="3.625" style="56" customWidth="1"/>
    <col min="3853" max="4096" width="9" style="56"/>
    <col min="4097" max="4106" width="9.625" style="56" customWidth="1"/>
    <col min="4107" max="4107" width="34.25" style="56" customWidth="1"/>
    <col min="4108" max="4108" width="3.625" style="56" customWidth="1"/>
    <col min="4109" max="4352" width="9" style="56"/>
    <col min="4353" max="4362" width="9.625" style="56" customWidth="1"/>
    <col min="4363" max="4363" width="34.25" style="56" customWidth="1"/>
    <col min="4364" max="4364" width="3.625" style="56" customWidth="1"/>
    <col min="4365" max="4608" width="9" style="56"/>
    <col min="4609" max="4618" width="9.625" style="56" customWidth="1"/>
    <col min="4619" max="4619" width="34.25" style="56" customWidth="1"/>
    <col min="4620" max="4620" width="3.625" style="56" customWidth="1"/>
    <col min="4621" max="4864" width="9" style="56"/>
    <col min="4865" max="4874" width="9.625" style="56" customWidth="1"/>
    <col min="4875" max="4875" width="34.25" style="56" customWidth="1"/>
    <col min="4876" max="4876" width="3.625" style="56" customWidth="1"/>
    <col min="4877" max="5120" width="9" style="56"/>
    <col min="5121" max="5130" width="9.625" style="56" customWidth="1"/>
    <col min="5131" max="5131" width="34.25" style="56" customWidth="1"/>
    <col min="5132" max="5132" width="3.625" style="56" customWidth="1"/>
    <col min="5133" max="5376" width="9" style="56"/>
    <col min="5377" max="5386" width="9.625" style="56" customWidth="1"/>
    <col min="5387" max="5387" width="34.25" style="56" customWidth="1"/>
    <col min="5388" max="5388" width="3.625" style="56" customWidth="1"/>
    <col min="5389" max="5632" width="9" style="56"/>
    <col min="5633" max="5642" width="9.625" style="56" customWidth="1"/>
    <col min="5643" max="5643" width="34.25" style="56" customWidth="1"/>
    <col min="5644" max="5644" width="3.625" style="56" customWidth="1"/>
    <col min="5645" max="5888" width="9" style="56"/>
    <col min="5889" max="5898" width="9.625" style="56" customWidth="1"/>
    <col min="5899" max="5899" width="34.25" style="56" customWidth="1"/>
    <col min="5900" max="5900" width="3.625" style="56" customWidth="1"/>
    <col min="5901" max="6144" width="9" style="56"/>
    <col min="6145" max="6154" width="9.625" style="56" customWidth="1"/>
    <col min="6155" max="6155" width="34.25" style="56" customWidth="1"/>
    <col min="6156" max="6156" width="3.625" style="56" customWidth="1"/>
    <col min="6157" max="6400" width="9" style="56"/>
    <col min="6401" max="6410" width="9.625" style="56" customWidth="1"/>
    <col min="6411" max="6411" width="34.25" style="56" customWidth="1"/>
    <col min="6412" max="6412" width="3.625" style="56" customWidth="1"/>
    <col min="6413" max="6656" width="9" style="56"/>
    <col min="6657" max="6666" width="9.625" style="56" customWidth="1"/>
    <col min="6667" max="6667" width="34.25" style="56" customWidth="1"/>
    <col min="6668" max="6668" width="3.625" style="56" customWidth="1"/>
    <col min="6669" max="6912" width="9" style="56"/>
    <col min="6913" max="6922" width="9.625" style="56" customWidth="1"/>
    <col min="6923" max="6923" width="34.25" style="56" customWidth="1"/>
    <col min="6924" max="6924" width="3.625" style="56" customWidth="1"/>
    <col min="6925" max="7168" width="9" style="56"/>
    <col min="7169" max="7178" width="9.625" style="56" customWidth="1"/>
    <col min="7179" max="7179" width="34.25" style="56" customWidth="1"/>
    <col min="7180" max="7180" width="3.625" style="56" customWidth="1"/>
    <col min="7181" max="7424" width="9" style="56"/>
    <col min="7425" max="7434" width="9.625" style="56" customWidth="1"/>
    <col min="7435" max="7435" width="34.25" style="56" customWidth="1"/>
    <col min="7436" max="7436" width="3.625" style="56" customWidth="1"/>
    <col min="7437" max="7680" width="9" style="56"/>
    <col min="7681" max="7690" width="9.625" style="56" customWidth="1"/>
    <col min="7691" max="7691" width="34.25" style="56" customWidth="1"/>
    <col min="7692" max="7692" width="3.625" style="56" customWidth="1"/>
    <col min="7693" max="7936" width="9" style="56"/>
    <col min="7937" max="7946" width="9.625" style="56" customWidth="1"/>
    <col min="7947" max="7947" width="34.25" style="56" customWidth="1"/>
    <col min="7948" max="7948" width="3.625" style="56" customWidth="1"/>
    <col min="7949" max="8192" width="9" style="56"/>
    <col min="8193" max="8202" width="9.625" style="56" customWidth="1"/>
    <col min="8203" max="8203" width="34.25" style="56" customWidth="1"/>
    <col min="8204" max="8204" width="3.625" style="56" customWidth="1"/>
    <col min="8205" max="8448" width="9" style="56"/>
    <col min="8449" max="8458" width="9.625" style="56" customWidth="1"/>
    <col min="8459" max="8459" width="34.25" style="56" customWidth="1"/>
    <col min="8460" max="8460" width="3.625" style="56" customWidth="1"/>
    <col min="8461" max="8704" width="9" style="56"/>
    <col min="8705" max="8714" width="9.625" style="56" customWidth="1"/>
    <col min="8715" max="8715" width="34.25" style="56" customWidth="1"/>
    <col min="8716" max="8716" width="3.625" style="56" customWidth="1"/>
    <col min="8717" max="8960" width="9" style="56"/>
    <col min="8961" max="8970" width="9.625" style="56" customWidth="1"/>
    <col min="8971" max="8971" width="34.25" style="56" customWidth="1"/>
    <col min="8972" max="8972" width="3.625" style="56" customWidth="1"/>
    <col min="8973" max="9216" width="9" style="56"/>
    <col min="9217" max="9226" width="9.625" style="56" customWidth="1"/>
    <col min="9227" max="9227" width="34.25" style="56" customWidth="1"/>
    <col min="9228" max="9228" width="3.625" style="56" customWidth="1"/>
    <col min="9229" max="9472" width="9" style="56"/>
    <col min="9473" max="9482" width="9.625" style="56" customWidth="1"/>
    <col min="9483" max="9483" width="34.25" style="56" customWidth="1"/>
    <col min="9484" max="9484" width="3.625" style="56" customWidth="1"/>
    <col min="9485" max="9728" width="9" style="56"/>
    <col min="9729" max="9738" width="9.625" style="56" customWidth="1"/>
    <col min="9739" max="9739" width="34.25" style="56" customWidth="1"/>
    <col min="9740" max="9740" width="3.625" style="56" customWidth="1"/>
    <col min="9741" max="9984" width="9" style="56"/>
    <col min="9985" max="9994" width="9.625" style="56" customWidth="1"/>
    <col min="9995" max="9995" width="34.25" style="56" customWidth="1"/>
    <col min="9996" max="9996" width="3.625" style="56" customWidth="1"/>
    <col min="9997" max="10240" width="9" style="56"/>
    <col min="10241" max="10250" width="9.625" style="56" customWidth="1"/>
    <col min="10251" max="10251" width="34.25" style="56" customWidth="1"/>
    <col min="10252" max="10252" width="3.625" style="56" customWidth="1"/>
    <col min="10253" max="10496" width="9" style="56"/>
    <col min="10497" max="10506" width="9.625" style="56" customWidth="1"/>
    <col min="10507" max="10507" width="34.25" style="56" customWidth="1"/>
    <col min="10508" max="10508" width="3.625" style="56" customWidth="1"/>
    <col min="10509" max="10752" width="9" style="56"/>
    <col min="10753" max="10762" width="9.625" style="56" customWidth="1"/>
    <col min="10763" max="10763" width="34.25" style="56" customWidth="1"/>
    <col min="10764" max="10764" width="3.625" style="56" customWidth="1"/>
    <col min="10765" max="11008" width="9" style="56"/>
    <col min="11009" max="11018" width="9.625" style="56" customWidth="1"/>
    <col min="11019" max="11019" width="34.25" style="56" customWidth="1"/>
    <col min="11020" max="11020" width="3.625" style="56" customWidth="1"/>
    <col min="11021" max="11264" width="9" style="56"/>
    <col min="11265" max="11274" width="9.625" style="56" customWidth="1"/>
    <col min="11275" max="11275" width="34.25" style="56" customWidth="1"/>
    <col min="11276" max="11276" width="3.625" style="56" customWidth="1"/>
    <col min="11277" max="11520" width="9" style="56"/>
    <col min="11521" max="11530" width="9.625" style="56" customWidth="1"/>
    <col min="11531" max="11531" width="34.25" style="56" customWidth="1"/>
    <col min="11532" max="11532" width="3.625" style="56" customWidth="1"/>
    <col min="11533" max="11776" width="9" style="56"/>
    <col min="11777" max="11786" width="9.625" style="56" customWidth="1"/>
    <col min="11787" max="11787" width="34.25" style="56" customWidth="1"/>
    <col min="11788" max="11788" width="3.625" style="56" customWidth="1"/>
    <col min="11789" max="12032" width="9" style="56"/>
    <col min="12033" max="12042" width="9.625" style="56" customWidth="1"/>
    <col min="12043" max="12043" width="34.25" style="56" customWidth="1"/>
    <col min="12044" max="12044" width="3.625" style="56" customWidth="1"/>
    <col min="12045" max="12288" width="9" style="56"/>
    <col min="12289" max="12298" width="9.625" style="56" customWidth="1"/>
    <col min="12299" max="12299" width="34.25" style="56" customWidth="1"/>
    <col min="12300" max="12300" width="3.625" style="56" customWidth="1"/>
    <col min="12301" max="12544" width="9" style="56"/>
    <col min="12545" max="12554" width="9.625" style="56" customWidth="1"/>
    <col min="12555" max="12555" width="34.25" style="56" customWidth="1"/>
    <col min="12556" max="12556" width="3.625" style="56" customWidth="1"/>
    <col min="12557" max="12800" width="9" style="56"/>
    <col min="12801" max="12810" width="9.625" style="56" customWidth="1"/>
    <col min="12811" max="12811" width="34.25" style="56" customWidth="1"/>
    <col min="12812" max="12812" width="3.625" style="56" customWidth="1"/>
    <col min="12813" max="13056" width="9" style="56"/>
    <col min="13057" max="13066" width="9.625" style="56" customWidth="1"/>
    <col min="13067" max="13067" width="34.25" style="56" customWidth="1"/>
    <col min="13068" max="13068" width="3.625" style="56" customWidth="1"/>
    <col min="13069" max="13312" width="9" style="56"/>
    <col min="13313" max="13322" width="9.625" style="56" customWidth="1"/>
    <col min="13323" max="13323" width="34.25" style="56" customWidth="1"/>
    <col min="13324" max="13324" width="3.625" style="56" customWidth="1"/>
    <col min="13325" max="13568" width="9" style="56"/>
    <col min="13569" max="13578" width="9.625" style="56" customWidth="1"/>
    <col min="13579" max="13579" width="34.25" style="56" customWidth="1"/>
    <col min="13580" max="13580" width="3.625" style="56" customWidth="1"/>
    <col min="13581" max="13824" width="9" style="56"/>
    <col min="13825" max="13834" width="9.625" style="56" customWidth="1"/>
    <col min="13835" max="13835" width="34.25" style="56" customWidth="1"/>
    <col min="13836" max="13836" width="3.625" style="56" customWidth="1"/>
    <col min="13837" max="14080" width="9" style="56"/>
    <col min="14081" max="14090" width="9.625" style="56" customWidth="1"/>
    <col min="14091" max="14091" width="34.25" style="56" customWidth="1"/>
    <col min="14092" max="14092" width="3.625" style="56" customWidth="1"/>
    <col min="14093" max="14336" width="9" style="56"/>
    <col min="14337" max="14346" width="9.625" style="56" customWidth="1"/>
    <col min="14347" max="14347" width="34.25" style="56" customWidth="1"/>
    <col min="14348" max="14348" width="3.625" style="56" customWidth="1"/>
    <col min="14349" max="14592" width="9" style="56"/>
    <col min="14593" max="14602" width="9.625" style="56" customWidth="1"/>
    <col min="14603" max="14603" width="34.25" style="56" customWidth="1"/>
    <col min="14604" max="14604" width="3.625" style="56" customWidth="1"/>
    <col min="14605" max="14848" width="9" style="56"/>
    <col min="14849" max="14858" width="9.625" style="56" customWidth="1"/>
    <col min="14859" max="14859" width="34.25" style="56" customWidth="1"/>
    <col min="14860" max="14860" width="3.625" style="56" customWidth="1"/>
    <col min="14861" max="15104" width="9" style="56"/>
    <col min="15105" max="15114" width="9.625" style="56" customWidth="1"/>
    <col min="15115" max="15115" width="34.25" style="56" customWidth="1"/>
    <col min="15116" max="15116" width="3.625" style="56" customWidth="1"/>
    <col min="15117" max="15360" width="9" style="56"/>
    <col min="15361" max="15370" width="9.625" style="56" customWidth="1"/>
    <col min="15371" max="15371" width="34.25" style="56" customWidth="1"/>
    <col min="15372" max="15372" width="3.625" style="56" customWidth="1"/>
    <col min="15373" max="15616" width="9" style="56"/>
    <col min="15617" max="15626" width="9.625" style="56" customWidth="1"/>
    <col min="15627" max="15627" width="34.25" style="56" customWidth="1"/>
    <col min="15628" max="15628" width="3.625" style="56" customWidth="1"/>
    <col min="15629" max="15872" width="9" style="56"/>
    <col min="15873" max="15882" width="9.625" style="56" customWidth="1"/>
    <col min="15883" max="15883" width="34.25" style="56" customWidth="1"/>
    <col min="15884" max="15884" width="3.625" style="56" customWidth="1"/>
    <col min="15885" max="16128" width="9" style="56"/>
    <col min="16129" max="16138" width="9.625" style="56" customWidth="1"/>
    <col min="16139" max="16139" width="34.25" style="56" customWidth="1"/>
    <col min="16140" max="16140" width="3.625" style="56" customWidth="1"/>
    <col min="16141" max="16384" width="9" style="56"/>
  </cols>
  <sheetData>
    <row r="1" spans="1:14" ht="20.100000000000001" customHeight="1" x14ac:dyDescent="0.2">
      <c r="A1" s="192" t="s">
        <v>552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55"/>
    </row>
    <row r="2" spans="1:14" ht="20.100000000000001" customHeight="1" thickBot="1" x14ac:dyDescent="0.25">
      <c r="A2" s="193" t="s">
        <v>553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55"/>
    </row>
    <row r="3" spans="1:14" ht="18" customHeight="1" thickBot="1" x14ac:dyDescent="0.25">
      <c r="A3" s="187" t="s">
        <v>5</v>
      </c>
      <c r="B3" s="187"/>
      <c r="C3" s="187"/>
      <c r="D3" s="187" t="s">
        <v>162</v>
      </c>
      <c r="E3" s="187"/>
      <c r="F3" s="187"/>
      <c r="G3" s="187" t="s">
        <v>163</v>
      </c>
      <c r="H3" s="187"/>
      <c r="I3" s="187"/>
      <c r="J3" s="199"/>
      <c r="K3" s="199"/>
      <c r="L3" s="55"/>
    </row>
    <row r="4" spans="1:14" ht="13.5" thickBot="1" x14ac:dyDescent="0.25">
      <c r="A4" s="89" t="s">
        <v>216</v>
      </c>
      <c r="B4" s="89" t="s">
        <v>11</v>
      </c>
      <c r="C4" s="89" t="s">
        <v>10</v>
      </c>
      <c r="D4" s="89" t="s">
        <v>216</v>
      </c>
      <c r="E4" s="89" t="s">
        <v>11</v>
      </c>
      <c r="F4" s="89" t="s">
        <v>10</v>
      </c>
      <c r="G4" s="89" t="s">
        <v>216</v>
      </c>
      <c r="H4" s="89" t="s">
        <v>11</v>
      </c>
      <c r="I4" s="89" t="s">
        <v>10</v>
      </c>
      <c r="J4" s="186" t="s">
        <v>72</v>
      </c>
      <c r="K4" s="186"/>
      <c r="L4" s="55"/>
    </row>
    <row r="5" spans="1:14" ht="13.5" thickBot="1" x14ac:dyDescent="0.25">
      <c r="A5" s="90">
        <f>SUM(B5:C5)</f>
        <v>398</v>
      </c>
      <c r="B5" s="90">
        <f>H5+E5</f>
        <v>255</v>
      </c>
      <c r="C5" s="90">
        <f>I5+F5</f>
        <v>143</v>
      </c>
      <c r="D5" s="90">
        <f>SUM(E5:F5)</f>
        <v>10</v>
      </c>
      <c r="E5" s="90">
        <v>4</v>
      </c>
      <c r="F5" s="90">
        <v>6</v>
      </c>
      <c r="G5" s="90">
        <f>SUM(H5:I5)</f>
        <v>388</v>
      </c>
      <c r="H5" s="90">
        <v>251</v>
      </c>
      <c r="I5" s="90">
        <v>137</v>
      </c>
      <c r="J5" s="91" t="s">
        <v>61</v>
      </c>
      <c r="K5" s="92"/>
      <c r="L5" s="55"/>
      <c r="M5" s="69"/>
      <c r="N5" s="69"/>
    </row>
    <row r="6" spans="1:14" ht="13.5" thickBot="1" x14ac:dyDescent="0.25">
      <c r="A6" s="90">
        <f t="shared" ref="A6:A43" si="0">SUM(B6:C6)</f>
        <v>1214</v>
      </c>
      <c r="B6" s="90">
        <f t="shared" ref="B6:C43" si="1">H6+E6</f>
        <v>549</v>
      </c>
      <c r="C6" s="90">
        <f t="shared" si="1"/>
        <v>665</v>
      </c>
      <c r="D6" s="90">
        <f t="shared" ref="D6:D43" si="2">SUM(E6:F6)</f>
        <v>33</v>
      </c>
      <c r="E6" s="90">
        <v>9</v>
      </c>
      <c r="F6" s="90">
        <v>24</v>
      </c>
      <c r="G6" s="90">
        <f t="shared" ref="G6:G43" si="3">SUM(H6:I6)</f>
        <v>1181</v>
      </c>
      <c r="H6" s="90">
        <v>540</v>
      </c>
      <c r="I6" s="90">
        <v>641</v>
      </c>
      <c r="J6" s="91" t="s">
        <v>62</v>
      </c>
      <c r="K6" s="92" t="s">
        <v>74</v>
      </c>
      <c r="L6" s="55"/>
      <c r="M6" s="69"/>
      <c r="N6" s="69"/>
    </row>
    <row r="7" spans="1:14" ht="13.5" thickBot="1" x14ac:dyDescent="0.25">
      <c r="A7" s="90">
        <f t="shared" si="0"/>
        <v>565</v>
      </c>
      <c r="B7" s="90">
        <f t="shared" si="1"/>
        <v>148</v>
      </c>
      <c r="C7" s="90">
        <f t="shared" si="1"/>
        <v>417</v>
      </c>
      <c r="D7" s="90">
        <f t="shared" si="2"/>
        <v>3</v>
      </c>
      <c r="E7" s="90">
        <v>0</v>
      </c>
      <c r="F7" s="90">
        <v>3</v>
      </c>
      <c r="G7" s="90">
        <f t="shared" si="3"/>
        <v>562</v>
      </c>
      <c r="H7" s="90">
        <v>148</v>
      </c>
      <c r="I7" s="90">
        <v>414</v>
      </c>
      <c r="J7" s="91" t="s">
        <v>64</v>
      </c>
      <c r="K7" s="110"/>
      <c r="L7" s="55"/>
    </row>
    <row r="8" spans="1:14" ht="13.5" thickBot="1" x14ac:dyDescent="0.25">
      <c r="A8" s="90">
        <f t="shared" si="0"/>
        <v>164</v>
      </c>
      <c r="B8" s="90">
        <f t="shared" si="1"/>
        <v>0</v>
      </c>
      <c r="C8" s="90">
        <f t="shared" si="1"/>
        <v>164</v>
      </c>
      <c r="D8" s="90">
        <f t="shared" si="2"/>
        <v>70</v>
      </c>
      <c r="E8" s="90">
        <v>0</v>
      </c>
      <c r="F8" s="90">
        <v>70</v>
      </c>
      <c r="G8" s="90">
        <f t="shared" si="3"/>
        <v>94</v>
      </c>
      <c r="H8" s="90">
        <v>0</v>
      </c>
      <c r="I8" s="90">
        <v>94</v>
      </c>
      <c r="J8" s="91" t="s">
        <v>61</v>
      </c>
      <c r="K8" s="92"/>
      <c r="L8" s="55"/>
      <c r="M8" s="69"/>
    </row>
    <row r="9" spans="1:14" ht="13.5" thickBot="1" x14ac:dyDescent="0.25">
      <c r="A9" s="90">
        <f t="shared" si="0"/>
        <v>332</v>
      </c>
      <c r="B9" s="90">
        <f t="shared" si="1"/>
        <v>0</v>
      </c>
      <c r="C9" s="90">
        <f t="shared" si="1"/>
        <v>332</v>
      </c>
      <c r="D9" s="90">
        <f t="shared" si="2"/>
        <v>135</v>
      </c>
      <c r="E9" s="90">
        <v>0</v>
      </c>
      <c r="F9" s="90">
        <v>135</v>
      </c>
      <c r="G9" s="90">
        <f t="shared" si="3"/>
        <v>197</v>
      </c>
      <c r="H9" s="90">
        <v>0</v>
      </c>
      <c r="I9" s="90">
        <v>197</v>
      </c>
      <c r="J9" s="91" t="s">
        <v>62</v>
      </c>
      <c r="K9" s="92" t="s">
        <v>164</v>
      </c>
      <c r="L9" s="55"/>
      <c r="N9" s="69"/>
    </row>
    <row r="10" spans="1:14" ht="13.5" thickBot="1" x14ac:dyDescent="0.25">
      <c r="A10" s="90">
        <f t="shared" si="0"/>
        <v>73</v>
      </c>
      <c r="B10" s="90">
        <f t="shared" si="1"/>
        <v>0</v>
      </c>
      <c r="C10" s="90">
        <f t="shared" si="1"/>
        <v>73</v>
      </c>
      <c r="D10" s="90">
        <f t="shared" si="2"/>
        <v>73</v>
      </c>
      <c r="E10" s="90">
        <v>0</v>
      </c>
      <c r="F10" s="90">
        <v>73</v>
      </c>
      <c r="G10" s="90">
        <f t="shared" si="3"/>
        <v>0</v>
      </c>
      <c r="H10" s="90">
        <v>0</v>
      </c>
      <c r="I10" s="90">
        <v>0</v>
      </c>
      <c r="J10" s="91" t="s">
        <v>64</v>
      </c>
      <c r="K10" s="110"/>
      <c r="L10" s="55"/>
      <c r="N10" s="69"/>
    </row>
    <row r="11" spans="1:14" ht="13.5" thickBot="1" x14ac:dyDescent="0.25">
      <c r="A11" s="90">
        <f t="shared" si="0"/>
        <v>291</v>
      </c>
      <c r="B11" s="90">
        <f t="shared" si="1"/>
        <v>67</v>
      </c>
      <c r="C11" s="90">
        <f t="shared" si="1"/>
        <v>224</v>
      </c>
      <c r="D11" s="90">
        <f t="shared" si="2"/>
        <v>10</v>
      </c>
      <c r="E11" s="90">
        <v>0</v>
      </c>
      <c r="F11" s="90">
        <v>10</v>
      </c>
      <c r="G11" s="90">
        <f t="shared" si="3"/>
        <v>281</v>
      </c>
      <c r="H11" s="90">
        <v>67</v>
      </c>
      <c r="I11" s="90">
        <v>214</v>
      </c>
      <c r="J11" s="91" t="s">
        <v>61</v>
      </c>
      <c r="K11" s="92"/>
      <c r="L11" s="55"/>
      <c r="M11" s="69"/>
    </row>
    <row r="12" spans="1:14" ht="13.5" thickBot="1" x14ac:dyDescent="0.25">
      <c r="A12" s="90">
        <f t="shared" si="0"/>
        <v>1892</v>
      </c>
      <c r="B12" s="90">
        <f t="shared" si="1"/>
        <v>699</v>
      </c>
      <c r="C12" s="90">
        <f t="shared" si="1"/>
        <v>1193</v>
      </c>
      <c r="D12" s="90">
        <f t="shared" si="2"/>
        <v>24</v>
      </c>
      <c r="E12" s="90">
        <v>2</v>
      </c>
      <c r="F12" s="90">
        <v>22</v>
      </c>
      <c r="G12" s="90">
        <f t="shared" si="3"/>
        <v>1868</v>
      </c>
      <c r="H12" s="90">
        <v>697</v>
      </c>
      <c r="I12" s="90">
        <v>1171</v>
      </c>
      <c r="J12" s="91" t="s">
        <v>62</v>
      </c>
      <c r="K12" s="92" t="s">
        <v>76</v>
      </c>
      <c r="L12" s="55"/>
      <c r="M12" s="69"/>
    </row>
    <row r="13" spans="1:14" ht="13.5" thickBot="1" x14ac:dyDescent="0.25">
      <c r="A13" s="90">
        <f t="shared" si="0"/>
        <v>298</v>
      </c>
      <c r="B13" s="90">
        <f t="shared" si="1"/>
        <v>34</v>
      </c>
      <c r="C13" s="90">
        <f t="shared" si="1"/>
        <v>264</v>
      </c>
      <c r="D13" s="90">
        <f t="shared" si="2"/>
        <v>71</v>
      </c>
      <c r="E13" s="90">
        <v>1</v>
      </c>
      <c r="F13" s="90">
        <v>70</v>
      </c>
      <c r="G13" s="90">
        <f t="shared" si="3"/>
        <v>227</v>
      </c>
      <c r="H13" s="90">
        <v>33</v>
      </c>
      <c r="I13" s="90">
        <v>194</v>
      </c>
      <c r="J13" s="91" t="s">
        <v>64</v>
      </c>
      <c r="K13" s="110"/>
      <c r="L13" s="55"/>
    </row>
    <row r="14" spans="1:14" ht="13.5" thickBot="1" x14ac:dyDescent="0.25">
      <c r="A14" s="90">
        <f t="shared" si="0"/>
        <v>629</v>
      </c>
      <c r="B14" s="90">
        <f t="shared" si="1"/>
        <v>196</v>
      </c>
      <c r="C14" s="90">
        <f t="shared" si="1"/>
        <v>433</v>
      </c>
      <c r="D14" s="90">
        <f t="shared" si="2"/>
        <v>41</v>
      </c>
      <c r="E14" s="90">
        <v>9</v>
      </c>
      <c r="F14" s="90">
        <v>32</v>
      </c>
      <c r="G14" s="90">
        <f t="shared" si="3"/>
        <v>588</v>
      </c>
      <c r="H14" s="90">
        <v>187</v>
      </c>
      <c r="I14" s="90">
        <v>401</v>
      </c>
      <c r="J14" s="91" t="s">
        <v>61</v>
      </c>
      <c r="K14" s="92"/>
      <c r="L14" s="55"/>
      <c r="M14" s="69"/>
    </row>
    <row r="15" spans="1:14" ht="13.5" thickBot="1" x14ac:dyDescent="0.25">
      <c r="A15" s="90">
        <f t="shared" si="0"/>
        <v>4726</v>
      </c>
      <c r="B15" s="90">
        <f t="shared" si="1"/>
        <v>1788</v>
      </c>
      <c r="C15" s="90">
        <f t="shared" si="1"/>
        <v>2938</v>
      </c>
      <c r="D15" s="90">
        <f t="shared" si="2"/>
        <v>243</v>
      </c>
      <c r="E15" s="90">
        <v>82</v>
      </c>
      <c r="F15" s="90">
        <v>161</v>
      </c>
      <c r="G15" s="90">
        <f t="shared" si="3"/>
        <v>4483</v>
      </c>
      <c r="H15" s="90">
        <v>1706</v>
      </c>
      <c r="I15" s="90">
        <v>2777</v>
      </c>
      <c r="J15" s="91" t="s">
        <v>62</v>
      </c>
      <c r="K15" s="92" t="s">
        <v>78</v>
      </c>
      <c r="L15" s="55"/>
      <c r="M15" s="69"/>
    </row>
    <row r="16" spans="1:14" ht="13.5" thickBot="1" x14ac:dyDescent="0.25">
      <c r="A16" s="90">
        <f t="shared" si="0"/>
        <v>166</v>
      </c>
      <c r="B16" s="90">
        <f t="shared" si="1"/>
        <v>57</v>
      </c>
      <c r="C16" s="90">
        <f t="shared" si="1"/>
        <v>109</v>
      </c>
      <c r="D16" s="90">
        <f t="shared" si="2"/>
        <v>0</v>
      </c>
      <c r="E16" s="90">
        <v>0</v>
      </c>
      <c r="F16" s="90">
        <v>0</v>
      </c>
      <c r="G16" s="90">
        <f t="shared" si="3"/>
        <v>166</v>
      </c>
      <c r="H16" s="90">
        <v>57</v>
      </c>
      <c r="I16" s="90">
        <v>109</v>
      </c>
      <c r="J16" s="91" t="s">
        <v>64</v>
      </c>
      <c r="K16" s="110"/>
      <c r="L16" s="55"/>
    </row>
    <row r="17" spans="1:13" ht="13.5" thickBot="1" x14ac:dyDescent="0.25">
      <c r="A17" s="90">
        <f t="shared" si="0"/>
        <v>158</v>
      </c>
      <c r="B17" s="90">
        <f t="shared" si="1"/>
        <v>105</v>
      </c>
      <c r="C17" s="90">
        <f t="shared" si="1"/>
        <v>53</v>
      </c>
      <c r="D17" s="90">
        <f t="shared" si="2"/>
        <v>0</v>
      </c>
      <c r="E17" s="90">
        <v>0</v>
      </c>
      <c r="F17" s="90">
        <v>0</v>
      </c>
      <c r="G17" s="90">
        <f t="shared" si="3"/>
        <v>158</v>
      </c>
      <c r="H17" s="90">
        <v>105</v>
      </c>
      <c r="I17" s="90">
        <v>53</v>
      </c>
      <c r="J17" s="91" t="s">
        <v>61</v>
      </c>
      <c r="K17" s="92"/>
      <c r="L17" s="55"/>
      <c r="M17" s="69"/>
    </row>
    <row r="18" spans="1:13" ht="13.5" thickBot="1" x14ac:dyDescent="0.25">
      <c r="A18" s="90">
        <f t="shared" si="0"/>
        <v>1838</v>
      </c>
      <c r="B18" s="90">
        <f t="shared" si="1"/>
        <v>921</v>
      </c>
      <c r="C18" s="90">
        <f t="shared" si="1"/>
        <v>917</v>
      </c>
      <c r="D18" s="90">
        <f t="shared" si="2"/>
        <v>111</v>
      </c>
      <c r="E18" s="90">
        <v>49</v>
      </c>
      <c r="F18" s="90">
        <v>62</v>
      </c>
      <c r="G18" s="90">
        <f t="shared" si="3"/>
        <v>1727</v>
      </c>
      <c r="H18" s="90">
        <v>872</v>
      </c>
      <c r="I18" s="90">
        <v>855</v>
      </c>
      <c r="J18" s="91" t="s">
        <v>62</v>
      </c>
      <c r="K18" s="92" t="s">
        <v>79</v>
      </c>
      <c r="L18" s="55"/>
      <c r="M18" s="69"/>
    </row>
    <row r="19" spans="1:13" ht="13.5" thickBot="1" x14ac:dyDescent="0.25">
      <c r="A19" s="90">
        <f t="shared" si="0"/>
        <v>0</v>
      </c>
      <c r="B19" s="90">
        <f t="shared" si="1"/>
        <v>0</v>
      </c>
      <c r="C19" s="90">
        <f t="shared" si="1"/>
        <v>0</v>
      </c>
      <c r="D19" s="90">
        <f t="shared" si="2"/>
        <v>0</v>
      </c>
      <c r="E19" s="90">
        <v>0</v>
      </c>
      <c r="F19" s="90">
        <v>0</v>
      </c>
      <c r="G19" s="90">
        <f t="shared" si="3"/>
        <v>0</v>
      </c>
      <c r="H19" s="90">
        <v>0</v>
      </c>
      <c r="I19" s="90">
        <v>0</v>
      </c>
      <c r="J19" s="91" t="s">
        <v>64</v>
      </c>
      <c r="K19" s="110"/>
      <c r="L19" s="55"/>
    </row>
    <row r="20" spans="1:13" ht="13.5" thickBot="1" x14ac:dyDescent="0.25">
      <c r="A20" s="90">
        <f t="shared" si="0"/>
        <v>97</v>
      </c>
      <c r="B20" s="90">
        <f t="shared" si="1"/>
        <v>0</v>
      </c>
      <c r="C20" s="90">
        <f t="shared" si="1"/>
        <v>97</v>
      </c>
      <c r="D20" s="90">
        <f t="shared" si="2"/>
        <v>66</v>
      </c>
      <c r="E20" s="90">
        <v>0</v>
      </c>
      <c r="F20" s="90">
        <v>66</v>
      </c>
      <c r="G20" s="90">
        <f t="shared" si="3"/>
        <v>31</v>
      </c>
      <c r="H20" s="90">
        <v>0</v>
      </c>
      <c r="I20" s="90">
        <v>31</v>
      </c>
      <c r="J20" s="91" t="s">
        <v>61</v>
      </c>
      <c r="K20" s="92"/>
      <c r="L20" s="55"/>
      <c r="M20" s="69"/>
    </row>
    <row r="21" spans="1:13" ht="13.5" thickBot="1" x14ac:dyDescent="0.25">
      <c r="A21" s="90">
        <f t="shared" si="0"/>
        <v>707</v>
      </c>
      <c r="B21" s="90">
        <f t="shared" si="1"/>
        <v>0</v>
      </c>
      <c r="C21" s="90">
        <f t="shared" si="1"/>
        <v>707</v>
      </c>
      <c r="D21" s="90">
        <f t="shared" si="2"/>
        <v>302</v>
      </c>
      <c r="E21" s="90">
        <v>0</v>
      </c>
      <c r="F21" s="90">
        <v>302</v>
      </c>
      <c r="G21" s="90">
        <f t="shared" si="3"/>
        <v>405</v>
      </c>
      <c r="H21" s="90">
        <v>0</v>
      </c>
      <c r="I21" s="90">
        <v>405</v>
      </c>
      <c r="J21" s="91" t="s">
        <v>62</v>
      </c>
      <c r="K21" s="92" t="s">
        <v>98</v>
      </c>
      <c r="L21" s="55"/>
      <c r="M21" s="69"/>
    </row>
    <row r="22" spans="1:13" ht="13.5" thickBot="1" x14ac:dyDescent="0.25">
      <c r="A22" s="90">
        <f t="shared" si="0"/>
        <v>0</v>
      </c>
      <c r="B22" s="90">
        <f t="shared" si="1"/>
        <v>0</v>
      </c>
      <c r="C22" s="90">
        <f t="shared" si="1"/>
        <v>0</v>
      </c>
      <c r="D22" s="90">
        <f t="shared" si="2"/>
        <v>0</v>
      </c>
      <c r="E22" s="90">
        <v>0</v>
      </c>
      <c r="F22" s="90">
        <v>0</v>
      </c>
      <c r="G22" s="90">
        <f t="shared" si="3"/>
        <v>0</v>
      </c>
      <c r="H22" s="90">
        <v>0</v>
      </c>
      <c r="I22" s="90">
        <v>0</v>
      </c>
      <c r="J22" s="91" t="s">
        <v>64</v>
      </c>
      <c r="K22" s="110"/>
      <c r="L22" s="55"/>
    </row>
    <row r="23" spans="1:13" ht="13.5" thickBot="1" x14ac:dyDescent="0.25">
      <c r="A23" s="90">
        <f t="shared" si="0"/>
        <v>217</v>
      </c>
      <c r="B23" s="90">
        <f t="shared" si="1"/>
        <v>104</v>
      </c>
      <c r="C23" s="90">
        <f t="shared" si="1"/>
        <v>113</v>
      </c>
      <c r="D23" s="90">
        <f t="shared" si="2"/>
        <v>0</v>
      </c>
      <c r="E23" s="90">
        <v>0</v>
      </c>
      <c r="F23" s="90">
        <v>0</v>
      </c>
      <c r="G23" s="90">
        <f t="shared" si="3"/>
        <v>217</v>
      </c>
      <c r="H23" s="90">
        <v>104</v>
      </c>
      <c r="I23" s="90">
        <v>113</v>
      </c>
      <c r="J23" s="91" t="s">
        <v>61</v>
      </c>
      <c r="K23" s="92"/>
      <c r="L23" s="55"/>
      <c r="M23" s="69"/>
    </row>
    <row r="24" spans="1:13" ht="13.5" thickBot="1" x14ac:dyDescent="0.25">
      <c r="A24" s="90">
        <f t="shared" si="0"/>
        <v>329</v>
      </c>
      <c r="B24" s="90">
        <f t="shared" si="1"/>
        <v>169</v>
      </c>
      <c r="C24" s="90">
        <f t="shared" si="1"/>
        <v>160</v>
      </c>
      <c r="D24" s="90">
        <f t="shared" si="2"/>
        <v>0</v>
      </c>
      <c r="E24" s="90">
        <v>0</v>
      </c>
      <c r="F24" s="90">
        <v>0</v>
      </c>
      <c r="G24" s="90">
        <f t="shared" si="3"/>
        <v>329</v>
      </c>
      <c r="H24" s="90">
        <v>169</v>
      </c>
      <c r="I24" s="90">
        <v>160</v>
      </c>
      <c r="J24" s="91" t="s">
        <v>62</v>
      </c>
      <c r="K24" s="92" t="s">
        <v>80</v>
      </c>
      <c r="L24" s="55"/>
      <c r="M24" s="69"/>
    </row>
    <row r="25" spans="1:13" ht="13.5" thickBot="1" x14ac:dyDescent="0.25">
      <c r="A25" s="90">
        <f t="shared" si="0"/>
        <v>6</v>
      </c>
      <c r="B25" s="90">
        <f t="shared" si="1"/>
        <v>6</v>
      </c>
      <c r="C25" s="90">
        <f t="shared" si="1"/>
        <v>0</v>
      </c>
      <c r="D25" s="90">
        <f t="shared" si="2"/>
        <v>0</v>
      </c>
      <c r="E25" s="90">
        <v>0</v>
      </c>
      <c r="F25" s="90">
        <v>0</v>
      </c>
      <c r="G25" s="90">
        <f t="shared" si="3"/>
        <v>6</v>
      </c>
      <c r="H25" s="90">
        <v>6</v>
      </c>
      <c r="I25" s="90">
        <v>0</v>
      </c>
      <c r="J25" s="91" t="s">
        <v>64</v>
      </c>
      <c r="K25" s="110"/>
      <c r="L25" s="55"/>
    </row>
    <row r="26" spans="1:13" ht="13.5" thickBot="1" x14ac:dyDescent="0.25">
      <c r="A26" s="90">
        <f t="shared" si="0"/>
        <v>0</v>
      </c>
      <c r="B26" s="90">
        <f t="shared" si="1"/>
        <v>0</v>
      </c>
      <c r="C26" s="90">
        <f t="shared" si="1"/>
        <v>0</v>
      </c>
      <c r="D26" s="90">
        <f t="shared" si="2"/>
        <v>0</v>
      </c>
      <c r="E26" s="90">
        <v>0</v>
      </c>
      <c r="F26" s="90">
        <v>0</v>
      </c>
      <c r="G26" s="90">
        <f t="shared" si="3"/>
        <v>0</v>
      </c>
      <c r="H26" s="90">
        <v>0</v>
      </c>
      <c r="I26" s="90">
        <v>0</v>
      </c>
      <c r="J26" s="91" t="s">
        <v>61</v>
      </c>
      <c r="K26" s="92"/>
      <c r="L26" s="55"/>
      <c r="M26" s="69"/>
    </row>
    <row r="27" spans="1:13" ht="13.5" thickBot="1" x14ac:dyDescent="0.25">
      <c r="A27" s="90">
        <f t="shared" si="0"/>
        <v>32</v>
      </c>
      <c r="B27" s="90">
        <f t="shared" si="1"/>
        <v>2</v>
      </c>
      <c r="C27" s="90">
        <f t="shared" si="1"/>
        <v>30</v>
      </c>
      <c r="D27" s="90">
        <f t="shared" si="2"/>
        <v>0</v>
      </c>
      <c r="E27" s="90">
        <v>0</v>
      </c>
      <c r="F27" s="90">
        <v>0</v>
      </c>
      <c r="G27" s="90">
        <f t="shared" si="3"/>
        <v>32</v>
      </c>
      <c r="H27" s="90">
        <v>2</v>
      </c>
      <c r="I27" s="90">
        <v>30</v>
      </c>
      <c r="J27" s="91" t="s">
        <v>62</v>
      </c>
      <c r="K27" s="92" t="s">
        <v>81</v>
      </c>
      <c r="L27" s="55"/>
      <c r="M27" s="69"/>
    </row>
    <row r="28" spans="1:13" ht="13.5" thickBot="1" x14ac:dyDescent="0.25">
      <c r="A28" s="90">
        <f t="shared" si="0"/>
        <v>118</v>
      </c>
      <c r="B28" s="90">
        <f t="shared" si="1"/>
        <v>118</v>
      </c>
      <c r="C28" s="90">
        <f t="shared" si="1"/>
        <v>0</v>
      </c>
      <c r="D28" s="90">
        <f t="shared" si="2"/>
        <v>0</v>
      </c>
      <c r="E28" s="90">
        <v>0</v>
      </c>
      <c r="F28" s="90">
        <v>0</v>
      </c>
      <c r="G28" s="90">
        <f t="shared" si="3"/>
        <v>118</v>
      </c>
      <c r="H28" s="90">
        <v>118</v>
      </c>
      <c r="I28" s="90">
        <v>0</v>
      </c>
      <c r="J28" s="91" t="s">
        <v>64</v>
      </c>
      <c r="K28" s="110"/>
      <c r="L28" s="55"/>
    </row>
    <row r="29" spans="1:13" ht="13.5" thickBot="1" x14ac:dyDescent="0.25">
      <c r="A29" s="90">
        <f t="shared" si="0"/>
        <v>112</v>
      </c>
      <c r="B29" s="90">
        <f t="shared" si="1"/>
        <v>0</v>
      </c>
      <c r="C29" s="90">
        <f t="shared" si="1"/>
        <v>112</v>
      </c>
      <c r="D29" s="90">
        <f t="shared" si="2"/>
        <v>0</v>
      </c>
      <c r="E29" s="90">
        <v>0</v>
      </c>
      <c r="F29" s="90">
        <v>0</v>
      </c>
      <c r="G29" s="90">
        <f t="shared" si="3"/>
        <v>112</v>
      </c>
      <c r="H29" s="90">
        <v>0</v>
      </c>
      <c r="I29" s="90">
        <v>112</v>
      </c>
      <c r="J29" s="91" t="s">
        <v>61</v>
      </c>
      <c r="K29" s="92"/>
      <c r="L29" s="55"/>
      <c r="M29" s="69"/>
    </row>
    <row r="30" spans="1:13" ht="13.5" thickBot="1" x14ac:dyDescent="0.25">
      <c r="A30" s="90">
        <f t="shared" si="0"/>
        <v>258</v>
      </c>
      <c r="B30" s="90">
        <f t="shared" si="1"/>
        <v>44</v>
      </c>
      <c r="C30" s="90">
        <f t="shared" si="1"/>
        <v>214</v>
      </c>
      <c r="D30" s="90">
        <f t="shared" si="2"/>
        <v>5</v>
      </c>
      <c r="E30" s="90">
        <v>0</v>
      </c>
      <c r="F30" s="90">
        <v>5</v>
      </c>
      <c r="G30" s="90">
        <f t="shared" si="3"/>
        <v>253</v>
      </c>
      <c r="H30" s="90">
        <v>44</v>
      </c>
      <c r="I30" s="90">
        <v>209</v>
      </c>
      <c r="J30" s="91" t="s">
        <v>62</v>
      </c>
      <c r="K30" s="92" t="s">
        <v>108</v>
      </c>
      <c r="L30" s="55"/>
      <c r="M30" s="69"/>
    </row>
    <row r="31" spans="1:13" ht="13.5" thickBot="1" x14ac:dyDescent="0.25">
      <c r="A31" s="90">
        <f t="shared" si="0"/>
        <v>0</v>
      </c>
      <c r="B31" s="90">
        <f t="shared" si="1"/>
        <v>0</v>
      </c>
      <c r="C31" s="90">
        <f t="shared" si="1"/>
        <v>0</v>
      </c>
      <c r="D31" s="90">
        <f t="shared" si="2"/>
        <v>0</v>
      </c>
      <c r="E31" s="90">
        <v>0</v>
      </c>
      <c r="F31" s="90">
        <v>0</v>
      </c>
      <c r="G31" s="90">
        <f t="shared" si="3"/>
        <v>0</v>
      </c>
      <c r="H31" s="90">
        <v>0</v>
      </c>
      <c r="I31" s="90">
        <v>0</v>
      </c>
      <c r="J31" s="91" t="s">
        <v>64</v>
      </c>
      <c r="K31" s="110"/>
      <c r="L31" s="55"/>
      <c r="M31" s="69"/>
    </row>
    <row r="32" spans="1:13" ht="13.5" thickBot="1" x14ac:dyDescent="0.25">
      <c r="A32" s="90">
        <f t="shared" si="0"/>
        <v>0</v>
      </c>
      <c r="B32" s="90">
        <f t="shared" si="1"/>
        <v>0</v>
      </c>
      <c r="C32" s="90">
        <f t="shared" si="1"/>
        <v>0</v>
      </c>
      <c r="D32" s="90">
        <f t="shared" si="2"/>
        <v>0</v>
      </c>
      <c r="E32" s="90">
        <v>0</v>
      </c>
      <c r="F32" s="90">
        <v>0</v>
      </c>
      <c r="G32" s="90">
        <f t="shared" si="3"/>
        <v>0</v>
      </c>
      <c r="H32" s="90">
        <v>0</v>
      </c>
      <c r="I32" s="90">
        <v>0</v>
      </c>
      <c r="J32" s="91" t="s">
        <v>61</v>
      </c>
      <c r="K32" s="92"/>
      <c r="L32" s="55"/>
      <c r="M32" s="69"/>
    </row>
    <row r="33" spans="1:13" ht="13.5" thickBot="1" x14ac:dyDescent="0.25">
      <c r="A33" s="90">
        <f t="shared" si="0"/>
        <v>43</v>
      </c>
      <c r="B33" s="90">
        <f t="shared" si="1"/>
        <v>21</v>
      </c>
      <c r="C33" s="90">
        <f t="shared" si="1"/>
        <v>22</v>
      </c>
      <c r="D33" s="90">
        <f t="shared" si="2"/>
        <v>0</v>
      </c>
      <c r="E33" s="90">
        <v>0</v>
      </c>
      <c r="F33" s="90">
        <v>0</v>
      </c>
      <c r="G33" s="90">
        <f t="shared" si="3"/>
        <v>43</v>
      </c>
      <c r="H33" s="90">
        <v>21</v>
      </c>
      <c r="I33" s="90">
        <v>22</v>
      </c>
      <c r="J33" s="91" t="s">
        <v>62</v>
      </c>
      <c r="K33" s="92" t="s">
        <v>83</v>
      </c>
      <c r="L33" s="55"/>
      <c r="M33" s="69"/>
    </row>
    <row r="34" spans="1:13" ht="13.5" thickBot="1" x14ac:dyDescent="0.25">
      <c r="A34" s="90">
        <f t="shared" si="0"/>
        <v>0</v>
      </c>
      <c r="B34" s="90">
        <f t="shared" si="1"/>
        <v>0</v>
      </c>
      <c r="C34" s="90">
        <f t="shared" si="1"/>
        <v>0</v>
      </c>
      <c r="D34" s="90">
        <f t="shared" si="2"/>
        <v>0</v>
      </c>
      <c r="E34" s="90">
        <v>0</v>
      </c>
      <c r="F34" s="90">
        <v>0</v>
      </c>
      <c r="G34" s="90">
        <f t="shared" si="3"/>
        <v>0</v>
      </c>
      <c r="H34" s="90">
        <v>0</v>
      </c>
      <c r="I34" s="90">
        <v>0</v>
      </c>
      <c r="J34" s="91" t="s">
        <v>64</v>
      </c>
      <c r="K34" s="110"/>
      <c r="L34" s="55"/>
      <c r="M34" s="69"/>
    </row>
    <row r="35" spans="1:13" ht="13.5" thickBot="1" x14ac:dyDescent="0.25">
      <c r="A35" s="90">
        <f t="shared" si="0"/>
        <v>0</v>
      </c>
      <c r="B35" s="90">
        <f t="shared" si="1"/>
        <v>0</v>
      </c>
      <c r="C35" s="90">
        <f t="shared" si="1"/>
        <v>0</v>
      </c>
      <c r="D35" s="90">
        <f t="shared" si="2"/>
        <v>0</v>
      </c>
      <c r="E35" s="90">
        <v>0</v>
      </c>
      <c r="F35" s="90">
        <v>0</v>
      </c>
      <c r="G35" s="90">
        <f t="shared" si="3"/>
        <v>0</v>
      </c>
      <c r="H35" s="90">
        <v>0</v>
      </c>
      <c r="I35" s="90">
        <v>0</v>
      </c>
      <c r="J35" s="91" t="s">
        <v>61</v>
      </c>
      <c r="K35" s="92"/>
      <c r="L35" s="55"/>
      <c r="M35" s="69"/>
    </row>
    <row r="36" spans="1:13" ht="13.5" thickBot="1" x14ac:dyDescent="0.25">
      <c r="A36" s="90">
        <f t="shared" si="0"/>
        <v>52</v>
      </c>
      <c r="B36" s="90">
        <f t="shared" si="1"/>
        <v>22</v>
      </c>
      <c r="C36" s="90">
        <f t="shared" si="1"/>
        <v>30</v>
      </c>
      <c r="D36" s="90">
        <f t="shared" si="2"/>
        <v>1</v>
      </c>
      <c r="E36" s="90">
        <v>0</v>
      </c>
      <c r="F36" s="90">
        <v>1</v>
      </c>
      <c r="G36" s="90">
        <f t="shared" si="3"/>
        <v>51</v>
      </c>
      <c r="H36" s="90">
        <v>22</v>
      </c>
      <c r="I36" s="90">
        <v>29</v>
      </c>
      <c r="J36" s="91" t="s">
        <v>62</v>
      </c>
      <c r="K36" s="92" t="s">
        <v>165</v>
      </c>
      <c r="L36" s="55"/>
      <c r="M36" s="69"/>
    </row>
    <row r="37" spans="1:13" ht="13.5" thickBot="1" x14ac:dyDescent="0.25">
      <c r="A37" s="90">
        <f t="shared" si="0"/>
        <v>0</v>
      </c>
      <c r="B37" s="90">
        <f t="shared" si="1"/>
        <v>0</v>
      </c>
      <c r="C37" s="90">
        <f t="shared" si="1"/>
        <v>0</v>
      </c>
      <c r="D37" s="90">
        <f t="shared" si="2"/>
        <v>0</v>
      </c>
      <c r="E37" s="90">
        <v>0</v>
      </c>
      <c r="F37" s="90">
        <v>0</v>
      </c>
      <c r="G37" s="90">
        <f t="shared" si="3"/>
        <v>0</v>
      </c>
      <c r="H37" s="90">
        <v>0</v>
      </c>
      <c r="I37" s="90">
        <v>0</v>
      </c>
      <c r="J37" s="91" t="s">
        <v>64</v>
      </c>
      <c r="K37" s="110"/>
      <c r="L37" s="55"/>
      <c r="M37" s="69"/>
    </row>
    <row r="38" spans="1:13" ht="13.5" thickBot="1" x14ac:dyDescent="0.25">
      <c r="A38" s="90">
        <f t="shared" si="0"/>
        <v>0</v>
      </c>
      <c r="B38" s="90">
        <f t="shared" si="1"/>
        <v>0</v>
      </c>
      <c r="C38" s="90">
        <f t="shared" si="1"/>
        <v>0</v>
      </c>
      <c r="D38" s="90">
        <f t="shared" si="2"/>
        <v>0</v>
      </c>
      <c r="E38" s="90">
        <v>0</v>
      </c>
      <c r="F38" s="90">
        <v>0</v>
      </c>
      <c r="G38" s="90">
        <f t="shared" si="3"/>
        <v>0</v>
      </c>
      <c r="H38" s="90">
        <v>0</v>
      </c>
      <c r="I38" s="90">
        <v>0</v>
      </c>
      <c r="J38" s="91" t="s">
        <v>61</v>
      </c>
      <c r="K38" s="92"/>
      <c r="L38" s="55"/>
      <c r="M38" s="69"/>
    </row>
    <row r="39" spans="1:13" ht="13.5" thickBot="1" x14ac:dyDescent="0.25">
      <c r="A39" s="90">
        <f t="shared" si="0"/>
        <v>0</v>
      </c>
      <c r="B39" s="90">
        <f t="shared" si="1"/>
        <v>0</v>
      </c>
      <c r="C39" s="90">
        <f t="shared" si="1"/>
        <v>0</v>
      </c>
      <c r="D39" s="90">
        <f t="shared" si="2"/>
        <v>0</v>
      </c>
      <c r="E39" s="90">
        <v>0</v>
      </c>
      <c r="F39" s="90">
        <v>0</v>
      </c>
      <c r="G39" s="90">
        <f t="shared" si="3"/>
        <v>0</v>
      </c>
      <c r="H39" s="90">
        <v>0</v>
      </c>
      <c r="I39" s="90">
        <v>0</v>
      </c>
      <c r="J39" s="91" t="s">
        <v>62</v>
      </c>
      <c r="K39" s="92" t="s">
        <v>171</v>
      </c>
      <c r="L39" s="55"/>
      <c r="M39" s="69"/>
    </row>
    <row r="40" spans="1:13" ht="13.5" thickBot="1" x14ac:dyDescent="0.25">
      <c r="A40" s="90">
        <f t="shared" si="0"/>
        <v>397</v>
      </c>
      <c r="B40" s="90">
        <f t="shared" si="1"/>
        <v>0</v>
      </c>
      <c r="C40" s="90">
        <f t="shared" si="1"/>
        <v>397</v>
      </c>
      <c r="D40" s="90">
        <f t="shared" si="2"/>
        <v>0</v>
      </c>
      <c r="E40" s="90">
        <v>0</v>
      </c>
      <c r="F40" s="90">
        <v>0</v>
      </c>
      <c r="G40" s="90">
        <f t="shared" si="3"/>
        <v>397</v>
      </c>
      <c r="H40" s="90">
        <v>0</v>
      </c>
      <c r="I40" s="90">
        <v>397</v>
      </c>
      <c r="J40" s="91" t="s">
        <v>64</v>
      </c>
      <c r="K40" s="110"/>
      <c r="L40" s="55"/>
      <c r="M40" s="69"/>
    </row>
    <row r="41" spans="1:13" ht="13.5" thickBot="1" x14ac:dyDescent="0.25">
      <c r="A41" s="90">
        <f t="shared" si="0"/>
        <v>204</v>
      </c>
      <c r="B41" s="90">
        <f t="shared" si="1"/>
        <v>120</v>
      </c>
      <c r="C41" s="90">
        <f t="shared" si="1"/>
        <v>84</v>
      </c>
      <c r="D41" s="90">
        <f t="shared" si="2"/>
        <v>204</v>
      </c>
      <c r="E41" s="90">
        <v>120</v>
      </c>
      <c r="F41" s="90">
        <v>84</v>
      </c>
      <c r="G41" s="90">
        <f t="shared" si="3"/>
        <v>0</v>
      </c>
      <c r="H41" s="90">
        <v>0</v>
      </c>
      <c r="I41" s="90">
        <v>0</v>
      </c>
      <c r="J41" s="91" t="s">
        <v>61</v>
      </c>
      <c r="K41" s="92"/>
      <c r="L41" s="55"/>
      <c r="M41" s="69"/>
    </row>
    <row r="42" spans="1:13" ht="13.5" thickBot="1" x14ac:dyDescent="0.25">
      <c r="A42" s="90">
        <f t="shared" si="0"/>
        <v>43</v>
      </c>
      <c r="B42" s="90">
        <f t="shared" si="1"/>
        <v>14</v>
      </c>
      <c r="C42" s="90">
        <f t="shared" si="1"/>
        <v>29</v>
      </c>
      <c r="D42" s="90">
        <f t="shared" si="2"/>
        <v>2</v>
      </c>
      <c r="E42" s="90">
        <v>0</v>
      </c>
      <c r="F42" s="90">
        <v>2</v>
      </c>
      <c r="G42" s="90">
        <f t="shared" si="3"/>
        <v>41</v>
      </c>
      <c r="H42" s="90">
        <v>14</v>
      </c>
      <c r="I42" s="90">
        <v>27</v>
      </c>
      <c r="J42" s="91" t="s">
        <v>62</v>
      </c>
      <c r="K42" s="92" t="s">
        <v>173</v>
      </c>
      <c r="L42" s="55"/>
      <c r="M42" s="69"/>
    </row>
    <row r="43" spans="1:13" ht="13.5" thickBot="1" x14ac:dyDescent="0.25">
      <c r="A43" s="90">
        <f t="shared" si="0"/>
        <v>0</v>
      </c>
      <c r="B43" s="90">
        <f t="shared" si="1"/>
        <v>0</v>
      </c>
      <c r="C43" s="90">
        <f t="shared" si="1"/>
        <v>0</v>
      </c>
      <c r="D43" s="90">
        <f t="shared" si="2"/>
        <v>0</v>
      </c>
      <c r="E43" s="90">
        <v>0</v>
      </c>
      <c r="F43" s="90">
        <v>0</v>
      </c>
      <c r="G43" s="90">
        <f t="shared" si="3"/>
        <v>0</v>
      </c>
      <c r="H43" s="90">
        <v>0</v>
      </c>
      <c r="I43" s="90">
        <v>0</v>
      </c>
      <c r="J43" s="91" t="s">
        <v>64</v>
      </c>
      <c r="K43" s="110"/>
      <c r="L43" s="55"/>
      <c r="M43" s="69"/>
    </row>
    <row r="44" spans="1:13" ht="13.5" thickBot="1" x14ac:dyDescent="0.25">
      <c r="A44" s="90">
        <f t="shared" ref="A44:I46" si="4">A5+A8+A11+A14+A17+A20+A23+A26+A29+A32+A35+A38+A41</f>
        <v>2270</v>
      </c>
      <c r="B44" s="90">
        <f t="shared" si="4"/>
        <v>847</v>
      </c>
      <c r="C44" s="90">
        <f t="shared" si="4"/>
        <v>1423</v>
      </c>
      <c r="D44" s="90">
        <f t="shared" si="4"/>
        <v>401</v>
      </c>
      <c r="E44" s="90">
        <f t="shared" si="4"/>
        <v>133</v>
      </c>
      <c r="F44" s="90">
        <f t="shared" si="4"/>
        <v>268</v>
      </c>
      <c r="G44" s="90">
        <f t="shared" si="4"/>
        <v>1869</v>
      </c>
      <c r="H44" s="90">
        <f t="shared" si="4"/>
        <v>714</v>
      </c>
      <c r="I44" s="90">
        <f>I5+I8+I11+I14+I17+I20+I23+I26+I29+I32+I35+I38+I41</f>
        <v>1155</v>
      </c>
      <c r="J44" s="91" t="s">
        <v>231</v>
      </c>
      <c r="K44" s="94"/>
      <c r="L44" s="55"/>
    </row>
    <row r="45" spans="1:13" ht="13.5" thickBot="1" x14ac:dyDescent="0.25">
      <c r="A45" s="90">
        <f t="shared" si="4"/>
        <v>11466</v>
      </c>
      <c r="B45" s="90">
        <f t="shared" si="4"/>
        <v>4229</v>
      </c>
      <c r="C45" s="90">
        <f t="shared" si="4"/>
        <v>7237</v>
      </c>
      <c r="D45" s="90">
        <f t="shared" si="4"/>
        <v>856</v>
      </c>
      <c r="E45" s="90">
        <f t="shared" si="4"/>
        <v>142</v>
      </c>
      <c r="F45" s="90">
        <f t="shared" si="4"/>
        <v>714</v>
      </c>
      <c r="G45" s="90">
        <f t="shared" si="4"/>
        <v>10610</v>
      </c>
      <c r="H45" s="90">
        <f t="shared" si="4"/>
        <v>4087</v>
      </c>
      <c r="I45" s="90">
        <f t="shared" si="4"/>
        <v>6523</v>
      </c>
      <c r="J45" s="91" t="s">
        <v>62</v>
      </c>
      <c r="K45" s="95" t="s">
        <v>232</v>
      </c>
      <c r="L45" s="55"/>
    </row>
    <row r="46" spans="1:13" ht="13.5" thickBot="1" x14ac:dyDescent="0.25">
      <c r="A46" s="90">
        <f t="shared" si="4"/>
        <v>1623</v>
      </c>
      <c r="B46" s="90">
        <f t="shared" si="4"/>
        <v>363</v>
      </c>
      <c r="C46" s="90">
        <f t="shared" si="4"/>
        <v>1260</v>
      </c>
      <c r="D46" s="90">
        <f t="shared" si="4"/>
        <v>147</v>
      </c>
      <c r="E46" s="90">
        <f t="shared" si="4"/>
        <v>1</v>
      </c>
      <c r="F46" s="90">
        <f t="shared" si="4"/>
        <v>146</v>
      </c>
      <c r="G46" s="90">
        <f t="shared" si="4"/>
        <v>1476</v>
      </c>
      <c r="H46" s="90">
        <f t="shared" si="4"/>
        <v>362</v>
      </c>
      <c r="I46" s="90">
        <f t="shared" si="4"/>
        <v>1114</v>
      </c>
      <c r="J46" s="91" t="s">
        <v>64</v>
      </c>
      <c r="K46" s="96"/>
      <c r="L46" s="55"/>
    </row>
    <row r="47" spans="1:13" ht="13.5" thickBot="1" x14ac:dyDescent="0.25">
      <c r="A47" s="90">
        <f t="shared" ref="A47:H47" si="5">SUM(A44:A46)</f>
        <v>15359</v>
      </c>
      <c r="B47" s="90">
        <f t="shared" si="5"/>
        <v>5439</v>
      </c>
      <c r="C47" s="90">
        <f t="shared" si="5"/>
        <v>9920</v>
      </c>
      <c r="D47" s="90">
        <f t="shared" si="5"/>
        <v>1404</v>
      </c>
      <c r="E47" s="90">
        <f t="shared" si="5"/>
        <v>276</v>
      </c>
      <c r="F47" s="90">
        <f t="shared" si="5"/>
        <v>1128</v>
      </c>
      <c r="G47" s="90">
        <f t="shared" si="5"/>
        <v>13955</v>
      </c>
      <c r="H47" s="90">
        <f t="shared" si="5"/>
        <v>5163</v>
      </c>
      <c r="I47" s="90">
        <f>SUM(I44:I46)</f>
        <v>8792</v>
      </c>
      <c r="J47" s="198" t="s">
        <v>233</v>
      </c>
      <c r="K47" s="198"/>
      <c r="L47" s="55"/>
    </row>
  </sheetData>
  <mergeCells count="8">
    <mergeCell ref="J4:K4"/>
    <mergeCell ref="J47:K47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scale="88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3"/>
  <sheetViews>
    <sheetView showGridLines="0" zoomScale="90" zoomScaleNormal="90" workbookViewId="0">
      <selection activeCell="P27" sqref="P27"/>
    </sheetView>
  </sheetViews>
  <sheetFormatPr defaultRowHeight="12.75" x14ac:dyDescent="0.2"/>
  <cols>
    <col min="1" max="10" width="9.625" style="56" customWidth="1"/>
    <col min="11" max="11" width="34.25" style="56" customWidth="1"/>
    <col min="12" max="12" width="3.625" style="56" customWidth="1"/>
    <col min="13" max="256" width="9" style="56"/>
    <col min="257" max="266" width="9.625" style="56" customWidth="1"/>
    <col min="267" max="267" width="34.25" style="56" customWidth="1"/>
    <col min="268" max="268" width="3.625" style="56" customWidth="1"/>
    <col min="269" max="512" width="9" style="56"/>
    <col min="513" max="522" width="9.625" style="56" customWidth="1"/>
    <col min="523" max="523" width="34.25" style="56" customWidth="1"/>
    <col min="524" max="524" width="3.625" style="56" customWidth="1"/>
    <col min="525" max="768" width="9" style="56"/>
    <col min="769" max="778" width="9.625" style="56" customWidth="1"/>
    <col min="779" max="779" width="34.25" style="56" customWidth="1"/>
    <col min="780" max="780" width="3.625" style="56" customWidth="1"/>
    <col min="781" max="1024" width="9" style="56"/>
    <col min="1025" max="1034" width="9.625" style="56" customWidth="1"/>
    <col min="1035" max="1035" width="34.25" style="56" customWidth="1"/>
    <col min="1036" max="1036" width="3.625" style="56" customWidth="1"/>
    <col min="1037" max="1280" width="9" style="56"/>
    <col min="1281" max="1290" width="9.625" style="56" customWidth="1"/>
    <col min="1291" max="1291" width="34.25" style="56" customWidth="1"/>
    <col min="1292" max="1292" width="3.625" style="56" customWidth="1"/>
    <col min="1293" max="1536" width="9" style="56"/>
    <col min="1537" max="1546" width="9.625" style="56" customWidth="1"/>
    <col min="1547" max="1547" width="34.25" style="56" customWidth="1"/>
    <col min="1548" max="1548" width="3.625" style="56" customWidth="1"/>
    <col min="1549" max="1792" width="9" style="56"/>
    <col min="1793" max="1802" width="9.625" style="56" customWidth="1"/>
    <col min="1803" max="1803" width="34.25" style="56" customWidth="1"/>
    <col min="1804" max="1804" width="3.625" style="56" customWidth="1"/>
    <col min="1805" max="2048" width="9" style="56"/>
    <col min="2049" max="2058" width="9.625" style="56" customWidth="1"/>
    <col min="2059" max="2059" width="34.25" style="56" customWidth="1"/>
    <col min="2060" max="2060" width="3.625" style="56" customWidth="1"/>
    <col min="2061" max="2304" width="9" style="56"/>
    <col min="2305" max="2314" width="9.625" style="56" customWidth="1"/>
    <col min="2315" max="2315" width="34.25" style="56" customWidth="1"/>
    <col min="2316" max="2316" width="3.625" style="56" customWidth="1"/>
    <col min="2317" max="2560" width="9" style="56"/>
    <col min="2561" max="2570" width="9.625" style="56" customWidth="1"/>
    <col min="2571" max="2571" width="34.25" style="56" customWidth="1"/>
    <col min="2572" max="2572" width="3.625" style="56" customWidth="1"/>
    <col min="2573" max="2816" width="9" style="56"/>
    <col min="2817" max="2826" width="9.625" style="56" customWidth="1"/>
    <col min="2827" max="2827" width="34.25" style="56" customWidth="1"/>
    <col min="2828" max="2828" width="3.625" style="56" customWidth="1"/>
    <col min="2829" max="3072" width="9" style="56"/>
    <col min="3073" max="3082" width="9.625" style="56" customWidth="1"/>
    <col min="3083" max="3083" width="34.25" style="56" customWidth="1"/>
    <col min="3084" max="3084" width="3.625" style="56" customWidth="1"/>
    <col min="3085" max="3328" width="9" style="56"/>
    <col min="3329" max="3338" width="9.625" style="56" customWidth="1"/>
    <col min="3339" max="3339" width="34.25" style="56" customWidth="1"/>
    <col min="3340" max="3340" width="3.625" style="56" customWidth="1"/>
    <col min="3341" max="3584" width="9" style="56"/>
    <col min="3585" max="3594" width="9.625" style="56" customWidth="1"/>
    <col min="3595" max="3595" width="34.25" style="56" customWidth="1"/>
    <col min="3596" max="3596" width="3.625" style="56" customWidth="1"/>
    <col min="3597" max="3840" width="9" style="56"/>
    <col min="3841" max="3850" width="9.625" style="56" customWidth="1"/>
    <col min="3851" max="3851" width="34.25" style="56" customWidth="1"/>
    <col min="3852" max="3852" width="3.625" style="56" customWidth="1"/>
    <col min="3853" max="4096" width="9" style="56"/>
    <col min="4097" max="4106" width="9.625" style="56" customWidth="1"/>
    <col min="4107" max="4107" width="34.25" style="56" customWidth="1"/>
    <col min="4108" max="4108" width="3.625" style="56" customWidth="1"/>
    <col min="4109" max="4352" width="9" style="56"/>
    <col min="4353" max="4362" width="9.625" style="56" customWidth="1"/>
    <col min="4363" max="4363" width="34.25" style="56" customWidth="1"/>
    <col min="4364" max="4364" width="3.625" style="56" customWidth="1"/>
    <col min="4365" max="4608" width="9" style="56"/>
    <col min="4609" max="4618" width="9.625" style="56" customWidth="1"/>
    <col min="4619" max="4619" width="34.25" style="56" customWidth="1"/>
    <col min="4620" max="4620" width="3.625" style="56" customWidth="1"/>
    <col min="4621" max="4864" width="9" style="56"/>
    <col min="4865" max="4874" width="9.625" style="56" customWidth="1"/>
    <col min="4875" max="4875" width="34.25" style="56" customWidth="1"/>
    <col min="4876" max="4876" width="3.625" style="56" customWidth="1"/>
    <col min="4877" max="5120" width="9" style="56"/>
    <col min="5121" max="5130" width="9.625" style="56" customWidth="1"/>
    <col min="5131" max="5131" width="34.25" style="56" customWidth="1"/>
    <col min="5132" max="5132" width="3.625" style="56" customWidth="1"/>
    <col min="5133" max="5376" width="9" style="56"/>
    <col min="5377" max="5386" width="9.625" style="56" customWidth="1"/>
    <col min="5387" max="5387" width="34.25" style="56" customWidth="1"/>
    <col min="5388" max="5388" width="3.625" style="56" customWidth="1"/>
    <col min="5389" max="5632" width="9" style="56"/>
    <col min="5633" max="5642" width="9.625" style="56" customWidth="1"/>
    <col min="5643" max="5643" width="34.25" style="56" customWidth="1"/>
    <col min="5644" max="5644" width="3.625" style="56" customWidth="1"/>
    <col min="5645" max="5888" width="9" style="56"/>
    <col min="5889" max="5898" width="9.625" style="56" customWidth="1"/>
    <col min="5899" max="5899" width="34.25" style="56" customWidth="1"/>
    <col min="5900" max="5900" width="3.625" style="56" customWidth="1"/>
    <col min="5901" max="6144" width="9" style="56"/>
    <col min="6145" max="6154" width="9.625" style="56" customWidth="1"/>
    <col min="6155" max="6155" width="34.25" style="56" customWidth="1"/>
    <col min="6156" max="6156" width="3.625" style="56" customWidth="1"/>
    <col min="6157" max="6400" width="9" style="56"/>
    <col min="6401" max="6410" width="9.625" style="56" customWidth="1"/>
    <col min="6411" max="6411" width="34.25" style="56" customWidth="1"/>
    <col min="6412" max="6412" width="3.625" style="56" customWidth="1"/>
    <col min="6413" max="6656" width="9" style="56"/>
    <col min="6657" max="6666" width="9.625" style="56" customWidth="1"/>
    <col min="6667" max="6667" width="34.25" style="56" customWidth="1"/>
    <col min="6668" max="6668" width="3.625" style="56" customWidth="1"/>
    <col min="6669" max="6912" width="9" style="56"/>
    <col min="6913" max="6922" width="9.625" style="56" customWidth="1"/>
    <col min="6923" max="6923" width="34.25" style="56" customWidth="1"/>
    <col min="6924" max="6924" width="3.625" style="56" customWidth="1"/>
    <col min="6925" max="7168" width="9" style="56"/>
    <col min="7169" max="7178" width="9.625" style="56" customWidth="1"/>
    <col min="7179" max="7179" width="34.25" style="56" customWidth="1"/>
    <col min="7180" max="7180" width="3.625" style="56" customWidth="1"/>
    <col min="7181" max="7424" width="9" style="56"/>
    <col min="7425" max="7434" width="9.625" style="56" customWidth="1"/>
    <col min="7435" max="7435" width="34.25" style="56" customWidth="1"/>
    <col min="7436" max="7436" width="3.625" style="56" customWidth="1"/>
    <col min="7437" max="7680" width="9" style="56"/>
    <col min="7681" max="7690" width="9.625" style="56" customWidth="1"/>
    <col min="7691" max="7691" width="34.25" style="56" customWidth="1"/>
    <col min="7692" max="7692" width="3.625" style="56" customWidth="1"/>
    <col min="7693" max="7936" width="9" style="56"/>
    <col min="7937" max="7946" width="9.625" style="56" customWidth="1"/>
    <col min="7947" max="7947" width="34.25" style="56" customWidth="1"/>
    <col min="7948" max="7948" width="3.625" style="56" customWidth="1"/>
    <col min="7949" max="8192" width="9" style="56"/>
    <col min="8193" max="8202" width="9.625" style="56" customWidth="1"/>
    <col min="8203" max="8203" width="34.25" style="56" customWidth="1"/>
    <col min="8204" max="8204" width="3.625" style="56" customWidth="1"/>
    <col min="8205" max="8448" width="9" style="56"/>
    <col min="8449" max="8458" width="9.625" style="56" customWidth="1"/>
    <col min="8459" max="8459" width="34.25" style="56" customWidth="1"/>
    <col min="8460" max="8460" width="3.625" style="56" customWidth="1"/>
    <col min="8461" max="8704" width="9" style="56"/>
    <col min="8705" max="8714" width="9.625" style="56" customWidth="1"/>
    <col min="8715" max="8715" width="34.25" style="56" customWidth="1"/>
    <col min="8716" max="8716" width="3.625" style="56" customWidth="1"/>
    <col min="8717" max="8960" width="9" style="56"/>
    <col min="8961" max="8970" width="9.625" style="56" customWidth="1"/>
    <col min="8971" max="8971" width="34.25" style="56" customWidth="1"/>
    <col min="8972" max="8972" width="3.625" style="56" customWidth="1"/>
    <col min="8973" max="9216" width="9" style="56"/>
    <col min="9217" max="9226" width="9.625" style="56" customWidth="1"/>
    <col min="9227" max="9227" width="34.25" style="56" customWidth="1"/>
    <col min="9228" max="9228" width="3.625" style="56" customWidth="1"/>
    <col min="9229" max="9472" width="9" style="56"/>
    <col min="9473" max="9482" width="9.625" style="56" customWidth="1"/>
    <col min="9483" max="9483" width="34.25" style="56" customWidth="1"/>
    <col min="9484" max="9484" width="3.625" style="56" customWidth="1"/>
    <col min="9485" max="9728" width="9" style="56"/>
    <col min="9729" max="9738" width="9.625" style="56" customWidth="1"/>
    <col min="9739" max="9739" width="34.25" style="56" customWidth="1"/>
    <col min="9740" max="9740" width="3.625" style="56" customWidth="1"/>
    <col min="9741" max="9984" width="9" style="56"/>
    <col min="9985" max="9994" width="9.625" style="56" customWidth="1"/>
    <col min="9995" max="9995" width="34.25" style="56" customWidth="1"/>
    <col min="9996" max="9996" width="3.625" style="56" customWidth="1"/>
    <col min="9997" max="10240" width="9" style="56"/>
    <col min="10241" max="10250" width="9.625" style="56" customWidth="1"/>
    <col min="10251" max="10251" width="34.25" style="56" customWidth="1"/>
    <col min="10252" max="10252" width="3.625" style="56" customWidth="1"/>
    <col min="10253" max="10496" width="9" style="56"/>
    <col min="10497" max="10506" width="9.625" style="56" customWidth="1"/>
    <col min="10507" max="10507" width="34.25" style="56" customWidth="1"/>
    <col min="10508" max="10508" width="3.625" style="56" customWidth="1"/>
    <col min="10509" max="10752" width="9" style="56"/>
    <col min="10753" max="10762" width="9.625" style="56" customWidth="1"/>
    <col min="10763" max="10763" width="34.25" style="56" customWidth="1"/>
    <col min="10764" max="10764" width="3.625" style="56" customWidth="1"/>
    <col min="10765" max="11008" width="9" style="56"/>
    <col min="11009" max="11018" width="9.625" style="56" customWidth="1"/>
    <col min="11019" max="11019" width="34.25" style="56" customWidth="1"/>
    <col min="11020" max="11020" width="3.625" style="56" customWidth="1"/>
    <col min="11021" max="11264" width="9" style="56"/>
    <col min="11265" max="11274" width="9.625" style="56" customWidth="1"/>
    <col min="11275" max="11275" width="34.25" style="56" customWidth="1"/>
    <col min="11276" max="11276" width="3.625" style="56" customWidth="1"/>
    <col min="11277" max="11520" width="9" style="56"/>
    <col min="11521" max="11530" width="9.625" style="56" customWidth="1"/>
    <col min="11531" max="11531" width="34.25" style="56" customWidth="1"/>
    <col min="11532" max="11532" width="3.625" style="56" customWidth="1"/>
    <col min="11533" max="11776" width="9" style="56"/>
    <col min="11777" max="11786" width="9.625" style="56" customWidth="1"/>
    <col min="11787" max="11787" width="34.25" style="56" customWidth="1"/>
    <col min="11788" max="11788" width="3.625" style="56" customWidth="1"/>
    <col min="11789" max="12032" width="9" style="56"/>
    <col min="12033" max="12042" width="9.625" style="56" customWidth="1"/>
    <col min="12043" max="12043" width="34.25" style="56" customWidth="1"/>
    <col min="12044" max="12044" width="3.625" style="56" customWidth="1"/>
    <col min="12045" max="12288" width="9" style="56"/>
    <col min="12289" max="12298" width="9.625" style="56" customWidth="1"/>
    <col min="12299" max="12299" width="34.25" style="56" customWidth="1"/>
    <col min="12300" max="12300" width="3.625" style="56" customWidth="1"/>
    <col min="12301" max="12544" width="9" style="56"/>
    <col min="12545" max="12554" width="9.625" style="56" customWidth="1"/>
    <col min="12555" max="12555" width="34.25" style="56" customWidth="1"/>
    <col min="12556" max="12556" width="3.625" style="56" customWidth="1"/>
    <col min="12557" max="12800" width="9" style="56"/>
    <col min="12801" max="12810" width="9.625" style="56" customWidth="1"/>
    <col min="12811" max="12811" width="34.25" style="56" customWidth="1"/>
    <col min="12812" max="12812" width="3.625" style="56" customWidth="1"/>
    <col min="12813" max="13056" width="9" style="56"/>
    <col min="13057" max="13066" width="9.625" style="56" customWidth="1"/>
    <col min="13067" max="13067" width="34.25" style="56" customWidth="1"/>
    <col min="13068" max="13068" width="3.625" style="56" customWidth="1"/>
    <col min="13069" max="13312" width="9" style="56"/>
    <col min="13313" max="13322" width="9.625" style="56" customWidth="1"/>
    <col min="13323" max="13323" width="34.25" style="56" customWidth="1"/>
    <col min="13324" max="13324" width="3.625" style="56" customWidth="1"/>
    <col min="13325" max="13568" width="9" style="56"/>
    <col min="13569" max="13578" width="9.625" style="56" customWidth="1"/>
    <col min="13579" max="13579" width="34.25" style="56" customWidth="1"/>
    <col min="13580" max="13580" width="3.625" style="56" customWidth="1"/>
    <col min="13581" max="13824" width="9" style="56"/>
    <col min="13825" max="13834" width="9.625" style="56" customWidth="1"/>
    <col min="13835" max="13835" width="34.25" style="56" customWidth="1"/>
    <col min="13836" max="13836" width="3.625" style="56" customWidth="1"/>
    <col min="13837" max="14080" width="9" style="56"/>
    <col min="14081" max="14090" width="9.625" style="56" customWidth="1"/>
    <col min="14091" max="14091" width="34.25" style="56" customWidth="1"/>
    <col min="14092" max="14092" width="3.625" style="56" customWidth="1"/>
    <col min="14093" max="14336" width="9" style="56"/>
    <col min="14337" max="14346" width="9.625" style="56" customWidth="1"/>
    <col min="14347" max="14347" width="34.25" style="56" customWidth="1"/>
    <col min="14348" max="14348" width="3.625" style="56" customWidth="1"/>
    <col min="14349" max="14592" width="9" style="56"/>
    <col min="14593" max="14602" width="9.625" style="56" customWidth="1"/>
    <col min="14603" max="14603" width="34.25" style="56" customWidth="1"/>
    <col min="14604" max="14604" width="3.625" style="56" customWidth="1"/>
    <col min="14605" max="14848" width="9" style="56"/>
    <col min="14849" max="14858" width="9.625" style="56" customWidth="1"/>
    <col min="14859" max="14859" width="34.25" style="56" customWidth="1"/>
    <col min="14860" max="14860" width="3.625" style="56" customWidth="1"/>
    <col min="14861" max="15104" width="9" style="56"/>
    <col min="15105" max="15114" width="9.625" style="56" customWidth="1"/>
    <col min="15115" max="15115" width="34.25" style="56" customWidth="1"/>
    <col min="15116" max="15116" width="3.625" style="56" customWidth="1"/>
    <col min="15117" max="15360" width="9" style="56"/>
    <col min="15361" max="15370" width="9.625" style="56" customWidth="1"/>
    <col min="15371" max="15371" width="34.25" style="56" customWidth="1"/>
    <col min="15372" max="15372" width="3.625" style="56" customWidth="1"/>
    <col min="15373" max="15616" width="9" style="56"/>
    <col min="15617" max="15626" width="9.625" style="56" customWidth="1"/>
    <col min="15627" max="15627" width="34.25" style="56" customWidth="1"/>
    <col min="15628" max="15628" width="3.625" style="56" customWidth="1"/>
    <col min="15629" max="15872" width="9" style="56"/>
    <col min="15873" max="15882" width="9.625" style="56" customWidth="1"/>
    <col min="15883" max="15883" width="34.25" style="56" customWidth="1"/>
    <col min="15884" max="15884" width="3.625" style="56" customWidth="1"/>
    <col min="15885" max="16128" width="9" style="56"/>
    <col min="16129" max="16138" width="9.625" style="56" customWidth="1"/>
    <col min="16139" max="16139" width="34.25" style="56" customWidth="1"/>
    <col min="16140" max="16140" width="3.625" style="56" customWidth="1"/>
    <col min="16141" max="16384" width="9" style="56"/>
  </cols>
  <sheetData>
    <row r="1" spans="1:13" ht="20.100000000000001" customHeight="1" x14ac:dyDescent="0.2">
      <c r="A1" s="177" t="s">
        <v>554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3" ht="20.100000000000001" customHeight="1" thickBot="1" x14ac:dyDescent="0.25">
      <c r="A2" s="178" t="s">
        <v>555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3" ht="18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81"/>
      <c r="K3" s="181"/>
      <c r="L3" s="55"/>
    </row>
    <row r="4" spans="1:13" ht="13.5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228</v>
      </c>
      <c r="K4" s="180"/>
      <c r="L4" s="55"/>
    </row>
    <row r="5" spans="1:13" ht="13.5" thickBot="1" x14ac:dyDescent="0.25">
      <c r="A5" s="60">
        <f t="shared" ref="A5:C20" si="0">G5+D5</f>
        <v>0</v>
      </c>
      <c r="B5" s="60">
        <f t="shared" si="0"/>
        <v>0</v>
      </c>
      <c r="C5" s="60">
        <f>I5+F5</f>
        <v>0</v>
      </c>
      <c r="D5" s="60">
        <f>F5+E5</f>
        <v>0</v>
      </c>
      <c r="E5" s="60">
        <v>0</v>
      </c>
      <c r="F5" s="60">
        <v>0</v>
      </c>
      <c r="G5" s="60">
        <f>I5+H5</f>
        <v>0</v>
      </c>
      <c r="H5" s="60">
        <v>0</v>
      </c>
      <c r="I5" s="60">
        <v>0</v>
      </c>
      <c r="J5" s="65" t="s">
        <v>61</v>
      </c>
      <c r="K5" s="66"/>
      <c r="L5" s="55"/>
      <c r="M5" s="69"/>
    </row>
    <row r="6" spans="1:13" ht="13.5" thickBot="1" x14ac:dyDescent="0.25">
      <c r="A6" s="60">
        <f t="shared" si="0"/>
        <v>73</v>
      </c>
      <c r="B6" s="60">
        <f t="shared" si="0"/>
        <v>19</v>
      </c>
      <c r="C6" s="60">
        <f t="shared" si="0"/>
        <v>54</v>
      </c>
      <c r="D6" s="60">
        <f t="shared" ref="D6:D69" si="1">F6+E6</f>
        <v>7</v>
      </c>
      <c r="E6" s="60">
        <v>0</v>
      </c>
      <c r="F6" s="60">
        <v>7</v>
      </c>
      <c r="G6" s="60">
        <f t="shared" ref="G6:G69" si="2">I6+H6</f>
        <v>66</v>
      </c>
      <c r="H6" s="60">
        <v>19</v>
      </c>
      <c r="I6" s="60">
        <v>47</v>
      </c>
      <c r="J6" s="65" t="s">
        <v>62</v>
      </c>
      <c r="K6" s="66" t="s">
        <v>182</v>
      </c>
      <c r="L6" s="55"/>
      <c r="M6" s="69"/>
    </row>
    <row r="7" spans="1:13" ht="13.5" thickBot="1" x14ac:dyDescent="0.25">
      <c r="A7" s="60">
        <f t="shared" si="0"/>
        <v>0</v>
      </c>
      <c r="B7" s="60">
        <f t="shared" si="0"/>
        <v>0</v>
      </c>
      <c r="C7" s="60">
        <f t="shared" si="0"/>
        <v>0</v>
      </c>
      <c r="D7" s="60">
        <f t="shared" si="1"/>
        <v>0</v>
      </c>
      <c r="E7" s="60">
        <v>0</v>
      </c>
      <c r="F7" s="60">
        <v>0</v>
      </c>
      <c r="G7" s="60">
        <f t="shared" si="2"/>
        <v>0</v>
      </c>
      <c r="H7" s="60">
        <v>0</v>
      </c>
      <c r="I7" s="60">
        <v>0</v>
      </c>
      <c r="J7" s="65" t="s">
        <v>64</v>
      </c>
      <c r="K7" s="74"/>
      <c r="L7" s="55"/>
    </row>
    <row r="8" spans="1:13" ht="13.5" thickBot="1" x14ac:dyDescent="0.25">
      <c r="A8" s="60">
        <f t="shared" si="0"/>
        <v>306</v>
      </c>
      <c r="B8" s="60">
        <f t="shared" si="0"/>
        <v>63</v>
      </c>
      <c r="C8" s="60">
        <f t="shared" si="0"/>
        <v>243</v>
      </c>
      <c r="D8" s="60">
        <f t="shared" si="1"/>
        <v>31</v>
      </c>
      <c r="E8" s="60">
        <v>0</v>
      </c>
      <c r="F8" s="60">
        <v>31</v>
      </c>
      <c r="G8" s="60">
        <f t="shared" si="2"/>
        <v>275</v>
      </c>
      <c r="H8" s="60">
        <f>43+20</f>
        <v>63</v>
      </c>
      <c r="I8" s="60">
        <v>212</v>
      </c>
      <c r="J8" s="65" t="s">
        <v>61</v>
      </c>
      <c r="K8" s="66"/>
      <c r="L8" s="55"/>
      <c r="M8" s="69"/>
    </row>
    <row r="9" spans="1:13" ht="13.5" thickBot="1" x14ac:dyDescent="0.25">
      <c r="A9" s="60">
        <f t="shared" si="0"/>
        <v>871</v>
      </c>
      <c r="B9" s="60">
        <f t="shared" si="0"/>
        <v>161</v>
      </c>
      <c r="C9" s="60">
        <f t="shared" si="0"/>
        <v>710</v>
      </c>
      <c r="D9" s="60">
        <f t="shared" si="1"/>
        <v>113</v>
      </c>
      <c r="E9" s="60">
        <v>1</v>
      </c>
      <c r="F9" s="60">
        <v>112</v>
      </c>
      <c r="G9" s="60">
        <f t="shared" si="2"/>
        <v>758</v>
      </c>
      <c r="H9" s="60">
        <v>160</v>
      </c>
      <c r="I9" s="60">
        <v>598</v>
      </c>
      <c r="J9" s="65" t="s">
        <v>62</v>
      </c>
      <c r="K9" s="66" t="s">
        <v>183</v>
      </c>
      <c r="L9" s="55"/>
      <c r="M9" s="69"/>
    </row>
    <row r="10" spans="1:13" ht="13.5" thickBot="1" x14ac:dyDescent="0.25">
      <c r="A10" s="60">
        <f t="shared" si="0"/>
        <v>83</v>
      </c>
      <c r="B10" s="60">
        <f t="shared" si="0"/>
        <v>0</v>
      </c>
      <c r="C10" s="60">
        <f t="shared" si="0"/>
        <v>83</v>
      </c>
      <c r="D10" s="60">
        <f t="shared" si="1"/>
        <v>51</v>
      </c>
      <c r="E10" s="60">
        <v>0</v>
      </c>
      <c r="F10" s="60">
        <v>51</v>
      </c>
      <c r="G10" s="60">
        <f t="shared" si="2"/>
        <v>32</v>
      </c>
      <c r="H10" s="60">
        <v>0</v>
      </c>
      <c r="I10" s="60">
        <v>32</v>
      </c>
      <c r="J10" s="65" t="s">
        <v>64</v>
      </c>
      <c r="K10" s="74"/>
      <c r="L10" s="55"/>
    </row>
    <row r="11" spans="1:13" ht="13.5" thickBot="1" x14ac:dyDescent="0.25">
      <c r="A11" s="60">
        <f t="shared" si="0"/>
        <v>0</v>
      </c>
      <c r="B11" s="60">
        <f t="shared" si="0"/>
        <v>0</v>
      </c>
      <c r="C11" s="60">
        <f t="shared" si="0"/>
        <v>0</v>
      </c>
      <c r="D11" s="60">
        <f t="shared" si="1"/>
        <v>0</v>
      </c>
      <c r="E11" s="60">
        <v>0</v>
      </c>
      <c r="F11" s="60">
        <v>0</v>
      </c>
      <c r="G11" s="60">
        <f t="shared" si="2"/>
        <v>0</v>
      </c>
      <c r="H11" s="60">
        <v>0</v>
      </c>
      <c r="I11" s="60">
        <v>0</v>
      </c>
      <c r="J11" s="65" t="s">
        <v>61</v>
      </c>
      <c r="K11" s="66"/>
      <c r="L11" s="55"/>
      <c r="M11" s="69"/>
    </row>
    <row r="12" spans="1:13" ht="13.5" thickBot="1" x14ac:dyDescent="0.25">
      <c r="A12" s="60">
        <f t="shared" si="0"/>
        <v>8</v>
      </c>
      <c r="B12" s="60">
        <f t="shared" si="0"/>
        <v>0</v>
      </c>
      <c r="C12" s="60">
        <f t="shared" si="0"/>
        <v>8</v>
      </c>
      <c r="D12" s="60">
        <f t="shared" si="1"/>
        <v>0</v>
      </c>
      <c r="E12" s="60">
        <v>0</v>
      </c>
      <c r="F12" s="60">
        <v>0</v>
      </c>
      <c r="G12" s="60">
        <f t="shared" si="2"/>
        <v>8</v>
      </c>
      <c r="H12" s="60">
        <v>0</v>
      </c>
      <c r="I12" s="60">
        <v>8</v>
      </c>
      <c r="J12" s="65" t="s">
        <v>62</v>
      </c>
      <c r="K12" s="66" t="s">
        <v>184</v>
      </c>
      <c r="L12" s="55"/>
      <c r="M12" s="69"/>
    </row>
    <row r="13" spans="1:13" ht="13.5" thickBot="1" x14ac:dyDescent="0.25">
      <c r="A13" s="60">
        <f t="shared" si="0"/>
        <v>0</v>
      </c>
      <c r="B13" s="60">
        <f t="shared" si="0"/>
        <v>0</v>
      </c>
      <c r="C13" s="60">
        <f t="shared" si="0"/>
        <v>0</v>
      </c>
      <c r="D13" s="60">
        <f t="shared" si="1"/>
        <v>0</v>
      </c>
      <c r="E13" s="60">
        <v>0</v>
      </c>
      <c r="F13" s="60">
        <v>0</v>
      </c>
      <c r="G13" s="60">
        <f t="shared" si="2"/>
        <v>0</v>
      </c>
      <c r="H13" s="60">
        <v>0</v>
      </c>
      <c r="I13" s="60">
        <v>0</v>
      </c>
      <c r="J13" s="65" t="s">
        <v>64</v>
      </c>
      <c r="K13" s="74"/>
      <c r="L13" s="55"/>
    </row>
    <row r="14" spans="1:13" ht="13.5" thickBot="1" x14ac:dyDescent="0.25">
      <c r="A14" s="60">
        <f t="shared" si="0"/>
        <v>694</v>
      </c>
      <c r="B14" s="60">
        <f t="shared" si="0"/>
        <v>328</v>
      </c>
      <c r="C14" s="60">
        <f t="shared" si="0"/>
        <v>366</v>
      </c>
      <c r="D14" s="60">
        <f t="shared" si="1"/>
        <v>38</v>
      </c>
      <c r="E14" s="60">
        <v>3</v>
      </c>
      <c r="F14" s="60">
        <f>44-9</f>
        <v>35</v>
      </c>
      <c r="G14" s="60">
        <f t="shared" si="2"/>
        <v>656</v>
      </c>
      <c r="H14" s="60">
        <v>325</v>
      </c>
      <c r="I14" s="60">
        <f>360-29</f>
        <v>331</v>
      </c>
      <c r="J14" s="65" t="s">
        <v>61</v>
      </c>
      <c r="K14" s="66"/>
      <c r="L14" s="55"/>
      <c r="M14" s="69"/>
    </row>
    <row r="15" spans="1:13" ht="13.5" thickBot="1" x14ac:dyDescent="0.25">
      <c r="A15" s="60">
        <f t="shared" si="0"/>
        <v>3393</v>
      </c>
      <c r="B15" s="60">
        <f t="shared" si="0"/>
        <v>1477</v>
      </c>
      <c r="C15" s="60">
        <f t="shared" si="0"/>
        <v>1916</v>
      </c>
      <c r="D15" s="60">
        <f t="shared" si="1"/>
        <v>74</v>
      </c>
      <c r="E15" s="60">
        <v>17</v>
      </c>
      <c r="F15" s="60">
        <v>57</v>
      </c>
      <c r="G15" s="60">
        <f t="shared" si="2"/>
        <v>3319</v>
      </c>
      <c r="H15" s="60">
        <f>1533-73</f>
        <v>1460</v>
      </c>
      <c r="I15" s="60">
        <f>1822+37</f>
        <v>1859</v>
      </c>
      <c r="J15" s="65" t="s">
        <v>62</v>
      </c>
      <c r="K15" s="66" t="s">
        <v>185</v>
      </c>
      <c r="L15" s="55"/>
      <c r="M15" s="69"/>
    </row>
    <row r="16" spans="1:13" ht="13.5" thickBot="1" x14ac:dyDescent="0.25">
      <c r="A16" s="60">
        <f t="shared" si="0"/>
        <v>920</v>
      </c>
      <c r="B16" s="60">
        <f t="shared" si="0"/>
        <v>298</v>
      </c>
      <c r="C16" s="60">
        <f t="shared" si="0"/>
        <v>622</v>
      </c>
      <c r="D16" s="60">
        <f t="shared" si="1"/>
        <v>0</v>
      </c>
      <c r="E16" s="60">
        <v>0</v>
      </c>
      <c r="F16" s="60">
        <v>0</v>
      </c>
      <c r="G16" s="60">
        <f t="shared" si="2"/>
        <v>920</v>
      </c>
      <c r="H16" s="60">
        <v>298</v>
      </c>
      <c r="I16" s="60">
        <v>622</v>
      </c>
      <c r="J16" s="65" t="s">
        <v>64</v>
      </c>
      <c r="K16" s="74"/>
      <c r="L16" s="55"/>
    </row>
    <row r="17" spans="1:13" ht="13.5" thickBot="1" x14ac:dyDescent="0.25">
      <c r="A17" s="60">
        <f t="shared" si="0"/>
        <v>0</v>
      </c>
      <c r="B17" s="60">
        <f t="shared" si="0"/>
        <v>0</v>
      </c>
      <c r="C17" s="60">
        <f t="shared" si="0"/>
        <v>0</v>
      </c>
      <c r="D17" s="60">
        <f t="shared" si="1"/>
        <v>0</v>
      </c>
      <c r="E17" s="60">
        <v>0</v>
      </c>
      <c r="F17" s="60">
        <v>0</v>
      </c>
      <c r="G17" s="60">
        <f t="shared" si="2"/>
        <v>0</v>
      </c>
      <c r="H17" s="60">
        <v>0</v>
      </c>
      <c r="I17" s="60">
        <v>0</v>
      </c>
      <c r="J17" s="65" t="s">
        <v>61</v>
      </c>
      <c r="K17" s="66"/>
      <c r="L17" s="55"/>
      <c r="M17" s="111"/>
    </row>
    <row r="18" spans="1:13" ht="13.5" thickBot="1" x14ac:dyDescent="0.25">
      <c r="A18" s="60">
        <f t="shared" si="0"/>
        <v>60</v>
      </c>
      <c r="B18" s="60">
        <f t="shared" si="0"/>
        <v>14</v>
      </c>
      <c r="C18" s="60">
        <f t="shared" si="0"/>
        <v>46</v>
      </c>
      <c r="D18" s="60">
        <f t="shared" si="1"/>
        <v>2</v>
      </c>
      <c r="E18" s="60">
        <v>1</v>
      </c>
      <c r="F18" s="60">
        <v>1</v>
      </c>
      <c r="G18" s="60">
        <f t="shared" si="2"/>
        <v>58</v>
      </c>
      <c r="H18" s="60">
        <v>13</v>
      </c>
      <c r="I18" s="60">
        <v>45</v>
      </c>
      <c r="J18" s="65" t="s">
        <v>62</v>
      </c>
      <c r="K18" s="66" t="s">
        <v>186</v>
      </c>
      <c r="L18" s="55"/>
      <c r="M18" s="69"/>
    </row>
    <row r="19" spans="1:13" ht="13.5" thickBot="1" x14ac:dyDescent="0.25">
      <c r="A19" s="60">
        <f t="shared" si="0"/>
        <v>0</v>
      </c>
      <c r="B19" s="60">
        <f t="shared" si="0"/>
        <v>0</v>
      </c>
      <c r="C19" s="60">
        <f t="shared" si="0"/>
        <v>0</v>
      </c>
      <c r="D19" s="60">
        <f t="shared" si="1"/>
        <v>0</v>
      </c>
      <c r="E19" s="60">
        <v>0</v>
      </c>
      <c r="F19" s="60">
        <v>0</v>
      </c>
      <c r="G19" s="60">
        <f t="shared" si="2"/>
        <v>0</v>
      </c>
      <c r="H19" s="60">
        <v>0</v>
      </c>
      <c r="I19" s="60">
        <v>0</v>
      </c>
      <c r="J19" s="65" t="s">
        <v>64</v>
      </c>
      <c r="K19" s="74"/>
      <c r="L19" s="55"/>
    </row>
    <row r="20" spans="1:13" ht="13.5" thickBot="1" x14ac:dyDescent="0.25">
      <c r="A20" s="60">
        <f t="shared" si="0"/>
        <v>272</v>
      </c>
      <c r="B20" s="60">
        <f t="shared" si="0"/>
        <v>107</v>
      </c>
      <c r="C20" s="60">
        <f t="shared" si="0"/>
        <v>165</v>
      </c>
      <c r="D20" s="60">
        <f t="shared" si="1"/>
        <v>14</v>
      </c>
      <c r="E20" s="60">
        <v>2</v>
      </c>
      <c r="F20" s="60">
        <v>12</v>
      </c>
      <c r="G20" s="60">
        <f t="shared" si="2"/>
        <v>258</v>
      </c>
      <c r="H20" s="60">
        <v>105</v>
      </c>
      <c r="I20" s="60">
        <v>153</v>
      </c>
      <c r="J20" s="65" t="s">
        <v>61</v>
      </c>
      <c r="K20" s="66"/>
      <c r="L20" s="55"/>
      <c r="M20" s="69"/>
    </row>
    <row r="21" spans="1:13" ht="13.5" thickBot="1" x14ac:dyDescent="0.25">
      <c r="A21" s="60">
        <f t="shared" ref="A21:C70" si="3">G21+D21</f>
        <v>1642</v>
      </c>
      <c r="B21" s="60">
        <f t="shared" si="3"/>
        <v>653</v>
      </c>
      <c r="C21" s="60">
        <f t="shared" si="3"/>
        <v>989</v>
      </c>
      <c r="D21" s="60">
        <f t="shared" si="1"/>
        <v>37</v>
      </c>
      <c r="E21" s="60">
        <v>11</v>
      </c>
      <c r="F21" s="60">
        <f>25+1</f>
        <v>26</v>
      </c>
      <c r="G21" s="60">
        <f t="shared" si="2"/>
        <v>1605</v>
      </c>
      <c r="H21" s="60">
        <f>563+79</f>
        <v>642</v>
      </c>
      <c r="I21" s="60">
        <v>963</v>
      </c>
      <c r="J21" s="65" t="s">
        <v>62</v>
      </c>
      <c r="K21" s="66" t="s">
        <v>187</v>
      </c>
      <c r="L21" s="55"/>
      <c r="M21" s="69"/>
    </row>
    <row r="22" spans="1:13" ht="13.5" thickBot="1" x14ac:dyDescent="0.25">
      <c r="A22" s="60">
        <f t="shared" si="3"/>
        <v>186</v>
      </c>
      <c r="B22" s="60">
        <f t="shared" si="3"/>
        <v>0</v>
      </c>
      <c r="C22" s="60">
        <f t="shared" si="3"/>
        <v>186</v>
      </c>
      <c r="D22" s="60">
        <f t="shared" si="1"/>
        <v>69</v>
      </c>
      <c r="E22" s="60">
        <v>0</v>
      </c>
      <c r="F22" s="60">
        <v>69</v>
      </c>
      <c r="G22" s="60">
        <f t="shared" si="2"/>
        <v>117</v>
      </c>
      <c r="H22" s="60">
        <v>0</v>
      </c>
      <c r="I22" s="60">
        <v>117</v>
      </c>
      <c r="J22" s="65" t="s">
        <v>64</v>
      </c>
      <c r="K22" s="74"/>
      <c r="L22" s="55"/>
    </row>
    <row r="23" spans="1:13" ht="13.5" thickBot="1" x14ac:dyDescent="0.25">
      <c r="A23" s="60">
        <f t="shared" si="3"/>
        <v>169</v>
      </c>
      <c r="B23" s="60">
        <f t="shared" si="3"/>
        <v>98</v>
      </c>
      <c r="C23" s="60">
        <f t="shared" si="3"/>
        <v>71</v>
      </c>
      <c r="D23" s="60">
        <f t="shared" si="1"/>
        <v>1</v>
      </c>
      <c r="E23" s="60">
        <v>0</v>
      </c>
      <c r="F23" s="60">
        <v>1</v>
      </c>
      <c r="G23" s="60">
        <f t="shared" si="2"/>
        <v>168</v>
      </c>
      <c r="H23" s="60">
        <f>67+31</f>
        <v>98</v>
      </c>
      <c r="I23" s="60">
        <v>70</v>
      </c>
      <c r="J23" s="65" t="s">
        <v>61</v>
      </c>
      <c r="K23" s="66"/>
      <c r="L23" s="55"/>
      <c r="M23" s="69"/>
    </row>
    <row r="24" spans="1:13" ht="13.5" thickBot="1" x14ac:dyDescent="0.25">
      <c r="A24" s="60">
        <f t="shared" si="3"/>
        <v>481</v>
      </c>
      <c r="B24" s="60">
        <f t="shared" si="3"/>
        <v>224</v>
      </c>
      <c r="C24" s="60">
        <f t="shared" si="3"/>
        <v>257</v>
      </c>
      <c r="D24" s="60">
        <f t="shared" si="1"/>
        <v>5</v>
      </c>
      <c r="E24" s="60">
        <v>1</v>
      </c>
      <c r="F24" s="60">
        <v>4</v>
      </c>
      <c r="G24" s="60">
        <f t="shared" si="2"/>
        <v>476</v>
      </c>
      <c r="H24" s="60">
        <v>223</v>
      </c>
      <c r="I24" s="60">
        <v>253</v>
      </c>
      <c r="J24" s="65" t="s">
        <v>62</v>
      </c>
      <c r="K24" s="66" t="s">
        <v>188</v>
      </c>
      <c r="L24" s="55"/>
      <c r="M24" s="69"/>
    </row>
    <row r="25" spans="1:13" ht="13.5" thickBot="1" x14ac:dyDescent="0.25">
      <c r="A25" s="60">
        <f t="shared" si="3"/>
        <v>84</v>
      </c>
      <c r="B25" s="60">
        <f t="shared" si="3"/>
        <v>0</v>
      </c>
      <c r="C25" s="60">
        <f t="shared" si="3"/>
        <v>84</v>
      </c>
      <c r="D25" s="60">
        <f t="shared" si="1"/>
        <v>0</v>
      </c>
      <c r="E25" s="60">
        <v>0</v>
      </c>
      <c r="F25" s="60">
        <v>0</v>
      </c>
      <c r="G25" s="60">
        <f t="shared" si="2"/>
        <v>84</v>
      </c>
      <c r="H25" s="60">
        <v>0</v>
      </c>
      <c r="I25" s="60">
        <v>84</v>
      </c>
      <c r="J25" s="65" t="s">
        <v>64</v>
      </c>
      <c r="K25" s="74"/>
      <c r="L25" s="55"/>
    </row>
    <row r="26" spans="1:13" ht="13.5" thickBot="1" x14ac:dyDescent="0.25">
      <c r="A26" s="60">
        <f t="shared" si="3"/>
        <v>106</v>
      </c>
      <c r="B26" s="60">
        <f t="shared" si="3"/>
        <v>7</v>
      </c>
      <c r="C26" s="60">
        <f t="shared" si="3"/>
        <v>99</v>
      </c>
      <c r="D26" s="60">
        <f t="shared" si="1"/>
        <v>8</v>
      </c>
      <c r="E26" s="60">
        <v>0</v>
      </c>
      <c r="F26" s="60">
        <v>8</v>
      </c>
      <c r="G26" s="60">
        <f t="shared" si="2"/>
        <v>98</v>
      </c>
      <c r="H26" s="60">
        <v>7</v>
      </c>
      <c r="I26" s="60">
        <v>91</v>
      </c>
      <c r="J26" s="65" t="s">
        <v>61</v>
      </c>
      <c r="K26" s="66"/>
      <c r="L26" s="55"/>
      <c r="M26" s="69"/>
    </row>
    <row r="27" spans="1:13" ht="13.5" thickBot="1" x14ac:dyDescent="0.25">
      <c r="A27" s="60">
        <f t="shared" si="3"/>
        <v>373</v>
      </c>
      <c r="B27" s="60">
        <f t="shared" si="3"/>
        <v>129</v>
      </c>
      <c r="C27" s="60">
        <f t="shared" si="3"/>
        <v>244</v>
      </c>
      <c r="D27" s="60">
        <f t="shared" si="1"/>
        <v>42</v>
      </c>
      <c r="E27" s="60">
        <v>1</v>
      </c>
      <c r="F27" s="60">
        <v>41</v>
      </c>
      <c r="G27" s="60">
        <f t="shared" si="2"/>
        <v>331</v>
      </c>
      <c r="H27" s="60">
        <v>128</v>
      </c>
      <c r="I27" s="60">
        <v>203</v>
      </c>
      <c r="J27" s="65" t="s">
        <v>62</v>
      </c>
      <c r="K27" s="66" t="s">
        <v>189</v>
      </c>
      <c r="L27" s="55"/>
      <c r="M27" s="69"/>
    </row>
    <row r="28" spans="1:13" ht="13.5" thickBot="1" x14ac:dyDescent="0.25">
      <c r="A28" s="60">
        <f t="shared" si="3"/>
        <v>0</v>
      </c>
      <c r="B28" s="60">
        <f t="shared" si="3"/>
        <v>0</v>
      </c>
      <c r="C28" s="60">
        <f t="shared" si="3"/>
        <v>0</v>
      </c>
      <c r="D28" s="60">
        <f t="shared" si="1"/>
        <v>0</v>
      </c>
      <c r="E28" s="60">
        <v>0</v>
      </c>
      <c r="F28" s="60">
        <v>0</v>
      </c>
      <c r="G28" s="60">
        <f t="shared" si="2"/>
        <v>0</v>
      </c>
      <c r="H28" s="60">
        <v>0</v>
      </c>
      <c r="I28" s="60">
        <v>0</v>
      </c>
      <c r="J28" s="65" t="s">
        <v>64</v>
      </c>
      <c r="K28" s="74"/>
      <c r="L28" s="55"/>
    </row>
    <row r="29" spans="1:13" ht="13.5" thickBot="1" x14ac:dyDescent="0.25">
      <c r="A29" s="60">
        <f t="shared" si="3"/>
        <v>125</v>
      </c>
      <c r="B29" s="60">
        <f t="shared" si="3"/>
        <v>10</v>
      </c>
      <c r="C29" s="60">
        <f t="shared" si="3"/>
        <v>115</v>
      </c>
      <c r="D29" s="60">
        <f t="shared" si="1"/>
        <v>0</v>
      </c>
      <c r="E29" s="60">
        <v>0</v>
      </c>
      <c r="F29" s="60">
        <v>0</v>
      </c>
      <c r="G29" s="60">
        <f t="shared" si="2"/>
        <v>125</v>
      </c>
      <c r="H29" s="60">
        <v>10</v>
      </c>
      <c r="I29" s="60">
        <v>115</v>
      </c>
      <c r="J29" s="65" t="s">
        <v>61</v>
      </c>
      <c r="K29" s="66"/>
      <c r="L29" s="55"/>
      <c r="M29" s="69"/>
    </row>
    <row r="30" spans="1:13" ht="13.5" thickBot="1" x14ac:dyDescent="0.25">
      <c r="A30" s="60">
        <f t="shared" si="3"/>
        <v>1502</v>
      </c>
      <c r="B30" s="60">
        <f t="shared" si="3"/>
        <v>568</v>
      </c>
      <c r="C30" s="60">
        <f t="shared" si="3"/>
        <v>934</v>
      </c>
      <c r="D30" s="60">
        <f t="shared" si="1"/>
        <v>85</v>
      </c>
      <c r="E30" s="60">
        <v>20</v>
      </c>
      <c r="F30" s="60">
        <v>65</v>
      </c>
      <c r="G30" s="60">
        <f t="shared" si="2"/>
        <v>1417</v>
      </c>
      <c r="H30" s="60">
        <v>548</v>
      </c>
      <c r="I30" s="60">
        <v>869</v>
      </c>
      <c r="J30" s="65" t="s">
        <v>62</v>
      </c>
      <c r="K30" s="66" t="s">
        <v>190</v>
      </c>
      <c r="L30" s="55"/>
      <c r="M30" s="69"/>
    </row>
    <row r="31" spans="1:13" ht="13.5" thickBot="1" x14ac:dyDescent="0.25">
      <c r="A31" s="60">
        <f t="shared" si="3"/>
        <v>153</v>
      </c>
      <c r="B31" s="60">
        <f t="shared" si="3"/>
        <v>1</v>
      </c>
      <c r="C31" s="60">
        <f t="shared" si="3"/>
        <v>152</v>
      </c>
      <c r="D31" s="60">
        <f t="shared" si="1"/>
        <v>27</v>
      </c>
      <c r="E31" s="60">
        <v>1</v>
      </c>
      <c r="F31" s="60">
        <v>26</v>
      </c>
      <c r="G31" s="60">
        <f t="shared" si="2"/>
        <v>126</v>
      </c>
      <c r="H31" s="60">
        <v>0</v>
      </c>
      <c r="I31" s="60">
        <v>126</v>
      </c>
      <c r="J31" s="65" t="s">
        <v>64</v>
      </c>
      <c r="K31" s="74"/>
      <c r="L31" s="55"/>
    </row>
    <row r="32" spans="1:13" ht="13.5" thickBot="1" x14ac:dyDescent="0.25">
      <c r="A32" s="60">
        <f t="shared" si="3"/>
        <v>0</v>
      </c>
      <c r="B32" s="60">
        <f t="shared" si="3"/>
        <v>0</v>
      </c>
      <c r="C32" s="60">
        <f t="shared" si="3"/>
        <v>0</v>
      </c>
      <c r="D32" s="60">
        <f t="shared" si="1"/>
        <v>0</v>
      </c>
      <c r="E32" s="60">
        <v>0</v>
      </c>
      <c r="F32" s="60">
        <v>0</v>
      </c>
      <c r="G32" s="60">
        <f t="shared" si="2"/>
        <v>0</v>
      </c>
      <c r="H32" s="60">
        <v>0</v>
      </c>
      <c r="I32" s="60">
        <v>0</v>
      </c>
      <c r="J32" s="65" t="s">
        <v>61</v>
      </c>
      <c r="K32" s="66"/>
      <c r="L32" s="55"/>
      <c r="M32" s="69"/>
    </row>
    <row r="33" spans="1:13" ht="13.5" thickBot="1" x14ac:dyDescent="0.25">
      <c r="A33" s="60">
        <f t="shared" si="3"/>
        <v>0</v>
      </c>
      <c r="B33" s="60">
        <f t="shared" si="3"/>
        <v>0</v>
      </c>
      <c r="C33" s="60">
        <f t="shared" si="3"/>
        <v>0</v>
      </c>
      <c r="D33" s="60">
        <f t="shared" si="1"/>
        <v>0</v>
      </c>
      <c r="E33" s="60">
        <v>0</v>
      </c>
      <c r="F33" s="60">
        <v>0</v>
      </c>
      <c r="G33" s="60">
        <f t="shared" si="2"/>
        <v>0</v>
      </c>
      <c r="H33" s="60">
        <v>0</v>
      </c>
      <c r="I33" s="60">
        <v>0</v>
      </c>
      <c r="J33" s="65" t="s">
        <v>62</v>
      </c>
      <c r="K33" s="66" t="s">
        <v>191</v>
      </c>
      <c r="L33" s="55"/>
      <c r="M33" s="69"/>
    </row>
    <row r="34" spans="1:13" ht="13.5" thickBot="1" x14ac:dyDescent="0.25">
      <c r="A34" s="60">
        <f t="shared" si="3"/>
        <v>129</v>
      </c>
      <c r="B34" s="60">
        <f t="shared" si="3"/>
        <v>0</v>
      </c>
      <c r="C34" s="60">
        <f t="shared" si="3"/>
        <v>129</v>
      </c>
      <c r="D34" s="60">
        <f t="shared" si="1"/>
        <v>0</v>
      </c>
      <c r="E34" s="60">
        <v>0</v>
      </c>
      <c r="F34" s="60">
        <v>0</v>
      </c>
      <c r="G34" s="60">
        <f t="shared" si="2"/>
        <v>129</v>
      </c>
      <c r="H34" s="60">
        <v>0</v>
      </c>
      <c r="I34" s="60">
        <v>129</v>
      </c>
      <c r="J34" s="65" t="s">
        <v>64</v>
      </c>
      <c r="K34" s="74"/>
      <c r="L34" s="55"/>
    </row>
    <row r="35" spans="1:13" ht="13.5" thickBot="1" x14ac:dyDescent="0.25">
      <c r="A35" s="60">
        <f t="shared" si="3"/>
        <v>90</v>
      </c>
      <c r="B35" s="60">
        <f t="shared" si="3"/>
        <v>53</v>
      </c>
      <c r="C35" s="60">
        <f t="shared" si="3"/>
        <v>37</v>
      </c>
      <c r="D35" s="60">
        <f t="shared" si="1"/>
        <v>19</v>
      </c>
      <c r="E35" s="60">
        <v>1</v>
      </c>
      <c r="F35" s="60">
        <v>18</v>
      </c>
      <c r="G35" s="60">
        <f t="shared" si="2"/>
        <v>71</v>
      </c>
      <c r="H35" s="60">
        <f>32+20</f>
        <v>52</v>
      </c>
      <c r="I35" s="60">
        <v>19</v>
      </c>
      <c r="J35" s="65" t="s">
        <v>61</v>
      </c>
      <c r="K35" s="66"/>
      <c r="L35" s="55"/>
      <c r="M35" s="69"/>
    </row>
    <row r="36" spans="1:13" ht="13.5" thickBot="1" x14ac:dyDescent="0.25">
      <c r="A36" s="60">
        <f t="shared" si="3"/>
        <v>228</v>
      </c>
      <c r="B36" s="60">
        <f t="shared" si="3"/>
        <v>162</v>
      </c>
      <c r="C36" s="60">
        <f t="shared" si="3"/>
        <v>66</v>
      </c>
      <c r="D36" s="60">
        <f t="shared" si="1"/>
        <v>50</v>
      </c>
      <c r="E36" s="60">
        <v>29</v>
      </c>
      <c r="F36" s="60">
        <v>21</v>
      </c>
      <c r="G36" s="60">
        <f t="shared" si="2"/>
        <v>178</v>
      </c>
      <c r="H36" s="60">
        <v>133</v>
      </c>
      <c r="I36" s="60">
        <v>45</v>
      </c>
      <c r="J36" s="65" t="s">
        <v>62</v>
      </c>
      <c r="K36" s="66" t="s">
        <v>192</v>
      </c>
      <c r="L36" s="55"/>
      <c r="M36" s="69"/>
    </row>
    <row r="37" spans="1:13" ht="13.5" thickBot="1" x14ac:dyDescent="0.25">
      <c r="A37" s="60">
        <f t="shared" si="3"/>
        <v>0</v>
      </c>
      <c r="B37" s="60">
        <f t="shared" si="3"/>
        <v>0</v>
      </c>
      <c r="C37" s="60">
        <f t="shared" si="3"/>
        <v>0</v>
      </c>
      <c r="D37" s="60">
        <f t="shared" si="1"/>
        <v>0</v>
      </c>
      <c r="E37" s="60">
        <v>0</v>
      </c>
      <c r="F37" s="60">
        <v>0</v>
      </c>
      <c r="G37" s="60">
        <f t="shared" si="2"/>
        <v>0</v>
      </c>
      <c r="H37" s="60">
        <v>0</v>
      </c>
      <c r="I37" s="60">
        <v>0</v>
      </c>
      <c r="J37" s="65" t="s">
        <v>64</v>
      </c>
      <c r="K37" s="74"/>
      <c r="L37" s="55"/>
    </row>
    <row r="38" spans="1:13" ht="13.5" thickBot="1" x14ac:dyDescent="0.25">
      <c r="A38" s="60">
        <f t="shared" si="3"/>
        <v>44</v>
      </c>
      <c r="B38" s="60">
        <f t="shared" si="3"/>
        <v>1</v>
      </c>
      <c r="C38" s="60">
        <f t="shared" si="3"/>
        <v>43</v>
      </c>
      <c r="D38" s="60">
        <f t="shared" si="1"/>
        <v>14</v>
      </c>
      <c r="E38" s="60">
        <v>1</v>
      </c>
      <c r="F38" s="60">
        <v>13</v>
      </c>
      <c r="G38" s="60">
        <f t="shared" si="2"/>
        <v>30</v>
      </c>
      <c r="H38" s="60">
        <v>0</v>
      </c>
      <c r="I38" s="60">
        <v>30</v>
      </c>
      <c r="J38" s="65" t="s">
        <v>61</v>
      </c>
      <c r="K38" s="66"/>
      <c r="L38" s="55"/>
      <c r="M38" s="69"/>
    </row>
    <row r="39" spans="1:13" ht="13.5" thickBot="1" x14ac:dyDescent="0.25">
      <c r="A39" s="60">
        <f t="shared" si="3"/>
        <v>148</v>
      </c>
      <c r="B39" s="60">
        <f t="shared" si="3"/>
        <v>45</v>
      </c>
      <c r="C39" s="60">
        <f t="shared" si="3"/>
        <v>103</v>
      </c>
      <c r="D39" s="60">
        <f t="shared" si="1"/>
        <v>54</v>
      </c>
      <c r="E39" s="60">
        <v>11</v>
      </c>
      <c r="F39" s="60">
        <v>43</v>
      </c>
      <c r="G39" s="60">
        <f t="shared" si="2"/>
        <v>94</v>
      </c>
      <c r="H39" s="60">
        <v>34</v>
      </c>
      <c r="I39" s="60">
        <v>60</v>
      </c>
      <c r="J39" s="65" t="s">
        <v>62</v>
      </c>
      <c r="K39" s="66" t="s">
        <v>193</v>
      </c>
      <c r="L39" s="55"/>
      <c r="M39" s="69"/>
    </row>
    <row r="40" spans="1:13" ht="13.5" thickBot="1" x14ac:dyDescent="0.25">
      <c r="A40" s="60">
        <f t="shared" si="3"/>
        <v>0</v>
      </c>
      <c r="B40" s="60">
        <f t="shared" si="3"/>
        <v>0</v>
      </c>
      <c r="C40" s="60">
        <f t="shared" si="3"/>
        <v>0</v>
      </c>
      <c r="D40" s="60">
        <f t="shared" si="1"/>
        <v>0</v>
      </c>
      <c r="E40" s="60">
        <v>0</v>
      </c>
      <c r="F40" s="60">
        <v>0</v>
      </c>
      <c r="G40" s="60">
        <f t="shared" si="2"/>
        <v>0</v>
      </c>
      <c r="H40" s="60">
        <v>0</v>
      </c>
      <c r="I40" s="60">
        <v>0</v>
      </c>
      <c r="J40" s="65" t="s">
        <v>64</v>
      </c>
      <c r="K40" s="74"/>
      <c r="L40" s="55"/>
    </row>
    <row r="41" spans="1:13" ht="13.5" thickBot="1" x14ac:dyDescent="0.25">
      <c r="A41" s="60">
        <f t="shared" si="3"/>
        <v>28</v>
      </c>
      <c r="B41" s="60">
        <f t="shared" si="3"/>
        <v>14</v>
      </c>
      <c r="C41" s="60">
        <f t="shared" si="3"/>
        <v>14</v>
      </c>
      <c r="D41" s="60">
        <f t="shared" si="1"/>
        <v>10</v>
      </c>
      <c r="E41" s="60">
        <v>4</v>
      </c>
      <c r="F41" s="60">
        <v>6</v>
      </c>
      <c r="G41" s="60">
        <f t="shared" si="2"/>
        <v>18</v>
      </c>
      <c r="H41" s="60">
        <v>10</v>
      </c>
      <c r="I41" s="60">
        <v>8</v>
      </c>
      <c r="J41" s="65" t="s">
        <v>61</v>
      </c>
      <c r="K41" s="66"/>
      <c r="L41" s="55"/>
      <c r="M41" s="69"/>
    </row>
    <row r="42" spans="1:13" ht="13.5" thickBot="1" x14ac:dyDescent="0.25">
      <c r="A42" s="60">
        <f t="shared" si="3"/>
        <v>74</v>
      </c>
      <c r="B42" s="60">
        <f t="shared" si="3"/>
        <v>46</v>
      </c>
      <c r="C42" s="60">
        <f t="shared" si="3"/>
        <v>28</v>
      </c>
      <c r="D42" s="60">
        <f t="shared" si="1"/>
        <v>35</v>
      </c>
      <c r="E42" s="60">
        <v>13</v>
      </c>
      <c r="F42" s="60">
        <v>22</v>
      </c>
      <c r="G42" s="60">
        <f t="shared" si="2"/>
        <v>39</v>
      </c>
      <c r="H42" s="60">
        <f>31+2</f>
        <v>33</v>
      </c>
      <c r="I42" s="60">
        <v>6</v>
      </c>
      <c r="J42" s="65" t="s">
        <v>62</v>
      </c>
      <c r="K42" s="66" t="s">
        <v>194</v>
      </c>
      <c r="L42" s="55"/>
      <c r="M42" s="69"/>
    </row>
    <row r="43" spans="1:13" ht="13.5" thickBot="1" x14ac:dyDescent="0.25">
      <c r="A43" s="60">
        <f t="shared" si="3"/>
        <v>0</v>
      </c>
      <c r="B43" s="60">
        <f t="shared" si="3"/>
        <v>0</v>
      </c>
      <c r="C43" s="60">
        <f t="shared" si="3"/>
        <v>0</v>
      </c>
      <c r="D43" s="60">
        <f t="shared" si="1"/>
        <v>0</v>
      </c>
      <c r="E43" s="60">
        <v>0</v>
      </c>
      <c r="F43" s="60">
        <v>0</v>
      </c>
      <c r="G43" s="60">
        <f t="shared" si="2"/>
        <v>0</v>
      </c>
      <c r="H43" s="60">
        <v>0</v>
      </c>
      <c r="I43" s="60">
        <v>0</v>
      </c>
      <c r="J43" s="65" t="s">
        <v>64</v>
      </c>
      <c r="K43" s="74"/>
      <c r="L43" s="55"/>
    </row>
    <row r="44" spans="1:13" ht="13.5" thickBot="1" x14ac:dyDescent="0.25">
      <c r="A44" s="60">
        <f t="shared" si="3"/>
        <v>7</v>
      </c>
      <c r="B44" s="60">
        <f t="shared" si="3"/>
        <v>0</v>
      </c>
      <c r="C44" s="60">
        <f t="shared" si="3"/>
        <v>7</v>
      </c>
      <c r="D44" s="60">
        <f t="shared" si="1"/>
        <v>7</v>
      </c>
      <c r="E44" s="60">
        <v>0</v>
      </c>
      <c r="F44" s="60">
        <v>7</v>
      </c>
      <c r="G44" s="60">
        <f t="shared" si="2"/>
        <v>0</v>
      </c>
      <c r="H44" s="60">
        <v>0</v>
      </c>
      <c r="I44" s="60">
        <v>0</v>
      </c>
      <c r="J44" s="65" t="s">
        <v>61</v>
      </c>
      <c r="K44" s="66"/>
      <c r="L44" s="55"/>
      <c r="M44" s="69"/>
    </row>
    <row r="45" spans="1:13" ht="13.5" thickBot="1" x14ac:dyDescent="0.25">
      <c r="A45" s="60">
        <f t="shared" si="3"/>
        <v>545</v>
      </c>
      <c r="B45" s="60">
        <f t="shared" si="3"/>
        <v>148</v>
      </c>
      <c r="C45" s="60">
        <f t="shared" si="3"/>
        <v>397</v>
      </c>
      <c r="D45" s="60">
        <f t="shared" si="1"/>
        <v>132</v>
      </c>
      <c r="E45" s="60">
        <v>12</v>
      </c>
      <c r="F45" s="60">
        <v>120</v>
      </c>
      <c r="G45" s="60">
        <f t="shared" si="2"/>
        <v>413</v>
      </c>
      <c r="H45" s="60">
        <v>136</v>
      </c>
      <c r="I45" s="60">
        <v>277</v>
      </c>
      <c r="J45" s="65" t="s">
        <v>62</v>
      </c>
      <c r="K45" s="66" t="s">
        <v>195</v>
      </c>
      <c r="L45" s="55"/>
      <c r="M45" s="69"/>
    </row>
    <row r="46" spans="1:13" ht="13.5" thickBot="1" x14ac:dyDescent="0.25">
      <c r="A46" s="60">
        <f t="shared" si="3"/>
        <v>0</v>
      </c>
      <c r="B46" s="60">
        <f t="shared" si="3"/>
        <v>0</v>
      </c>
      <c r="C46" s="60">
        <f t="shared" si="3"/>
        <v>0</v>
      </c>
      <c r="D46" s="60">
        <f t="shared" si="1"/>
        <v>0</v>
      </c>
      <c r="E46" s="60">
        <v>0</v>
      </c>
      <c r="F46" s="60">
        <v>0</v>
      </c>
      <c r="G46" s="60">
        <f t="shared" si="2"/>
        <v>0</v>
      </c>
      <c r="H46" s="60">
        <v>0</v>
      </c>
      <c r="I46" s="60">
        <v>0</v>
      </c>
      <c r="J46" s="65" t="s">
        <v>64</v>
      </c>
      <c r="K46" s="74"/>
      <c r="L46" s="55"/>
    </row>
    <row r="47" spans="1:13" ht="13.5" thickBot="1" x14ac:dyDescent="0.25">
      <c r="A47" s="60">
        <f t="shared" si="3"/>
        <v>101</v>
      </c>
      <c r="B47" s="60">
        <f t="shared" si="3"/>
        <v>0</v>
      </c>
      <c r="C47" s="60">
        <f t="shared" si="3"/>
        <v>101</v>
      </c>
      <c r="D47" s="60">
        <f t="shared" si="1"/>
        <v>47</v>
      </c>
      <c r="E47" s="60">
        <v>0</v>
      </c>
      <c r="F47" s="60">
        <v>47</v>
      </c>
      <c r="G47" s="60">
        <f t="shared" si="2"/>
        <v>54</v>
      </c>
      <c r="H47" s="60">
        <v>0</v>
      </c>
      <c r="I47" s="60">
        <v>54</v>
      </c>
      <c r="J47" s="65" t="s">
        <v>61</v>
      </c>
      <c r="K47" s="66"/>
      <c r="L47" s="55"/>
      <c r="M47" s="69"/>
    </row>
    <row r="48" spans="1:13" ht="13.5" thickBot="1" x14ac:dyDescent="0.25">
      <c r="A48" s="60">
        <f t="shared" si="3"/>
        <v>607</v>
      </c>
      <c r="B48" s="60">
        <f t="shared" si="3"/>
        <v>0</v>
      </c>
      <c r="C48" s="60">
        <f t="shared" si="3"/>
        <v>607</v>
      </c>
      <c r="D48" s="60">
        <f t="shared" si="1"/>
        <v>116</v>
      </c>
      <c r="E48" s="60">
        <v>0</v>
      </c>
      <c r="F48" s="60">
        <v>116</v>
      </c>
      <c r="G48" s="60">
        <f t="shared" si="2"/>
        <v>491</v>
      </c>
      <c r="H48" s="60">
        <v>0</v>
      </c>
      <c r="I48" s="60">
        <v>491</v>
      </c>
      <c r="J48" s="65" t="s">
        <v>62</v>
      </c>
      <c r="K48" s="66" t="s">
        <v>196</v>
      </c>
      <c r="L48" s="55"/>
      <c r="M48" s="69"/>
    </row>
    <row r="49" spans="1:13" ht="13.5" thickBot="1" x14ac:dyDescent="0.25">
      <c r="A49" s="60">
        <f t="shared" si="3"/>
        <v>0</v>
      </c>
      <c r="B49" s="60">
        <f t="shared" si="3"/>
        <v>0</v>
      </c>
      <c r="C49" s="60">
        <f t="shared" si="3"/>
        <v>0</v>
      </c>
      <c r="D49" s="60">
        <f t="shared" si="1"/>
        <v>0</v>
      </c>
      <c r="E49" s="60">
        <v>0</v>
      </c>
      <c r="F49" s="60">
        <v>0</v>
      </c>
      <c r="G49" s="60">
        <f t="shared" si="2"/>
        <v>0</v>
      </c>
      <c r="H49" s="60">
        <v>0</v>
      </c>
      <c r="I49" s="60">
        <v>0</v>
      </c>
      <c r="J49" s="65" t="s">
        <v>64</v>
      </c>
      <c r="K49" s="74"/>
      <c r="L49" s="55"/>
    </row>
    <row r="50" spans="1:13" ht="13.5" thickBot="1" x14ac:dyDescent="0.25">
      <c r="A50" s="60">
        <f t="shared" si="3"/>
        <v>0</v>
      </c>
      <c r="B50" s="60">
        <f t="shared" si="3"/>
        <v>0</v>
      </c>
      <c r="C50" s="60">
        <f t="shared" si="3"/>
        <v>0</v>
      </c>
      <c r="D50" s="60">
        <f t="shared" si="1"/>
        <v>0</v>
      </c>
      <c r="E50" s="60">
        <v>0</v>
      </c>
      <c r="F50" s="60">
        <v>0</v>
      </c>
      <c r="G50" s="60">
        <f t="shared" si="2"/>
        <v>0</v>
      </c>
      <c r="H50" s="60">
        <v>0</v>
      </c>
      <c r="I50" s="60">
        <v>0</v>
      </c>
      <c r="J50" s="65" t="s">
        <v>61</v>
      </c>
      <c r="K50" s="66"/>
      <c r="L50" s="55"/>
      <c r="M50" s="69"/>
    </row>
    <row r="51" spans="1:13" ht="13.5" thickBot="1" x14ac:dyDescent="0.25">
      <c r="A51" s="60">
        <f t="shared" si="3"/>
        <v>36</v>
      </c>
      <c r="B51" s="60">
        <f t="shared" si="3"/>
        <v>30</v>
      </c>
      <c r="C51" s="60">
        <f t="shared" si="3"/>
        <v>6</v>
      </c>
      <c r="D51" s="60">
        <f t="shared" si="1"/>
        <v>4</v>
      </c>
      <c r="E51" s="60">
        <v>4</v>
      </c>
      <c r="F51" s="60">
        <v>0</v>
      </c>
      <c r="G51" s="60">
        <f t="shared" si="2"/>
        <v>32</v>
      </c>
      <c r="H51" s="60">
        <v>26</v>
      </c>
      <c r="I51" s="60">
        <v>6</v>
      </c>
      <c r="J51" s="65" t="s">
        <v>62</v>
      </c>
      <c r="K51" s="66" t="s">
        <v>197</v>
      </c>
      <c r="L51" s="55"/>
      <c r="M51" s="69"/>
    </row>
    <row r="52" spans="1:13" ht="13.5" thickBot="1" x14ac:dyDescent="0.25">
      <c r="A52" s="60">
        <f t="shared" si="3"/>
        <v>0</v>
      </c>
      <c r="B52" s="60">
        <f t="shared" si="3"/>
        <v>0</v>
      </c>
      <c r="C52" s="60">
        <f t="shared" si="3"/>
        <v>0</v>
      </c>
      <c r="D52" s="60">
        <f t="shared" si="1"/>
        <v>0</v>
      </c>
      <c r="E52" s="60">
        <v>0</v>
      </c>
      <c r="F52" s="60">
        <v>0</v>
      </c>
      <c r="G52" s="60">
        <f t="shared" si="2"/>
        <v>0</v>
      </c>
      <c r="H52" s="60">
        <v>0</v>
      </c>
      <c r="I52" s="60">
        <v>0</v>
      </c>
      <c r="J52" s="65" t="s">
        <v>64</v>
      </c>
      <c r="K52" s="74"/>
      <c r="L52" s="55"/>
    </row>
    <row r="53" spans="1:13" ht="13.5" thickBot="1" x14ac:dyDescent="0.25">
      <c r="A53" s="60">
        <f t="shared" si="3"/>
        <v>18</v>
      </c>
      <c r="B53" s="60">
        <f t="shared" si="3"/>
        <v>3</v>
      </c>
      <c r="C53" s="60">
        <f t="shared" si="3"/>
        <v>15</v>
      </c>
      <c r="D53" s="60">
        <f t="shared" si="1"/>
        <v>4</v>
      </c>
      <c r="E53" s="60">
        <v>0</v>
      </c>
      <c r="F53" s="60">
        <v>4</v>
      </c>
      <c r="G53" s="60">
        <f t="shared" si="2"/>
        <v>14</v>
      </c>
      <c r="H53" s="60">
        <v>3</v>
      </c>
      <c r="I53" s="60">
        <v>11</v>
      </c>
      <c r="J53" s="65" t="s">
        <v>61</v>
      </c>
      <c r="K53" s="66"/>
      <c r="L53" s="55"/>
      <c r="M53" s="69"/>
    </row>
    <row r="54" spans="1:13" ht="13.5" thickBot="1" x14ac:dyDescent="0.25">
      <c r="A54" s="60">
        <f t="shared" si="3"/>
        <v>346</v>
      </c>
      <c r="B54" s="60">
        <f t="shared" si="3"/>
        <v>15</v>
      </c>
      <c r="C54" s="60">
        <f t="shared" si="3"/>
        <v>331</v>
      </c>
      <c r="D54" s="60">
        <f t="shared" si="1"/>
        <v>34</v>
      </c>
      <c r="E54" s="60">
        <v>0</v>
      </c>
      <c r="F54" s="60">
        <v>34</v>
      </c>
      <c r="G54" s="60">
        <f t="shared" si="2"/>
        <v>312</v>
      </c>
      <c r="H54" s="60">
        <v>15</v>
      </c>
      <c r="I54" s="60">
        <v>297</v>
      </c>
      <c r="J54" s="65" t="s">
        <v>62</v>
      </c>
      <c r="K54" s="66" t="s">
        <v>198</v>
      </c>
      <c r="L54" s="55"/>
      <c r="M54" s="69"/>
    </row>
    <row r="55" spans="1:13" ht="13.5" thickBot="1" x14ac:dyDescent="0.25">
      <c r="A55" s="60">
        <f t="shared" si="3"/>
        <v>0</v>
      </c>
      <c r="B55" s="60">
        <f t="shared" si="3"/>
        <v>0</v>
      </c>
      <c r="C55" s="60">
        <f t="shared" si="3"/>
        <v>0</v>
      </c>
      <c r="D55" s="60">
        <f t="shared" si="1"/>
        <v>0</v>
      </c>
      <c r="E55" s="60">
        <v>0</v>
      </c>
      <c r="F55" s="60">
        <v>0</v>
      </c>
      <c r="G55" s="60">
        <f t="shared" si="2"/>
        <v>0</v>
      </c>
      <c r="H55" s="60">
        <v>0</v>
      </c>
      <c r="I55" s="60">
        <v>0</v>
      </c>
      <c r="J55" s="65" t="s">
        <v>64</v>
      </c>
      <c r="K55" s="74"/>
      <c r="L55" s="55"/>
    </row>
    <row r="56" spans="1:13" ht="13.5" thickBot="1" x14ac:dyDescent="0.25">
      <c r="A56" s="60">
        <f t="shared" si="3"/>
        <v>21</v>
      </c>
      <c r="B56" s="60">
        <f t="shared" si="3"/>
        <v>2</v>
      </c>
      <c r="C56" s="60">
        <f t="shared" si="3"/>
        <v>19</v>
      </c>
      <c r="D56" s="60">
        <f t="shared" si="1"/>
        <v>4</v>
      </c>
      <c r="E56" s="60">
        <v>2</v>
      </c>
      <c r="F56" s="60">
        <v>2</v>
      </c>
      <c r="G56" s="60">
        <f t="shared" si="2"/>
        <v>17</v>
      </c>
      <c r="H56" s="60">
        <v>0</v>
      </c>
      <c r="I56" s="60">
        <v>17</v>
      </c>
      <c r="J56" s="65" t="s">
        <v>61</v>
      </c>
      <c r="K56" s="66"/>
      <c r="L56" s="55"/>
      <c r="M56" s="69"/>
    </row>
    <row r="57" spans="1:13" ht="13.5" thickBot="1" x14ac:dyDescent="0.25">
      <c r="A57" s="60">
        <f t="shared" si="3"/>
        <v>176</v>
      </c>
      <c r="B57" s="60">
        <f t="shared" si="3"/>
        <v>1</v>
      </c>
      <c r="C57" s="60">
        <f t="shared" si="3"/>
        <v>175</v>
      </c>
      <c r="D57" s="60">
        <f t="shared" si="1"/>
        <v>17</v>
      </c>
      <c r="E57" s="60">
        <v>0</v>
      </c>
      <c r="F57" s="60">
        <v>17</v>
      </c>
      <c r="G57" s="60">
        <f t="shared" si="2"/>
        <v>159</v>
      </c>
      <c r="H57" s="60">
        <v>1</v>
      </c>
      <c r="I57" s="60">
        <v>158</v>
      </c>
      <c r="J57" s="65" t="s">
        <v>62</v>
      </c>
      <c r="K57" s="66" t="s">
        <v>199</v>
      </c>
      <c r="L57" s="55"/>
      <c r="M57" s="69"/>
    </row>
    <row r="58" spans="1:13" ht="13.5" thickBot="1" x14ac:dyDescent="0.25">
      <c r="A58" s="60">
        <f t="shared" si="3"/>
        <v>0</v>
      </c>
      <c r="B58" s="60">
        <f t="shared" si="3"/>
        <v>0</v>
      </c>
      <c r="C58" s="60">
        <f t="shared" si="3"/>
        <v>0</v>
      </c>
      <c r="D58" s="60">
        <f t="shared" si="1"/>
        <v>0</v>
      </c>
      <c r="E58" s="60">
        <v>0</v>
      </c>
      <c r="F58" s="60">
        <v>0</v>
      </c>
      <c r="G58" s="60">
        <f t="shared" si="2"/>
        <v>0</v>
      </c>
      <c r="H58" s="60">
        <v>0</v>
      </c>
      <c r="I58" s="60">
        <v>0</v>
      </c>
      <c r="J58" s="65" t="s">
        <v>64</v>
      </c>
      <c r="K58" s="74"/>
      <c r="L58" s="55"/>
    </row>
    <row r="59" spans="1:13" ht="13.5" thickBot="1" x14ac:dyDescent="0.25">
      <c r="A59" s="60">
        <f t="shared" si="3"/>
        <v>0</v>
      </c>
      <c r="B59" s="60">
        <f t="shared" si="3"/>
        <v>0</v>
      </c>
      <c r="C59" s="60">
        <f t="shared" si="3"/>
        <v>0</v>
      </c>
      <c r="D59" s="60">
        <f t="shared" si="1"/>
        <v>0</v>
      </c>
      <c r="E59" s="60">
        <v>0</v>
      </c>
      <c r="F59" s="60">
        <v>0</v>
      </c>
      <c r="G59" s="60">
        <f t="shared" si="2"/>
        <v>0</v>
      </c>
      <c r="H59" s="60">
        <v>0</v>
      </c>
      <c r="I59" s="60">
        <v>0</v>
      </c>
      <c r="J59" s="65" t="s">
        <v>61</v>
      </c>
      <c r="K59" s="66"/>
      <c r="L59" s="55"/>
      <c r="M59" s="69"/>
    </row>
    <row r="60" spans="1:13" ht="13.5" thickBot="1" x14ac:dyDescent="0.25">
      <c r="A60" s="60">
        <f t="shared" si="3"/>
        <v>29</v>
      </c>
      <c r="B60" s="60">
        <f t="shared" si="3"/>
        <v>0</v>
      </c>
      <c r="C60" s="60">
        <f t="shared" si="3"/>
        <v>29</v>
      </c>
      <c r="D60" s="60">
        <f t="shared" si="1"/>
        <v>0</v>
      </c>
      <c r="E60" s="60">
        <v>0</v>
      </c>
      <c r="F60" s="60">
        <v>0</v>
      </c>
      <c r="G60" s="60">
        <f t="shared" si="2"/>
        <v>29</v>
      </c>
      <c r="H60" s="60">
        <v>0</v>
      </c>
      <c r="I60" s="60">
        <v>29</v>
      </c>
      <c r="J60" s="65" t="s">
        <v>62</v>
      </c>
      <c r="K60" s="66" t="s">
        <v>200</v>
      </c>
      <c r="L60" s="55"/>
      <c r="M60" s="69"/>
    </row>
    <row r="61" spans="1:13" ht="13.5" thickBot="1" x14ac:dyDescent="0.25">
      <c r="A61" s="60">
        <f t="shared" si="3"/>
        <v>0</v>
      </c>
      <c r="B61" s="60">
        <f t="shared" si="3"/>
        <v>0</v>
      </c>
      <c r="C61" s="60">
        <f t="shared" si="3"/>
        <v>0</v>
      </c>
      <c r="D61" s="60">
        <f t="shared" si="1"/>
        <v>0</v>
      </c>
      <c r="E61" s="60">
        <v>0</v>
      </c>
      <c r="F61" s="60">
        <v>0</v>
      </c>
      <c r="G61" s="60">
        <f t="shared" si="2"/>
        <v>0</v>
      </c>
      <c r="H61" s="60">
        <v>0</v>
      </c>
      <c r="I61" s="60">
        <v>0</v>
      </c>
      <c r="J61" s="65" t="s">
        <v>64</v>
      </c>
      <c r="K61" s="74"/>
      <c r="L61" s="55"/>
    </row>
    <row r="62" spans="1:13" ht="13.5" thickBot="1" x14ac:dyDescent="0.25">
      <c r="A62" s="60">
        <f t="shared" si="3"/>
        <v>220</v>
      </c>
      <c r="B62" s="60">
        <f t="shared" si="3"/>
        <v>136</v>
      </c>
      <c r="C62" s="60">
        <f t="shared" si="3"/>
        <v>84</v>
      </c>
      <c r="D62" s="60">
        <f t="shared" si="1"/>
        <v>204</v>
      </c>
      <c r="E62" s="60">
        <v>120</v>
      </c>
      <c r="F62" s="60">
        <v>84</v>
      </c>
      <c r="G62" s="60">
        <f t="shared" si="2"/>
        <v>16</v>
      </c>
      <c r="H62" s="60">
        <v>16</v>
      </c>
      <c r="I62" s="60">
        <v>0</v>
      </c>
      <c r="J62" s="65" t="s">
        <v>61</v>
      </c>
      <c r="K62" s="66"/>
      <c r="L62" s="55"/>
      <c r="M62" s="69"/>
    </row>
    <row r="63" spans="1:13" ht="13.5" thickBot="1" x14ac:dyDescent="0.25">
      <c r="A63" s="60">
        <f t="shared" si="3"/>
        <v>622</v>
      </c>
      <c r="B63" s="60">
        <f t="shared" si="3"/>
        <v>351</v>
      </c>
      <c r="C63" s="60">
        <f t="shared" si="3"/>
        <v>271</v>
      </c>
      <c r="D63" s="60">
        <f t="shared" si="1"/>
        <v>41</v>
      </c>
      <c r="E63" s="60">
        <v>18</v>
      </c>
      <c r="F63" s="60">
        <v>23</v>
      </c>
      <c r="G63" s="60">
        <f t="shared" si="2"/>
        <v>581</v>
      </c>
      <c r="H63" s="60">
        <v>333</v>
      </c>
      <c r="I63" s="60">
        <v>248</v>
      </c>
      <c r="J63" s="65" t="s">
        <v>62</v>
      </c>
      <c r="K63" s="66" t="s">
        <v>201</v>
      </c>
      <c r="L63" s="55"/>
      <c r="M63" s="69"/>
    </row>
    <row r="64" spans="1:13" ht="13.5" thickBot="1" x14ac:dyDescent="0.25">
      <c r="A64" s="60">
        <f t="shared" si="3"/>
        <v>12</v>
      </c>
      <c r="B64" s="60">
        <f t="shared" si="3"/>
        <v>8</v>
      </c>
      <c r="C64" s="60">
        <f t="shared" si="3"/>
        <v>4</v>
      </c>
      <c r="D64" s="60">
        <f t="shared" si="1"/>
        <v>0</v>
      </c>
      <c r="E64" s="60">
        <v>0</v>
      </c>
      <c r="F64" s="60">
        <v>0</v>
      </c>
      <c r="G64" s="60">
        <f t="shared" si="2"/>
        <v>12</v>
      </c>
      <c r="H64" s="60">
        <v>8</v>
      </c>
      <c r="I64" s="60">
        <v>4</v>
      </c>
      <c r="J64" s="65" t="s">
        <v>64</v>
      </c>
      <c r="K64" s="74"/>
      <c r="L64" s="55"/>
    </row>
    <row r="65" spans="1:13" ht="13.5" thickBot="1" x14ac:dyDescent="0.25">
      <c r="A65" s="60">
        <f t="shared" si="3"/>
        <v>42</v>
      </c>
      <c r="B65" s="60">
        <f t="shared" si="3"/>
        <v>23</v>
      </c>
      <c r="C65" s="60">
        <f t="shared" si="3"/>
        <v>19</v>
      </c>
      <c r="D65" s="60">
        <f t="shared" si="1"/>
        <v>0</v>
      </c>
      <c r="E65" s="60">
        <v>0</v>
      </c>
      <c r="F65" s="60">
        <v>0</v>
      </c>
      <c r="G65" s="60">
        <f t="shared" si="2"/>
        <v>42</v>
      </c>
      <c r="H65" s="60">
        <v>23</v>
      </c>
      <c r="I65" s="60">
        <v>19</v>
      </c>
      <c r="J65" s="65" t="s">
        <v>61</v>
      </c>
      <c r="K65" s="66"/>
      <c r="L65" s="55"/>
      <c r="M65" s="69"/>
    </row>
    <row r="66" spans="1:13" ht="13.5" thickBot="1" x14ac:dyDescent="0.25">
      <c r="A66" s="60">
        <f t="shared" si="3"/>
        <v>229</v>
      </c>
      <c r="B66" s="60">
        <f t="shared" si="3"/>
        <v>174</v>
      </c>
      <c r="C66" s="60">
        <f t="shared" si="3"/>
        <v>55</v>
      </c>
      <c r="D66" s="60">
        <f t="shared" si="1"/>
        <v>0</v>
      </c>
      <c r="E66" s="60">
        <v>0</v>
      </c>
      <c r="F66" s="60">
        <v>0</v>
      </c>
      <c r="G66" s="60">
        <f t="shared" si="2"/>
        <v>229</v>
      </c>
      <c r="H66" s="60">
        <v>174</v>
      </c>
      <c r="I66" s="60">
        <v>55</v>
      </c>
      <c r="J66" s="65" t="s">
        <v>62</v>
      </c>
      <c r="K66" s="66" t="s">
        <v>202</v>
      </c>
      <c r="L66" s="55"/>
      <c r="M66" s="69"/>
    </row>
    <row r="67" spans="1:13" ht="13.5" thickBot="1" x14ac:dyDescent="0.25">
      <c r="A67" s="60">
        <f t="shared" si="3"/>
        <v>49</v>
      </c>
      <c r="B67" s="60">
        <f t="shared" si="3"/>
        <v>49</v>
      </c>
      <c r="C67" s="60">
        <f t="shared" si="3"/>
        <v>0</v>
      </c>
      <c r="D67" s="60">
        <f t="shared" si="1"/>
        <v>0</v>
      </c>
      <c r="E67" s="60">
        <v>0</v>
      </c>
      <c r="F67" s="60">
        <v>0</v>
      </c>
      <c r="G67" s="60">
        <f t="shared" si="2"/>
        <v>49</v>
      </c>
      <c r="H67" s="60">
        <v>49</v>
      </c>
      <c r="I67" s="60">
        <v>0</v>
      </c>
      <c r="J67" s="65" t="s">
        <v>64</v>
      </c>
      <c r="K67" s="74"/>
      <c r="L67" s="55"/>
    </row>
    <row r="68" spans="1:13" ht="13.5" thickBot="1" x14ac:dyDescent="0.25">
      <c r="A68" s="60">
        <f t="shared" si="3"/>
        <v>27</v>
      </c>
      <c r="B68" s="60">
        <f t="shared" si="3"/>
        <v>2</v>
      </c>
      <c r="C68" s="60">
        <f t="shared" si="3"/>
        <v>25</v>
      </c>
      <c r="D68" s="60">
        <f t="shared" si="1"/>
        <v>0</v>
      </c>
      <c r="E68" s="60">
        <v>0</v>
      </c>
      <c r="F68" s="60">
        <v>0</v>
      </c>
      <c r="G68" s="60">
        <f t="shared" si="2"/>
        <v>27</v>
      </c>
      <c r="H68" s="60">
        <v>2</v>
      </c>
      <c r="I68" s="60">
        <v>25</v>
      </c>
      <c r="J68" s="65" t="s">
        <v>61</v>
      </c>
      <c r="K68" s="66"/>
      <c r="L68" s="55"/>
      <c r="M68" s="69"/>
    </row>
    <row r="69" spans="1:13" ht="13.5" thickBot="1" x14ac:dyDescent="0.25">
      <c r="A69" s="60">
        <f t="shared" si="3"/>
        <v>23</v>
      </c>
      <c r="B69" s="60">
        <f t="shared" si="3"/>
        <v>12</v>
      </c>
      <c r="C69" s="60">
        <f t="shared" si="3"/>
        <v>11</v>
      </c>
      <c r="D69" s="60">
        <f t="shared" si="1"/>
        <v>8</v>
      </c>
      <c r="E69" s="60">
        <v>3</v>
      </c>
      <c r="F69" s="60">
        <v>5</v>
      </c>
      <c r="G69" s="60">
        <f t="shared" si="2"/>
        <v>15</v>
      </c>
      <c r="H69" s="60">
        <v>9</v>
      </c>
      <c r="I69" s="60">
        <v>6</v>
      </c>
      <c r="J69" s="65" t="s">
        <v>62</v>
      </c>
      <c r="K69" s="66" t="s">
        <v>57</v>
      </c>
      <c r="L69" s="55"/>
      <c r="M69" s="69"/>
    </row>
    <row r="70" spans="1:13" ht="13.5" thickBot="1" x14ac:dyDescent="0.25">
      <c r="A70" s="60">
        <f t="shared" si="3"/>
        <v>7</v>
      </c>
      <c r="B70" s="60">
        <f t="shared" si="3"/>
        <v>7</v>
      </c>
      <c r="C70" s="60">
        <f>I70+F70</f>
        <v>0</v>
      </c>
      <c r="D70" s="60">
        <f>F70+E70</f>
        <v>0</v>
      </c>
      <c r="E70" s="60">
        <v>0</v>
      </c>
      <c r="F70" s="60">
        <v>0</v>
      </c>
      <c r="G70" s="60">
        <f>I70+H70</f>
        <v>7</v>
      </c>
      <c r="H70" s="60">
        <v>7</v>
      </c>
      <c r="I70" s="60">
        <v>0</v>
      </c>
      <c r="J70" s="65" t="s">
        <v>64</v>
      </c>
      <c r="K70" s="74"/>
      <c r="L70" s="55"/>
    </row>
    <row r="71" spans="1:13" ht="13.5" thickBot="1" x14ac:dyDescent="0.25">
      <c r="A71" s="60">
        <f t="shared" ref="A71:H73" si="4">A5+A8+A11+A14+A17+A20+A23+A26+A29+A32+A35+A38+A41+A44+A47+A50+A53+A56+A59+A62+A65+A68</f>
        <v>2270</v>
      </c>
      <c r="B71" s="60">
        <f t="shared" si="4"/>
        <v>847</v>
      </c>
      <c r="C71" s="60">
        <f t="shared" si="4"/>
        <v>1423</v>
      </c>
      <c r="D71" s="60">
        <f t="shared" si="4"/>
        <v>401</v>
      </c>
      <c r="E71" s="60">
        <f t="shared" si="4"/>
        <v>133</v>
      </c>
      <c r="F71" s="60">
        <f t="shared" si="4"/>
        <v>268</v>
      </c>
      <c r="G71" s="60">
        <f t="shared" si="4"/>
        <v>1869</v>
      </c>
      <c r="H71" s="60">
        <f t="shared" si="4"/>
        <v>714</v>
      </c>
      <c r="I71" s="60">
        <f>I5+I8+I11+I14+I17+I20+I23+I26+I29+I32+I35+I38+I41+I44+I47+I50+I53+I56+I59+I62+I65+I68</f>
        <v>1155</v>
      </c>
      <c r="J71" s="65" t="s">
        <v>231</v>
      </c>
      <c r="K71" s="57"/>
      <c r="L71" s="55"/>
    </row>
    <row r="72" spans="1:13" ht="13.5" thickBot="1" x14ac:dyDescent="0.25">
      <c r="A72" s="60">
        <f t="shared" si="4"/>
        <v>11466</v>
      </c>
      <c r="B72" s="60">
        <f t="shared" si="4"/>
        <v>4229</v>
      </c>
      <c r="C72" s="60">
        <f t="shared" si="4"/>
        <v>7237</v>
      </c>
      <c r="D72" s="60">
        <f t="shared" si="4"/>
        <v>856</v>
      </c>
      <c r="E72" s="60">
        <f t="shared" si="4"/>
        <v>142</v>
      </c>
      <c r="F72" s="60">
        <f t="shared" si="4"/>
        <v>714</v>
      </c>
      <c r="G72" s="60">
        <f t="shared" si="4"/>
        <v>10610</v>
      </c>
      <c r="H72" s="60">
        <f t="shared" si="4"/>
        <v>4087</v>
      </c>
      <c r="I72" s="60">
        <f>I6+I9+I12+I15+I18+I21+I24+I27+I30+I33+I36+I39+I42+I45+I48+I51+I54+I57+I60+I63+I66+I69</f>
        <v>6523</v>
      </c>
      <c r="J72" s="65" t="s">
        <v>62</v>
      </c>
      <c r="K72" s="68" t="s">
        <v>232</v>
      </c>
      <c r="L72" s="55"/>
    </row>
    <row r="73" spans="1:13" ht="13.5" thickBot="1" x14ac:dyDescent="0.25">
      <c r="A73" s="60">
        <f t="shared" si="4"/>
        <v>1623</v>
      </c>
      <c r="B73" s="60">
        <f>B7+B10+B13+B16+B19+B22+B25+B28+B31+B34+B37+B40+B43+B46+B49+B52+B55+B58+B61+B64+B67+B70</f>
        <v>363</v>
      </c>
      <c r="C73" s="60">
        <f t="shared" si="4"/>
        <v>1260</v>
      </c>
      <c r="D73" s="60">
        <f t="shared" si="4"/>
        <v>147</v>
      </c>
      <c r="E73" s="60">
        <f t="shared" si="4"/>
        <v>1</v>
      </c>
      <c r="F73" s="60">
        <f t="shared" si="4"/>
        <v>146</v>
      </c>
      <c r="G73" s="60">
        <f t="shared" si="4"/>
        <v>1476</v>
      </c>
      <c r="H73" s="60">
        <f t="shared" si="4"/>
        <v>362</v>
      </c>
      <c r="I73" s="60">
        <f>I7+I10+I13+I16+I19+I22+I25+I28+I31+I34+I37+I40+I43+I46+I49+I52+I55+I58+I61+I64+I67+I70</f>
        <v>1114</v>
      </c>
      <c r="J73" s="65" t="s">
        <v>64</v>
      </c>
      <c r="K73" s="59"/>
      <c r="L73" s="55"/>
    </row>
    <row r="74" spans="1:13" ht="13.5" thickBot="1" x14ac:dyDescent="0.25">
      <c r="A74" s="60">
        <f>SUM(A71:A73)</f>
        <v>15359</v>
      </c>
      <c r="B74" s="60">
        <f t="shared" ref="B74:H74" si="5">SUM(B71:B73)</f>
        <v>5439</v>
      </c>
      <c r="C74" s="60">
        <f t="shared" si="5"/>
        <v>9920</v>
      </c>
      <c r="D74" s="60">
        <f t="shared" si="5"/>
        <v>1404</v>
      </c>
      <c r="E74" s="60">
        <f t="shared" si="5"/>
        <v>276</v>
      </c>
      <c r="F74" s="60">
        <f t="shared" si="5"/>
        <v>1128</v>
      </c>
      <c r="G74" s="60">
        <f t="shared" si="5"/>
        <v>13955</v>
      </c>
      <c r="H74" s="60">
        <f t="shared" si="5"/>
        <v>5163</v>
      </c>
      <c r="I74" s="60">
        <f>SUM(I71:I73)</f>
        <v>8792</v>
      </c>
      <c r="J74" s="184" t="s">
        <v>233</v>
      </c>
      <c r="K74" s="184"/>
      <c r="L74" s="55"/>
    </row>
    <row r="76" spans="1:13" x14ac:dyDescent="0.2">
      <c r="A76" s="107"/>
      <c r="B76" s="107"/>
      <c r="C76" s="107"/>
      <c r="D76" s="107"/>
      <c r="E76" s="107"/>
      <c r="F76" s="107"/>
      <c r="G76" s="107"/>
      <c r="H76" s="107"/>
      <c r="I76" s="107"/>
    </row>
    <row r="77" spans="1:13" x14ac:dyDescent="0.2">
      <c r="A77" s="107"/>
      <c r="B77" s="107"/>
      <c r="C77" s="107"/>
      <c r="D77" s="107"/>
      <c r="E77" s="107"/>
      <c r="F77" s="107"/>
      <c r="G77" s="107"/>
      <c r="H77" s="107"/>
      <c r="I77" s="107"/>
    </row>
    <row r="78" spans="1:13" x14ac:dyDescent="0.2">
      <c r="A78" s="107"/>
      <c r="B78" s="107"/>
      <c r="C78" s="107"/>
      <c r="D78" s="107"/>
      <c r="E78" s="107"/>
      <c r="F78" s="107"/>
      <c r="G78" s="107"/>
      <c r="H78" s="107"/>
      <c r="I78" s="107"/>
    </row>
    <row r="80" spans="1:13" x14ac:dyDescent="0.2">
      <c r="A80" s="112"/>
      <c r="B80" s="112"/>
      <c r="C80" s="112"/>
      <c r="D80" s="112"/>
      <c r="E80" s="112"/>
      <c r="F80" s="112"/>
      <c r="G80" s="112"/>
      <c r="H80" s="112"/>
      <c r="I80" s="112"/>
    </row>
    <row r="81" spans="1:9" x14ac:dyDescent="0.2">
      <c r="A81" s="112"/>
      <c r="B81" s="112"/>
      <c r="C81" s="112"/>
      <c r="D81" s="112"/>
      <c r="E81" s="112"/>
      <c r="F81" s="112"/>
      <c r="G81" s="112"/>
      <c r="H81" s="112"/>
      <c r="I81" s="112"/>
    </row>
    <row r="82" spans="1:9" x14ac:dyDescent="0.2">
      <c r="A82" s="112"/>
      <c r="B82" s="112"/>
      <c r="C82" s="112"/>
      <c r="D82" s="112"/>
      <c r="E82" s="112"/>
      <c r="F82" s="112"/>
      <c r="G82" s="112"/>
      <c r="H82" s="112"/>
      <c r="I82" s="112"/>
    </row>
    <row r="83" spans="1:9" x14ac:dyDescent="0.2">
      <c r="A83" s="112"/>
      <c r="B83" s="112"/>
      <c r="C83" s="112"/>
      <c r="D83" s="112"/>
      <c r="E83" s="112"/>
      <c r="F83" s="112"/>
      <c r="G83" s="112"/>
      <c r="H83" s="112"/>
      <c r="I83" s="112"/>
    </row>
  </sheetData>
  <mergeCells count="8">
    <mergeCell ref="J4:K4"/>
    <mergeCell ref="J74:K7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1070"/>
  <sheetViews>
    <sheetView showGridLines="0" zoomScale="95" zoomScaleNormal="95" workbookViewId="0">
      <selection activeCell="M6" sqref="M6"/>
    </sheetView>
  </sheetViews>
  <sheetFormatPr defaultRowHeight="12.75" customHeight="1" x14ac:dyDescent="0.2"/>
  <cols>
    <col min="1" max="1" width="7" style="56" bestFit="1" customWidth="1"/>
    <col min="2" max="4" width="6" style="56" bestFit="1" customWidth="1"/>
    <col min="5" max="6" width="5" style="56" bestFit="1" customWidth="1"/>
    <col min="7" max="7" width="7" style="56" bestFit="1" customWidth="1"/>
    <col min="8" max="9" width="6" style="56" bestFit="1" customWidth="1"/>
    <col min="10" max="10" width="5.75" style="56" bestFit="1" customWidth="1"/>
    <col min="11" max="11" width="35" style="56" bestFit="1" customWidth="1"/>
    <col min="12" max="12" width="2" style="56" customWidth="1"/>
    <col min="13" max="251" width="9" style="56"/>
    <col min="252" max="252" width="7" style="56" bestFit="1" customWidth="1"/>
    <col min="253" max="255" width="6" style="56" bestFit="1" customWidth="1"/>
    <col min="256" max="257" width="5" style="56" bestFit="1" customWidth="1"/>
    <col min="258" max="258" width="7" style="56" bestFit="1" customWidth="1"/>
    <col min="259" max="260" width="6" style="56" bestFit="1" customWidth="1"/>
    <col min="261" max="261" width="5.75" style="56" bestFit="1" customWidth="1"/>
    <col min="262" max="262" width="35" style="56" bestFit="1" customWidth="1"/>
    <col min="263" max="263" width="2" style="56" customWidth="1"/>
    <col min="264" max="266" width="7" style="56" bestFit="1" customWidth="1"/>
    <col min="267" max="267" width="5" style="56" bestFit="1" customWidth="1"/>
    <col min="268" max="507" width="9" style="56"/>
    <col min="508" max="508" width="7" style="56" bestFit="1" customWidth="1"/>
    <col min="509" max="511" width="6" style="56" bestFit="1" customWidth="1"/>
    <col min="512" max="513" width="5" style="56" bestFit="1" customWidth="1"/>
    <col min="514" max="514" width="7" style="56" bestFit="1" customWidth="1"/>
    <col min="515" max="516" width="6" style="56" bestFit="1" customWidth="1"/>
    <col min="517" max="517" width="5.75" style="56" bestFit="1" customWidth="1"/>
    <col min="518" max="518" width="35" style="56" bestFit="1" customWidth="1"/>
    <col min="519" max="519" width="2" style="56" customWidth="1"/>
    <col min="520" max="522" width="7" style="56" bestFit="1" customWidth="1"/>
    <col min="523" max="523" width="5" style="56" bestFit="1" customWidth="1"/>
    <col min="524" max="763" width="9" style="56"/>
    <col min="764" max="764" width="7" style="56" bestFit="1" customWidth="1"/>
    <col min="765" max="767" width="6" style="56" bestFit="1" customWidth="1"/>
    <col min="768" max="769" width="5" style="56" bestFit="1" customWidth="1"/>
    <col min="770" max="770" width="7" style="56" bestFit="1" customWidth="1"/>
    <col min="771" max="772" width="6" style="56" bestFit="1" customWidth="1"/>
    <col min="773" max="773" width="5.75" style="56" bestFit="1" customWidth="1"/>
    <col min="774" max="774" width="35" style="56" bestFit="1" customWidth="1"/>
    <col min="775" max="775" width="2" style="56" customWidth="1"/>
    <col min="776" max="778" width="7" style="56" bestFit="1" customWidth="1"/>
    <col min="779" max="779" width="5" style="56" bestFit="1" customWidth="1"/>
    <col min="780" max="1019" width="9" style="56"/>
    <col min="1020" max="1020" width="7" style="56" bestFit="1" customWidth="1"/>
    <col min="1021" max="1023" width="6" style="56" bestFit="1" customWidth="1"/>
    <col min="1024" max="1025" width="5" style="56" bestFit="1" customWidth="1"/>
    <col min="1026" max="1026" width="7" style="56" bestFit="1" customWidth="1"/>
    <col min="1027" max="1028" width="6" style="56" bestFit="1" customWidth="1"/>
    <col min="1029" max="1029" width="5.75" style="56" bestFit="1" customWidth="1"/>
    <col min="1030" max="1030" width="35" style="56" bestFit="1" customWidth="1"/>
    <col min="1031" max="1031" width="2" style="56" customWidth="1"/>
    <col min="1032" max="1034" width="7" style="56" bestFit="1" customWidth="1"/>
    <col min="1035" max="1035" width="5" style="56" bestFit="1" customWidth="1"/>
    <col min="1036" max="1275" width="9" style="56"/>
    <col min="1276" max="1276" width="7" style="56" bestFit="1" customWidth="1"/>
    <col min="1277" max="1279" width="6" style="56" bestFit="1" customWidth="1"/>
    <col min="1280" max="1281" width="5" style="56" bestFit="1" customWidth="1"/>
    <col min="1282" max="1282" width="7" style="56" bestFit="1" customWidth="1"/>
    <col min="1283" max="1284" width="6" style="56" bestFit="1" customWidth="1"/>
    <col min="1285" max="1285" width="5.75" style="56" bestFit="1" customWidth="1"/>
    <col min="1286" max="1286" width="35" style="56" bestFit="1" customWidth="1"/>
    <col min="1287" max="1287" width="2" style="56" customWidth="1"/>
    <col min="1288" max="1290" width="7" style="56" bestFit="1" customWidth="1"/>
    <col min="1291" max="1291" width="5" style="56" bestFit="1" customWidth="1"/>
    <col min="1292" max="1531" width="9" style="56"/>
    <col min="1532" max="1532" width="7" style="56" bestFit="1" customWidth="1"/>
    <col min="1533" max="1535" width="6" style="56" bestFit="1" customWidth="1"/>
    <col min="1536" max="1537" width="5" style="56" bestFit="1" customWidth="1"/>
    <col min="1538" max="1538" width="7" style="56" bestFit="1" customWidth="1"/>
    <col min="1539" max="1540" width="6" style="56" bestFit="1" customWidth="1"/>
    <col min="1541" max="1541" width="5.75" style="56" bestFit="1" customWidth="1"/>
    <col min="1542" max="1542" width="35" style="56" bestFit="1" customWidth="1"/>
    <col min="1543" max="1543" width="2" style="56" customWidth="1"/>
    <col min="1544" max="1546" width="7" style="56" bestFit="1" customWidth="1"/>
    <col min="1547" max="1547" width="5" style="56" bestFit="1" customWidth="1"/>
    <col min="1548" max="1787" width="9" style="56"/>
    <col min="1788" max="1788" width="7" style="56" bestFit="1" customWidth="1"/>
    <col min="1789" max="1791" width="6" style="56" bestFit="1" customWidth="1"/>
    <col min="1792" max="1793" width="5" style="56" bestFit="1" customWidth="1"/>
    <col min="1794" max="1794" width="7" style="56" bestFit="1" customWidth="1"/>
    <col min="1795" max="1796" width="6" style="56" bestFit="1" customWidth="1"/>
    <col min="1797" max="1797" width="5.75" style="56" bestFit="1" customWidth="1"/>
    <col min="1798" max="1798" width="35" style="56" bestFit="1" customWidth="1"/>
    <col min="1799" max="1799" width="2" style="56" customWidth="1"/>
    <col min="1800" max="1802" width="7" style="56" bestFit="1" customWidth="1"/>
    <col min="1803" max="1803" width="5" style="56" bestFit="1" customWidth="1"/>
    <col min="1804" max="2043" width="9" style="56"/>
    <col min="2044" max="2044" width="7" style="56" bestFit="1" customWidth="1"/>
    <col min="2045" max="2047" width="6" style="56" bestFit="1" customWidth="1"/>
    <col min="2048" max="2049" width="5" style="56" bestFit="1" customWidth="1"/>
    <col min="2050" max="2050" width="7" style="56" bestFit="1" customWidth="1"/>
    <col min="2051" max="2052" width="6" style="56" bestFit="1" customWidth="1"/>
    <col min="2053" max="2053" width="5.75" style="56" bestFit="1" customWidth="1"/>
    <col min="2054" max="2054" width="35" style="56" bestFit="1" customWidth="1"/>
    <col min="2055" max="2055" width="2" style="56" customWidth="1"/>
    <col min="2056" max="2058" width="7" style="56" bestFit="1" customWidth="1"/>
    <col min="2059" max="2059" width="5" style="56" bestFit="1" customWidth="1"/>
    <col min="2060" max="2299" width="9" style="56"/>
    <col min="2300" max="2300" width="7" style="56" bestFit="1" customWidth="1"/>
    <col min="2301" max="2303" width="6" style="56" bestFit="1" customWidth="1"/>
    <col min="2304" max="2305" width="5" style="56" bestFit="1" customWidth="1"/>
    <col min="2306" max="2306" width="7" style="56" bestFit="1" customWidth="1"/>
    <col min="2307" max="2308" width="6" style="56" bestFit="1" customWidth="1"/>
    <col min="2309" max="2309" width="5.75" style="56" bestFit="1" customWidth="1"/>
    <col min="2310" max="2310" width="35" style="56" bestFit="1" customWidth="1"/>
    <col min="2311" max="2311" width="2" style="56" customWidth="1"/>
    <col min="2312" max="2314" width="7" style="56" bestFit="1" customWidth="1"/>
    <col min="2315" max="2315" width="5" style="56" bestFit="1" customWidth="1"/>
    <col min="2316" max="2555" width="9" style="56"/>
    <col min="2556" max="2556" width="7" style="56" bestFit="1" customWidth="1"/>
    <col min="2557" max="2559" width="6" style="56" bestFit="1" customWidth="1"/>
    <col min="2560" max="2561" width="5" style="56" bestFit="1" customWidth="1"/>
    <col min="2562" max="2562" width="7" style="56" bestFit="1" customWidth="1"/>
    <col min="2563" max="2564" width="6" style="56" bestFit="1" customWidth="1"/>
    <col min="2565" max="2565" width="5.75" style="56" bestFit="1" customWidth="1"/>
    <col min="2566" max="2566" width="35" style="56" bestFit="1" customWidth="1"/>
    <col min="2567" max="2567" width="2" style="56" customWidth="1"/>
    <col min="2568" max="2570" width="7" style="56" bestFit="1" customWidth="1"/>
    <col min="2571" max="2571" width="5" style="56" bestFit="1" customWidth="1"/>
    <col min="2572" max="2811" width="9" style="56"/>
    <col min="2812" max="2812" width="7" style="56" bestFit="1" customWidth="1"/>
    <col min="2813" max="2815" width="6" style="56" bestFit="1" customWidth="1"/>
    <col min="2816" max="2817" width="5" style="56" bestFit="1" customWidth="1"/>
    <col min="2818" max="2818" width="7" style="56" bestFit="1" customWidth="1"/>
    <col min="2819" max="2820" width="6" style="56" bestFit="1" customWidth="1"/>
    <col min="2821" max="2821" width="5.75" style="56" bestFit="1" customWidth="1"/>
    <col min="2822" max="2822" width="35" style="56" bestFit="1" customWidth="1"/>
    <col min="2823" max="2823" width="2" style="56" customWidth="1"/>
    <col min="2824" max="2826" width="7" style="56" bestFit="1" customWidth="1"/>
    <col min="2827" max="2827" width="5" style="56" bestFit="1" customWidth="1"/>
    <col min="2828" max="3067" width="9" style="56"/>
    <col min="3068" max="3068" width="7" style="56" bestFit="1" customWidth="1"/>
    <col min="3069" max="3071" width="6" style="56" bestFit="1" customWidth="1"/>
    <col min="3072" max="3073" width="5" style="56" bestFit="1" customWidth="1"/>
    <col min="3074" max="3074" width="7" style="56" bestFit="1" customWidth="1"/>
    <col min="3075" max="3076" width="6" style="56" bestFit="1" customWidth="1"/>
    <col min="3077" max="3077" width="5.75" style="56" bestFit="1" customWidth="1"/>
    <col min="3078" max="3078" width="35" style="56" bestFit="1" customWidth="1"/>
    <col min="3079" max="3079" width="2" style="56" customWidth="1"/>
    <col min="3080" max="3082" width="7" style="56" bestFit="1" customWidth="1"/>
    <col min="3083" max="3083" width="5" style="56" bestFit="1" customWidth="1"/>
    <col min="3084" max="3323" width="9" style="56"/>
    <col min="3324" max="3324" width="7" style="56" bestFit="1" customWidth="1"/>
    <col min="3325" max="3327" width="6" style="56" bestFit="1" customWidth="1"/>
    <col min="3328" max="3329" width="5" style="56" bestFit="1" customWidth="1"/>
    <col min="3330" max="3330" width="7" style="56" bestFit="1" customWidth="1"/>
    <col min="3331" max="3332" width="6" style="56" bestFit="1" customWidth="1"/>
    <col min="3333" max="3333" width="5.75" style="56" bestFit="1" customWidth="1"/>
    <col min="3334" max="3334" width="35" style="56" bestFit="1" customWidth="1"/>
    <col min="3335" max="3335" width="2" style="56" customWidth="1"/>
    <col min="3336" max="3338" width="7" style="56" bestFit="1" customWidth="1"/>
    <col min="3339" max="3339" width="5" style="56" bestFit="1" customWidth="1"/>
    <col min="3340" max="3579" width="9" style="56"/>
    <col min="3580" max="3580" width="7" style="56" bestFit="1" customWidth="1"/>
    <col min="3581" max="3583" width="6" style="56" bestFit="1" customWidth="1"/>
    <col min="3584" max="3585" width="5" style="56" bestFit="1" customWidth="1"/>
    <col min="3586" max="3586" width="7" style="56" bestFit="1" customWidth="1"/>
    <col min="3587" max="3588" width="6" style="56" bestFit="1" customWidth="1"/>
    <col min="3589" max="3589" width="5.75" style="56" bestFit="1" customWidth="1"/>
    <col min="3590" max="3590" width="35" style="56" bestFit="1" customWidth="1"/>
    <col min="3591" max="3591" width="2" style="56" customWidth="1"/>
    <col min="3592" max="3594" width="7" style="56" bestFit="1" customWidth="1"/>
    <col min="3595" max="3595" width="5" style="56" bestFit="1" customWidth="1"/>
    <col min="3596" max="3835" width="9" style="56"/>
    <col min="3836" max="3836" width="7" style="56" bestFit="1" customWidth="1"/>
    <col min="3837" max="3839" width="6" style="56" bestFit="1" customWidth="1"/>
    <col min="3840" max="3841" width="5" style="56" bestFit="1" customWidth="1"/>
    <col min="3842" max="3842" width="7" style="56" bestFit="1" customWidth="1"/>
    <col min="3843" max="3844" width="6" style="56" bestFit="1" customWidth="1"/>
    <col min="3845" max="3845" width="5.75" style="56" bestFit="1" customWidth="1"/>
    <col min="3846" max="3846" width="35" style="56" bestFit="1" customWidth="1"/>
    <col min="3847" max="3847" width="2" style="56" customWidth="1"/>
    <col min="3848" max="3850" width="7" style="56" bestFit="1" customWidth="1"/>
    <col min="3851" max="3851" width="5" style="56" bestFit="1" customWidth="1"/>
    <col min="3852" max="4091" width="9" style="56"/>
    <col min="4092" max="4092" width="7" style="56" bestFit="1" customWidth="1"/>
    <col min="4093" max="4095" width="6" style="56" bestFit="1" customWidth="1"/>
    <col min="4096" max="4097" width="5" style="56" bestFit="1" customWidth="1"/>
    <col min="4098" max="4098" width="7" style="56" bestFit="1" customWidth="1"/>
    <col min="4099" max="4100" width="6" style="56" bestFit="1" customWidth="1"/>
    <col min="4101" max="4101" width="5.75" style="56" bestFit="1" customWidth="1"/>
    <col min="4102" max="4102" width="35" style="56" bestFit="1" customWidth="1"/>
    <col min="4103" max="4103" width="2" style="56" customWidth="1"/>
    <col min="4104" max="4106" width="7" style="56" bestFit="1" customWidth="1"/>
    <col min="4107" max="4107" width="5" style="56" bestFit="1" customWidth="1"/>
    <col min="4108" max="4347" width="9" style="56"/>
    <col min="4348" max="4348" width="7" style="56" bestFit="1" customWidth="1"/>
    <col min="4349" max="4351" width="6" style="56" bestFit="1" customWidth="1"/>
    <col min="4352" max="4353" width="5" style="56" bestFit="1" customWidth="1"/>
    <col min="4354" max="4354" width="7" style="56" bestFit="1" customWidth="1"/>
    <col min="4355" max="4356" width="6" style="56" bestFit="1" customWidth="1"/>
    <col min="4357" max="4357" width="5.75" style="56" bestFit="1" customWidth="1"/>
    <col min="4358" max="4358" width="35" style="56" bestFit="1" customWidth="1"/>
    <col min="4359" max="4359" width="2" style="56" customWidth="1"/>
    <col min="4360" max="4362" width="7" style="56" bestFit="1" customWidth="1"/>
    <col min="4363" max="4363" width="5" style="56" bestFit="1" customWidth="1"/>
    <col min="4364" max="4603" width="9" style="56"/>
    <col min="4604" max="4604" width="7" style="56" bestFit="1" customWidth="1"/>
    <col min="4605" max="4607" width="6" style="56" bestFit="1" customWidth="1"/>
    <col min="4608" max="4609" width="5" style="56" bestFit="1" customWidth="1"/>
    <col min="4610" max="4610" width="7" style="56" bestFit="1" customWidth="1"/>
    <col min="4611" max="4612" width="6" style="56" bestFit="1" customWidth="1"/>
    <col min="4613" max="4613" width="5.75" style="56" bestFit="1" customWidth="1"/>
    <col min="4614" max="4614" width="35" style="56" bestFit="1" customWidth="1"/>
    <col min="4615" max="4615" width="2" style="56" customWidth="1"/>
    <col min="4616" max="4618" width="7" style="56" bestFit="1" customWidth="1"/>
    <col min="4619" max="4619" width="5" style="56" bestFit="1" customWidth="1"/>
    <col min="4620" max="4859" width="9" style="56"/>
    <col min="4860" max="4860" width="7" style="56" bestFit="1" customWidth="1"/>
    <col min="4861" max="4863" width="6" style="56" bestFit="1" customWidth="1"/>
    <col min="4864" max="4865" width="5" style="56" bestFit="1" customWidth="1"/>
    <col min="4866" max="4866" width="7" style="56" bestFit="1" customWidth="1"/>
    <col min="4867" max="4868" width="6" style="56" bestFit="1" customWidth="1"/>
    <col min="4869" max="4869" width="5.75" style="56" bestFit="1" customWidth="1"/>
    <col min="4870" max="4870" width="35" style="56" bestFit="1" customWidth="1"/>
    <col min="4871" max="4871" width="2" style="56" customWidth="1"/>
    <col min="4872" max="4874" width="7" style="56" bestFit="1" customWidth="1"/>
    <col min="4875" max="4875" width="5" style="56" bestFit="1" customWidth="1"/>
    <col min="4876" max="5115" width="9" style="56"/>
    <col min="5116" max="5116" width="7" style="56" bestFit="1" customWidth="1"/>
    <col min="5117" max="5119" width="6" style="56" bestFit="1" customWidth="1"/>
    <col min="5120" max="5121" width="5" style="56" bestFit="1" customWidth="1"/>
    <col min="5122" max="5122" width="7" style="56" bestFit="1" customWidth="1"/>
    <col min="5123" max="5124" width="6" style="56" bestFit="1" customWidth="1"/>
    <col min="5125" max="5125" width="5.75" style="56" bestFit="1" customWidth="1"/>
    <col min="5126" max="5126" width="35" style="56" bestFit="1" customWidth="1"/>
    <col min="5127" max="5127" width="2" style="56" customWidth="1"/>
    <col min="5128" max="5130" width="7" style="56" bestFit="1" customWidth="1"/>
    <col min="5131" max="5131" width="5" style="56" bestFit="1" customWidth="1"/>
    <col min="5132" max="5371" width="9" style="56"/>
    <col min="5372" max="5372" width="7" style="56" bestFit="1" customWidth="1"/>
    <col min="5373" max="5375" width="6" style="56" bestFit="1" customWidth="1"/>
    <col min="5376" max="5377" width="5" style="56" bestFit="1" customWidth="1"/>
    <col min="5378" max="5378" width="7" style="56" bestFit="1" customWidth="1"/>
    <col min="5379" max="5380" width="6" style="56" bestFit="1" customWidth="1"/>
    <col min="5381" max="5381" width="5.75" style="56" bestFit="1" customWidth="1"/>
    <col min="5382" max="5382" width="35" style="56" bestFit="1" customWidth="1"/>
    <col min="5383" max="5383" width="2" style="56" customWidth="1"/>
    <col min="5384" max="5386" width="7" style="56" bestFit="1" customWidth="1"/>
    <col min="5387" max="5387" width="5" style="56" bestFit="1" customWidth="1"/>
    <col min="5388" max="5627" width="9" style="56"/>
    <col min="5628" max="5628" width="7" style="56" bestFit="1" customWidth="1"/>
    <col min="5629" max="5631" width="6" style="56" bestFit="1" customWidth="1"/>
    <col min="5632" max="5633" width="5" style="56" bestFit="1" customWidth="1"/>
    <col min="5634" max="5634" width="7" style="56" bestFit="1" customWidth="1"/>
    <col min="5635" max="5636" width="6" style="56" bestFit="1" customWidth="1"/>
    <col min="5637" max="5637" width="5.75" style="56" bestFit="1" customWidth="1"/>
    <col min="5638" max="5638" width="35" style="56" bestFit="1" customWidth="1"/>
    <col min="5639" max="5639" width="2" style="56" customWidth="1"/>
    <col min="5640" max="5642" width="7" style="56" bestFit="1" customWidth="1"/>
    <col min="5643" max="5643" width="5" style="56" bestFit="1" customWidth="1"/>
    <col min="5644" max="5883" width="9" style="56"/>
    <col min="5884" max="5884" width="7" style="56" bestFit="1" customWidth="1"/>
    <col min="5885" max="5887" width="6" style="56" bestFit="1" customWidth="1"/>
    <col min="5888" max="5889" width="5" style="56" bestFit="1" customWidth="1"/>
    <col min="5890" max="5890" width="7" style="56" bestFit="1" customWidth="1"/>
    <col min="5891" max="5892" width="6" style="56" bestFit="1" customWidth="1"/>
    <col min="5893" max="5893" width="5.75" style="56" bestFit="1" customWidth="1"/>
    <col min="5894" max="5894" width="35" style="56" bestFit="1" customWidth="1"/>
    <col min="5895" max="5895" width="2" style="56" customWidth="1"/>
    <col min="5896" max="5898" width="7" style="56" bestFit="1" customWidth="1"/>
    <col min="5899" max="5899" width="5" style="56" bestFit="1" customWidth="1"/>
    <col min="5900" max="6139" width="9" style="56"/>
    <col min="6140" max="6140" width="7" style="56" bestFit="1" customWidth="1"/>
    <col min="6141" max="6143" width="6" style="56" bestFit="1" customWidth="1"/>
    <col min="6144" max="6145" width="5" style="56" bestFit="1" customWidth="1"/>
    <col min="6146" max="6146" width="7" style="56" bestFit="1" customWidth="1"/>
    <col min="6147" max="6148" width="6" style="56" bestFit="1" customWidth="1"/>
    <col min="6149" max="6149" width="5.75" style="56" bestFit="1" customWidth="1"/>
    <col min="6150" max="6150" width="35" style="56" bestFit="1" customWidth="1"/>
    <col min="6151" max="6151" width="2" style="56" customWidth="1"/>
    <col min="6152" max="6154" width="7" style="56" bestFit="1" customWidth="1"/>
    <col min="6155" max="6155" width="5" style="56" bestFit="1" customWidth="1"/>
    <col min="6156" max="6395" width="9" style="56"/>
    <col min="6396" max="6396" width="7" style="56" bestFit="1" customWidth="1"/>
    <col min="6397" max="6399" width="6" style="56" bestFit="1" customWidth="1"/>
    <col min="6400" max="6401" width="5" style="56" bestFit="1" customWidth="1"/>
    <col min="6402" max="6402" width="7" style="56" bestFit="1" customWidth="1"/>
    <col min="6403" max="6404" width="6" style="56" bestFit="1" customWidth="1"/>
    <col min="6405" max="6405" width="5.75" style="56" bestFit="1" customWidth="1"/>
    <col min="6406" max="6406" width="35" style="56" bestFit="1" customWidth="1"/>
    <col min="6407" max="6407" width="2" style="56" customWidth="1"/>
    <col min="6408" max="6410" width="7" style="56" bestFit="1" customWidth="1"/>
    <col min="6411" max="6411" width="5" style="56" bestFit="1" customWidth="1"/>
    <col min="6412" max="6651" width="9" style="56"/>
    <col min="6652" max="6652" width="7" style="56" bestFit="1" customWidth="1"/>
    <col min="6653" max="6655" width="6" style="56" bestFit="1" customWidth="1"/>
    <col min="6656" max="6657" width="5" style="56" bestFit="1" customWidth="1"/>
    <col min="6658" max="6658" width="7" style="56" bestFit="1" customWidth="1"/>
    <col min="6659" max="6660" width="6" style="56" bestFit="1" customWidth="1"/>
    <col min="6661" max="6661" width="5.75" style="56" bestFit="1" customWidth="1"/>
    <col min="6662" max="6662" width="35" style="56" bestFit="1" customWidth="1"/>
    <col min="6663" max="6663" width="2" style="56" customWidth="1"/>
    <col min="6664" max="6666" width="7" style="56" bestFit="1" customWidth="1"/>
    <col min="6667" max="6667" width="5" style="56" bestFit="1" customWidth="1"/>
    <col min="6668" max="6907" width="9" style="56"/>
    <col min="6908" max="6908" width="7" style="56" bestFit="1" customWidth="1"/>
    <col min="6909" max="6911" width="6" style="56" bestFit="1" customWidth="1"/>
    <col min="6912" max="6913" width="5" style="56" bestFit="1" customWidth="1"/>
    <col min="6914" max="6914" width="7" style="56" bestFit="1" customWidth="1"/>
    <col min="6915" max="6916" width="6" style="56" bestFit="1" customWidth="1"/>
    <col min="6917" max="6917" width="5.75" style="56" bestFit="1" customWidth="1"/>
    <col min="6918" max="6918" width="35" style="56" bestFit="1" customWidth="1"/>
    <col min="6919" max="6919" width="2" style="56" customWidth="1"/>
    <col min="6920" max="6922" width="7" style="56" bestFit="1" customWidth="1"/>
    <col min="6923" max="6923" width="5" style="56" bestFit="1" customWidth="1"/>
    <col min="6924" max="7163" width="9" style="56"/>
    <col min="7164" max="7164" width="7" style="56" bestFit="1" customWidth="1"/>
    <col min="7165" max="7167" width="6" style="56" bestFit="1" customWidth="1"/>
    <col min="7168" max="7169" width="5" style="56" bestFit="1" customWidth="1"/>
    <col min="7170" max="7170" width="7" style="56" bestFit="1" customWidth="1"/>
    <col min="7171" max="7172" width="6" style="56" bestFit="1" customWidth="1"/>
    <col min="7173" max="7173" width="5.75" style="56" bestFit="1" customWidth="1"/>
    <col min="7174" max="7174" width="35" style="56" bestFit="1" customWidth="1"/>
    <col min="7175" max="7175" width="2" style="56" customWidth="1"/>
    <col min="7176" max="7178" width="7" style="56" bestFit="1" customWidth="1"/>
    <col min="7179" max="7179" width="5" style="56" bestFit="1" customWidth="1"/>
    <col min="7180" max="7419" width="9" style="56"/>
    <col min="7420" max="7420" width="7" style="56" bestFit="1" customWidth="1"/>
    <col min="7421" max="7423" width="6" style="56" bestFit="1" customWidth="1"/>
    <col min="7424" max="7425" width="5" style="56" bestFit="1" customWidth="1"/>
    <col min="7426" max="7426" width="7" style="56" bestFit="1" customWidth="1"/>
    <col min="7427" max="7428" width="6" style="56" bestFit="1" customWidth="1"/>
    <col min="7429" max="7429" width="5.75" style="56" bestFit="1" customWidth="1"/>
    <col min="7430" max="7430" width="35" style="56" bestFit="1" customWidth="1"/>
    <col min="7431" max="7431" width="2" style="56" customWidth="1"/>
    <col min="7432" max="7434" width="7" style="56" bestFit="1" customWidth="1"/>
    <col min="7435" max="7435" width="5" style="56" bestFit="1" customWidth="1"/>
    <col min="7436" max="7675" width="9" style="56"/>
    <col min="7676" max="7676" width="7" style="56" bestFit="1" customWidth="1"/>
    <col min="7677" max="7679" width="6" style="56" bestFit="1" customWidth="1"/>
    <col min="7680" max="7681" width="5" style="56" bestFit="1" customWidth="1"/>
    <col min="7682" max="7682" width="7" style="56" bestFit="1" customWidth="1"/>
    <col min="7683" max="7684" width="6" style="56" bestFit="1" customWidth="1"/>
    <col min="7685" max="7685" width="5.75" style="56" bestFit="1" customWidth="1"/>
    <col min="7686" max="7686" width="35" style="56" bestFit="1" customWidth="1"/>
    <col min="7687" max="7687" width="2" style="56" customWidth="1"/>
    <col min="7688" max="7690" width="7" style="56" bestFit="1" customWidth="1"/>
    <col min="7691" max="7691" width="5" style="56" bestFit="1" customWidth="1"/>
    <col min="7692" max="7931" width="9" style="56"/>
    <col min="7932" max="7932" width="7" style="56" bestFit="1" customWidth="1"/>
    <col min="7933" max="7935" width="6" style="56" bestFit="1" customWidth="1"/>
    <col min="7936" max="7937" width="5" style="56" bestFit="1" customWidth="1"/>
    <col min="7938" max="7938" width="7" style="56" bestFit="1" customWidth="1"/>
    <col min="7939" max="7940" width="6" style="56" bestFit="1" customWidth="1"/>
    <col min="7941" max="7941" width="5.75" style="56" bestFit="1" customWidth="1"/>
    <col min="7942" max="7942" width="35" style="56" bestFit="1" customWidth="1"/>
    <col min="7943" max="7943" width="2" style="56" customWidth="1"/>
    <col min="7944" max="7946" width="7" style="56" bestFit="1" customWidth="1"/>
    <col min="7947" max="7947" width="5" style="56" bestFit="1" customWidth="1"/>
    <col min="7948" max="8187" width="9" style="56"/>
    <col min="8188" max="8188" width="7" style="56" bestFit="1" customWidth="1"/>
    <col min="8189" max="8191" width="6" style="56" bestFit="1" customWidth="1"/>
    <col min="8192" max="8193" width="5" style="56" bestFit="1" customWidth="1"/>
    <col min="8194" max="8194" width="7" style="56" bestFit="1" customWidth="1"/>
    <col min="8195" max="8196" width="6" style="56" bestFit="1" customWidth="1"/>
    <col min="8197" max="8197" width="5.75" style="56" bestFit="1" customWidth="1"/>
    <col min="8198" max="8198" width="35" style="56" bestFit="1" customWidth="1"/>
    <col min="8199" max="8199" width="2" style="56" customWidth="1"/>
    <col min="8200" max="8202" width="7" style="56" bestFit="1" customWidth="1"/>
    <col min="8203" max="8203" width="5" style="56" bestFit="1" customWidth="1"/>
    <col min="8204" max="8443" width="9" style="56"/>
    <col min="8444" max="8444" width="7" style="56" bestFit="1" customWidth="1"/>
    <col min="8445" max="8447" width="6" style="56" bestFit="1" customWidth="1"/>
    <col min="8448" max="8449" width="5" style="56" bestFit="1" customWidth="1"/>
    <col min="8450" max="8450" width="7" style="56" bestFit="1" customWidth="1"/>
    <col min="8451" max="8452" width="6" style="56" bestFit="1" customWidth="1"/>
    <col min="8453" max="8453" width="5.75" style="56" bestFit="1" customWidth="1"/>
    <col min="8454" max="8454" width="35" style="56" bestFit="1" customWidth="1"/>
    <col min="8455" max="8455" width="2" style="56" customWidth="1"/>
    <col min="8456" max="8458" width="7" style="56" bestFit="1" customWidth="1"/>
    <col min="8459" max="8459" width="5" style="56" bestFit="1" customWidth="1"/>
    <col min="8460" max="8699" width="9" style="56"/>
    <col min="8700" max="8700" width="7" style="56" bestFit="1" customWidth="1"/>
    <col min="8701" max="8703" width="6" style="56" bestFit="1" customWidth="1"/>
    <col min="8704" max="8705" width="5" style="56" bestFit="1" customWidth="1"/>
    <col min="8706" max="8706" width="7" style="56" bestFit="1" customWidth="1"/>
    <col min="8707" max="8708" width="6" style="56" bestFit="1" customWidth="1"/>
    <col min="8709" max="8709" width="5.75" style="56" bestFit="1" customWidth="1"/>
    <col min="8710" max="8710" width="35" style="56" bestFit="1" customWidth="1"/>
    <col min="8711" max="8711" width="2" style="56" customWidth="1"/>
    <col min="8712" max="8714" width="7" style="56" bestFit="1" customWidth="1"/>
    <col min="8715" max="8715" width="5" style="56" bestFit="1" customWidth="1"/>
    <col min="8716" max="8955" width="9" style="56"/>
    <col min="8956" max="8956" width="7" style="56" bestFit="1" customWidth="1"/>
    <col min="8957" max="8959" width="6" style="56" bestFit="1" customWidth="1"/>
    <col min="8960" max="8961" width="5" style="56" bestFit="1" customWidth="1"/>
    <col min="8962" max="8962" width="7" style="56" bestFit="1" customWidth="1"/>
    <col min="8963" max="8964" width="6" style="56" bestFit="1" customWidth="1"/>
    <col min="8965" max="8965" width="5.75" style="56" bestFit="1" customWidth="1"/>
    <col min="8966" max="8966" width="35" style="56" bestFit="1" customWidth="1"/>
    <col min="8967" max="8967" width="2" style="56" customWidth="1"/>
    <col min="8968" max="8970" width="7" style="56" bestFit="1" customWidth="1"/>
    <col min="8971" max="8971" width="5" style="56" bestFit="1" customWidth="1"/>
    <col min="8972" max="9211" width="9" style="56"/>
    <col min="9212" max="9212" width="7" style="56" bestFit="1" customWidth="1"/>
    <col min="9213" max="9215" width="6" style="56" bestFit="1" customWidth="1"/>
    <col min="9216" max="9217" width="5" style="56" bestFit="1" customWidth="1"/>
    <col min="9218" max="9218" width="7" style="56" bestFit="1" customWidth="1"/>
    <col min="9219" max="9220" width="6" style="56" bestFit="1" customWidth="1"/>
    <col min="9221" max="9221" width="5.75" style="56" bestFit="1" customWidth="1"/>
    <col min="9222" max="9222" width="35" style="56" bestFit="1" customWidth="1"/>
    <col min="9223" max="9223" width="2" style="56" customWidth="1"/>
    <col min="9224" max="9226" width="7" style="56" bestFit="1" customWidth="1"/>
    <col min="9227" max="9227" width="5" style="56" bestFit="1" customWidth="1"/>
    <col min="9228" max="9467" width="9" style="56"/>
    <col min="9468" max="9468" width="7" style="56" bestFit="1" customWidth="1"/>
    <col min="9469" max="9471" width="6" style="56" bestFit="1" customWidth="1"/>
    <col min="9472" max="9473" width="5" style="56" bestFit="1" customWidth="1"/>
    <col min="9474" max="9474" width="7" style="56" bestFit="1" customWidth="1"/>
    <col min="9475" max="9476" width="6" style="56" bestFit="1" customWidth="1"/>
    <col min="9477" max="9477" width="5.75" style="56" bestFit="1" customWidth="1"/>
    <col min="9478" max="9478" width="35" style="56" bestFit="1" customWidth="1"/>
    <col min="9479" max="9479" width="2" style="56" customWidth="1"/>
    <col min="9480" max="9482" width="7" style="56" bestFit="1" customWidth="1"/>
    <col min="9483" max="9483" width="5" style="56" bestFit="1" customWidth="1"/>
    <col min="9484" max="9723" width="9" style="56"/>
    <col min="9724" max="9724" width="7" style="56" bestFit="1" customWidth="1"/>
    <col min="9725" max="9727" width="6" style="56" bestFit="1" customWidth="1"/>
    <col min="9728" max="9729" width="5" style="56" bestFit="1" customWidth="1"/>
    <col min="9730" max="9730" width="7" style="56" bestFit="1" customWidth="1"/>
    <col min="9731" max="9732" width="6" style="56" bestFit="1" customWidth="1"/>
    <col min="9733" max="9733" width="5.75" style="56" bestFit="1" customWidth="1"/>
    <col min="9734" max="9734" width="35" style="56" bestFit="1" customWidth="1"/>
    <col min="9735" max="9735" width="2" style="56" customWidth="1"/>
    <col min="9736" max="9738" width="7" style="56" bestFit="1" customWidth="1"/>
    <col min="9739" max="9739" width="5" style="56" bestFit="1" customWidth="1"/>
    <col min="9740" max="9979" width="9" style="56"/>
    <col min="9980" max="9980" width="7" style="56" bestFit="1" customWidth="1"/>
    <col min="9981" max="9983" width="6" style="56" bestFit="1" customWidth="1"/>
    <col min="9984" max="9985" width="5" style="56" bestFit="1" customWidth="1"/>
    <col min="9986" max="9986" width="7" style="56" bestFit="1" customWidth="1"/>
    <col min="9987" max="9988" width="6" style="56" bestFit="1" customWidth="1"/>
    <col min="9989" max="9989" width="5.75" style="56" bestFit="1" customWidth="1"/>
    <col min="9990" max="9990" width="35" style="56" bestFit="1" customWidth="1"/>
    <col min="9991" max="9991" width="2" style="56" customWidth="1"/>
    <col min="9992" max="9994" width="7" style="56" bestFit="1" customWidth="1"/>
    <col min="9995" max="9995" width="5" style="56" bestFit="1" customWidth="1"/>
    <col min="9996" max="10235" width="9" style="56"/>
    <col min="10236" max="10236" width="7" style="56" bestFit="1" customWidth="1"/>
    <col min="10237" max="10239" width="6" style="56" bestFit="1" customWidth="1"/>
    <col min="10240" max="10241" width="5" style="56" bestFit="1" customWidth="1"/>
    <col min="10242" max="10242" width="7" style="56" bestFit="1" customWidth="1"/>
    <col min="10243" max="10244" width="6" style="56" bestFit="1" customWidth="1"/>
    <col min="10245" max="10245" width="5.75" style="56" bestFit="1" customWidth="1"/>
    <col min="10246" max="10246" width="35" style="56" bestFit="1" customWidth="1"/>
    <col min="10247" max="10247" width="2" style="56" customWidth="1"/>
    <col min="10248" max="10250" width="7" style="56" bestFit="1" customWidth="1"/>
    <col min="10251" max="10251" width="5" style="56" bestFit="1" customWidth="1"/>
    <col min="10252" max="10491" width="9" style="56"/>
    <col min="10492" max="10492" width="7" style="56" bestFit="1" customWidth="1"/>
    <col min="10493" max="10495" width="6" style="56" bestFit="1" customWidth="1"/>
    <col min="10496" max="10497" width="5" style="56" bestFit="1" customWidth="1"/>
    <col min="10498" max="10498" width="7" style="56" bestFit="1" customWidth="1"/>
    <col min="10499" max="10500" width="6" style="56" bestFit="1" customWidth="1"/>
    <col min="10501" max="10501" width="5.75" style="56" bestFit="1" customWidth="1"/>
    <col min="10502" max="10502" width="35" style="56" bestFit="1" customWidth="1"/>
    <col min="10503" max="10503" width="2" style="56" customWidth="1"/>
    <col min="10504" max="10506" width="7" style="56" bestFit="1" customWidth="1"/>
    <col min="10507" max="10507" width="5" style="56" bestFit="1" customWidth="1"/>
    <col min="10508" max="10747" width="9" style="56"/>
    <col min="10748" max="10748" width="7" style="56" bestFit="1" customWidth="1"/>
    <col min="10749" max="10751" width="6" style="56" bestFit="1" customWidth="1"/>
    <col min="10752" max="10753" width="5" style="56" bestFit="1" customWidth="1"/>
    <col min="10754" max="10754" width="7" style="56" bestFit="1" customWidth="1"/>
    <col min="10755" max="10756" width="6" style="56" bestFit="1" customWidth="1"/>
    <col min="10757" max="10757" width="5.75" style="56" bestFit="1" customWidth="1"/>
    <col min="10758" max="10758" width="35" style="56" bestFit="1" customWidth="1"/>
    <col min="10759" max="10759" width="2" style="56" customWidth="1"/>
    <col min="10760" max="10762" width="7" style="56" bestFit="1" customWidth="1"/>
    <col min="10763" max="10763" width="5" style="56" bestFit="1" customWidth="1"/>
    <col min="10764" max="11003" width="9" style="56"/>
    <col min="11004" max="11004" width="7" style="56" bestFit="1" customWidth="1"/>
    <col min="11005" max="11007" width="6" style="56" bestFit="1" customWidth="1"/>
    <col min="11008" max="11009" width="5" style="56" bestFit="1" customWidth="1"/>
    <col min="11010" max="11010" width="7" style="56" bestFit="1" customWidth="1"/>
    <col min="11011" max="11012" width="6" style="56" bestFit="1" customWidth="1"/>
    <col min="11013" max="11013" width="5.75" style="56" bestFit="1" customWidth="1"/>
    <col min="11014" max="11014" width="35" style="56" bestFit="1" customWidth="1"/>
    <col min="11015" max="11015" width="2" style="56" customWidth="1"/>
    <col min="11016" max="11018" width="7" style="56" bestFit="1" customWidth="1"/>
    <col min="11019" max="11019" width="5" style="56" bestFit="1" customWidth="1"/>
    <col min="11020" max="11259" width="9" style="56"/>
    <col min="11260" max="11260" width="7" style="56" bestFit="1" customWidth="1"/>
    <col min="11261" max="11263" width="6" style="56" bestFit="1" customWidth="1"/>
    <col min="11264" max="11265" width="5" style="56" bestFit="1" customWidth="1"/>
    <col min="11266" max="11266" width="7" style="56" bestFit="1" customWidth="1"/>
    <col min="11267" max="11268" width="6" style="56" bestFit="1" customWidth="1"/>
    <col min="11269" max="11269" width="5.75" style="56" bestFit="1" customWidth="1"/>
    <col min="11270" max="11270" width="35" style="56" bestFit="1" customWidth="1"/>
    <col min="11271" max="11271" width="2" style="56" customWidth="1"/>
    <col min="11272" max="11274" width="7" style="56" bestFit="1" customWidth="1"/>
    <col min="11275" max="11275" width="5" style="56" bestFit="1" customWidth="1"/>
    <col min="11276" max="11515" width="9" style="56"/>
    <col min="11516" max="11516" width="7" style="56" bestFit="1" customWidth="1"/>
    <col min="11517" max="11519" width="6" style="56" bestFit="1" customWidth="1"/>
    <col min="11520" max="11521" width="5" style="56" bestFit="1" customWidth="1"/>
    <col min="11522" max="11522" width="7" style="56" bestFit="1" customWidth="1"/>
    <col min="11523" max="11524" width="6" style="56" bestFit="1" customWidth="1"/>
    <col min="11525" max="11525" width="5.75" style="56" bestFit="1" customWidth="1"/>
    <col min="11526" max="11526" width="35" style="56" bestFit="1" customWidth="1"/>
    <col min="11527" max="11527" width="2" style="56" customWidth="1"/>
    <col min="11528" max="11530" width="7" style="56" bestFit="1" customWidth="1"/>
    <col min="11531" max="11531" width="5" style="56" bestFit="1" customWidth="1"/>
    <col min="11532" max="11771" width="9" style="56"/>
    <col min="11772" max="11772" width="7" style="56" bestFit="1" customWidth="1"/>
    <col min="11773" max="11775" width="6" style="56" bestFit="1" customWidth="1"/>
    <col min="11776" max="11777" width="5" style="56" bestFit="1" customWidth="1"/>
    <col min="11778" max="11778" width="7" style="56" bestFit="1" customWidth="1"/>
    <col min="11779" max="11780" width="6" style="56" bestFit="1" customWidth="1"/>
    <col min="11781" max="11781" width="5.75" style="56" bestFit="1" customWidth="1"/>
    <col min="11782" max="11782" width="35" style="56" bestFit="1" customWidth="1"/>
    <col min="11783" max="11783" width="2" style="56" customWidth="1"/>
    <col min="11784" max="11786" width="7" style="56" bestFit="1" customWidth="1"/>
    <col min="11787" max="11787" width="5" style="56" bestFit="1" customWidth="1"/>
    <col min="11788" max="12027" width="9" style="56"/>
    <col min="12028" max="12028" width="7" style="56" bestFit="1" customWidth="1"/>
    <col min="12029" max="12031" width="6" style="56" bestFit="1" customWidth="1"/>
    <col min="12032" max="12033" width="5" style="56" bestFit="1" customWidth="1"/>
    <col min="12034" max="12034" width="7" style="56" bestFit="1" customWidth="1"/>
    <col min="12035" max="12036" width="6" style="56" bestFit="1" customWidth="1"/>
    <col min="12037" max="12037" width="5.75" style="56" bestFit="1" customWidth="1"/>
    <col min="12038" max="12038" width="35" style="56" bestFit="1" customWidth="1"/>
    <col min="12039" max="12039" width="2" style="56" customWidth="1"/>
    <col min="12040" max="12042" width="7" style="56" bestFit="1" customWidth="1"/>
    <col min="12043" max="12043" width="5" style="56" bestFit="1" customWidth="1"/>
    <col min="12044" max="12283" width="9" style="56"/>
    <col min="12284" max="12284" width="7" style="56" bestFit="1" customWidth="1"/>
    <col min="12285" max="12287" width="6" style="56" bestFit="1" customWidth="1"/>
    <col min="12288" max="12289" width="5" style="56" bestFit="1" customWidth="1"/>
    <col min="12290" max="12290" width="7" style="56" bestFit="1" customWidth="1"/>
    <col min="12291" max="12292" width="6" style="56" bestFit="1" customWidth="1"/>
    <col min="12293" max="12293" width="5.75" style="56" bestFit="1" customWidth="1"/>
    <col min="12294" max="12294" width="35" style="56" bestFit="1" customWidth="1"/>
    <col min="12295" max="12295" width="2" style="56" customWidth="1"/>
    <col min="12296" max="12298" width="7" style="56" bestFit="1" customWidth="1"/>
    <col min="12299" max="12299" width="5" style="56" bestFit="1" customWidth="1"/>
    <col min="12300" max="12539" width="9" style="56"/>
    <col min="12540" max="12540" width="7" style="56" bestFit="1" customWidth="1"/>
    <col min="12541" max="12543" width="6" style="56" bestFit="1" customWidth="1"/>
    <col min="12544" max="12545" width="5" style="56" bestFit="1" customWidth="1"/>
    <col min="12546" max="12546" width="7" style="56" bestFit="1" customWidth="1"/>
    <col min="12547" max="12548" width="6" style="56" bestFit="1" customWidth="1"/>
    <col min="12549" max="12549" width="5.75" style="56" bestFit="1" customWidth="1"/>
    <col min="12550" max="12550" width="35" style="56" bestFit="1" customWidth="1"/>
    <col min="12551" max="12551" width="2" style="56" customWidth="1"/>
    <col min="12552" max="12554" width="7" style="56" bestFit="1" customWidth="1"/>
    <col min="12555" max="12555" width="5" style="56" bestFit="1" customWidth="1"/>
    <col min="12556" max="12795" width="9" style="56"/>
    <col min="12796" max="12796" width="7" style="56" bestFit="1" customWidth="1"/>
    <col min="12797" max="12799" width="6" style="56" bestFit="1" customWidth="1"/>
    <col min="12800" max="12801" width="5" style="56" bestFit="1" customWidth="1"/>
    <col min="12802" max="12802" width="7" style="56" bestFit="1" customWidth="1"/>
    <col min="12803" max="12804" width="6" style="56" bestFit="1" customWidth="1"/>
    <col min="12805" max="12805" width="5.75" style="56" bestFit="1" customWidth="1"/>
    <col min="12806" max="12806" width="35" style="56" bestFit="1" customWidth="1"/>
    <col min="12807" max="12807" width="2" style="56" customWidth="1"/>
    <col min="12808" max="12810" width="7" style="56" bestFit="1" customWidth="1"/>
    <col min="12811" max="12811" width="5" style="56" bestFit="1" customWidth="1"/>
    <col min="12812" max="13051" width="9" style="56"/>
    <col min="13052" max="13052" width="7" style="56" bestFit="1" customWidth="1"/>
    <col min="13053" max="13055" width="6" style="56" bestFit="1" customWidth="1"/>
    <col min="13056" max="13057" width="5" style="56" bestFit="1" customWidth="1"/>
    <col min="13058" max="13058" width="7" style="56" bestFit="1" customWidth="1"/>
    <col min="13059" max="13060" width="6" style="56" bestFit="1" customWidth="1"/>
    <col min="13061" max="13061" width="5.75" style="56" bestFit="1" customWidth="1"/>
    <col min="13062" max="13062" width="35" style="56" bestFit="1" customWidth="1"/>
    <col min="13063" max="13063" width="2" style="56" customWidth="1"/>
    <col min="13064" max="13066" width="7" style="56" bestFit="1" customWidth="1"/>
    <col min="13067" max="13067" width="5" style="56" bestFit="1" customWidth="1"/>
    <col min="13068" max="13307" width="9" style="56"/>
    <col min="13308" max="13308" width="7" style="56" bestFit="1" customWidth="1"/>
    <col min="13309" max="13311" width="6" style="56" bestFit="1" customWidth="1"/>
    <col min="13312" max="13313" width="5" style="56" bestFit="1" customWidth="1"/>
    <col min="13314" max="13314" width="7" style="56" bestFit="1" customWidth="1"/>
    <col min="13315" max="13316" width="6" style="56" bestFit="1" customWidth="1"/>
    <col min="13317" max="13317" width="5.75" style="56" bestFit="1" customWidth="1"/>
    <col min="13318" max="13318" width="35" style="56" bestFit="1" customWidth="1"/>
    <col min="13319" max="13319" width="2" style="56" customWidth="1"/>
    <col min="13320" max="13322" width="7" style="56" bestFit="1" customWidth="1"/>
    <col min="13323" max="13323" width="5" style="56" bestFit="1" customWidth="1"/>
    <col min="13324" max="13563" width="9" style="56"/>
    <col min="13564" max="13564" width="7" style="56" bestFit="1" customWidth="1"/>
    <col min="13565" max="13567" width="6" style="56" bestFit="1" customWidth="1"/>
    <col min="13568" max="13569" width="5" style="56" bestFit="1" customWidth="1"/>
    <col min="13570" max="13570" width="7" style="56" bestFit="1" customWidth="1"/>
    <col min="13571" max="13572" width="6" style="56" bestFit="1" customWidth="1"/>
    <col min="13573" max="13573" width="5.75" style="56" bestFit="1" customWidth="1"/>
    <col min="13574" max="13574" width="35" style="56" bestFit="1" customWidth="1"/>
    <col min="13575" max="13575" width="2" style="56" customWidth="1"/>
    <col min="13576" max="13578" width="7" style="56" bestFit="1" customWidth="1"/>
    <col min="13579" max="13579" width="5" style="56" bestFit="1" customWidth="1"/>
    <col min="13580" max="13819" width="9" style="56"/>
    <col min="13820" max="13820" width="7" style="56" bestFit="1" customWidth="1"/>
    <col min="13821" max="13823" width="6" style="56" bestFit="1" customWidth="1"/>
    <col min="13824" max="13825" width="5" style="56" bestFit="1" customWidth="1"/>
    <col min="13826" max="13826" width="7" style="56" bestFit="1" customWidth="1"/>
    <col min="13827" max="13828" width="6" style="56" bestFit="1" customWidth="1"/>
    <col min="13829" max="13829" width="5.75" style="56" bestFit="1" customWidth="1"/>
    <col min="13830" max="13830" width="35" style="56" bestFit="1" customWidth="1"/>
    <col min="13831" max="13831" width="2" style="56" customWidth="1"/>
    <col min="13832" max="13834" width="7" style="56" bestFit="1" customWidth="1"/>
    <col min="13835" max="13835" width="5" style="56" bestFit="1" customWidth="1"/>
    <col min="13836" max="14075" width="9" style="56"/>
    <col min="14076" max="14076" width="7" style="56" bestFit="1" customWidth="1"/>
    <col min="14077" max="14079" width="6" style="56" bestFit="1" customWidth="1"/>
    <col min="14080" max="14081" width="5" style="56" bestFit="1" customWidth="1"/>
    <col min="14082" max="14082" width="7" style="56" bestFit="1" customWidth="1"/>
    <col min="14083" max="14084" width="6" style="56" bestFit="1" customWidth="1"/>
    <col min="14085" max="14085" width="5.75" style="56" bestFit="1" customWidth="1"/>
    <col min="14086" max="14086" width="35" style="56" bestFit="1" customWidth="1"/>
    <col min="14087" max="14087" width="2" style="56" customWidth="1"/>
    <col min="14088" max="14090" width="7" style="56" bestFit="1" customWidth="1"/>
    <col min="14091" max="14091" width="5" style="56" bestFit="1" customWidth="1"/>
    <col min="14092" max="14331" width="9" style="56"/>
    <col min="14332" max="14332" width="7" style="56" bestFit="1" customWidth="1"/>
    <col min="14333" max="14335" width="6" style="56" bestFit="1" customWidth="1"/>
    <col min="14336" max="14337" width="5" style="56" bestFit="1" customWidth="1"/>
    <col min="14338" max="14338" width="7" style="56" bestFit="1" customWidth="1"/>
    <col min="14339" max="14340" width="6" style="56" bestFit="1" customWidth="1"/>
    <col min="14341" max="14341" width="5.75" style="56" bestFit="1" customWidth="1"/>
    <col min="14342" max="14342" width="35" style="56" bestFit="1" customWidth="1"/>
    <col min="14343" max="14343" width="2" style="56" customWidth="1"/>
    <col min="14344" max="14346" width="7" style="56" bestFit="1" customWidth="1"/>
    <col min="14347" max="14347" width="5" style="56" bestFit="1" customWidth="1"/>
    <col min="14348" max="14587" width="9" style="56"/>
    <col min="14588" max="14588" width="7" style="56" bestFit="1" customWidth="1"/>
    <col min="14589" max="14591" width="6" style="56" bestFit="1" customWidth="1"/>
    <col min="14592" max="14593" width="5" style="56" bestFit="1" customWidth="1"/>
    <col min="14594" max="14594" width="7" style="56" bestFit="1" customWidth="1"/>
    <col min="14595" max="14596" width="6" style="56" bestFit="1" customWidth="1"/>
    <col min="14597" max="14597" width="5.75" style="56" bestFit="1" customWidth="1"/>
    <col min="14598" max="14598" width="35" style="56" bestFit="1" customWidth="1"/>
    <col min="14599" max="14599" width="2" style="56" customWidth="1"/>
    <col min="14600" max="14602" width="7" style="56" bestFit="1" customWidth="1"/>
    <col min="14603" max="14603" width="5" style="56" bestFit="1" customWidth="1"/>
    <col min="14604" max="14843" width="9" style="56"/>
    <col min="14844" max="14844" width="7" style="56" bestFit="1" customWidth="1"/>
    <col min="14845" max="14847" width="6" style="56" bestFit="1" customWidth="1"/>
    <col min="14848" max="14849" width="5" style="56" bestFit="1" customWidth="1"/>
    <col min="14850" max="14850" width="7" style="56" bestFit="1" customWidth="1"/>
    <col min="14851" max="14852" width="6" style="56" bestFit="1" customWidth="1"/>
    <col min="14853" max="14853" width="5.75" style="56" bestFit="1" customWidth="1"/>
    <col min="14854" max="14854" width="35" style="56" bestFit="1" customWidth="1"/>
    <col min="14855" max="14855" width="2" style="56" customWidth="1"/>
    <col min="14856" max="14858" width="7" style="56" bestFit="1" customWidth="1"/>
    <col min="14859" max="14859" width="5" style="56" bestFit="1" customWidth="1"/>
    <col min="14860" max="15099" width="9" style="56"/>
    <col min="15100" max="15100" width="7" style="56" bestFit="1" customWidth="1"/>
    <col min="15101" max="15103" width="6" style="56" bestFit="1" customWidth="1"/>
    <col min="15104" max="15105" width="5" style="56" bestFit="1" customWidth="1"/>
    <col min="15106" max="15106" width="7" style="56" bestFit="1" customWidth="1"/>
    <col min="15107" max="15108" width="6" style="56" bestFit="1" customWidth="1"/>
    <col min="15109" max="15109" width="5.75" style="56" bestFit="1" customWidth="1"/>
    <col min="15110" max="15110" width="35" style="56" bestFit="1" customWidth="1"/>
    <col min="15111" max="15111" width="2" style="56" customWidth="1"/>
    <col min="15112" max="15114" width="7" style="56" bestFit="1" customWidth="1"/>
    <col min="15115" max="15115" width="5" style="56" bestFit="1" customWidth="1"/>
    <col min="15116" max="15355" width="9" style="56"/>
    <col min="15356" max="15356" width="7" style="56" bestFit="1" customWidth="1"/>
    <col min="15357" max="15359" width="6" style="56" bestFit="1" customWidth="1"/>
    <col min="15360" max="15361" width="5" style="56" bestFit="1" customWidth="1"/>
    <col min="15362" max="15362" width="7" style="56" bestFit="1" customWidth="1"/>
    <col min="15363" max="15364" width="6" style="56" bestFit="1" customWidth="1"/>
    <col min="15365" max="15365" width="5.75" style="56" bestFit="1" customWidth="1"/>
    <col min="15366" max="15366" width="35" style="56" bestFit="1" customWidth="1"/>
    <col min="15367" max="15367" width="2" style="56" customWidth="1"/>
    <col min="15368" max="15370" width="7" style="56" bestFit="1" customWidth="1"/>
    <col min="15371" max="15371" width="5" style="56" bestFit="1" customWidth="1"/>
    <col min="15372" max="15611" width="9" style="56"/>
    <col min="15612" max="15612" width="7" style="56" bestFit="1" customWidth="1"/>
    <col min="15613" max="15615" width="6" style="56" bestFit="1" customWidth="1"/>
    <col min="15616" max="15617" width="5" style="56" bestFit="1" customWidth="1"/>
    <col min="15618" max="15618" width="7" style="56" bestFit="1" customWidth="1"/>
    <col min="15619" max="15620" width="6" style="56" bestFit="1" customWidth="1"/>
    <col min="15621" max="15621" width="5.75" style="56" bestFit="1" customWidth="1"/>
    <col min="15622" max="15622" width="35" style="56" bestFit="1" customWidth="1"/>
    <col min="15623" max="15623" width="2" style="56" customWidth="1"/>
    <col min="15624" max="15626" width="7" style="56" bestFit="1" customWidth="1"/>
    <col min="15627" max="15627" width="5" style="56" bestFit="1" customWidth="1"/>
    <col min="15628" max="15867" width="9" style="56"/>
    <col min="15868" max="15868" width="7" style="56" bestFit="1" customWidth="1"/>
    <col min="15869" max="15871" width="6" style="56" bestFit="1" customWidth="1"/>
    <col min="15872" max="15873" width="5" style="56" bestFit="1" customWidth="1"/>
    <col min="15874" max="15874" width="7" style="56" bestFit="1" customWidth="1"/>
    <col min="15875" max="15876" width="6" style="56" bestFit="1" customWidth="1"/>
    <col min="15877" max="15877" width="5.75" style="56" bestFit="1" customWidth="1"/>
    <col min="15878" max="15878" width="35" style="56" bestFit="1" customWidth="1"/>
    <col min="15879" max="15879" width="2" style="56" customWidth="1"/>
    <col min="15880" max="15882" width="7" style="56" bestFit="1" customWidth="1"/>
    <col min="15883" max="15883" width="5" style="56" bestFit="1" customWidth="1"/>
    <col min="15884" max="16123" width="9" style="56"/>
    <col min="16124" max="16124" width="7" style="56" bestFit="1" customWidth="1"/>
    <col min="16125" max="16127" width="6" style="56" bestFit="1" customWidth="1"/>
    <col min="16128" max="16129" width="5" style="56" bestFit="1" customWidth="1"/>
    <col min="16130" max="16130" width="7" style="56" bestFit="1" customWidth="1"/>
    <col min="16131" max="16132" width="6" style="56" bestFit="1" customWidth="1"/>
    <col min="16133" max="16133" width="5.75" style="56" bestFit="1" customWidth="1"/>
    <col min="16134" max="16134" width="35" style="56" bestFit="1" customWidth="1"/>
    <col min="16135" max="16135" width="2" style="56" customWidth="1"/>
    <col min="16136" max="16138" width="7" style="56" bestFit="1" customWidth="1"/>
    <col min="16139" max="16139" width="5" style="56" bestFit="1" customWidth="1"/>
    <col min="16140" max="16379" width="9" style="56"/>
    <col min="16380" max="16384" width="9.125" style="56" customWidth="1"/>
  </cols>
  <sheetData>
    <row r="1" spans="1:12" ht="12.75" customHeight="1" x14ac:dyDescent="0.2">
      <c r="A1" s="177" t="s">
        <v>560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2" ht="12.75" customHeight="1" thickBot="1" x14ac:dyDescent="0.25">
      <c r="A2" s="178" t="s">
        <v>561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2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  <c r="L3" s="114"/>
    </row>
    <row r="4" spans="1:12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  <c r="L4" s="55"/>
    </row>
    <row r="5" spans="1:12" ht="12.75" customHeight="1" thickBot="1" x14ac:dyDescent="0.25">
      <c r="A5" s="60">
        <f t="shared" ref="A5:C6" si="0">G5+D5</f>
        <v>4417</v>
      </c>
      <c r="B5" s="60">
        <f t="shared" si="0"/>
        <v>1699</v>
      </c>
      <c r="C5" s="60">
        <f t="shared" si="0"/>
        <v>2718</v>
      </c>
      <c r="D5" s="60">
        <f>F5+E5</f>
        <v>179</v>
      </c>
      <c r="E5" s="60">
        <v>25</v>
      </c>
      <c r="F5" s="60">
        <v>154</v>
      </c>
      <c r="G5" s="60">
        <f>I5+H5</f>
        <v>4238</v>
      </c>
      <c r="H5" s="60">
        <v>1674</v>
      </c>
      <c r="I5" s="60">
        <v>2564</v>
      </c>
      <c r="J5" s="65" t="s">
        <v>221</v>
      </c>
      <c r="K5" s="66"/>
      <c r="L5" s="55"/>
    </row>
    <row r="6" spans="1:12" ht="12" customHeight="1" thickBot="1" x14ac:dyDescent="0.25">
      <c r="A6" s="60">
        <f t="shared" si="0"/>
        <v>0</v>
      </c>
      <c r="B6" s="60">
        <f t="shared" si="0"/>
        <v>0</v>
      </c>
      <c r="C6" s="60">
        <f t="shared" si="0"/>
        <v>0</v>
      </c>
      <c r="D6" s="60">
        <f>F6+E6</f>
        <v>0</v>
      </c>
      <c r="E6" s="60">
        <v>0</v>
      </c>
      <c r="F6" s="60">
        <v>0</v>
      </c>
      <c r="G6" s="60">
        <f>I6+H6</f>
        <v>0</v>
      </c>
      <c r="H6" s="60">
        <v>0</v>
      </c>
      <c r="I6" s="60">
        <v>0</v>
      </c>
      <c r="J6" s="65" t="s">
        <v>222</v>
      </c>
      <c r="K6" s="66" t="s">
        <v>330</v>
      </c>
      <c r="L6" s="55"/>
    </row>
    <row r="7" spans="1:12" ht="18" customHeight="1" thickBot="1" x14ac:dyDescent="0.25">
      <c r="A7" s="60">
        <f t="shared" ref="A7:H7" si="1">SUM(A5:A6)</f>
        <v>4417</v>
      </c>
      <c r="B7" s="60">
        <f t="shared" si="1"/>
        <v>1699</v>
      </c>
      <c r="C7" s="60">
        <f t="shared" si="1"/>
        <v>2718</v>
      </c>
      <c r="D7" s="60">
        <f t="shared" si="1"/>
        <v>179</v>
      </c>
      <c r="E7" s="60">
        <f t="shared" si="1"/>
        <v>25</v>
      </c>
      <c r="F7" s="60">
        <f t="shared" si="1"/>
        <v>154</v>
      </c>
      <c r="G7" s="60">
        <f t="shared" si="1"/>
        <v>4238</v>
      </c>
      <c r="H7" s="60">
        <f t="shared" si="1"/>
        <v>1674</v>
      </c>
      <c r="I7" s="60">
        <f>SUM(I5:I6)</f>
        <v>2564</v>
      </c>
      <c r="J7" s="65" t="s">
        <v>13</v>
      </c>
      <c r="K7" s="67"/>
      <c r="L7" s="55"/>
    </row>
    <row r="8" spans="1:12" ht="12.75" customHeight="1" thickBot="1" x14ac:dyDescent="0.25">
      <c r="A8" s="60">
        <f t="shared" ref="A8:C9" si="2">G8+D8</f>
        <v>1972</v>
      </c>
      <c r="B8" s="60">
        <f t="shared" si="2"/>
        <v>1706</v>
      </c>
      <c r="C8" s="60">
        <f t="shared" si="2"/>
        <v>266</v>
      </c>
      <c r="D8" s="60">
        <f>F8+E8</f>
        <v>22</v>
      </c>
      <c r="E8" s="60">
        <v>22</v>
      </c>
      <c r="F8" s="60">
        <v>0</v>
      </c>
      <c r="G8" s="60">
        <f>I8+H8</f>
        <v>1950</v>
      </c>
      <c r="H8" s="60">
        <v>1684</v>
      </c>
      <c r="I8" s="60">
        <v>266</v>
      </c>
      <c r="J8" s="65" t="s">
        <v>221</v>
      </c>
      <c r="K8" s="66"/>
      <c r="L8" s="55"/>
    </row>
    <row r="9" spans="1:12" ht="12.75" customHeight="1" thickBot="1" x14ac:dyDescent="0.25">
      <c r="A9" s="60">
        <f t="shared" si="2"/>
        <v>0</v>
      </c>
      <c r="B9" s="60">
        <f t="shared" si="2"/>
        <v>0</v>
      </c>
      <c r="C9" s="60">
        <f t="shared" si="2"/>
        <v>0</v>
      </c>
      <c r="D9" s="60">
        <f>F9+E9</f>
        <v>0</v>
      </c>
      <c r="E9" s="60">
        <v>0</v>
      </c>
      <c r="F9" s="60">
        <v>0</v>
      </c>
      <c r="G9" s="60">
        <f>I9+H9</f>
        <v>0</v>
      </c>
      <c r="H9" s="60">
        <v>0</v>
      </c>
      <c r="I9" s="60">
        <v>0</v>
      </c>
      <c r="J9" s="65" t="s">
        <v>222</v>
      </c>
      <c r="K9" s="66" t="s">
        <v>331</v>
      </c>
      <c r="L9" s="55"/>
    </row>
    <row r="10" spans="1:12" ht="12.75" customHeight="1" thickBot="1" x14ac:dyDescent="0.25">
      <c r="A10" s="60">
        <f t="shared" ref="A10:H10" si="3">SUM(A8:A9)</f>
        <v>1972</v>
      </c>
      <c r="B10" s="60">
        <f t="shared" si="3"/>
        <v>1706</v>
      </c>
      <c r="C10" s="60">
        <f t="shared" si="3"/>
        <v>266</v>
      </c>
      <c r="D10" s="60">
        <f t="shared" si="3"/>
        <v>22</v>
      </c>
      <c r="E10" s="60">
        <f t="shared" si="3"/>
        <v>22</v>
      </c>
      <c r="F10" s="60">
        <f t="shared" si="3"/>
        <v>0</v>
      </c>
      <c r="G10" s="60">
        <f t="shared" si="3"/>
        <v>1950</v>
      </c>
      <c r="H10" s="60">
        <f t="shared" si="3"/>
        <v>1684</v>
      </c>
      <c r="I10" s="60">
        <f>SUM(I8:I9)</f>
        <v>266</v>
      </c>
      <c r="J10" s="65" t="s">
        <v>13</v>
      </c>
      <c r="K10" s="67"/>
      <c r="L10" s="55"/>
    </row>
    <row r="11" spans="1:12" ht="12.75" customHeight="1" thickBot="1" x14ac:dyDescent="0.25">
      <c r="A11" s="60">
        <f t="shared" ref="A11:C12" si="4">G11+D11</f>
        <v>4648</v>
      </c>
      <c r="B11" s="60">
        <f t="shared" si="4"/>
        <v>1630</v>
      </c>
      <c r="C11" s="60">
        <f t="shared" si="4"/>
        <v>3018</v>
      </c>
      <c r="D11" s="60">
        <f>F11+E11</f>
        <v>17</v>
      </c>
      <c r="E11" s="60">
        <v>9</v>
      </c>
      <c r="F11" s="60">
        <v>8</v>
      </c>
      <c r="G11" s="60">
        <f>I11+H11</f>
        <v>4631</v>
      </c>
      <c r="H11" s="60">
        <v>1621</v>
      </c>
      <c r="I11" s="60">
        <v>3010</v>
      </c>
      <c r="J11" s="65" t="s">
        <v>221</v>
      </c>
      <c r="K11" s="66"/>
      <c r="L11" s="55"/>
    </row>
    <row r="12" spans="1:12" ht="12.75" customHeight="1" thickBot="1" x14ac:dyDescent="0.25">
      <c r="A12" s="60">
        <f t="shared" si="4"/>
        <v>0</v>
      </c>
      <c r="B12" s="60">
        <f t="shared" si="4"/>
        <v>0</v>
      </c>
      <c r="C12" s="60">
        <f t="shared" si="4"/>
        <v>0</v>
      </c>
      <c r="D12" s="60">
        <f>F12+E12</f>
        <v>0</v>
      </c>
      <c r="E12" s="60">
        <v>0</v>
      </c>
      <c r="F12" s="60">
        <v>0</v>
      </c>
      <c r="G12" s="60">
        <f>I12+H12</f>
        <v>0</v>
      </c>
      <c r="H12" s="60">
        <v>0</v>
      </c>
      <c r="I12" s="60">
        <v>0</v>
      </c>
      <c r="J12" s="65" t="s">
        <v>222</v>
      </c>
      <c r="K12" s="66" t="s">
        <v>332</v>
      </c>
      <c r="L12" s="55"/>
    </row>
    <row r="13" spans="1:12" ht="12.75" customHeight="1" thickBot="1" x14ac:dyDescent="0.25">
      <c r="A13" s="60">
        <f t="shared" ref="A13:H13" si="5">SUM(A11:A12)</f>
        <v>4648</v>
      </c>
      <c r="B13" s="60">
        <f t="shared" si="5"/>
        <v>1630</v>
      </c>
      <c r="C13" s="60">
        <f t="shared" si="5"/>
        <v>3018</v>
      </c>
      <c r="D13" s="60">
        <f t="shared" si="5"/>
        <v>17</v>
      </c>
      <c r="E13" s="60">
        <f t="shared" si="5"/>
        <v>9</v>
      </c>
      <c r="F13" s="60">
        <f t="shared" si="5"/>
        <v>8</v>
      </c>
      <c r="G13" s="60">
        <f t="shared" si="5"/>
        <v>4631</v>
      </c>
      <c r="H13" s="60">
        <f t="shared" si="5"/>
        <v>1621</v>
      </c>
      <c r="I13" s="60">
        <f>SUM(I11:I12)</f>
        <v>3010</v>
      </c>
      <c r="J13" s="65" t="s">
        <v>13</v>
      </c>
      <c r="K13" s="67"/>
      <c r="L13" s="55"/>
    </row>
    <row r="14" spans="1:12" ht="12.75" customHeight="1" thickBot="1" x14ac:dyDescent="0.25">
      <c r="A14" s="60">
        <f t="shared" ref="A14:C15" si="6">G14+D14</f>
        <v>4676</v>
      </c>
      <c r="B14" s="60">
        <f t="shared" si="6"/>
        <v>2974</v>
      </c>
      <c r="C14" s="60">
        <f t="shared" si="6"/>
        <v>1702</v>
      </c>
      <c r="D14" s="60">
        <f>F14+E14</f>
        <v>62</v>
      </c>
      <c r="E14" s="60">
        <v>51</v>
      </c>
      <c r="F14" s="60">
        <v>11</v>
      </c>
      <c r="G14" s="60">
        <f>I14+H14</f>
        <v>4614</v>
      </c>
      <c r="H14" s="60">
        <v>2923</v>
      </c>
      <c r="I14" s="60">
        <v>1691</v>
      </c>
      <c r="J14" s="65" t="s">
        <v>221</v>
      </c>
      <c r="K14" s="66"/>
      <c r="L14" s="55"/>
    </row>
    <row r="15" spans="1:12" ht="12.75" customHeight="1" thickBot="1" x14ac:dyDescent="0.25">
      <c r="A15" s="60">
        <f t="shared" si="6"/>
        <v>0</v>
      </c>
      <c r="B15" s="60">
        <f t="shared" si="6"/>
        <v>0</v>
      </c>
      <c r="C15" s="60">
        <f t="shared" si="6"/>
        <v>0</v>
      </c>
      <c r="D15" s="60">
        <f>F15+E15</f>
        <v>0</v>
      </c>
      <c r="E15" s="60">
        <v>0</v>
      </c>
      <c r="F15" s="60">
        <v>0</v>
      </c>
      <c r="G15" s="60">
        <f>I15+H15</f>
        <v>0</v>
      </c>
      <c r="H15" s="60">
        <v>0</v>
      </c>
      <c r="I15" s="60">
        <v>0</v>
      </c>
      <c r="J15" s="65" t="s">
        <v>222</v>
      </c>
      <c r="K15" s="66" t="s">
        <v>333</v>
      </c>
      <c r="L15" s="55"/>
    </row>
    <row r="16" spans="1:12" ht="12.75" customHeight="1" thickBot="1" x14ac:dyDescent="0.25">
      <c r="A16" s="60">
        <f t="shared" ref="A16:H16" si="7">SUM(A14:A15)</f>
        <v>4676</v>
      </c>
      <c r="B16" s="60">
        <f t="shared" si="7"/>
        <v>2974</v>
      </c>
      <c r="C16" s="60">
        <f t="shared" si="7"/>
        <v>1702</v>
      </c>
      <c r="D16" s="60">
        <f t="shared" si="7"/>
        <v>62</v>
      </c>
      <c r="E16" s="60">
        <f t="shared" si="7"/>
        <v>51</v>
      </c>
      <c r="F16" s="60">
        <f t="shared" si="7"/>
        <v>11</v>
      </c>
      <c r="G16" s="60">
        <f t="shared" si="7"/>
        <v>4614</v>
      </c>
      <c r="H16" s="60">
        <f t="shared" si="7"/>
        <v>2923</v>
      </c>
      <c r="I16" s="60">
        <f>SUM(I14:I15)</f>
        <v>1691</v>
      </c>
      <c r="J16" s="65" t="s">
        <v>13</v>
      </c>
      <c r="K16" s="67"/>
      <c r="L16" s="55"/>
    </row>
    <row r="17" spans="1:12" ht="12.75" customHeight="1" thickBot="1" x14ac:dyDescent="0.25">
      <c r="A17" s="60">
        <f t="shared" ref="A17:C18" si="8">G17+D17</f>
        <v>3102</v>
      </c>
      <c r="B17" s="60">
        <f t="shared" si="8"/>
        <v>0</v>
      </c>
      <c r="C17" s="60">
        <f t="shared" si="8"/>
        <v>3102</v>
      </c>
      <c r="D17" s="60">
        <f>F17+E17</f>
        <v>58</v>
      </c>
      <c r="E17" s="60">
        <v>0</v>
      </c>
      <c r="F17" s="60">
        <v>58</v>
      </c>
      <c r="G17" s="60">
        <f>I17+H17</f>
        <v>3044</v>
      </c>
      <c r="H17" s="60">
        <v>0</v>
      </c>
      <c r="I17" s="60">
        <v>3044</v>
      </c>
      <c r="J17" s="65" t="s">
        <v>221</v>
      </c>
      <c r="K17" s="66"/>
      <c r="L17" s="55"/>
    </row>
    <row r="18" spans="1:12" ht="12.75" customHeight="1" thickBot="1" x14ac:dyDescent="0.25">
      <c r="A18" s="60">
        <f t="shared" si="8"/>
        <v>0</v>
      </c>
      <c r="B18" s="60">
        <f t="shared" si="8"/>
        <v>0</v>
      </c>
      <c r="C18" s="60">
        <f t="shared" si="8"/>
        <v>0</v>
      </c>
      <c r="D18" s="60">
        <f>F18+E18</f>
        <v>0</v>
      </c>
      <c r="E18" s="60">
        <v>0</v>
      </c>
      <c r="F18" s="60">
        <v>0</v>
      </c>
      <c r="G18" s="60">
        <f>I18+H18</f>
        <v>0</v>
      </c>
      <c r="H18" s="60">
        <v>0</v>
      </c>
      <c r="I18" s="60">
        <v>0</v>
      </c>
      <c r="J18" s="65" t="s">
        <v>222</v>
      </c>
      <c r="K18" s="66" t="s">
        <v>334</v>
      </c>
      <c r="L18" s="55"/>
    </row>
    <row r="19" spans="1:12" ht="12.75" customHeight="1" thickBot="1" x14ac:dyDescent="0.25">
      <c r="A19" s="60">
        <f t="shared" ref="A19:H19" si="9">SUM(A17:A18)</f>
        <v>3102</v>
      </c>
      <c r="B19" s="60">
        <f t="shared" si="9"/>
        <v>0</v>
      </c>
      <c r="C19" s="60">
        <f t="shared" si="9"/>
        <v>3102</v>
      </c>
      <c r="D19" s="60">
        <f t="shared" si="9"/>
        <v>58</v>
      </c>
      <c r="E19" s="60">
        <f t="shared" si="9"/>
        <v>0</v>
      </c>
      <c r="F19" s="60">
        <f t="shared" si="9"/>
        <v>58</v>
      </c>
      <c r="G19" s="60">
        <f t="shared" si="9"/>
        <v>3044</v>
      </c>
      <c r="H19" s="60">
        <f t="shared" si="9"/>
        <v>0</v>
      </c>
      <c r="I19" s="60">
        <f>SUM(I17:I18)</f>
        <v>3044</v>
      </c>
      <c r="J19" s="65" t="s">
        <v>13</v>
      </c>
      <c r="K19" s="67"/>
      <c r="L19" s="55"/>
    </row>
    <row r="20" spans="1:12" ht="12.75" customHeight="1" thickBot="1" x14ac:dyDescent="0.25">
      <c r="A20" s="60">
        <f t="shared" ref="A20:C21" si="10">G20+D20</f>
        <v>1652</v>
      </c>
      <c r="B20" s="60">
        <f t="shared" si="10"/>
        <v>785</v>
      </c>
      <c r="C20" s="60">
        <f t="shared" si="10"/>
        <v>867</v>
      </c>
      <c r="D20" s="60">
        <f>F20+E20</f>
        <v>0</v>
      </c>
      <c r="E20" s="60">
        <v>0</v>
      </c>
      <c r="F20" s="60">
        <v>0</v>
      </c>
      <c r="G20" s="60">
        <f>I20+H20</f>
        <v>1652</v>
      </c>
      <c r="H20" s="60">
        <v>785</v>
      </c>
      <c r="I20" s="60">
        <v>867</v>
      </c>
      <c r="J20" s="65" t="s">
        <v>221</v>
      </c>
      <c r="K20" s="66"/>
      <c r="L20" s="55"/>
    </row>
    <row r="21" spans="1:12" ht="12.75" customHeight="1" thickBot="1" x14ac:dyDescent="0.25">
      <c r="A21" s="60">
        <f t="shared" si="10"/>
        <v>0</v>
      </c>
      <c r="B21" s="60">
        <f t="shared" si="10"/>
        <v>0</v>
      </c>
      <c r="C21" s="60">
        <f t="shared" si="10"/>
        <v>0</v>
      </c>
      <c r="D21" s="60">
        <f>F21+E21</f>
        <v>0</v>
      </c>
      <c r="E21" s="60">
        <v>0</v>
      </c>
      <c r="F21" s="60">
        <v>0</v>
      </c>
      <c r="G21" s="60">
        <f>I21+H21</f>
        <v>0</v>
      </c>
      <c r="H21" s="60">
        <v>0</v>
      </c>
      <c r="I21" s="60">
        <v>0</v>
      </c>
      <c r="J21" s="65" t="s">
        <v>222</v>
      </c>
      <c r="K21" s="66" t="s">
        <v>470</v>
      </c>
      <c r="L21" s="55"/>
    </row>
    <row r="22" spans="1:12" ht="12.75" customHeight="1" thickBot="1" x14ac:dyDescent="0.25">
      <c r="A22" s="60">
        <f t="shared" ref="A22:H22" si="11">SUM(A20:A21)</f>
        <v>1652</v>
      </c>
      <c r="B22" s="60">
        <f t="shared" si="11"/>
        <v>785</v>
      </c>
      <c r="C22" s="60">
        <f t="shared" si="11"/>
        <v>867</v>
      </c>
      <c r="D22" s="60">
        <f t="shared" si="11"/>
        <v>0</v>
      </c>
      <c r="E22" s="60">
        <f t="shared" si="11"/>
        <v>0</v>
      </c>
      <c r="F22" s="60">
        <f t="shared" si="11"/>
        <v>0</v>
      </c>
      <c r="G22" s="60">
        <f t="shared" si="11"/>
        <v>1652</v>
      </c>
      <c r="H22" s="60">
        <f t="shared" si="11"/>
        <v>785</v>
      </c>
      <c r="I22" s="60">
        <f>SUM(I20:I21)</f>
        <v>867</v>
      </c>
      <c r="J22" s="65" t="s">
        <v>13</v>
      </c>
      <c r="K22" s="67"/>
      <c r="L22" s="55"/>
    </row>
    <row r="23" spans="1:12" ht="12.75" customHeight="1" thickBot="1" x14ac:dyDescent="0.25">
      <c r="A23" s="60">
        <f t="shared" ref="A23:C24" si="12">G23+D23</f>
        <v>5964</v>
      </c>
      <c r="B23" s="60">
        <f t="shared" si="12"/>
        <v>2975</v>
      </c>
      <c r="C23" s="60">
        <f t="shared" si="12"/>
        <v>2989</v>
      </c>
      <c r="D23" s="60">
        <f>F23+E23</f>
        <v>97</v>
      </c>
      <c r="E23" s="60">
        <v>64</v>
      </c>
      <c r="F23" s="60">
        <v>33</v>
      </c>
      <c r="G23" s="60">
        <f>I23+H23</f>
        <v>5867</v>
      </c>
      <c r="H23" s="60">
        <v>2911</v>
      </c>
      <c r="I23" s="60">
        <v>2956</v>
      </c>
      <c r="J23" s="65" t="s">
        <v>221</v>
      </c>
      <c r="K23" s="66"/>
      <c r="L23" s="55"/>
    </row>
    <row r="24" spans="1:12" ht="12.75" customHeight="1" thickBot="1" x14ac:dyDescent="0.25">
      <c r="A24" s="60">
        <f t="shared" si="12"/>
        <v>0</v>
      </c>
      <c r="B24" s="60">
        <f t="shared" si="12"/>
        <v>0</v>
      </c>
      <c r="C24" s="60">
        <f t="shared" si="12"/>
        <v>0</v>
      </c>
      <c r="D24" s="60">
        <f>F24+E24</f>
        <v>0</v>
      </c>
      <c r="E24" s="60">
        <v>0</v>
      </c>
      <c r="F24" s="60">
        <v>0</v>
      </c>
      <c r="G24" s="60">
        <f>I24+H24</f>
        <v>0</v>
      </c>
      <c r="H24" s="60">
        <v>0</v>
      </c>
      <c r="I24" s="60">
        <v>0</v>
      </c>
      <c r="J24" s="65" t="s">
        <v>222</v>
      </c>
      <c r="K24" s="66" t="s">
        <v>335</v>
      </c>
      <c r="L24" s="55"/>
    </row>
    <row r="25" spans="1:12" ht="12.75" customHeight="1" thickBot="1" x14ac:dyDescent="0.25">
      <c r="A25" s="60">
        <f t="shared" ref="A25:H25" si="13">SUM(A23:A24)</f>
        <v>5964</v>
      </c>
      <c r="B25" s="60">
        <f t="shared" si="13"/>
        <v>2975</v>
      </c>
      <c r="C25" s="60">
        <f t="shared" si="13"/>
        <v>2989</v>
      </c>
      <c r="D25" s="60">
        <f t="shared" si="13"/>
        <v>97</v>
      </c>
      <c r="E25" s="60">
        <f t="shared" si="13"/>
        <v>64</v>
      </c>
      <c r="F25" s="60">
        <f t="shared" si="13"/>
        <v>33</v>
      </c>
      <c r="G25" s="60">
        <f t="shared" si="13"/>
        <v>5867</v>
      </c>
      <c r="H25" s="60">
        <f t="shared" si="13"/>
        <v>2911</v>
      </c>
      <c r="I25" s="60">
        <f>SUM(I23:I24)</f>
        <v>2956</v>
      </c>
      <c r="J25" s="65" t="s">
        <v>13</v>
      </c>
      <c r="K25" s="67"/>
      <c r="L25" s="55"/>
    </row>
    <row r="26" spans="1:12" ht="12.75" customHeight="1" thickBot="1" x14ac:dyDescent="0.25">
      <c r="A26" s="60">
        <f t="shared" ref="A26:C27" si="14">G26+D26</f>
        <v>2512</v>
      </c>
      <c r="B26" s="60">
        <f t="shared" si="14"/>
        <v>1445</v>
      </c>
      <c r="C26" s="60">
        <f t="shared" si="14"/>
        <v>1067</v>
      </c>
      <c r="D26" s="60">
        <f>F26+E26</f>
        <v>330</v>
      </c>
      <c r="E26" s="60">
        <v>117</v>
      </c>
      <c r="F26" s="60">
        <v>213</v>
      </c>
      <c r="G26" s="60">
        <f>I26+H26</f>
        <v>2182</v>
      </c>
      <c r="H26" s="60">
        <v>1328</v>
      </c>
      <c r="I26" s="60">
        <v>854</v>
      </c>
      <c r="J26" s="65" t="s">
        <v>221</v>
      </c>
      <c r="K26" s="66"/>
      <c r="L26" s="55"/>
    </row>
    <row r="27" spans="1:12" ht="12.75" customHeight="1" thickBot="1" x14ac:dyDescent="0.25">
      <c r="A27" s="60">
        <f t="shared" si="14"/>
        <v>0</v>
      </c>
      <c r="B27" s="60">
        <f t="shared" si="14"/>
        <v>0</v>
      </c>
      <c r="C27" s="60">
        <f t="shared" si="14"/>
        <v>0</v>
      </c>
      <c r="D27" s="60">
        <f>F27+E27</f>
        <v>0</v>
      </c>
      <c r="E27" s="60">
        <v>0</v>
      </c>
      <c r="F27" s="60">
        <v>0</v>
      </c>
      <c r="G27" s="60">
        <f>I27+H27</f>
        <v>0</v>
      </c>
      <c r="H27" s="60">
        <v>0</v>
      </c>
      <c r="I27" s="60">
        <v>0</v>
      </c>
      <c r="J27" s="65" t="s">
        <v>222</v>
      </c>
      <c r="K27" s="66" t="s">
        <v>336</v>
      </c>
      <c r="L27" s="55"/>
    </row>
    <row r="28" spans="1:12" ht="12.75" customHeight="1" thickBot="1" x14ac:dyDescent="0.25">
      <c r="A28" s="60">
        <f t="shared" ref="A28:H28" si="15">SUM(A26:A27)</f>
        <v>2512</v>
      </c>
      <c r="B28" s="60">
        <f t="shared" si="15"/>
        <v>1445</v>
      </c>
      <c r="C28" s="60">
        <f t="shared" si="15"/>
        <v>1067</v>
      </c>
      <c r="D28" s="60">
        <f t="shared" si="15"/>
        <v>330</v>
      </c>
      <c r="E28" s="60">
        <f t="shared" si="15"/>
        <v>117</v>
      </c>
      <c r="F28" s="60">
        <f t="shared" si="15"/>
        <v>213</v>
      </c>
      <c r="G28" s="60">
        <f t="shared" si="15"/>
        <v>2182</v>
      </c>
      <c r="H28" s="60">
        <f t="shared" si="15"/>
        <v>1328</v>
      </c>
      <c r="I28" s="60">
        <f>SUM(I26:I27)</f>
        <v>854</v>
      </c>
      <c r="J28" s="65" t="s">
        <v>13</v>
      </c>
      <c r="K28" s="67"/>
      <c r="L28" s="55"/>
    </row>
    <row r="29" spans="1:12" ht="12.75" customHeight="1" thickBot="1" x14ac:dyDescent="0.25">
      <c r="A29" s="60">
        <f t="shared" ref="A29:C30" si="16">G29+D29</f>
        <v>2102</v>
      </c>
      <c r="B29" s="60">
        <f t="shared" si="16"/>
        <v>2102</v>
      </c>
      <c r="C29" s="60">
        <f t="shared" si="16"/>
        <v>0</v>
      </c>
      <c r="D29" s="60">
        <f>F29+E29</f>
        <v>23</v>
      </c>
      <c r="E29" s="60">
        <v>23</v>
      </c>
      <c r="F29" s="60">
        <v>0</v>
      </c>
      <c r="G29" s="60">
        <f>I29+H29</f>
        <v>2079</v>
      </c>
      <c r="H29" s="60">
        <v>2079</v>
      </c>
      <c r="I29" s="60">
        <v>0</v>
      </c>
      <c r="J29" s="65" t="s">
        <v>221</v>
      </c>
      <c r="K29" s="66"/>
      <c r="L29" s="55"/>
    </row>
    <row r="30" spans="1:12" ht="12.75" customHeight="1" thickBot="1" x14ac:dyDescent="0.25">
      <c r="A30" s="60">
        <f t="shared" si="16"/>
        <v>0</v>
      </c>
      <c r="B30" s="60">
        <f t="shared" si="16"/>
        <v>0</v>
      </c>
      <c r="C30" s="60">
        <f t="shared" si="16"/>
        <v>0</v>
      </c>
      <c r="D30" s="60">
        <f>F30+E30</f>
        <v>0</v>
      </c>
      <c r="E30" s="60">
        <v>0</v>
      </c>
      <c r="F30" s="60">
        <v>0</v>
      </c>
      <c r="G30" s="60">
        <f>I30+H30</f>
        <v>0</v>
      </c>
      <c r="H30" s="60">
        <v>0</v>
      </c>
      <c r="I30" s="60">
        <v>0</v>
      </c>
      <c r="J30" s="65" t="s">
        <v>222</v>
      </c>
      <c r="K30" s="66" t="s">
        <v>339</v>
      </c>
      <c r="L30" s="55"/>
    </row>
    <row r="31" spans="1:12" ht="12.75" customHeight="1" thickBot="1" x14ac:dyDescent="0.25">
      <c r="A31" s="60">
        <f t="shared" ref="A31:H31" si="17">SUM(A29:A30)</f>
        <v>2102</v>
      </c>
      <c r="B31" s="60">
        <f t="shared" si="17"/>
        <v>2102</v>
      </c>
      <c r="C31" s="60">
        <f t="shared" si="17"/>
        <v>0</v>
      </c>
      <c r="D31" s="60">
        <f t="shared" si="17"/>
        <v>23</v>
      </c>
      <c r="E31" s="60">
        <f t="shared" si="17"/>
        <v>23</v>
      </c>
      <c r="F31" s="60">
        <f t="shared" si="17"/>
        <v>0</v>
      </c>
      <c r="G31" s="60">
        <f t="shared" si="17"/>
        <v>2079</v>
      </c>
      <c r="H31" s="60">
        <f t="shared" si="17"/>
        <v>2079</v>
      </c>
      <c r="I31" s="60">
        <f>SUM(I29:I30)</f>
        <v>0</v>
      </c>
      <c r="J31" s="65" t="s">
        <v>13</v>
      </c>
      <c r="K31" s="67"/>
      <c r="L31" s="55"/>
    </row>
    <row r="32" spans="1:12" ht="12.75" customHeight="1" thickBot="1" x14ac:dyDescent="0.25">
      <c r="A32" s="60">
        <f t="shared" ref="A32:C33" si="18">G32+D32</f>
        <v>1649</v>
      </c>
      <c r="B32" s="60">
        <f t="shared" si="18"/>
        <v>1649</v>
      </c>
      <c r="C32" s="60">
        <f t="shared" si="18"/>
        <v>0</v>
      </c>
      <c r="D32" s="60">
        <f>F32+E32</f>
        <v>26</v>
      </c>
      <c r="E32" s="60">
        <v>26</v>
      </c>
      <c r="F32" s="60">
        <v>0</v>
      </c>
      <c r="G32" s="60">
        <f>I32+H32</f>
        <v>1623</v>
      </c>
      <c r="H32" s="60">
        <v>1623</v>
      </c>
      <c r="I32" s="60">
        <v>0</v>
      </c>
      <c r="J32" s="65" t="s">
        <v>221</v>
      </c>
      <c r="K32" s="66"/>
      <c r="L32" s="55"/>
    </row>
    <row r="33" spans="1:12" ht="12.75" customHeight="1" thickBot="1" x14ac:dyDescent="0.25">
      <c r="A33" s="60">
        <f t="shared" si="18"/>
        <v>0</v>
      </c>
      <c r="B33" s="60">
        <f t="shared" si="18"/>
        <v>0</v>
      </c>
      <c r="C33" s="60">
        <f t="shared" si="18"/>
        <v>0</v>
      </c>
      <c r="D33" s="60">
        <f>F33+E33</f>
        <v>0</v>
      </c>
      <c r="E33" s="60">
        <v>0</v>
      </c>
      <c r="F33" s="60">
        <v>0</v>
      </c>
      <c r="G33" s="60">
        <f>I33+H33</f>
        <v>0</v>
      </c>
      <c r="H33" s="60">
        <v>0</v>
      </c>
      <c r="I33" s="60">
        <v>0</v>
      </c>
      <c r="J33" s="65" t="s">
        <v>222</v>
      </c>
      <c r="K33" s="66" t="s">
        <v>562</v>
      </c>
      <c r="L33" s="55"/>
    </row>
    <row r="34" spans="1:12" ht="12.75" customHeight="1" thickBot="1" x14ac:dyDescent="0.25">
      <c r="A34" s="60">
        <f t="shared" ref="A34:H34" si="19">SUM(A32:A33)</f>
        <v>1649</v>
      </c>
      <c r="B34" s="60">
        <f t="shared" si="19"/>
        <v>1649</v>
      </c>
      <c r="C34" s="60">
        <f t="shared" si="19"/>
        <v>0</v>
      </c>
      <c r="D34" s="60">
        <f t="shared" si="19"/>
        <v>26</v>
      </c>
      <c r="E34" s="60">
        <f t="shared" si="19"/>
        <v>26</v>
      </c>
      <c r="F34" s="60">
        <f t="shared" si="19"/>
        <v>0</v>
      </c>
      <c r="G34" s="60">
        <f t="shared" si="19"/>
        <v>1623</v>
      </c>
      <c r="H34" s="60">
        <f t="shared" si="19"/>
        <v>1623</v>
      </c>
      <c r="I34" s="60">
        <f>SUM(I32:I33)</f>
        <v>0</v>
      </c>
      <c r="J34" s="65" t="s">
        <v>13</v>
      </c>
      <c r="K34" s="67"/>
      <c r="L34" s="55"/>
    </row>
    <row r="35" spans="1:12" ht="12.75" customHeight="1" thickBot="1" x14ac:dyDescent="0.25">
      <c r="A35" s="60">
        <f t="shared" ref="A35:C36" si="20">G35+D35</f>
        <v>2570</v>
      </c>
      <c r="B35" s="60">
        <f t="shared" si="20"/>
        <v>2570</v>
      </c>
      <c r="C35" s="60">
        <f t="shared" si="20"/>
        <v>0</v>
      </c>
      <c r="D35" s="60">
        <f>F35+E35</f>
        <v>1</v>
      </c>
      <c r="E35" s="60">
        <v>1</v>
      </c>
      <c r="F35" s="60">
        <v>0</v>
      </c>
      <c r="G35" s="60">
        <f>I35+H35</f>
        <v>2569</v>
      </c>
      <c r="H35" s="60">
        <v>2569</v>
      </c>
      <c r="I35" s="60">
        <v>0</v>
      </c>
      <c r="J35" s="65" t="s">
        <v>221</v>
      </c>
      <c r="K35" s="66"/>
      <c r="L35" s="55"/>
    </row>
    <row r="36" spans="1:12" ht="12.75" customHeight="1" thickBot="1" x14ac:dyDescent="0.25">
      <c r="A36" s="60">
        <f t="shared" si="20"/>
        <v>168</v>
      </c>
      <c r="B36" s="60">
        <f t="shared" si="20"/>
        <v>168</v>
      </c>
      <c r="C36" s="60">
        <f t="shared" si="20"/>
        <v>0</v>
      </c>
      <c r="D36" s="60">
        <f>F36+E36</f>
        <v>2</v>
      </c>
      <c r="E36" s="60">
        <v>2</v>
      </c>
      <c r="F36" s="60">
        <v>0</v>
      </c>
      <c r="G36" s="60">
        <f>I36+H36</f>
        <v>166</v>
      </c>
      <c r="H36" s="60">
        <v>166</v>
      </c>
      <c r="I36" s="60">
        <v>0</v>
      </c>
      <c r="J36" s="65" t="s">
        <v>222</v>
      </c>
      <c r="K36" s="66" t="s">
        <v>341</v>
      </c>
      <c r="L36" s="55"/>
    </row>
    <row r="37" spans="1:12" ht="12.75" customHeight="1" thickBot="1" x14ac:dyDescent="0.25">
      <c r="A37" s="60">
        <f t="shared" ref="A37:H37" si="21">SUM(A35:A36)</f>
        <v>2738</v>
      </c>
      <c r="B37" s="60">
        <f t="shared" si="21"/>
        <v>2738</v>
      </c>
      <c r="C37" s="60">
        <f t="shared" si="21"/>
        <v>0</v>
      </c>
      <c r="D37" s="60">
        <f t="shared" si="21"/>
        <v>3</v>
      </c>
      <c r="E37" s="60">
        <f t="shared" si="21"/>
        <v>3</v>
      </c>
      <c r="F37" s="60">
        <f t="shared" si="21"/>
        <v>0</v>
      </c>
      <c r="G37" s="60">
        <f t="shared" si="21"/>
        <v>2735</v>
      </c>
      <c r="H37" s="60">
        <f t="shared" si="21"/>
        <v>2735</v>
      </c>
      <c r="I37" s="60">
        <f>SUM(I35:I36)</f>
        <v>0</v>
      </c>
      <c r="J37" s="65" t="s">
        <v>13</v>
      </c>
      <c r="K37" s="67"/>
      <c r="L37" s="55"/>
    </row>
    <row r="38" spans="1:12" ht="12.75" customHeight="1" thickBot="1" x14ac:dyDescent="0.25">
      <c r="A38" s="60">
        <f t="shared" ref="A38:C42" si="22">G38+D38</f>
        <v>2175</v>
      </c>
      <c r="B38" s="60">
        <f t="shared" si="22"/>
        <v>2175</v>
      </c>
      <c r="C38" s="60">
        <f t="shared" si="22"/>
        <v>0</v>
      </c>
      <c r="D38" s="60">
        <f t="shared" ref="D38:D39" si="23">F38+E38</f>
        <v>0</v>
      </c>
      <c r="E38" s="60">
        <v>0</v>
      </c>
      <c r="F38" s="60">
        <v>0</v>
      </c>
      <c r="G38" s="60">
        <f t="shared" ref="G38:G39" si="24">I38+H38</f>
        <v>2175</v>
      </c>
      <c r="H38" s="60">
        <v>2175</v>
      </c>
      <c r="I38" s="60">
        <v>0</v>
      </c>
      <c r="J38" s="65" t="s">
        <v>221</v>
      </c>
      <c r="K38" s="66"/>
      <c r="L38" s="55"/>
    </row>
    <row r="39" spans="1:12" ht="12.75" customHeight="1" thickBot="1" x14ac:dyDescent="0.25">
      <c r="A39" s="60">
        <f t="shared" si="22"/>
        <v>0</v>
      </c>
      <c r="B39" s="60">
        <f t="shared" si="22"/>
        <v>0</v>
      </c>
      <c r="C39" s="60">
        <f t="shared" si="22"/>
        <v>0</v>
      </c>
      <c r="D39" s="60">
        <f t="shared" si="23"/>
        <v>0</v>
      </c>
      <c r="E39" s="60">
        <v>0</v>
      </c>
      <c r="F39" s="60">
        <v>0</v>
      </c>
      <c r="G39" s="60">
        <f t="shared" si="24"/>
        <v>0</v>
      </c>
      <c r="H39" s="60">
        <v>0</v>
      </c>
      <c r="I39" s="60">
        <v>0</v>
      </c>
      <c r="J39" s="65" t="s">
        <v>222</v>
      </c>
      <c r="K39" s="66" t="s">
        <v>342</v>
      </c>
      <c r="L39" s="55"/>
    </row>
    <row r="40" spans="1:12" ht="12.75" customHeight="1" thickBot="1" x14ac:dyDescent="0.25">
      <c r="A40" s="60">
        <f t="shared" si="22"/>
        <v>2175</v>
      </c>
      <c r="B40" s="60">
        <f t="shared" si="22"/>
        <v>2175</v>
      </c>
      <c r="C40" s="60">
        <f t="shared" si="22"/>
        <v>0</v>
      </c>
      <c r="D40" s="60">
        <f t="shared" ref="D40:I40" si="25">SUM(D38:D39)</f>
        <v>0</v>
      </c>
      <c r="E40" s="60">
        <f t="shared" si="25"/>
        <v>0</v>
      </c>
      <c r="F40" s="60">
        <f t="shared" si="25"/>
        <v>0</v>
      </c>
      <c r="G40" s="60">
        <f t="shared" si="25"/>
        <v>2175</v>
      </c>
      <c r="H40" s="60">
        <f t="shared" si="25"/>
        <v>2175</v>
      </c>
      <c r="I40" s="60">
        <f t="shared" si="25"/>
        <v>0</v>
      </c>
      <c r="J40" s="65" t="s">
        <v>13</v>
      </c>
      <c r="K40" s="67"/>
      <c r="L40" s="55"/>
    </row>
    <row r="41" spans="1:12" ht="12.75" customHeight="1" thickBot="1" x14ac:dyDescent="0.25">
      <c r="A41" s="60">
        <f t="shared" si="22"/>
        <v>1542</v>
      </c>
      <c r="B41" s="60">
        <f t="shared" si="22"/>
        <v>0</v>
      </c>
      <c r="C41" s="60">
        <f t="shared" si="22"/>
        <v>1542</v>
      </c>
      <c r="D41" s="60">
        <f>F41+E41</f>
        <v>0</v>
      </c>
      <c r="E41" s="60">
        <v>0</v>
      </c>
      <c r="F41" s="60">
        <v>0</v>
      </c>
      <c r="G41" s="60">
        <f>I41+H41</f>
        <v>1542</v>
      </c>
      <c r="H41" s="60">
        <v>0</v>
      </c>
      <c r="I41" s="60">
        <v>1542</v>
      </c>
      <c r="J41" s="65" t="s">
        <v>221</v>
      </c>
      <c r="K41" s="66"/>
      <c r="L41" s="55"/>
    </row>
    <row r="42" spans="1:12" ht="12.75" customHeight="1" thickBot="1" x14ac:dyDescent="0.25">
      <c r="A42" s="60">
        <f t="shared" si="22"/>
        <v>0</v>
      </c>
      <c r="B42" s="60">
        <f t="shared" si="22"/>
        <v>0</v>
      </c>
      <c r="C42" s="60">
        <f t="shared" si="22"/>
        <v>0</v>
      </c>
      <c r="D42" s="60">
        <f>F42+E42</f>
        <v>0</v>
      </c>
      <c r="E42" s="60">
        <v>0</v>
      </c>
      <c r="F42" s="60">
        <v>0</v>
      </c>
      <c r="G42" s="60">
        <f>I42+H42</f>
        <v>0</v>
      </c>
      <c r="H42" s="60">
        <v>0</v>
      </c>
      <c r="I42" s="60">
        <v>0</v>
      </c>
      <c r="J42" s="65" t="s">
        <v>222</v>
      </c>
      <c r="K42" s="66" t="s">
        <v>329</v>
      </c>
      <c r="L42" s="55"/>
    </row>
    <row r="43" spans="1:12" ht="12.75" customHeight="1" thickBot="1" x14ac:dyDescent="0.25">
      <c r="A43" s="60">
        <f t="shared" ref="A43:H43" si="26">SUM(A41:A42)</f>
        <v>1542</v>
      </c>
      <c r="B43" s="60">
        <f t="shared" si="26"/>
        <v>0</v>
      </c>
      <c r="C43" s="60">
        <f t="shared" si="26"/>
        <v>1542</v>
      </c>
      <c r="D43" s="60">
        <f t="shared" si="26"/>
        <v>0</v>
      </c>
      <c r="E43" s="60">
        <f t="shared" si="26"/>
        <v>0</v>
      </c>
      <c r="F43" s="60">
        <f t="shared" si="26"/>
        <v>0</v>
      </c>
      <c r="G43" s="60">
        <f t="shared" si="26"/>
        <v>1542</v>
      </c>
      <c r="H43" s="60">
        <f t="shared" si="26"/>
        <v>0</v>
      </c>
      <c r="I43" s="60">
        <f>SUM(I41:I42)</f>
        <v>1542</v>
      </c>
      <c r="J43" s="65" t="s">
        <v>13</v>
      </c>
      <c r="K43" s="67"/>
      <c r="L43" s="55"/>
    </row>
    <row r="44" spans="1:12" ht="12.75" customHeight="1" thickBot="1" x14ac:dyDescent="0.25">
      <c r="A44" s="60">
        <f t="shared" ref="A44:C45" si="27">G44+D44</f>
        <v>1713</v>
      </c>
      <c r="B44" s="60">
        <f t="shared" si="27"/>
        <v>0</v>
      </c>
      <c r="C44" s="60">
        <f t="shared" si="27"/>
        <v>1713</v>
      </c>
      <c r="D44" s="60">
        <f>F44+E44</f>
        <v>0</v>
      </c>
      <c r="E44" s="60">
        <v>0</v>
      </c>
      <c r="F44" s="60">
        <v>0</v>
      </c>
      <c r="G44" s="60">
        <f>I44+H44</f>
        <v>1713</v>
      </c>
      <c r="H44" s="60">
        <v>0</v>
      </c>
      <c r="I44" s="60">
        <v>1713</v>
      </c>
      <c r="J44" s="65" t="s">
        <v>221</v>
      </c>
      <c r="K44" s="66"/>
      <c r="L44" s="55"/>
    </row>
    <row r="45" spans="1:12" ht="12.75" customHeight="1" thickBot="1" x14ac:dyDescent="0.25">
      <c r="A45" s="60">
        <f t="shared" si="27"/>
        <v>0</v>
      </c>
      <c r="B45" s="60">
        <f t="shared" si="27"/>
        <v>0</v>
      </c>
      <c r="C45" s="60">
        <f t="shared" si="27"/>
        <v>0</v>
      </c>
      <c r="D45" s="60">
        <f>F45+E45</f>
        <v>0</v>
      </c>
      <c r="E45" s="60">
        <v>0</v>
      </c>
      <c r="F45" s="60">
        <v>0</v>
      </c>
      <c r="G45" s="60">
        <f>I45+H45</f>
        <v>0</v>
      </c>
      <c r="H45" s="60">
        <v>0</v>
      </c>
      <c r="I45" s="60">
        <v>0</v>
      </c>
      <c r="J45" s="65" t="s">
        <v>222</v>
      </c>
      <c r="K45" s="66" t="s">
        <v>343</v>
      </c>
      <c r="L45" s="55"/>
    </row>
    <row r="46" spans="1:12" ht="12.75" customHeight="1" thickBot="1" x14ac:dyDescent="0.25">
      <c r="A46" s="60">
        <f t="shared" ref="A46:H46" si="28">SUM(A44:A45)</f>
        <v>1713</v>
      </c>
      <c r="B46" s="60">
        <f t="shared" si="28"/>
        <v>0</v>
      </c>
      <c r="C46" s="60">
        <f t="shared" si="28"/>
        <v>1713</v>
      </c>
      <c r="D46" s="60">
        <f t="shared" si="28"/>
        <v>0</v>
      </c>
      <c r="E46" s="60">
        <f t="shared" si="28"/>
        <v>0</v>
      </c>
      <c r="F46" s="60">
        <f t="shared" si="28"/>
        <v>0</v>
      </c>
      <c r="G46" s="60">
        <f t="shared" si="28"/>
        <v>1713</v>
      </c>
      <c r="H46" s="60">
        <f t="shared" si="28"/>
        <v>0</v>
      </c>
      <c r="I46" s="60">
        <f>SUM(I44:I45)</f>
        <v>1713</v>
      </c>
      <c r="J46" s="65" t="s">
        <v>13</v>
      </c>
      <c r="K46" s="67"/>
      <c r="L46" s="55"/>
    </row>
    <row r="47" spans="1:12" ht="12.75" customHeight="1" thickBot="1" x14ac:dyDescent="0.25">
      <c r="A47" s="60">
        <f t="shared" ref="A47:C48" si="29">G47+D47</f>
        <v>2333</v>
      </c>
      <c r="B47" s="60">
        <f t="shared" si="29"/>
        <v>2333</v>
      </c>
      <c r="C47" s="60">
        <f t="shared" si="29"/>
        <v>0</v>
      </c>
      <c r="D47" s="60">
        <f>F47+E47</f>
        <v>23</v>
      </c>
      <c r="E47" s="60">
        <v>23</v>
      </c>
      <c r="F47" s="60">
        <v>0</v>
      </c>
      <c r="G47" s="60">
        <f>I47+H47</f>
        <v>2310</v>
      </c>
      <c r="H47" s="60">
        <v>2310</v>
      </c>
      <c r="I47" s="60">
        <v>0</v>
      </c>
      <c r="J47" s="65" t="s">
        <v>221</v>
      </c>
      <c r="K47" s="66"/>
      <c r="L47" s="55"/>
    </row>
    <row r="48" spans="1:12" ht="12.75" customHeight="1" thickBot="1" x14ac:dyDescent="0.25">
      <c r="A48" s="60">
        <f t="shared" si="29"/>
        <v>773</v>
      </c>
      <c r="B48" s="60">
        <f t="shared" si="29"/>
        <v>773</v>
      </c>
      <c r="C48" s="60">
        <f t="shared" si="29"/>
        <v>0</v>
      </c>
      <c r="D48" s="60">
        <f>F48+E48</f>
        <v>6</v>
      </c>
      <c r="E48" s="60">
        <v>6</v>
      </c>
      <c r="F48" s="60">
        <v>0</v>
      </c>
      <c r="G48" s="60">
        <f>I48+H48</f>
        <v>767</v>
      </c>
      <c r="H48" s="60">
        <v>767</v>
      </c>
      <c r="I48" s="60">
        <v>0</v>
      </c>
      <c r="J48" s="65" t="s">
        <v>222</v>
      </c>
      <c r="K48" s="66" t="s">
        <v>344</v>
      </c>
      <c r="L48" s="55"/>
    </row>
    <row r="49" spans="1:12" ht="12.75" customHeight="1" thickBot="1" x14ac:dyDescent="0.25">
      <c r="A49" s="60">
        <f t="shared" ref="A49:H49" si="30">SUM(A47:A48)</f>
        <v>3106</v>
      </c>
      <c r="B49" s="60">
        <f t="shared" si="30"/>
        <v>3106</v>
      </c>
      <c r="C49" s="60">
        <f t="shared" si="30"/>
        <v>0</v>
      </c>
      <c r="D49" s="60">
        <f t="shared" si="30"/>
        <v>29</v>
      </c>
      <c r="E49" s="60">
        <f t="shared" si="30"/>
        <v>29</v>
      </c>
      <c r="F49" s="60">
        <f t="shared" si="30"/>
        <v>0</v>
      </c>
      <c r="G49" s="60">
        <f t="shared" si="30"/>
        <v>3077</v>
      </c>
      <c r="H49" s="60">
        <f t="shared" si="30"/>
        <v>3077</v>
      </c>
      <c r="I49" s="60">
        <f>SUM(I47:I48)</f>
        <v>0</v>
      </c>
      <c r="J49" s="65" t="s">
        <v>13</v>
      </c>
      <c r="K49" s="67"/>
      <c r="L49" s="55"/>
    </row>
    <row r="50" spans="1:12" ht="12.75" customHeight="1" thickBot="1" x14ac:dyDescent="0.25">
      <c r="A50" s="60">
        <f t="shared" ref="A50:C51" si="31">G50+D50</f>
        <v>3087</v>
      </c>
      <c r="B50" s="60">
        <f t="shared" si="31"/>
        <v>3087</v>
      </c>
      <c r="C50" s="60">
        <f t="shared" si="31"/>
        <v>0</v>
      </c>
      <c r="D50" s="60">
        <f>F50+E50</f>
        <v>31</v>
      </c>
      <c r="E50" s="60">
        <v>31</v>
      </c>
      <c r="F50" s="60">
        <v>0</v>
      </c>
      <c r="G50" s="60">
        <f>I50+H50</f>
        <v>3056</v>
      </c>
      <c r="H50" s="60">
        <v>3056</v>
      </c>
      <c r="I50" s="60">
        <v>0</v>
      </c>
      <c r="J50" s="65" t="s">
        <v>221</v>
      </c>
      <c r="K50" s="66"/>
      <c r="L50" s="55"/>
    </row>
    <row r="51" spans="1:12" ht="12.75" customHeight="1" thickBot="1" x14ac:dyDescent="0.25">
      <c r="A51" s="60">
        <f t="shared" si="31"/>
        <v>741</v>
      </c>
      <c r="B51" s="60">
        <f t="shared" si="31"/>
        <v>741</v>
      </c>
      <c r="C51" s="60">
        <f t="shared" si="31"/>
        <v>0</v>
      </c>
      <c r="D51" s="60">
        <f>F51+E51</f>
        <v>9</v>
      </c>
      <c r="E51" s="60">
        <v>9</v>
      </c>
      <c r="F51" s="60">
        <v>0</v>
      </c>
      <c r="G51" s="60">
        <f>I51+H51</f>
        <v>732</v>
      </c>
      <c r="H51" s="60">
        <v>732</v>
      </c>
      <c r="I51" s="60">
        <v>0</v>
      </c>
      <c r="J51" s="65" t="s">
        <v>222</v>
      </c>
      <c r="K51" s="66" t="s">
        <v>563</v>
      </c>
      <c r="L51" s="55"/>
    </row>
    <row r="52" spans="1:12" ht="12.75" customHeight="1" thickBot="1" x14ac:dyDescent="0.25">
      <c r="A52" s="60">
        <f t="shared" ref="A52:H52" si="32">SUM(A50:A51)</f>
        <v>3828</v>
      </c>
      <c r="B52" s="60">
        <f t="shared" si="32"/>
        <v>3828</v>
      </c>
      <c r="C52" s="60">
        <f t="shared" si="32"/>
        <v>0</v>
      </c>
      <c r="D52" s="60">
        <f t="shared" si="32"/>
        <v>40</v>
      </c>
      <c r="E52" s="60">
        <f t="shared" si="32"/>
        <v>40</v>
      </c>
      <c r="F52" s="60">
        <f t="shared" si="32"/>
        <v>0</v>
      </c>
      <c r="G52" s="60">
        <f t="shared" si="32"/>
        <v>3788</v>
      </c>
      <c r="H52" s="60">
        <f t="shared" si="32"/>
        <v>3788</v>
      </c>
      <c r="I52" s="60">
        <f>SUM(I50:I51)</f>
        <v>0</v>
      </c>
      <c r="J52" s="65" t="s">
        <v>13</v>
      </c>
      <c r="K52" s="67"/>
      <c r="L52" s="55"/>
    </row>
    <row r="53" spans="1:12" ht="12.75" customHeight="1" thickBot="1" x14ac:dyDescent="0.25">
      <c r="A53" s="60">
        <f t="shared" ref="A53:I55" si="33">A5+A8+A11+A14+A17+A20+A23+A26+A29+A32+A35+A41+A44+A47+A50</f>
        <v>43939</v>
      </c>
      <c r="B53" s="60">
        <f t="shared" si="33"/>
        <v>24955</v>
      </c>
      <c r="C53" s="60">
        <f t="shared" si="33"/>
        <v>18984</v>
      </c>
      <c r="D53" s="60">
        <f t="shared" si="33"/>
        <v>869</v>
      </c>
      <c r="E53" s="60">
        <f t="shared" si="33"/>
        <v>392</v>
      </c>
      <c r="F53" s="60">
        <f t="shared" si="33"/>
        <v>477</v>
      </c>
      <c r="G53" s="60">
        <f t="shared" si="33"/>
        <v>43070</v>
      </c>
      <c r="H53" s="60">
        <f t="shared" si="33"/>
        <v>24563</v>
      </c>
      <c r="I53" s="60">
        <f t="shared" si="33"/>
        <v>18507</v>
      </c>
      <c r="J53" s="65" t="s">
        <v>224</v>
      </c>
      <c r="K53" s="57"/>
      <c r="L53" s="55"/>
    </row>
    <row r="54" spans="1:12" ht="12.75" customHeight="1" thickBot="1" x14ac:dyDescent="0.25">
      <c r="A54" s="60">
        <f t="shared" si="33"/>
        <v>1682</v>
      </c>
      <c r="B54" s="60">
        <f t="shared" si="33"/>
        <v>1682</v>
      </c>
      <c r="C54" s="60">
        <f t="shared" si="33"/>
        <v>0</v>
      </c>
      <c r="D54" s="60">
        <f t="shared" si="33"/>
        <v>17</v>
      </c>
      <c r="E54" s="60">
        <f t="shared" si="33"/>
        <v>17</v>
      </c>
      <c r="F54" s="60">
        <f t="shared" si="33"/>
        <v>0</v>
      </c>
      <c r="G54" s="60">
        <f t="shared" si="33"/>
        <v>1665</v>
      </c>
      <c r="H54" s="60">
        <f t="shared" si="33"/>
        <v>1665</v>
      </c>
      <c r="I54" s="60">
        <f t="shared" si="33"/>
        <v>0</v>
      </c>
      <c r="J54" s="65" t="s">
        <v>225</v>
      </c>
      <c r="K54" s="68" t="s">
        <v>211</v>
      </c>
      <c r="L54" s="55"/>
    </row>
    <row r="55" spans="1:12" ht="12.75" customHeight="1" thickBot="1" x14ac:dyDescent="0.25">
      <c r="A55" s="60">
        <f t="shared" si="33"/>
        <v>45621</v>
      </c>
      <c r="B55" s="60">
        <f t="shared" si="33"/>
        <v>26637</v>
      </c>
      <c r="C55" s="60">
        <f t="shared" si="33"/>
        <v>18984</v>
      </c>
      <c r="D55" s="60">
        <f t="shared" si="33"/>
        <v>886</v>
      </c>
      <c r="E55" s="60">
        <f t="shared" si="33"/>
        <v>409</v>
      </c>
      <c r="F55" s="60">
        <f t="shared" si="33"/>
        <v>477</v>
      </c>
      <c r="G55" s="60">
        <f t="shared" si="33"/>
        <v>44735</v>
      </c>
      <c r="H55" s="60">
        <f t="shared" si="33"/>
        <v>26228</v>
      </c>
      <c r="I55" s="60">
        <f t="shared" si="33"/>
        <v>18507</v>
      </c>
      <c r="J55" s="65" t="s">
        <v>13</v>
      </c>
      <c r="K55" s="59"/>
      <c r="L55" s="55"/>
    </row>
    <row r="56" spans="1:12" ht="12.75" customHeight="1" x14ac:dyDescent="0.2">
      <c r="A56" s="177" t="s">
        <v>560</v>
      </c>
      <c r="B56" s="177"/>
      <c r="C56" s="177"/>
      <c r="D56" s="177"/>
      <c r="E56" s="177"/>
      <c r="F56" s="177"/>
      <c r="G56" s="177"/>
      <c r="H56" s="177"/>
      <c r="I56" s="177"/>
      <c r="J56" s="177"/>
      <c r="K56" s="177"/>
      <c r="L56" s="55"/>
    </row>
    <row r="57" spans="1:12" ht="12.75" customHeight="1" thickBot="1" x14ac:dyDescent="0.25">
      <c r="A57" s="178" t="s">
        <v>561</v>
      </c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55"/>
    </row>
    <row r="58" spans="1:12" ht="12.75" customHeight="1" thickBot="1" x14ac:dyDescent="0.25">
      <c r="A58" s="179" t="s">
        <v>5</v>
      </c>
      <c r="B58" s="179"/>
      <c r="C58" s="179"/>
      <c r="D58" s="179" t="s">
        <v>162</v>
      </c>
      <c r="E58" s="179"/>
      <c r="F58" s="179"/>
      <c r="G58" s="179" t="s">
        <v>163</v>
      </c>
      <c r="H58" s="179"/>
      <c r="I58" s="179"/>
      <c r="J58" s="179" t="s">
        <v>72</v>
      </c>
      <c r="K58" s="179"/>
      <c r="L58" s="55"/>
    </row>
    <row r="59" spans="1:12" ht="12.75" customHeight="1" thickBot="1" x14ac:dyDescent="0.25">
      <c r="A59" s="58" t="s">
        <v>216</v>
      </c>
      <c r="B59" s="58" t="s">
        <v>11</v>
      </c>
      <c r="C59" s="58" t="s">
        <v>10</v>
      </c>
      <c r="D59" s="58" t="s">
        <v>216</v>
      </c>
      <c r="E59" s="58" t="s">
        <v>11</v>
      </c>
      <c r="F59" s="58" t="s">
        <v>10</v>
      </c>
      <c r="G59" s="58" t="s">
        <v>216</v>
      </c>
      <c r="H59" s="58" t="s">
        <v>11</v>
      </c>
      <c r="I59" s="58" t="s">
        <v>10</v>
      </c>
      <c r="J59" s="180" t="s">
        <v>164</v>
      </c>
      <c r="K59" s="180"/>
      <c r="L59" s="55"/>
    </row>
    <row r="60" spans="1:12" ht="12.75" customHeight="1" thickBot="1" x14ac:dyDescent="0.25">
      <c r="A60" s="60">
        <f>SUM(B60:C60)</f>
        <v>263</v>
      </c>
      <c r="B60" s="60">
        <f>H60+E60</f>
        <v>0</v>
      </c>
      <c r="C60" s="60">
        <f>I60+F60</f>
        <v>263</v>
      </c>
      <c r="D60" s="60">
        <f>SUM(E60:F60)</f>
        <v>123</v>
      </c>
      <c r="E60" s="60">
        <v>0</v>
      </c>
      <c r="F60" s="60">
        <v>123</v>
      </c>
      <c r="G60" s="60">
        <f>SUM(H60:I60)</f>
        <v>140</v>
      </c>
      <c r="H60" s="60">
        <v>0</v>
      </c>
      <c r="I60" s="60">
        <f>90+50</f>
        <v>140</v>
      </c>
      <c r="J60" s="65" t="s">
        <v>221</v>
      </c>
      <c r="K60" s="66"/>
      <c r="L60" s="55"/>
    </row>
    <row r="61" spans="1:12" ht="12.75" customHeight="1" thickBot="1" x14ac:dyDescent="0.25">
      <c r="A61" s="60">
        <f t="shared" ref="A61:A73" si="34">SUM(B61:C61)</f>
        <v>0</v>
      </c>
      <c r="B61" s="60">
        <f t="shared" ref="B61:C73" si="35">H61+E61</f>
        <v>0</v>
      </c>
      <c r="C61" s="60">
        <f t="shared" si="35"/>
        <v>0</v>
      </c>
      <c r="D61" s="60">
        <f t="shared" ref="D61:D73" si="36">SUM(E61:F61)</f>
        <v>0</v>
      </c>
      <c r="E61" s="60">
        <v>0</v>
      </c>
      <c r="F61" s="60">
        <v>0</v>
      </c>
      <c r="G61" s="60">
        <f t="shared" ref="G61:G73" si="37">SUM(H61:I61)</f>
        <v>0</v>
      </c>
      <c r="H61" s="60">
        <v>0</v>
      </c>
      <c r="I61" s="60">
        <v>0</v>
      </c>
      <c r="J61" s="65" t="s">
        <v>222</v>
      </c>
      <c r="K61" s="66" t="s">
        <v>346</v>
      </c>
      <c r="L61" s="55"/>
    </row>
    <row r="62" spans="1:12" ht="12.75" customHeight="1" thickBot="1" x14ac:dyDescent="0.25">
      <c r="A62" s="60">
        <f t="shared" ref="A62:H62" si="38">SUM(A60:A61)</f>
        <v>263</v>
      </c>
      <c r="B62" s="60">
        <f t="shared" si="38"/>
        <v>0</v>
      </c>
      <c r="C62" s="60">
        <f t="shared" si="38"/>
        <v>263</v>
      </c>
      <c r="D62" s="60">
        <f t="shared" si="38"/>
        <v>123</v>
      </c>
      <c r="E62" s="60">
        <f t="shared" si="38"/>
        <v>0</v>
      </c>
      <c r="F62" s="60">
        <f t="shared" si="38"/>
        <v>123</v>
      </c>
      <c r="G62" s="60">
        <f t="shared" si="38"/>
        <v>140</v>
      </c>
      <c r="H62" s="60">
        <f t="shared" si="38"/>
        <v>0</v>
      </c>
      <c r="I62" s="60">
        <f>SUM(I60:I61)</f>
        <v>140</v>
      </c>
      <c r="J62" s="65" t="s">
        <v>13</v>
      </c>
      <c r="K62" s="67"/>
      <c r="L62" s="55"/>
    </row>
    <row r="63" spans="1:12" ht="12.75" customHeight="1" thickBot="1" x14ac:dyDescent="0.25">
      <c r="A63" s="60">
        <f t="shared" si="34"/>
        <v>572</v>
      </c>
      <c r="B63" s="60">
        <f t="shared" si="35"/>
        <v>0</v>
      </c>
      <c r="C63" s="60">
        <f t="shared" si="35"/>
        <v>572</v>
      </c>
      <c r="D63" s="60">
        <f t="shared" si="36"/>
        <v>466</v>
      </c>
      <c r="E63" s="60">
        <v>0</v>
      </c>
      <c r="F63" s="60">
        <f>562-96</f>
        <v>466</v>
      </c>
      <c r="G63" s="60">
        <f t="shared" si="37"/>
        <v>106</v>
      </c>
      <c r="H63" s="60">
        <v>0</v>
      </c>
      <c r="I63" s="60">
        <f>44+62</f>
        <v>106</v>
      </c>
      <c r="J63" s="65" t="s">
        <v>221</v>
      </c>
      <c r="K63" s="66"/>
      <c r="L63" s="55"/>
    </row>
    <row r="64" spans="1:12" ht="12.75" customHeight="1" thickBot="1" x14ac:dyDescent="0.25">
      <c r="A64" s="60">
        <f t="shared" si="34"/>
        <v>0</v>
      </c>
      <c r="B64" s="60">
        <f t="shared" si="35"/>
        <v>0</v>
      </c>
      <c r="C64" s="60">
        <f t="shared" si="35"/>
        <v>0</v>
      </c>
      <c r="D64" s="60">
        <f t="shared" si="36"/>
        <v>0</v>
      </c>
      <c r="E64" s="60">
        <v>0</v>
      </c>
      <c r="F64" s="60">
        <v>0</v>
      </c>
      <c r="G64" s="60">
        <f t="shared" si="37"/>
        <v>0</v>
      </c>
      <c r="H64" s="60">
        <v>0</v>
      </c>
      <c r="I64" s="60">
        <v>0</v>
      </c>
      <c r="J64" s="65" t="s">
        <v>222</v>
      </c>
      <c r="K64" s="66" t="s">
        <v>347</v>
      </c>
      <c r="L64" s="55"/>
    </row>
    <row r="65" spans="1:12" ht="12.75" customHeight="1" thickBot="1" x14ac:dyDescent="0.25">
      <c r="A65" s="60">
        <f t="shared" ref="A65:H65" si="39">SUM(A63:A64)</f>
        <v>572</v>
      </c>
      <c r="B65" s="60">
        <f t="shared" si="39"/>
        <v>0</v>
      </c>
      <c r="C65" s="60">
        <f t="shared" si="39"/>
        <v>572</v>
      </c>
      <c r="D65" s="60">
        <f t="shared" si="39"/>
        <v>466</v>
      </c>
      <c r="E65" s="60">
        <f t="shared" si="39"/>
        <v>0</v>
      </c>
      <c r="F65" s="60">
        <f t="shared" si="39"/>
        <v>466</v>
      </c>
      <c r="G65" s="60">
        <f t="shared" si="39"/>
        <v>106</v>
      </c>
      <c r="H65" s="60">
        <f t="shared" si="39"/>
        <v>0</v>
      </c>
      <c r="I65" s="60">
        <f>SUM(I63:I64)</f>
        <v>106</v>
      </c>
      <c r="J65" s="65" t="s">
        <v>13</v>
      </c>
      <c r="K65" s="67"/>
      <c r="L65" s="55"/>
    </row>
    <row r="66" spans="1:12" ht="12.75" customHeight="1" thickBot="1" x14ac:dyDescent="0.25">
      <c r="A66" s="60">
        <f t="shared" si="34"/>
        <v>3102</v>
      </c>
      <c r="B66" s="60">
        <f t="shared" si="35"/>
        <v>0</v>
      </c>
      <c r="C66" s="60">
        <f t="shared" si="35"/>
        <v>3102</v>
      </c>
      <c r="D66" s="60">
        <f t="shared" si="36"/>
        <v>1009</v>
      </c>
      <c r="E66" s="60">
        <v>0</v>
      </c>
      <c r="F66" s="60">
        <f>1365-166-190</f>
        <v>1009</v>
      </c>
      <c r="G66" s="60">
        <f t="shared" si="37"/>
        <v>2093</v>
      </c>
      <c r="H66" s="60">
        <v>0</v>
      </c>
      <c r="I66" s="60">
        <f>1893+200</f>
        <v>2093</v>
      </c>
      <c r="J66" s="65" t="s">
        <v>221</v>
      </c>
      <c r="K66" s="66"/>
      <c r="L66" s="55"/>
    </row>
    <row r="67" spans="1:12" ht="12.75" customHeight="1" thickBot="1" x14ac:dyDescent="0.25">
      <c r="A67" s="60">
        <f t="shared" si="34"/>
        <v>232</v>
      </c>
      <c r="B67" s="60">
        <f t="shared" si="35"/>
        <v>0</v>
      </c>
      <c r="C67" s="60">
        <f t="shared" si="35"/>
        <v>232</v>
      </c>
      <c r="D67" s="60">
        <f t="shared" si="36"/>
        <v>38</v>
      </c>
      <c r="E67" s="60">
        <v>0</v>
      </c>
      <c r="F67" s="60">
        <v>38</v>
      </c>
      <c r="G67" s="60">
        <f t="shared" si="37"/>
        <v>194</v>
      </c>
      <c r="H67" s="60">
        <v>0</v>
      </c>
      <c r="I67" s="60">
        <v>194</v>
      </c>
      <c r="J67" s="65" t="s">
        <v>222</v>
      </c>
      <c r="K67" s="66" t="s">
        <v>348</v>
      </c>
      <c r="L67" s="55"/>
    </row>
    <row r="68" spans="1:12" ht="12.75" customHeight="1" thickBot="1" x14ac:dyDescent="0.25">
      <c r="A68" s="60">
        <f t="shared" ref="A68:H68" si="40">SUM(A66:A67)</f>
        <v>3334</v>
      </c>
      <c r="B68" s="60">
        <f t="shared" si="40"/>
        <v>0</v>
      </c>
      <c r="C68" s="60">
        <f t="shared" si="40"/>
        <v>3334</v>
      </c>
      <c r="D68" s="60">
        <f t="shared" si="40"/>
        <v>1047</v>
      </c>
      <c r="E68" s="60">
        <f t="shared" si="40"/>
        <v>0</v>
      </c>
      <c r="F68" s="60">
        <f t="shared" si="40"/>
        <v>1047</v>
      </c>
      <c r="G68" s="60">
        <f t="shared" si="40"/>
        <v>2287</v>
      </c>
      <c r="H68" s="60">
        <f t="shared" si="40"/>
        <v>0</v>
      </c>
      <c r="I68" s="60">
        <f>SUM(I66:I67)</f>
        <v>2287</v>
      </c>
      <c r="J68" s="65" t="s">
        <v>13</v>
      </c>
      <c r="K68" s="67"/>
      <c r="L68" s="55"/>
    </row>
    <row r="69" spans="1:12" ht="12.75" customHeight="1" thickBot="1" x14ac:dyDescent="0.25">
      <c r="A69" s="60">
        <f t="shared" si="34"/>
        <v>808</v>
      </c>
      <c r="B69" s="60">
        <f t="shared" si="35"/>
        <v>0</v>
      </c>
      <c r="C69" s="60">
        <f t="shared" si="35"/>
        <v>808</v>
      </c>
      <c r="D69" s="60">
        <f t="shared" si="36"/>
        <v>717</v>
      </c>
      <c r="E69" s="60">
        <v>0</v>
      </c>
      <c r="F69" s="60">
        <v>717</v>
      </c>
      <c r="G69" s="60">
        <f t="shared" si="37"/>
        <v>91</v>
      </c>
      <c r="H69" s="60">
        <v>0</v>
      </c>
      <c r="I69" s="60">
        <v>91</v>
      </c>
      <c r="J69" s="65" t="s">
        <v>221</v>
      </c>
      <c r="K69" s="66"/>
      <c r="L69" s="55"/>
    </row>
    <row r="70" spans="1:12" ht="12.75" customHeight="1" thickBot="1" x14ac:dyDescent="0.25">
      <c r="A70" s="60">
        <f t="shared" si="34"/>
        <v>0</v>
      </c>
      <c r="B70" s="60">
        <f t="shared" si="35"/>
        <v>0</v>
      </c>
      <c r="C70" s="60">
        <f t="shared" si="35"/>
        <v>0</v>
      </c>
      <c r="D70" s="60">
        <f t="shared" si="36"/>
        <v>0</v>
      </c>
      <c r="E70" s="60">
        <v>0</v>
      </c>
      <c r="F70" s="60">
        <v>0</v>
      </c>
      <c r="G70" s="60">
        <f t="shared" si="37"/>
        <v>0</v>
      </c>
      <c r="H70" s="60">
        <v>0</v>
      </c>
      <c r="I70" s="60">
        <v>0</v>
      </c>
      <c r="J70" s="65" t="s">
        <v>222</v>
      </c>
      <c r="K70" s="66" t="s">
        <v>349</v>
      </c>
      <c r="L70" s="55"/>
    </row>
    <row r="71" spans="1:12" ht="12.75" customHeight="1" thickBot="1" x14ac:dyDescent="0.25">
      <c r="A71" s="60">
        <f t="shared" ref="A71:H71" si="41">SUM(A69:A70)</f>
        <v>808</v>
      </c>
      <c r="B71" s="60">
        <f t="shared" si="41"/>
        <v>0</v>
      </c>
      <c r="C71" s="60">
        <f t="shared" si="41"/>
        <v>808</v>
      </c>
      <c r="D71" s="60">
        <f t="shared" si="41"/>
        <v>717</v>
      </c>
      <c r="E71" s="60">
        <f t="shared" si="41"/>
        <v>0</v>
      </c>
      <c r="F71" s="60">
        <f t="shared" si="41"/>
        <v>717</v>
      </c>
      <c r="G71" s="60">
        <f t="shared" si="41"/>
        <v>91</v>
      </c>
      <c r="H71" s="60">
        <f t="shared" si="41"/>
        <v>0</v>
      </c>
      <c r="I71" s="60">
        <f>SUM(I69:I70)</f>
        <v>91</v>
      </c>
      <c r="J71" s="65" t="s">
        <v>13</v>
      </c>
      <c r="K71" s="67"/>
      <c r="L71" s="55"/>
    </row>
    <row r="72" spans="1:12" ht="12.75" customHeight="1" thickBot="1" x14ac:dyDescent="0.25">
      <c r="A72" s="60">
        <f t="shared" si="34"/>
        <v>950</v>
      </c>
      <c r="B72" s="60">
        <f t="shared" si="35"/>
        <v>0</v>
      </c>
      <c r="C72" s="60">
        <f t="shared" si="35"/>
        <v>950</v>
      </c>
      <c r="D72" s="60">
        <f t="shared" si="36"/>
        <v>195</v>
      </c>
      <c r="E72" s="60">
        <v>0</v>
      </c>
      <c r="F72" s="60">
        <v>195</v>
      </c>
      <c r="G72" s="60">
        <f t="shared" si="37"/>
        <v>755</v>
      </c>
      <c r="H72" s="60">
        <v>0</v>
      </c>
      <c r="I72" s="60">
        <f>655+100</f>
        <v>755</v>
      </c>
      <c r="J72" s="65" t="s">
        <v>221</v>
      </c>
      <c r="K72" s="66"/>
      <c r="L72" s="55"/>
    </row>
    <row r="73" spans="1:12" ht="12.75" customHeight="1" thickBot="1" x14ac:dyDescent="0.25">
      <c r="A73" s="60">
        <f t="shared" si="34"/>
        <v>0</v>
      </c>
      <c r="B73" s="60">
        <f t="shared" si="35"/>
        <v>0</v>
      </c>
      <c r="C73" s="60">
        <f t="shared" si="35"/>
        <v>0</v>
      </c>
      <c r="D73" s="60">
        <f t="shared" si="36"/>
        <v>0</v>
      </c>
      <c r="E73" s="60">
        <v>0</v>
      </c>
      <c r="F73" s="60">
        <v>0</v>
      </c>
      <c r="G73" s="60">
        <f t="shared" si="37"/>
        <v>0</v>
      </c>
      <c r="H73" s="60">
        <v>0</v>
      </c>
      <c r="I73" s="60">
        <v>0</v>
      </c>
      <c r="J73" s="65" t="s">
        <v>222</v>
      </c>
      <c r="K73" s="66" t="s">
        <v>350</v>
      </c>
      <c r="L73" s="55"/>
    </row>
    <row r="74" spans="1:12" ht="12.75" customHeight="1" thickBot="1" x14ac:dyDescent="0.25">
      <c r="A74" s="60">
        <f t="shared" ref="A74:H74" si="42">SUM(A72:A73)</f>
        <v>950</v>
      </c>
      <c r="B74" s="60">
        <f t="shared" si="42"/>
        <v>0</v>
      </c>
      <c r="C74" s="60">
        <f t="shared" si="42"/>
        <v>950</v>
      </c>
      <c r="D74" s="60">
        <f t="shared" si="42"/>
        <v>195</v>
      </c>
      <c r="E74" s="60">
        <f t="shared" si="42"/>
        <v>0</v>
      </c>
      <c r="F74" s="60">
        <f t="shared" si="42"/>
        <v>195</v>
      </c>
      <c r="G74" s="60">
        <f t="shared" si="42"/>
        <v>755</v>
      </c>
      <c r="H74" s="60">
        <f t="shared" si="42"/>
        <v>0</v>
      </c>
      <c r="I74" s="60">
        <f>SUM(I72:I73)</f>
        <v>755</v>
      </c>
      <c r="J74" s="65" t="s">
        <v>13</v>
      </c>
      <c r="K74" s="67"/>
      <c r="L74" s="55"/>
    </row>
    <row r="75" spans="1:12" ht="12.75" customHeight="1" thickBot="1" x14ac:dyDescent="0.25">
      <c r="A75" s="60">
        <f t="shared" ref="A75:I77" si="43">A60+A63+A66+A69+A72</f>
        <v>5695</v>
      </c>
      <c r="B75" s="60">
        <f t="shared" si="43"/>
        <v>0</v>
      </c>
      <c r="C75" s="60">
        <f t="shared" si="43"/>
        <v>5695</v>
      </c>
      <c r="D75" s="60">
        <f t="shared" si="43"/>
        <v>2510</v>
      </c>
      <c r="E75" s="60">
        <f t="shared" si="43"/>
        <v>0</v>
      </c>
      <c r="F75" s="60">
        <f t="shared" si="43"/>
        <v>2510</v>
      </c>
      <c r="G75" s="60">
        <f t="shared" si="43"/>
        <v>3185</v>
      </c>
      <c r="H75" s="60">
        <f t="shared" si="43"/>
        <v>0</v>
      </c>
      <c r="I75" s="60">
        <f>I60+I63+I66+I69+I72</f>
        <v>3185</v>
      </c>
      <c r="J75" s="65" t="s">
        <v>224</v>
      </c>
      <c r="K75" s="57"/>
      <c r="L75" s="55"/>
    </row>
    <row r="76" spans="1:12" ht="12.75" customHeight="1" thickBot="1" x14ac:dyDescent="0.25">
      <c r="A76" s="60">
        <f t="shared" si="43"/>
        <v>232</v>
      </c>
      <c r="B76" s="60">
        <f t="shared" si="43"/>
        <v>0</v>
      </c>
      <c r="C76" s="60">
        <f t="shared" si="43"/>
        <v>232</v>
      </c>
      <c r="D76" s="60">
        <f t="shared" si="43"/>
        <v>38</v>
      </c>
      <c r="E76" s="60">
        <f t="shared" si="43"/>
        <v>0</v>
      </c>
      <c r="F76" s="60">
        <f t="shared" si="43"/>
        <v>38</v>
      </c>
      <c r="G76" s="60">
        <f t="shared" si="43"/>
        <v>194</v>
      </c>
      <c r="H76" s="60">
        <f t="shared" si="43"/>
        <v>0</v>
      </c>
      <c r="I76" s="60">
        <f t="shared" si="43"/>
        <v>194</v>
      </c>
      <c r="J76" s="65" t="s">
        <v>225</v>
      </c>
      <c r="K76" s="68" t="s">
        <v>211</v>
      </c>
      <c r="L76" s="55"/>
    </row>
    <row r="77" spans="1:12" ht="12.75" customHeight="1" thickBot="1" x14ac:dyDescent="0.25">
      <c r="A77" s="60">
        <f t="shared" si="43"/>
        <v>5927</v>
      </c>
      <c r="B77" s="60">
        <f t="shared" si="43"/>
        <v>0</v>
      </c>
      <c r="C77" s="60">
        <f t="shared" si="43"/>
        <v>5927</v>
      </c>
      <c r="D77" s="60">
        <f t="shared" si="43"/>
        <v>2548</v>
      </c>
      <c r="E77" s="60">
        <f t="shared" si="43"/>
        <v>0</v>
      </c>
      <c r="F77" s="60">
        <f t="shared" si="43"/>
        <v>2548</v>
      </c>
      <c r="G77" s="60">
        <f t="shared" si="43"/>
        <v>3379</v>
      </c>
      <c r="H77" s="60">
        <f t="shared" si="43"/>
        <v>0</v>
      </c>
      <c r="I77" s="60">
        <f t="shared" si="43"/>
        <v>3379</v>
      </c>
      <c r="J77" s="65" t="s">
        <v>13</v>
      </c>
      <c r="K77" s="59"/>
      <c r="L77" s="55"/>
    </row>
    <row r="78" spans="1:12" ht="12.75" customHeight="1" x14ac:dyDescent="0.2">
      <c r="A78" s="177" t="s">
        <v>560</v>
      </c>
      <c r="B78" s="177"/>
      <c r="C78" s="177"/>
      <c r="D78" s="177"/>
      <c r="E78" s="177"/>
      <c r="F78" s="177"/>
      <c r="G78" s="177"/>
      <c r="H78" s="177"/>
      <c r="I78" s="177"/>
      <c r="J78" s="177"/>
      <c r="K78" s="177"/>
      <c r="L78" s="55"/>
    </row>
    <row r="79" spans="1:12" ht="12.75" customHeight="1" thickBot="1" x14ac:dyDescent="0.25">
      <c r="A79" s="178" t="s">
        <v>561</v>
      </c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55"/>
    </row>
    <row r="80" spans="1:12" ht="12.75" customHeight="1" thickBot="1" x14ac:dyDescent="0.25">
      <c r="A80" s="179" t="s">
        <v>5</v>
      </c>
      <c r="B80" s="179"/>
      <c r="C80" s="179"/>
      <c r="D80" s="179" t="s">
        <v>162</v>
      </c>
      <c r="E80" s="179"/>
      <c r="F80" s="179"/>
      <c r="G80" s="179" t="s">
        <v>163</v>
      </c>
      <c r="H80" s="179"/>
      <c r="I80" s="179"/>
      <c r="J80" s="179" t="s">
        <v>72</v>
      </c>
      <c r="K80" s="179"/>
      <c r="L80" s="55"/>
    </row>
    <row r="81" spans="1:12" ht="12.75" customHeight="1" thickBot="1" x14ac:dyDescent="0.25">
      <c r="A81" s="58" t="s">
        <v>216</v>
      </c>
      <c r="B81" s="58" t="s">
        <v>11</v>
      </c>
      <c r="C81" s="58" t="s">
        <v>10</v>
      </c>
      <c r="D81" s="58" t="s">
        <v>216</v>
      </c>
      <c r="E81" s="58" t="s">
        <v>11</v>
      </c>
      <c r="F81" s="58" t="s">
        <v>10</v>
      </c>
      <c r="G81" s="58" t="s">
        <v>216</v>
      </c>
      <c r="H81" s="58" t="s">
        <v>11</v>
      </c>
      <c r="I81" s="58" t="s">
        <v>10</v>
      </c>
      <c r="J81" s="180" t="s">
        <v>76</v>
      </c>
      <c r="K81" s="180"/>
      <c r="L81" s="55"/>
    </row>
    <row r="82" spans="1:12" ht="12.75" customHeight="1" thickBot="1" x14ac:dyDescent="0.25">
      <c r="A82" s="60">
        <f>SUM(B82:C82)</f>
        <v>3263</v>
      </c>
      <c r="B82" s="60">
        <f>H82+E82</f>
        <v>0</v>
      </c>
      <c r="C82" s="60">
        <f>I82+F82</f>
        <v>3263</v>
      </c>
      <c r="D82" s="60">
        <f>SUM(E82:F82)</f>
        <v>12</v>
      </c>
      <c r="E82" s="60">
        <v>0</v>
      </c>
      <c r="F82" s="60">
        <v>12</v>
      </c>
      <c r="G82" s="60">
        <f>SUM(H82:I82)</f>
        <v>3251</v>
      </c>
      <c r="H82" s="60">
        <v>0</v>
      </c>
      <c r="I82" s="60">
        <f>2951+300</f>
        <v>3251</v>
      </c>
      <c r="J82" s="65" t="s">
        <v>221</v>
      </c>
      <c r="K82" s="66"/>
      <c r="L82" s="55"/>
    </row>
    <row r="83" spans="1:12" ht="12.75" customHeight="1" thickBot="1" x14ac:dyDescent="0.25">
      <c r="A83" s="60">
        <f t="shared" ref="A83:A110" si="44">SUM(B83:C83)</f>
        <v>961</v>
      </c>
      <c r="B83" s="60">
        <f t="shared" ref="B83:C110" si="45">H83+E83</f>
        <v>43</v>
      </c>
      <c r="C83" s="60">
        <f t="shared" si="45"/>
        <v>918</v>
      </c>
      <c r="D83" s="60">
        <f t="shared" ref="D83:D110" si="46">SUM(E83:F83)</f>
        <v>2</v>
      </c>
      <c r="E83" s="60">
        <v>1</v>
      </c>
      <c r="F83" s="60">
        <v>1</v>
      </c>
      <c r="G83" s="60">
        <f t="shared" ref="G83:G110" si="47">SUM(H83:I83)</f>
        <v>959</v>
      </c>
      <c r="H83" s="60">
        <v>42</v>
      </c>
      <c r="I83" s="60">
        <v>917</v>
      </c>
      <c r="J83" s="65" t="s">
        <v>222</v>
      </c>
      <c r="K83" s="66" t="s">
        <v>351</v>
      </c>
      <c r="L83" s="55"/>
    </row>
    <row r="84" spans="1:12" ht="12.75" customHeight="1" thickBot="1" x14ac:dyDescent="0.25">
      <c r="A84" s="60">
        <f t="shared" ref="A84:H84" si="48">SUM(A82:A83)</f>
        <v>4224</v>
      </c>
      <c r="B84" s="60">
        <f t="shared" si="48"/>
        <v>43</v>
      </c>
      <c r="C84" s="60">
        <f t="shared" si="48"/>
        <v>4181</v>
      </c>
      <c r="D84" s="60">
        <f t="shared" si="48"/>
        <v>14</v>
      </c>
      <c r="E84" s="60">
        <f t="shared" si="48"/>
        <v>1</v>
      </c>
      <c r="F84" s="60">
        <f t="shared" si="48"/>
        <v>13</v>
      </c>
      <c r="G84" s="60">
        <f t="shared" si="48"/>
        <v>4210</v>
      </c>
      <c r="H84" s="60">
        <f t="shared" si="48"/>
        <v>42</v>
      </c>
      <c r="I84" s="60">
        <f>SUM(I82:I83)</f>
        <v>4168</v>
      </c>
      <c r="J84" s="65" t="s">
        <v>13</v>
      </c>
      <c r="K84" s="67"/>
      <c r="L84" s="55"/>
    </row>
    <row r="85" spans="1:12" ht="12.75" customHeight="1" thickBot="1" x14ac:dyDescent="0.25">
      <c r="A85" s="60">
        <f t="shared" si="44"/>
        <v>2988</v>
      </c>
      <c r="B85" s="60">
        <f t="shared" si="45"/>
        <v>1576</v>
      </c>
      <c r="C85" s="60">
        <f t="shared" si="45"/>
        <v>1412</v>
      </c>
      <c r="D85" s="60">
        <f t="shared" si="46"/>
        <v>52</v>
      </c>
      <c r="E85" s="60">
        <v>0</v>
      </c>
      <c r="F85" s="60">
        <v>52</v>
      </c>
      <c r="G85" s="60">
        <f t="shared" si="47"/>
        <v>2936</v>
      </c>
      <c r="H85" s="60">
        <f>1376+200</f>
        <v>1576</v>
      </c>
      <c r="I85" s="60">
        <f>1260+100</f>
        <v>1360</v>
      </c>
      <c r="J85" s="65" t="s">
        <v>221</v>
      </c>
      <c r="K85" s="66"/>
      <c r="L85" s="55"/>
    </row>
    <row r="86" spans="1:12" ht="12.75" customHeight="1" thickBot="1" x14ac:dyDescent="0.25">
      <c r="A86" s="60">
        <f t="shared" si="44"/>
        <v>1904</v>
      </c>
      <c r="B86" s="60">
        <f t="shared" si="45"/>
        <v>490</v>
      </c>
      <c r="C86" s="60">
        <f t="shared" si="45"/>
        <v>1414</v>
      </c>
      <c r="D86" s="60">
        <f t="shared" si="46"/>
        <v>4</v>
      </c>
      <c r="E86" s="60">
        <v>1</v>
      </c>
      <c r="F86" s="60">
        <v>3</v>
      </c>
      <c r="G86" s="60">
        <f t="shared" si="47"/>
        <v>1900</v>
      </c>
      <c r="H86" s="60">
        <v>489</v>
      </c>
      <c r="I86" s="60">
        <v>1411</v>
      </c>
      <c r="J86" s="65" t="s">
        <v>222</v>
      </c>
      <c r="K86" s="66" t="s">
        <v>352</v>
      </c>
      <c r="L86" s="55"/>
    </row>
    <row r="87" spans="1:12" ht="12.75" customHeight="1" thickBot="1" x14ac:dyDescent="0.25">
      <c r="A87" s="60">
        <f t="shared" ref="A87:H87" si="49">SUM(A85:A86)</f>
        <v>4892</v>
      </c>
      <c r="B87" s="60">
        <f t="shared" si="49"/>
        <v>2066</v>
      </c>
      <c r="C87" s="60">
        <f t="shared" si="49"/>
        <v>2826</v>
      </c>
      <c r="D87" s="60">
        <f t="shared" si="49"/>
        <v>56</v>
      </c>
      <c r="E87" s="60">
        <f t="shared" si="49"/>
        <v>1</v>
      </c>
      <c r="F87" s="60">
        <f t="shared" si="49"/>
        <v>55</v>
      </c>
      <c r="G87" s="60">
        <f t="shared" si="49"/>
        <v>4836</v>
      </c>
      <c r="H87" s="60">
        <f t="shared" si="49"/>
        <v>2065</v>
      </c>
      <c r="I87" s="60">
        <f>SUM(I85:I86)</f>
        <v>2771</v>
      </c>
      <c r="J87" s="65" t="s">
        <v>13</v>
      </c>
      <c r="K87" s="67"/>
      <c r="L87" s="55"/>
    </row>
    <row r="88" spans="1:12" ht="12.75" customHeight="1" thickBot="1" x14ac:dyDescent="0.25">
      <c r="A88" s="60">
        <f t="shared" si="44"/>
        <v>5080</v>
      </c>
      <c r="B88" s="60">
        <f t="shared" si="45"/>
        <v>2919</v>
      </c>
      <c r="C88" s="60">
        <f t="shared" si="45"/>
        <v>2161</v>
      </c>
      <c r="D88" s="60">
        <f t="shared" si="46"/>
        <v>130</v>
      </c>
      <c r="E88" s="60">
        <v>0</v>
      </c>
      <c r="F88" s="60">
        <v>130</v>
      </c>
      <c r="G88" s="60">
        <f t="shared" si="47"/>
        <v>4950</v>
      </c>
      <c r="H88" s="60">
        <f>2667+252</f>
        <v>2919</v>
      </c>
      <c r="I88" s="60">
        <f>1931+100</f>
        <v>2031</v>
      </c>
      <c r="J88" s="65" t="s">
        <v>221</v>
      </c>
      <c r="K88" s="66"/>
      <c r="L88" s="55"/>
    </row>
    <row r="89" spans="1:12" ht="12.75" customHeight="1" thickBot="1" x14ac:dyDescent="0.25">
      <c r="A89" s="60">
        <f t="shared" si="44"/>
        <v>2146</v>
      </c>
      <c r="B89" s="60">
        <f t="shared" si="45"/>
        <v>868</v>
      </c>
      <c r="C89" s="60">
        <f t="shared" si="45"/>
        <v>1278</v>
      </c>
      <c r="D89" s="60">
        <f t="shared" si="46"/>
        <v>2</v>
      </c>
      <c r="E89" s="60">
        <v>2</v>
      </c>
      <c r="F89" s="60">
        <v>0</v>
      </c>
      <c r="G89" s="60">
        <f t="shared" si="47"/>
        <v>2144</v>
      </c>
      <c r="H89" s="60">
        <v>866</v>
      </c>
      <c r="I89" s="60">
        <v>1278</v>
      </c>
      <c r="J89" s="65" t="s">
        <v>222</v>
      </c>
      <c r="K89" s="66" t="s">
        <v>353</v>
      </c>
      <c r="L89" s="55"/>
    </row>
    <row r="90" spans="1:12" ht="12.75" customHeight="1" thickBot="1" x14ac:dyDescent="0.25">
      <c r="A90" s="60">
        <f t="shared" ref="A90:H90" si="50">SUM(A88:A89)</f>
        <v>7226</v>
      </c>
      <c r="B90" s="60">
        <f t="shared" si="50"/>
        <v>3787</v>
      </c>
      <c r="C90" s="60">
        <f t="shared" si="50"/>
        <v>3439</v>
      </c>
      <c r="D90" s="60">
        <f t="shared" si="50"/>
        <v>132</v>
      </c>
      <c r="E90" s="60">
        <f t="shared" si="50"/>
        <v>2</v>
      </c>
      <c r="F90" s="60">
        <f t="shared" si="50"/>
        <v>130</v>
      </c>
      <c r="G90" s="60">
        <f t="shared" si="50"/>
        <v>7094</v>
      </c>
      <c r="H90" s="60">
        <f t="shared" si="50"/>
        <v>3785</v>
      </c>
      <c r="I90" s="60">
        <f>SUM(I88:I89)</f>
        <v>3309</v>
      </c>
      <c r="J90" s="65" t="s">
        <v>13</v>
      </c>
      <c r="K90" s="67"/>
      <c r="L90" s="55"/>
    </row>
    <row r="91" spans="1:12" ht="12.75" customHeight="1" thickBot="1" x14ac:dyDescent="0.25">
      <c r="A91" s="60">
        <f t="shared" si="44"/>
        <v>2427</v>
      </c>
      <c r="B91" s="60">
        <f t="shared" si="45"/>
        <v>1633</v>
      </c>
      <c r="C91" s="60">
        <f t="shared" si="45"/>
        <v>794</v>
      </c>
      <c r="D91" s="60">
        <f t="shared" si="46"/>
        <v>9</v>
      </c>
      <c r="E91" s="60">
        <v>0</v>
      </c>
      <c r="F91" s="60">
        <v>9</v>
      </c>
      <c r="G91" s="60">
        <f t="shared" si="47"/>
        <v>2418</v>
      </c>
      <c r="H91" s="60">
        <v>1633</v>
      </c>
      <c r="I91" s="60">
        <f>685+100</f>
        <v>785</v>
      </c>
      <c r="J91" s="65" t="s">
        <v>221</v>
      </c>
      <c r="K91" s="66"/>
      <c r="L91" s="55"/>
    </row>
    <row r="92" spans="1:12" ht="12.75" customHeight="1" thickBot="1" x14ac:dyDescent="0.25">
      <c r="A92" s="60">
        <f t="shared" si="44"/>
        <v>0</v>
      </c>
      <c r="B92" s="60">
        <f t="shared" si="45"/>
        <v>0</v>
      </c>
      <c r="C92" s="60">
        <f t="shared" si="45"/>
        <v>0</v>
      </c>
      <c r="D92" s="60">
        <f t="shared" si="46"/>
        <v>0</v>
      </c>
      <c r="E92" s="60">
        <v>0</v>
      </c>
      <c r="F92" s="60">
        <v>0</v>
      </c>
      <c r="G92" s="60">
        <f t="shared" si="47"/>
        <v>0</v>
      </c>
      <c r="H92" s="60">
        <v>0</v>
      </c>
      <c r="I92" s="60">
        <v>0</v>
      </c>
      <c r="J92" s="65" t="s">
        <v>222</v>
      </c>
      <c r="K92" s="66" t="s">
        <v>354</v>
      </c>
      <c r="L92" s="55"/>
    </row>
    <row r="93" spans="1:12" ht="12.75" customHeight="1" thickBot="1" x14ac:dyDescent="0.25">
      <c r="A93" s="60">
        <f t="shared" ref="A93:H93" si="51">SUM(A91:A92)</f>
        <v>2427</v>
      </c>
      <c r="B93" s="60">
        <f t="shared" si="51"/>
        <v>1633</v>
      </c>
      <c r="C93" s="60">
        <f t="shared" si="51"/>
        <v>794</v>
      </c>
      <c r="D93" s="60">
        <f t="shared" si="51"/>
        <v>9</v>
      </c>
      <c r="E93" s="60">
        <f t="shared" si="51"/>
        <v>0</v>
      </c>
      <c r="F93" s="60">
        <f t="shared" si="51"/>
        <v>9</v>
      </c>
      <c r="G93" s="60">
        <f t="shared" si="51"/>
        <v>2418</v>
      </c>
      <c r="H93" s="60">
        <f t="shared" si="51"/>
        <v>1633</v>
      </c>
      <c r="I93" s="60">
        <f>SUM(I91:I92)</f>
        <v>785</v>
      </c>
      <c r="J93" s="65" t="s">
        <v>13</v>
      </c>
      <c r="K93" s="67"/>
      <c r="L93" s="55"/>
    </row>
    <row r="94" spans="1:12" ht="12.75" customHeight="1" thickBot="1" x14ac:dyDescent="0.25">
      <c r="A94" s="60">
        <f t="shared" si="44"/>
        <v>2953</v>
      </c>
      <c r="B94" s="60">
        <f t="shared" si="45"/>
        <v>1601</v>
      </c>
      <c r="C94" s="60">
        <f t="shared" si="45"/>
        <v>1352</v>
      </c>
      <c r="D94" s="60">
        <f t="shared" si="46"/>
        <v>4</v>
      </c>
      <c r="E94" s="60">
        <v>0</v>
      </c>
      <c r="F94" s="60">
        <v>4</v>
      </c>
      <c r="G94" s="60">
        <f t="shared" si="47"/>
        <v>2949</v>
      </c>
      <c r="H94" s="60">
        <v>1601</v>
      </c>
      <c r="I94" s="60">
        <f>1248+100</f>
        <v>1348</v>
      </c>
      <c r="J94" s="65" t="s">
        <v>221</v>
      </c>
      <c r="K94" s="66"/>
      <c r="L94" s="55"/>
    </row>
    <row r="95" spans="1:12" ht="12.75" customHeight="1" thickBot="1" x14ac:dyDescent="0.25">
      <c r="A95" s="60">
        <f t="shared" si="44"/>
        <v>0</v>
      </c>
      <c r="B95" s="60">
        <f t="shared" si="45"/>
        <v>0</v>
      </c>
      <c r="C95" s="60">
        <f t="shared" si="45"/>
        <v>0</v>
      </c>
      <c r="D95" s="60">
        <f t="shared" si="46"/>
        <v>0</v>
      </c>
      <c r="E95" s="60">
        <v>0</v>
      </c>
      <c r="F95" s="60">
        <v>0</v>
      </c>
      <c r="G95" s="60">
        <f t="shared" si="47"/>
        <v>0</v>
      </c>
      <c r="H95" s="60">
        <v>0</v>
      </c>
      <c r="I95" s="60">
        <v>0</v>
      </c>
      <c r="J95" s="65" t="s">
        <v>222</v>
      </c>
      <c r="K95" s="66" t="s">
        <v>355</v>
      </c>
      <c r="L95" s="55"/>
    </row>
    <row r="96" spans="1:12" ht="12.75" customHeight="1" thickBot="1" x14ac:dyDescent="0.25">
      <c r="A96" s="60">
        <f t="shared" ref="A96:H96" si="52">SUM(A94:A95)</f>
        <v>2953</v>
      </c>
      <c r="B96" s="60">
        <f t="shared" si="52"/>
        <v>1601</v>
      </c>
      <c r="C96" s="60">
        <f t="shared" si="52"/>
        <v>1352</v>
      </c>
      <c r="D96" s="60">
        <f t="shared" si="52"/>
        <v>4</v>
      </c>
      <c r="E96" s="60">
        <f t="shared" si="52"/>
        <v>0</v>
      </c>
      <c r="F96" s="60">
        <f t="shared" si="52"/>
        <v>4</v>
      </c>
      <c r="G96" s="60">
        <f t="shared" si="52"/>
        <v>2949</v>
      </c>
      <c r="H96" s="60">
        <f t="shared" si="52"/>
        <v>1601</v>
      </c>
      <c r="I96" s="60">
        <f>SUM(I94:I95)</f>
        <v>1348</v>
      </c>
      <c r="J96" s="65" t="s">
        <v>13</v>
      </c>
      <c r="K96" s="67"/>
      <c r="L96" s="55"/>
    </row>
    <row r="97" spans="1:12" ht="12.75" customHeight="1" thickBot="1" x14ac:dyDescent="0.25">
      <c r="A97" s="60">
        <f t="shared" si="44"/>
        <v>2494</v>
      </c>
      <c r="B97" s="60">
        <f t="shared" si="45"/>
        <v>1324</v>
      </c>
      <c r="C97" s="60">
        <f t="shared" si="45"/>
        <v>1170</v>
      </c>
      <c r="D97" s="60">
        <f t="shared" si="46"/>
        <v>75</v>
      </c>
      <c r="E97" s="60">
        <v>30</v>
      </c>
      <c r="F97" s="60">
        <v>45</v>
      </c>
      <c r="G97" s="60">
        <f t="shared" si="47"/>
        <v>2419</v>
      </c>
      <c r="H97" s="60">
        <v>1294</v>
      </c>
      <c r="I97" s="60">
        <f>1000+125</f>
        <v>1125</v>
      </c>
      <c r="J97" s="65" t="s">
        <v>221</v>
      </c>
      <c r="K97" s="66"/>
      <c r="L97" s="55"/>
    </row>
    <row r="98" spans="1:12" ht="12.75" customHeight="1" thickBot="1" x14ac:dyDescent="0.25">
      <c r="A98" s="60">
        <f t="shared" si="44"/>
        <v>366</v>
      </c>
      <c r="B98" s="60">
        <f t="shared" si="45"/>
        <v>180</v>
      </c>
      <c r="C98" s="60">
        <f t="shared" si="45"/>
        <v>186</v>
      </c>
      <c r="D98" s="60">
        <f t="shared" si="46"/>
        <v>1</v>
      </c>
      <c r="E98" s="60">
        <v>1</v>
      </c>
      <c r="F98" s="60">
        <v>0</v>
      </c>
      <c r="G98" s="60">
        <f t="shared" si="47"/>
        <v>365</v>
      </c>
      <c r="H98" s="60">
        <v>179</v>
      </c>
      <c r="I98" s="60">
        <v>186</v>
      </c>
      <c r="J98" s="65" t="s">
        <v>222</v>
      </c>
      <c r="K98" s="66" t="s">
        <v>356</v>
      </c>
      <c r="L98" s="55"/>
    </row>
    <row r="99" spans="1:12" ht="12.75" customHeight="1" thickBot="1" x14ac:dyDescent="0.25">
      <c r="A99" s="60">
        <f t="shared" ref="A99:H99" si="53">SUM(A97:A98)</f>
        <v>2860</v>
      </c>
      <c r="B99" s="60">
        <f t="shared" si="53"/>
        <v>1504</v>
      </c>
      <c r="C99" s="60">
        <f t="shared" si="53"/>
        <v>1356</v>
      </c>
      <c r="D99" s="60">
        <f t="shared" si="53"/>
        <v>76</v>
      </c>
      <c r="E99" s="60">
        <f t="shared" si="53"/>
        <v>31</v>
      </c>
      <c r="F99" s="60">
        <f t="shared" si="53"/>
        <v>45</v>
      </c>
      <c r="G99" s="60">
        <f t="shared" si="53"/>
        <v>2784</v>
      </c>
      <c r="H99" s="60">
        <f t="shared" si="53"/>
        <v>1473</v>
      </c>
      <c r="I99" s="60">
        <f>SUM(I97:I98)</f>
        <v>1311</v>
      </c>
      <c r="J99" s="65" t="s">
        <v>13</v>
      </c>
      <c r="K99" s="67"/>
      <c r="L99" s="55"/>
    </row>
    <row r="100" spans="1:12" ht="12.75" customHeight="1" thickBot="1" x14ac:dyDescent="0.25">
      <c r="A100" s="60">
        <f t="shared" si="44"/>
        <v>4289</v>
      </c>
      <c r="B100" s="60">
        <f t="shared" si="45"/>
        <v>1539</v>
      </c>
      <c r="C100" s="60">
        <f t="shared" si="45"/>
        <v>2750</v>
      </c>
      <c r="D100" s="60">
        <f t="shared" si="46"/>
        <v>226</v>
      </c>
      <c r="E100" s="60">
        <v>34</v>
      </c>
      <c r="F100" s="60">
        <v>192</v>
      </c>
      <c r="G100" s="60">
        <f t="shared" si="47"/>
        <v>4063</v>
      </c>
      <c r="H100" s="60">
        <v>1505</v>
      </c>
      <c r="I100" s="60">
        <v>2558</v>
      </c>
      <c r="J100" s="65" t="s">
        <v>221</v>
      </c>
      <c r="K100" s="66"/>
      <c r="L100" s="55"/>
    </row>
    <row r="101" spans="1:12" ht="12.75" customHeight="1" thickBot="1" x14ac:dyDescent="0.25">
      <c r="A101" s="60">
        <f t="shared" si="44"/>
        <v>1341</v>
      </c>
      <c r="B101" s="60">
        <f t="shared" si="45"/>
        <v>347</v>
      </c>
      <c r="C101" s="60">
        <f t="shared" si="45"/>
        <v>994</v>
      </c>
      <c r="D101" s="60">
        <f t="shared" si="46"/>
        <v>17</v>
      </c>
      <c r="E101" s="60">
        <v>7</v>
      </c>
      <c r="F101" s="60">
        <v>10</v>
      </c>
      <c r="G101" s="60">
        <f t="shared" si="47"/>
        <v>1324</v>
      </c>
      <c r="H101" s="60">
        <v>340</v>
      </c>
      <c r="I101" s="60">
        <v>984</v>
      </c>
      <c r="J101" s="65" t="s">
        <v>222</v>
      </c>
      <c r="K101" s="66" t="s">
        <v>348</v>
      </c>
      <c r="L101" s="55"/>
    </row>
    <row r="102" spans="1:12" ht="12.75" customHeight="1" thickBot="1" x14ac:dyDescent="0.25">
      <c r="A102" s="60">
        <f t="shared" ref="A102:H102" si="54">SUM(A100:A101)</f>
        <v>5630</v>
      </c>
      <c r="B102" s="60">
        <f t="shared" si="54"/>
        <v>1886</v>
      </c>
      <c r="C102" s="60">
        <f t="shared" si="54"/>
        <v>3744</v>
      </c>
      <c r="D102" s="60">
        <f t="shared" si="54"/>
        <v>243</v>
      </c>
      <c r="E102" s="60">
        <f t="shared" si="54"/>
        <v>41</v>
      </c>
      <c r="F102" s="60">
        <f t="shared" si="54"/>
        <v>202</v>
      </c>
      <c r="G102" s="60">
        <f t="shared" si="54"/>
        <v>5387</v>
      </c>
      <c r="H102" s="60">
        <f t="shared" si="54"/>
        <v>1845</v>
      </c>
      <c r="I102" s="60">
        <f>SUM(I100:I101)</f>
        <v>3542</v>
      </c>
      <c r="J102" s="65" t="s">
        <v>13</v>
      </c>
      <c r="K102" s="67"/>
      <c r="L102" s="55"/>
    </row>
    <row r="103" spans="1:12" ht="12.75" customHeight="1" thickBot="1" x14ac:dyDescent="0.25">
      <c r="A103" s="60">
        <f t="shared" si="44"/>
        <v>1931</v>
      </c>
      <c r="B103" s="60">
        <f t="shared" si="45"/>
        <v>717</v>
      </c>
      <c r="C103" s="60">
        <f t="shared" si="45"/>
        <v>1214</v>
      </c>
      <c r="D103" s="60">
        <f t="shared" si="46"/>
        <v>29</v>
      </c>
      <c r="E103" s="60">
        <v>9</v>
      </c>
      <c r="F103" s="60">
        <v>20</v>
      </c>
      <c r="G103" s="60">
        <f t="shared" si="47"/>
        <v>1902</v>
      </c>
      <c r="H103" s="60">
        <v>708</v>
      </c>
      <c r="I103" s="60">
        <v>1194</v>
      </c>
      <c r="J103" s="65" t="s">
        <v>221</v>
      </c>
      <c r="K103" s="66"/>
      <c r="L103" s="55"/>
    </row>
    <row r="104" spans="1:12" ht="12.75" customHeight="1" thickBot="1" x14ac:dyDescent="0.25">
      <c r="A104" s="60">
        <f t="shared" si="44"/>
        <v>0</v>
      </c>
      <c r="B104" s="60">
        <f t="shared" si="45"/>
        <v>0</v>
      </c>
      <c r="C104" s="60">
        <f t="shared" si="45"/>
        <v>0</v>
      </c>
      <c r="D104" s="60">
        <f t="shared" si="46"/>
        <v>0</v>
      </c>
      <c r="E104" s="60">
        <v>0</v>
      </c>
      <c r="F104" s="60">
        <v>0</v>
      </c>
      <c r="G104" s="60">
        <f t="shared" si="47"/>
        <v>0</v>
      </c>
      <c r="H104" s="60">
        <v>0</v>
      </c>
      <c r="I104" s="60">
        <v>0</v>
      </c>
      <c r="J104" s="65" t="s">
        <v>222</v>
      </c>
      <c r="K104" s="66" t="s">
        <v>357</v>
      </c>
      <c r="L104" s="55"/>
    </row>
    <row r="105" spans="1:12" ht="12.75" customHeight="1" thickBot="1" x14ac:dyDescent="0.25">
      <c r="A105" s="60">
        <f t="shared" ref="A105:H105" si="55">SUM(A103:A104)</f>
        <v>1931</v>
      </c>
      <c r="B105" s="60">
        <f t="shared" si="55"/>
        <v>717</v>
      </c>
      <c r="C105" s="60">
        <f t="shared" si="55"/>
        <v>1214</v>
      </c>
      <c r="D105" s="60">
        <f t="shared" si="55"/>
        <v>29</v>
      </c>
      <c r="E105" s="60">
        <f t="shared" si="55"/>
        <v>9</v>
      </c>
      <c r="F105" s="60">
        <f t="shared" si="55"/>
        <v>20</v>
      </c>
      <c r="G105" s="60">
        <f t="shared" si="55"/>
        <v>1902</v>
      </c>
      <c r="H105" s="60">
        <f t="shared" si="55"/>
        <v>708</v>
      </c>
      <c r="I105" s="60">
        <f>SUM(I103:I104)</f>
        <v>1194</v>
      </c>
      <c r="J105" s="65" t="s">
        <v>13</v>
      </c>
      <c r="K105" s="67"/>
      <c r="L105" s="55"/>
    </row>
    <row r="106" spans="1:12" ht="12.75" customHeight="1" thickBot="1" x14ac:dyDescent="0.25">
      <c r="A106" s="60">
        <f t="shared" si="44"/>
        <v>1818</v>
      </c>
      <c r="B106" s="60">
        <f t="shared" si="45"/>
        <v>0</v>
      </c>
      <c r="C106" s="60">
        <f t="shared" si="45"/>
        <v>1818</v>
      </c>
      <c r="D106" s="60">
        <f t="shared" si="46"/>
        <v>43</v>
      </c>
      <c r="E106" s="60">
        <v>0</v>
      </c>
      <c r="F106" s="60">
        <v>43</v>
      </c>
      <c r="G106" s="60">
        <f t="shared" si="47"/>
        <v>1775</v>
      </c>
      <c r="H106" s="60">
        <v>0</v>
      </c>
      <c r="I106" s="60">
        <v>1775</v>
      </c>
      <c r="J106" s="65" t="s">
        <v>221</v>
      </c>
      <c r="K106" s="66"/>
      <c r="L106" s="55"/>
    </row>
    <row r="107" spans="1:12" ht="12.75" customHeight="1" thickBot="1" x14ac:dyDescent="0.25">
      <c r="A107" s="60">
        <f t="shared" si="44"/>
        <v>0</v>
      </c>
      <c r="B107" s="60">
        <f t="shared" si="45"/>
        <v>0</v>
      </c>
      <c r="C107" s="60">
        <f t="shared" si="45"/>
        <v>0</v>
      </c>
      <c r="D107" s="60">
        <f t="shared" si="46"/>
        <v>0</v>
      </c>
      <c r="E107" s="60">
        <v>0</v>
      </c>
      <c r="F107" s="60">
        <v>0</v>
      </c>
      <c r="G107" s="60">
        <f t="shared" si="47"/>
        <v>0</v>
      </c>
      <c r="H107" s="60">
        <v>0</v>
      </c>
      <c r="I107" s="60">
        <v>0</v>
      </c>
      <c r="J107" s="65" t="s">
        <v>222</v>
      </c>
      <c r="K107" s="66" t="s">
        <v>358</v>
      </c>
      <c r="L107" s="55"/>
    </row>
    <row r="108" spans="1:12" ht="12.75" customHeight="1" thickBot="1" x14ac:dyDescent="0.25">
      <c r="A108" s="60">
        <f t="shared" ref="A108:H108" si="56">SUM(A106:A107)</f>
        <v>1818</v>
      </c>
      <c r="B108" s="60">
        <f t="shared" si="56"/>
        <v>0</v>
      </c>
      <c r="C108" s="60">
        <f t="shared" si="56"/>
        <v>1818</v>
      </c>
      <c r="D108" s="60">
        <f t="shared" si="56"/>
        <v>43</v>
      </c>
      <c r="E108" s="60">
        <f t="shared" si="56"/>
        <v>0</v>
      </c>
      <c r="F108" s="60">
        <f t="shared" si="56"/>
        <v>43</v>
      </c>
      <c r="G108" s="60">
        <f t="shared" si="56"/>
        <v>1775</v>
      </c>
      <c r="H108" s="60">
        <f t="shared" si="56"/>
        <v>0</v>
      </c>
      <c r="I108" s="60">
        <f>SUM(I106:I107)</f>
        <v>1775</v>
      </c>
      <c r="J108" s="65" t="s">
        <v>13</v>
      </c>
      <c r="K108" s="67"/>
      <c r="L108" s="55"/>
    </row>
    <row r="109" spans="1:12" ht="12.75" customHeight="1" thickBot="1" x14ac:dyDescent="0.25">
      <c r="A109" s="60">
        <f t="shared" si="44"/>
        <v>197</v>
      </c>
      <c r="B109" s="60">
        <f t="shared" si="45"/>
        <v>0</v>
      </c>
      <c r="C109" s="60">
        <f t="shared" si="45"/>
        <v>197</v>
      </c>
      <c r="D109" s="60">
        <f t="shared" si="46"/>
        <v>0</v>
      </c>
      <c r="E109" s="60">
        <v>0</v>
      </c>
      <c r="F109" s="60">
        <v>0</v>
      </c>
      <c r="G109" s="60">
        <f t="shared" si="47"/>
        <v>197</v>
      </c>
      <c r="H109" s="60">
        <v>0</v>
      </c>
      <c r="I109" s="60">
        <v>197</v>
      </c>
      <c r="J109" s="65" t="s">
        <v>221</v>
      </c>
      <c r="K109" s="66"/>
      <c r="L109" s="55"/>
    </row>
    <row r="110" spans="1:12" ht="12.75" customHeight="1" thickBot="1" x14ac:dyDescent="0.25">
      <c r="A110" s="60">
        <f t="shared" si="44"/>
        <v>0</v>
      </c>
      <c r="B110" s="60">
        <f t="shared" si="45"/>
        <v>0</v>
      </c>
      <c r="C110" s="60">
        <f t="shared" si="45"/>
        <v>0</v>
      </c>
      <c r="D110" s="60">
        <f t="shared" si="46"/>
        <v>0</v>
      </c>
      <c r="E110" s="60">
        <v>0</v>
      </c>
      <c r="F110" s="60">
        <v>0</v>
      </c>
      <c r="G110" s="60">
        <f t="shared" si="47"/>
        <v>0</v>
      </c>
      <c r="H110" s="60">
        <v>0</v>
      </c>
      <c r="I110" s="60">
        <v>0</v>
      </c>
      <c r="J110" s="65" t="s">
        <v>222</v>
      </c>
      <c r="K110" s="66" t="s">
        <v>359</v>
      </c>
      <c r="L110" s="55"/>
    </row>
    <row r="111" spans="1:12" ht="12.75" customHeight="1" thickBot="1" x14ac:dyDescent="0.25">
      <c r="A111" s="60">
        <f t="shared" ref="A111:H111" si="57">SUM(A109:A110)</f>
        <v>197</v>
      </c>
      <c r="B111" s="60">
        <f t="shared" si="57"/>
        <v>0</v>
      </c>
      <c r="C111" s="60">
        <f t="shared" si="57"/>
        <v>197</v>
      </c>
      <c r="D111" s="60">
        <f t="shared" si="57"/>
        <v>0</v>
      </c>
      <c r="E111" s="60">
        <f t="shared" si="57"/>
        <v>0</v>
      </c>
      <c r="F111" s="60">
        <f t="shared" si="57"/>
        <v>0</v>
      </c>
      <c r="G111" s="60">
        <f t="shared" si="57"/>
        <v>197</v>
      </c>
      <c r="H111" s="60">
        <f t="shared" si="57"/>
        <v>0</v>
      </c>
      <c r="I111" s="60">
        <f>SUM(I109:I110)</f>
        <v>197</v>
      </c>
      <c r="J111" s="65" t="s">
        <v>13</v>
      </c>
      <c r="K111" s="67"/>
      <c r="L111" s="55"/>
    </row>
    <row r="112" spans="1:12" ht="12.75" customHeight="1" thickBot="1" x14ac:dyDescent="0.25">
      <c r="A112" s="60">
        <f t="shared" ref="A112:I114" si="58">A82+A85+A88+A91+A94+A97+A100+A103+A106+A109</f>
        <v>27440</v>
      </c>
      <c r="B112" s="60">
        <f t="shared" si="58"/>
        <v>11309</v>
      </c>
      <c r="C112" s="60">
        <f t="shared" si="58"/>
        <v>16131</v>
      </c>
      <c r="D112" s="60">
        <f t="shared" si="58"/>
        <v>580</v>
      </c>
      <c r="E112" s="60">
        <f t="shared" si="58"/>
        <v>73</v>
      </c>
      <c r="F112" s="60">
        <f t="shared" si="58"/>
        <v>507</v>
      </c>
      <c r="G112" s="60">
        <f t="shared" si="58"/>
        <v>26860</v>
      </c>
      <c r="H112" s="60">
        <f t="shared" si="58"/>
        <v>11236</v>
      </c>
      <c r="I112" s="60">
        <f>I82+I85+I88+I91+I94+I97+I100+I103+I106+I109</f>
        <v>15624</v>
      </c>
      <c r="J112" s="65" t="s">
        <v>224</v>
      </c>
      <c r="K112" s="57"/>
      <c r="L112" s="55"/>
    </row>
    <row r="113" spans="1:12" ht="12.75" customHeight="1" thickBot="1" x14ac:dyDescent="0.25">
      <c r="A113" s="60">
        <f t="shared" si="58"/>
        <v>6718</v>
      </c>
      <c r="B113" s="60">
        <f t="shared" si="58"/>
        <v>1928</v>
      </c>
      <c r="C113" s="60">
        <f t="shared" si="58"/>
        <v>4790</v>
      </c>
      <c r="D113" s="60">
        <f t="shared" si="58"/>
        <v>26</v>
      </c>
      <c r="E113" s="60">
        <f t="shared" si="58"/>
        <v>12</v>
      </c>
      <c r="F113" s="60">
        <f t="shared" si="58"/>
        <v>14</v>
      </c>
      <c r="G113" s="60">
        <f t="shared" si="58"/>
        <v>6692</v>
      </c>
      <c r="H113" s="60">
        <f t="shared" si="58"/>
        <v>1916</v>
      </c>
      <c r="I113" s="60">
        <f t="shared" si="58"/>
        <v>4776</v>
      </c>
      <c r="J113" s="65" t="s">
        <v>225</v>
      </c>
      <c r="K113" s="68" t="s">
        <v>211</v>
      </c>
      <c r="L113" s="55"/>
    </row>
    <row r="114" spans="1:12" ht="12.75" customHeight="1" thickBot="1" x14ac:dyDescent="0.25">
      <c r="A114" s="60">
        <f t="shared" si="58"/>
        <v>34158</v>
      </c>
      <c r="B114" s="60">
        <f t="shared" si="58"/>
        <v>13237</v>
      </c>
      <c r="C114" s="60">
        <f t="shared" si="58"/>
        <v>20921</v>
      </c>
      <c r="D114" s="60">
        <f t="shared" si="58"/>
        <v>606</v>
      </c>
      <c r="E114" s="60">
        <f t="shared" si="58"/>
        <v>85</v>
      </c>
      <c r="F114" s="60">
        <f t="shared" si="58"/>
        <v>521</v>
      </c>
      <c r="G114" s="60">
        <f t="shared" si="58"/>
        <v>33552</v>
      </c>
      <c r="H114" s="60">
        <f t="shared" si="58"/>
        <v>13152</v>
      </c>
      <c r="I114" s="60">
        <f t="shared" si="58"/>
        <v>20400</v>
      </c>
      <c r="J114" s="65" t="s">
        <v>13</v>
      </c>
      <c r="K114" s="59"/>
      <c r="L114" s="55"/>
    </row>
    <row r="115" spans="1:12" ht="12.75" customHeight="1" x14ac:dyDescent="0.2">
      <c r="A115" s="177" t="s">
        <v>560</v>
      </c>
      <c r="B115" s="177"/>
      <c r="C115" s="177"/>
      <c r="D115" s="177"/>
      <c r="E115" s="177"/>
      <c r="F115" s="177"/>
      <c r="G115" s="177"/>
      <c r="H115" s="177"/>
      <c r="I115" s="177"/>
      <c r="J115" s="177"/>
      <c r="K115" s="177"/>
      <c r="L115" s="55"/>
    </row>
    <row r="116" spans="1:12" ht="12.75" customHeight="1" thickBot="1" x14ac:dyDescent="0.25">
      <c r="A116" s="178" t="s">
        <v>561</v>
      </c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55"/>
    </row>
    <row r="117" spans="1:12" ht="12.75" customHeight="1" thickBot="1" x14ac:dyDescent="0.25">
      <c r="A117" s="179" t="s">
        <v>5</v>
      </c>
      <c r="B117" s="179"/>
      <c r="C117" s="179"/>
      <c r="D117" s="179" t="s">
        <v>162</v>
      </c>
      <c r="E117" s="179"/>
      <c r="F117" s="179"/>
      <c r="G117" s="179" t="s">
        <v>163</v>
      </c>
      <c r="H117" s="179"/>
      <c r="I117" s="179"/>
      <c r="J117" s="179" t="s">
        <v>72</v>
      </c>
      <c r="K117" s="179"/>
      <c r="L117" s="55"/>
    </row>
    <row r="118" spans="1:12" ht="12.75" customHeight="1" thickBot="1" x14ac:dyDescent="0.25">
      <c r="A118" s="58" t="s">
        <v>216</v>
      </c>
      <c r="B118" s="58" t="s">
        <v>11</v>
      </c>
      <c r="C118" s="58" t="s">
        <v>10</v>
      </c>
      <c r="D118" s="58" t="s">
        <v>216</v>
      </c>
      <c r="E118" s="58" t="s">
        <v>11</v>
      </c>
      <c r="F118" s="58" t="s">
        <v>10</v>
      </c>
      <c r="G118" s="58" t="s">
        <v>216</v>
      </c>
      <c r="H118" s="58" t="s">
        <v>11</v>
      </c>
      <c r="I118" s="58" t="s">
        <v>10</v>
      </c>
      <c r="J118" s="180" t="s">
        <v>78</v>
      </c>
      <c r="K118" s="180"/>
      <c r="L118" s="55"/>
    </row>
    <row r="119" spans="1:12" ht="12.75" customHeight="1" thickBot="1" x14ac:dyDescent="0.25">
      <c r="A119" s="60">
        <f>SUM(B119:C119)</f>
        <v>1546</v>
      </c>
      <c r="B119" s="60">
        <f>H119+E119</f>
        <v>528</v>
      </c>
      <c r="C119" s="60">
        <f>I119+F119</f>
        <v>1018</v>
      </c>
      <c r="D119" s="60">
        <f>SUM(E119:F119)</f>
        <v>38</v>
      </c>
      <c r="E119" s="60">
        <v>18</v>
      </c>
      <c r="F119" s="60">
        <v>20</v>
      </c>
      <c r="G119" s="60">
        <f>SUM(H119:I119)</f>
        <v>1508</v>
      </c>
      <c r="H119" s="60">
        <v>510</v>
      </c>
      <c r="I119" s="60">
        <f>886+112</f>
        <v>998</v>
      </c>
      <c r="J119" s="65" t="s">
        <v>221</v>
      </c>
      <c r="K119" s="66"/>
      <c r="L119" s="55"/>
    </row>
    <row r="120" spans="1:12" ht="12.75" customHeight="1" thickBot="1" x14ac:dyDescent="0.25">
      <c r="A120" s="60">
        <f t="shared" ref="A120:A183" si="59">SUM(B120:C120)</f>
        <v>0</v>
      </c>
      <c r="B120" s="60">
        <f t="shared" ref="B120:C183" si="60">H120+E120</f>
        <v>0</v>
      </c>
      <c r="C120" s="60">
        <f t="shared" si="60"/>
        <v>0</v>
      </c>
      <c r="D120" s="60">
        <f t="shared" ref="D120:D183" si="61">SUM(E120:F120)</f>
        <v>0</v>
      </c>
      <c r="E120" s="60">
        <v>0</v>
      </c>
      <c r="F120" s="60">
        <v>0</v>
      </c>
      <c r="G120" s="60">
        <f t="shared" ref="G120:G183" si="62">SUM(H120:I120)</f>
        <v>0</v>
      </c>
      <c r="H120" s="60">
        <v>0</v>
      </c>
      <c r="I120" s="60">
        <v>0</v>
      </c>
      <c r="J120" s="65" t="s">
        <v>222</v>
      </c>
      <c r="K120" s="66" t="s">
        <v>360</v>
      </c>
      <c r="L120" s="55"/>
    </row>
    <row r="121" spans="1:12" ht="12.75" customHeight="1" thickBot="1" x14ac:dyDescent="0.25">
      <c r="A121" s="60">
        <f t="shared" ref="A121:H121" si="63">SUM(A119:A120)</f>
        <v>1546</v>
      </c>
      <c r="B121" s="60">
        <f t="shared" si="63"/>
        <v>528</v>
      </c>
      <c r="C121" s="60">
        <f t="shared" si="63"/>
        <v>1018</v>
      </c>
      <c r="D121" s="60">
        <f t="shared" si="63"/>
        <v>38</v>
      </c>
      <c r="E121" s="60">
        <f t="shared" si="63"/>
        <v>18</v>
      </c>
      <c r="F121" s="60">
        <f t="shared" si="63"/>
        <v>20</v>
      </c>
      <c r="G121" s="60">
        <f t="shared" si="63"/>
        <v>1508</v>
      </c>
      <c r="H121" s="60">
        <f t="shared" si="63"/>
        <v>510</v>
      </c>
      <c r="I121" s="60">
        <f>SUM(I119:I120)</f>
        <v>998</v>
      </c>
      <c r="J121" s="65" t="s">
        <v>13</v>
      </c>
      <c r="K121" s="67"/>
      <c r="L121" s="55"/>
    </row>
    <row r="122" spans="1:12" ht="12.75" customHeight="1" thickBot="1" x14ac:dyDescent="0.25">
      <c r="A122" s="60">
        <f t="shared" si="59"/>
        <v>1231</v>
      </c>
      <c r="B122" s="60">
        <f t="shared" si="60"/>
        <v>490</v>
      </c>
      <c r="C122" s="60">
        <f t="shared" si="60"/>
        <v>741</v>
      </c>
      <c r="D122" s="60">
        <f t="shared" si="61"/>
        <v>56</v>
      </c>
      <c r="E122" s="60">
        <v>35</v>
      </c>
      <c r="F122" s="60">
        <v>21</v>
      </c>
      <c r="G122" s="60">
        <f t="shared" si="62"/>
        <v>1175</v>
      </c>
      <c r="H122" s="60">
        <v>455</v>
      </c>
      <c r="I122" s="60">
        <f>620+100</f>
        <v>720</v>
      </c>
      <c r="J122" s="65" t="s">
        <v>221</v>
      </c>
      <c r="K122" s="66"/>
      <c r="L122" s="55"/>
    </row>
    <row r="123" spans="1:12" ht="12.75" customHeight="1" thickBot="1" x14ac:dyDescent="0.25">
      <c r="A123" s="60">
        <f t="shared" si="59"/>
        <v>0</v>
      </c>
      <c r="B123" s="60">
        <f t="shared" si="60"/>
        <v>0</v>
      </c>
      <c r="C123" s="60">
        <f t="shared" si="60"/>
        <v>0</v>
      </c>
      <c r="D123" s="60">
        <f t="shared" si="61"/>
        <v>0</v>
      </c>
      <c r="E123" s="60">
        <v>0</v>
      </c>
      <c r="F123" s="60">
        <v>0</v>
      </c>
      <c r="G123" s="60">
        <f t="shared" si="62"/>
        <v>0</v>
      </c>
      <c r="H123" s="60">
        <v>0</v>
      </c>
      <c r="I123" s="60">
        <v>0</v>
      </c>
      <c r="J123" s="65" t="s">
        <v>222</v>
      </c>
      <c r="K123" s="66" t="s">
        <v>337</v>
      </c>
      <c r="L123" s="55"/>
    </row>
    <row r="124" spans="1:12" ht="12.75" customHeight="1" thickBot="1" x14ac:dyDescent="0.25">
      <c r="A124" s="60">
        <f t="shared" ref="A124:H124" si="64">SUM(A122:A123)</f>
        <v>1231</v>
      </c>
      <c r="B124" s="60">
        <f t="shared" si="64"/>
        <v>490</v>
      </c>
      <c r="C124" s="60">
        <f t="shared" si="64"/>
        <v>741</v>
      </c>
      <c r="D124" s="60">
        <f t="shared" si="64"/>
        <v>56</v>
      </c>
      <c r="E124" s="60">
        <f t="shared" si="64"/>
        <v>35</v>
      </c>
      <c r="F124" s="60">
        <f t="shared" si="64"/>
        <v>21</v>
      </c>
      <c r="G124" s="60">
        <f t="shared" si="64"/>
        <v>1175</v>
      </c>
      <c r="H124" s="60">
        <f t="shared" si="64"/>
        <v>455</v>
      </c>
      <c r="I124" s="60">
        <f>SUM(I122:I123)</f>
        <v>720</v>
      </c>
      <c r="J124" s="65" t="s">
        <v>13</v>
      </c>
      <c r="K124" s="67"/>
      <c r="L124" s="55"/>
    </row>
    <row r="125" spans="1:12" ht="12.75" customHeight="1" thickBot="1" x14ac:dyDescent="0.25">
      <c r="A125" s="60">
        <f t="shared" si="59"/>
        <v>3322</v>
      </c>
      <c r="B125" s="60">
        <f t="shared" si="60"/>
        <v>1617</v>
      </c>
      <c r="C125" s="60">
        <f t="shared" si="60"/>
        <v>1705</v>
      </c>
      <c r="D125" s="60">
        <f t="shared" si="61"/>
        <v>65</v>
      </c>
      <c r="E125" s="60">
        <v>49</v>
      </c>
      <c r="F125" s="60">
        <v>16</v>
      </c>
      <c r="G125" s="60">
        <f t="shared" si="62"/>
        <v>3257</v>
      </c>
      <c r="H125" s="60">
        <v>1568</v>
      </c>
      <c r="I125" s="60">
        <f>1489+200</f>
        <v>1689</v>
      </c>
      <c r="J125" s="65" t="s">
        <v>221</v>
      </c>
      <c r="K125" s="66"/>
      <c r="L125" s="55"/>
    </row>
    <row r="126" spans="1:12" ht="12.75" customHeight="1" thickBot="1" x14ac:dyDescent="0.25">
      <c r="A126" s="60">
        <f t="shared" si="59"/>
        <v>0</v>
      </c>
      <c r="B126" s="60">
        <f t="shared" si="60"/>
        <v>0</v>
      </c>
      <c r="C126" s="60">
        <f t="shared" si="60"/>
        <v>0</v>
      </c>
      <c r="D126" s="60">
        <f t="shared" si="61"/>
        <v>0</v>
      </c>
      <c r="E126" s="60">
        <v>0</v>
      </c>
      <c r="F126" s="60">
        <v>0</v>
      </c>
      <c r="G126" s="60">
        <f t="shared" si="62"/>
        <v>0</v>
      </c>
      <c r="H126" s="60">
        <v>0</v>
      </c>
      <c r="I126" s="60">
        <v>0</v>
      </c>
      <c r="J126" s="65" t="s">
        <v>222</v>
      </c>
      <c r="K126" s="66" t="s">
        <v>354</v>
      </c>
      <c r="L126" s="55"/>
    </row>
    <row r="127" spans="1:12" ht="12.75" customHeight="1" thickBot="1" x14ac:dyDescent="0.25">
      <c r="A127" s="60">
        <f t="shared" ref="A127:H127" si="65">SUM(A125:A126)</f>
        <v>3322</v>
      </c>
      <c r="B127" s="60">
        <f t="shared" si="65"/>
        <v>1617</v>
      </c>
      <c r="C127" s="60">
        <f t="shared" si="65"/>
        <v>1705</v>
      </c>
      <c r="D127" s="60">
        <f t="shared" si="65"/>
        <v>65</v>
      </c>
      <c r="E127" s="60">
        <f t="shared" si="65"/>
        <v>49</v>
      </c>
      <c r="F127" s="60">
        <f t="shared" si="65"/>
        <v>16</v>
      </c>
      <c r="G127" s="60">
        <f t="shared" si="65"/>
        <v>3257</v>
      </c>
      <c r="H127" s="60">
        <f t="shared" si="65"/>
        <v>1568</v>
      </c>
      <c r="I127" s="60">
        <f>SUM(I125:I126)</f>
        <v>1689</v>
      </c>
      <c r="J127" s="65" t="s">
        <v>13</v>
      </c>
      <c r="K127" s="67"/>
      <c r="L127" s="55"/>
    </row>
    <row r="128" spans="1:12" ht="12.75" customHeight="1" thickBot="1" x14ac:dyDescent="0.25">
      <c r="A128" s="60">
        <f t="shared" si="59"/>
        <v>2427</v>
      </c>
      <c r="B128" s="60">
        <f t="shared" si="60"/>
        <v>0</v>
      </c>
      <c r="C128" s="60">
        <f t="shared" si="60"/>
        <v>2427</v>
      </c>
      <c r="D128" s="60">
        <f t="shared" si="61"/>
        <v>54</v>
      </c>
      <c r="E128" s="60">
        <v>0</v>
      </c>
      <c r="F128" s="60">
        <v>54</v>
      </c>
      <c r="G128" s="60">
        <f t="shared" si="62"/>
        <v>2373</v>
      </c>
      <c r="H128" s="60">
        <v>0</v>
      </c>
      <c r="I128" s="60">
        <v>2373</v>
      </c>
      <c r="J128" s="65" t="s">
        <v>221</v>
      </c>
      <c r="K128" s="66"/>
      <c r="L128" s="55"/>
    </row>
    <row r="129" spans="1:12" ht="12.75" customHeight="1" thickBot="1" x14ac:dyDescent="0.25">
      <c r="A129" s="60">
        <f t="shared" si="59"/>
        <v>0</v>
      </c>
      <c r="B129" s="60">
        <f t="shared" si="60"/>
        <v>0</v>
      </c>
      <c r="C129" s="60">
        <f t="shared" si="60"/>
        <v>0</v>
      </c>
      <c r="D129" s="60">
        <f t="shared" si="61"/>
        <v>0</v>
      </c>
      <c r="E129" s="60">
        <v>0</v>
      </c>
      <c r="F129" s="60">
        <v>0</v>
      </c>
      <c r="G129" s="60">
        <f t="shared" si="62"/>
        <v>0</v>
      </c>
      <c r="H129" s="60">
        <v>0</v>
      </c>
      <c r="I129" s="60">
        <v>0</v>
      </c>
      <c r="J129" s="65" t="s">
        <v>222</v>
      </c>
      <c r="K129" s="66" t="s">
        <v>362</v>
      </c>
      <c r="L129" s="55"/>
    </row>
    <row r="130" spans="1:12" ht="12.75" customHeight="1" thickBot="1" x14ac:dyDescent="0.25">
      <c r="A130" s="60">
        <f t="shared" ref="A130:H130" si="66">SUM(A128:A129)</f>
        <v>2427</v>
      </c>
      <c r="B130" s="60">
        <f t="shared" si="66"/>
        <v>0</v>
      </c>
      <c r="C130" s="60">
        <f t="shared" si="66"/>
        <v>2427</v>
      </c>
      <c r="D130" s="60">
        <f t="shared" si="66"/>
        <v>54</v>
      </c>
      <c r="E130" s="60">
        <f t="shared" si="66"/>
        <v>0</v>
      </c>
      <c r="F130" s="60">
        <f t="shared" si="66"/>
        <v>54</v>
      </c>
      <c r="G130" s="60">
        <f t="shared" si="66"/>
        <v>2373</v>
      </c>
      <c r="H130" s="60">
        <f t="shared" si="66"/>
        <v>0</v>
      </c>
      <c r="I130" s="60">
        <f>SUM(I128:I129)</f>
        <v>2373</v>
      </c>
      <c r="J130" s="65" t="s">
        <v>13</v>
      </c>
      <c r="K130" s="67"/>
      <c r="L130" s="55"/>
    </row>
    <row r="131" spans="1:12" ht="12.75" customHeight="1" thickBot="1" x14ac:dyDescent="0.25">
      <c r="A131" s="60">
        <f t="shared" si="59"/>
        <v>878</v>
      </c>
      <c r="B131" s="60">
        <f t="shared" si="60"/>
        <v>0</v>
      </c>
      <c r="C131" s="60">
        <f t="shared" si="60"/>
        <v>878</v>
      </c>
      <c r="D131" s="60">
        <f t="shared" si="61"/>
        <v>0</v>
      </c>
      <c r="E131" s="60">
        <v>0</v>
      </c>
      <c r="F131" s="60">
        <v>0</v>
      </c>
      <c r="G131" s="60">
        <f t="shared" si="62"/>
        <v>878</v>
      </c>
      <c r="H131" s="60">
        <v>0</v>
      </c>
      <c r="I131" s="60">
        <v>878</v>
      </c>
      <c r="J131" s="65" t="s">
        <v>221</v>
      </c>
      <c r="K131" s="66"/>
      <c r="L131" s="55"/>
    </row>
    <row r="132" spans="1:12" ht="12.75" customHeight="1" thickBot="1" x14ac:dyDescent="0.25">
      <c r="A132" s="60">
        <f t="shared" si="59"/>
        <v>0</v>
      </c>
      <c r="B132" s="60">
        <f t="shared" si="60"/>
        <v>0</v>
      </c>
      <c r="C132" s="60">
        <f t="shared" si="60"/>
        <v>0</v>
      </c>
      <c r="D132" s="60">
        <f t="shared" si="61"/>
        <v>0</v>
      </c>
      <c r="E132" s="60">
        <v>0</v>
      </c>
      <c r="F132" s="60">
        <v>0</v>
      </c>
      <c r="G132" s="60">
        <f t="shared" si="62"/>
        <v>0</v>
      </c>
      <c r="H132" s="60">
        <v>0</v>
      </c>
      <c r="I132" s="60">
        <v>0</v>
      </c>
      <c r="J132" s="65" t="s">
        <v>222</v>
      </c>
      <c r="K132" s="66" t="s">
        <v>243</v>
      </c>
      <c r="L132" s="55"/>
    </row>
    <row r="133" spans="1:12" ht="12.75" customHeight="1" thickBot="1" x14ac:dyDescent="0.25">
      <c r="A133" s="60">
        <f t="shared" ref="A133:H133" si="67">SUM(A131:A132)</f>
        <v>878</v>
      </c>
      <c r="B133" s="60">
        <f t="shared" si="67"/>
        <v>0</v>
      </c>
      <c r="C133" s="60">
        <f t="shared" si="67"/>
        <v>878</v>
      </c>
      <c r="D133" s="60">
        <f t="shared" si="67"/>
        <v>0</v>
      </c>
      <c r="E133" s="60">
        <f t="shared" si="67"/>
        <v>0</v>
      </c>
      <c r="F133" s="60">
        <f t="shared" si="67"/>
        <v>0</v>
      </c>
      <c r="G133" s="60">
        <f t="shared" si="67"/>
        <v>878</v>
      </c>
      <c r="H133" s="60">
        <f t="shared" si="67"/>
        <v>0</v>
      </c>
      <c r="I133" s="60">
        <f>SUM(I131:I132)</f>
        <v>878</v>
      </c>
      <c r="J133" s="65" t="s">
        <v>13</v>
      </c>
      <c r="K133" s="67"/>
      <c r="L133" s="55"/>
    </row>
    <row r="134" spans="1:12" ht="12.75" customHeight="1" thickBot="1" x14ac:dyDescent="0.25">
      <c r="A134" s="60">
        <f t="shared" si="59"/>
        <v>8573</v>
      </c>
      <c r="B134" s="60">
        <f t="shared" si="60"/>
        <v>4753</v>
      </c>
      <c r="C134" s="60">
        <f t="shared" si="60"/>
        <v>3820</v>
      </c>
      <c r="D134" s="60">
        <f t="shared" si="61"/>
        <v>119</v>
      </c>
      <c r="E134" s="60">
        <v>70</v>
      </c>
      <c r="F134" s="60">
        <v>49</v>
      </c>
      <c r="G134" s="60">
        <f t="shared" si="62"/>
        <v>8454</v>
      </c>
      <c r="H134" s="60">
        <v>4683</v>
      </c>
      <c r="I134" s="60">
        <v>3771</v>
      </c>
      <c r="J134" s="65" t="s">
        <v>221</v>
      </c>
      <c r="K134" s="66"/>
      <c r="L134" s="55"/>
    </row>
    <row r="135" spans="1:12" ht="12.75" customHeight="1" thickBot="1" x14ac:dyDescent="0.25">
      <c r="A135" s="60">
        <f t="shared" si="59"/>
        <v>0</v>
      </c>
      <c r="B135" s="60">
        <f t="shared" si="60"/>
        <v>0</v>
      </c>
      <c r="C135" s="60">
        <f t="shared" si="60"/>
        <v>0</v>
      </c>
      <c r="D135" s="60">
        <f t="shared" si="61"/>
        <v>0</v>
      </c>
      <c r="E135" s="60">
        <v>0</v>
      </c>
      <c r="F135" s="60">
        <v>0</v>
      </c>
      <c r="G135" s="60">
        <f t="shared" si="62"/>
        <v>0</v>
      </c>
      <c r="H135" s="60">
        <v>0</v>
      </c>
      <c r="I135" s="60">
        <v>0</v>
      </c>
      <c r="J135" s="65" t="s">
        <v>222</v>
      </c>
      <c r="K135" s="66" t="s">
        <v>363</v>
      </c>
      <c r="L135" s="55"/>
    </row>
    <row r="136" spans="1:12" ht="12.75" customHeight="1" thickBot="1" x14ac:dyDescent="0.25">
      <c r="A136" s="60">
        <f t="shared" ref="A136:H136" si="68">SUM(A134:A135)</f>
        <v>8573</v>
      </c>
      <c r="B136" s="60">
        <f t="shared" si="68"/>
        <v>4753</v>
      </c>
      <c r="C136" s="60">
        <f t="shared" si="68"/>
        <v>3820</v>
      </c>
      <c r="D136" s="60">
        <f t="shared" si="68"/>
        <v>119</v>
      </c>
      <c r="E136" s="60">
        <f t="shared" si="68"/>
        <v>70</v>
      </c>
      <c r="F136" s="60">
        <f t="shared" si="68"/>
        <v>49</v>
      </c>
      <c r="G136" s="60">
        <f t="shared" si="68"/>
        <v>8454</v>
      </c>
      <c r="H136" s="60">
        <f t="shared" si="68"/>
        <v>4683</v>
      </c>
      <c r="I136" s="60">
        <f>SUM(I134:I135)</f>
        <v>3771</v>
      </c>
      <c r="J136" s="65" t="s">
        <v>13</v>
      </c>
      <c r="K136" s="67"/>
      <c r="L136" s="55"/>
    </row>
    <row r="137" spans="1:12" ht="12.75" customHeight="1" thickBot="1" x14ac:dyDescent="0.25">
      <c r="A137" s="60">
        <f t="shared" si="59"/>
        <v>8309</v>
      </c>
      <c r="B137" s="60">
        <f t="shared" si="60"/>
        <v>5305</v>
      </c>
      <c r="C137" s="60">
        <f t="shared" si="60"/>
        <v>3004</v>
      </c>
      <c r="D137" s="60">
        <f t="shared" si="61"/>
        <v>192</v>
      </c>
      <c r="E137" s="60">
        <v>48</v>
      </c>
      <c r="F137" s="60">
        <v>144</v>
      </c>
      <c r="G137" s="60">
        <f t="shared" si="62"/>
        <v>8117</v>
      </c>
      <c r="H137" s="60">
        <v>5257</v>
      </c>
      <c r="I137" s="60">
        <v>2860</v>
      </c>
      <c r="J137" s="65" t="s">
        <v>221</v>
      </c>
      <c r="K137" s="66"/>
      <c r="L137" s="55"/>
    </row>
    <row r="138" spans="1:12" ht="12.75" customHeight="1" thickBot="1" x14ac:dyDescent="0.25">
      <c r="A138" s="60">
        <f t="shared" si="59"/>
        <v>0</v>
      </c>
      <c r="B138" s="60">
        <f t="shared" si="60"/>
        <v>0</v>
      </c>
      <c r="C138" s="60">
        <f t="shared" si="60"/>
        <v>0</v>
      </c>
      <c r="D138" s="60">
        <f t="shared" si="61"/>
        <v>0</v>
      </c>
      <c r="E138" s="60">
        <v>0</v>
      </c>
      <c r="F138" s="60">
        <v>0</v>
      </c>
      <c r="G138" s="60">
        <f t="shared" si="62"/>
        <v>0</v>
      </c>
      <c r="H138" s="60">
        <v>0</v>
      </c>
      <c r="I138" s="60">
        <v>0</v>
      </c>
      <c r="J138" s="65" t="s">
        <v>222</v>
      </c>
      <c r="K138" s="66" t="s">
        <v>364</v>
      </c>
      <c r="L138" s="55"/>
    </row>
    <row r="139" spans="1:12" ht="12.75" customHeight="1" thickBot="1" x14ac:dyDescent="0.25">
      <c r="A139" s="60">
        <f t="shared" ref="A139:H139" si="69">SUM(A137:A138)</f>
        <v>8309</v>
      </c>
      <c r="B139" s="60">
        <f t="shared" si="69"/>
        <v>5305</v>
      </c>
      <c r="C139" s="60">
        <f t="shared" si="69"/>
        <v>3004</v>
      </c>
      <c r="D139" s="60">
        <f t="shared" si="69"/>
        <v>192</v>
      </c>
      <c r="E139" s="60">
        <f t="shared" si="69"/>
        <v>48</v>
      </c>
      <c r="F139" s="60">
        <f t="shared" si="69"/>
        <v>144</v>
      </c>
      <c r="G139" s="60">
        <f t="shared" si="69"/>
        <v>8117</v>
      </c>
      <c r="H139" s="60">
        <f t="shared" si="69"/>
        <v>5257</v>
      </c>
      <c r="I139" s="60">
        <f>SUM(I137:I138)</f>
        <v>2860</v>
      </c>
      <c r="J139" s="65" t="s">
        <v>13</v>
      </c>
      <c r="K139" s="67"/>
      <c r="L139" s="55"/>
    </row>
    <row r="140" spans="1:12" ht="12.75" customHeight="1" thickBot="1" x14ac:dyDescent="0.25">
      <c r="A140" s="60">
        <f t="shared" si="59"/>
        <v>1672</v>
      </c>
      <c r="B140" s="60">
        <f t="shared" si="60"/>
        <v>466</v>
      </c>
      <c r="C140" s="60">
        <f t="shared" si="60"/>
        <v>1206</v>
      </c>
      <c r="D140" s="60">
        <f t="shared" si="61"/>
        <v>18</v>
      </c>
      <c r="E140" s="60">
        <v>10</v>
      </c>
      <c r="F140" s="60">
        <v>8</v>
      </c>
      <c r="G140" s="60">
        <f t="shared" si="62"/>
        <v>1654</v>
      </c>
      <c r="H140" s="60">
        <v>456</v>
      </c>
      <c r="I140" s="60">
        <v>1198</v>
      </c>
      <c r="J140" s="65" t="s">
        <v>221</v>
      </c>
      <c r="K140" s="66"/>
      <c r="L140" s="55"/>
    </row>
    <row r="141" spans="1:12" ht="12.75" customHeight="1" thickBot="1" x14ac:dyDescent="0.25">
      <c r="A141" s="60">
        <f t="shared" si="59"/>
        <v>0</v>
      </c>
      <c r="B141" s="60">
        <f t="shared" si="60"/>
        <v>0</v>
      </c>
      <c r="C141" s="60">
        <f t="shared" si="60"/>
        <v>0</v>
      </c>
      <c r="D141" s="60">
        <f t="shared" si="61"/>
        <v>0</v>
      </c>
      <c r="E141" s="60">
        <v>0</v>
      </c>
      <c r="F141" s="60">
        <v>0</v>
      </c>
      <c r="G141" s="60">
        <f t="shared" si="62"/>
        <v>0</v>
      </c>
      <c r="H141" s="60">
        <v>0</v>
      </c>
      <c r="I141" s="60">
        <v>0</v>
      </c>
      <c r="J141" s="65" t="s">
        <v>222</v>
      </c>
      <c r="K141" s="66" t="s">
        <v>263</v>
      </c>
      <c r="L141" s="55"/>
    </row>
    <row r="142" spans="1:12" ht="12.75" customHeight="1" thickBot="1" x14ac:dyDescent="0.25">
      <c r="A142" s="60">
        <f t="shared" ref="A142:H142" si="70">SUM(A140:A141)</f>
        <v>1672</v>
      </c>
      <c r="B142" s="60">
        <f t="shared" si="70"/>
        <v>466</v>
      </c>
      <c r="C142" s="60">
        <f t="shared" si="70"/>
        <v>1206</v>
      </c>
      <c r="D142" s="60">
        <f t="shared" si="70"/>
        <v>18</v>
      </c>
      <c r="E142" s="60">
        <f t="shared" si="70"/>
        <v>10</v>
      </c>
      <c r="F142" s="60">
        <f t="shared" si="70"/>
        <v>8</v>
      </c>
      <c r="G142" s="60">
        <f t="shared" si="70"/>
        <v>1654</v>
      </c>
      <c r="H142" s="60">
        <f t="shared" si="70"/>
        <v>456</v>
      </c>
      <c r="I142" s="60">
        <f>SUM(I140:I141)</f>
        <v>1198</v>
      </c>
      <c r="J142" s="65" t="s">
        <v>13</v>
      </c>
      <c r="K142" s="67"/>
      <c r="L142" s="55"/>
    </row>
    <row r="143" spans="1:12" ht="12.75" customHeight="1" thickBot="1" x14ac:dyDescent="0.25">
      <c r="A143" s="60">
        <f t="shared" si="59"/>
        <v>550</v>
      </c>
      <c r="B143" s="60">
        <f t="shared" si="60"/>
        <v>206</v>
      </c>
      <c r="C143" s="60">
        <f t="shared" si="60"/>
        <v>344</v>
      </c>
      <c r="D143" s="60">
        <f t="shared" si="61"/>
        <v>1</v>
      </c>
      <c r="E143" s="60">
        <v>1</v>
      </c>
      <c r="F143" s="60">
        <v>0</v>
      </c>
      <c r="G143" s="60">
        <f t="shared" si="62"/>
        <v>549</v>
      </c>
      <c r="H143" s="60">
        <v>205</v>
      </c>
      <c r="I143" s="60">
        <v>344</v>
      </c>
      <c r="J143" s="65" t="s">
        <v>221</v>
      </c>
      <c r="K143" s="66"/>
      <c r="L143" s="55"/>
    </row>
    <row r="144" spans="1:12" ht="12.75" customHeight="1" thickBot="1" x14ac:dyDescent="0.25">
      <c r="A144" s="60">
        <f t="shared" si="59"/>
        <v>0</v>
      </c>
      <c r="B144" s="60">
        <f t="shared" si="60"/>
        <v>0</v>
      </c>
      <c r="C144" s="60">
        <f t="shared" si="60"/>
        <v>0</v>
      </c>
      <c r="D144" s="60">
        <f t="shared" si="61"/>
        <v>0</v>
      </c>
      <c r="E144" s="60">
        <v>0</v>
      </c>
      <c r="F144" s="60">
        <v>0</v>
      </c>
      <c r="G144" s="60">
        <f t="shared" si="62"/>
        <v>0</v>
      </c>
      <c r="H144" s="60">
        <v>0</v>
      </c>
      <c r="I144" s="60">
        <v>0</v>
      </c>
      <c r="J144" s="65" t="s">
        <v>222</v>
      </c>
      <c r="K144" s="66" t="s">
        <v>244</v>
      </c>
      <c r="L144" s="55"/>
    </row>
    <row r="145" spans="1:12" ht="12.75" customHeight="1" thickBot="1" x14ac:dyDescent="0.25">
      <c r="A145" s="60">
        <f t="shared" ref="A145:H145" si="71">SUM(A143:A144)</f>
        <v>550</v>
      </c>
      <c r="B145" s="60">
        <f t="shared" si="71"/>
        <v>206</v>
      </c>
      <c r="C145" s="60">
        <f t="shared" si="71"/>
        <v>344</v>
      </c>
      <c r="D145" s="60">
        <f t="shared" si="71"/>
        <v>1</v>
      </c>
      <c r="E145" s="60">
        <f t="shared" si="71"/>
        <v>1</v>
      </c>
      <c r="F145" s="60">
        <f t="shared" si="71"/>
        <v>0</v>
      </c>
      <c r="G145" s="60">
        <f t="shared" si="71"/>
        <v>549</v>
      </c>
      <c r="H145" s="60">
        <f t="shared" si="71"/>
        <v>205</v>
      </c>
      <c r="I145" s="60">
        <f>SUM(I143:I144)</f>
        <v>344</v>
      </c>
      <c r="J145" s="65" t="s">
        <v>13</v>
      </c>
      <c r="K145" s="67"/>
      <c r="L145" s="55"/>
    </row>
    <row r="146" spans="1:12" ht="12.75" customHeight="1" thickBot="1" x14ac:dyDescent="0.25">
      <c r="A146" s="60">
        <f t="shared" si="59"/>
        <v>3999</v>
      </c>
      <c r="B146" s="60">
        <f t="shared" si="60"/>
        <v>1363</v>
      </c>
      <c r="C146" s="60">
        <f t="shared" si="60"/>
        <v>2636</v>
      </c>
      <c r="D146" s="60">
        <f t="shared" si="61"/>
        <v>175</v>
      </c>
      <c r="E146" s="60">
        <v>95</v>
      </c>
      <c r="F146" s="60">
        <v>80</v>
      </c>
      <c r="G146" s="60">
        <f t="shared" si="62"/>
        <v>3824</v>
      </c>
      <c r="H146" s="60">
        <v>1268</v>
      </c>
      <c r="I146" s="60">
        <v>2556</v>
      </c>
      <c r="J146" s="65" t="s">
        <v>221</v>
      </c>
      <c r="K146" s="66"/>
      <c r="L146" s="55"/>
    </row>
    <row r="147" spans="1:12" ht="12.75" customHeight="1" thickBot="1" x14ac:dyDescent="0.25">
      <c r="A147" s="60">
        <f t="shared" si="59"/>
        <v>0</v>
      </c>
      <c r="B147" s="60">
        <f t="shared" si="60"/>
        <v>0</v>
      </c>
      <c r="C147" s="60">
        <f t="shared" si="60"/>
        <v>0</v>
      </c>
      <c r="D147" s="60">
        <f t="shared" si="61"/>
        <v>0</v>
      </c>
      <c r="E147" s="60">
        <v>0</v>
      </c>
      <c r="F147" s="60">
        <v>0</v>
      </c>
      <c r="G147" s="60">
        <f t="shared" si="62"/>
        <v>0</v>
      </c>
      <c r="H147" s="60">
        <v>0</v>
      </c>
      <c r="I147" s="60">
        <v>0</v>
      </c>
      <c r="J147" s="65" t="s">
        <v>222</v>
      </c>
      <c r="K147" s="66" t="s">
        <v>365</v>
      </c>
      <c r="L147" s="55"/>
    </row>
    <row r="148" spans="1:12" ht="12.75" customHeight="1" thickBot="1" x14ac:dyDescent="0.25">
      <c r="A148" s="60">
        <f t="shared" ref="A148:H148" si="72">SUM(A146:A147)</f>
        <v>3999</v>
      </c>
      <c r="B148" s="60">
        <f t="shared" si="72"/>
        <v>1363</v>
      </c>
      <c r="C148" s="60">
        <f t="shared" si="72"/>
        <v>2636</v>
      </c>
      <c r="D148" s="60">
        <f t="shared" si="72"/>
        <v>175</v>
      </c>
      <c r="E148" s="60">
        <f t="shared" si="72"/>
        <v>95</v>
      </c>
      <c r="F148" s="60">
        <f t="shared" si="72"/>
        <v>80</v>
      </c>
      <c r="G148" s="60">
        <f t="shared" si="72"/>
        <v>3824</v>
      </c>
      <c r="H148" s="60">
        <f t="shared" si="72"/>
        <v>1268</v>
      </c>
      <c r="I148" s="60">
        <f>SUM(I146:I147)</f>
        <v>2556</v>
      </c>
      <c r="J148" s="65" t="s">
        <v>13</v>
      </c>
      <c r="K148" s="67"/>
      <c r="L148" s="55"/>
    </row>
    <row r="149" spans="1:12" ht="12.75" customHeight="1" thickBot="1" x14ac:dyDescent="0.25">
      <c r="A149" s="60">
        <f t="shared" si="59"/>
        <v>9776</v>
      </c>
      <c r="B149" s="60">
        <f t="shared" si="60"/>
        <v>4816</v>
      </c>
      <c r="C149" s="60">
        <f t="shared" si="60"/>
        <v>4960</v>
      </c>
      <c r="D149" s="60">
        <f t="shared" si="61"/>
        <v>115</v>
      </c>
      <c r="E149" s="60">
        <v>49</v>
      </c>
      <c r="F149" s="60">
        <v>66</v>
      </c>
      <c r="G149" s="60">
        <f t="shared" si="62"/>
        <v>9661</v>
      </c>
      <c r="H149" s="60">
        <v>4767</v>
      </c>
      <c r="I149" s="60">
        <v>4894</v>
      </c>
      <c r="J149" s="65" t="s">
        <v>221</v>
      </c>
      <c r="K149" s="66"/>
      <c r="L149" s="55"/>
    </row>
    <row r="150" spans="1:12" ht="12.75" customHeight="1" thickBot="1" x14ac:dyDescent="0.25">
      <c r="A150" s="60">
        <f t="shared" si="59"/>
        <v>0</v>
      </c>
      <c r="B150" s="60">
        <f t="shared" si="60"/>
        <v>0</v>
      </c>
      <c r="C150" s="60">
        <f t="shared" si="60"/>
        <v>0</v>
      </c>
      <c r="D150" s="60">
        <f t="shared" si="61"/>
        <v>0</v>
      </c>
      <c r="E150" s="60">
        <v>0</v>
      </c>
      <c r="F150" s="60">
        <v>0</v>
      </c>
      <c r="G150" s="60">
        <f t="shared" si="62"/>
        <v>0</v>
      </c>
      <c r="H150" s="60">
        <v>0</v>
      </c>
      <c r="I150" s="60">
        <v>0</v>
      </c>
      <c r="J150" s="65" t="s">
        <v>222</v>
      </c>
      <c r="K150" s="66" t="s">
        <v>366</v>
      </c>
      <c r="L150" s="55"/>
    </row>
    <row r="151" spans="1:12" ht="12.75" customHeight="1" thickBot="1" x14ac:dyDescent="0.25">
      <c r="A151" s="60">
        <f t="shared" ref="A151:H151" si="73">SUM(A149:A150)</f>
        <v>9776</v>
      </c>
      <c r="B151" s="60">
        <f t="shared" si="73"/>
        <v>4816</v>
      </c>
      <c r="C151" s="60">
        <f t="shared" si="73"/>
        <v>4960</v>
      </c>
      <c r="D151" s="60">
        <f t="shared" si="73"/>
        <v>115</v>
      </c>
      <c r="E151" s="60">
        <f t="shared" si="73"/>
        <v>49</v>
      </c>
      <c r="F151" s="60">
        <f t="shared" si="73"/>
        <v>66</v>
      </c>
      <c r="G151" s="60">
        <f t="shared" si="73"/>
        <v>9661</v>
      </c>
      <c r="H151" s="60">
        <f t="shared" si="73"/>
        <v>4767</v>
      </c>
      <c r="I151" s="60">
        <f>SUM(I149:I150)</f>
        <v>4894</v>
      </c>
      <c r="J151" s="65" t="s">
        <v>13</v>
      </c>
      <c r="K151" s="67"/>
      <c r="L151" s="55"/>
    </row>
    <row r="152" spans="1:12" ht="12.75" customHeight="1" thickBot="1" x14ac:dyDescent="0.25">
      <c r="A152" s="60">
        <f t="shared" si="59"/>
        <v>2208</v>
      </c>
      <c r="B152" s="60">
        <f t="shared" si="60"/>
        <v>1208</v>
      </c>
      <c r="C152" s="60">
        <f t="shared" si="60"/>
        <v>1000</v>
      </c>
      <c r="D152" s="60">
        <f t="shared" si="61"/>
        <v>28</v>
      </c>
      <c r="E152" s="60">
        <v>20</v>
      </c>
      <c r="F152" s="60">
        <v>8</v>
      </c>
      <c r="G152" s="60">
        <f t="shared" si="62"/>
        <v>2180</v>
      </c>
      <c r="H152" s="60">
        <v>1188</v>
      </c>
      <c r="I152" s="60">
        <v>992</v>
      </c>
      <c r="J152" s="65" t="s">
        <v>221</v>
      </c>
      <c r="K152" s="66"/>
      <c r="L152" s="55"/>
    </row>
    <row r="153" spans="1:12" ht="12.75" customHeight="1" thickBot="1" x14ac:dyDescent="0.25">
      <c r="A153" s="60">
        <f t="shared" si="59"/>
        <v>0</v>
      </c>
      <c r="B153" s="60">
        <f t="shared" si="60"/>
        <v>0</v>
      </c>
      <c r="C153" s="60">
        <f t="shared" si="60"/>
        <v>0</v>
      </c>
      <c r="D153" s="60">
        <f t="shared" si="61"/>
        <v>0</v>
      </c>
      <c r="E153" s="60">
        <v>0</v>
      </c>
      <c r="F153" s="60">
        <v>0</v>
      </c>
      <c r="G153" s="60">
        <f t="shared" si="62"/>
        <v>0</v>
      </c>
      <c r="H153" s="60">
        <v>0</v>
      </c>
      <c r="I153" s="60">
        <v>0</v>
      </c>
      <c r="J153" s="65" t="s">
        <v>222</v>
      </c>
      <c r="K153" s="66" t="s">
        <v>355</v>
      </c>
      <c r="L153" s="55"/>
    </row>
    <row r="154" spans="1:12" ht="12.75" customHeight="1" thickBot="1" x14ac:dyDescent="0.25">
      <c r="A154" s="60">
        <f t="shared" ref="A154:H154" si="74">SUM(A152:A153)</f>
        <v>2208</v>
      </c>
      <c r="B154" s="60">
        <f t="shared" si="74"/>
        <v>1208</v>
      </c>
      <c r="C154" s="60">
        <f t="shared" si="74"/>
        <v>1000</v>
      </c>
      <c r="D154" s="60">
        <f t="shared" si="74"/>
        <v>28</v>
      </c>
      <c r="E154" s="60">
        <f t="shared" si="74"/>
        <v>20</v>
      </c>
      <c r="F154" s="60">
        <f t="shared" si="74"/>
        <v>8</v>
      </c>
      <c r="G154" s="60">
        <f t="shared" si="74"/>
        <v>2180</v>
      </c>
      <c r="H154" s="60">
        <f t="shared" si="74"/>
        <v>1188</v>
      </c>
      <c r="I154" s="60">
        <f>SUM(I152:I153)</f>
        <v>992</v>
      </c>
      <c r="J154" s="65" t="s">
        <v>13</v>
      </c>
      <c r="K154" s="67"/>
      <c r="L154" s="55"/>
    </row>
    <row r="155" spans="1:12" ht="12.75" customHeight="1" thickBot="1" x14ac:dyDescent="0.25">
      <c r="A155" s="60">
        <f t="shared" si="59"/>
        <v>707</v>
      </c>
      <c r="B155" s="60">
        <f t="shared" si="60"/>
        <v>0</v>
      </c>
      <c r="C155" s="60">
        <f t="shared" si="60"/>
        <v>707</v>
      </c>
      <c r="D155" s="60">
        <f t="shared" si="61"/>
        <v>21</v>
      </c>
      <c r="E155" s="60">
        <v>0</v>
      </c>
      <c r="F155" s="60">
        <v>21</v>
      </c>
      <c r="G155" s="60">
        <f t="shared" si="62"/>
        <v>686</v>
      </c>
      <c r="H155" s="60">
        <v>0</v>
      </c>
      <c r="I155" s="60">
        <v>686</v>
      </c>
      <c r="J155" s="65" t="s">
        <v>221</v>
      </c>
      <c r="K155" s="66"/>
      <c r="L155" s="55"/>
    </row>
    <row r="156" spans="1:12" ht="12.75" customHeight="1" thickBot="1" x14ac:dyDescent="0.25">
      <c r="A156" s="60">
        <f t="shared" si="59"/>
        <v>0</v>
      </c>
      <c r="B156" s="60">
        <f t="shared" si="60"/>
        <v>0</v>
      </c>
      <c r="C156" s="60">
        <f t="shared" si="60"/>
        <v>0</v>
      </c>
      <c r="D156" s="60">
        <f t="shared" si="61"/>
        <v>0</v>
      </c>
      <c r="E156" s="60">
        <v>0</v>
      </c>
      <c r="F156" s="60">
        <v>0</v>
      </c>
      <c r="G156" s="60">
        <f t="shared" si="62"/>
        <v>0</v>
      </c>
      <c r="H156" s="60">
        <v>0</v>
      </c>
      <c r="I156" s="60">
        <v>0</v>
      </c>
      <c r="J156" s="65" t="s">
        <v>222</v>
      </c>
      <c r="K156" s="66" t="s">
        <v>535</v>
      </c>
      <c r="L156" s="55"/>
    </row>
    <row r="157" spans="1:12" ht="12.75" customHeight="1" thickBot="1" x14ac:dyDescent="0.25">
      <c r="A157" s="60">
        <f t="shared" ref="A157:H157" si="75">SUM(A155:A156)</f>
        <v>707</v>
      </c>
      <c r="B157" s="60">
        <f t="shared" si="75"/>
        <v>0</v>
      </c>
      <c r="C157" s="60">
        <f t="shared" si="75"/>
        <v>707</v>
      </c>
      <c r="D157" s="60">
        <f t="shared" si="75"/>
        <v>21</v>
      </c>
      <c r="E157" s="60">
        <f t="shared" si="75"/>
        <v>0</v>
      </c>
      <c r="F157" s="60">
        <f t="shared" si="75"/>
        <v>21</v>
      </c>
      <c r="G157" s="60">
        <f t="shared" si="75"/>
        <v>686</v>
      </c>
      <c r="H157" s="60">
        <f t="shared" si="75"/>
        <v>0</v>
      </c>
      <c r="I157" s="60">
        <f>SUM(I155:I156)</f>
        <v>686</v>
      </c>
      <c r="J157" s="65" t="s">
        <v>13</v>
      </c>
      <c r="K157" s="67"/>
      <c r="L157" s="55"/>
    </row>
    <row r="158" spans="1:12" ht="12.75" customHeight="1" thickBot="1" x14ac:dyDescent="0.25">
      <c r="A158" s="60">
        <f t="shared" si="59"/>
        <v>3009</v>
      </c>
      <c r="B158" s="60">
        <f t="shared" si="60"/>
        <v>0</v>
      </c>
      <c r="C158" s="60">
        <f t="shared" si="60"/>
        <v>3009</v>
      </c>
      <c r="D158" s="60">
        <f t="shared" si="61"/>
        <v>14</v>
      </c>
      <c r="E158" s="60">
        <v>0</v>
      </c>
      <c r="F158" s="60">
        <v>14</v>
      </c>
      <c r="G158" s="60">
        <f t="shared" si="62"/>
        <v>2995</v>
      </c>
      <c r="H158" s="60">
        <v>0</v>
      </c>
      <c r="I158" s="60">
        <v>2995</v>
      </c>
      <c r="J158" s="65" t="s">
        <v>221</v>
      </c>
      <c r="K158" s="66"/>
      <c r="L158" s="55"/>
    </row>
    <row r="159" spans="1:12" ht="12.75" customHeight="1" thickBot="1" x14ac:dyDescent="0.25">
      <c r="A159" s="60">
        <f t="shared" si="59"/>
        <v>0</v>
      </c>
      <c r="B159" s="60">
        <f t="shared" si="60"/>
        <v>0</v>
      </c>
      <c r="C159" s="60">
        <f t="shared" si="60"/>
        <v>0</v>
      </c>
      <c r="D159" s="60">
        <f t="shared" si="61"/>
        <v>0</v>
      </c>
      <c r="E159" s="60">
        <v>0</v>
      </c>
      <c r="F159" s="60">
        <v>0</v>
      </c>
      <c r="G159" s="60">
        <f t="shared" si="62"/>
        <v>0</v>
      </c>
      <c r="H159" s="60">
        <v>0</v>
      </c>
      <c r="I159" s="60">
        <v>0</v>
      </c>
      <c r="J159" s="65" t="s">
        <v>222</v>
      </c>
      <c r="K159" s="66" t="s">
        <v>377</v>
      </c>
      <c r="L159" s="55"/>
    </row>
    <row r="160" spans="1:12" ht="12.75" customHeight="1" thickBot="1" x14ac:dyDescent="0.25">
      <c r="A160" s="60">
        <f t="shared" ref="A160:H160" si="76">SUM(A158:A159)</f>
        <v>3009</v>
      </c>
      <c r="B160" s="60">
        <f t="shared" si="76"/>
        <v>0</v>
      </c>
      <c r="C160" s="60">
        <f t="shared" si="76"/>
        <v>3009</v>
      </c>
      <c r="D160" s="60">
        <f t="shared" si="76"/>
        <v>14</v>
      </c>
      <c r="E160" s="60">
        <f t="shared" si="76"/>
        <v>0</v>
      </c>
      <c r="F160" s="60">
        <f t="shared" si="76"/>
        <v>14</v>
      </c>
      <c r="G160" s="60">
        <f t="shared" si="76"/>
        <v>2995</v>
      </c>
      <c r="H160" s="60">
        <f t="shared" si="76"/>
        <v>0</v>
      </c>
      <c r="I160" s="60">
        <f>SUM(I158:I159)</f>
        <v>2995</v>
      </c>
      <c r="J160" s="65" t="s">
        <v>13</v>
      </c>
      <c r="K160" s="67"/>
      <c r="L160" s="55"/>
    </row>
    <row r="161" spans="1:12" ht="12.75" customHeight="1" thickBot="1" x14ac:dyDescent="0.25">
      <c r="A161" s="60">
        <f t="shared" si="59"/>
        <v>1204</v>
      </c>
      <c r="B161" s="60">
        <f t="shared" si="60"/>
        <v>606</v>
      </c>
      <c r="C161" s="60">
        <f t="shared" si="60"/>
        <v>598</v>
      </c>
      <c r="D161" s="60">
        <f t="shared" si="61"/>
        <v>23</v>
      </c>
      <c r="E161" s="60">
        <v>15</v>
      </c>
      <c r="F161" s="60">
        <v>8</v>
      </c>
      <c r="G161" s="60">
        <f t="shared" si="62"/>
        <v>1181</v>
      </c>
      <c r="H161" s="60">
        <v>591</v>
      </c>
      <c r="I161" s="60">
        <v>590</v>
      </c>
      <c r="J161" s="65" t="s">
        <v>221</v>
      </c>
      <c r="K161" s="66"/>
      <c r="L161" s="55"/>
    </row>
    <row r="162" spans="1:12" ht="12.75" customHeight="1" thickBot="1" x14ac:dyDescent="0.25">
      <c r="A162" s="60">
        <f t="shared" si="59"/>
        <v>0</v>
      </c>
      <c r="B162" s="60">
        <f t="shared" si="60"/>
        <v>0</v>
      </c>
      <c r="C162" s="60">
        <f t="shared" si="60"/>
        <v>0</v>
      </c>
      <c r="D162" s="60">
        <f t="shared" si="61"/>
        <v>0</v>
      </c>
      <c r="E162" s="60">
        <v>0</v>
      </c>
      <c r="F162" s="60">
        <v>0</v>
      </c>
      <c r="G162" s="60">
        <f t="shared" si="62"/>
        <v>0</v>
      </c>
      <c r="H162" s="60">
        <v>0</v>
      </c>
      <c r="I162" s="60">
        <v>0</v>
      </c>
      <c r="J162" s="65" t="s">
        <v>222</v>
      </c>
      <c r="K162" s="66" t="s">
        <v>536</v>
      </c>
      <c r="L162" s="55"/>
    </row>
    <row r="163" spans="1:12" ht="12.75" customHeight="1" thickBot="1" x14ac:dyDescent="0.25">
      <c r="A163" s="60">
        <f t="shared" ref="A163:H163" si="77">SUM(A161:A162)</f>
        <v>1204</v>
      </c>
      <c r="B163" s="60">
        <f t="shared" si="77"/>
        <v>606</v>
      </c>
      <c r="C163" s="60">
        <f t="shared" si="77"/>
        <v>598</v>
      </c>
      <c r="D163" s="60">
        <f t="shared" si="77"/>
        <v>23</v>
      </c>
      <c r="E163" s="60">
        <f t="shared" si="77"/>
        <v>15</v>
      </c>
      <c r="F163" s="60">
        <f t="shared" si="77"/>
        <v>8</v>
      </c>
      <c r="G163" s="60">
        <f t="shared" si="77"/>
        <v>1181</v>
      </c>
      <c r="H163" s="60">
        <f t="shared" si="77"/>
        <v>591</v>
      </c>
      <c r="I163" s="60">
        <f>SUM(I161:I162)</f>
        <v>590</v>
      </c>
      <c r="J163" s="65" t="s">
        <v>13</v>
      </c>
      <c r="K163" s="67"/>
      <c r="L163" s="55"/>
    </row>
    <row r="164" spans="1:12" ht="12.75" customHeight="1" thickBot="1" x14ac:dyDescent="0.25">
      <c r="A164" s="60">
        <f t="shared" si="59"/>
        <v>885</v>
      </c>
      <c r="B164" s="60">
        <f t="shared" si="60"/>
        <v>449</v>
      </c>
      <c r="C164" s="60">
        <f t="shared" si="60"/>
        <v>436</v>
      </c>
      <c r="D164" s="60">
        <f t="shared" si="61"/>
        <v>10</v>
      </c>
      <c r="E164" s="60">
        <v>8</v>
      </c>
      <c r="F164" s="60">
        <v>2</v>
      </c>
      <c r="G164" s="60">
        <f t="shared" si="62"/>
        <v>875</v>
      </c>
      <c r="H164" s="60">
        <v>441</v>
      </c>
      <c r="I164" s="60">
        <v>434</v>
      </c>
      <c r="J164" s="65" t="s">
        <v>221</v>
      </c>
      <c r="K164" s="66"/>
      <c r="L164" s="55"/>
    </row>
    <row r="165" spans="1:12" ht="12.75" customHeight="1" thickBot="1" x14ac:dyDescent="0.25">
      <c r="A165" s="60">
        <f t="shared" si="59"/>
        <v>0</v>
      </c>
      <c r="B165" s="60">
        <f t="shared" si="60"/>
        <v>0</v>
      </c>
      <c r="C165" s="60">
        <f t="shared" si="60"/>
        <v>0</v>
      </c>
      <c r="D165" s="60">
        <f t="shared" si="61"/>
        <v>0</v>
      </c>
      <c r="E165" s="60">
        <v>0</v>
      </c>
      <c r="F165" s="60">
        <v>0</v>
      </c>
      <c r="G165" s="60">
        <f t="shared" si="62"/>
        <v>0</v>
      </c>
      <c r="H165" s="60">
        <v>0</v>
      </c>
      <c r="I165" s="60">
        <v>0</v>
      </c>
      <c r="J165" s="65" t="s">
        <v>222</v>
      </c>
      <c r="K165" s="66" t="s">
        <v>367</v>
      </c>
      <c r="L165" s="55"/>
    </row>
    <row r="166" spans="1:12" ht="12.75" customHeight="1" thickBot="1" x14ac:dyDescent="0.25">
      <c r="A166" s="60">
        <f t="shared" ref="A166:H166" si="78">SUM(A164:A165)</f>
        <v>885</v>
      </c>
      <c r="B166" s="60">
        <f t="shared" si="78"/>
        <v>449</v>
      </c>
      <c r="C166" s="60">
        <f t="shared" si="78"/>
        <v>436</v>
      </c>
      <c r="D166" s="60">
        <f t="shared" si="78"/>
        <v>10</v>
      </c>
      <c r="E166" s="60">
        <f t="shared" si="78"/>
        <v>8</v>
      </c>
      <c r="F166" s="60">
        <f t="shared" si="78"/>
        <v>2</v>
      </c>
      <c r="G166" s="60">
        <f t="shared" si="78"/>
        <v>875</v>
      </c>
      <c r="H166" s="60">
        <f t="shared" si="78"/>
        <v>441</v>
      </c>
      <c r="I166" s="60">
        <f>SUM(I164:I165)</f>
        <v>434</v>
      </c>
      <c r="J166" s="65" t="s">
        <v>13</v>
      </c>
      <c r="K166" s="67"/>
      <c r="L166" s="55"/>
    </row>
    <row r="167" spans="1:12" ht="12.75" customHeight="1" thickBot="1" x14ac:dyDescent="0.25">
      <c r="A167" s="60">
        <f t="shared" si="59"/>
        <v>613</v>
      </c>
      <c r="B167" s="60">
        <f t="shared" si="60"/>
        <v>0</v>
      </c>
      <c r="C167" s="60">
        <f t="shared" si="60"/>
        <v>613</v>
      </c>
      <c r="D167" s="60">
        <f t="shared" si="61"/>
        <v>14</v>
      </c>
      <c r="E167" s="60">
        <v>0</v>
      </c>
      <c r="F167" s="60">
        <v>14</v>
      </c>
      <c r="G167" s="60">
        <f t="shared" si="62"/>
        <v>599</v>
      </c>
      <c r="H167" s="60">
        <v>0</v>
      </c>
      <c r="I167" s="60">
        <v>599</v>
      </c>
      <c r="J167" s="65" t="s">
        <v>221</v>
      </c>
      <c r="K167" s="66"/>
      <c r="L167" s="55"/>
    </row>
    <row r="168" spans="1:12" ht="12.75" customHeight="1" thickBot="1" x14ac:dyDescent="0.25">
      <c r="A168" s="60">
        <f t="shared" si="59"/>
        <v>0</v>
      </c>
      <c r="B168" s="60">
        <f t="shared" si="60"/>
        <v>0</v>
      </c>
      <c r="C168" s="60">
        <f t="shared" si="60"/>
        <v>0</v>
      </c>
      <c r="D168" s="60">
        <f t="shared" si="61"/>
        <v>0</v>
      </c>
      <c r="E168" s="60">
        <v>0</v>
      </c>
      <c r="F168" s="60">
        <v>0</v>
      </c>
      <c r="G168" s="60">
        <f t="shared" si="62"/>
        <v>0</v>
      </c>
      <c r="H168" s="60">
        <v>0</v>
      </c>
      <c r="I168" s="60">
        <v>0</v>
      </c>
      <c r="J168" s="65" t="s">
        <v>222</v>
      </c>
      <c r="K168" s="66" t="s">
        <v>368</v>
      </c>
      <c r="L168" s="55"/>
    </row>
    <row r="169" spans="1:12" ht="12.75" customHeight="1" thickBot="1" x14ac:dyDescent="0.25">
      <c r="A169" s="60">
        <f t="shared" ref="A169:H169" si="79">SUM(A167:A168)</f>
        <v>613</v>
      </c>
      <c r="B169" s="60">
        <f t="shared" si="79"/>
        <v>0</v>
      </c>
      <c r="C169" s="60">
        <f t="shared" si="79"/>
        <v>613</v>
      </c>
      <c r="D169" s="60">
        <f t="shared" si="79"/>
        <v>14</v>
      </c>
      <c r="E169" s="60">
        <f t="shared" si="79"/>
        <v>0</v>
      </c>
      <c r="F169" s="60">
        <f t="shared" si="79"/>
        <v>14</v>
      </c>
      <c r="G169" s="60">
        <f t="shared" si="79"/>
        <v>599</v>
      </c>
      <c r="H169" s="60">
        <f t="shared" si="79"/>
        <v>0</v>
      </c>
      <c r="I169" s="60">
        <f>SUM(I167:I168)</f>
        <v>599</v>
      </c>
      <c r="J169" s="65" t="s">
        <v>13</v>
      </c>
      <c r="K169" s="67"/>
      <c r="L169" s="55"/>
    </row>
    <row r="170" spans="1:12" ht="12.75" customHeight="1" thickBot="1" x14ac:dyDescent="0.25">
      <c r="A170" s="60">
        <f t="shared" si="59"/>
        <v>99</v>
      </c>
      <c r="B170" s="60">
        <f t="shared" si="60"/>
        <v>0</v>
      </c>
      <c r="C170" s="60">
        <f t="shared" si="60"/>
        <v>99</v>
      </c>
      <c r="D170" s="60">
        <f t="shared" si="61"/>
        <v>0</v>
      </c>
      <c r="E170" s="60">
        <v>0</v>
      </c>
      <c r="F170" s="60">
        <v>0</v>
      </c>
      <c r="G170" s="60">
        <f t="shared" si="62"/>
        <v>99</v>
      </c>
      <c r="H170" s="60">
        <v>0</v>
      </c>
      <c r="I170" s="60">
        <v>99</v>
      </c>
      <c r="J170" s="65" t="s">
        <v>221</v>
      </c>
      <c r="K170" s="66"/>
      <c r="L170" s="55"/>
    </row>
    <row r="171" spans="1:12" ht="12.75" customHeight="1" thickBot="1" x14ac:dyDescent="0.25">
      <c r="A171" s="60">
        <f t="shared" si="59"/>
        <v>0</v>
      </c>
      <c r="B171" s="60">
        <f t="shared" si="60"/>
        <v>0</v>
      </c>
      <c r="C171" s="60">
        <f t="shared" si="60"/>
        <v>0</v>
      </c>
      <c r="D171" s="60">
        <f t="shared" si="61"/>
        <v>0</v>
      </c>
      <c r="E171" s="60">
        <v>0</v>
      </c>
      <c r="F171" s="60">
        <v>0</v>
      </c>
      <c r="G171" s="60">
        <f t="shared" si="62"/>
        <v>0</v>
      </c>
      <c r="H171" s="60">
        <v>0</v>
      </c>
      <c r="I171" s="60">
        <v>0</v>
      </c>
      <c r="J171" s="65" t="s">
        <v>222</v>
      </c>
      <c r="K171" s="66" t="s">
        <v>369</v>
      </c>
      <c r="L171" s="55"/>
    </row>
    <row r="172" spans="1:12" ht="12.75" customHeight="1" thickBot="1" x14ac:dyDescent="0.25">
      <c r="A172" s="60">
        <f t="shared" ref="A172:H172" si="80">SUM(A170:A171)</f>
        <v>99</v>
      </c>
      <c r="B172" s="60">
        <f t="shared" si="80"/>
        <v>0</v>
      </c>
      <c r="C172" s="60">
        <f t="shared" si="80"/>
        <v>99</v>
      </c>
      <c r="D172" s="60">
        <f t="shared" si="80"/>
        <v>0</v>
      </c>
      <c r="E172" s="60">
        <f t="shared" si="80"/>
        <v>0</v>
      </c>
      <c r="F172" s="60">
        <f t="shared" si="80"/>
        <v>0</v>
      </c>
      <c r="G172" s="60">
        <f t="shared" si="80"/>
        <v>99</v>
      </c>
      <c r="H172" s="60">
        <f t="shared" si="80"/>
        <v>0</v>
      </c>
      <c r="I172" s="60">
        <f>SUM(I170:I171)</f>
        <v>99</v>
      </c>
      <c r="J172" s="65" t="s">
        <v>13</v>
      </c>
      <c r="K172" s="67"/>
      <c r="L172" s="55"/>
    </row>
    <row r="173" spans="1:12" ht="12.75" customHeight="1" thickBot="1" x14ac:dyDescent="0.25">
      <c r="A173" s="60">
        <f t="shared" si="59"/>
        <v>186</v>
      </c>
      <c r="B173" s="60">
        <f t="shared" si="60"/>
        <v>0</v>
      </c>
      <c r="C173" s="60">
        <f t="shared" si="60"/>
        <v>186</v>
      </c>
      <c r="D173" s="60">
        <f t="shared" si="61"/>
        <v>2</v>
      </c>
      <c r="E173" s="60">
        <v>0</v>
      </c>
      <c r="F173" s="60">
        <v>2</v>
      </c>
      <c r="G173" s="60">
        <f t="shared" si="62"/>
        <v>184</v>
      </c>
      <c r="H173" s="60">
        <v>0</v>
      </c>
      <c r="I173" s="60">
        <v>184</v>
      </c>
      <c r="J173" s="65" t="s">
        <v>221</v>
      </c>
      <c r="K173" s="66"/>
      <c r="L173" s="55"/>
    </row>
    <row r="174" spans="1:12" ht="12.75" customHeight="1" thickBot="1" x14ac:dyDescent="0.25">
      <c r="A174" s="60">
        <f t="shared" si="59"/>
        <v>0</v>
      </c>
      <c r="B174" s="60">
        <f t="shared" si="60"/>
        <v>0</v>
      </c>
      <c r="C174" s="60">
        <f t="shared" si="60"/>
        <v>0</v>
      </c>
      <c r="D174" s="60">
        <f t="shared" si="61"/>
        <v>0</v>
      </c>
      <c r="E174" s="60">
        <v>0</v>
      </c>
      <c r="F174" s="60">
        <v>0</v>
      </c>
      <c r="G174" s="60">
        <f t="shared" si="62"/>
        <v>0</v>
      </c>
      <c r="H174" s="60">
        <v>0</v>
      </c>
      <c r="I174" s="60">
        <v>0</v>
      </c>
      <c r="J174" s="65" t="s">
        <v>222</v>
      </c>
      <c r="K174" s="66" t="s">
        <v>370</v>
      </c>
      <c r="L174" s="55"/>
    </row>
    <row r="175" spans="1:12" ht="12.75" customHeight="1" thickBot="1" x14ac:dyDescent="0.25">
      <c r="A175" s="60">
        <f t="shared" ref="A175:H175" si="81">SUM(A173:A174)</f>
        <v>186</v>
      </c>
      <c r="B175" s="60">
        <f t="shared" si="81"/>
        <v>0</v>
      </c>
      <c r="C175" s="60">
        <f t="shared" si="81"/>
        <v>186</v>
      </c>
      <c r="D175" s="60">
        <f t="shared" si="81"/>
        <v>2</v>
      </c>
      <c r="E175" s="60">
        <f t="shared" si="81"/>
        <v>0</v>
      </c>
      <c r="F175" s="60">
        <f t="shared" si="81"/>
        <v>2</v>
      </c>
      <c r="G175" s="60">
        <f t="shared" si="81"/>
        <v>184</v>
      </c>
      <c r="H175" s="60">
        <f t="shared" si="81"/>
        <v>0</v>
      </c>
      <c r="I175" s="60">
        <f>SUM(I173:I174)</f>
        <v>184</v>
      </c>
      <c r="J175" s="65" t="s">
        <v>13</v>
      </c>
      <c r="K175" s="67"/>
      <c r="L175" s="55"/>
    </row>
    <row r="176" spans="1:12" ht="12.75" customHeight="1" thickBot="1" x14ac:dyDescent="0.25">
      <c r="A176" s="60">
        <f t="shared" si="59"/>
        <v>577</v>
      </c>
      <c r="B176" s="60">
        <f t="shared" si="60"/>
        <v>0</v>
      </c>
      <c r="C176" s="60">
        <f t="shared" si="60"/>
        <v>577</v>
      </c>
      <c r="D176" s="60">
        <f t="shared" si="61"/>
        <v>3</v>
      </c>
      <c r="E176" s="60">
        <v>0</v>
      </c>
      <c r="F176" s="60">
        <v>3</v>
      </c>
      <c r="G176" s="60">
        <f t="shared" si="62"/>
        <v>574</v>
      </c>
      <c r="H176" s="60">
        <v>0</v>
      </c>
      <c r="I176" s="60">
        <v>574</v>
      </c>
      <c r="J176" s="65" t="s">
        <v>221</v>
      </c>
      <c r="K176" s="66"/>
      <c r="L176" s="55"/>
    </row>
    <row r="177" spans="1:12" ht="12.75" customHeight="1" thickBot="1" x14ac:dyDescent="0.25">
      <c r="A177" s="60">
        <f t="shared" si="59"/>
        <v>0</v>
      </c>
      <c r="B177" s="60">
        <f t="shared" si="60"/>
        <v>0</v>
      </c>
      <c r="C177" s="60">
        <f t="shared" si="60"/>
        <v>0</v>
      </c>
      <c r="D177" s="60">
        <f t="shared" si="61"/>
        <v>0</v>
      </c>
      <c r="E177" s="60">
        <v>0</v>
      </c>
      <c r="F177" s="60">
        <v>0</v>
      </c>
      <c r="G177" s="60">
        <f t="shared" si="62"/>
        <v>0</v>
      </c>
      <c r="H177" s="60">
        <v>0</v>
      </c>
      <c r="I177" s="60">
        <v>0</v>
      </c>
      <c r="J177" s="65" t="s">
        <v>222</v>
      </c>
      <c r="K177" s="66" t="s">
        <v>371</v>
      </c>
      <c r="L177" s="55"/>
    </row>
    <row r="178" spans="1:12" ht="12.75" customHeight="1" thickBot="1" x14ac:dyDescent="0.25">
      <c r="A178" s="60">
        <f t="shared" ref="A178:H178" si="82">SUM(A176:A177)</f>
        <v>577</v>
      </c>
      <c r="B178" s="60">
        <f t="shared" si="82"/>
        <v>0</v>
      </c>
      <c r="C178" s="60">
        <f t="shared" si="82"/>
        <v>577</v>
      </c>
      <c r="D178" s="60">
        <f t="shared" si="82"/>
        <v>3</v>
      </c>
      <c r="E178" s="60">
        <f t="shared" si="82"/>
        <v>0</v>
      </c>
      <c r="F178" s="60">
        <f t="shared" si="82"/>
        <v>3</v>
      </c>
      <c r="G178" s="60">
        <f t="shared" si="82"/>
        <v>574</v>
      </c>
      <c r="H178" s="60">
        <f t="shared" si="82"/>
        <v>0</v>
      </c>
      <c r="I178" s="60">
        <f>SUM(I176:I177)</f>
        <v>574</v>
      </c>
      <c r="J178" s="65" t="s">
        <v>13</v>
      </c>
      <c r="K178" s="67"/>
      <c r="L178" s="55"/>
    </row>
    <row r="179" spans="1:12" ht="12.75" customHeight="1" thickBot="1" x14ac:dyDescent="0.25">
      <c r="A179" s="60">
        <f t="shared" si="59"/>
        <v>87</v>
      </c>
      <c r="B179" s="60">
        <f t="shared" si="60"/>
        <v>0</v>
      </c>
      <c r="C179" s="60">
        <f t="shared" si="60"/>
        <v>87</v>
      </c>
      <c r="D179" s="60">
        <f t="shared" si="61"/>
        <v>0</v>
      </c>
      <c r="E179" s="60">
        <v>0</v>
      </c>
      <c r="F179" s="60">
        <v>0</v>
      </c>
      <c r="G179" s="60">
        <f t="shared" si="62"/>
        <v>87</v>
      </c>
      <c r="H179" s="60">
        <v>0</v>
      </c>
      <c r="I179" s="60">
        <v>87</v>
      </c>
      <c r="J179" s="65" t="s">
        <v>221</v>
      </c>
      <c r="K179" s="66"/>
      <c r="L179" s="55"/>
    </row>
    <row r="180" spans="1:12" ht="12.75" customHeight="1" thickBot="1" x14ac:dyDescent="0.25">
      <c r="A180" s="60">
        <f t="shared" si="59"/>
        <v>0</v>
      </c>
      <c r="B180" s="60">
        <f t="shared" si="60"/>
        <v>0</v>
      </c>
      <c r="C180" s="60">
        <f t="shared" si="60"/>
        <v>0</v>
      </c>
      <c r="D180" s="60">
        <f t="shared" si="61"/>
        <v>0</v>
      </c>
      <c r="E180" s="60">
        <v>0</v>
      </c>
      <c r="F180" s="60">
        <v>0</v>
      </c>
      <c r="G180" s="60">
        <f t="shared" si="62"/>
        <v>0</v>
      </c>
      <c r="H180" s="60">
        <v>0</v>
      </c>
      <c r="I180" s="60">
        <v>0</v>
      </c>
      <c r="J180" s="65" t="s">
        <v>222</v>
      </c>
      <c r="K180" s="66" t="s">
        <v>372</v>
      </c>
      <c r="L180" s="55"/>
    </row>
    <row r="181" spans="1:12" ht="12.75" customHeight="1" thickBot="1" x14ac:dyDescent="0.25">
      <c r="A181" s="60">
        <f t="shared" ref="A181:H181" si="83">SUM(A179:A180)</f>
        <v>87</v>
      </c>
      <c r="B181" s="60">
        <f t="shared" si="83"/>
        <v>0</v>
      </c>
      <c r="C181" s="60">
        <f t="shared" si="83"/>
        <v>87</v>
      </c>
      <c r="D181" s="60">
        <f t="shared" si="83"/>
        <v>0</v>
      </c>
      <c r="E181" s="60">
        <f t="shared" si="83"/>
        <v>0</v>
      </c>
      <c r="F181" s="60">
        <f t="shared" si="83"/>
        <v>0</v>
      </c>
      <c r="G181" s="60">
        <f t="shared" si="83"/>
        <v>87</v>
      </c>
      <c r="H181" s="60">
        <f t="shared" si="83"/>
        <v>0</v>
      </c>
      <c r="I181" s="60">
        <f>SUM(I179:I180)</f>
        <v>87</v>
      </c>
      <c r="J181" s="65" t="s">
        <v>13</v>
      </c>
      <c r="K181" s="67"/>
      <c r="L181" s="55"/>
    </row>
    <row r="182" spans="1:12" ht="12.75" customHeight="1" thickBot="1" x14ac:dyDescent="0.25">
      <c r="A182" s="60">
        <f t="shared" si="59"/>
        <v>391</v>
      </c>
      <c r="B182" s="60">
        <f t="shared" si="60"/>
        <v>0</v>
      </c>
      <c r="C182" s="60">
        <f t="shared" si="60"/>
        <v>391</v>
      </c>
      <c r="D182" s="60">
        <f t="shared" si="61"/>
        <v>0</v>
      </c>
      <c r="E182" s="60">
        <v>0</v>
      </c>
      <c r="F182" s="60">
        <v>0</v>
      </c>
      <c r="G182" s="60">
        <f t="shared" si="62"/>
        <v>391</v>
      </c>
      <c r="H182" s="60">
        <v>0</v>
      </c>
      <c r="I182" s="60">
        <v>391</v>
      </c>
      <c r="J182" s="65" t="s">
        <v>221</v>
      </c>
      <c r="K182" s="66"/>
      <c r="L182" s="55"/>
    </row>
    <row r="183" spans="1:12" ht="12.75" customHeight="1" thickBot="1" x14ac:dyDescent="0.25">
      <c r="A183" s="60">
        <f t="shared" si="59"/>
        <v>0</v>
      </c>
      <c r="B183" s="60">
        <f t="shared" si="60"/>
        <v>0</v>
      </c>
      <c r="C183" s="60">
        <f t="shared" si="60"/>
        <v>0</v>
      </c>
      <c r="D183" s="60">
        <f t="shared" si="61"/>
        <v>0</v>
      </c>
      <c r="E183" s="60">
        <v>0</v>
      </c>
      <c r="F183" s="60">
        <v>0</v>
      </c>
      <c r="G183" s="60">
        <f t="shared" si="62"/>
        <v>0</v>
      </c>
      <c r="H183" s="60">
        <v>0</v>
      </c>
      <c r="I183" s="60">
        <v>0</v>
      </c>
      <c r="J183" s="65" t="s">
        <v>222</v>
      </c>
      <c r="K183" s="66" t="s">
        <v>373</v>
      </c>
      <c r="L183" s="55"/>
    </row>
    <row r="184" spans="1:12" ht="12.75" customHeight="1" thickBot="1" x14ac:dyDescent="0.25">
      <c r="A184" s="60">
        <f t="shared" ref="A184:H184" si="84">SUM(A182:A183)</f>
        <v>391</v>
      </c>
      <c r="B184" s="60">
        <f t="shared" si="84"/>
        <v>0</v>
      </c>
      <c r="C184" s="60">
        <f t="shared" si="84"/>
        <v>391</v>
      </c>
      <c r="D184" s="60">
        <f t="shared" si="84"/>
        <v>0</v>
      </c>
      <c r="E184" s="60">
        <f t="shared" si="84"/>
        <v>0</v>
      </c>
      <c r="F184" s="60">
        <f t="shared" si="84"/>
        <v>0</v>
      </c>
      <c r="G184" s="60">
        <f t="shared" si="84"/>
        <v>391</v>
      </c>
      <c r="H184" s="60">
        <f t="shared" si="84"/>
        <v>0</v>
      </c>
      <c r="I184" s="60">
        <f>SUM(I182:I183)</f>
        <v>391</v>
      </c>
      <c r="J184" s="65" t="s">
        <v>13</v>
      </c>
      <c r="K184" s="67"/>
      <c r="L184" s="55"/>
    </row>
    <row r="185" spans="1:12" ht="12.75" customHeight="1" thickBot="1" x14ac:dyDescent="0.25">
      <c r="A185" s="60">
        <f t="shared" ref="A185:A186" si="85">SUM(B185:C185)</f>
        <v>1858</v>
      </c>
      <c r="B185" s="60">
        <f t="shared" ref="B185:C186" si="86">H185+E185</f>
        <v>759</v>
      </c>
      <c r="C185" s="60">
        <f t="shared" si="86"/>
        <v>1099</v>
      </c>
      <c r="D185" s="60">
        <f t="shared" ref="D185:D186" si="87">SUM(E185:F185)</f>
        <v>40</v>
      </c>
      <c r="E185" s="60">
        <v>26</v>
      </c>
      <c r="F185" s="60">
        <v>14</v>
      </c>
      <c r="G185" s="60">
        <f t="shared" ref="G185:G186" si="88">SUM(H185:I185)</f>
        <v>1818</v>
      </c>
      <c r="H185" s="60">
        <v>733</v>
      </c>
      <c r="I185" s="60">
        <v>1085</v>
      </c>
      <c r="J185" s="65" t="s">
        <v>221</v>
      </c>
      <c r="K185" s="66"/>
      <c r="L185" s="55"/>
    </row>
    <row r="186" spans="1:12" ht="12.75" customHeight="1" thickBot="1" x14ac:dyDescent="0.25">
      <c r="A186" s="60">
        <f t="shared" si="85"/>
        <v>0</v>
      </c>
      <c r="B186" s="60">
        <f t="shared" si="86"/>
        <v>0</v>
      </c>
      <c r="C186" s="60">
        <f t="shared" si="86"/>
        <v>0</v>
      </c>
      <c r="D186" s="60">
        <f t="shared" si="87"/>
        <v>0</v>
      </c>
      <c r="E186" s="60">
        <v>0</v>
      </c>
      <c r="F186" s="60">
        <v>0</v>
      </c>
      <c r="G186" s="60">
        <f t="shared" si="88"/>
        <v>0</v>
      </c>
      <c r="H186" s="60">
        <v>0</v>
      </c>
      <c r="I186" s="60">
        <v>0</v>
      </c>
      <c r="J186" s="65" t="s">
        <v>222</v>
      </c>
      <c r="K186" s="66" t="s">
        <v>564</v>
      </c>
      <c r="L186" s="55"/>
    </row>
    <row r="187" spans="1:12" ht="12.75" customHeight="1" thickBot="1" x14ac:dyDescent="0.25">
      <c r="A187" s="60">
        <f t="shared" ref="A187:H187" si="89">SUM(A185:A186)</f>
        <v>1858</v>
      </c>
      <c r="B187" s="60">
        <f t="shared" si="89"/>
        <v>759</v>
      </c>
      <c r="C187" s="60">
        <f t="shared" si="89"/>
        <v>1099</v>
      </c>
      <c r="D187" s="60">
        <f t="shared" si="89"/>
        <v>40</v>
      </c>
      <c r="E187" s="60">
        <f t="shared" si="89"/>
        <v>26</v>
      </c>
      <c r="F187" s="60">
        <f t="shared" si="89"/>
        <v>14</v>
      </c>
      <c r="G187" s="60">
        <f t="shared" si="89"/>
        <v>1818</v>
      </c>
      <c r="H187" s="60">
        <f t="shared" si="89"/>
        <v>733</v>
      </c>
      <c r="I187" s="60">
        <f>SUM(I185:I186)</f>
        <v>1085</v>
      </c>
      <c r="J187" s="65" t="s">
        <v>13</v>
      </c>
      <c r="K187" s="67"/>
      <c r="L187" s="55"/>
    </row>
    <row r="188" spans="1:12" ht="12.75" customHeight="1" thickBot="1" x14ac:dyDescent="0.25">
      <c r="A188" s="60">
        <f t="shared" ref="A188:A189" si="90">SUM(B188:C188)</f>
        <v>200</v>
      </c>
      <c r="B188" s="60">
        <f t="shared" ref="B188:C189" si="91">H188+E188</f>
        <v>0</v>
      </c>
      <c r="C188" s="60">
        <f t="shared" si="91"/>
        <v>200</v>
      </c>
      <c r="D188" s="60">
        <f t="shared" ref="D188:D189" si="92">SUM(E188:F188)</f>
        <v>0</v>
      </c>
      <c r="E188" s="60">
        <v>0</v>
      </c>
      <c r="F188" s="60">
        <v>0</v>
      </c>
      <c r="G188" s="60">
        <f t="shared" ref="G188:G189" si="93">SUM(H188:I188)</f>
        <v>200</v>
      </c>
      <c r="H188" s="60">
        <v>0</v>
      </c>
      <c r="I188" s="60">
        <v>200</v>
      </c>
      <c r="J188" s="65" t="s">
        <v>221</v>
      </c>
      <c r="K188" s="66"/>
      <c r="L188" s="55"/>
    </row>
    <row r="189" spans="1:12" ht="12.75" customHeight="1" thickBot="1" x14ac:dyDescent="0.25">
      <c r="A189" s="60">
        <f t="shared" si="90"/>
        <v>0</v>
      </c>
      <c r="B189" s="60">
        <f t="shared" si="91"/>
        <v>0</v>
      </c>
      <c r="C189" s="60">
        <f t="shared" si="91"/>
        <v>0</v>
      </c>
      <c r="D189" s="60">
        <f t="shared" si="92"/>
        <v>0</v>
      </c>
      <c r="E189" s="60">
        <v>0</v>
      </c>
      <c r="F189" s="60">
        <v>0</v>
      </c>
      <c r="G189" s="60">
        <f t="shared" si="93"/>
        <v>0</v>
      </c>
      <c r="H189" s="60">
        <v>0</v>
      </c>
      <c r="I189" s="60">
        <v>0</v>
      </c>
      <c r="J189" s="65" t="s">
        <v>222</v>
      </c>
      <c r="K189" s="66" t="s">
        <v>565</v>
      </c>
      <c r="L189" s="55"/>
    </row>
    <row r="190" spans="1:12" ht="12.75" customHeight="1" thickBot="1" x14ac:dyDescent="0.25">
      <c r="A190" s="60">
        <f t="shared" ref="A190:H190" si="94">SUM(A188:A189)</f>
        <v>200</v>
      </c>
      <c r="B190" s="60">
        <f t="shared" si="94"/>
        <v>0</v>
      </c>
      <c r="C190" s="60">
        <f t="shared" si="94"/>
        <v>200</v>
      </c>
      <c r="D190" s="60">
        <f t="shared" si="94"/>
        <v>0</v>
      </c>
      <c r="E190" s="60">
        <f t="shared" si="94"/>
        <v>0</v>
      </c>
      <c r="F190" s="60">
        <f t="shared" si="94"/>
        <v>0</v>
      </c>
      <c r="G190" s="60">
        <f t="shared" si="94"/>
        <v>200</v>
      </c>
      <c r="H190" s="60">
        <f t="shared" si="94"/>
        <v>0</v>
      </c>
      <c r="I190" s="60">
        <f>SUM(I188:I189)</f>
        <v>200</v>
      </c>
      <c r="J190" s="65" t="s">
        <v>13</v>
      </c>
      <c r="K190" s="67"/>
      <c r="L190" s="55"/>
    </row>
    <row r="191" spans="1:12" ht="12.75" customHeight="1" thickBot="1" x14ac:dyDescent="0.25">
      <c r="A191" s="60">
        <f t="shared" ref="A191:I193" si="95">A119+A122+A125+A128+A131+A134+A137+A140+A143+A146+A149+A152+A155+A158+A161+A164+A167+A170+A173+A176+A179+A182+A185+A188</f>
        <v>54307</v>
      </c>
      <c r="B191" s="60">
        <f t="shared" si="95"/>
        <v>22566</v>
      </c>
      <c r="C191" s="60">
        <f t="shared" si="95"/>
        <v>31741</v>
      </c>
      <c r="D191" s="60">
        <f t="shared" si="95"/>
        <v>988</v>
      </c>
      <c r="E191" s="60">
        <f t="shared" si="95"/>
        <v>444</v>
      </c>
      <c r="F191" s="60">
        <f t="shared" si="95"/>
        <v>544</v>
      </c>
      <c r="G191" s="60">
        <f t="shared" si="95"/>
        <v>53319</v>
      </c>
      <c r="H191" s="60">
        <f t="shared" si="95"/>
        <v>22122</v>
      </c>
      <c r="I191" s="60">
        <f>I119+I122+I125+I128+I131+I134+I137+I140+I143+I146+I149+I152+I155+I158+I161+I164+I167+I170+I173+I176+I179+I182+I185+I188</f>
        <v>31197</v>
      </c>
      <c r="J191" s="65" t="s">
        <v>224</v>
      </c>
      <c r="K191" s="57"/>
      <c r="L191" s="55"/>
    </row>
    <row r="192" spans="1:12" ht="12.75" customHeight="1" thickBot="1" x14ac:dyDescent="0.25">
      <c r="A192" s="60">
        <f t="shared" si="95"/>
        <v>0</v>
      </c>
      <c r="B192" s="60">
        <f t="shared" si="95"/>
        <v>0</v>
      </c>
      <c r="C192" s="60">
        <f t="shared" si="95"/>
        <v>0</v>
      </c>
      <c r="D192" s="60">
        <f t="shared" si="95"/>
        <v>0</v>
      </c>
      <c r="E192" s="60">
        <f t="shared" si="95"/>
        <v>0</v>
      </c>
      <c r="F192" s="60">
        <f t="shared" si="95"/>
        <v>0</v>
      </c>
      <c r="G192" s="60">
        <f t="shared" si="95"/>
        <v>0</v>
      </c>
      <c r="H192" s="60">
        <f t="shared" si="95"/>
        <v>0</v>
      </c>
      <c r="I192" s="60">
        <f t="shared" si="95"/>
        <v>0</v>
      </c>
      <c r="J192" s="65" t="s">
        <v>225</v>
      </c>
      <c r="K192" s="68" t="s">
        <v>211</v>
      </c>
      <c r="L192" s="55"/>
    </row>
    <row r="193" spans="1:12" ht="12.75" customHeight="1" thickBot="1" x14ac:dyDescent="0.25">
      <c r="A193" s="60">
        <f t="shared" si="95"/>
        <v>54307</v>
      </c>
      <c r="B193" s="60">
        <f t="shared" si="95"/>
        <v>22566</v>
      </c>
      <c r="C193" s="60">
        <f t="shared" si="95"/>
        <v>31741</v>
      </c>
      <c r="D193" s="60">
        <f t="shared" si="95"/>
        <v>988</v>
      </c>
      <c r="E193" s="60">
        <f t="shared" si="95"/>
        <v>444</v>
      </c>
      <c r="F193" s="60">
        <f t="shared" si="95"/>
        <v>544</v>
      </c>
      <c r="G193" s="60">
        <f t="shared" si="95"/>
        <v>53319</v>
      </c>
      <c r="H193" s="60">
        <f t="shared" si="95"/>
        <v>22122</v>
      </c>
      <c r="I193" s="60">
        <f t="shared" si="95"/>
        <v>31197</v>
      </c>
      <c r="J193" s="65" t="s">
        <v>13</v>
      </c>
      <c r="K193" s="59"/>
      <c r="L193" s="55"/>
    </row>
    <row r="194" spans="1:12" ht="12.75" customHeight="1" x14ac:dyDescent="0.2">
      <c r="A194" s="177" t="s">
        <v>560</v>
      </c>
      <c r="B194" s="177"/>
      <c r="C194" s="177"/>
      <c r="D194" s="177"/>
      <c r="E194" s="177"/>
      <c r="F194" s="177"/>
      <c r="G194" s="177"/>
      <c r="H194" s="177"/>
      <c r="I194" s="177"/>
      <c r="J194" s="177"/>
      <c r="K194" s="177"/>
      <c r="L194" s="55"/>
    </row>
    <row r="195" spans="1:12" ht="12.75" customHeight="1" thickBot="1" x14ac:dyDescent="0.25">
      <c r="A195" s="178" t="s">
        <v>561</v>
      </c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55"/>
    </row>
    <row r="196" spans="1:12" ht="12.75" customHeight="1" thickBot="1" x14ac:dyDescent="0.25">
      <c r="A196" s="179" t="s">
        <v>5</v>
      </c>
      <c r="B196" s="179"/>
      <c r="C196" s="179"/>
      <c r="D196" s="179" t="s">
        <v>162</v>
      </c>
      <c r="E196" s="179"/>
      <c r="F196" s="179"/>
      <c r="G196" s="179" t="s">
        <v>163</v>
      </c>
      <c r="H196" s="179"/>
      <c r="I196" s="179"/>
      <c r="J196" s="179" t="s">
        <v>72</v>
      </c>
      <c r="K196" s="179"/>
      <c r="L196" s="55"/>
    </row>
    <row r="197" spans="1:12" ht="12.75" customHeight="1" thickBot="1" x14ac:dyDescent="0.25">
      <c r="A197" s="58" t="s">
        <v>216</v>
      </c>
      <c r="B197" s="58" t="s">
        <v>11</v>
      </c>
      <c r="C197" s="58" t="s">
        <v>10</v>
      </c>
      <c r="D197" s="58" t="s">
        <v>216</v>
      </c>
      <c r="E197" s="58" t="s">
        <v>11</v>
      </c>
      <c r="F197" s="58" t="s">
        <v>10</v>
      </c>
      <c r="G197" s="58" t="s">
        <v>216</v>
      </c>
      <c r="H197" s="58" t="s">
        <v>11</v>
      </c>
      <c r="I197" s="58" t="s">
        <v>10</v>
      </c>
      <c r="J197" s="180" t="s">
        <v>79</v>
      </c>
      <c r="K197" s="180"/>
      <c r="L197" s="55"/>
    </row>
    <row r="198" spans="1:12" ht="12.75" customHeight="1" thickBot="1" x14ac:dyDescent="0.25">
      <c r="A198" s="60">
        <f>SUM(B198:C198)</f>
        <v>8181</v>
      </c>
      <c r="B198" s="60">
        <f>H198+E198</f>
        <v>5094</v>
      </c>
      <c r="C198" s="60">
        <f>I198+F198</f>
        <v>3087</v>
      </c>
      <c r="D198" s="60">
        <f>SUM(E198:F198)</f>
        <v>238</v>
      </c>
      <c r="E198" s="60">
        <f>128+79</f>
        <v>207</v>
      </c>
      <c r="F198" s="60">
        <v>31</v>
      </c>
      <c r="G198" s="60">
        <f>SUM(H198:I198)</f>
        <v>7943</v>
      </c>
      <c r="H198" s="60">
        <f>4688+200-1</f>
        <v>4887</v>
      </c>
      <c r="I198" s="60">
        <f>2284+555+217</f>
        <v>3056</v>
      </c>
      <c r="J198" s="65" t="s">
        <v>221</v>
      </c>
      <c r="K198" s="66"/>
      <c r="L198" s="55"/>
    </row>
    <row r="199" spans="1:12" ht="12.75" customHeight="1" thickBot="1" x14ac:dyDescent="0.25">
      <c r="A199" s="60">
        <f t="shared" ref="A199:A259" si="96">SUM(B199:C199)</f>
        <v>0</v>
      </c>
      <c r="B199" s="60">
        <f t="shared" ref="B199:C259" si="97">H199+E199</f>
        <v>0</v>
      </c>
      <c r="C199" s="60">
        <f t="shared" si="97"/>
        <v>0</v>
      </c>
      <c r="D199" s="60">
        <f t="shared" ref="D199:D259" si="98">SUM(E199:F199)</f>
        <v>0</v>
      </c>
      <c r="E199" s="60">
        <v>0</v>
      </c>
      <c r="F199" s="60">
        <v>0</v>
      </c>
      <c r="G199" s="60">
        <f t="shared" ref="G199:G259" si="99">SUM(H199:I199)</f>
        <v>0</v>
      </c>
      <c r="H199" s="60">
        <v>0</v>
      </c>
      <c r="I199" s="60">
        <v>0</v>
      </c>
      <c r="J199" s="65" t="s">
        <v>222</v>
      </c>
      <c r="K199" s="66" t="s">
        <v>375</v>
      </c>
      <c r="L199" s="55"/>
    </row>
    <row r="200" spans="1:12" ht="12.75" customHeight="1" thickBot="1" x14ac:dyDescent="0.25">
      <c r="A200" s="60">
        <f t="shared" ref="A200:H200" si="100">SUM(A198:A199)</f>
        <v>8181</v>
      </c>
      <c r="B200" s="60">
        <f t="shared" si="100"/>
        <v>5094</v>
      </c>
      <c r="C200" s="60">
        <f t="shared" si="100"/>
        <v>3087</v>
      </c>
      <c r="D200" s="60">
        <f t="shared" si="100"/>
        <v>238</v>
      </c>
      <c r="E200" s="60">
        <f t="shared" si="100"/>
        <v>207</v>
      </c>
      <c r="F200" s="60">
        <f t="shared" si="100"/>
        <v>31</v>
      </c>
      <c r="G200" s="60">
        <f t="shared" si="100"/>
        <v>7943</v>
      </c>
      <c r="H200" s="60">
        <f t="shared" si="100"/>
        <v>4887</v>
      </c>
      <c r="I200" s="60">
        <f>SUM(I198:I199)</f>
        <v>3056</v>
      </c>
      <c r="J200" s="65" t="s">
        <v>13</v>
      </c>
      <c r="K200" s="67"/>
      <c r="L200" s="55"/>
    </row>
    <row r="201" spans="1:12" ht="12.75" customHeight="1" thickBot="1" x14ac:dyDescent="0.25">
      <c r="A201" s="60">
        <f t="shared" si="96"/>
        <v>2354</v>
      </c>
      <c r="B201" s="60">
        <f t="shared" si="97"/>
        <v>1107</v>
      </c>
      <c r="C201" s="60">
        <f t="shared" si="97"/>
        <v>1247</v>
      </c>
      <c r="D201" s="60">
        <f t="shared" si="98"/>
        <v>101</v>
      </c>
      <c r="E201" s="60">
        <v>58</v>
      </c>
      <c r="F201" s="60">
        <v>43</v>
      </c>
      <c r="G201" s="60">
        <f t="shared" si="99"/>
        <v>2253</v>
      </c>
      <c r="H201" s="60">
        <f>949+100</f>
        <v>1049</v>
      </c>
      <c r="I201" s="60">
        <f>1004+200</f>
        <v>1204</v>
      </c>
      <c r="J201" s="65" t="s">
        <v>221</v>
      </c>
      <c r="K201" s="66"/>
      <c r="L201" s="55"/>
    </row>
    <row r="202" spans="1:12" ht="12.75" customHeight="1" thickBot="1" x14ac:dyDescent="0.25">
      <c r="A202" s="60">
        <f t="shared" si="96"/>
        <v>0</v>
      </c>
      <c r="B202" s="60">
        <f t="shared" si="97"/>
        <v>0</v>
      </c>
      <c r="C202" s="60">
        <f t="shared" si="97"/>
        <v>0</v>
      </c>
      <c r="D202" s="60">
        <f t="shared" si="98"/>
        <v>0</v>
      </c>
      <c r="E202" s="60">
        <v>0</v>
      </c>
      <c r="F202" s="60">
        <v>0</v>
      </c>
      <c r="G202" s="60">
        <f t="shared" si="99"/>
        <v>0</v>
      </c>
      <c r="H202" s="60">
        <v>0</v>
      </c>
      <c r="I202" s="60">
        <v>0</v>
      </c>
      <c r="J202" s="65" t="s">
        <v>222</v>
      </c>
      <c r="K202" s="66" t="s">
        <v>263</v>
      </c>
      <c r="L202" s="55"/>
    </row>
    <row r="203" spans="1:12" ht="12.75" customHeight="1" thickBot="1" x14ac:dyDescent="0.25">
      <c r="A203" s="60">
        <f t="shared" ref="A203:H203" si="101">SUM(A201:A202)</f>
        <v>2354</v>
      </c>
      <c r="B203" s="60">
        <f t="shared" si="101"/>
        <v>1107</v>
      </c>
      <c r="C203" s="60">
        <f t="shared" si="101"/>
        <v>1247</v>
      </c>
      <c r="D203" s="60">
        <f t="shared" si="101"/>
        <v>101</v>
      </c>
      <c r="E203" s="60">
        <f t="shared" si="101"/>
        <v>58</v>
      </c>
      <c r="F203" s="60">
        <f t="shared" si="101"/>
        <v>43</v>
      </c>
      <c r="G203" s="60">
        <f t="shared" si="101"/>
        <v>2253</v>
      </c>
      <c r="H203" s="60">
        <f t="shared" si="101"/>
        <v>1049</v>
      </c>
      <c r="I203" s="60">
        <f>SUM(I201:I202)</f>
        <v>1204</v>
      </c>
      <c r="J203" s="65" t="s">
        <v>13</v>
      </c>
      <c r="K203" s="67"/>
      <c r="L203" s="55"/>
    </row>
    <row r="204" spans="1:12" ht="12.75" customHeight="1" thickBot="1" x14ac:dyDescent="0.25">
      <c r="A204" s="60">
        <f t="shared" si="96"/>
        <v>748</v>
      </c>
      <c r="B204" s="60">
        <f t="shared" si="97"/>
        <v>355</v>
      </c>
      <c r="C204" s="60">
        <f t="shared" si="97"/>
        <v>393</v>
      </c>
      <c r="D204" s="60">
        <f t="shared" si="98"/>
        <v>26</v>
      </c>
      <c r="E204" s="60">
        <v>12</v>
      </c>
      <c r="F204" s="60">
        <v>14</v>
      </c>
      <c r="G204" s="60">
        <f t="shared" si="99"/>
        <v>722</v>
      </c>
      <c r="H204" s="60">
        <v>343</v>
      </c>
      <c r="I204" s="60">
        <f>279+100</f>
        <v>379</v>
      </c>
      <c r="J204" s="65" t="s">
        <v>221</v>
      </c>
      <c r="K204" s="66"/>
      <c r="L204" s="55"/>
    </row>
    <row r="205" spans="1:12" ht="12.75" customHeight="1" thickBot="1" x14ac:dyDescent="0.25">
      <c r="A205" s="60">
        <f t="shared" si="96"/>
        <v>0</v>
      </c>
      <c r="B205" s="60">
        <f t="shared" si="97"/>
        <v>0</v>
      </c>
      <c r="C205" s="60">
        <f t="shared" si="97"/>
        <v>0</v>
      </c>
      <c r="D205" s="60">
        <f t="shared" si="98"/>
        <v>0</v>
      </c>
      <c r="E205" s="60">
        <v>0</v>
      </c>
      <c r="F205" s="60">
        <v>0</v>
      </c>
      <c r="G205" s="60">
        <f t="shared" si="99"/>
        <v>0</v>
      </c>
      <c r="H205" s="60">
        <v>0</v>
      </c>
      <c r="I205" s="60">
        <v>0</v>
      </c>
      <c r="J205" s="65" t="s">
        <v>222</v>
      </c>
      <c r="K205" s="66" t="s">
        <v>376</v>
      </c>
      <c r="L205" s="55"/>
    </row>
    <row r="206" spans="1:12" ht="12.75" customHeight="1" thickBot="1" x14ac:dyDescent="0.25">
      <c r="A206" s="60">
        <f t="shared" ref="A206:H206" si="102">SUM(A204:A205)</f>
        <v>748</v>
      </c>
      <c r="B206" s="60">
        <f t="shared" si="102"/>
        <v>355</v>
      </c>
      <c r="C206" s="60">
        <f t="shared" si="102"/>
        <v>393</v>
      </c>
      <c r="D206" s="60">
        <f t="shared" si="102"/>
        <v>26</v>
      </c>
      <c r="E206" s="60">
        <f t="shared" si="102"/>
        <v>12</v>
      </c>
      <c r="F206" s="60">
        <f t="shared" si="102"/>
        <v>14</v>
      </c>
      <c r="G206" s="60">
        <f t="shared" si="102"/>
        <v>722</v>
      </c>
      <c r="H206" s="60">
        <f t="shared" si="102"/>
        <v>343</v>
      </c>
      <c r="I206" s="60">
        <f>SUM(I204:I205)</f>
        <v>379</v>
      </c>
      <c r="J206" s="65" t="s">
        <v>13</v>
      </c>
      <c r="K206" s="67"/>
      <c r="L206" s="55"/>
    </row>
    <row r="207" spans="1:12" ht="12.75" customHeight="1" thickBot="1" x14ac:dyDescent="0.25">
      <c r="A207" s="60">
        <f t="shared" si="96"/>
        <v>4571</v>
      </c>
      <c r="B207" s="60">
        <f t="shared" si="97"/>
        <v>2861</v>
      </c>
      <c r="C207" s="60">
        <f t="shared" si="97"/>
        <v>1710</v>
      </c>
      <c r="D207" s="60">
        <f t="shared" si="98"/>
        <v>137</v>
      </c>
      <c r="E207" s="60">
        <v>106</v>
      </c>
      <c r="F207" s="60">
        <v>31</v>
      </c>
      <c r="G207" s="60">
        <f t="shared" si="99"/>
        <v>4434</v>
      </c>
      <c r="H207" s="60">
        <f>1893+862</f>
        <v>2755</v>
      </c>
      <c r="I207" s="60">
        <f>1039+640</f>
        <v>1679</v>
      </c>
      <c r="J207" s="65" t="s">
        <v>221</v>
      </c>
      <c r="K207" s="66"/>
      <c r="L207" s="55"/>
    </row>
    <row r="208" spans="1:12" ht="12.75" customHeight="1" thickBot="1" x14ac:dyDescent="0.25">
      <c r="A208" s="60">
        <f t="shared" si="96"/>
        <v>0</v>
      </c>
      <c r="B208" s="60">
        <f t="shared" si="97"/>
        <v>0</v>
      </c>
      <c r="C208" s="60">
        <f t="shared" si="97"/>
        <v>0</v>
      </c>
      <c r="D208" s="60">
        <f t="shared" si="98"/>
        <v>0</v>
      </c>
      <c r="E208" s="60">
        <v>0</v>
      </c>
      <c r="F208" s="60">
        <v>0</v>
      </c>
      <c r="G208" s="60">
        <f t="shared" si="99"/>
        <v>0</v>
      </c>
      <c r="H208" s="60">
        <v>0</v>
      </c>
      <c r="I208" s="60">
        <v>0</v>
      </c>
      <c r="J208" s="65" t="s">
        <v>222</v>
      </c>
      <c r="K208" s="66" t="s">
        <v>359</v>
      </c>
      <c r="L208" s="55"/>
    </row>
    <row r="209" spans="1:12" ht="12.75" customHeight="1" thickBot="1" x14ac:dyDescent="0.25">
      <c r="A209" s="60">
        <f t="shared" ref="A209:H209" si="103">SUM(A207:A208)</f>
        <v>4571</v>
      </c>
      <c r="B209" s="60">
        <f t="shared" si="103"/>
        <v>2861</v>
      </c>
      <c r="C209" s="60">
        <f t="shared" si="103"/>
        <v>1710</v>
      </c>
      <c r="D209" s="60">
        <f t="shared" si="103"/>
        <v>137</v>
      </c>
      <c r="E209" s="60">
        <f t="shared" si="103"/>
        <v>106</v>
      </c>
      <c r="F209" s="60">
        <f t="shared" si="103"/>
        <v>31</v>
      </c>
      <c r="G209" s="60">
        <f t="shared" si="103"/>
        <v>4434</v>
      </c>
      <c r="H209" s="60">
        <f t="shared" si="103"/>
        <v>2755</v>
      </c>
      <c r="I209" s="60">
        <f>SUM(I207:I208)</f>
        <v>1679</v>
      </c>
      <c r="J209" s="65" t="s">
        <v>13</v>
      </c>
      <c r="K209" s="67"/>
      <c r="L209" s="55"/>
    </row>
    <row r="210" spans="1:12" ht="12.75" customHeight="1" thickBot="1" x14ac:dyDescent="0.25">
      <c r="A210" s="60">
        <f t="shared" si="96"/>
        <v>2643</v>
      </c>
      <c r="B210" s="60">
        <f t="shared" si="97"/>
        <v>0</v>
      </c>
      <c r="C210" s="60">
        <f t="shared" si="97"/>
        <v>2643</v>
      </c>
      <c r="D210" s="60">
        <f t="shared" si="98"/>
        <v>66</v>
      </c>
      <c r="E210" s="60">
        <v>0</v>
      </c>
      <c r="F210" s="60">
        <f>101-35</f>
        <v>66</v>
      </c>
      <c r="G210" s="60">
        <f t="shared" si="99"/>
        <v>2577</v>
      </c>
      <c r="H210" s="60">
        <v>0</v>
      </c>
      <c r="I210" s="60">
        <f>2356+221</f>
        <v>2577</v>
      </c>
      <c r="J210" s="65" t="s">
        <v>221</v>
      </c>
      <c r="K210" s="66"/>
      <c r="L210" s="55"/>
    </row>
    <row r="211" spans="1:12" ht="12.75" customHeight="1" thickBot="1" x14ac:dyDescent="0.25">
      <c r="A211" s="60">
        <f t="shared" si="96"/>
        <v>0</v>
      </c>
      <c r="B211" s="60">
        <f t="shared" si="97"/>
        <v>0</v>
      </c>
      <c r="C211" s="60">
        <f t="shared" si="97"/>
        <v>0</v>
      </c>
      <c r="D211" s="60">
        <f t="shared" si="98"/>
        <v>0</v>
      </c>
      <c r="E211" s="60">
        <v>0</v>
      </c>
      <c r="F211" s="60">
        <v>0</v>
      </c>
      <c r="G211" s="60">
        <f t="shared" si="99"/>
        <v>0</v>
      </c>
      <c r="H211" s="60">
        <v>0</v>
      </c>
      <c r="I211" s="60">
        <v>0</v>
      </c>
      <c r="J211" s="65" t="s">
        <v>222</v>
      </c>
      <c r="K211" s="66" t="s">
        <v>377</v>
      </c>
      <c r="L211" s="55"/>
    </row>
    <row r="212" spans="1:12" ht="12.75" customHeight="1" thickBot="1" x14ac:dyDescent="0.25">
      <c r="A212" s="60">
        <f t="shared" ref="A212:H212" si="104">SUM(A210:A211)</f>
        <v>2643</v>
      </c>
      <c r="B212" s="60">
        <f t="shared" si="104"/>
        <v>0</v>
      </c>
      <c r="C212" s="60">
        <f t="shared" si="104"/>
        <v>2643</v>
      </c>
      <c r="D212" s="60">
        <f t="shared" si="104"/>
        <v>66</v>
      </c>
      <c r="E212" s="60">
        <f t="shared" si="104"/>
        <v>0</v>
      </c>
      <c r="F212" s="60">
        <f t="shared" si="104"/>
        <v>66</v>
      </c>
      <c r="G212" s="60">
        <f t="shared" si="104"/>
        <v>2577</v>
      </c>
      <c r="H212" s="60">
        <f t="shared" si="104"/>
        <v>0</v>
      </c>
      <c r="I212" s="60">
        <f>SUM(I210:I211)</f>
        <v>2577</v>
      </c>
      <c r="J212" s="65" t="s">
        <v>13</v>
      </c>
      <c r="K212" s="67"/>
      <c r="L212" s="55"/>
    </row>
    <row r="213" spans="1:12" ht="12.75" customHeight="1" thickBot="1" x14ac:dyDescent="0.25">
      <c r="A213" s="60">
        <f t="shared" si="96"/>
        <v>7789</v>
      </c>
      <c r="B213" s="60">
        <f t="shared" si="97"/>
        <v>4236</v>
      </c>
      <c r="C213" s="60">
        <f t="shared" si="97"/>
        <v>3553</v>
      </c>
      <c r="D213" s="60">
        <f t="shared" si="98"/>
        <v>317</v>
      </c>
      <c r="E213" s="60">
        <f>174+42</f>
        <v>216</v>
      </c>
      <c r="F213" s="60">
        <v>101</v>
      </c>
      <c r="G213" s="60">
        <f t="shared" si="99"/>
        <v>7472</v>
      </c>
      <c r="H213" s="60">
        <f>3325+695</f>
        <v>4020</v>
      </c>
      <c r="I213" s="60">
        <f>3192+260</f>
        <v>3452</v>
      </c>
      <c r="J213" s="65" t="s">
        <v>221</v>
      </c>
      <c r="K213" s="66"/>
      <c r="L213" s="55"/>
    </row>
    <row r="214" spans="1:12" ht="12.75" customHeight="1" thickBot="1" x14ac:dyDescent="0.25">
      <c r="A214" s="60">
        <f t="shared" si="96"/>
        <v>0</v>
      </c>
      <c r="B214" s="60">
        <f t="shared" si="97"/>
        <v>0</v>
      </c>
      <c r="C214" s="60">
        <f t="shared" si="97"/>
        <v>0</v>
      </c>
      <c r="D214" s="60">
        <f t="shared" si="98"/>
        <v>0</v>
      </c>
      <c r="E214" s="60">
        <v>0</v>
      </c>
      <c r="F214" s="60">
        <v>0</v>
      </c>
      <c r="G214" s="60">
        <f t="shared" si="99"/>
        <v>0</v>
      </c>
      <c r="H214" s="60">
        <v>0</v>
      </c>
      <c r="I214" s="60">
        <v>0</v>
      </c>
      <c r="J214" s="65" t="s">
        <v>222</v>
      </c>
      <c r="K214" s="66" t="s">
        <v>378</v>
      </c>
      <c r="L214" s="55"/>
    </row>
    <row r="215" spans="1:12" ht="12.75" customHeight="1" thickBot="1" x14ac:dyDescent="0.25">
      <c r="A215" s="60">
        <f t="shared" ref="A215:H215" si="105">SUM(A213:A214)</f>
        <v>7789</v>
      </c>
      <c r="B215" s="60">
        <f t="shared" si="105"/>
        <v>4236</v>
      </c>
      <c r="C215" s="60">
        <f t="shared" si="105"/>
        <v>3553</v>
      </c>
      <c r="D215" s="60">
        <f t="shared" si="105"/>
        <v>317</v>
      </c>
      <c r="E215" s="60">
        <f t="shared" si="105"/>
        <v>216</v>
      </c>
      <c r="F215" s="60">
        <f t="shared" si="105"/>
        <v>101</v>
      </c>
      <c r="G215" s="60">
        <f t="shared" si="105"/>
        <v>7472</v>
      </c>
      <c r="H215" s="60">
        <f t="shared" si="105"/>
        <v>4020</v>
      </c>
      <c r="I215" s="60">
        <f>SUM(I213:I214)</f>
        <v>3452</v>
      </c>
      <c r="J215" s="65" t="s">
        <v>13</v>
      </c>
      <c r="K215" s="67"/>
      <c r="L215" s="55"/>
    </row>
    <row r="216" spans="1:12" ht="12.75" customHeight="1" thickBot="1" x14ac:dyDescent="0.25">
      <c r="A216" s="60">
        <f t="shared" si="96"/>
        <v>956</v>
      </c>
      <c r="B216" s="60">
        <f t="shared" si="97"/>
        <v>0</v>
      </c>
      <c r="C216" s="60">
        <f t="shared" si="97"/>
        <v>956</v>
      </c>
      <c r="D216" s="60">
        <f t="shared" si="98"/>
        <v>29</v>
      </c>
      <c r="E216" s="60">
        <v>0</v>
      </c>
      <c r="F216" s="60">
        <v>29</v>
      </c>
      <c r="G216" s="60">
        <f t="shared" si="99"/>
        <v>927</v>
      </c>
      <c r="H216" s="60">
        <v>0</v>
      </c>
      <c r="I216" s="60">
        <f>669+258</f>
        <v>927</v>
      </c>
      <c r="J216" s="65" t="s">
        <v>221</v>
      </c>
      <c r="K216" s="66"/>
      <c r="L216" s="55"/>
    </row>
    <row r="217" spans="1:12" ht="12.75" customHeight="1" thickBot="1" x14ac:dyDescent="0.25">
      <c r="A217" s="60">
        <f t="shared" si="96"/>
        <v>0</v>
      </c>
      <c r="B217" s="60">
        <f t="shared" si="97"/>
        <v>0</v>
      </c>
      <c r="C217" s="60">
        <f t="shared" si="97"/>
        <v>0</v>
      </c>
      <c r="D217" s="60">
        <f t="shared" si="98"/>
        <v>0</v>
      </c>
      <c r="E217" s="60">
        <v>0</v>
      </c>
      <c r="F217" s="60">
        <v>0</v>
      </c>
      <c r="G217" s="60">
        <f t="shared" si="99"/>
        <v>0</v>
      </c>
      <c r="H217" s="60">
        <v>0</v>
      </c>
      <c r="I217" s="60">
        <v>0</v>
      </c>
      <c r="J217" s="65" t="s">
        <v>222</v>
      </c>
      <c r="K217" s="66" t="s">
        <v>539</v>
      </c>
      <c r="L217" s="55"/>
    </row>
    <row r="218" spans="1:12" ht="12.75" customHeight="1" thickBot="1" x14ac:dyDescent="0.25">
      <c r="A218" s="60">
        <f t="shared" ref="A218:H218" si="106">SUM(A216:A217)</f>
        <v>956</v>
      </c>
      <c r="B218" s="60">
        <f t="shared" si="106"/>
        <v>0</v>
      </c>
      <c r="C218" s="60">
        <f t="shared" si="106"/>
        <v>956</v>
      </c>
      <c r="D218" s="60">
        <f t="shared" si="106"/>
        <v>29</v>
      </c>
      <c r="E218" s="60">
        <f t="shared" si="106"/>
        <v>0</v>
      </c>
      <c r="F218" s="60">
        <f t="shared" si="106"/>
        <v>29</v>
      </c>
      <c r="G218" s="60">
        <f t="shared" si="106"/>
        <v>927</v>
      </c>
      <c r="H218" s="60">
        <f t="shared" si="106"/>
        <v>0</v>
      </c>
      <c r="I218" s="60">
        <f>SUM(I216:I217)</f>
        <v>927</v>
      </c>
      <c r="J218" s="65" t="s">
        <v>13</v>
      </c>
      <c r="K218" s="67"/>
      <c r="L218" s="55"/>
    </row>
    <row r="219" spans="1:12" ht="12.75" customHeight="1" thickBot="1" x14ac:dyDescent="0.25">
      <c r="A219" s="60">
        <f t="shared" si="96"/>
        <v>378</v>
      </c>
      <c r="B219" s="60">
        <f t="shared" si="97"/>
        <v>0</v>
      </c>
      <c r="C219" s="60">
        <f t="shared" si="97"/>
        <v>378</v>
      </c>
      <c r="D219" s="60">
        <f t="shared" si="98"/>
        <v>9</v>
      </c>
      <c r="E219" s="60">
        <v>0</v>
      </c>
      <c r="F219" s="60">
        <v>9</v>
      </c>
      <c r="G219" s="60">
        <f t="shared" si="99"/>
        <v>369</v>
      </c>
      <c r="H219" s="60">
        <v>0</v>
      </c>
      <c r="I219" s="60">
        <f>239+130</f>
        <v>369</v>
      </c>
      <c r="J219" s="65" t="s">
        <v>221</v>
      </c>
      <c r="K219" s="66"/>
      <c r="L219" s="55"/>
    </row>
    <row r="220" spans="1:12" ht="12.75" customHeight="1" thickBot="1" x14ac:dyDescent="0.25">
      <c r="A220" s="60">
        <f t="shared" si="96"/>
        <v>0</v>
      </c>
      <c r="B220" s="60">
        <f t="shared" si="97"/>
        <v>0</v>
      </c>
      <c r="C220" s="60">
        <f t="shared" si="97"/>
        <v>0</v>
      </c>
      <c r="D220" s="60">
        <f t="shared" si="98"/>
        <v>0</v>
      </c>
      <c r="E220" s="60">
        <v>0</v>
      </c>
      <c r="F220" s="60">
        <v>0</v>
      </c>
      <c r="G220" s="60">
        <f t="shared" si="99"/>
        <v>0</v>
      </c>
      <c r="H220" s="60">
        <v>0</v>
      </c>
      <c r="I220" s="60">
        <v>0</v>
      </c>
      <c r="J220" s="65" t="s">
        <v>222</v>
      </c>
      <c r="K220" s="66" t="s">
        <v>379</v>
      </c>
      <c r="L220" s="55"/>
    </row>
    <row r="221" spans="1:12" ht="12.75" customHeight="1" thickBot="1" x14ac:dyDescent="0.25">
      <c r="A221" s="60">
        <f t="shared" ref="A221:H221" si="107">SUM(A219:A220)</f>
        <v>378</v>
      </c>
      <c r="B221" s="60">
        <f t="shared" si="107"/>
        <v>0</v>
      </c>
      <c r="C221" s="60">
        <f t="shared" si="107"/>
        <v>378</v>
      </c>
      <c r="D221" s="60">
        <f t="shared" si="107"/>
        <v>9</v>
      </c>
      <c r="E221" s="60">
        <f t="shared" si="107"/>
        <v>0</v>
      </c>
      <c r="F221" s="60">
        <f t="shared" si="107"/>
        <v>9</v>
      </c>
      <c r="G221" s="60">
        <f t="shared" si="107"/>
        <v>369</v>
      </c>
      <c r="H221" s="60">
        <f t="shared" si="107"/>
        <v>0</v>
      </c>
      <c r="I221" s="60">
        <f>SUM(I219:I220)</f>
        <v>369</v>
      </c>
      <c r="J221" s="65" t="s">
        <v>13</v>
      </c>
      <c r="K221" s="67"/>
      <c r="L221" s="55"/>
    </row>
    <row r="222" spans="1:12" ht="12.75" customHeight="1" thickBot="1" x14ac:dyDescent="0.25">
      <c r="A222" s="60">
        <f t="shared" si="96"/>
        <v>455</v>
      </c>
      <c r="B222" s="60">
        <f t="shared" si="97"/>
        <v>0</v>
      </c>
      <c r="C222" s="60">
        <f t="shared" si="97"/>
        <v>455</v>
      </c>
      <c r="D222" s="60">
        <f t="shared" si="98"/>
        <v>6</v>
      </c>
      <c r="E222" s="60">
        <v>0</v>
      </c>
      <c r="F222" s="60">
        <v>6</v>
      </c>
      <c r="G222" s="60">
        <f t="shared" si="99"/>
        <v>449</v>
      </c>
      <c r="H222" s="60">
        <v>0</v>
      </c>
      <c r="I222" s="60">
        <f>324+125</f>
        <v>449</v>
      </c>
      <c r="J222" s="65" t="s">
        <v>221</v>
      </c>
      <c r="K222" s="66"/>
      <c r="L222" s="55"/>
    </row>
    <row r="223" spans="1:12" ht="12.75" customHeight="1" thickBot="1" x14ac:dyDescent="0.25">
      <c r="A223" s="60">
        <f t="shared" si="96"/>
        <v>0</v>
      </c>
      <c r="B223" s="60">
        <f t="shared" si="97"/>
        <v>0</v>
      </c>
      <c r="C223" s="60">
        <f t="shared" si="97"/>
        <v>0</v>
      </c>
      <c r="D223" s="60">
        <f t="shared" si="98"/>
        <v>0</v>
      </c>
      <c r="E223" s="60">
        <v>0</v>
      </c>
      <c r="F223" s="60">
        <v>0</v>
      </c>
      <c r="G223" s="60">
        <f t="shared" si="99"/>
        <v>0</v>
      </c>
      <c r="H223" s="60">
        <v>0</v>
      </c>
      <c r="I223" s="60">
        <v>0</v>
      </c>
      <c r="J223" s="65" t="s">
        <v>222</v>
      </c>
      <c r="K223" s="66" t="s">
        <v>566</v>
      </c>
      <c r="L223" s="55"/>
    </row>
    <row r="224" spans="1:12" ht="12.75" customHeight="1" thickBot="1" x14ac:dyDescent="0.25">
      <c r="A224" s="60">
        <f t="shared" ref="A224:H224" si="108">SUM(A222:A223)</f>
        <v>455</v>
      </c>
      <c r="B224" s="60">
        <f t="shared" si="108"/>
        <v>0</v>
      </c>
      <c r="C224" s="60">
        <f t="shared" si="108"/>
        <v>455</v>
      </c>
      <c r="D224" s="60">
        <f t="shared" si="108"/>
        <v>6</v>
      </c>
      <c r="E224" s="60">
        <f t="shared" si="108"/>
        <v>0</v>
      </c>
      <c r="F224" s="60">
        <f t="shared" si="108"/>
        <v>6</v>
      </c>
      <c r="G224" s="60">
        <f t="shared" si="108"/>
        <v>449</v>
      </c>
      <c r="H224" s="60">
        <f t="shared" si="108"/>
        <v>0</v>
      </c>
      <c r="I224" s="60">
        <f>SUM(I222:I223)</f>
        <v>449</v>
      </c>
      <c r="J224" s="65" t="s">
        <v>13</v>
      </c>
      <c r="K224" s="67"/>
      <c r="L224" s="55"/>
    </row>
    <row r="225" spans="1:12" ht="12.75" customHeight="1" thickBot="1" x14ac:dyDescent="0.25">
      <c r="A225" s="60">
        <f t="shared" si="96"/>
        <v>443</v>
      </c>
      <c r="B225" s="60">
        <f t="shared" si="97"/>
        <v>0</v>
      </c>
      <c r="C225" s="60">
        <f t="shared" si="97"/>
        <v>443</v>
      </c>
      <c r="D225" s="60">
        <f t="shared" si="98"/>
        <v>12</v>
      </c>
      <c r="E225" s="60">
        <v>0</v>
      </c>
      <c r="F225" s="60">
        <v>12</v>
      </c>
      <c r="G225" s="60">
        <f t="shared" si="99"/>
        <v>431</v>
      </c>
      <c r="H225" s="60">
        <v>0</v>
      </c>
      <c r="I225" s="60">
        <f>306+125</f>
        <v>431</v>
      </c>
      <c r="J225" s="65" t="s">
        <v>221</v>
      </c>
      <c r="K225" s="66"/>
      <c r="L225" s="55"/>
    </row>
    <row r="226" spans="1:12" ht="12.75" customHeight="1" thickBot="1" x14ac:dyDescent="0.25">
      <c r="A226" s="60">
        <f t="shared" si="96"/>
        <v>0</v>
      </c>
      <c r="B226" s="60">
        <f t="shared" si="97"/>
        <v>0</v>
      </c>
      <c r="C226" s="60">
        <f t="shared" si="97"/>
        <v>0</v>
      </c>
      <c r="D226" s="60">
        <f t="shared" si="98"/>
        <v>0</v>
      </c>
      <c r="E226" s="60">
        <v>0</v>
      </c>
      <c r="F226" s="60">
        <v>0</v>
      </c>
      <c r="G226" s="60">
        <f t="shared" si="99"/>
        <v>0</v>
      </c>
      <c r="H226" s="60">
        <v>0</v>
      </c>
      <c r="I226" s="60">
        <v>0</v>
      </c>
      <c r="J226" s="65" t="s">
        <v>222</v>
      </c>
      <c r="K226" s="66" t="s">
        <v>538</v>
      </c>
      <c r="L226" s="55"/>
    </row>
    <row r="227" spans="1:12" ht="12.75" customHeight="1" thickBot="1" x14ac:dyDescent="0.25">
      <c r="A227" s="60">
        <f t="shared" ref="A227:H227" si="109">SUM(A225:A226)</f>
        <v>443</v>
      </c>
      <c r="B227" s="60">
        <f t="shared" si="109"/>
        <v>0</v>
      </c>
      <c r="C227" s="60">
        <f t="shared" si="109"/>
        <v>443</v>
      </c>
      <c r="D227" s="60">
        <f t="shared" si="109"/>
        <v>12</v>
      </c>
      <c r="E227" s="60">
        <f t="shared" si="109"/>
        <v>0</v>
      </c>
      <c r="F227" s="60">
        <f t="shared" si="109"/>
        <v>12</v>
      </c>
      <c r="G227" s="60">
        <f t="shared" si="109"/>
        <v>431</v>
      </c>
      <c r="H227" s="60">
        <f t="shared" si="109"/>
        <v>0</v>
      </c>
      <c r="I227" s="60">
        <f>SUM(I225:I226)</f>
        <v>431</v>
      </c>
      <c r="J227" s="65" t="s">
        <v>13</v>
      </c>
      <c r="K227" s="67"/>
      <c r="L227" s="55"/>
    </row>
    <row r="228" spans="1:12" ht="12.75" customHeight="1" thickBot="1" x14ac:dyDescent="0.25">
      <c r="A228" s="60">
        <f t="shared" si="96"/>
        <v>2066</v>
      </c>
      <c r="B228" s="60">
        <f t="shared" si="97"/>
        <v>2066</v>
      </c>
      <c r="C228" s="60">
        <f t="shared" si="97"/>
        <v>0</v>
      </c>
      <c r="D228" s="60">
        <f t="shared" si="98"/>
        <v>53</v>
      </c>
      <c r="E228" s="60">
        <v>53</v>
      </c>
      <c r="F228" s="60">
        <v>0</v>
      </c>
      <c r="G228" s="60">
        <f t="shared" si="99"/>
        <v>2013</v>
      </c>
      <c r="H228" s="60">
        <f>1270+743</f>
        <v>2013</v>
      </c>
      <c r="I228" s="60">
        <v>0</v>
      </c>
      <c r="J228" s="65" t="s">
        <v>221</v>
      </c>
      <c r="K228" s="66"/>
      <c r="L228" s="55"/>
    </row>
    <row r="229" spans="1:12" ht="12.75" customHeight="1" thickBot="1" x14ac:dyDescent="0.25">
      <c r="A229" s="60">
        <f t="shared" si="96"/>
        <v>0</v>
      </c>
      <c r="B229" s="60">
        <f t="shared" si="97"/>
        <v>0</v>
      </c>
      <c r="C229" s="60">
        <f t="shared" si="97"/>
        <v>0</v>
      </c>
      <c r="D229" s="60">
        <f t="shared" si="98"/>
        <v>0</v>
      </c>
      <c r="E229" s="60">
        <v>0</v>
      </c>
      <c r="F229" s="60">
        <v>0</v>
      </c>
      <c r="G229" s="60">
        <f t="shared" si="99"/>
        <v>0</v>
      </c>
      <c r="H229" s="60">
        <v>0</v>
      </c>
      <c r="I229" s="60">
        <v>0</v>
      </c>
      <c r="J229" s="65" t="s">
        <v>222</v>
      </c>
      <c r="K229" s="66" t="s">
        <v>380</v>
      </c>
      <c r="L229" s="55"/>
    </row>
    <row r="230" spans="1:12" ht="12.75" customHeight="1" thickBot="1" x14ac:dyDescent="0.25">
      <c r="A230" s="60">
        <f t="shared" ref="A230:H230" si="110">SUM(A228:A229)</f>
        <v>2066</v>
      </c>
      <c r="B230" s="60">
        <f t="shared" si="110"/>
        <v>2066</v>
      </c>
      <c r="C230" s="60">
        <f t="shared" si="110"/>
        <v>0</v>
      </c>
      <c r="D230" s="60">
        <f t="shared" si="110"/>
        <v>53</v>
      </c>
      <c r="E230" s="60">
        <f t="shared" si="110"/>
        <v>53</v>
      </c>
      <c r="F230" s="60">
        <f t="shared" si="110"/>
        <v>0</v>
      </c>
      <c r="G230" s="60">
        <f t="shared" si="110"/>
        <v>2013</v>
      </c>
      <c r="H230" s="60">
        <f t="shared" si="110"/>
        <v>2013</v>
      </c>
      <c r="I230" s="60">
        <f>SUM(I228:I229)</f>
        <v>0</v>
      </c>
      <c r="J230" s="65" t="s">
        <v>13</v>
      </c>
      <c r="K230" s="67"/>
      <c r="L230" s="55"/>
    </row>
    <row r="231" spans="1:12" ht="12.75" customHeight="1" thickBot="1" x14ac:dyDescent="0.25">
      <c r="A231" s="60">
        <f t="shared" si="96"/>
        <v>2900</v>
      </c>
      <c r="B231" s="60">
        <f t="shared" si="97"/>
        <v>1592</v>
      </c>
      <c r="C231" s="60">
        <f t="shared" si="97"/>
        <v>1308</v>
      </c>
      <c r="D231" s="60">
        <f t="shared" si="98"/>
        <v>105</v>
      </c>
      <c r="E231" s="60">
        <v>66</v>
      </c>
      <c r="F231" s="60">
        <v>39</v>
      </c>
      <c r="G231" s="60">
        <f t="shared" si="99"/>
        <v>2795</v>
      </c>
      <c r="H231" s="60">
        <f>1374+152</f>
        <v>1526</v>
      </c>
      <c r="I231" s="60">
        <f>1157+112</f>
        <v>1269</v>
      </c>
      <c r="J231" s="65" t="s">
        <v>221</v>
      </c>
      <c r="K231" s="66"/>
      <c r="L231" s="55"/>
    </row>
    <row r="232" spans="1:12" ht="12.75" customHeight="1" thickBot="1" x14ac:dyDescent="0.25">
      <c r="A232" s="60">
        <f t="shared" si="96"/>
        <v>0</v>
      </c>
      <c r="B232" s="60">
        <f t="shared" si="97"/>
        <v>0</v>
      </c>
      <c r="C232" s="60">
        <f t="shared" si="97"/>
        <v>0</v>
      </c>
      <c r="D232" s="60">
        <f t="shared" si="98"/>
        <v>0</v>
      </c>
      <c r="E232" s="60">
        <v>0</v>
      </c>
      <c r="F232" s="60">
        <v>0</v>
      </c>
      <c r="G232" s="60">
        <f t="shared" si="99"/>
        <v>0</v>
      </c>
      <c r="H232" s="60">
        <v>0</v>
      </c>
      <c r="I232" s="60">
        <v>0</v>
      </c>
      <c r="J232" s="65" t="s">
        <v>222</v>
      </c>
      <c r="K232" s="66" t="s">
        <v>264</v>
      </c>
      <c r="L232" s="55"/>
    </row>
    <row r="233" spans="1:12" ht="12.75" customHeight="1" thickBot="1" x14ac:dyDescent="0.25">
      <c r="A233" s="60">
        <f t="shared" ref="A233:H233" si="111">SUM(A231:A232)</f>
        <v>2900</v>
      </c>
      <c r="B233" s="60">
        <f t="shared" si="111"/>
        <v>1592</v>
      </c>
      <c r="C233" s="60">
        <f t="shared" si="111"/>
        <v>1308</v>
      </c>
      <c r="D233" s="60">
        <f t="shared" si="111"/>
        <v>105</v>
      </c>
      <c r="E233" s="60">
        <f t="shared" si="111"/>
        <v>66</v>
      </c>
      <c r="F233" s="60">
        <f t="shared" si="111"/>
        <v>39</v>
      </c>
      <c r="G233" s="60">
        <f t="shared" si="111"/>
        <v>2795</v>
      </c>
      <c r="H233" s="60">
        <f t="shared" si="111"/>
        <v>1526</v>
      </c>
      <c r="I233" s="60">
        <f>SUM(I231:I232)</f>
        <v>1269</v>
      </c>
      <c r="J233" s="65" t="s">
        <v>13</v>
      </c>
      <c r="K233" s="67"/>
      <c r="L233" s="55"/>
    </row>
    <row r="234" spans="1:12" ht="12.75" customHeight="1" thickBot="1" x14ac:dyDescent="0.25">
      <c r="A234" s="60">
        <f t="shared" si="96"/>
        <v>607</v>
      </c>
      <c r="B234" s="60">
        <f t="shared" si="97"/>
        <v>348</v>
      </c>
      <c r="C234" s="60">
        <f t="shared" si="97"/>
        <v>259</v>
      </c>
      <c r="D234" s="60">
        <f t="shared" si="98"/>
        <v>26</v>
      </c>
      <c r="E234" s="60">
        <v>17</v>
      </c>
      <c r="F234" s="60">
        <v>9</v>
      </c>
      <c r="G234" s="60">
        <f t="shared" si="99"/>
        <v>581</v>
      </c>
      <c r="H234" s="60">
        <v>331</v>
      </c>
      <c r="I234" s="60">
        <v>250</v>
      </c>
      <c r="J234" s="65" t="s">
        <v>221</v>
      </c>
      <c r="K234" s="66"/>
      <c r="L234" s="55"/>
    </row>
    <row r="235" spans="1:12" ht="12.75" customHeight="1" thickBot="1" x14ac:dyDescent="0.25">
      <c r="A235" s="60">
        <f t="shared" si="96"/>
        <v>0</v>
      </c>
      <c r="B235" s="60">
        <f t="shared" si="97"/>
        <v>0</v>
      </c>
      <c r="C235" s="60">
        <f t="shared" si="97"/>
        <v>0</v>
      </c>
      <c r="D235" s="60">
        <f t="shared" si="98"/>
        <v>0</v>
      </c>
      <c r="E235" s="60">
        <v>0</v>
      </c>
      <c r="F235" s="60">
        <v>0</v>
      </c>
      <c r="G235" s="60">
        <f t="shared" si="99"/>
        <v>0</v>
      </c>
      <c r="H235" s="60">
        <v>0</v>
      </c>
      <c r="I235" s="60">
        <v>0</v>
      </c>
      <c r="J235" s="65" t="s">
        <v>222</v>
      </c>
      <c r="K235" s="66" t="s">
        <v>337</v>
      </c>
      <c r="L235" s="55"/>
    </row>
    <row r="236" spans="1:12" ht="12.75" customHeight="1" thickBot="1" x14ac:dyDescent="0.25">
      <c r="A236" s="60">
        <f t="shared" ref="A236:H236" si="112">SUM(A234:A235)</f>
        <v>607</v>
      </c>
      <c r="B236" s="60">
        <f t="shared" si="112"/>
        <v>348</v>
      </c>
      <c r="C236" s="60">
        <f t="shared" si="112"/>
        <v>259</v>
      </c>
      <c r="D236" s="60">
        <f t="shared" si="112"/>
        <v>26</v>
      </c>
      <c r="E236" s="60">
        <f t="shared" si="112"/>
        <v>17</v>
      </c>
      <c r="F236" s="60">
        <f t="shared" si="112"/>
        <v>9</v>
      </c>
      <c r="G236" s="60">
        <f t="shared" si="112"/>
        <v>581</v>
      </c>
      <c r="H236" s="60">
        <f t="shared" si="112"/>
        <v>331</v>
      </c>
      <c r="I236" s="60">
        <f>SUM(I234:I235)</f>
        <v>250</v>
      </c>
      <c r="J236" s="65" t="s">
        <v>13</v>
      </c>
      <c r="K236" s="67"/>
      <c r="L236" s="55"/>
    </row>
    <row r="237" spans="1:12" ht="12.75" customHeight="1" thickBot="1" x14ac:dyDescent="0.25">
      <c r="A237" s="60">
        <f t="shared" si="96"/>
        <v>3330</v>
      </c>
      <c r="B237" s="60">
        <f t="shared" si="97"/>
        <v>1203</v>
      </c>
      <c r="C237" s="60">
        <f t="shared" si="97"/>
        <v>2127</v>
      </c>
      <c r="D237" s="60">
        <f t="shared" si="98"/>
        <v>0</v>
      </c>
      <c r="E237" s="60">
        <v>0</v>
      </c>
      <c r="F237" s="60">
        <v>0</v>
      </c>
      <c r="G237" s="60">
        <f t="shared" si="99"/>
        <v>3330</v>
      </c>
      <c r="H237" s="60">
        <f>794+409</f>
        <v>1203</v>
      </c>
      <c r="I237" s="60">
        <f>1467+460+200</f>
        <v>2127</v>
      </c>
      <c r="J237" s="65" t="s">
        <v>221</v>
      </c>
      <c r="K237" s="66"/>
      <c r="L237" s="55"/>
    </row>
    <row r="238" spans="1:12" ht="12.75" customHeight="1" thickBot="1" x14ac:dyDescent="0.25">
      <c r="A238" s="60">
        <f t="shared" si="96"/>
        <v>35318</v>
      </c>
      <c r="B238" s="60">
        <f t="shared" si="97"/>
        <v>10917</v>
      </c>
      <c r="C238" s="60">
        <f t="shared" si="97"/>
        <v>24401</v>
      </c>
      <c r="D238" s="60">
        <f t="shared" si="98"/>
        <v>1577</v>
      </c>
      <c r="E238" s="60">
        <f>1133+30</f>
        <v>1163</v>
      </c>
      <c r="F238" s="60">
        <f>533-119</f>
        <v>414</v>
      </c>
      <c r="G238" s="60">
        <f t="shared" si="99"/>
        <v>33741</v>
      </c>
      <c r="H238" s="60">
        <f>9263+491</f>
        <v>9754</v>
      </c>
      <c r="I238" s="60">
        <v>23987</v>
      </c>
      <c r="J238" s="65" t="s">
        <v>222</v>
      </c>
      <c r="K238" s="66" t="s">
        <v>75</v>
      </c>
      <c r="L238" s="55"/>
    </row>
    <row r="239" spans="1:12" ht="12.75" customHeight="1" thickBot="1" x14ac:dyDescent="0.25">
      <c r="A239" s="60">
        <f t="shared" ref="A239:H239" si="113">SUM(A237:A238)</f>
        <v>38648</v>
      </c>
      <c r="B239" s="60">
        <f t="shared" si="113"/>
        <v>12120</v>
      </c>
      <c r="C239" s="60">
        <f t="shared" si="113"/>
        <v>26528</v>
      </c>
      <c r="D239" s="60">
        <f t="shared" si="113"/>
        <v>1577</v>
      </c>
      <c r="E239" s="60">
        <f t="shared" si="113"/>
        <v>1163</v>
      </c>
      <c r="F239" s="60">
        <f t="shared" si="113"/>
        <v>414</v>
      </c>
      <c r="G239" s="60">
        <f t="shared" si="113"/>
        <v>37071</v>
      </c>
      <c r="H239" s="60">
        <f t="shared" si="113"/>
        <v>10957</v>
      </c>
      <c r="I239" s="60">
        <f>SUM(I237:I238)</f>
        <v>26114</v>
      </c>
      <c r="J239" s="65" t="s">
        <v>13</v>
      </c>
      <c r="K239" s="67"/>
      <c r="L239" s="55"/>
    </row>
    <row r="240" spans="1:12" ht="12.75" customHeight="1" thickBot="1" x14ac:dyDescent="0.25">
      <c r="A240" s="60">
        <f t="shared" si="96"/>
        <v>1475</v>
      </c>
      <c r="B240" s="60">
        <f t="shared" si="97"/>
        <v>426</v>
      </c>
      <c r="C240" s="60">
        <f t="shared" si="97"/>
        <v>1049</v>
      </c>
      <c r="D240" s="60">
        <f t="shared" si="98"/>
        <v>113</v>
      </c>
      <c r="E240" s="60">
        <v>67</v>
      </c>
      <c r="F240" s="60">
        <v>46</v>
      </c>
      <c r="G240" s="60">
        <f t="shared" si="99"/>
        <v>1362</v>
      </c>
      <c r="H240" s="60">
        <v>359</v>
      </c>
      <c r="I240" s="60">
        <v>1003</v>
      </c>
      <c r="J240" s="65" t="s">
        <v>221</v>
      </c>
      <c r="K240" s="66"/>
      <c r="L240" s="55"/>
    </row>
    <row r="241" spans="1:12" ht="12.75" customHeight="1" thickBot="1" x14ac:dyDescent="0.25">
      <c r="A241" s="60">
        <f t="shared" si="96"/>
        <v>0</v>
      </c>
      <c r="B241" s="60">
        <f t="shared" si="97"/>
        <v>0</v>
      </c>
      <c r="C241" s="60">
        <f t="shared" si="97"/>
        <v>0</v>
      </c>
      <c r="D241" s="60">
        <f t="shared" si="98"/>
        <v>0</v>
      </c>
      <c r="E241" s="60">
        <v>0</v>
      </c>
      <c r="F241" s="60">
        <v>0</v>
      </c>
      <c r="G241" s="60">
        <f t="shared" si="99"/>
        <v>0</v>
      </c>
      <c r="H241" s="60">
        <v>0</v>
      </c>
      <c r="I241" s="60">
        <v>0</v>
      </c>
      <c r="J241" s="65" t="s">
        <v>222</v>
      </c>
      <c r="K241" s="66" t="s">
        <v>381</v>
      </c>
      <c r="L241" s="55"/>
    </row>
    <row r="242" spans="1:12" ht="12.75" customHeight="1" thickBot="1" x14ac:dyDescent="0.25">
      <c r="A242" s="60">
        <f t="shared" ref="A242:H242" si="114">SUM(A240:A241)</f>
        <v>1475</v>
      </c>
      <c r="B242" s="60">
        <f t="shared" si="114"/>
        <v>426</v>
      </c>
      <c r="C242" s="60">
        <f t="shared" si="114"/>
        <v>1049</v>
      </c>
      <c r="D242" s="60">
        <f t="shared" si="114"/>
        <v>113</v>
      </c>
      <c r="E242" s="60">
        <f t="shared" si="114"/>
        <v>67</v>
      </c>
      <c r="F242" s="60">
        <f t="shared" si="114"/>
        <v>46</v>
      </c>
      <c r="G242" s="60">
        <f t="shared" si="114"/>
        <v>1362</v>
      </c>
      <c r="H242" s="60">
        <f t="shared" si="114"/>
        <v>359</v>
      </c>
      <c r="I242" s="60">
        <f>SUM(I240:I241)</f>
        <v>1003</v>
      </c>
      <c r="J242" s="65" t="s">
        <v>13</v>
      </c>
      <c r="K242" s="67"/>
      <c r="L242" s="55"/>
    </row>
    <row r="243" spans="1:12" ht="12.75" customHeight="1" thickBot="1" x14ac:dyDescent="0.25">
      <c r="A243" s="60">
        <f t="shared" si="96"/>
        <v>105</v>
      </c>
      <c r="B243" s="60">
        <f t="shared" si="97"/>
        <v>66</v>
      </c>
      <c r="C243" s="60">
        <f t="shared" si="97"/>
        <v>39</v>
      </c>
      <c r="D243" s="60">
        <f t="shared" si="98"/>
        <v>105</v>
      </c>
      <c r="E243" s="60">
        <v>66</v>
      </c>
      <c r="F243" s="60">
        <v>39</v>
      </c>
      <c r="G243" s="60">
        <f t="shared" si="99"/>
        <v>0</v>
      </c>
      <c r="H243" s="60">
        <v>0</v>
      </c>
      <c r="I243" s="60">
        <v>0</v>
      </c>
      <c r="J243" s="65" t="s">
        <v>221</v>
      </c>
      <c r="K243" s="66"/>
      <c r="L243" s="55"/>
    </row>
    <row r="244" spans="1:12" ht="12.75" customHeight="1" thickBot="1" x14ac:dyDescent="0.25">
      <c r="A244" s="60">
        <f t="shared" si="96"/>
        <v>0</v>
      </c>
      <c r="B244" s="60">
        <f t="shared" si="97"/>
        <v>0</v>
      </c>
      <c r="C244" s="60">
        <f t="shared" si="97"/>
        <v>0</v>
      </c>
      <c r="D244" s="60">
        <f t="shared" si="98"/>
        <v>0</v>
      </c>
      <c r="E244" s="60">
        <v>0</v>
      </c>
      <c r="F244" s="60">
        <v>0</v>
      </c>
      <c r="G244" s="60">
        <f t="shared" si="99"/>
        <v>0</v>
      </c>
      <c r="H244" s="60">
        <v>0</v>
      </c>
      <c r="I244" s="60">
        <v>0</v>
      </c>
      <c r="J244" s="65" t="s">
        <v>222</v>
      </c>
      <c r="K244" s="66" t="s">
        <v>382</v>
      </c>
      <c r="L244" s="55"/>
    </row>
    <row r="245" spans="1:12" ht="12.75" customHeight="1" thickBot="1" x14ac:dyDescent="0.25">
      <c r="A245" s="60">
        <f t="shared" ref="A245:H245" si="115">SUM(A243:A244)</f>
        <v>105</v>
      </c>
      <c r="B245" s="60">
        <f t="shared" si="115"/>
        <v>66</v>
      </c>
      <c r="C245" s="60">
        <f t="shared" si="115"/>
        <v>39</v>
      </c>
      <c r="D245" s="60">
        <f t="shared" si="115"/>
        <v>105</v>
      </c>
      <c r="E245" s="60">
        <f t="shared" si="115"/>
        <v>66</v>
      </c>
      <c r="F245" s="60">
        <f t="shared" si="115"/>
        <v>39</v>
      </c>
      <c r="G245" s="60">
        <f t="shared" si="115"/>
        <v>0</v>
      </c>
      <c r="H245" s="60">
        <f t="shared" si="115"/>
        <v>0</v>
      </c>
      <c r="I245" s="60">
        <f>SUM(I243:I244)</f>
        <v>0</v>
      </c>
      <c r="J245" s="65" t="s">
        <v>13</v>
      </c>
      <c r="K245" s="67"/>
      <c r="L245" s="55"/>
    </row>
    <row r="246" spans="1:12" ht="12.75" customHeight="1" thickBot="1" x14ac:dyDescent="0.25">
      <c r="A246" s="60">
        <f t="shared" si="96"/>
        <v>3954</v>
      </c>
      <c r="B246" s="60">
        <f t="shared" si="97"/>
        <v>3954</v>
      </c>
      <c r="C246" s="60">
        <f t="shared" si="97"/>
        <v>0</v>
      </c>
      <c r="D246" s="60">
        <f t="shared" si="98"/>
        <v>12</v>
      </c>
      <c r="E246" s="60">
        <v>12</v>
      </c>
      <c r="F246" s="60">
        <v>0</v>
      </c>
      <c r="G246" s="60">
        <f t="shared" si="99"/>
        <v>3942</v>
      </c>
      <c r="H246" s="60">
        <f>3542+400</f>
        <v>3942</v>
      </c>
      <c r="I246" s="60">
        <v>0</v>
      </c>
      <c r="J246" s="65" t="s">
        <v>221</v>
      </c>
      <c r="K246" s="66"/>
      <c r="L246" s="55"/>
    </row>
    <row r="247" spans="1:12" ht="12.75" customHeight="1" thickBot="1" x14ac:dyDescent="0.25">
      <c r="A247" s="60">
        <f t="shared" si="96"/>
        <v>0</v>
      </c>
      <c r="B247" s="60">
        <f t="shared" si="97"/>
        <v>0</v>
      </c>
      <c r="C247" s="60">
        <f t="shared" si="97"/>
        <v>0</v>
      </c>
      <c r="D247" s="60">
        <f t="shared" si="98"/>
        <v>0</v>
      </c>
      <c r="E247" s="60">
        <v>0</v>
      </c>
      <c r="F247" s="60">
        <v>0</v>
      </c>
      <c r="G247" s="60">
        <f t="shared" si="99"/>
        <v>0</v>
      </c>
      <c r="H247" s="60">
        <v>0</v>
      </c>
      <c r="I247" s="60">
        <v>0</v>
      </c>
      <c r="J247" s="65" t="s">
        <v>222</v>
      </c>
      <c r="K247" s="66" t="s">
        <v>383</v>
      </c>
      <c r="L247" s="55"/>
    </row>
    <row r="248" spans="1:12" ht="12.75" customHeight="1" thickBot="1" x14ac:dyDescent="0.25">
      <c r="A248" s="60">
        <f t="shared" ref="A248:H248" si="116">SUM(A246:A247)</f>
        <v>3954</v>
      </c>
      <c r="B248" s="60">
        <f t="shared" si="116"/>
        <v>3954</v>
      </c>
      <c r="C248" s="60">
        <f t="shared" si="116"/>
        <v>0</v>
      </c>
      <c r="D248" s="60">
        <f t="shared" si="116"/>
        <v>12</v>
      </c>
      <c r="E248" s="60">
        <f t="shared" si="116"/>
        <v>12</v>
      </c>
      <c r="F248" s="60">
        <f t="shared" si="116"/>
        <v>0</v>
      </c>
      <c r="G248" s="60">
        <f t="shared" si="116"/>
        <v>3942</v>
      </c>
      <c r="H248" s="60">
        <f t="shared" si="116"/>
        <v>3942</v>
      </c>
      <c r="I248" s="60">
        <f>SUM(I246:I247)</f>
        <v>0</v>
      </c>
      <c r="J248" s="65" t="s">
        <v>13</v>
      </c>
      <c r="K248" s="67"/>
      <c r="L248" s="55"/>
    </row>
    <row r="249" spans="1:12" ht="12.75" customHeight="1" thickBot="1" x14ac:dyDescent="0.25">
      <c r="A249" s="60">
        <f t="shared" si="96"/>
        <v>2115</v>
      </c>
      <c r="B249" s="60">
        <f t="shared" si="97"/>
        <v>2115</v>
      </c>
      <c r="C249" s="60">
        <f t="shared" si="97"/>
        <v>0</v>
      </c>
      <c r="D249" s="60">
        <f t="shared" si="98"/>
        <v>24</v>
      </c>
      <c r="E249" s="60">
        <v>24</v>
      </c>
      <c r="F249" s="60">
        <v>0</v>
      </c>
      <c r="G249" s="60">
        <f t="shared" si="99"/>
        <v>2091</v>
      </c>
      <c r="H249" s="60">
        <v>2091</v>
      </c>
      <c r="I249" s="60">
        <v>0</v>
      </c>
      <c r="J249" s="65" t="s">
        <v>221</v>
      </c>
      <c r="K249" s="66"/>
      <c r="L249" s="55"/>
    </row>
    <row r="250" spans="1:12" ht="12.75" customHeight="1" thickBot="1" x14ac:dyDescent="0.25">
      <c r="A250" s="60">
        <f t="shared" si="96"/>
        <v>0</v>
      </c>
      <c r="B250" s="60">
        <f t="shared" si="97"/>
        <v>0</v>
      </c>
      <c r="C250" s="60">
        <f t="shared" si="97"/>
        <v>0</v>
      </c>
      <c r="D250" s="60">
        <f t="shared" si="98"/>
        <v>0</v>
      </c>
      <c r="E250" s="60">
        <v>0</v>
      </c>
      <c r="F250" s="60">
        <v>0</v>
      </c>
      <c r="G250" s="60">
        <f t="shared" si="99"/>
        <v>0</v>
      </c>
      <c r="H250" s="60">
        <v>0</v>
      </c>
      <c r="I250" s="60">
        <v>0</v>
      </c>
      <c r="J250" s="65" t="s">
        <v>222</v>
      </c>
      <c r="K250" s="66" t="s">
        <v>384</v>
      </c>
      <c r="L250" s="55"/>
    </row>
    <row r="251" spans="1:12" ht="12.75" customHeight="1" thickBot="1" x14ac:dyDescent="0.25">
      <c r="A251" s="60">
        <f t="shared" ref="A251:H251" si="117">SUM(A249:A250)</f>
        <v>2115</v>
      </c>
      <c r="B251" s="60">
        <f t="shared" si="117"/>
        <v>2115</v>
      </c>
      <c r="C251" s="60">
        <f t="shared" si="117"/>
        <v>0</v>
      </c>
      <c r="D251" s="60">
        <f t="shared" si="117"/>
        <v>24</v>
      </c>
      <c r="E251" s="60">
        <f t="shared" si="117"/>
        <v>24</v>
      </c>
      <c r="F251" s="60">
        <f t="shared" si="117"/>
        <v>0</v>
      </c>
      <c r="G251" s="60">
        <f t="shared" si="117"/>
        <v>2091</v>
      </c>
      <c r="H251" s="60">
        <f t="shared" si="117"/>
        <v>2091</v>
      </c>
      <c r="I251" s="60">
        <f>SUM(I249:I250)</f>
        <v>0</v>
      </c>
      <c r="J251" s="65" t="s">
        <v>13</v>
      </c>
      <c r="K251" s="67"/>
      <c r="L251" s="55"/>
    </row>
    <row r="252" spans="1:12" ht="12.75" customHeight="1" thickBot="1" x14ac:dyDescent="0.25">
      <c r="A252" s="60">
        <f t="shared" si="96"/>
        <v>2245</v>
      </c>
      <c r="B252" s="60">
        <f t="shared" si="97"/>
        <v>2245</v>
      </c>
      <c r="C252" s="60">
        <f t="shared" si="97"/>
        <v>0</v>
      </c>
      <c r="D252" s="60">
        <f t="shared" si="98"/>
        <v>12</v>
      </c>
      <c r="E252" s="60">
        <v>12</v>
      </c>
      <c r="F252" s="60">
        <v>0</v>
      </c>
      <c r="G252" s="60">
        <f t="shared" si="99"/>
        <v>2233</v>
      </c>
      <c r="H252" s="60">
        <v>2233</v>
      </c>
      <c r="I252" s="60">
        <v>0</v>
      </c>
      <c r="J252" s="65" t="s">
        <v>221</v>
      </c>
      <c r="K252" s="66"/>
      <c r="L252" s="55"/>
    </row>
    <row r="253" spans="1:12" ht="12.75" customHeight="1" thickBot="1" x14ac:dyDescent="0.25">
      <c r="A253" s="60">
        <f t="shared" si="96"/>
        <v>636</v>
      </c>
      <c r="B253" s="60">
        <f t="shared" si="97"/>
        <v>636</v>
      </c>
      <c r="C253" s="60">
        <f t="shared" si="97"/>
        <v>0</v>
      </c>
      <c r="D253" s="60">
        <f t="shared" si="98"/>
        <v>0</v>
      </c>
      <c r="E253" s="60">
        <v>0</v>
      </c>
      <c r="F253" s="60">
        <v>0</v>
      </c>
      <c r="G253" s="60">
        <f t="shared" si="99"/>
        <v>636</v>
      </c>
      <c r="H253" s="60">
        <v>636</v>
      </c>
      <c r="I253" s="60">
        <v>0</v>
      </c>
      <c r="J253" s="65" t="s">
        <v>222</v>
      </c>
      <c r="K253" s="66" t="s">
        <v>385</v>
      </c>
      <c r="L253" s="55"/>
    </row>
    <row r="254" spans="1:12" ht="12.75" customHeight="1" thickBot="1" x14ac:dyDescent="0.25">
      <c r="A254" s="60">
        <f t="shared" ref="A254:H254" si="118">SUM(A252:A253)</f>
        <v>2881</v>
      </c>
      <c r="B254" s="60">
        <f t="shared" si="118"/>
        <v>2881</v>
      </c>
      <c r="C254" s="60">
        <f t="shared" si="118"/>
        <v>0</v>
      </c>
      <c r="D254" s="60">
        <f t="shared" si="118"/>
        <v>12</v>
      </c>
      <c r="E254" s="60">
        <f t="shared" si="118"/>
        <v>12</v>
      </c>
      <c r="F254" s="60">
        <f t="shared" si="118"/>
        <v>0</v>
      </c>
      <c r="G254" s="60">
        <f t="shared" si="118"/>
        <v>2869</v>
      </c>
      <c r="H254" s="60">
        <f t="shared" si="118"/>
        <v>2869</v>
      </c>
      <c r="I254" s="60">
        <f>SUM(I252:I253)</f>
        <v>0</v>
      </c>
      <c r="J254" s="65" t="s">
        <v>13</v>
      </c>
      <c r="K254" s="67"/>
      <c r="L254" s="55"/>
    </row>
    <row r="255" spans="1:12" ht="12.75" customHeight="1" thickBot="1" x14ac:dyDescent="0.25">
      <c r="A255" s="60">
        <f t="shared" si="96"/>
        <v>5978</v>
      </c>
      <c r="B255" s="60">
        <f t="shared" si="97"/>
        <v>5978</v>
      </c>
      <c r="C255" s="60">
        <f t="shared" si="97"/>
        <v>0</v>
      </c>
      <c r="D255" s="60">
        <f t="shared" si="98"/>
        <v>50</v>
      </c>
      <c r="E255" s="60">
        <v>50</v>
      </c>
      <c r="F255" s="60">
        <v>0</v>
      </c>
      <c r="G255" s="60">
        <f t="shared" si="99"/>
        <v>5928</v>
      </c>
      <c r="H255" s="60">
        <f>5880+48</f>
        <v>5928</v>
      </c>
      <c r="I255" s="60">
        <v>0</v>
      </c>
      <c r="J255" s="65" t="s">
        <v>221</v>
      </c>
      <c r="K255" s="66"/>
      <c r="L255" s="55"/>
    </row>
    <row r="256" spans="1:12" ht="12.75" customHeight="1" thickBot="1" x14ac:dyDescent="0.25">
      <c r="A256" s="60">
        <f t="shared" si="96"/>
        <v>1627</v>
      </c>
      <c r="B256" s="60">
        <f t="shared" si="97"/>
        <v>1627</v>
      </c>
      <c r="C256" s="60">
        <f t="shared" si="97"/>
        <v>0</v>
      </c>
      <c r="D256" s="60">
        <f t="shared" si="98"/>
        <v>19</v>
      </c>
      <c r="E256" s="60">
        <v>19</v>
      </c>
      <c r="F256" s="60">
        <v>0</v>
      </c>
      <c r="G256" s="60">
        <f t="shared" si="99"/>
        <v>1608</v>
      </c>
      <c r="H256" s="60">
        <v>1608</v>
      </c>
      <c r="I256" s="60">
        <v>0</v>
      </c>
      <c r="J256" s="65" t="s">
        <v>222</v>
      </c>
      <c r="K256" s="66" t="s">
        <v>386</v>
      </c>
      <c r="L256" s="55"/>
    </row>
    <row r="257" spans="1:12" ht="12.75" customHeight="1" thickBot="1" x14ac:dyDescent="0.25">
      <c r="A257" s="60">
        <f t="shared" ref="A257:H257" si="119">SUM(A255:A256)</f>
        <v>7605</v>
      </c>
      <c r="B257" s="60">
        <f t="shared" si="119"/>
        <v>7605</v>
      </c>
      <c r="C257" s="60">
        <f t="shared" si="119"/>
        <v>0</v>
      </c>
      <c r="D257" s="60">
        <f t="shared" si="119"/>
        <v>69</v>
      </c>
      <c r="E257" s="60">
        <f t="shared" si="119"/>
        <v>69</v>
      </c>
      <c r="F257" s="60">
        <f t="shared" si="119"/>
        <v>0</v>
      </c>
      <c r="G257" s="60">
        <f t="shared" si="119"/>
        <v>7536</v>
      </c>
      <c r="H257" s="60">
        <f t="shared" si="119"/>
        <v>7536</v>
      </c>
      <c r="I257" s="60">
        <f>SUM(I255:I256)</f>
        <v>0</v>
      </c>
      <c r="J257" s="65" t="s">
        <v>13</v>
      </c>
      <c r="K257" s="67"/>
      <c r="L257" s="55"/>
    </row>
    <row r="258" spans="1:12" ht="12.75" customHeight="1" thickBot="1" x14ac:dyDescent="0.25">
      <c r="A258" s="60">
        <f t="shared" si="96"/>
        <v>646</v>
      </c>
      <c r="B258" s="60">
        <f t="shared" si="97"/>
        <v>0</v>
      </c>
      <c r="C258" s="60">
        <f t="shared" si="97"/>
        <v>646</v>
      </c>
      <c r="D258" s="60">
        <f t="shared" si="98"/>
        <v>77</v>
      </c>
      <c r="E258" s="60">
        <v>0</v>
      </c>
      <c r="F258" s="60">
        <v>77</v>
      </c>
      <c r="G258" s="60">
        <f t="shared" si="99"/>
        <v>569</v>
      </c>
      <c r="H258" s="60">
        <v>0</v>
      </c>
      <c r="I258" s="60">
        <f>339+230</f>
        <v>569</v>
      </c>
      <c r="J258" s="65" t="s">
        <v>221</v>
      </c>
      <c r="K258" s="66"/>
      <c r="L258" s="55"/>
    </row>
    <row r="259" spans="1:12" ht="12.75" customHeight="1" thickBot="1" x14ac:dyDescent="0.25">
      <c r="A259" s="60">
        <f t="shared" si="96"/>
        <v>0</v>
      </c>
      <c r="B259" s="60">
        <f t="shared" si="97"/>
        <v>0</v>
      </c>
      <c r="C259" s="60">
        <f t="shared" si="97"/>
        <v>0</v>
      </c>
      <c r="D259" s="60">
        <f t="shared" si="98"/>
        <v>0</v>
      </c>
      <c r="E259" s="60">
        <v>0</v>
      </c>
      <c r="F259" s="60">
        <v>0</v>
      </c>
      <c r="G259" s="60">
        <f t="shared" si="99"/>
        <v>0</v>
      </c>
      <c r="H259" s="60">
        <v>0</v>
      </c>
      <c r="I259" s="60">
        <v>0</v>
      </c>
      <c r="J259" s="65" t="s">
        <v>222</v>
      </c>
      <c r="K259" s="66" t="s">
        <v>248</v>
      </c>
      <c r="L259" s="55"/>
    </row>
    <row r="260" spans="1:12" ht="12.75" customHeight="1" thickBot="1" x14ac:dyDescent="0.25">
      <c r="A260" s="60">
        <f t="shared" ref="A260:H260" si="120">SUM(A258:A259)</f>
        <v>646</v>
      </c>
      <c r="B260" s="60">
        <f t="shared" si="120"/>
        <v>0</v>
      </c>
      <c r="C260" s="60">
        <f t="shared" si="120"/>
        <v>646</v>
      </c>
      <c r="D260" s="60">
        <f t="shared" si="120"/>
        <v>77</v>
      </c>
      <c r="E260" s="60">
        <f t="shared" si="120"/>
        <v>0</v>
      </c>
      <c r="F260" s="60">
        <f t="shared" si="120"/>
        <v>77</v>
      </c>
      <c r="G260" s="60">
        <f t="shared" si="120"/>
        <v>569</v>
      </c>
      <c r="H260" s="60">
        <f t="shared" si="120"/>
        <v>0</v>
      </c>
      <c r="I260" s="60">
        <f>SUM(I258:I259)</f>
        <v>569</v>
      </c>
      <c r="J260" s="65" t="s">
        <v>13</v>
      </c>
      <c r="K260" s="67"/>
      <c r="L260" s="55"/>
    </row>
    <row r="261" spans="1:12" ht="12.75" customHeight="1" thickBot="1" x14ac:dyDescent="0.25">
      <c r="A261" s="60">
        <f t="shared" ref="A261:I263" si="121">A198+A201+A204+A207+A210+A213+A216+A219+A222+A225+A228+A231+A234+A237+A240+A243+A246+A249+A252+A255+A258</f>
        <v>53939</v>
      </c>
      <c r="B261" s="60">
        <f t="shared" si="121"/>
        <v>33646</v>
      </c>
      <c r="C261" s="60">
        <f t="shared" si="121"/>
        <v>20293</v>
      </c>
      <c r="D261" s="60">
        <f t="shared" si="121"/>
        <v>1518</v>
      </c>
      <c r="E261" s="60">
        <f t="shared" si="121"/>
        <v>966</v>
      </c>
      <c r="F261" s="60">
        <f t="shared" si="121"/>
        <v>552</v>
      </c>
      <c r="G261" s="60">
        <f t="shared" si="121"/>
        <v>52421</v>
      </c>
      <c r="H261" s="60">
        <f t="shared" si="121"/>
        <v>32680</v>
      </c>
      <c r="I261" s="60">
        <f>I198+I201+I204+I207+I210+I213+I216+I219+I222+I225+I228+I231+I234+I237+I240+I243+I246+I249+I252+I255+I258</f>
        <v>19741</v>
      </c>
      <c r="J261" s="65" t="s">
        <v>224</v>
      </c>
      <c r="K261" s="57"/>
      <c r="L261" s="55"/>
    </row>
    <row r="262" spans="1:12" ht="12.75" customHeight="1" thickBot="1" x14ac:dyDescent="0.25">
      <c r="A262" s="60">
        <f t="shared" si="121"/>
        <v>37581</v>
      </c>
      <c r="B262" s="60">
        <f t="shared" si="121"/>
        <v>13180</v>
      </c>
      <c r="C262" s="60">
        <f t="shared" si="121"/>
        <v>24401</v>
      </c>
      <c r="D262" s="60">
        <f t="shared" si="121"/>
        <v>1596</v>
      </c>
      <c r="E262" s="60">
        <f t="shared" si="121"/>
        <v>1182</v>
      </c>
      <c r="F262" s="60">
        <f t="shared" si="121"/>
        <v>414</v>
      </c>
      <c r="G262" s="60">
        <f t="shared" si="121"/>
        <v>35985</v>
      </c>
      <c r="H262" s="60">
        <f t="shared" si="121"/>
        <v>11998</v>
      </c>
      <c r="I262" s="60">
        <f t="shared" si="121"/>
        <v>23987</v>
      </c>
      <c r="J262" s="65" t="s">
        <v>225</v>
      </c>
      <c r="K262" s="68" t="s">
        <v>211</v>
      </c>
      <c r="L262" s="55"/>
    </row>
    <row r="263" spans="1:12" ht="12.75" customHeight="1" thickBot="1" x14ac:dyDescent="0.25">
      <c r="A263" s="60">
        <f t="shared" si="121"/>
        <v>91520</v>
      </c>
      <c r="B263" s="60">
        <f t="shared" si="121"/>
        <v>46826</v>
      </c>
      <c r="C263" s="60">
        <f t="shared" si="121"/>
        <v>44694</v>
      </c>
      <c r="D263" s="60">
        <f t="shared" si="121"/>
        <v>3114</v>
      </c>
      <c r="E263" s="60">
        <f t="shared" si="121"/>
        <v>2148</v>
      </c>
      <c r="F263" s="60">
        <f t="shared" si="121"/>
        <v>966</v>
      </c>
      <c r="G263" s="60">
        <f t="shared" si="121"/>
        <v>88406</v>
      </c>
      <c r="H263" s="60">
        <f t="shared" si="121"/>
        <v>44678</v>
      </c>
      <c r="I263" s="60">
        <f t="shared" si="121"/>
        <v>43728</v>
      </c>
      <c r="J263" s="65" t="s">
        <v>13</v>
      </c>
      <c r="K263" s="59"/>
      <c r="L263" s="55"/>
    </row>
    <row r="264" spans="1:12" ht="12.75" customHeight="1" x14ac:dyDescent="0.2">
      <c r="A264" s="177" t="s">
        <v>560</v>
      </c>
      <c r="B264" s="177"/>
      <c r="C264" s="177"/>
      <c r="D264" s="177"/>
      <c r="E264" s="177"/>
      <c r="F264" s="177"/>
      <c r="G264" s="177"/>
      <c r="H264" s="177"/>
      <c r="I264" s="177"/>
      <c r="J264" s="177"/>
      <c r="K264" s="177"/>
      <c r="L264" s="55"/>
    </row>
    <row r="265" spans="1:12" ht="12.75" customHeight="1" thickBot="1" x14ac:dyDescent="0.25">
      <c r="A265" s="178" t="s">
        <v>561</v>
      </c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55"/>
    </row>
    <row r="266" spans="1:12" ht="12.75" customHeight="1" thickBot="1" x14ac:dyDescent="0.25">
      <c r="A266" s="179" t="s">
        <v>5</v>
      </c>
      <c r="B266" s="179"/>
      <c r="C266" s="179"/>
      <c r="D266" s="179" t="s">
        <v>162</v>
      </c>
      <c r="E266" s="179"/>
      <c r="F266" s="179"/>
      <c r="G266" s="179" t="s">
        <v>163</v>
      </c>
      <c r="H266" s="179"/>
      <c r="I266" s="179"/>
      <c r="J266" s="179" t="s">
        <v>72</v>
      </c>
      <c r="K266" s="179"/>
      <c r="L266" s="55"/>
    </row>
    <row r="267" spans="1:12" ht="12.75" customHeight="1" thickBot="1" x14ac:dyDescent="0.25">
      <c r="A267" s="58" t="s">
        <v>216</v>
      </c>
      <c r="B267" s="58" t="s">
        <v>11</v>
      </c>
      <c r="C267" s="58" t="s">
        <v>10</v>
      </c>
      <c r="D267" s="58" t="s">
        <v>216</v>
      </c>
      <c r="E267" s="58" t="s">
        <v>11</v>
      </c>
      <c r="F267" s="58" t="s">
        <v>10</v>
      </c>
      <c r="G267" s="58" t="s">
        <v>216</v>
      </c>
      <c r="H267" s="58" t="s">
        <v>11</v>
      </c>
      <c r="I267" s="58" t="s">
        <v>10</v>
      </c>
      <c r="J267" s="180" t="s">
        <v>98</v>
      </c>
      <c r="K267" s="180"/>
      <c r="L267" s="55"/>
    </row>
    <row r="268" spans="1:12" ht="12.75" customHeight="1" thickBot="1" x14ac:dyDescent="0.25">
      <c r="A268" s="60">
        <f>SUM(B268:C268)</f>
        <v>2367</v>
      </c>
      <c r="B268" s="60">
        <f>H268+E268</f>
        <v>0</v>
      </c>
      <c r="C268" s="60">
        <f>I268+F268</f>
        <v>2367</v>
      </c>
      <c r="D268" s="60">
        <f>SUM(E268:F268)</f>
        <v>167</v>
      </c>
      <c r="E268" s="60">
        <v>0</v>
      </c>
      <c r="F268" s="60">
        <v>167</v>
      </c>
      <c r="G268" s="60">
        <f>SUM(H268:I268)</f>
        <v>2200</v>
      </c>
      <c r="H268" s="60">
        <v>0</v>
      </c>
      <c r="I268" s="60">
        <v>2200</v>
      </c>
      <c r="J268" s="65" t="s">
        <v>221</v>
      </c>
      <c r="K268" s="66"/>
      <c r="L268" s="55"/>
    </row>
    <row r="269" spans="1:12" ht="12.75" customHeight="1" thickBot="1" x14ac:dyDescent="0.25">
      <c r="A269" s="60">
        <f t="shared" ref="A269:A287" si="122">SUM(B269:C269)</f>
        <v>0</v>
      </c>
      <c r="B269" s="60">
        <f t="shared" ref="B269:C287" si="123">H269+E269</f>
        <v>0</v>
      </c>
      <c r="C269" s="60">
        <f t="shared" si="123"/>
        <v>0</v>
      </c>
      <c r="D269" s="60">
        <f t="shared" ref="D269:D287" si="124">SUM(E269:F269)</f>
        <v>0</v>
      </c>
      <c r="E269" s="60">
        <v>0</v>
      </c>
      <c r="F269" s="60">
        <v>0</v>
      </c>
      <c r="G269" s="60">
        <f t="shared" ref="G269:G287" si="125">SUM(H269:I269)</f>
        <v>0</v>
      </c>
      <c r="H269" s="60">
        <v>0</v>
      </c>
      <c r="I269" s="60">
        <v>0</v>
      </c>
      <c r="J269" s="65" t="s">
        <v>222</v>
      </c>
      <c r="K269" s="66" t="s">
        <v>388</v>
      </c>
      <c r="L269" s="55"/>
    </row>
    <row r="270" spans="1:12" ht="12.75" customHeight="1" thickBot="1" x14ac:dyDescent="0.25">
      <c r="A270" s="60">
        <f t="shared" ref="A270:H270" si="126">SUM(A268:A269)</f>
        <v>2367</v>
      </c>
      <c r="B270" s="60">
        <f t="shared" si="126"/>
        <v>0</v>
      </c>
      <c r="C270" s="60">
        <f t="shared" si="126"/>
        <v>2367</v>
      </c>
      <c r="D270" s="60">
        <f t="shared" si="126"/>
        <v>167</v>
      </c>
      <c r="E270" s="60">
        <f t="shared" si="126"/>
        <v>0</v>
      </c>
      <c r="F270" s="60">
        <f t="shared" si="126"/>
        <v>167</v>
      </c>
      <c r="G270" s="60">
        <f t="shared" si="126"/>
        <v>2200</v>
      </c>
      <c r="H270" s="60">
        <f t="shared" si="126"/>
        <v>0</v>
      </c>
      <c r="I270" s="60">
        <f>SUM(I268:I269)</f>
        <v>2200</v>
      </c>
      <c r="J270" s="65" t="s">
        <v>13</v>
      </c>
      <c r="K270" s="67"/>
      <c r="L270" s="55"/>
    </row>
    <row r="271" spans="1:12" ht="12.75" customHeight="1" thickBot="1" x14ac:dyDescent="0.25">
      <c r="A271" s="60">
        <f t="shared" si="122"/>
        <v>793</v>
      </c>
      <c r="B271" s="60">
        <f t="shared" si="123"/>
        <v>0</v>
      </c>
      <c r="C271" s="60">
        <f t="shared" si="123"/>
        <v>793</v>
      </c>
      <c r="D271" s="60">
        <f t="shared" si="124"/>
        <v>14</v>
      </c>
      <c r="E271" s="60">
        <v>0</v>
      </c>
      <c r="F271" s="60">
        <v>14</v>
      </c>
      <c r="G271" s="60">
        <f t="shared" si="125"/>
        <v>779</v>
      </c>
      <c r="H271" s="60">
        <v>0</v>
      </c>
      <c r="I271" s="60">
        <v>779</v>
      </c>
      <c r="J271" s="65" t="s">
        <v>221</v>
      </c>
      <c r="K271" s="66"/>
      <c r="L271" s="55"/>
    </row>
    <row r="272" spans="1:12" ht="12.75" customHeight="1" thickBot="1" x14ac:dyDescent="0.25">
      <c r="A272" s="60">
        <f t="shared" si="122"/>
        <v>0</v>
      </c>
      <c r="B272" s="60">
        <f t="shared" si="123"/>
        <v>0</v>
      </c>
      <c r="C272" s="60">
        <f t="shared" si="123"/>
        <v>0</v>
      </c>
      <c r="D272" s="60">
        <f t="shared" si="124"/>
        <v>0</v>
      </c>
      <c r="E272" s="60">
        <v>0</v>
      </c>
      <c r="F272" s="60">
        <v>0</v>
      </c>
      <c r="G272" s="60">
        <f t="shared" si="125"/>
        <v>0</v>
      </c>
      <c r="H272" s="60">
        <v>0</v>
      </c>
      <c r="I272" s="60">
        <v>0</v>
      </c>
      <c r="J272" s="65" t="s">
        <v>222</v>
      </c>
      <c r="K272" s="66" t="s">
        <v>389</v>
      </c>
      <c r="L272" s="55"/>
    </row>
    <row r="273" spans="1:12" ht="12.75" customHeight="1" thickBot="1" x14ac:dyDescent="0.25">
      <c r="A273" s="60">
        <f t="shared" ref="A273:H273" si="127">SUM(A271:A272)</f>
        <v>793</v>
      </c>
      <c r="B273" s="60">
        <f t="shared" si="127"/>
        <v>0</v>
      </c>
      <c r="C273" s="60">
        <f t="shared" si="127"/>
        <v>793</v>
      </c>
      <c r="D273" s="60">
        <f t="shared" si="127"/>
        <v>14</v>
      </c>
      <c r="E273" s="60">
        <f t="shared" si="127"/>
        <v>0</v>
      </c>
      <c r="F273" s="60">
        <f t="shared" si="127"/>
        <v>14</v>
      </c>
      <c r="G273" s="60">
        <f t="shared" si="127"/>
        <v>779</v>
      </c>
      <c r="H273" s="60">
        <f t="shared" si="127"/>
        <v>0</v>
      </c>
      <c r="I273" s="60">
        <f>SUM(I271:I272)</f>
        <v>779</v>
      </c>
      <c r="J273" s="65" t="s">
        <v>13</v>
      </c>
      <c r="K273" s="67"/>
      <c r="L273" s="55"/>
    </row>
    <row r="274" spans="1:12" ht="12.75" customHeight="1" thickBot="1" x14ac:dyDescent="0.25">
      <c r="A274" s="60">
        <f t="shared" si="122"/>
        <v>1153</v>
      </c>
      <c r="B274" s="60">
        <f t="shared" si="123"/>
        <v>0</v>
      </c>
      <c r="C274" s="60">
        <f t="shared" si="123"/>
        <v>1153</v>
      </c>
      <c r="D274" s="60">
        <f t="shared" si="124"/>
        <v>64</v>
      </c>
      <c r="E274" s="60">
        <v>0</v>
      </c>
      <c r="F274" s="60">
        <v>64</v>
      </c>
      <c r="G274" s="60">
        <f t="shared" si="125"/>
        <v>1089</v>
      </c>
      <c r="H274" s="60">
        <v>0</v>
      </c>
      <c r="I274" s="60">
        <v>1089</v>
      </c>
      <c r="J274" s="65" t="s">
        <v>221</v>
      </c>
      <c r="K274" s="66"/>
      <c r="L274" s="55"/>
    </row>
    <row r="275" spans="1:12" ht="12.75" customHeight="1" thickBot="1" x14ac:dyDescent="0.25">
      <c r="A275" s="60">
        <f t="shared" si="122"/>
        <v>0</v>
      </c>
      <c r="B275" s="60">
        <f t="shared" si="123"/>
        <v>0</v>
      </c>
      <c r="C275" s="60">
        <f t="shared" si="123"/>
        <v>0</v>
      </c>
      <c r="D275" s="60">
        <f t="shared" si="124"/>
        <v>0</v>
      </c>
      <c r="E275" s="60">
        <v>0</v>
      </c>
      <c r="F275" s="60">
        <v>0</v>
      </c>
      <c r="G275" s="60">
        <f t="shared" si="125"/>
        <v>0</v>
      </c>
      <c r="H275" s="60">
        <v>0</v>
      </c>
      <c r="I275" s="60">
        <v>0</v>
      </c>
      <c r="J275" s="65" t="s">
        <v>222</v>
      </c>
      <c r="K275" s="66" t="s">
        <v>390</v>
      </c>
      <c r="L275" s="55"/>
    </row>
    <row r="276" spans="1:12" ht="12.75" customHeight="1" thickBot="1" x14ac:dyDescent="0.25">
      <c r="A276" s="60">
        <f t="shared" ref="A276:H276" si="128">SUM(A274:A275)</f>
        <v>1153</v>
      </c>
      <c r="B276" s="60">
        <f t="shared" si="128"/>
        <v>0</v>
      </c>
      <c r="C276" s="60">
        <f t="shared" si="128"/>
        <v>1153</v>
      </c>
      <c r="D276" s="60">
        <f t="shared" si="128"/>
        <v>64</v>
      </c>
      <c r="E276" s="60">
        <f t="shared" si="128"/>
        <v>0</v>
      </c>
      <c r="F276" s="60">
        <f t="shared" si="128"/>
        <v>64</v>
      </c>
      <c r="G276" s="60">
        <f t="shared" si="128"/>
        <v>1089</v>
      </c>
      <c r="H276" s="60">
        <f t="shared" si="128"/>
        <v>0</v>
      </c>
      <c r="I276" s="60">
        <f>SUM(I274:I275)</f>
        <v>1089</v>
      </c>
      <c r="J276" s="65" t="s">
        <v>13</v>
      </c>
      <c r="K276" s="67"/>
      <c r="L276" s="55"/>
    </row>
    <row r="277" spans="1:12" ht="12.75" customHeight="1" thickBot="1" x14ac:dyDescent="0.25">
      <c r="A277" s="60">
        <f t="shared" si="122"/>
        <v>565</v>
      </c>
      <c r="B277" s="60">
        <f t="shared" si="123"/>
        <v>0</v>
      </c>
      <c r="C277" s="60">
        <f t="shared" si="123"/>
        <v>565</v>
      </c>
      <c r="D277" s="60">
        <f t="shared" si="124"/>
        <v>81</v>
      </c>
      <c r="E277" s="60">
        <v>0</v>
      </c>
      <c r="F277" s="60">
        <v>81</v>
      </c>
      <c r="G277" s="60">
        <f t="shared" si="125"/>
        <v>484</v>
      </c>
      <c r="H277" s="60">
        <v>0</v>
      </c>
      <c r="I277" s="60">
        <v>484</v>
      </c>
      <c r="J277" s="65" t="s">
        <v>221</v>
      </c>
      <c r="K277" s="66"/>
      <c r="L277" s="55"/>
    </row>
    <row r="278" spans="1:12" ht="12.75" customHeight="1" thickBot="1" x14ac:dyDescent="0.25">
      <c r="A278" s="60">
        <f t="shared" si="122"/>
        <v>0</v>
      </c>
      <c r="B278" s="60">
        <f t="shared" si="123"/>
        <v>0</v>
      </c>
      <c r="C278" s="60">
        <f t="shared" si="123"/>
        <v>0</v>
      </c>
      <c r="D278" s="60">
        <f t="shared" si="124"/>
        <v>0</v>
      </c>
      <c r="E278" s="60">
        <v>0</v>
      </c>
      <c r="F278" s="60">
        <v>0</v>
      </c>
      <c r="G278" s="60">
        <f t="shared" si="125"/>
        <v>0</v>
      </c>
      <c r="H278" s="60">
        <v>0</v>
      </c>
      <c r="I278" s="60">
        <v>0</v>
      </c>
      <c r="J278" s="65" t="s">
        <v>222</v>
      </c>
      <c r="K278" s="66" t="s">
        <v>391</v>
      </c>
      <c r="L278" s="55"/>
    </row>
    <row r="279" spans="1:12" ht="12.75" customHeight="1" thickBot="1" x14ac:dyDescent="0.25">
      <c r="A279" s="60">
        <f t="shared" ref="A279:H279" si="129">SUM(A277:A278)</f>
        <v>565</v>
      </c>
      <c r="B279" s="60">
        <f t="shared" si="129"/>
        <v>0</v>
      </c>
      <c r="C279" s="60">
        <f t="shared" si="129"/>
        <v>565</v>
      </c>
      <c r="D279" s="60">
        <f t="shared" si="129"/>
        <v>81</v>
      </c>
      <c r="E279" s="60">
        <f t="shared" si="129"/>
        <v>0</v>
      </c>
      <c r="F279" s="60">
        <f t="shared" si="129"/>
        <v>81</v>
      </c>
      <c r="G279" s="60">
        <f t="shared" si="129"/>
        <v>484</v>
      </c>
      <c r="H279" s="60">
        <f t="shared" si="129"/>
        <v>0</v>
      </c>
      <c r="I279" s="60">
        <f>SUM(I277:I278)</f>
        <v>484</v>
      </c>
      <c r="J279" s="65" t="s">
        <v>13</v>
      </c>
      <c r="K279" s="67"/>
      <c r="L279" s="55"/>
    </row>
    <row r="280" spans="1:12" ht="12.75" customHeight="1" thickBot="1" x14ac:dyDescent="0.25">
      <c r="A280" s="60">
        <f t="shared" si="122"/>
        <v>74</v>
      </c>
      <c r="B280" s="60">
        <f t="shared" si="123"/>
        <v>0</v>
      </c>
      <c r="C280" s="60">
        <f t="shared" si="123"/>
        <v>74</v>
      </c>
      <c r="D280" s="60">
        <f t="shared" si="124"/>
        <v>5</v>
      </c>
      <c r="E280" s="60">
        <v>0</v>
      </c>
      <c r="F280" s="60">
        <v>5</v>
      </c>
      <c r="G280" s="60">
        <f t="shared" si="125"/>
        <v>69</v>
      </c>
      <c r="H280" s="60">
        <v>0</v>
      </c>
      <c r="I280" s="60">
        <v>69</v>
      </c>
      <c r="J280" s="65" t="s">
        <v>221</v>
      </c>
      <c r="K280" s="66"/>
      <c r="L280" s="55"/>
    </row>
    <row r="281" spans="1:12" ht="12.75" customHeight="1" thickBot="1" x14ac:dyDescent="0.25">
      <c r="A281" s="60">
        <f t="shared" si="122"/>
        <v>0</v>
      </c>
      <c r="B281" s="60">
        <f t="shared" si="123"/>
        <v>0</v>
      </c>
      <c r="C281" s="60">
        <f t="shared" si="123"/>
        <v>0</v>
      </c>
      <c r="D281" s="60">
        <f t="shared" si="124"/>
        <v>0</v>
      </c>
      <c r="E281" s="60">
        <v>0</v>
      </c>
      <c r="F281" s="60">
        <v>0</v>
      </c>
      <c r="G281" s="60">
        <f t="shared" si="125"/>
        <v>0</v>
      </c>
      <c r="H281" s="60">
        <v>0</v>
      </c>
      <c r="I281" s="60">
        <v>0</v>
      </c>
      <c r="J281" s="65" t="s">
        <v>222</v>
      </c>
      <c r="K281" s="66" t="s">
        <v>359</v>
      </c>
      <c r="L281" s="55"/>
    </row>
    <row r="282" spans="1:12" ht="12.75" customHeight="1" thickBot="1" x14ac:dyDescent="0.25">
      <c r="A282" s="60">
        <f t="shared" ref="A282:H282" si="130">SUM(A280:A281)</f>
        <v>74</v>
      </c>
      <c r="B282" s="60">
        <f t="shared" si="130"/>
        <v>0</v>
      </c>
      <c r="C282" s="60">
        <f t="shared" si="130"/>
        <v>74</v>
      </c>
      <c r="D282" s="60">
        <f t="shared" si="130"/>
        <v>5</v>
      </c>
      <c r="E282" s="60">
        <f t="shared" si="130"/>
        <v>0</v>
      </c>
      <c r="F282" s="60">
        <f t="shared" si="130"/>
        <v>5</v>
      </c>
      <c r="G282" s="60">
        <f t="shared" si="130"/>
        <v>69</v>
      </c>
      <c r="H282" s="60">
        <f t="shared" si="130"/>
        <v>0</v>
      </c>
      <c r="I282" s="60">
        <f>SUM(I280:I281)</f>
        <v>69</v>
      </c>
      <c r="J282" s="65" t="s">
        <v>13</v>
      </c>
      <c r="K282" s="67"/>
      <c r="L282" s="55"/>
    </row>
    <row r="283" spans="1:12" ht="12.75" customHeight="1" thickBot="1" x14ac:dyDescent="0.25">
      <c r="A283" s="60">
        <f t="shared" si="122"/>
        <v>97</v>
      </c>
      <c r="B283" s="60">
        <f t="shared" si="123"/>
        <v>0</v>
      </c>
      <c r="C283" s="60">
        <f t="shared" si="123"/>
        <v>97</v>
      </c>
      <c r="D283" s="60">
        <f t="shared" si="124"/>
        <v>26</v>
      </c>
      <c r="E283" s="60">
        <v>0</v>
      </c>
      <c r="F283" s="60">
        <v>26</v>
      </c>
      <c r="G283" s="60">
        <f t="shared" si="125"/>
        <v>71</v>
      </c>
      <c r="H283" s="60">
        <v>0</v>
      </c>
      <c r="I283" s="60">
        <v>71</v>
      </c>
      <c r="J283" s="65" t="s">
        <v>221</v>
      </c>
      <c r="K283" s="66"/>
      <c r="L283" s="55"/>
    </row>
    <row r="284" spans="1:12" ht="12.75" customHeight="1" thickBot="1" x14ac:dyDescent="0.25">
      <c r="A284" s="60">
        <f t="shared" si="122"/>
        <v>0</v>
      </c>
      <c r="B284" s="60">
        <f t="shared" si="123"/>
        <v>0</v>
      </c>
      <c r="C284" s="60">
        <f t="shared" si="123"/>
        <v>0</v>
      </c>
      <c r="D284" s="60">
        <f t="shared" si="124"/>
        <v>0</v>
      </c>
      <c r="E284" s="60">
        <v>0</v>
      </c>
      <c r="F284" s="60">
        <v>0</v>
      </c>
      <c r="G284" s="60">
        <f t="shared" si="125"/>
        <v>0</v>
      </c>
      <c r="H284" s="60">
        <v>0</v>
      </c>
      <c r="I284" s="60">
        <v>0</v>
      </c>
      <c r="J284" s="65" t="s">
        <v>222</v>
      </c>
      <c r="K284" s="66" t="s">
        <v>539</v>
      </c>
      <c r="L284" s="55"/>
    </row>
    <row r="285" spans="1:12" ht="12.75" customHeight="1" thickBot="1" x14ac:dyDescent="0.25">
      <c r="A285" s="60">
        <f t="shared" ref="A285:H285" si="131">SUM(A283:A284)</f>
        <v>97</v>
      </c>
      <c r="B285" s="60">
        <f t="shared" si="131"/>
        <v>0</v>
      </c>
      <c r="C285" s="60">
        <f t="shared" si="131"/>
        <v>97</v>
      </c>
      <c r="D285" s="60">
        <f t="shared" si="131"/>
        <v>26</v>
      </c>
      <c r="E285" s="60">
        <f t="shared" si="131"/>
        <v>0</v>
      </c>
      <c r="F285" s="60">
        <f t="shared" si="131"/>
        <v>26</v>
      </c>
      <c r="G285" s="60">
        <f t="shared" si="131"/>
        <v>71</v>
      </c>
      <c r="H285" s="60">
        <f t="shared" si="131"/>
        <v>0</v>
      </c>
      <c r="I285" s="60">
        <f>SUM(I283:I284)</f>
        <v>71</v>
      </c>
      <c r="J285" s="65" t="s">
        <v>13</v>
      </c>
      <c r="K285" s="67"/>
      <c r="L285" s="55"/>
    </row>
    <row r="286" spans="1:12" ht="12.75" customHeight="1" thickBot="1" x14ac:dyDescent="0.25">
      <c r="A286" s="60">
        <f t="shared" si="122"/>
        <v>1473</v>
      </c>
      <c r="B286" s="60">
        <f t="shared" si="123"/>
        <v>0</v>
      </c>
      <c r="C286" s="60">
        <f t="shared" si="123"/>
        <v>1473</v>
      </c>
      <c r="D286" s="60">
        <f t="shared" si="124"/>
        <v>96</v>
      </c>
      <c r="E286" s="60">
        <v>0</v>
      </c>
      <c r="F286" s="60">
        <v>96</v>
      </c>
      <c r="G286" s="60">
        <f t="shared" si="125"/>
        <v>1377</v>
      </c>
      <c r="H286" s="60">
        <v>0</v>
      </c>
      <c r="I286" s="60">
        <v>1377</v>
      </c>
      <c r="J286" s="65" t="s">
        <v>221</v>
      </c>
      <c r="K286" s="66"/>
      <c r="L286" s="55"/>
    </row>
    <row r="287" spans="1:12" ht="12.75" customHeight="1" thickBot="1" x14ac:dyDescent="0.25">
      <c r="A287" s="60">
        <f t="shared" si="122"/>
        <v>0</v>
      </c>
      <c r="B287" s="60">
        <f t="shared" si="123"/>
        <v>0</v>
      </c>
      <c r="C287" s="60">
        <f t="shared" si="123"/>
        <v>0</v>
      </c>
      <c r="D287" s="60">
        <f t="shared" si="124"/>
        <v>0</v>
      </c>
      <c r="E287" s="60">
        <v>0</v>
      </c>
      <c r="F287" s="60">
        <v>0</v>
      </c>
      <c r="G287" s="60">
        <f t="shared" si="125"/>
        <v>0</v>
      </c>
      <c r="H287" s="60">
        <v>0</v>
      </c>
      <c r="I287" s="60">
        <v>0</v>
      </c>
      <c r="J287" s="65" t="s">
        <v>222</v>
      </c>
      <c r="K287" s="66" t="s">
        <v>392</v>
      </c>
      <c r="L287" s="55"/>
    </row>
    <row r="288" spans="1:12" ht="12.75" customHeight="1" thickBot="1" x14ac:dyDescent="0.25">
      <c r="A288" s="60">
        <f t="shared" ref="A288:H288" si="132">SUM(A286:A287)</f>
        <v>1473</v>
      </c>
      <c r="B288" s="60">
        <f t="shared" si="132"/>
        <v>0</v>
      </c>
      <c r="C288" s="60">
        <f t="shared" si="132"/>
        <v>1473</v>
      </c>
      <c r="D288" s="60">
        <f t="shared" si="132"/>
        <v>96</v>
      </c>
      <c r="E288" s="60">
        <f t="shared" si="132"/>
        <v>0</v>
      </c>
      <c r="F288" s="60">
        <f t="shared" si="132"/>
        <v>96</v>
      </c>
      <c r="G288" s="60">
        <f t="shared" si="132"/>
        <v>1377</v>
      </c>
      <c r="H288" s="60">
        <f t="shared" si="132"/>
        <v>0</v>
      </c>
      <c r="I288" s="60">
        <f>SUM(I286:I287)</f>
        <v>1377</v>
      </c>
      <c r="J288" s="65" t="s">
        <v>13</v>
      </c>
      <c r="K288" s="67"/>
      <c r="L288" s="55"/>
    </row>
    <row r="289" spans="1:12" ht="12.75" customHeight="1" thickBot="1" x14ac:dyDescent="0.25">
      <c r="A289" s="60">
        <f t="shared" ref="A289:I291" si="133">A268+A271+A274+A277+A280+A283+A286</f>
        <v>6522</v>
      </c>
      <c r="B289" s="60">
        <f t="shared" si="133"/>
        <v>0</v>
      </c>
      <c r="C289" s="60">
        <f t="shared" si="133"/>
        <v>6522</v>
      </c>
      <c r="D289" s="60">
        <f t="shared" si="133"/>
        <v>453</v>
      </c>
      <c r="E289" s="60">
        <f t="shared" si="133"/>
        <v>0</v>
      </c>
      <c r="F289" s="60">
        <f t="shared" si="133"/>
        <v>453</v>
      </c>
      <c r="G289" s="60">
        <f t="shared" si="133"/>
        <v>6069</v>
      </c>
      <c r="H289" s="60">
        <f t="shared" si="133"/>
        <v>0</v>
      </c>
      <c r="I289" s="60">
        <f>I268+I271+I274+I277+I280+I283+I286</f>
        <v>6069</v>
      </c>
      <c r="J289" s="65" t="s">
        <v>224</v>
      </c>
      <c r="K289" s="57"/>
      <c r="L289" s="55"/>
    </row>
    <row r="290" spans="1:12" ht="12.75" customHeight="1" thickBot="1" x14ac:dyDescent="0.25">
      <c r="A290" s="60">
        <f t="shared" si="133"/>
        <v>0</v>
      </c>
      <c r="B290" s="60">
        <f t="shared" si="133"/>
        <v>0</v>
      </c>
      <c r="C290" s="60">
        <f t="shared" si="133"/>
        <v>0</v>
      </c>
      <c r="D290" s="60">
        <f t="shared" si="133"/>
        <v>0</v>
      </c>
      <c r="E290" s="60">
        <f t="shared" si="133"/>
        <v>0</v>
      </c>
      <c r="F290" s="60">
        <f t="shared" si="133"/>
        <v>0</v>
      </c>
      <c r="G290" s="60">
        <f t="shared" si="133"/>
        <v>0</v>
      </c>
      <c r="H290" s="60">
        <f t="shared" si="133"/>
        <v>0</v>
      </c>
      <c r="I290" s="60">
        <f t="shared" si="133"/>
        <v>0</v>
      </c>
      <c r="J290" s="65" t="s">
        <v>225</v>
      </c>
      <c r="K290" s="68" t="s">
        <v>211</v>
      </c>
      <c r="L290" s="55"/>
    </row>
    <row r="291" spans="1:12" ht="12.75" customHeight="1" thickBot="1" x14ac:dyDescent="0.25">
      <c r="A291" s="60">
        <f t="shared" si="133"/>
        <v>6522</v>
      </c>
      <c r="B291" s="60">
        <f t="shared" si="133"/>
        <v>0</v>
      </c>
      <c r="C291" s="60">
        <f t="shared" si="133"/>
        <v>6522</v>
      </c>
      <c r="D291" s="60">
        <f t="shared" si="133"/>
        <v>453</v>
      </c>
      <c r="E291" s="60">
        <f t="shared" si="133"/>
        <v>0</v>
      </c>
      <c r="F291" s="60">
        <f t="shared" si="133"/>
        <v>453</v>
      </c>
      <c r="G291" s="60">
        <f t="shared" si="133"/>
        <v>6069</v>
      </c>
      <c r="H291" s="60">
        <f t="shared" si="133"/>
        <v>0</v>
      </c>
      <c r="I291" s="60">
        <f t="shared" si="133"/>
        <v>6069</v>
      </c>
      <c r="J291" s="65" t="s">
        <v>13</v>
      </c>
      <c r="K291" s="59"/>
      <c r="L291" s="55"/>
    </row>
    <row r="292" spans="1:12" ht="12.75" customHeight="1" x14ac:dyDescent="0.2">
      <c r="A292" s="177" t="s">
        <v>560</v>
      </c>
      <c r="B292" s="177"/>
      <c r="C292" s="177"/>
      <c r="D292" s="177"/>
      <c r="E292" s="177"/>
      <c r="F292" s="177"/>
      <c r="G292" s="177"/>
      <c r="H292" s="177"/>
      <c r="I292" s="177"/>
      <c r="J292" s="177"/>
      <c r="K292" s="177"/>
      <c r="L292" s="55"/>
    </row>
    <row r="293" spans="1:12" ht="12.75" customHeight="1" thickBot="1" x14ac:dyDescent="0.25">
      <c r="A293" s="178" t="s">
        <v>561</v>
      </c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55"/>
    </row>
    <row r="294" spans="1:12" ht="12.75" customHeight="1" thickBot="1" x14ac:dyDescent="0.25">
      <c r="A294" s="179" t="s">
        <v>5</v>
      </c>
      <c r="B294" s="179"/>
      <c r="C294" s="179"/>
      <c r="D294" s="179" t="s">
        <v>162</v>
      </c>
      <c r="E294" s="179"/>
      <c r="F294" s="179"/>
      <c r="G294" s="179" t="s">
        <v>163</v>
      </c>
      <c r="H294" s="179"/>
      <c r="I294" s="179"/>
      <c r="J294" s="179" t="s">
        <v>72</v>
      </c>
      <c r="K294" s="179"/>
      <c r="L294" s="55"/>
    </row>
    <row r="295" spans="1:12" ht="12.75" customHeight="1" thickBot="1" x14ac:dyDescent="0.25">
      <c r="A295" s="58" t="s">
        <v>216</v>
      </c>
      <c r="B295" s="58" t="s">
        <v>11</v>
      </c>
      <c r="C295" s="58" t="s">
        <v>10</v>
      </c>
      <c r="D295" s="58" t="s">
        <v>216</v>
      </c>
      <c r="E295" s="58" t="s">
        <v>11</v>
      </c>
      <c r="F295" s="58" t="s">
        <v>10</v>
      </c>
      <c r="G295" s="58" t="s">
        <v>216</v>
      </c>
      <c r="H295" s="58" t="s">
        <v>11</v>
      </c>
      <c r="I295" s="58" t="s">
        <v>10</v>
      </c>
      <c r="J295" s="180" t="s">
        <v>80</v>
      </c>
      <c r="K295" s="180"/>
      <c r="L295" s="55"/>
    </row>
    <row r="296" spans="1:12" ht="12.75" customHeight="1" thickBot="1" x14ac:dyDescent="0.25">
      <c r="A296" s="60">
        <f>SUM(B296:C296)</f>
        <v>1237</v>
      </c>
      <c r="B296" s="60">
        <f>H296+E296</f>
        <v>0</v>
      </c>
      <c r="C296" s="60">
        <f>I296+F296</f>
        <v>1237</v>
      </c>
      <c r="D296" s="60">
        <f>SUM(E296:F296)</f>
        <v>0</v>
      </c>
      <c r="E296" s="60">
        <v>0</v>
      </c>
      <c r="F296" s="60">
        <v>0</v>
      </c>
      <c r="G296" s="60">
        <f>SUM(H296:I296)</f>
        <v>1237</v>
      </c>
      <c r="H296" s="60">
        <v>0</v>
      </c>
      <c r="I296" s="60">
        <f>957+280</f>
        <v>1237</v>
      </c>
      <c r="J296" s="65" t="s">
        <v>221</v>
      </c>
      <c r="K296" s="66"/>
      <c r="L296" s="55"/>
    </row>
    <row r="297" spans="1:12" ht="12.75" customHeight="1" thickBot="1" x14ac:dyDescent="0.25">
      <c r="A297" s="60">
        <f t="shared" ref="A297:A360" si="134">SUM(B297:C297)</f>
        <v>0</v>
      </c>
      <c r="B297" s="60">
        <f t="shared" ref="B297:C360" si="135">H297+E297</f>
        <v>0</v>
      </c>
      <c r="C297" s="60">
        <f t="shared" si="135"/>
        <v>0</v>
      </c>
      <c r="D297" s="60">
        <f t="shared" ref="D297:D360" si="136">SUM(E297:F297)</f>
        <v>0</v>
      </c>
      <c r="E297" s="60">
        <v>0</v>
      </c>
      <c r="F297" s="60">
        <v>0</v>
      </c>
      <c r="G297" s="60">
        <f t="shared" ref="G297:G360" si="137">SUM(H297:I297)</f>
        <v>0</v>
      </c>
      <c r="H297" s="60">
        <v>0</v>
      </c>
      <c r="I297" s="60">
        <v>0</v>
      </c>
      <c r="J297" s="65" t="s">
        <v>222</v>
      </c>
      <c r="K297" s="66" t="s">
        <v>558</v>
      </c>
      <c r="L297" s="55"/>
    </row>
    <row r="298" spans="1:12" ht="12.75" customHeight="1" thickBot="1" x14ac:dyDescent="0.25">
      <c r="A298" s="60">
        <f t="shared" ref="A298:H298" si="138">SUM(A296:A297)</f>
        <v>1237</v>
      </c>
      <c r="B298" s="60">
        <f t="shared" si="138"/>
        <v>0</v>
      </c>
      <c r="C298" s="60">
        <f t="shared" si="138"/>
        <v>1237</v>
      </c>
      <c r="D298" s="60">
        <f t="shared" si="138"/>
        <v>0</v>
      </c>
      <c r="E298" s="60">
        <f t="shared" si="138"/>
        <v>0</v>
      </c>
      <c r="F298" s="60">
        <f t="shared" si="138"/>
        <v>0</v>
      </c>
      <c r="G298" s="60">
        <f t="shared" si="138"/>
        <v>1237</v>
      </c>
      <c r="H298" s="60">
        <f t="shared" si="138"/>
        <v>0</v>
      </c>
      <c r="I298" s="60">
        <f>SUM(I296:I297)</f>
        <v>1237</v>
      </c>
      <c r="J298" s="65" t="s">
        <v>13</v>
      </c>
      <c r="K298" s="67"/>
      <c r="L298" s="55"/>
    </row>
    <row r="299" spans="1:12" ht="12.75" customHeight="1" thickBot="1" x14ac:dyDescent="0.25">
      <c r="A299" s="60">
        <f t="shared" si="134"/>
        <v>369</v>
      </c>
      <c r="B299" s="60">
        <f t="shared" si="135"/>
        <v>0</v>
      </c>
      <c r="C299" s="60">
        <f t="shared" si="135"/>
        <v>369</v>
      </c>
      <c r="D299" s="60">
        <f t="shared" si="136"/>
        <v>8</v>
      </c>
      <c r="E299" s="60">
        <v>0</v>
      </c>
      <c r="F299" s="60">
        <v>8</v>
      </c>
      <c r="G299" s="60">
        <f t="shared" si="137"/>
        <v>361</v>
      </c>
      <c r="H299" s="60">
        <v>0</v>
      </c>
      <c r="I299" s="60">
        <v>361</v>
      </c>
      <c r="J299" s="65" t="s">
        <v>221</v>
      </c>
      <c r="K299" s="66"/>
      <c r="L299" s="55"/>
    </row>
    <row r="300" spans="1:12" ht="12.75" customHeight="1" thickBot="1" x14ac:dyDescent="0.25">
      <c r="A300" s="60">
        <f t="shared" si="134"/>
        <v>0</v>
      </c>
      <c r="B300" s="60">
        <f t="shared" si="135"/>
        <v>0</v>
      </c>
      <c r="C300" s="60">
        <f t="shared" si="135"/>
        <v>0</v>
      </c>
      <c r="D300" s="60">
        <f t="shared" si="136"/>
        <v>0</v>
      </c>
      <c r="E300" s="60">
        <v>0</v>
      </c>
      <c r="F300" s="60">
        <v>0</v>
      </c>
      <c r="G300" s="60">
        <f t="shared" si="137"/>
        <v>0</v>
      </c>
      <c r="H300" s="60">
        <v>0</v>
      </c>
      <c r="I300" s="60">
        <v>0</v>
      </c>
      <c r="J300" s="65" t="s">
        <v>222</v>
      </c>
      <c r="K300" s="66" t="s">
        <v>393</v>
      </c>
      <c r="L300" s="55"/>
    </row>
    <row r="301" spans="1:12" ht="12.75" customHeight="1" thickBot="1" x14ac:dyDescent="0.25">
      <c r="A301" s="60">
        <f t="shared" ref="A301:H301" si="139">SUM(A299:A300)</f>
        <v>369</v>
      </c>
      <c r="B301" s="60">
        <f t="shared" si="139"/>
        <v>0</v>
      </c>
      <c r="C301" s="60">
        <f t="shared" si="139"/>
        <v>369</v>
      </c>
      <c r="D301" s="60">
        <f t="shared" si="139"/>
        <v>8</v>
      </c>
      <c r="E301" s="60">
        <f t="shared" si="139"/>
        <v>0</v>
      </c>
      <c r="F301" s="60">
        <f t="shared" si="139"/>
        <v>8</v>
      </c>
      <c r="G301" s="60">
        <f t="shared" si="139"/>
        <v>361</v>
      </c>
      <c r="H301" s="60">
        <f t="shared" si="139"/>
        <v>0</v>
      </c>
      <c r="I301" s="60">
        <f>SUM(I299:I300)</f>
        <v>361</v>
      </c>
      <c r="J301" s="65" t="s">
        <v>13</v>
      </c>
      <c r="K301" s="67"/>
      <c r="L301" s="55"/>
    </row>
    <row r="302" spans="1:12" ht="12.75" customHeight="1" thickBot="1" x14ac:dyDescent="0.25">
      <c r="A302" s="60">
        <f t="shared" si="134"/>
        <v>2382</v>
      </c>
      <c r="B302" s="60">
        <f t="shared" si="135"/>
        <v>1323</v>
      </c>
      <c r="C302" s="60">
        <f t="shared" si="135"/>
        <v>1059</v>
      </c>
      <c r="D302" s="60">
        <f t="shared" si="136"/>
        <v>18</v>
      </c>
      <c r="E302" s="60">
        <v>11</v>
      </c>
      <c r="F302" s="60">
        <v>7</v>
      </c>
      <c r="G302" s="60">
        <f t="shared" si="137"/>
        <v>2364</v>
      </c>
      <c r="H302" s="60">
        <v>1312</v>
      </c>
      <c r="I302" s="60">
        <f>793+259</f>
        <v>1052</v>
      </c>
      <c r="J302" s="65" t="s">
        <v>221</v>
      </c>
      <c r="K302" s="66"/>
      <c r="L302" s="55"/>
    </row>
    <row r="303" spans="1:12" ht="12.75" customHeight="1" thickBot="1" x14ac:dyDescent="0.25">
      <c r="A303" s="60">
        <f t="shared" si="134"/>
        <v>0</v>
      </c>
      <c r="B303" s="60">
        <f t="shared" si="135"/>
        <v>0</v>
      </c>
      <c r="C303" s="60">
        <f t="shared" si="135"/>
        <v>0</v>
      </c>
      <c r="D303" s="60">
        <f t="shared" si="136"/>
        <v>0</v>
      </c>
      <c r="E303" s="60">
        <v>0</v>
      </c>
      <c r="F303" s="60">
        <v>0</v>
      </c>
      <c r="G303" s="60">
        <f t="shared" si="137"/>
        <v>0</v>
      </c>
      <c r="H303" s="60">
        <v>0</v>
      </c>
      <c r="I303" s="60">
        <v>0</v>
      </c>
      <c r="J303" s="65" t="s">
        <v>222</v>
      </c>
      <c r="K303" s="66" t="s">
        <v>394</v>
      </c>
      <c r="L303" s="55"/>
    </row>
    <row r="304" spans="1:12" ht="12.75" customHeight="1" thickBot="1" x14ac:dyDescent="0.25">
      <c r="A304" s="60">
        <f t="shared" ref="A304:H304" si="140">SUM(A302:A303)</f>
        <v>2382</v>
      </c>
      <c r="B304" s="60">
        <f t="shared" si="140"/>
        <v>1323</v>
      </c>
      <c r="C304" s="60">
        <f t="shared" si="140"/>
        <v>1059</v>
      </c>
      <c r="D304" s="60">
        <f t="shared" si="140"/>
        <v>18</v>
      </c>
      <c r="E304" s="60">
        <f t="shared" si="140"/>
        <v>11</v>
      </c>
      <c r="F304" s="60">
        <f t="shared" si="140"/>
        <v>7</v>
      </c>
      <c r="G304" s="60">
        <f t="shared" si="140"/>
        <v>2364</v>
      </c>
      <c r="H304" s="60">
        <f t="shared" si="140"/>
        <v>1312</v>
      </c>
      <c r="I304" s="60">
        <f>SUM(I302:I303)</f>
        <v>1052</v>
      </c>
      <c r="J304" s="65" t="s">
        <v>13</v>
      </c>
      <c r="K304" s="67"/>
      <c r="L304" s="55"/>
    </row>
    <row r="305" spans="1:12" ht="12.75" customHeight="1" thickBot="1" x14ac:dyDescent="0.25">
      <c r="A305" s="60">
        <f t="shared" si="134"/>
        <v>1192</v>
      </c>
      <c r="B305" s="60">
        <f t="shared" si="135"/>
        <v>0</v>
      </c>
      <c r="C305" s="60">
        <f t="shared" si="135"/>
        <v>1192</v>
      </c>
      <c r="D305" s="60">
        <f t="shared" si="136"/>
        <v>42</v>
      </c>
      <c r="E305" s="60">
        <v>0</v>
      </c>
      <c r="F305" s="60">
        <v>42</v>
      </c>
      <c r="G305" s="60">
        <f t="shared" si="137"/>
        <v>1150</v>
      </c>
      <c r="H305" s="60">
        <v>0</v>
      </c>
      <c r="I305" s="60">
        <f>952+198</f>
        <v>1150</v>
      </c>
      <c r="J305" s="65" t="s">
        <v>221</v>
      </c>
      <c r="K305" s="66"/>
      <c r="L305" s="55"/>
    </row>
    <row r="306" spans="1:12" ht="12.75" customHeight="1" thickBot="1" x14ac:dyDescent="0.25">
      <c r="A306" s="60">
        <f t="shared" si="134"/>
        <v>0</v>
      </c>
      <c r="B306" s="60">
        <f t="shared" si="135"/>
        <v>0</v>
      </c>
      <c r="C306" s="60">
        <f t="shared" si="135"/>
        <v>0</v>
      </c>
      <c r="D306" s="60">
        <f t="shared" si="136"/>
        <v>0</v>
      </c>
      <c r="E306" s="60">
        <v>0</v>
      </c>
      <c r="F306" s="60">
        <v>0</v>
      </c>
      <c r="G306" s="60">
        <f t="shared" si="137"/>
        <v>0</v>
      </c>
      <c r="H306" s="60">
        <v>0</v>
      </c>
      <c r="I306" s="60">
        <v>0</v>
      </c>
      <c r="J306" s="65" t="s">
        <v>222</v>
      </c>
      <c r="K306" s="66" t="s">
        <v>395</v>
      </c>
      <c r="L306" s="55"/>
    </row>
    <row r="307" spans="1:12" ht="12.75" customHeight="1" thickBot="1" x14ac:dyDescent="0.25">
      <c r="A307" s="60">
        <f t="shared" ref="A307:H307" si="141">SUM(A305:A306)</f>
        <v>1192</v>
      </c>
      <c r="B307" s="60">
        <f t="shared" si="141"/>
        <v>0</v>
      </c>
      <c r="C307" s="60">
        <f t="shared" si="141"/>
        <v>1192</v>
      </c>
      <c r="D307" s="60">
        <f t="shared" si="141"/>
        <v>42</v>
      </c>
      <c r="E307" s="60">
        <f t="shared" si="141"/>
        <v>0</v>
      </c>
      <c r="F307" s="60">
        <f t="shared" si="141"/>
        <v>42</v>
      </c>
      <c r="G307" s="60">
        <f t="shared" si="141"/>
        <v>1150</v>
      </c>
      <c r="H307" s="60">
        <f t="shared" si="141"/>
        <v>0</v>
      </c>
      <c r="I307" s="60">
        <f>SUM(I305:I306)</f>
        <v>1150</v>
      </c>
      <c r="J307" s="65" t="s">
        <v>13</v>
      </c>
      <c r="K307" s="67"/>
      <c r="L307" s="55"/>
    </row>
    <row r="308" spans="1:12" ht="12.75" customHeight="1" thickBot="1" x14ac:dyDescent="0.25">
      <c r="A308" s="60">
        <f t="shared" si="134"/>
        <v>3903</v>
      </c>
      <c r="B308" s="60">
        <f t="shared" si="135"/>
        <v>2438</v>
      </c>
      <c r="C308" s="60">
        <f t="shared" si="135"/>
        <v>1465</v>
      </c>
      <c r="D308" s="60">
        <f t="shared" si="136"/>
        <v>27</v>
      </c>
      <c r="E308" s="60">
        <v>25</v>
      </c>
      <c r="F308" s="60">
        <v>2</v>
      </c>
      <c r="G308" s="60">
        <f t="shared" si="137"/>
        <v>3876</v>
      </c>
      <c r="H308" s="60">
        <v>2413</v>
      </c>
      <c r="I308" s="60">
        <f>1096+367</f>
        <v>1463</v>
      </c>
      <c r="J308" s="65" t="s">
        <v>221</v>
      </c>
      <c r="K308" s="66"/>
      <c r="L308" s="55"/>
    </row>
    <row r="309" spans="1:12" ht="12.75" customHeight="1" thickBot="1" x14ac:dyDescent="0.25">
      <c r="A309" s="60">
        <f t="shared" si="134"/>
        <v>0</v>
      </c>
      <c r="B309" s="60">
        <f t="shared" si="135"/>
        <v>0</v>
      </c>
      <c r="C309" s="60">
        <f t="shared" si="135"/>
        <v>0</v>
      </c>
      <c r="D309" s="60">
        <f t="shared" si="136"/>
        <v>0</v>
      </c>
      <c r="E309" s="60">
        <v>0</v>
      </c>
      <c r="F309" s="60">
        <v>0</v>
      </c>
      <c r="G309" s="60">
        <f t="shared" si="137"/>
        <v>0</v>
      </c>
      <c r="H309" s="60">
        <v>0</v>
      </c>
      <c r="I309" s="60">
        <v>0</v>
      </c>
      <c r="J309" s="65" t="s">
        <v>222</v>
      </c>
      <c r="K309" s="66" t="s">
        <v>396</v>
      </c>
      <c r="L309" s="55"/>
    </row>
    <row r="310" spans="1:12" ht="12.75" customHeight="1" thickBot="1" x14ac:dyDescent="0.25">
      <c r="A310" s="60">
        <f t="shared" ref="A310:H310" si="142">SUM(A308:A309)</f>
        <v>3903</v>
      </c>
      <c r="B310" s="60">
        <f t="shared" si="142"/>
        <v>2438</v>
      </c>
      <c r="C310" s="60">
        <f t="shared" si="142"/>
        <v>1465</v>
      </c>
      <c r="D310" s="60">
        <f t="shared" si="142"/>
        <v>27</v>
      </c>
      <c r="E310" s="60">
        <f t="shared" si="142"/>
        <v>25</v>
      </c>
      <c r="F310" s="60">
        <f t="shared" si="142"/>
        <v>2</v>
      </c>
      <c r="G310" s="60">
        <f t="shared" si="142"/>
        <v>3876</v>
      </c>
      <c r="H310" s="60">
        <f t="shared" si="142"/>
        <v>2413</v>
      </c>
      <c r="I310" s="60">
        <f>SUM(I308:I309)</f>
        <v>1463</v>
      </c>
      <c r="J310" s="65" t="s">
        <v>13</v>
      </c>
      <c r="K310" s="67"/>
      <c r="L310" s="55"/>
    </row>
    <row r="311" spans="1:12" ht="12.75" customHeight="1" thickBot="1" x14ac:dyDescent="0.25">
      <c r="A311" s="60">
        <f t="shared" si="134"/>
        <v>1951</v>
      </c>
      <c r="B311" s="60">
        <f t="shared" si="135"/>
        <v>777</v>
      </c>
      <c r="C311" s="60">
        <f t="shared" si="135"/>
        <v>1174</v>
      </c>
      <c r="D311" s="60">
        <f t="shared" si="136"/>
        <v>29</v>
      </c>
      <c r="E311" s="60">
        <v>21</v>
      </c>
      <c r="F311" s="60">
        <v>8</v>
      </c>
      <c r="G311" s="60">
        <f t="shared" si="137"/>
        <v>1922</v>
      </c>
      <c r="H311" s="60">
        <v>756</v>
      </c>
      <c r="I311" s="60">
        <v>1166</v>
      </c>
      <c r="J311" s="65" t="s">
        <v>221</v>
      </c>
      <c r="K311" s="66"/>
      <c r="L311" s="55"/>
    </row>
    <row r="312" spans="1:12" ht="12.75" customHeight="1" thickBot="1" x14ac:dyDescent="0.25">
      <c r="A312" s="60">
        <f t="shared" si="134"/>
        <v>0</v>
      </c>
      <c r="B312" s="60">
        <f t="shared" si="135"/>
        <v>0</v>
      </c>
      <c r="C312" s="60">
        <f t="shared" si="135"/>
        <v>0</v>
      </c>
      <c r="D312" s="60">
        <f t="shared" si="136"/>
        <v>0</v>
      </c>
      <c r="E312" s="60">
        <v>0</v>
      </c>
      <c r="F312" s="60">
        <v>0</v>
      </c>
      <c r="G312" s="60">
        <f t="shared" si="137"/>
        <v>0</v>
      </c>
      <c r="H312" s="60">
        <v>0</v>
      </c>
      <c r="I312" s="60">
        <v>0</v>
      </c>
      <c r="J312" s="65" t="s">
        <v>222</v>
      </c>
      <c r="K312" s="66" t="s">
        <v>397</v>
      </c>
      <c r="L312" s="55"/>
    </row>
    <row r="313" spans="1:12" ht="12.75" customHeight="1" thickBot="1" x14ac:dyDescent="0.25">
      <c r="A313" s="60">
        <f t="shared" ref="A313:H313" si="143">SUM(A311:A312)</f>
        <v>1951</v>
      </c>
      <c r="B313" s="60">
        <f t="shared" si="143"/>
        <v>777</v>
      </c>
      <c r="C313" s="60">
        <f t="shared" si="143"/>
        <v>1174</v>
      </c>
      <c r="D313" s="60">
        <f t="shared" si="143"/>
        <v>29</v>
      </c>
      <c r="E313" s="60">
        <f t="shared" si="143"/>
        <v>21</v>
      </c>
      <c r="F313" s="60">
        <f t="shared" si="143"/>
        <v>8</v>
      </c>
      <c r="G313" s="60">
        <f t="shared" si="143"/>
        <v>1922</v>
      </c>
      <c r="H313" s="60">
        <f t="shared" si="143"/>
        <v>756</v>
      </c>
      <c r="I313" s="60">
        <f>SUM(I311:I312)</f>
        <v>1166</v>
      </c>
      <c r="J313" s="65" t="s">
        <v>13</v>
      </c>
      <c r="K313" s="67"/>
      <c r="L313" s="55"/>
    </row>
    <row r="314" spans="1:12" ht="12.75" customHeight="1" thickBot="1" x14ac:dyDescent="0.25">
      <c r="A314" s="60">
        <f t="shared" si="134"/>
        <v>567</v>
      </c>
      <c r="B314" s="60">
        <f t="shared" si="135"/>
        <v>147</v>
      </c>
      <c r="C314" s="60">
        <f t="shared" si="135"/>
        <v>420</v>
      </c>
      <c r="D314" s="60">
        <f t="shared" si="136"/>
        <v>0</v>
      </c>
      <c r="E314" s="60">
        <v>0</v>
      </c>
      <c r="F314" s="60">
        <v>0</v>
      </c>
      <c r="G314" s="60">
        <f t="shared" si="137"/>
        <v>567</v>
      </c>
      <c r="H314" s="60">
        <v>147</v>
      </c>
      <c r="I314" s="60">
        <v>420</v>
      </c>
      <c r="J314" s="65" t="s">
        <v>221</v>
      </c>
      <c r="K314" s="66"/>
      <c r="L314" s="55"/>
    </row>
    <row r="315" spans="1:12" ht="12.75" customHeight="1" thickBot="1" x14ac:dyDescent="0.25">
      <c r="A315" s="60">
        <f t="shared" si="134"/>
        <v>0</v>
      </c>
      <c r="B315" s="60">
        <f t="shared" si="135"/>
        <v>0</v>
      </c>
      <c r="C315" s="60">
        <f t="shared" si="135"/>
        <v>0</v>
      </c>
      <c r="D315" s="60">
        <f t="shared" si="136"/>
        <v>0</v>
      </c>
      <c r="E315" s="60">
        <v>0</v>
      </c>
      <c r="F315" s="60">
        <v>0</v>
      </c>
      <c r="G315" s="60">
        <f t="shared" si="137"/>
        <v>0</v>
      </c>
      <c r="H315" s="60">
        <v>0</v>
      </c>
      <c r="I315" s="60">
        <v>0</v>
      </c>
      <c r="J315" s="65" t="s">
        <v>222</v>
      </c>
      <c r="K315" s="66" t="s">
        <v>398</v>
      </c>
      <c r="L315" s="55"/>
    </row>
    <row r="316" spans="1:12" ht="12.75" customHeight="1" thickBot="1" x14ac:dyDescent="0.25">
      <c r="A316" s="60">
        <f t="shared" ref="A316:H316" si="144">SUM(A314:A315)</f>
        <v>567</v>
      </c>
      <c r="B316" s="60">
        <f t="shared" si="144"/>
        <v>147</v>
      </c>
      <c r="C316" s="60">
        <f t="shared" si="144"/>
        <v>420</v>
      </c>
      <c r="D316" s="60">
        <f t="shared" si="144"/>
        <v>0</v>
      </c>
      <c r="E316" s="60">
        <f t="shared" si="144"/>
        <v>0</v>
      </c>
      <c r="F316" s="60">
        <f t="shared" si="144"/>
        <v>0</v>
      </c>
      <c r="G316" s="60">
        <f t="shared" si="144"/>
        <v>567</v>
      </c>
      <c r="H316" s="60">
        <f t="shared" si="144"/>
        <v>147</v>
      </c>
      <c r="I316" s="60">
        <f>SUM(I314:I315)</f>
        <v>420</v>
      </c>
      <c r="J316" s="65" t="s">
        <v>13</v>
      </c>
      <c r="K316" s="67"/>
      <c r="L316" s="55"/>
    </row>
    <row r="317" spans="1:12" ht="12.75" customHeight="1" thickBot="1" x14ac:dyDescent="0.25">
      <c r="A317" s="60">
        <f t="shared" si="134"/>
        <v>1905</v>
      </c>
      <c r="B317" s="60">
        <f t="shared" si="135"/>
        <v>1102</v>
      </c>
      <c r="C317" s="60">
        <f t="shared" si="135"/>
        <v>803</v>
      </c>
      <c r="D317" s="60">
        <f t="shared" si="136"/>
        <v>21</v>
      </c>
      <c r="E317" s="60">
        <v>17</v>
      </c>
      <c r="F317" s="60">
        <v>4</v>
      </c>
      <c r="G317" s="60">
        <f t="shared" si="137"/>
        <v>1884</v>
      </c>
      <c r="H317" s="60">
        <v>1085</v>
      </c>
      <c r="I317" s="60">
        <f>697+102</f>
        <v>799</v>
      </c>
      <c r="J317" s="65" t="s">
        <v>221</v>
      </c>
      <c r="K317" s="66"/>
      <c r="L317" s="55"/>
    </row>
    <row r="318" spans="1:12" ht="12.75" customHeight="1" thickBot="1" x14ac:dyDescent="0.25">
      <c r="A318" s="60">
        <f t="shared" si="134"/>
        <v>0</v>
      </c>
      <c r="B318" s="60">
        <f t="shared" si="135"/>
        <v>0</v>
      </c>
      <c r="C318" s="60">
        <f t="shared" si="135"/>
        <v>0</v>
      </c>
      <c r="D318" s="60">
        <f t="shared" si="136"/>
        <v>0</v>
      </c>
      <c r="E318" s="60">
        <v>0</v>
      </c>
      <c r="F318" s="60">
        <v>0</v>
      </c>
      <c r="G318" s="60">
        <f t="shared" si="137"/>
        <v>0</v>
      </c>
      <c r="H318" s="60">
        <v>0</v>
      </c>
      <c r="I318" s="60">
        <v>0</v>
      </c>
      <c r="J318" s="65" t="s">
        <v>222</v>
      </c>
      <c r="K318" s="66" t="s">
        <v>399</v>
      </c>
      <c r="L318" s="55"/>
    </row>
    <row r="319" spans="1:12" ht="12.75" customHeight="1" thickBot="1" x14ac:dyDescent="0.25">
      <c r="A319" s="60">
        <f t="shared" ref="A319:H319" si="145">SUM(A317:A318)</f>
        <v>1905</v>
      </c>
      <c r="B319" s="60">
        <f t="shared" si="145"/>
        <v>1102</v>
      </c>
      <c r="C319" s="60">
        <f t="shared" si="145"/>
        <v>803</v>
      </c>
      <c r="D319" s="60">
        <f t="shared" si="145"/>
        <v>21</v>
      </c>
      <c r="E319" s="60">
        <f t="shared" si="145"/>
        <v>17</v>
      </c>
      <c r="F319" s="60">
        <f t="shared" si="145"/>
        <v>4</v>
      </c>
      <c r="G319" s="60">
        <f t="shared" si="145"/>
        <v>1884</v>
      </c>
      <c r="H319" s="60">
        <f t="shared" si="145"/>
        <v>1085</v>
      </c>
      <c r="I319" s="60">
        <f>SUM(I317:I318)</f>
        <v>799</v>
      </c>
      <c r="J319" s="65" t="s">
        <v>13</v>
      </c>
      <c r="K319" s="67"/>
      <c r="L319" s="55"/>
    </row>
    <row r="320" spans="1:12" ht="12.75" customHeight="1" thickBot="1" x14ac:dyDescent="0.25">
      <c r="A320" s="60">
        <f t="shared" si="134"/>
        <v>631</v>
      </c>
      <c r="B320" s="60">
        <f t="shared" si="135"/>
        <v>0</v>
      </c>
      <c r="C320" s="60">
        <f t="shared" si="135"/>
        <v>631</v>
      </c>
      <c r="D320" s="60">
        <f t="shared" si="136"/>
        <v>4</v>
      </c>
      <c r="E320" s="60">
        <v>0</v>
      </c>
      <c r="F320" s="60">
        <v>4</v>
      </c>
      <c r="G320" s="60">
        <f t="shared" si="137"/>
        <v>627</v>
      </c>
      <c r="H320" s="60">
        <v>0</v>
      </c>
      <c r="I320" s="60">
        <f>318+309</f>
        <v>627</v>
      </c>
      <c r="J320" s="65" t="s">
        <v>221</v>
      </c>
      <c r="K320" s="66"/>
      <c r="L320" s="55"/>
    </row>
    <row r="321" spans="1:12" ht="12.75" customHeight="1" thickBot="1" x14ac:dyDescent="0.25">
      <c r="A321" s="60">
        <f t="shared" si="134"/>
        <v>0</v>
      </c>
      <c r="B321" s="60">
        <f t="shared" si="135"/>
        <v>0</v>
      </c>
      <c r="C321" s="60">
        <f t="shared" si="135"/>
        <v>0</v>
      </c>
      <c r="D321" s="60">
        <f t="shared" si="136"/>
        <v>0</v>
      </c>
      <c r="E321" s="60">
        <v>0</v>
      </c>
      <c r="F321" s="60">
        <v>0</v>
      </c>
      <c r="G321" s="60">
        <f t="shared" si="137"/>
        <v>0</v>
      </c>
      <c r="H321" s="60">
        <v>0</v>
      </c>
      <c r="I321" s="60">
        <v>0</v>
      </c>
      <c r="J321" s="65" t="s">
        <v>222</v>
      </c>
      <c r="K321" s="66" t="s">
        <v>400</v>
      </c>
      <c r="L321" s="55"/>
    </row>
    <row r="322" spans="1:12" ht="12.75" customHeight="1" thickBot="1" x14ac:dyDescent="0.25">
      <c r="A322" s="60">
        <f t="shared" ref="A322:H322" si="146">SUM(A320:A321)</f>
        <v>631</v>
      </c>
      <c r="B322" s="60">
        <f t="shared" si="146"/>
        <v>0</v>
      </c>
      <c r="C322" s="60">
        <f t="shared" si="146"/>
        <v>631</v>
      </c>
      <c r="D322" s="60">
        <f t="shared" si="146"/>
        <v>4</v>
      </c>
      <c r="E322" s="60">
        <f t="shared" si="146"/>
        <v>0</v>
      </c>
      <c r="F322" s="60">
        <f t="shared" si="146"/>
        <v>4</v>
      </c>
      <c r="G322" s="60">
        <f t="shared" si="146"/>
        <v>627</v>
      </c>
      <c r="H322" s="60">
        <f t="shared" si="146"/>
        <v>0</v>
      </c>
      <c r="I322" s="60">
        <f>SUM(I320:I321)</f>
        <v>627</v>
      </c>
      <c r="J322" s="65" t="s">
        <v>13</v>
      </c>
      <c r="K322" s="67"/>
      <c r="L322" s="55"/>
    </row>
    <row r="323" spans="1:12" ht="12.75" customHeight="1" thickBot="1" x14ac:dyDescent="0.25">
      <c r="A323" s="60">
        <f t="shared" si="134"/>
        <v>914</v>
      </c>
      <c r="B323" s="60">
        <f t="shared" si="135"/>
        <v>170</v>
      </c>
      <c r="C323" s="60">
        <f t="shared" si="135"/>
        <v>744</v>
      </c>
      <c r="D323" s="60">
        <f t="shared" si="136"/>
        <v>20</v>
      </c>
      <c r="E323" s="60">
        <v>3</v>
      </c>
      <c r="F323" s="60">
        <v>17</v>
      </c>
      <c r="G323" s="60">
        <f t="shared" si="137"/>
        <v>894</v>
      </c>
      <c r="H323" s="60">
        <v>167</v>
      </c>
      <c r="I323" s="60">
        <v>727</v>
      </c>
      <c r="J323" s="65" t="s">
        <v>221</v>
      </c>
      <c r="K323" s="66"/>
      <c r="L323" s="55"/>
    </row>
    <row r="324" spans="1:12" ht="12.75" customHeight="1" thickBot="1" x14ac:dyDescent="0.25">
      <c r="A324" s="60">
        <f t="shared" si="134"/>
        <v>0</v>
      </c>
      <c r="B324" s="60">
        <f t="shared" si="135"/>
        <v>0</v>
      </c>
      <c r="C324" s="60">
        <f t="shared" si="135"/>
        <v>0</v>
      </c>
      <c r="D324" s="60">
        <f t="shared" si="136"/>
        <v>0</v>
      </c>
      <c r="E324" s="60">
        <v>0</v>
      </c>
      <c r="F324" s="60">
        <v>0</v>
      </c>
      <c r="G324" s="60">
        <f t="shared" si="137"/>
        <v>0</v>
      </c>
      <c r="H324" s="60">
        <v>0</v>
      </c>
      <c r="I324" s="60">
        <v>0</v>
      </c>
      <c r="J324" s="65" t="s">
        <v>222</v>
      </c>
      <c r="K324" s="66" t="s">
        <v>401</v>
      </c>
      <c r="L324" s="55"/>
    </row>
    <row r="325" spans="1:12" ht="12.75" customHeight="1" thickBot="1" x14ac:dyDescent="0.25">
      <c r="A325" s="60">
        <f t="shared" ref="A325:H325" si="147">SUM(A323:A324)</f>
        <v>914</v>
      </c>
      <c r="B325" s="60">
        <f t="shared" si="147"/>
        <v>170</v>
      </c>
      <c r="C325" s="60">
        <f t="shared" si="147"/>
        <v>744</v>
      </c>
      <c r="D325" s="60">
        <f t="shared" si="147"/>
        <v>20</v>
      </c>
      <c r="E325" s="60">
        <f t="shared" si="147"/>
        <v>3</v>
      </c>
      <c r="F325" s="60">
        <f t="shared" si="147"/>
        <v>17</v>
      </c>
      <c r="G325" s="60">
        <f t="shared" si="147"/>
        <v>894</v>
      </c>
      <c r="H325" s="60">
        <f t="shared" si="147"/>
        <v>167</v>
      </c>
      <c r="I325" s="60">
        <f>SUM(I323:I324)</f>
        <v>727</v>
      </c>
      <c r="J325" s="65" t="s">
        <v>13</v>
      </c>
      <c r="K325" s="67"/>
      <c r="L325" s="55"/>
    </row>
    <row r="326" spans="1:12" ht="12.75" customHeight="1" thickBot="1" x14ac:dyDescent="0.25">
      <c r="A326" s="60">
        <f t="shared" si="134"/>
        <v>1172</v>
      </c>
      <c r="B326" s="60">
        <f t="shared" si="135"/>
        <v>501</v>
      </c>
      <c r="C326" s="60">
        <f t="shared" si="135"/>
        <v>671</v>
      </c>
      <c r="D326" s="60">
        <f t="shared" si="136"/>
        <v>19</v>
      </c>
      <c r="E326" s="60">
        <v>14</v>
      </c>
      <c r="F326" s="60">
        <v>5</v>
      </c>
      <c r="G326" s="60">
        <f t="shared" si="137"/>
        <v>1153</v>
      </c>
      <c r="H326" s="60">
        <v>487</v>
      </c>
      <c r="I326" s="60">
        <v>666</v>
      </c>
      <c r="J326" s="65" t="s">
        <v>221</v>
      </c>
      <c r="K326" s="66"/>
      <c r="L326" s="55"/>
    </row>
    <row r="327" spans="1:12" ht="12.75" customHeight="1" thickBot="1" x14ac:dyDescent="0.25">
      <c r="A327" s="60">
        <f t="shared" si="134"/>
        <v>0</v>
      </c>
      <c r="B327" s="60">
        <f t="shared" si="135"/>
        <v>0</v>
      </c>
      <c r="C327" s="60">
        <f t="shared" si="135"/>
        <v>0</v>
      </c>
      <c r="D327" s="60">
        <f t="shared" si="136"/>
        <v>0</v>
      </c>
      <c r="E327" s="60">
        <v>0</v>
      </c>
      <c r="F327" s="60">
        <v>0</v>
      </c>
      <c r="G327" s="60">
        <f t="shared" si="137"/>
        <v>0</v>
      </c>
      <c r="H327" s="60">
        <v>0</v>
      </c>
      <c r="I327" s="60">
        <v>0</v>
      </c>
      <c r="J327" s="65" t="s">
        <v>222</v>
      </c>
      <c r="K327" s="66" t="s">
        <v>402</v>
      </c>
      <c r="L327" s="55"/>
    </row>
    <row r="328" spans="1:12" ht="12.75" customHeight="1" thickBot="1" x14ac:dyDescent="0.25">
      <c r="A328" s="60">
        <f t="shared" ref="A328:H328" si="148">SUM(A326:A327)</f>
        <v>1172</v>
      </c>
      <c r="B328" s="60">
        <f t="shared" si="148"/>
        <v>501</v>
      </c>
      <c r="C328" s="60">
        <f t="shared" si="148"/>
        <v>671</v>
      </c>
      <c r="D328" s="60">
        <f t="shared" si="148"/>
        <v>19</v>
      </c>
      <c r="E328" s="60">
        <f t="shared" si="148"/>
        <v>14</v>
      </c>
      <c r="F328" s="60">
        <f t="shared" si="148"/>
        <v>5</v>
      </c>
      <c r="G328" s="60">
        <f t="shared" si="148"/>
        <v>1153</v>
      </c>
      <c r="H328" s="60">
        <f t="shared" si="148"/>
        <v>487</v>
      </c>
      <c r="I328" s="60">
        <f>SUM(I326:I327)</f>
        <v>666</v>
      </c>
      <c r="J328" s="65" t="s">
        <v>13</v>
      </c>
      <c r="K328" s="67"/>
      <c r="L328" s="55"/>
    </row>
    <row r="329" spans="1:12" ht="12.75" customHeight="1" thickBot="1" x14ac:dyDescent="0.25">
      <c r="A329" s="60">
        <f t="shared" si="134"/>
        <v>166</v>
      </c>
      <c r="B329" s="60">
        <f t="shared" si="135"/>
        <v>0</v>
      </c>
      <c r="C329" s="60">
        <f t="shared" si="135"/>
        <v>166</v>
      </c>
      <c r="D329" s="60">
        <f t="shared" si="136"/>
        <v>0</v>
      </c>
      <c r="E329" s="60">
        <v>0</v>
      </c>
      <c r="F329" s="60">
        <v>0</v>
      </c>
      <c r="G329" s="60">
        <f t="shared" si="137"/>
        <v>166</v>
      </c>
      <c r="H329" s="60">
        <v>0</v>
      </c>
      <c r="I329" s="60">
        <v>166</v>
      </c>
      <c r="J329" s="65" t="s">
        <v>221</v>
      </c>
      <c r="K329" s="66"/>
      <c r="L329" s="55"/>
    </row>
    <row r="330" spans="1:12" ht="12.75" customHeight="1" thickBot="1" x14ac:dyDescent="0.25">
      <c r="A330" s="60">
        <f t="shared" si="134"/>
        <v>0</v>
      </c>
      <c r="B330" s="60">
        <f t="shared" si="135"/>
        <v>0</v>
      </c>
      <c r="C330" s="60">
        <f t="shared" si="135"/>
        <v>0</v>
      </c>
      <c r="D330" s="60">
        <f t="shared" si="136"/>
        <v>0</v>
      </c>
      <c r="E330" s="60">
        <v>0</v>
      </c>
      <c r="F330" s="60">
        <v>0</v>
      </c>
      <c r="G330" s="60">
        <f t="shared" si="137"/>
        <v>0</v>
      </c>
      <c r="H330" s="60">
        <v>0</v>
      </c>
      <c r="I330" s="60">
        <v>0</v>
      </c>
      <c r="J330" s="65" t="s">
        <v>222</v>
      </c>
      <c r="K330" s="66" t="s">
        <v>403</v>
      </c>
      <c r="L330" s="55"/>
    </row>
    <row r="331" spans="1:12" ht="12.75" customHeight="1" thickBot="1" x14ac:dyDescent="0.25">
      <c r="A331" s="60">
        <f t="shared" ref="A331:H331" si="149">SUM(A329:A330)</f>
        <v>166</v>
      </c>
      <c r="B331" s="60">
        <f t="shared" si="149"/>
        <v>0</v>
      </c>
      <c r="C331" s="60">
        <f t="shared" si="149"/>
        <v>166</v>
      </c>
      <c r="D331" s="60">
        <f t="shared" si="149"/>
        <v>0</v>
      </c>
      <c r="E331" s="60">
        <f t="shared" si="149"/>
        <v>0</v>
      </c>
      <c r="F331" s="60">
        <f t="shared" si="149"/>
        <v>0</v>
      </c>
      <c r="G331" s="60">
        <f t="shared" si="149"/>
        <v>166</v>
      </c>
      <c r="H331" s="60">
        <f t="shared" si="149"/>
        <v>0</v>
      </c>
      <c r="I331" s="60">
        <f>SUM(I329:I330)</f>
        <v>166</v>
      </c>
      <c r="J331" s="65" t="s">
        <v>13</v>
      </c>
      <c r="K331" s="67"/>
      <c r="L331" s="55"/>
    </row>
    <row r="332" spans="1:12" ht="12.75" customHeight="1" thickBot="1" x14ac:dyDescent="0.25">
      <c r="A332" s="60">
        <f t="shared" si="134"/>
        <v>1022</v>
      </c>
      <c r="B332" s="60">
        <f t="shared" si="135"/>
        <v>461</v>
      </c>
      <c r="C332" s="60">
        <f t="shared" si="135"/>
        <v>561</v>
      </c>
      <c r="D332" s="60">
        <f t="shared" si="136"/>
        <v>4</v>
      </c>
      <c r="E332" s="60">
        <v>4</v>
      </c>
      <c r="F332" s="60">
        <v>0</v>
      </c>
      <c r="G332" s="60">
        <f t="shared" si="137"/>
        <v>1018</v>
      </c>
      <c r="H332" s="60">
        <v>457</v>
      </c>
      <c r="I332" s="60">
        <f>324+237</f>
        <v>561</v>
      </c>
      <c r="J332" s="65" t="s">
        <v>221</v>
      </c>
      <c r="K332" s="66"/>
      <c r="L332" s="55"/>
    </row>
    <row r="333" spans="1:12" ht="12.75" customHeight="1" thickBot="1" x14ac:dyDescent="0.25">
      <c r="A333" s="60">
        <f t="shared" si="134"/>
        <v>0</v>
      </c>
      <c r="B333" s="60">
        <f t="shared" si="135"/>
        <v>0</v>
      </c>
      <c r="C333" s="60">
        <f t="shared" si="135"/>
        <v>0</v>
      </c>
      <c r="D333" s="60">
        <f t="shared" si="136"/>
        <v>0</v>
      </c>
      <c r="E333" s="60">
        <v>0</v>
      </c>
      <c r="F333" s="60">
        <v>0</v>
      </c>
      <c r="G333" s="60">
        <f t="shared" si="137"/>
        <v>0</v>
      </c>
      <c r="H333" s="60">
        <v>0</v>
      </c>
      <c r="I333" s="60">
        <v>0</v>
      </c>
      <c r="J333" s="65" t="s">
        <v>222</v>
      </c>
      <c r="K333" s="66" t="s">
        <v>404</v>
      </c>
      <c r="L333" s="55"/>
    </row>
    <row r="334" spans="1:12" ht="12.75" customHeight="1" thickBot="1" x14ac:dyDescent="0.25">
      <c r="A334" s="60">
        <f t="shared" ref="A334:H334" si="150">SUM(A332:A333)</f>
        <v>1022</v>
      </c>
      <c r="B334" s="60">
        <f t="shared" si="150"/>
        <v>461</v>
      </c>
      <c r="C334" s="60">
        <f t="shared" si="150"/>
        <v>561</v>
      </c>
      <c r="D334" s="60">
        <f t="shared" si="150"/>
        <v>4</v>
      </c>
      <c r="E334" s="60">
        <f t="shared" si="150"/>
        <v>4</v>
      </c>
      <c r="F334" s="60">
        <f t="shared" si="150"/>
        <v>0</v>
      </c>
      <c r="G334" s="60">
        <f t="shared" si="150"/>
        <v>1018</v>
      </c>
      <c r="H334" s="60">
        <f t="shared" si="150"/>
        <v>457</v>
      </c>
      <c r="I334" s="60">
        <f>SUM(I332:I333)</f>
        <v>561</v>
      </c>
      <c r="J334" s="65" t="s">
        <v>13</v>
      </c>
      <c r="K334" s="67"/>
      <c r="L334" s="55"/>
    </row>
    <row r="335" spans="1:12" ht="12.75" customHeight="1" thickBot="1" x14ac:dyDescent="0.25">
      <c r="A335" s="60">
        <f t="shared" si="134"/>
        <v>366</v>
      </c>
      <c r="B335" s="60">
        <f t="shared" si="135"/>
        <v>366</v>
      </c>
      <c r="C335" s="60">
        <f t="shared" si="135"/>
        <v>0</v>
      </c>
      <c r="D335" s="60">
        <f t="shared" si="136"/>
        <v>2</v>
      </c>
      <c r="E335" s="60">
        <v>2</v>
      </c>
      <c r="F335" s="60">
        <v>0</v>
      </c>
      <c r="G335" s="60">
        <f t="shared" si="137"/>
        <v>364</v>
      </c>
      <c r="H335" s="60">
        <v>364</v>
      </c>
      <c r="I335" s="60">
        <v>0</v>
      </c>
      <c r="J335" s="65" t="s">
        <v>221</v>
      </c>
      <c r="K335" s="66"/>
      <c r="L335" s="55"/>
    </row>
    <row r="336" spans="1:12" ht="12.75" customHeight="1" thickBot="1" x14ac:dyDescent="0.25">
      <c r="A336" s="60">
        <f t="shared" si="134"/>
        <v>0</v>
      </c>
      <c r="B336" s="60">
        <f t="shared" si="135"/>
        <v>0</v>
      </c>
      <c r="C336" s="60">
        <f t="shared" si="135"/>
        <v>0</v>
      </c>
      <c r="D336" s="60">
        <f t="shared" si="136"/>
        <v>0</v>
      </c>
      <c r="E336" s="60">
        <v>0</v>
      </c>
      <c r="F336" s="60">
        <v>0</v>
      </c>
      <c r="G336" s="60">
        <f t="shared" si="137"/>
        <v>0</v>
      </c>
      <c r="H336" s="60">
        <v>0</v>
      </c>
      <c r="I336" s="60">
        <v>0</v>
      </c>
      <c r="J336" s="65" t="s">
        <v>222</v>
      </c>
      <c r="K336" s="66" t="s">
        <v>405</v>
      </c>
      <c r="L336" s="55"/>
    </row>
    <row r="337" spans="1:12" ht="12.75" customHeight="1" thickBot="1" x14ac:dyDescent="0.25">
      <c r="A337" s="60">
        <f t="shared" ref="A337:H337" si="151">SUM(A335:A336)</f>
        <v>366</v>
      </c>
      <c r="B337" s="60">
        <f t="shared" si="151"/>
        <v>366</v>
      </c>
      <c r="C337" s="60">
        <f t="shared" si="151"/>
        <v>0</v>
      </c>
      <c r="D337" s="60">
        <f t="shared" si="151"/>
        <v>2</v>
      </c>
      <c r="E337" s="60">
        <f t="shared" si="151"/>
        <v>2</v>
      </c>
      <c r="F337" s="60">
        <f t="shared" si="151"/>
        <v>0</v>
      </c>
      <c r="G337" s="60">
        <f t="shared" si="151"/>
        <v>364</v>
      </c>
      <c r="H337" s="60">
        <f t="shared" si="151"/>
        <v>364</v>
      </c>
      <c r="I337" s="60">
        <f>SUM(I335:I336)</f>
        <v>0</v>
      </c>
      <c r="J337" s="65" t="s">
        <v>13</v>
      </c>
      <c r="K337" s="67"/>
      <c r="L337" s="55"/>
    </row>
    <row r="338" spans="1:12" ht="12.75" customHeight="1" thickBot="1" x14ac:dyDescent="0.25">
      <c r="A338" s="60">
        <f t="shared" si="134"/>
        <v>113</v>
      </c>
      <c r="B338" s="60">
        <f t="shared" si="135"/>
        <v>0</v>
      </c>
      <c r="C338" s="60">
        <f t="shared" si="135"/>
        <v>113</v>
      </c>
      <c r="D338" s="60">
        <f t="shared" si="136"/>
        <v>1</v>
      </c>
      <c r="E338" s="60">
        <v>0</v>
      </c>
      <c r="F338" s="60">
        <v>1</v>
      </c>
      <c r="G338" s="60">
        <f t="shared" si="137"/>
        <v>112</v>
      </c>
      <c r="H338" s="60">
        <v>0</v>
      </c>
      <c r="I338" s="60">
        <v>112</v>
      </c>
      <c r="J338" s="65" t="s">
        <v>221</v>
      </c>
      <c r="K338" s="66"/>
      <c r="L338" s="55"/>
    </row>
    <row r="339" spans="1:12" ht="12.75" customHeight="1" thickBot="1" x14ac:dyDescent="0.25">
      <c r="A339" s="60">
        <f t="shared" si="134"/>
        <v>0</v>
      </c>
      <c r="B339" s="60">
        <f t="shared" si="135"/>
        <v>0</v>
      </c>
      <c r="C339" s="60">
        <f t="shared" si="135"/>
        <v>0</v>
      </c>
      <c r="D339" s="60">
        <f t="shared" si="136"/>
        <v>0</v>
      </c>
      <c r="E339" s="60">
        <v>0</v>
      </c>
      <c r="F339" s="60">
        <v>0</v>
      </c>
      <c r="G339" s="60">
        <f t="shared" si="137"/>
        <v>0</v>
      </c>
      <c r="H339" s="60">
        <v>0</v>
      </c>
      <c r="I339" s="60">
        <v>0</v>
      </c>
      <c r="J339" s="65" t="s">
        <v>222</v>
      </c>
      <c r="K339" s="66" t="s">
        <v>406</v>
      </c>
      <c r="L339" s="55"/>
    </row>
    <row r="340" spans="1:12" ht="12.75" customHeight="1" thickBot="1" x14ac:dyDescent="0.25">
      <c r="A340" s="60">
        <f t="shared" ref="A340:H340" si="152">SUM(A338:A339)</f>
        <v>113</v>
      </c>
      <c r="B340" s="60">
        <f t="shared" si="152"/>
        <v>0</v>
      </c>
      <c r="C340" s="60">
        <f t="shared" si="152"/>
        <v>113</v>
      </c>
      <c r="D340" s="60">
        <f t="shared" si="152"/>
        <v>1</v>
      </c>
      <c r="E340" s="60">
        <f t="shared" si="152"/>
        <v>0</v>
      </c>
      <c r="F340" s="60">
        <f t="shared" si="152"/>
        <v>1</v>
      </c>
      <c r="G340" s="60">
        <f t="shared" si="152"/>
        <v>112</v>
      </c>
      <c r="H340" s="60">
        <f t="shared" si="152"/>
        <v>0</v>
      </c>
      <c r="I340" s="60">
        <f>SUM(I338:I339)</f>
        <v>112</v>
      </c>
      <c r="J340" s="65" t="s">
        <v>13</v>
      </c>
      <c r="K340" s="67"/>
      <c r="L340" s="55"/>
    </row>
    <row r="341" spans="1:12" ht="12.75" customHeight="1" thickBot="1" x14ac:dyDescent="0.25">
      <c r="A341" s="60">
        <f t="shared" si="134"/>
        <v>4543</v>
      </c>
      <c r="B341" s="60">
        <f t="shared" si="135"/>
        <v>4543</v>
      </c>
      <c r="C341" s="60">
        <f t="shared" si="135"/>
        <v>0</v>
      </c>
      <c r="D341" s="60">
        <f t="shared" si="136"/>
        <v>6</v>
      </c>
      <c r="E341" s="60">
        <v>6</v>
      </c>
      <c r="F341" s="60">
        <v>0</v>
      </c>
      <c r="G341" s="60">
        <f t="shared" si="137"/>
        <v>4537</v>
      </c>
      <c r="H341" s="60">
        <v>4537</v>
      </c>
      <c r="I341" s="60">
        <v>0</v>
      </c>
      <c r="J341" s="65" t="s">
        <v>221</v>
      </c>
      <c r="K341" s="66"/>
      <c r="L341" s="55"/>
    </row>
    <row r="342" spans="1:12" ht="12.75" customHeight="1" thickBot="1" x14ac:dyDescent="0.25">
      <c r="A342" s="60">
        <f t="shared" si="134"/>
        <v>1620</v>
      </c>
      <c r="B342" s="60">
        <f t="shared" si="135"/>
        <v>1620</v>
      </c>
      <c r="C342" s="60">
        <f t="shared" si="135"/>
        <v>0</v>
      </c>
      <c r="D342" s="60">
        <f t="shared" si="136"/>
        <v>0</v>
      </c>
      <c r="E342" s="60">
        <v>0</v>
      </c>
      <c r="F342" s="60">
        <v>0</v>
      </c>
      <c r="G342" s="60">
        <f t="shared" si="137"/>
        <v>1620</v>
      </c>
      <c r="H342" s="60">
        <f>1472+148</f>
        <v>1620</v>
      </c>
      <c r="I342" s="60">
        <v>0</v>
      </c>
      <c r="J342" s="65" t="s">
        <v>222</v>
      </c>
      <c r="K342" s="66" t="s">
        <v>407</v>
      </c>
      <c r="L342" s="55"/>
    </row>
    <row r="343" spans="1:12" ht="12.75" customHeight="1" thickBot="1" x14ac:dyDescent="0.25">
      <c r="A343" s="60">
        <f t="shared" ref="A343:H343" si="153">SUM(A341:A342)</f>
        <v>6163</v>
      </c>
      <c r="B343" s="60">
        <f t="shared" si="153"/>
        <v>6163</v>
      </c>
      <c r="C343" s="60">
        <f t="shared" si="153"/>
        <v>0</v>
      </c>
      <c r="D343" s="60">
        <f t="shared" si="153"/>
        <v>6</v>
      </c>
      <c r="E343" s="60">
        <f t="shared" si="153"/>
        <v>6</v>
      </c>
      <c r="F343" s="60">
        <f t="shared" si="153"/>
        <v>0</v>
      </c>
      <c r="G343" s="60">
        <f t="shared" si="153"/>
        <v>6157</v>
      </c>
      <c r="H343" s="60">
        <f t="shared" si="153"/>
        <v>6157</v>
      </c>
      <c r="I343" s="60">
        <f>SUM(I341:I342)</f>
        <v>0</v>
      </c>
      <c r="J343" s="65" t="s">
        <v>13</v>
      </c>
      <c r="K343" s="67"/>
      <c r="L343" s="55"/>
    </row>
    <row r="344" spans="1:12" ht="12.75" customHeight="1" thickBot="1" x14ac:dyDescent="0.25">
      <c r="A344" s="60">
        <f t="shared" si="134"/>
        <v>2319</v>
      </c>
      <c r="B344" s="60">
        <f t="shared" si="135"/>
        <v>2319</v>
      </c>
      <c r="C344" s="60">
        <f t="shared" si="135"/>
        <v>0</v>
      </c>
      <c r="D344" s="60">
        <f t="shared" si="136"/>
        <v>7</v>
      </c>
      <c r="E344" s="60">
        <v>7</v>
      </c>
      <c r="F344" s="60">
        <v>0</v>
      </c>
      <c r="G344" s="60">
        <f t="shared" si="137"/>
        <v>2312</v>
      </c>
      <c r="H344" s="60">
        <v>2312</v>
      </c>
      <c r="I344" s="60">
        <v>0</v>
      </c>
      <c r="J344" s="65" t="s">
        <v>221</v>
      </c>
      <c r="K344" s="66"/>
      <c r="L344" s="55"/>
    </row>
    <row r="345" spans="1:12" ht="12.75" customHeight="1" thickBot="1" x14ac:dyDescent="0.25">
      <c r="A345" s="60">
        <f t="shared" si="134"/>
        <v>11</v>
      </c>
      <c r="B345" s="60">
        <f t="shared" si="135"/>
        <v>11</v>
      </c>
      <c r="C345" s="60">
        <f t="shared" si="135"/>
        <v>0</v>
      </c>
      <c r="D345" s="60">
        <f t="shared" si="136"/>
        <v>0</v>
      </c>
      <c r="E345" s="60">
        <v>0</v>
      </c>
      <c r="F345" s="60">
        <v>0</v>
      </c>
      <c r="G345" s="60">
        <f t="shared" si="137"/>
        <v>11</v>
      </c>
      <c r="H345" s="60">
        <v>11</v>
      </c>
      <c r="I345" s="60">
        <v>0</v>
      </c>
      <c r="J345" s="65" t="s">
        <v>222</v>
      </c>
      <c r="K345" s="66" t="s">
        <v>408</v>
      </c>
      <c r="L345" s="55"/>
    </row>
    <row r="346" spans="1:12" ht="12.75" customHeight="1" thickBot="1" x14ac:dyDescent="0.25">
      <c r="A346" s="60">
        <f t="shared" ref="A346:H346" si="154">SUM(A344:A345)</f>
        <v>2330</v>
      </c>
      <c r="B346" s="60">
        <f t="shared" si="154"/>
        <v>2330</v>
      </c>
      <c r="C346" s="60">
        <f t="shared" si="154"/>
        <v>0</v>
      </c>
      <c r="D346" s="60">
        <f t="shared" si="154"/>
        <v>7</v>
      </c>
      <c r="E346" s="60">
        <f t="shared" si="154"/>
        <v>7</v>
      </c>
      <c r="F346" s="60">
        <f t="shared" si="154"/>
        <v>0</v>
      </c>
      <c r="G346" s="60">
        <f t="shared" si="154"/>
        <v>2323</v>
      </c>
      <c r="H346" s="60">
        <f t="shared" si="154"/>
        <v>2323</v>
      </c>
      <c r="I346" s="60">
        <f>SUM(I344:I345)</f>
        <v>0</v>
      </c>
      <c r="J346" s="65" t="s">
        <v>13</v>
      </c>
      <c r="K346" s="67"/>
      <c r="L346" s="55"/>
    </row>
    <row r="347" spans="1:12" ht="12.75" customHeight="1" thickBot="1" x14ac:dyDescent="0.25">
      <c r="A347" s="60">
        <f t="shared" si="134"/>
        <v>1815</v>
      </c>
      <c r="B347" s="60">
        <f t="shared" si="135"/>
        <v>1815</v>
      </c>
      <c r="C347" s="60">
        <f t="shared" si="135"/>
        <v>0</v>
      </c>
      <c r="D347" s="60">
        <f t="shared" si="136"/>
        <v>2</v>
      </c>
      <c r="E347" s="60">
        <v>2</v>
      </c>
      <c r="F347" s="60">
        <v>0</v>
      </c>
      <c r="G347" s="60">
        <f t="shared" si="137"/>
        <v>1813</v>
      </c>
      <c r="H347" s="60">
        <v>1813</v>
      </c>
      <c r="I347" s="60">
        <v>0</v>
      </c>
      <c r="J347" s="65" t="s">
        <v>221</v>
      </c>
      <c r="K347" s="66"/>
      <c r="L347" s="55"/>
    </row>
    <row r="348" spans="1:12" ht="12.75" customHeight="1" thickBot="1" x14ac:dyDescent="0.25">
      <c r="A348" s="60">
        <f t="shared" si="134"/>
        <v>458</v>
      </c>
      <c r="B348" s="60">
        <f t="shared" si="135"/>
        <v>458</v>
      </c>
      <c r="C348" s="60">
        <f t="shared" si="135"/>
        <v>0</v>
      </c>
      <c r="D348" s="60">
        <f t="shared" si="136"/>
        <v>0</v>
      </c>
      <c r="E348" s="60">
        <v>0</v>
      </c>
      <c r="F348" s="60">
        <v>0</v>
      </c>
      <c r="G348" s="60">
        <f t="shared" si="137"/>
        <v>458</v>
      </c>
      <c r="H348" s="60">
        <f>267+191</f>
        <v>458</v>
      </c>
      <c r="I348" s="60">
        <v>0</v>
      </c>
      <c r="J348" s="65" t="s">
        <v>222</v>
      </c>
      <c r="K348" s="66" t="s">
        <v>409</v>
      </c>
      <c r="L348" s="55"/>
    </row>
    <row r="349" spans="1:12" ht="12.75" customHeight="1" thickBot="1" x14ac:dyDescent="0.25">
      <c r="A349" s="60">
        <f t="shared" ref="A349:H349" si="155">SUM(A347:A348)</f>
        <v>2273</v>
      </c>
      <c r="B349" s="60">
        <f t="shared" si="155"/>
        <v>2273</v>
      </c>
      <c r="C349" s="60">
        <f t="shared" si="155"/>
        <v>0</v>
      </c>
      <c r="D349" s="60">
        <f t="shared" si="155"/>
        <v>2</v>
      </c>
      <c r="E349" s="60">
        <f t="shared" si="155"/>
        <v>2</v>
      </c>
      <c r="F349" s="60">
        <f t="shared" si="155"/>
        <v>0</v>
      </c>
      <c r="G349" s="60">
        <f t="shared" si="155"/>
        <v>2271</v>
      </c>
      <c r="H349" s="60">
        <f t="shared" si="155"/>
        <v>2271</v>
      </c>
      <c r="I349" s="60">
        <f>SUM(I347:I348)</f>
        <v>0</v>
      </c>
      <c r="J349" s="65" t="s">
        <v>13</v>
      </c>
      <c r="K349" s="67"/>
      <c r="L349" s="55"/>
    </row>
    <row r="350" spans="1:12" ht="12.75" customHeight="1" thickBot="1" x14ac:dyDescent="0.25">
      <c r="A350" s="60">
        <f t="shared" si="134"/>
        <v>902</v>
      </c>
      <c r="B350" s="60">
        <f t="shared" si="135"/>
        <v>902</v>
      </c>
      <c r="C350" s="60">
        <f t="shared" si="135"/>
        <v>0</v>
      </c>
      <c r="D350" s="60">
        <f t="shared" si="136"/>
        <v>2</v>
      </c>
      <c r="E350" s="60">
        <v>2</v>
      </c>
      <c r="F350" s="60">
        <v>0</v>
      </c>
      <c r="G350" s="60">
        <f t="shared" si="137"/>
        <v>900</v>
      </c>
      <c r="H350" s="60">
        <f>444+456</f>
        <v>900</v>
      </c>
      <c r="I350" s="60">
        <v>0</v>
      </c>
      <c r="J350" s="65" t="s">
        <v>221</v>
      </c>
      <c r="K350" s="66"/>
      <c r="L350" s="55"/>
    </row>
    <row r="351" spans="1:12" ht="12.75" customHeight="1" thickBot="1" x14ac:dyDescent="0.25">
      <c r="A351" s="60">
        <f t="shared" si="134"/>
        <v>1557</v>
      </c>
      <c r="B351" s="60">
        <f t="shared" si="135"/>
        <v>1557</v>
      </c>
      <c r="C351" s="60">
        <f t="shared" si="135"/>
        <v>0</v>
      </c>
      <c r="D351" s="60">
        <f t="shared" si="136"/>
        <v>2</v>
      </c>
      <c r="E351" s="60">
        <v>2</v>
      </c>
      <c r="F351" s="60">
        <v>0</v>
      </c>
      <c r="G351" s="60">
        <f t="shared" si="137"/>
        <v>1555</v>
      </c>
      <c r="H351" s="60">
        <v>1555</v>
      </c>
      <c r="I351" s="60">
        <v>0</v>
      </c>
      <c r="J351" s="65" t="s">
        <v>222</v>
      </c>
      <c r="K351" s="66" t="s">
        <v>410</v>
      </c>
      <c r="L351" s="55"/>
    </row>
    <row r="352" spans="1:12" ht="12.75" customHeight="1" thickBot="1" x14ac:dyDescent="0.25">
      <c r="A352" s="60">
        <f t="shared" ref="A352:H352" si="156">SUM(A350:A351)</f>
        <v>2459</v>
      </c>
      <c r="B352" s="60">
        <f t="shared" si="156"/>
        <v>2459</v>
      </c>
      <c r="C352" s="60">
        <f t="shared" si="156"/>
        <v>0</v>
      </c>
      <c r="D352" s="60">
        <f t="shared" si="156"/>
        <v>4</v>
      </c>
      <c r="E352" s="60">
        <f t="shared" si="156"/>
        <v>4</v>
      </c>
      <c r="F352" s="60">
        <f t="shared" si="156"/>
        <v>0</v>
      </c>
      <c r="G352" s="60">
        <f t="shared" si="156"/>
        <v>2455</v>
      </c>
      <c r="H352" s="60">
        <f t="shared" si="156"/>
        <v>2455</v>
      </c>
      <c r="I352" s="60">
        <f>SUM(I350:I351)</f>
        <v>0</v>
      </c>
      <c r="J352" s="65" t="s">
        <v>13</v>
      </c>
      <c r="K352" s="67"/>
      <c r="L352" s="55"/>
    </row>
    <row r="353" spans="1:12" ht="12.75" customHeight="1" thickBot="1" x14ac:dyDescent="0.25">
      <c r="A353" s="60">
        <f t="shared" si="134"/>
        <v>7694</v>
      </c>
      <c r="B353" s="60">
        <f t="shared" si="135"/>
        <v>7694</v>
      </c>
      <c r="C353" s="60">
        <f t="shared" si="135"/>
        <v>0</v>
      </c>
      <c r="D353" s="60">
        <f t="shared" si="136"/>
        <v>19</v>
      </c>
      <c r="E353" s="60">
        <v>19</v>
      </c>
      <c r="F353" s="60">
        <v>0</v>
      </c>
      <c r="G353" s="60">
        <f t="shared" si="137"/>
        <v>7675</v>
      </c>
      <c r="H353" s="60">
        <v>7675</v>
      </c>
      <c r="I353" s="60">
        <v>0</v>
      </c>
      <c r="J353" s="65" t="s">
        <v>221</v>
      </c>
      <c r="K353" s="66"/>
      <c r="L353" s="55"/>
    </row>
    <row r="354" spans="1:12" ht="12.75" customHeight="1" thickBot="1" x14ac:dyDescent="0.25">
      <c r="A354" s="60">
        <f t="shared" si="134"/>
        <v>3140</v>
      </c>
      <c r="B354" s="60">
        <f t="shared" si="135"/>
        <v>3140</v>
      </c>
      <c r="C354" s="60">
        <f t="shared" si="135"/>
        <v>0</v>
      </c>
      <c r="D354" s="60">
        <f t="shared" si="136"/>
        <v>11</v>
      </c>
      <c r="E354" s="60">
        <v>11</v>
      </c>
      <c r="F354" s="60">
        <v>0</v>
      </c>
      <c r="G354" s="60">
        <f t="shared" si="137"/>
        <v>3129</v>
      </c>
      <c r="H354" s="60">
        <v>3129</v>
      </c>
      <c r="I354" s="60">
        <v>0</v>
      </c>
      <c r="J354" s="65" t="s">
        <v>222</v>
      </c>
      <c r="K354" s="66" t="s">
        <v>411</v>
      </c>
      <c r="L354" s="55"/>
    </row>
    <row r="355" spans="1:12" ht="12.75" customHeight="1" thickBot="1" x14ac:dyDescent="0.25">
      <c r="A355" s="60">
        <f t="shared" ref="A355:H355" si="157">SUM(A353:A354)</f>
        <v>10834</v>
      </c>
      <c r="B355" s="60">
        <f t="shared" si="157"/>
        <v>10834</v>
      </c>
      <c r="C355" s="60">
        <f t="shared" si="157"/>
        <v>0</v>
      </c>
      <c r="D355" s="60">
        <f t="shared" si="157"/>
        <v>30</v>
      </c>
      <c r="E355" s="60">
        <f t="shared" si="157"/>
        <v>30</v>
      </c>
      <c r="F355" s="60">
        <f t="shared" si="157"/>
        <v>0</v>
      </c>
      <c r="G355" s="60">
        <f t="shared" si="157"/>
        <v>10804</v>
      </c>
      <c r="H355" s="60">
        <f t="shared" si="157"/>
        <v>10804</v>
      </c>
      <c r="I355" s="60">
        <f>SUM(I353:I354)</f>
        <v>0</v>
      </c>
      <c r="J355" s="65" t="s">
        <v>13</v>
      </c>
      <c r="K355" s="67"/>
      <c r="L355" s="55"/>
    </row>
    <row r="356" spans="1:12" ht="12.75" customHeight="1" thickBot="1" x14ac:dyDescent="0.25">
      <c r="A356" s="60">
        <f t="shared" si="134"/>
        <v>1856</v>
      </c>
      <c r="B356" s="60">
        <f t="shared" si="135"/>
        <v>1856</v>
      </c>
      <c r="C356" s="60">
        <f t="shared" si="135"/>
        <v>0</v>
      </c>
      <c r="D356" s="60">
        <f t="shared" si="136"/>
        <v>2</v>
      </c>
      <c r="E356" s="60">
        <v>2</v>
      </c>
      <c r="F356" s="60">
        <v>0</v>
      </c>
      <c r="G356" s="60">
        <f t="shared" si="137"/>
        <v>1854</v>
      </c>
      <c r="H356" s="60">
        <f>1579+275</f>
        <v>1854</v>
      </c>
      <c r="I356" s="60">
        <v>0</v>
      </c>
      <c r="J356" s="65" t="s">
        <v>221</v>
      </c>
      <c r="K356" s="66"/>
      <c r="L356" s="55"/>
    </row>
    <row r="357" spans="1:12" ht="12.75" customHeight="1" thickBot="1" x14ac:dyDescent="0.25">
      <c r="A357" s="60">
        <f t="shared" si="134"/>
        <v>0</v>
      </c>
      <c r="B357" s="60">
        <f t="shared" si="135"/>
        <v>0</v>
      </c>
      <c r="C357" s="60">
        <f t="shared" si="135"/>
        <v>0</v>
      </c>
      <c r="D357" s="60">
        <f t="shared" si="136"/>
        <v>0</v>
      </c>
      <c r="E357" s="60">
        <v>0</v>
      </c>
      <c r="F357" s="60">
        <v>0</v>
      </c>
      <c r="G357" s="60">
        <f t="shared" si="137"/>
        <v>0</v>
      </c>
      <c r="H357" s="60">
        <v>0</v>
      </c>
      <c r="I357" s="60">
        <v>0</v>
      </c>
      <c r="J357" s="65" t="s">
        <v>222</v>
      </c>
      <c r="K357" s="66" t="s">
        <v>412</v>
      </c>
      <c r="L357" s="55"/>
    </row>
    <row r="358" spans="1:12" ht="12.75" customHeight="1" thickBot="1" x14ac:dyDescent="0.25">
      <c r="A358" s="60">
        <f t="shared" ref="A358:H358" si="158">SUM(A356:A357)</f>
        <v>1856</v>
      </c>
      <c r="B358" s="60">
        <f t="shared" si="158"/>
        <v>1856</v>
      </c>
      <c r="C358" s="60">
        <f t="shared" si="158"/>
        <v>0</v>
      </c>
      <c r="D358" s="60">
        <f t="shared" si="158"/>
        <v>2</v>
      </c>
      <c r="E358" s="60">
        <f t="shared" si="158"/>
        <v>2</v>
      </c>
      <c r="F358" s="60">
        <f t="shared" si="158"/>
        <v>0</v>
      </c>
      <c r="G358" s="60">
        <f t="shared" si="158"/>
        <v>1854</v>
      </c>
      <c r="H358" s="60">
        <f t="shared" si="158"/>
        <v>1854</v>
      </c>
      <c r="I358" s="60">
        <f>SUM(I356:I357)</f>
        <v>0</v>
      </c>
      <c r="J358" s="65" t="s">
        <v>13</v>
      </c>
      <c r="K358" s="67"/>
      <c r="L358" s="55"/>
    </row>
    <row r="359" spans="1:12" ht="12.75" customHeight="1" thickBot="1" x14ac:dyDescent="0.25">
      <c r="A359" s="60">
        <f t="shared" si="134"/>
        <v>2898</v>
      </c>
      <c r="B359" s="60">
        <f t="shared" si="135"/>
        <v>2898</v>
      </c>
      <c r="C359" s="60">
        <f t="shared" si="135"/>
        <v>0</v>
      </c>
      <c r="D359" s="60">
        <f t="shared" si="136"/>
        <v>19</v>
      </c>
      <c r="E359" s="60">
        <v>19</v>
      </c>
      <c r="F359" s="60">
        <v>0</v>
      </c>
      <c r="G359" s="60">
        <f t="shared" si="137"/>
        <v>2879</v>
      </c>
      <c r="H359" s="60">
        <v>2879</v>
      </c>
      <c r="I359" s="60">
        <v>0</v>
      </c>
      <c r="J359" s="65" t="s">
        <v>221</v>
      </c>
      <c r="K359" s="66"/>
      <c r="L359" s="55"/>
    </row>
    <row r="360" spans="1:12" ht="12.75" customHeight="1" thickBot="1" x14ac:dyDescent="0.25">
      <c r="A360" s="60">
        <f t="shared" si="134"/>
        <v>0</v>
      </c>
      <c r="B360" s="60">
        <f t="shared" si="135"/>
        <v>0</v>
      </c>
      <c r="C360" s="60">
        <f t="shared" si="135"/>
        <v>0</v>
      </c>
      <c r="D360" s="60">
        <f t="shared" si="136"/>
        <v>0</v>
      </c>
      <c r="E360" s="60">
        <v>0</v>
      </c>
      <c r="F360" s="60">
        <v>0</v>
      </c>
      <c r="G360" s="60">
        <f t="shared" si="137"/>
        <v>0</v>
      </c>
      <c r="H360" s="60">
        <v>0</v>
      </c>
      <c r="I360" s="60">
        <v>0</v>
      </c>
      <c r="J360" s="65" t="s">
        <v>222</v>
      </c>
      <c r="K360" s="66" t="s">
        <v>413</v>
      </c>
      <c r="L360" s="55"/>
    </row>
    <row r="361" spans="1:12" ht="12.75" customHeight="1" thickBot="1" x14ac:dyDescent="0.25">
      <c r="A361" s="60">
        <f t="shared" ref="A361:H361" si="159">SUM(A359:A360)</f>
        <v>2898</v>
      </c>
      <c r="B361" s="60">
        <f t="shared" si="159"/>
        <v>2898</v>
      </c>
      <c r="C361" s="60">
        <f t="shared" si="159"/>
        <v>0</v>
      </c>
      <c r="D361" s="60">
        <f t="shared" si="159"/>
        <v>19</v>
      </c>
      <c r="E361" s="60">
        <f t="shared" si="159"/>
        <v>19</v>
      </c>
      <c r="F361" s="60">
        <f t="shared" si="159"/>
        <v>0</v>
      </c>
      <c r="G361" s="60">
        <f t="shared" si="159"/>
        <v>2879</v>
      </c>
      <c r="H361" s="60">
        <f t="shared" si="159"/>
        <v>2879</v>
      </c>
      <c r="I361" s="60">
        <f>SUM(I359:I360)</f>
        <v>0</v>
      </c>
      <c r="J361" s="65" t="s">
        <v>13</v>
      </c>
      <c r="K361" s="67"/>
      <c r="L361" s="55"/>
    </row>
    <row r="362" spans="1:12" ht="12.75" customHeight="1" thickBot="1" x14ac:dyDescent="0.25">
      <c r="A362" s="60">
        <f t="shared" ref="A362:A366" si="160">SUM(B362:C362)</f>
        <v>1764</v>
      </c>
      <c r="B362" s="60">
        <f t="shared" ref="B362:C366" si="161">H362+E362</f>
        <v>1764</v>
      </c>
      <c r="C362" s="60">
        <f t="shared" si="161"/>
        <v>0</v>
      </c>
      <c r="D362" s="60">
        <f t="shared" ref="D362:D366" si="162">SUM(E362:F362)</f>
        <v>4</v>
      </c>
      <c r="E362" s="60">
        <v>4</v>
      </c>
      <c r="F362" s="60">
        <v>0</v>
      </c>
      <c r="G362" s="60">
        <f t="shared" ref="G362:G366" si="163">SUM(H362:I362)</f>
        <v>1760</v>
      </c>
      <c r="H362" s="60">
        <f>1335+425</f>
        <v>1760</v>
      </c>
      <c r="I362" s="60">
        <v>0</v>
      </c>
      <c r="J362" s="65" t="s">
        <v>221</v>
      </c>
      <c r="K362" s="66"/>
      <c r="L362" s="55"/>
    </row>
    <row r="363" spans="1:12" ht="12.75" customHeight="1" thickBot="1" x14ac:dyDescent="0.25">
      <c r="A363" s="60">
        <f t="shared" si="160"/>
        <v>417</v>
      </c>
      <c r="B363" s="60">
        <f t="shared" si="161"/>
        <v>417</v>
      </c>
      <c r="C363" s="60">
        <f t="shared" si="161"/>
        <v>0</v>
      </c>
      <c r="D363" s="60">
        <f t="shared" si="162"/>
        <v>0</v>
      </c>
      <c r="E363" s="60">
        <v>0</v>
      </c>
      <c r="F363" s="60">
        <v>0</v>
      </c>
      <c r="G363" s="60">
        <f t="shared" si="163"/>
        <v>417</v>
      </c>
      <c r="H363" s="60">
        <v>417</v>
      </c>
      <c r="I363" s="60">
        <v>0</v>
      </c>
      <c r="J363" s="65" t="s">
        <v>222</v>
      </c>
      <c r="K363" s="66" t="s">
        <v>414</v>
      </c>
      <c r="L363" s="55"/>
    </row>
    <row r="364" spans="1:12" ht="12.75" customHeight="1" thickBot="1" x14ac:dyDescent="0.25">
      <c r="A364" s="60">
        <f t="shared" ref="A364:H364" si="164">SUM(A362:A363)</f>
        <v>2181</v>
      </c>
      <c r="B364" s="60">
        <f t="shared" si="164"/>
        <v>2181</v>
      </c>
      <c r="C364" s="60">
        <f t="shared" si="164"/>
        <v>0</v>
      </c>
      <c r="D364" s="60">
        <f t="shared" si="164"/>
        <v>4</v>
      </c>
      <c r="E364" s="60">
        <f t="shared" si="164"/>
        <v>4</v>
      </c>
      <c r="F364" s="60">
        <f t="shared" si="164"/>
        <v>0</v>
      </c>
      <c r="G364" s="60">
        <f t="shared" si="164"/>
        <v>2177</v>
      </c>
      <c r="H364" s="60">
        <f t="shared" si="164"/>
        <v>2177</v>
      </c>
      <c r="I364" s="60">
        <f>SUM(I362:I363)</f>
        <v>0</v>
      </c>
      <c r="J364" s="65" t="s">
        <v>13</v>
      </c>
      <c r="K364" s="67"/>
      <c r="L364" s="55"/>
    </row>
    <row r="365" spans="1:12" ht="12.75" customHeight="1" thickBot="1" x14ac:dyDescent="0.25">
      <c r="A365" s="60">
        <f t="shared" si="160"/>
        <v>2773</v>
      </c>
      <c r="B365" s="60">
        <f t="shared" si="161"/>
        <v>2773</v>
      </c>
      <c r="C365" s="60">
        <f t="shared" si="161"/>
        <v>0</v>
      </c>
      <c r="D365" s="60">
        <f t="shared" si="162"/>
        <v>3</v>
      </c>
      <c r="E365" s="60">
        <v>3</v>
      </c>
      <c r="F365" s="60">
        <v>0</v>
      </c>
      <c r="G365" s="60">
        <f t="shared" si="163"/>
        <v>2770</v>
      </c>
      <c r="H365" s="60">
        <v>2770</v>
      </c>
      <c r="I365" s="60">
        <v>0</v>
      </c>
      <c r="J365" s="65" t="s">
        <v>221</v>
      </c>
      <c r="K365" s="66"/>
      <c r="L365" s="55"/>
    </row>
    <row r="366" spans="1:12" ht="12.75" customHeight="1" thickBot="1" x14ac:dyDescent="0.25">
      <c r="A366" s="60">
        <f t="shared" si="160"/>
        <v>0</v>
      </c>
      <c r="B366" s="60">
        <f t="shared" si="161"/>
        <v>0</v>
      </c>
      <c r="C366" s="60">
        <f t="shared" si="161"/>
        <v>0</v>
      </c>
      <c r="D366" s="60">
        <f t="shared" si="162"/>
        <v>0</v>
      </c>
      <c r="E366" s="60">
        <v>0</v>
      </c>
      <c r="F366" s="60">
        <v>0</v>
      </c>
      <c r="G366" s="60">
        <f t="shared" si="163"/>
        <v>0</v>
      </c>
      <c r="H366" s="60">
        <v>0</v>
      </c>
      <c r="I366" s="60">
        <v>0</v>
      </c>
      <c r="J366" s="65" t="s">
        <v>222</v>
      </c>
      <c r="K366" s="66" t="s">
        <v>415</v>
      </c>
      <c r="L366" s="55"/>
    </row>
    <row r="367" spans="1:12" ht="12.75" customHeight="1" thickBot="1" x14ac:dyDescent="0.25">
      <c r="A367" s="60">
        <f t="shared" ref="A367:H367" si="165">SUM(A365:A366)</f>
        <v>2773</v>
      </c>
      <c r="B367" s="60">
        <f t="shared" si="165"/>
        <v>2773</v>
      </c>
      <c r="C367" s="60">
        <f t="shared" si="165"/>
        <v>0</v>
      </c>
      <c r="D367" s="60">
        <f t="shared" si="165"/>
        <v>3</v>
      </c>
      <c r="E367" s="60">
        <f t="shared" si="165"/>
        <v>3</v>
      </c>
      <c r="F367" s="60">
        <f t="shared" si="165"/>
        <v>0</v>
      </c>
      <c r="G367" s="60">
        <f t="shared" si="165"/>
        <v>2770</v>
      </c>
      <c r="H367" s="60">
        <f t="shared" si="165"/>
        <v>2770</v>
      </c>
      <c r="I367" s="60">
        <f>SUM(I365:I366)</f>
        <v>0</v>
      </c>
      <c r="J367" s="65" t="s">
        <v>13</v>
      </c>
      <c r="K367" s="67"/>
      <c r="L367" s="55"/>
    </row>
    <row r="368" spans="1:12" ht="12.75" customHeight="1" thickBot="1" x14ac:dyDescent="0.25">
      <c r="A368" s="60">
        <f t="shared" ref="A368:I370" si="166">A296+A299+A302+A305+A308+A311+A314+A317+A320+A323+A326+A329+A332+A335+A338+A341+A344+A347+A350+A353+A356+A359+A362+A365</f>
        <v>44454</v>
      </c>
      <c r="B368" s="60">
        <f t="shared" si="166"/>
        <v>33849</v>
      </c>
      <c r="C368" s="60">
        <f t="shared" si="166"/>
        <v>10605</v>
      </c>
      <c r="D368" s="60">
        <f t="shared" si="166"/>
        <v>259</v>
      </c>
      <c r="E368" s="60">
        <f t="shared" si="166"/>
        <v>161</v>
      </c>
      <c r="F368" s="60">
        <f t="shared" si="166"/>
        <v>98</v>
      </c>
      <c r="G368" s="60">
        <f t="shared" si="166"/>
        <v>44195</v>
      </c>
      <c r="H368" s="60">
        <f t="shared" si="166"/>
        <v>33688</v>
      </c>
      <c r="I368" s="60">
        <f>I296+I299+I302+I305+I308+I311+I314+I317+I320+I323+I326+I329+I332+I335+I338+I341+I344+I347+I350+I353+I356+I359+I362+I365</f>
        <v>10507</v>
      </c>
      <c r="J368" s="65" t="s">
        <v>224</v>
      </c>
      <c r="K368" s="57"/>
      <c r="L368" s="55"/>
    </row>
    <row r="369" spans="1:12" ht="12.75" customHeight="1" thickBot="1" x14ac:dyDescent="0.25">
      <c r="A369" s="60">
        <f t="shared" si="166"/>
        <v>7203</v>
      </c>
      <c r="B369" s="60">
        <f t="shared" si="166"/>
        <v>7203</v>
      </c>
      <c r="C369" s="60">
        <f t="shared" si="166"/>
        <v>0</v>
      </c>
      <c r="D369" s="60">
        <f t="shared" si="166"/>
        <v>13</v>
      </c>
      <c r="E369" s="60">
        <f t="shared" si="166"/>
        <v>13</v>
      </c>
      <c r="F369" s="60">
        <f t="shared" si="166"/>
        <v>0</v>
      </c>
      <c r="G369" s="60">
        <f t="shared" si="166"/>
        <v>7190</v>
      </c>
      <c r="H369" s="60">
        <f t="shared" si="166"/>
        <v>7190</v>
      </c>
      <c r="I369" s="60">
        <f t="shared" si="166"/>
        <v>0</v>
      </c>
      <c r="J369" s="65" t="s">
        <v>225</v>
      </c>
      <c r="K369" s="68" t="s">
        <v>211</v>
      </c>
      <c r="L369" s="55"/>
    </row>
    <row r="370" spans="1:12" ht="12.75" customHeight="1" thickBot="1" x14ac:dyDescent="0.25">
      <c r="A370" s="60">
        <f t="shared" si="166"/>
        <v>51657</v>
      </c>
      <c r="B370" s="60">
        <f t="shared" si="166"/>
        <v>41052</v>
      </c>
      <c r="C370" s="60">
        <f t="shared" si="166"/>
        <v>10605</v>
      </c>
      <c r="D370" s="60">
        <f t="shared" si="166"/>
        <v>272</v>
      </c>
      <c r="E370" s="60">
        <f t="shared" si="166"/>
        <v>174</v>
      </c>
      <c r="F370" s="60">
        <f t="shared" si="166"/>
        <v>98</v>
      </c>
      <c r="G370" s="60">
        <f t="shared" si="166"/>
        <v>51385</v>
      </c>
      <c r="H370" s="60">
        <f t="shared" si="166"/>
        <v>40878</v>
      </c>
      <c r="I370" s="60">
        <f t="shared" si="166"/>
        <v>10507</v>
      </c>
      <c r="J370" s="65" t="s">
        <v>13</v>
      </c>
      <c r="K370" s="59"/>
      <c r="L370" s="55"/>
    </row>
    <row r="371" spans="1:12" ht="12.75" customHeight="1" thickBot="1" x14ac:dyDescent="0.25">
      <c r="A371" s="202" t="s">
        <v>561</v>
      </c>
      <c r="B371" s="202"/>
      <c r="C371" s="202"/>
      <c r="D371" s="202"/>
      <c r="E371" s="202"/>
      <c r="F371" s="202"/>
      <c r="G371" s="202"/>
      <c r="H371" s="202"/>
      <c r="I371" s="202"/>
      <c r="J371" s="202"/>
      <c r="K371" s="202"/>
      <c r="L371" s="55"/>
    </row>
    <row r="372" spans="1:12" ht="12.75" customHeight="1" thickBot="1" x14ac:dyDescent="0.25">
      <c r="A372" s="200" t="s">
        <v>5</v>
      </c>
      <c r="B372" s="203"/>
      <c r="C372" s="201"/>
      <c r="D372" s="200" t="s">
        <v>162</v>
      </c>
      <c r="E372" s="203"/>
      <c r="F372" s="201"/>
      <c r="G372" s="200" t="s">
        <v>163</v>
      </c>
      <c r="H372" s="203"/>
      <c r="I372" s="201"/>
      <c r="J372" s="200" t="s">
        <v>72</v>
      </c>
      <c r="K372" s="201"/>
      <c r="L372" s="55"/>
    </row>
    <row r="373" spans="1:12" ht="12.75" customHeight="1" thickBot="1" x14ac:dyDescent="0.25">
      <c r="A373" s="58" t="s">
        <v>216</v>
      </c>
      <c r="B373" s="58" t="s">
        <v>11</v>
      </c>
      <c r="C373" s="58" t="s">
        <v>10</v>
      </c>
      <c r="D373" s="58" t="s">
        <v>216</v>
      </c>
      <c r="E373" s="58" t="s">
        <v>11</v>
      </c>
      <c r="F373" s="58" t="s">
        <v>10</v>
      </c>
      <c r="G373" s="58" t="s">
        <v>216</v>
      </c>
      <c r="H373" s="58" t="s">
        <v>11</v>
      </c>
      <c r="I373" s="58" t="s">
        <v>10</v>
      </c>
      <c r="J373" s="200" t="s">
        <v>81</v>
      </c>
      <c r="K373" s="201"/>
      <c r="L373" s="55"/>
    </row>
    <row r="374" spans="1:12" ht="12.75" customHeight="1" thickBot="1" x14ac:dyDescent="0.25">
      <c r="A374" s="60">
        <f>SUM(B374:C374)</f>
        <v>88</v>
      </c>
      <c r="B374" s="60">
        <f>H374+E374</f>
        <v>5</v>
      </c>
      <c r="C374" s="60">
        <f>I374+F374</f>
        <v>83</v>
      </c>
      <c r="D374" s="60">
        <f>SUM(E374:F374)</f>
        <v>0</v>
      </c>
      <c r="E374" s="60">
        <v>0</v>
      </c>
      <c r="F374" s="60">
        <v>0</v>
      </c>
      <c r="G374" s="60">
        <f>SUM(H374:I374)</f>
        <v>88</v>
      </c>
      <c r="H374" s="60">
        <v>5</v>
      </c>
      <c r="I374" s="60">
        <v>83</v>
      </c>
      <c r="J374" s="65" t="s">
        <v>221</v>
      </c>
      <c r="K374" s="66"/>
      <c r="L374" s="55"/>
    </row>
    <row r="375" spans="1:12" ht="12.75" customHeight="1" thickBot="1" x14ac:dyDescent="0.25">
      <c r="A375" s="60">
        <f t="shared" ref="A375:A438" si="167">SUM(B375:C375)</f>
        <v>0</v>
      </c>
      <c r="B375" s="60">
        <f t="shared" ref="B375:C438" si="168">H375+E375</f>
        <v>0</v>
      </c>
      <c r="C375" s="60">
        <f t="shared" si="168"/>
        <v>0</v>
      </c>
      <c r="D375" s="60">
        <f t="shared" ref="D375:D438" si="169">SUM(E375:F375)</f>
        <v>0</v>
      </c>
      <c r="E375" s="60">
        <v>0</v>
      </c>
      <c r="F375" s="60">
        <v>0</v>
      </c>
      <c r="G375" s="60">
        <f t="shared" ref="G375:G438" si="170">SUM(H375:I375)</f>
        <v>0</v>
      </c>
      <c r="H375" s="60">
        <v>0</v>
      </c>
      <c r="I375" s="60">
        <v>0</v>
      </c>
      <c r="J375" s="65" t="s">
        <v>222</v>
      </c>
      <c r="K375" s="66" t="s">
        <v>540</v>
      </c>
      <c r="L375" s="55"/>
    </row>
    <row r="376" spans="1:12" ht="12.75" customHeight="1" thickBot="1" x14ac:dyDescent="0.25">
      <c r="A376" s="60">
        <f t="shared" ref="A376:H376" si="171">SUM(A374:A375)</f>
        <v>88</v>
      </c>
      <c r="B376" s="60">
        <f t="shared" si="171"/>
        <v>5</v>
      </c>
      <c r="C376" s="60">
        <f t="shared" si="171"/>
        <v>83</v>
      </c>
      <c r="D376" s="60">
        <f t="shared" si="171"/>
        <v>0</v>
      </c>
      <c r="E376" s="60">
        <f t="shared" si="171"/>
        <v>0</v>
      </c>
      <c r="F376" s="60">
        <f t="shared" si="171"/>
        <v>0</v>
      </c>
      <c r="G376" s="60">
        <f t="shared" si="171"/>
        <v>88</v>
      </c>
      <c r="H376" s="60">
        <f t="shared" si="171"/>
        <v>5</v>
      </c>
      <c r="I376" s="60">
        <f>SUM(I374:I375)</f>
        <v>83</v>
      </c>
      <c r="J376" s="65" t="s">
        <v>13</v>
      </c>
      <c r="K376" s="67"/>
      <c r="L376" s="55"/>
    </row>
    <row r="377" spans="1:12" ht="12.75" customHeight="1" thickBot="1" x14ac:dyDescent="0.25">
      <c r="A377" s="60">
        <f t="shared" si="167"/>
        <v>1288</v>
      </c>
      <c r="B377" s="60">
        <f t="shared" si="168"/>
        <v>295</v>
      </c>
      <c r="C377" s="60">
        <f t="shared" si="168"/>
        <v>993</v>
      </c>
      <c r="D377" s="60">
        <f t="shared" si="169"/>
        <v>7</v>
      </c>
      <c r="E377" s="60">
        <v>1</v>
      </c>
      <c r="F377" s="60">
        <v>6</v>
      </c>
      <c r="G377" s="60">
        <f t="shared" si="170"/>
        <v>1281</v>
      </c>
      <c r="H377" s="60">
        <v>294</v>
      </c>
      <c r="I377" s="60">
        <f>887+100</f>
        <v>987</v>
      </c>
      <c r="J377" s="65" t="s">
        <v>221</v>
      </c>
      <c r="K377" s="66"/>
      <c r="L377" s="55"/>
    </row>
    <row r="378" spans="1:12" ht="12.75" customHeight="1" thickBot="1" x14ac:dyDescent="0.25">
      <c r="A378" s="60">
        <f t="shared" si="167"/>
        <v>0</v>
      </c>
      <c r="B378" s="60">
        <f t="shared" si="168"/>
        <v>0</v>
      </c>
      <c r="C378" s="60">
        <f t="shared" si="168"/>
        <v>0</v>
      </c>
      <c r="D378" s="60">
        <f t="shared" si="169"/>
        <v>0</v>
      </c>
      <c r="E378" s="60">
        <v>0</v>
      </c>
      <c r="F378" s="60">
        <v>0</v>
      </c>
      <c r="G378" s="60">
        <f t="shared" si="170"/>
        <v>0</v>
      </c>
      <c r="H378" s="60">
        <v>0</v>
      </c>
      <c r="I378" s="60">
        <v>0</v>
      </c>
      <c r="J378" s="65" t="s">
        <v>222</v>
      </c>
      <c r="K378" s="66" t="s">
        <v>416</v>
      </c>
      <c r="L378" s="55"/>
    </row>
    <row r="379" spans="1:12" ht="12.75" customHeight="1" thickBot="1" x14ac:dyDescent="0.25">
      <c r="A379" s="60">
        <f t="shared" ref="A379:H379" si="172">SUM(A377:A378)</f>
        <v>1288</v>
      </c>
      <c r="B379" s="60">
        <f t="shared" si="172"/>
        <v>295</v>
      </c>
      <c r="C379" s="60">
        <f t="shared" si="172"/>
        <v>993</v>
      </c>
      <c r="D379" s="60">
        <f t="shared" si="172"/>
        <v>7</v>
      </c>
      <c r="E379" s="60">
        <f t="shared" si="172"/>
        <v>1</v>
      </c>
      <c r="F379" s="60">
        <f t="shared" si="172"/>
        <v>6</v>
      </c>
      <c r="G379" s="60">
        <f t="shared" si="172"/>
        <v>1281</v>
      </c>
      <c r="H379" s="60">
        <f t="shared" si="172"/>
        <v>294</v>
      </c>
      <c r="I379" s="60">
        <f>SUM(I377:I378)</f>
        <v>987</v>
      </c>
      <c r="J379" s="65" t="s">
        <v>13</v>
      </c>
      <c r="K379" s="67"/>
      <c r="L379" s="55"/>
    </row>
    <row r="380" spans="1:12" ht="12.75" customHeight="1" thickBot="1" x14ac:dyDescent="0.25">
      <c r="A380" s="60">
        <f t="shared" si="167"/>
        <v>855</v>
      </c>
      <c r="B380" s="60">
        <f t="shared" si="168"/>
        <v>0</v>
      </c>
      <c r="C380" s="60">
        <f t="shared" si="168"/>
        <v>855</v>
      </c>
      <c r="D380" s="60">
        <f t="shared" si="169"/>
        <v>0</v>
      </c>
      <c r="E380" s="60">
        <v>0</v>
      </c>
      <c r="F380" s="60">
        <v>0</v>
      </c>
      <c r="G380" s="60">
        <f t="shared" si="170"/>
        <v>855</v>
      </c>
      <c r="H380" s="60">
        <v>0</v>
      </c>
      <c r="I380" s="60">
        <f>755+100</f>
        <v>855</v>
      </c>
      <c r="J380" s="65" t="s">
        <v>221</v>
      </c>
      <c r="K380" s="66"/>
      <c r="L380" s="55"/>
    </row>
    <row r="381" spans="1:12" ht="12.75" customHeight="1" thickBot="1" x14ac:dyDescent="0.25">
      <c r="A381" s="60">
        <f t="shared" si="167"/>
        <v>0</v>
      </c>
      <c r="B381" s="60">
        <f t="shared" si="168"/>
        <v>0</v>
      </c>
      <c r="C381" s="60">
        <f t="shared" si="168"/>
        <v>0</v>
      </c>
      <c r="D381" s="60">
        <f t="shared" si="169"/>
        <v>0</v>
      </c>
      <c r="E381" s="60">
        <v>0</v>
      </c>
      <c r="F381" s="60">
        <v>0</v>
      </c>
      <c r="G381" s="60">
        <f t="shared" si="170"/>
        <v>0</v>
      </c>
      <c r="H381" s="60">
        <v>0</v>
      </c>
      <c r="I381" s="60">
        <v>0</v>
      </c>
      <c r="J381" s="65" t="s">
        <v>222</v>
      </c>
      <c r="K381" s="66" t="s">
        <v>567</v>
      </c>
      <c r="L381" s="55"/>
    </row>
    <row r="382" spans="1:12" ht="12.75" customHeight="1" thickBot="1" x14ac:dyDescent="0.25">
      <c r="A382" s="60">
        <f t="shared" ref="A382:H382" si="173">SUM(A380:A381)</f>
        <v>855</v>
      </c>
      <c r="B382" s="60">
        <f t="shared" si="173"/>
        <v>0</v>
      </c>
      <c r="C382" s="60">
        <f t="shared" si="173"/>
        <v>855</v>
      </c>
      <c r="D382" s="60">
        <f t="shared" si="173"/>
        <v>0</v>
      </c>
      <c r="E382" s="60">
        <f t="shared" si="173"/>
        <v>0</v>
      </c>
      <c r="F382" s="60">
        <f t="shared" si="173"/>
        <v>0</v>
      </c>
      <c r="G382" s="60">
        <f t="shared" si="173"/>
        <v>855</v>
      </c>
      <c r="H382" s="60">
        <f t="shared" si="173"/>
        <v>0</v>
      </c>
      <c r="I382" s="60">
        <f>SUM(I380:I381)</f>
        <v>855</v>
      </c>
      <c r="J382" s="65" t="s">
        <v>13</v>
      </c>
      <c r="K382" s="67"/>
      <c r="L382" s="55"/>
    </row>
    <row r="383" spans="1:12" ht="12.75" customHeight="1" thickBot="1" x14ac:dyDescent="0.25">
      <c r="A383" s="60">
        <f t="shared" si="167"/>
        <v>1022</v>
      </c>
      <c r="B383" s="60">
        <f t="shared" si="168"/>
        <v>0</v>
      </c>
      <c r="C383" s="60">
        <f t="shared" si="168"/>
        <v>1022</v>
      </c>
      <c r="D383" s="60">
        <f t="shared" si="169"/>
        <v>41</v>
      </c>
      <c r="E383" s="60">
        <v>0</v>
      </c>
      <c r="F383" s="60">
        <v>41</v>
      </c>
      <c r="G383" s="60">
        <f t="shared" si="170"/>
        <v>981</v>
      </c>
      <c r="H383" s="60">
        <v>0</v>
      </c>
      <c r="I383" s="60">
        <f>869+112</f>
        <v>981</v>
      </c>
      <c r="J383" s="65" t="s">
        <v>221</v>
      </c>
      <c r="K383" s="66"/>
      <c r="L383" s="55"/>
    </row>
    <row r="384" spans="1:12" ht="12.75" customHeight="1" thickBot="1" x14ac:dyDescent="0.25">
      <c r="A384" s="60">
        <f t="shared" si="167"/>
        <v>0</v>
      </c>
      <c r="B384" s="60">
        <f t="shared" si="168"/>
        <v>0</v>
      </c>
      <c r="C384" s="60">
        <f t="shared" si="168"/>
        <v>0</v>
      </c>
      <c r="D384" s="60">
        <f t="shared" si="169"/>
        <v>0</v>
      </c>
      <c r="E384" s="60">
        <v>0</v>
      </c>
      <c r="F384" s="60">
        <v>0</v>
      </c>
      <c r="G384" s="60">
        <f t="shared" si="170"/>
        <v>0</v>
      </c>
      <c r="H384" s="60">
        <v>0</v>
      </c>
      <c r="I384" s="60">
        <v>0</v>
      </c>
      <c r="J384" s="65" t="s">
        <v>222</v>
      </c>
      <c r="K384" s="66" t="s">
        <v>257</v>
      </c>
      <c r="L384" s="55"/>
    </row>
    <row r="385" spans="1:12" ht="12.75" customHeight="1" thickBot="1" x14ac:dyDescent="0.25">
      <c r="A385" s="60">
        <f t="shared" ref="A385:H385" si="174">SUM(A383:A384)</f>
        <v>1022</v>
      </c>
      <c r="B385" s="60">
        <f t="shared" si="174"/>
        <v>0</v>
      </c>
      <c r="C385" s="60">
        <f t="shared" si="174"/>
        <v>1022</v>
      </c>
      <c r="D385" s="60">
        <f t="shared" si="174"/>
        <v>41</v>
      </c>
      <c r="E385" s="60">
        <f t="shared" si="174"/>
        <v>0</v>
      </c>
      <c r="F385" s="60">
        <f t="shared" si="174"/>
        <v>41</v>
      </c>
      <c r="G385" s="60">
        <f t="shared" si="174"/>
        <v>981</v>
      </c>
      <c r="H385" s="60">
        <f t="shared" si="174"/>
        <v>0</v>
      </c>
      <c r="I385" s="60">
        <f>SUM(I383:I384)</f>
        <v>981</v>
      </c>
      <c r="J385" s="65" t="s">
        <v>13</v>
      </c>
      <c r="K385" s="67"/>
      <c r="L385" s="55"/>
    </row>
    <row r="386" spans="1:12" ht="12.75" customHeight="1" thickBot="1" x14ac:dyDescent="0.25">
      <c r="A386" s="60">
        <f t="shared" si="167"/>
        <v>1640</v>
      </c>
      <c r="B386" s="60">
        <f t="shared" si="168"/>
        <v>0</v>
      </c>
      <c r="C386" s="60">
        <f t="shared" si="168"/>
        <v>1640</v>
      </c>
      <c r="D386" s="60">
        <f t="shared" si="169"/>
        <v>14</v>
      </c>
      <c r="E386" s="60">
        <v>0</v>
      </c>
      <c r="F386" s="60">
        <v>14</v>
      </c>
      <c r="G386" s="60">
        <f t="shared" si="170"/>
        <v>1626</v>
      </c>
      <c r="H386" s="60">
        <v>0</v>
      </c>
      <c r="I386" s="60">
        <f>1526+100</f>
        <v>1626</v>
      </c>
      <c r="J386" s="65" t="s">
        <v>221</v>
      </c>
      <c r="K386" s="66"/>
      <c r="L386" s="55"/>
    </row>
    <row r="387" spans="1:12" ht="12.75" customHeight="1" thickBot="1" x14ac:dyDescent="0.25">
      <c r="A387" s="60">
        <f t="shared" si="167"/>
        <v>0</v>
      </c>
      <c r="B387" s="60">
        <f t="shared" si="168"/>
        <v>0</v>
      </c>
      <c r="C387" s="60">
        <f t="shared" si="168"/>
        <v>0</v>
      </c>
      <c r="D387" s="60">
        <f t="shared" si="169"/>
        <v>0</v>
      </c>
      <c r="E387" s="60">
        <v>0</v>
      </c>
      <c r="F387" s="60">
        <v>0</v>
      </c>
      <c r="G387" s="60">
        <f t="shared" si="170"/>
        <v>0</v>
      </c>
      <c r="H387" s="60">
        <v>0</v>
      </c>
      <c r="I387" s="60">
        <v>0</v>
      </c>
      <c r="J387" s="65" t="s">
        <v>222</v>
      </c>
      <c r="K387" s="66" t="s">
        <v>418</v>
      </c>
      <c r="L387" s="55"/>
    </row>
    <row r="388" spans="1:12" ht="12.75" customHeight="1" thickBot="1" x14ac:dyDescent="0.25">
      <c r="A388" s="60">
        <f t="shared" ref="A388:H388" si="175">SUM(A386:A387)</f>
        <v>1640</v>
      </c>
      <c r="B388" s="60">
        <f t="shared" si="175"/>
        <v>0</v>
      </c>
      <c r="C388" s="60">
        <f t="shared" si="175"/>
        <v>1640</v>
      </c>
      <c r="D388" s="60">
        <f t="shared" si="175"/>
        <v>14</v>
      </c>
      <c r="E388" s="60">
        <f t="shared" si="175"/>
        <v>0</v>
      </c>
      <c r="F388" s="60">
        <f t="shared" si="175"/>
        <v>14</v>
      </c>
      <c r="G388" s="60">
        <f t="shared" si="175"/>
        <v>1626</v>
      </c>
      <c r="H388" s="60">
        <f t="shared" si="175"/>
        <v>0</v>
      </c>
      <c r="I388" s="60">
        <f>SUM(I386:I387)</f>
        <v>1626</v>
      </c>
      <c r="J388" s="65" t="s">
        <v>13</v>
      </c>
      <c r="K388" s="67"/>
      <c r="L388" s="55"/>
    </row>
    <row r="389" spans="1:12" ht="12.75" customHeight="1" thickBot="1" x14ac:dyDescent="0.25">
      <c r="A389" s="60">
        <f t="shared" si="167"/>
        <v>924</v>
      </c>
      <c r="B389" s="60">
        <f t="shared" si="168"/>
        <v>0</v>
      </c>
      <c r="C389" s="60">
        <f t="shared" si="168"/>
        <v>924</v>
      </c>
      <c r="D389" s="60">
        <f t="shared" si="169"/>
        <v>10</v>
      </c>
      <c r="E389" s="60">
        <v>0</v>
      </c>
      <c r="F389" s="60">
        <v>10</v>
      </c>
      <c r="G389" s="60">
        <f t="shared" si="170"/>
        <v>914</v>
      </c>
      <c r="H389" s="60">
        <v>0</v>
      </c>
      <c r="I389" s="60">
        <v>914</v>
      </c>
      <c r="J389" s="65" t="s">
        <v>221</v>
      </c>
      <c r="K389" s="66"/>
      <c r="L389" s="55"/>
    </row>
    <row r="390" spans="1:12" ht="12.75" customHeight="1" thickBot="1" x14ac:dyDescent="0.25">
      <c r="A390" s="60">
        <f t="shared" si="167"/>
        <v>0</v>
      </c>
      <c r="B390" s="60">
        <f t="shared" si="168"/>
        <v>0</v>
      </c>
      <c r="C390" s="60">
        <f t="shared" si="168"/>
        <v>0</v>
      </c>
      <c r="D390" s="60">
        <f t="shared" si="169"/>
        <v>0</v>
      </c>
      <c r="E390" s="60">
        <v>0</v>
      </c>
      <c r="F390" s="60">
        <v>0</v>
      </c>
      <c r="G390" s="60">
        <f t="shared" si="170"/>
        <v>0</v>
      </c>
      <c r="H390" s="60">
        <v>0</v>
      </c>
      <c r="I390" s="60">
        <v>0</v>
      </c>
      <c r="J390" s="65" t="s">
        <v>222</v>
      </c>
      <c r="K390" s="66" t="s">
        <v>419</v>
      </c>
      <c r="L390" s="55"/>
    </row>
    <row r="391" spans="1:12" ht="12.75" customHeight="1" thickBot="1" x14ac:dyDescent="0.25">
      <c r="A391" s="60">
        <f t="shared" ref="A391:H391" si="176">SUM(A389:A390)</f>
        <v>924</v>
      </c>
      <c r="B391" s="60">
        <f t="shared" si="176"/>
        <v>0</v>
      </c>
      <c r="C391" s="60">
        <f t="shared" si="176"/>
        <v>924</v>
      </c>
      <c r="D391" s="60">
        <f t="shared" si="176"/>
        <v>10</v>
      </c>
      <c r="E391" s="60">
        <f t="shared" si="176"/>
        <v>0</v>
      </c>
      <c r="F391" s="60">
        <f t="shared" si="176"/>
        <v>10</v>
      </c>
      <c r="G391" s="60">
        <f t="shared" si="176"/>
        <v>914</v>
      </c>
      <c r="H391" s="60">
        <f t="shared" si="176"/>
        <v>0</v>
      </c>
      <c r="I391" s="60">
        <f>SUM(I389:I390)</f>
        <v>914</v>
      </c>
      <c r="J391" s="65" t="s">
        <v>13</v>
      </c>
      <c r="K391" s="67"/>
      <c r="L391" s="55"/>
    </row>
    <row r="392" spans="1:12" ht="12.75" customHeight="1" thickBot="1" x14ac:dyDescent="0.25">
      <c r="A392" s="60">
        <f t="shared" si="167"/>
        <v>375</v>
      </c>
      <c r="B392" s="60">
        <f t="shared" si="168"/>
        <v>0</v>
      </c>
      <c r="C392" s="60">
        <f t="shared" si="168"/>
        <v>375</v>
      </c>
      <c r="D392" s="60">
        <f t="shared" si="169"/>
        <v>0</v>
      </c>
      <c r="E392" s="60">
        <v>0</v>
      </c>
      <c r="F392" s="60">
        <v>0</v>
      </c>
      <c r="G392" s="60">
        <f t="shared" si="170"/>
        <v>375</v>
      </c>
      <c r="H392" s="60">
        <v>0</v>
      </c>
      <c r="I392" s="60">
        <v>375</v>
      </c>
      <c r="J392" s="65" t="s">
        <v>221</v>
      </c>
      <c r="K392" s="66"/>
      <c r="L392" s="55"/>
    </row>
    <row r="393" spans="1:12" ht="12.75" customHeight="1" thickBot="1" x14ac:dyDescent="0.25">
      <c r="A393" s="60">
        <f t="shared" si="167"/>
        <v>0</v>
      </c>
      <c r="B393" s="60">
        <f t="shared" si="168"/>
        <v>0</v>
      </c>
      <c r="C393" s="60">
        <f t="shared" si="168"/>
        <v>0</v>
      </c>
      <c r="D393" s="60">
        <f t="shared" si="169"/>
        <v>0</v>
      </c>
      <c r="E393" s="60">
        <v>0</v>
      </c>
      <c r="F393" s="60">
        <v>0</v>
      </c>
      <c r="G393" s="60">
        <f t="shared" si="170"/>
        <v>0</v>
      </c>
      <c r="H393" s="60">
        <v>0</v>
      </c>
      <c r="I393" s="60">
        <v>0</v>
      </c>
      <c r="J393" s="65" t="s">
        <v>222</v>
      </c>
      <c r="K393" s="66" t="s">
        <v>244</v>
      </c>
      <c r="L393" s="55"/>
    </row>
    <row r="394" spans="1:12" ht="12.75" customHeight="1" thickBot="1" x14ac:dyDescent="0.25">
      <c r="A394" s="60">
        <f t="shared" ref="A394:H394" si="177">SUM(A392:A393)</f>
        <v>375</v>
      </c>
      <c r="B394" s="60">
        <f t="shared" si="177"/>
        <v>0</v>
      </c>
      <c r="C394" s="60">
        <f t="shared" si="177"/>
        <v>375</v>
      </c>
      <c r="D394" s="60">
        <f t="shared" si="177"/>
        <v>0</v>
      </c>
      <c r="E394" s="60">
        <f t="shared" si="177"/>
        <v>0</v>
      </c>
      <c r="F394" s="60">
        <f t="shared" si="177"/>
        <v>0</v>
      </c>
      <c r="G394" s="60">
        <f t="shared" si="177"/>
        <v>375</v>
      </c>
      <c r="H394" s="60">
        <f t="shared" si="177"/>
        <v>0</v>
      </c>
      <c r="I394" s="60">
        <f>SUM(I392:I393)</f>
        <v>375</v>
      </c>
      <c r="J394" s="65" t="s">
        <v>13</v>
      </c>
      <c r="K394" s="67"/>
      <c r="L394" s="55"/>
    </row>
    <row r="395" spans="1:12" ht="12.75" customHeight="1" thickBot="1" x14ac:dyDescent="0.25">
      <c r="A395" s="60">
        <f t="shared" si="167"/>
        <v>373</v>
      </c>
      <c r="B395" s="60">
        <f t="shared" si="168"/>
        <v>0</v>
      </c>
      <c r="C395" s="60">
        <f t="shared" si="168"/>
        <v>373</v>
      </c>
      <c r="D395" s="60">
        <f t="shared" si="169"/>
        <v>0</v>
      </c>
      <c r="E395" s="60">
        <v>0</v>
      </c>
      <c r="F395" s="60">
        <v>0</v>
      </c>
      <c r="G395" s="60">
        <f t="shared" si="170"/>
        <v>373</v>
      </c>
      <c r="H395" s="60">
        <v>0</v>
      </c>
      <c r="I395" s="60">
        <v>373</v>
      </c>
      <c r="J395" s="65" t="s">
        <v>221</v>
      </c>
      <c r="K395" s="66"/>
      <c r="L395" s="55"/>
    </row>
    <row r="396" spans="1:12" ht="12.75" customHeight="1" thickBot="1" x14ac:dyDescent="0.25">
      <c r="A396" s="60">
        <f t="shared" si="167"/>
        <v>0</v>
      </c>
      <c r="B396" s="60">
        <f t="shared" si="168"/>
        <v>0</v>
      </c>
      <c r="C396" s="60">
        <f t="shared" si="168"/>
        <v>0</v>
      </c>
      <c r="D396" s="60">
        <f t="shared" si="169"/>
        <v>0</v>
      </c>
      <c r="E396" s="60">
        <v>0</v>
      </c>
      <c r="F396" s="60">
        <v>0</v>
      </c>
      <c r="G396" s="60">
        <f t="shared" si="170"/>
        <v>0</v>
      </c>
      <c r="H396" s="60">
        <v>0</v>
      </c>
      <c r="I396" s="60">
        <v>0</v>
      </c>
      <c r="J396" s="65" t="s">
        <v>222</v>
      </c>
      <c r="K396" s="66" t="s">
        <v>337</v>
      </c>
      <c r="L396" s="55"/>
    </row>
    <row r="397" spans="1:12" ht="12.75" customHeight="1" thickBot="1" x14ac:dyDescent="0.25">
      <c r="A397" s="60">
        <f t="shared" ref="A397:H397" si="178">SUM(A395:A396)</f>
        <v>373</v>
      </c>
      <c r="B397" s="60">
        <f t="shared" si="178"/>
        <v>0</v>
      </c>
      <c r="C397" s="60">
        <f t="shared" si="178"/>
        <v>373</v>
      </c>
      <c r="D397" s="60">
        <f t="shared" si="178"/>
        <v>0</v>
      </c>
      <c r="E397" s="60">
        <f t="shared" si="178"/>
        <v>0</v>
      </c>
      <c r="F397" s="60">
        <f t="shared" si="178"/>
        <v>0</v>
      </c>
      <c r="G397" s="60">
        <f t="shared" si="178"/>
        <v>373</v>
      </c>
      <c r="H397" s="60">
        <f t="shared" si="178"/>
        <v>0</v>
      </c>
      <c r="I397" s="60">
        <f>SUM(I395:I396)</f>
        <v>373</v>
      </c>
      <c r="J397" s="65" t="s">
        <v>13</v>
      </c>
      <c r="K397" s="67"/>
      <c r="L397" s="55"/>
    </row>
    <row r="398" spans="1:12" ht="12.75" customHeight="1" thickBot="1" x14ac:dyDescent="0.25">
      <c r="A398" s="60">
        <f t="shared" si="167"/>
        <v>535</v>
      </c>
      <c r="B398" s="60">
        <f t="shared" si="168"/>
        <v>0</v>
      </c>
      <c r="C398" s="60">
        <f t="shared" si="168"/>
        <v>535</v>
      </c>
      <c r="D398" s="60">
        <f t="shared" si="169"/>
        <v>1</v>
      </c>
      <c r="E398" s="60">
        <v>0</v>
      </c>
      <c r="F398" s="60">
        <v>1</v>
      </c>
      <c r="G398" s="60">
        <f t="shared" si="170"/>
        <v>534</v>
      </c>
      <c r="H398" s="60">
        <v>0</v>
      </c>
      <c r="I398" s="60">
        <v>534</v>
      </c>
      <c r="J398" s="65" t="s">
        <v>221</v>
      </c>
      <c r="K398" s="66"/>
      <c r="L398" s="55"/>
    </row>
    <row r="399" spans="1:12" ht="12.75" customHeight="1" thickBot="1" x14ac:dyDescent="0.25">
      <c r="A399" s="60">
        <f t="shared" si="167"/>
        <v>534</v>
      </c>
      <c r="B399" s="60">
        <f t="shared" si="168"/>
        <v>0</v>
      </c>
      <c r="C399" s="60">
        <f t="shared" si="168"/>
        <v>534</v>
      </c>
      <c r="D399" s="60">
        <f t="shared" si="169"/>
        <v>0</v>
      </c>
      <c r="E399" s="60">
        <v>0</v>
      </c>
      <c r="F399" s="60">
        <v>0</v>
      </c>
      <c r="G399" s="60">
        <f t="shared" si="170"/>
        <v>534</v>
      </c>
      <c r="H399" s="60">
        <v>0</v>
      </c>
      <c r="I399" s="60">
        <v>534</v>
      </c>
      <c r="J399" s="65" t="s">
        <v>222</v>
      </c>
      <c r="K399" s="66" t="s">
        <v>264</v>
      </c>
      <c r="L399" s="55"/>
    </row>
    <row r="400" spans="1:12" ht="12.75" customHeight="1" thickBot="1" x14ac:dyDescent="0.25">
      <c r="A400" s="60">
        <f t="shared" ref="A400:H400" si="179">SUM(A398:A399)</f>
        <v>1069</v>
      </c>
      <c r="B400" s="60">
        <f t="shared" si="179"/>
        <v>0</v>
      </c>
      <c r="C400" s="60">
        <f t="shared" si="179"/>
        <v>1069</v>
      </c>
      <c r="D400" s="60">
        <f t="shared" si="179"/>
        <v>1</v>
      </c>
      <c r="E400" s="60">
        <f t="shared" si="179"/>
        <v>0</v>
      </c>
      <c r="F400" s="60">
        <f t="shared" si="179"/>
        <v>1</v>
      </c>
      <c r="G400" s="60">
        <f t="shared" si="179"/>
        <v>1068</v>
      </c>
      <c r="H400" s="60">
        <f t="shared" si="179"/>
        <v>0</v>
      </c>
      <c r="I400" s="60">
        <f>SUM(I398:I399)</f>
        <v>1068</v>
      </c>
      <c r="J400" s="65" t="s">
        <v>13</v>
      </c>
      <c r="K400" s="67"/>
      <c r="L400" s="55"/>
    </row>
    <row r="401" spans="1:12" ht="12.75" customHeight="1" thickBot="1" x14ac:dyDescent="0.25">
      <c r="A401" s="60">
        <f t="shared" si="167"/>
        <v>1408</v>
      </c>
      <c r="B401" s="60">
        <f t="shared" si="168"/>
        <v>0</v>
      </c>
      <c r="C401" s="60">
        <f t="shared" si="168"/>
        <v>1408</v>
      </c>
      <c r="D401" s="60">
        <f t="shared" si="169"/>
        <v>13</v>
      </c>
      <c r="E401" s="60">
        <v>0</v>
      </c>
      <c r="F401" s="60">
        <v>13</v>
      </c>
      <c r="G401" s="60">
        <f t="shared" si="170"/>
        <v>1395</v>
      </c>
      <c r="H401" s="60">
        <v>0</v>
      </c>
      <c r="I401" s="60">
        <v>1395</v>
      </c>
      <c r="J401" s="65" t="s">
        <v>221</v>
      </c>
      <c r="K401" s="66"/>
      <c r="L401" s="55"/>
    </row>
    <row r="402" spans="1:12" ht="12.75" customHeight="1" thickBot="1" x14ac:dyDescent="0.25">
      <c r="A402" s="60">
        <f t="shared" si="167"/>
        <v>0</v>
      </c>
      <c r="B402" s="60">
        <f t="shared" si="168"/>
        <v>0</v>
      </c>
      <c r="C402" s="60">
        <f t="shared" si="168"/>
        <v>0</v>
      </c>
      <c r="D402" s="60">
        <f t="shared" si="169"/>
        <v>0</v>
      </c>
      <c r="E402" s="60">
        <v>0</v>
      </c>
      <c r="F402" s="60">
        <v>0</v>
      </c>
      <c r="G402" s="60">
        <f t="shared" si="170"/>
        <v>0</v>
      </c>
      <c r="H402" s="60">
        <v>0</v>
      </c>
      <c r="I402" s="60">
        <v>0</v>
      </c>
      <c r="J402" s="65" t="s">
        <v>222</v>
      </c>
      <c r="K402" s="66" t="s">
        <v>377</v>
      </c>
      <c r="L402" s="55"/>
    </row>
    <row r="403" spans="1:12" ht="12.75" customHeight="1" thickBot="1" x14ac:dyDescent="0.25">
      <c r="A403" s="60">
        <f t="shared" ref="A403:H403" si="180">SUM(A401:A402)</f>
        <v>1408</v>
      </c>
      <c r="B403" s="60">
        <f t="shared" si="180"/>
        <v>0</v>
      </c>
      <c r="C403" s="60">
        <f t="shared" si="180"/>
        <v>1408</v>
      </c>
      <c r="D403" s="60">
        <f t="shared" si="180"/>
        <v>13</v>
      </c>
      <c r="E403" s="60">
        <f t="shared" si="180"/>
        <v>0</v>
      </c>
      <c r="F403" s="60">
        <f t="shared" si="180"/>
        <v>13</v>
      </c>
      <c r="G403" s="60">
        <f t="shared" si="180"/>
        <v>1395</v>
      </c>
      <c r="H403" s="60">
        <f t="shared" si="180"/>
        <v>0</v>
      </c>
      <c r="I403" s="60">
        <f>SUM(I401:I402)</f>
        <v>1395</v>
      </c>
      <c r="J403" s="65" t="s">
        <v>13</v>
      </c>
      <c r="K403" s="67"/>
      <c r="L403" s="55"/>
    </row>
    <row r="404" spans="1:12" ht="12.75" customHeight="1" thickBot="1" x14ac:dyDescent="0.25">
      <c r="A404" s="60">
        <f t="shared" si="167"/>
        <v>316</v>
      </c>
      <c r="B404" s="60">
        <f t="shared" si="168"/>
        <v>316</v>
      </c>
      <c r="C404" s="60">
        <f t="shared" si="168"/>
        <v>0</v>
      </c>
      <c r="D404" s="60">
        <f t="shared" si="169"/>
        <v>0</v>
      </c>
      <c r="E404" s="60">
        <v>0</v>
      </c>
      <c r="F404" s="60">
        <v>0</v>
      </c>
      <c r="G404" s="60">
        <f t="shared" si="170"/>
        <v>316</v>
      </c>
      <c r="H404" s="60">
        <v>316</v>
      </c>
      <c r="I404" s="60">
        <v>0</v>
      </c>
      <c r="J404" s="65" t="s">
        <v>221</v>
      </c>
      <c r="K404" s="66"/>
      <c r="L404" s="55"/>
    </row>
    <row r="405" spans="1:12" ht="12.75" customHeight="1" thickBot="1" x14ac:dyDescent="0.25">
      <c r="A405" s="60">
        <f t="shared" si="167"/>
        <v>0</v>
      </c>
      <c r="B405" s="60">
        <f t="shared" si="168"/>
        <v>0</v>
      </c>
      <c r="C405" s="60">
        <f t="shared" si="168"/>
        <v>0</v>
      </c>
      <c r="D405" s="60">
        <f t="shared" si="169"/>
        <v>0</v>
      </c>
      <c r="E405" s="60">
        <v>0</v>
      </c>
      <c r="F405" s="60">
        <v>0</v>
      </c>
      <c r="G405" s="60">
        <f t="shared" si="170"/>
        <v>0</v>
      </c>
      <c r="H405" s="60">
        <v>0</v>
      </c>
      <c r="I405" s="60">
        <v>0</v>
      </c>
      <c r="J405" s="65" t="s">
        <v>222</v>
      </c>
      <c r="K405" s="66" t="s">
        <v>354</v>
      </c>
      <c r="L405" s="55"/>
    </row>
    <row r="406" spans="1:12" ht="12.75" customHeight="1" thickBot="1" x14ac:dyDescent="0.25">
      <c r="A406" s="60">
        <f t="shared" ref="A406:H406" si="181">SUM(A404:A405)</f>
        <v>316</v>
      </c>
      <c r="B406" s="60">
        <f t="shared" si="181"/>
        <v>316</v>
      </c>
      <c r="C406" s="60">
        <f t="shared" si="181"/>
        <v>0</v>
      </c>
      <c r="D406" s="60">
        <f t="shared" si="181"/>
        <v>0</v>
      </c>
      <c r="E406" s="60">
        <f t="shared" si="181"/>
        <v>0</v>
      </c>
      <c r="F406" s="60">
        <f t="shared" si="181"/>
        <v>0</v>
      </c>
      <c r="G406" s="60">
        <f t="shared" si="181"/>
        <v>316</v>
      </c>
      <c r="H406" s="60">
        <f t="shared" si="181"/>
        <v>316</v>
      </c>
      <c r="I406" s="60">
        <f>SUM(I404:I405)</f>
        <v>0</v>
      </c>
      <c r="J406" s="65" t="s">
        <v>13</v>
      </c>
      <c r="K406" s="67"/>
      <c r="L406" s="55"/>
    </row>
    <row r="407" spans="1:12" ht="12.75" customHeight="1" thickBot="1" x14ac:dyDescent="0.25">
      <c r="A407" s="60">
        <f t="shared" si="167"/>
        <v>1186</v>
      </c>
      <c r="B407" s="60">
        <f t="shared" si="168"/>
        <v>136</v>
      </c>
      <c r="C407" s="60">
        <f t="shared" si="168"/>
        <v>1050</v>
      </c>
      <c r="D407" s="60">
        <f t="shared" si="169"/>
        <v>4</v>
      </c>
      <c r="E407" s="60">
        <v>0</v>
      </c>
      <c r="F407" s="60">
        <v>4</v>
      </c>
      <c r="G407" s="60">
        <f t="shared" si="170"/>
        <v>1182</v>
      </c>
      <c r="H407" s="60">
        <v>136</v>
      </c>
      <c r="I407" s="60">
        <v>1046</v>
      </c>
      <c r="J407" s="65" t="s">
        <v>221</v>
      </c>
      <c r="K407" s="66"/>
      <c r="L407" s="55"/>
    </row>
    <row r="408" spans="1:12" ht="12.75" customHeight="1" thickBot="1" x14ac:dyDescent="0.25">
      <c r="A408" s="60">
        <f t="shared" si="167"/>
        <v>0</v>
      </c>
      <c r="B408" s="60">
        <f t="shared" si="168"/>
        <v>0</v>
      </c>
      <c r="C408" s="60">
        <f t="shared" si="168"/>
        <v>0</v>
      </c>
      <c r="D408" s="60">
        <f t="shared" si="169"/>
        <v>0</v>
      </c>
      <c r="E408" s="60">
        <v>0</v>
      </c>
      <c r="F408" s="60">
        <v>0</v>
      </c>
      <c r="G408" s="60">
        <f t="shared" si="170"/>
        <v>0</v>
      </c>
      <c r="H408" s="60">
        <v>0</v>
      </c>
      <c r="I408" s="60">
        <v>0</v>
      </c>
      <c r="J408" s="65" t="s">
        <v>222</v>
      </c>
      <c r="K408" s="66" t="s">
        <v>365</v>
      </c>
      <c r="L408" s="55"/>
    </row>
    <row r="409" spans="1:12" ht="12.75" customHeight="1" thickBot="1" x14ac:dyDescent="0.25">
      <c r="A409" s="60">
        <f t="shared" ref="A409:H409" si="182">SUM(A407:A408)</f>
        <v>1186</v>
      </c>
      <c r="B409" s="60">
        <f t="shared" si="182"/>
        <v>136</v>
      </c>
      <c r="C409" s="60">
        <f t="shared" si="182"/>
        <v>1050</v>
      </c>
      <c r="D409" s="60">
        <f t="shared" si="182"/>
        <v>4</v>
      </c>
      <c r="E409" s="60">
        <f t="shared" si="182"/>
        <v>0</v>
      </c>
      <c r="F409" s="60">
        <f t="shared" si="182"/>
        <v>4</v>
      </c>
      <c r="G409" s="60">
        <f t="shared" si="182"/>
        <v>1182</v>
      </c>
      <c r="H409" s="60">
        <f t="shared" si="182"/>
        <v>136</v>
      </c>
      <c r="I409" s="60">
        <f>SUM(I407:I408)</f>
        <v>1046</v>
      </c>
      <c r="J409" s="65" t="s">
        <v>13</v>
      </c>
      <c r="K409" s="67"/>
      <c r="L409" s="55"/>
    </row>
    <row r="410" spans="1:12" ht="12.75" customHeight="1" thickBot="1" x14ac:dyDescent="0.25">
      <c r="A410" s="60">
        <f t="shared" si="167"/>
        <v>892</v>
      </c>
      <c r="B410" s="60">
        <f t="shared" si="168"/>
        <v>222</v>
      </c>
      <c r="C410" s="60">
        <f t="shared" si="168"/>
        <v>670</v>
      </c>
      <c r="D410" s="60">
        <f t="shared" si="169"/>
        <v>0</v>
      </c>
      <c r="E410" s="60">
        <v>0</v>
      </c>
      <c r="F410" s="60">
        <v>0</v>
      </c>
      <c r="G410" s="60">
        <f t="shared" si="170"/>
        <v>892</v>
      </c>
      <c r="H410" s="60">
        <v>222</v>
      </c>
      <c r="I410" s="60">
        <v>670</v>
      </c>
      <c r="J410" s="65" t="s">
        <v>221</v>
      </c>
      <c r="K410" s="66"/>
      <c r="L410" s="55"/>
    </row>
    <row r="411" spans="1:12" ht="12.75" customHeight="1" thickBot="1" x14ac:dyDescent="0.25">
      <c r="A411" s="60">
        <f t="shared" si="167"/>
        <v>0</v>
      </c>
      <c r="B411" s="60">
        <f t="shared" si="168"/>
        <v>0</v>
      </c>
      <c r="C411" s="60">
        <f t="shared" si="168"/>
        <v>0</v>
      </c>
      <c r="D411" s="60">
        <f t="shared" si="169"/>
        <v>0</v>
      </c>
      <c r="E411" s="60">
        <v>0</v>
      </c>
      <c r="F411" s="60">
        <v>0</v>
      </c>
      <c r="G411" s="60">
        <f t="shared" si="170"/>
        <v>0</v>
      </c>
      <c r="H411" s="60">
        <v>0</v>
      </c>
      <c r="I411" s="60">
        <v>0</v>
      </c>
      <c r="J411" s="65" t="s">
        <v>222</v>
      </c>
      <c r="K411" s="66" t="s">
        <v>263</v>
      </c>
      <c r="L411" s="55"/>
    </row>
    <row r="412" spans="1:12" ht="12.75" customHeight="1" thickBot="1" x14ac:dyDescent="0.25">
      <c r="A412" s="60">
        <f t="shared" ref="A412:H412" si="183">SUM(A410:A411)</f>
        <v>892</v>
      </c>
      <c r="B412" s="60">
        <f t="shared" si="183"/>
        <v>222</v>
      </c>
      <c r="C412" s="60">
        <f t="shared" si="183"/>
        <v>670</v>
      </c>
      <c r="D412" s="60">
        <f t="shared" si="183"/>
        <v>0</v>
      </c>
      <c r="E412" s="60">
        <f t="shared" si="183"/>
        <v>0</v>
      </c>
      <c r="F412" s="60">
        <f t="shared" si="183"/>
        <v>0</v>
      </c>
      <c r="G412" s="60">
        <f t="shared" si="183"/>
        <v>892</v>
      </c>
      <c r="H412" s="60">
        <f t="shared" si="183"/>
        <v>222</v>
      </c>
      <c r="I412" s="60">
        <f>SUM(I410:I411)</f>
        <v>670</v>
      </c>
      <c r="J412" s="65" t="s">
        <v>13</v>
      </c>
      <c r="K412" s="67"/>
      <c r="L412" s="55"/>
    </row>
    <row r="413" spans="1:12" ht="12.75" customHeight="1" thickBot="1" x14ac:dyDescent="0.25">
      <c r="A413" s="60">
        <f t="shared" si="167"/>
        <v>893</v>
      </c>
      <c r="B413" s="60">
        <f t="shared" si="168"/>
        <v>893</v>
      </c>
      <c r="C413" s="60">
        <f t="shared" si="168"/>
        <v>0</v>
      </c>
      <c r="D413" s="60">
        <f t="shared" si="169"/>
        <v>0</v>
      </c>
      <c r="E413" s="60">
        <v>0</v>
      </c>
      <c r="F413" s="60">
        <v>0</v>
      </c>
      <c r="G413" s="60">
        <f t="shared" si="170"/>
        <v>893</v>
      </c>
      <c r="H413" s="60">
        <v>893</v>
      </c>
      <c r="I413" s="60">
        <v>0</v>
      </c>
      <c r="J413" s="65" t="s">
        <v>221</v>
      </c>
      <c r="K413" s="66"/>
      <c r="L413" s="55"/>
    </row>
    <row r="414" spans="1:12" ht="12.75" customHeight="1" thickBot="1" x14ac:dyDescent="0.25">
      <c r="A414" s="60">
        <f t="shared" si="167"/>
        <v>363</v>
      </c>
      <c r="B414" s="60">
        <f t="shared" si="168"/>
        <v>363</v>
      </c>
      <c r="C414" s="60">
        <f t="shared" si="168"/>
        <v>0</v>
      </c>
      <c r="D414" s="60">
        <f t="shared" si="169"/>
        <v>0</v>
      </c>
      <c r="E414" s="60">
        <v>0</v>
      </c>
      <c r="F414" s="60">
        <v>0</v>
      </c>
      <c r="G414" s="60">
        <f t="shared" si="170"/>
        <v>363</v>
      </c>
      <c r="H414" s="60">
        <v>363</v>
      </c>
      <c r="I414" s="60">
        <v>0</v>
      </c>
      <c r="J414" s="65" t="s">
        <v>222</v>
      </c>
      <c r="K414" s="66" t="s">
        <v>420</v>
      </c>
      <c r="L414" s="55"/>
    </row>
    <row r="415" spans="1:12" ht="12.75" customHeight="1" thickBot="1" x14ac:dyDescent="0.25">
      <c r="A415" s="60">
        <f t="shared" ref="A415:H415" si="184">SUM(A413:A414)</f>
        <v>1256</v>
      </c>
      <c r="B415" s="60">
        <f t="shared" si="184"/>
        <v>1256</v>
      </c>
      <c r="C415" s="60">
        <f t="shared" si="184"/>
        <v>0</v>
      </c>
      <c r="D415" s="60">
        <f t="shared" si="184"/>
        <v>0</v>
      </c>
      <c r="E415" s="60">
        <f t="shared" si="184"/>
        <v>0</v>
      </c>
      <c r="F415" s="60">
        <f t="shared" si="184"/>
        <v>0</v>
      </c>
      <c r="G415" s="60">
        <f t="shared" si="184"/>
        <v>1256</v>
      </c>
      <c r="H415" s="60">
        <f t="shared" si="184"/>
        <v>1256</v>
      </c>
      <c r="I415" s="60">
        <f>SUM(I413:I414)</f>
        <v>0</v>
      </c>
      <c r="J415" s="65" t="s">
        <v>13</v>
      </c>
      <c r="K415" s="67"/>
      <c r="L415" s="55"/>
    </row>
    <row r="416" spans="1:12" ht="12.75" customHeight="1" thickBot="1" x14ac:dyDescent="0.25">
      <c r="A416" s="60">
        <f t="shared" si="167"/>
        <v>3192</v>
      </c>
      <c r="B416" s="60">
        <f t="shared" si="168"/>
        <v>3192</v>
      </c>
      <c r="C416" s="60">
        <f t="shared" si="168"/>
        <v>0</v>
      </c>
      <c r="D416" s="60">
        <f t="shared" si="169"/>
        <v>0</v>
      </c>
      <c r="E416" s="60">
        <v>0</v>
      </c>
      <c r="F416" s="60">
        <v>0</v>
      </c>
      <c r="G416" s="60">
        <f t="shared" si="170"/>
        <v>3192</v>
      </c>
      <c r="H416" s="60">
        <v>3192</v>
      </c>
      <c r="I416" s="60">
        <v>0</v>
      </c>
      <c r="J416" s="65" t="s">
        <v>221</v>
      </c>
      <c r="K416" s="66"/>
      <c r="L416" s="55"/>
    </row>
    <row r="417" spans="1:12" ht="12.75" customHeight="1" thickBot="1" x14ac:dyDescent="0.25">
      <c r="A417" s="60">
        <f t="shared" si="167"/>
        <v>0</v>
      </c>
      <c r="B417" s="60">
        <f t="shared" si="168"/>
        <v>0</v>
      </c>
      <c r="C417" s="60">
        <f t="shared" si="168"/>
        <v>0</v>
      </c>
      <c r="D417" s="60">
        <f t="shared" si="169"/>
        <v>0</v>
      </c>
      <c r="E417" s="60">
        <v>0</v>
      </c>
      <c r="F417" s="60">
        <v>0</v>
      </c>
      <c r="G417" s="60">
        <f t="shared" si="170"/>
        <v>0</v>
      </c>
      <c r="H417" s="60">
        <v>0</v>
      </c>
      <c r="I417" s="60">
        <v>0</v>
      </c>
      <c r="J417" s="65" t="s">
        <v>222</v>
      </c>
      <c r="K417" s="66" t="s">
        <v>421</v>
      </c>
      <c r="L417" s="55"/>
    </row>
    <row r="418" spans="1:12" ht="12.75" customHeight="1" thickBot="1" x14ac:dyDescent="0.25">
      <c r="A418" s="60">
        <f t="shared" ref="A418:H418" si="185">SUM(A416:A417)</f>
        <v>3192</v>
      </c>
      <c r="B418" s="60">
        <f t="shared" si="185"/>
        <v>3192</v>
      </c>
      <c r="C418" s="60">
        <f t="shared" si="185"/>
        <v>0</v>
      </c>
      <c r="D418" s="60">
        <f t="shared" si="185"/>
        <v>0</v>
      </c>
      <c r="E418" s="60">
        <f t="shared" si="185"/>
        <v>0</v>
      </c>
      <c r="F418" s="60">
        <f t="shared" si="185"/>
        <v>0</v>
      </c>
      <c r="G418" s="60">
        <f t="shared" si="185"/>
        <v>3192</v>
      </c>
      <c r="H418" s="60">
        <f t="shared" si="185"/>
        <v>3192</v>
      </c>
      <c r="I418" s="60">
        <f>SUM(I416:I417)</f>
        <v>0</v>
      </c>
      <c r="J418" s="65" t="s">
        <v>13</v>
      </c>
      <c r="K418" s="67"/>
      <c r="L418" s="55"/>
    </row>
    <row r="419" spans="1:12" ht="12.75" customHeight="1" thickBot="1" x14ac:dyDescent="0.25">
      <c r="A419" s="60">
        <f t="shared" si="167"/>
        <v>5561</v>
      </c>
      <c r="B419" s="60">
        <f t="shared" si="168"/>
        <v>5561</v>
      </c>
      <c r="C419" s="60">
        <f t="shared" si="168"/>
        <v>0</v>
      </c>
      <c r="D419" s="60">
        <f t="shared" si="169"/>
        <v>0</v>
      </c>
      <c r="E419" s="60">
        <v>0</v>
      </c>
      <c r="F419" s="60">
        <v>0</v>
      </c>
      <c r="G419" s="60">
        <f t="shared" si="170"/>
        <v>5561</v>
      </c>
      <c r="H419" s="60">
        <v>5561</v>
      </c>
      <c r="I419" s="60">
        <v>0</v>
      </c>
      <c r="J419" s="65" t="s">
        <v>221</v>
      </c>
      <c r="K419" s="66"/>
      <c r="L419" s="55"/>
    </row>
    <row r="420" spans="1:12" ht="12.75" customHeight="1" thickBot="1" x14ac:dyDescent="0.25">
      <c r="A420" s="60">
        <f t="shared" si="167"/>
        <v>1915</v>
      </c>
      <c r="B420" s="60">
        <f t="shared" si="168"/>
        <v>1915</v>
      </c>
      <c r="C420" s="60">
        <f t="shared" si="168"/>
        <v>0</v>
      </c>
      <c r="D420" s="60">
        <f t="shared" si="169"/>
        <v>0</v>
      </c>
      <c r="E420" s="60">
        <v>0</v>
      </c>
      <c r="F420" s="60">
        <v>0</v>
      </c>
      <c r="G420" s="60">
        <f t="shared" si="170"/>
        <v>1915</v>
      </c>
      <c r="H420" s="60">
        <v>1915</v>
      </c>
      <c r="I420" s="60">
        <v>0</v>
      </c>
      <c r="J420" s="65" t="s">
        <v>222</v>
      </c>
      <c r="K420" s="66" t="s">
        <v>422</v>
      </c>
      <c r="L420" s="55"/>
    </row>
    <row r="421" spans="1:12" ht="12.75" customHeight="1" thickBot="1" x14ac:dyDescent="0.25">
      <c r="A421" s="60">
        <f t="shared" ref="A421:H421" si="186">SUM(A419:A420)</f>
        <v>7476</v>
      </c>
      <c r="B421" s="60">
        <f t="shared" si="186"/>
        <v>7476</v>
      </c>
      <c r="C421" s="60">
        <f t="shared" si="186"/>
        <v>0</v>
      </c>
      <c r="D421" s="60">
        <f t="shared" si="186"/>
        <v>0</v>
      </c>
      <c r="E421" s="60">
        <f t="shared" si="186"/>
        <v>0</v>
      </c>
      <c r="F421" s="60">
        <f t="shared" si="186"/>
        <v>0</v>
      </c>
      <c r="G421" s="60">
        <f t="shared" si="186"/>
        <v>7476</v>
      </c>
      <c r="H421" s="60">
        <f t="shared" si="186"/>
        <v>7476</v>
      </c>
      <c r="I421" s="60">
        <f>SUM(I419:I420)</f>
        <v>0</v>
      </c>
      <c r="J421" s="65" t="s">
        <v>13</v>
      </c>
      <c r="K421" s="67"/>
      <c r="L421" s="55"/>
    </row>
    <row r="422" spans="1:12" ht="12.75" customHeight="1" thickBot="1" x14ac:dyDescent="0.25">
      <c r="A422" s="60">
        <f t="shared" si="167"/>
        <v>1793</v>
      </c>
      <c r="B422" s="60">
        <f t="shared" si="168"/>
        <v>1793</v>
      </c>
      <c r="C422" s="60">
        <f t="shared" si="168"/>
        <v>0</v>
      </c>
      <c r="D422" s="60">
        <f t="shared" si="169"/>
        <v>0</v>
      </c>
      <c r="E422" s="60">
        <v>0</v>
      </c>
      <c r="F422" s="60">
        <v>0</v>
      </c>
      <c r="G422" s="60">
        <f t="shared" si="170"/>
        <v>1793</v>
      </c>
      <c r="H422" s="60">
        <v>1793</v>
      </c>
      <c r="I422" s="60">
        <v>0</v>
      </c>
      <c r="J422" s="65" t="s">
        <v>221</v>
      </c>
      <c r="K422" s="66"/>
      <c r="L422" s="55"/>
    </row>
    <row r="423" spans="1:12" ht="12.75" customHeight="1" thickBot="1" x14ac:dyDescent="0.25">
      <c r="A423" s="60">
        <f t="shared" si="167"/>
        <v>0</v>
      </c>
      <c r="B423" s="60">
        <f t="shared" si="168"/>
        <v>0</v>
      </c>
      <c r="C423" s="60">
        <f t="shared" si="168"/>
        <v>0</v>
      </c>
      <c r="D423" s="60">
        <f t="shared" si="169"/>
        <v>0</v>
      </c>
      <c r="E423" s="60">
        <v>0</v>
      </c>
      <c r="F423" s="60">
        <v>0</v>
      </c>
      <c r="G423" s="60">
        <f t="shared" si="170"/>
        <v>0</v>
      </c>
      <c r="H423" s="60">
        <v>0</v>
      </c>
      <c r="I423" s="60">
        <v>0</v>
      </c>
      <c r="J423" s="65" t="s">
        <v>222</v>
      </c>
      <c r="K423" s="66" t="s">
        <v>423</v>
      </c>
      <c r="L423" s="55"/>
    </row>
    <row r="424" spans="1:12" ht="12.75" customHeight="1" thickBot="1" x14ac:dyDescent="0.25">
      <c r="A424" s="60">
        <f t="shared" ref="A424:H424" si="187">SUM(A422:A423)</f>
        <v>1793</v>
      </c>
      <c r="B424" s="60">
        <f t="shared" si="187"/>
        <v>1793</v>
      </c>
      <c r="C424" s="60">
        <f t="shared" si="187"/>
        <v>0</v>
      </c>
      <c r="D424" s="60">
        <f t="shared" si="187"/>
        <v>0</v>
      </c>
      <c r="E424" s="60">
        <f t="shared" si="187"/>
        <v>0</v>
      </c>
      <c r="F424" s="60">
        <f t="shared" si="187"/>
        <v>0</v>
      </c>
      <c r="G424" s="60">
        <f t="shared" si="187"/>
        <v>1793</v>
      </c>
      <c r="H424" s="60">
        <f t="shared" si="187"/>
        <v>1793</v>
      </c>
      <c r="I424" s="60">
        <f>SUM(I422:I423)</f>
        <v>0</v>
      </c>
      <c r="J424" s="65" t="s">
        <v>13</v>
      </c>
      <c r="K424" s="67"/>
      <c r="L424" s="55"/>
    </row>
    <row r="425" spans="1:12" ht="12.75" customHeight="1" thickBot="1" x14ac:dyDescent="0.25">
      <c r="A425" s="60">
        <f t="shared" si="167"/>
        <v>2628</v>
      </c>
      <c r="B425" s="60">
        <f t="shared" si="168"/>
        <v>2628</v>
      </c>
      <c r="C425" s="60">
        <f t="shared" si="168"/>
        <v>0</v>
      </c>
      <c r="D425" s="60">
        <f t="shared" si="169"/>
        <v>0</v>
      </c>
      <c r="E425" s="60">
        <v>0</v>
      </c>
      <c r="F425" s="60">
        <v>0</v>
      </c>
      <c r="G425" s="60">
        <f t="shared" si="170"/>
        <v>2628</v>
      </c>
      <c r="H425" s="60">
        <v>2628</v>
      </c>
      <c r="I425" s="60">
        <v>0</v>
      </c>
      <c r="J425" s="65" t="s">
        <v>221</v>
      </c>
      <c r="K425" s="66"/>
      <c r="L425" s="55"/>
    </row>
    <row r="426" spans="1:12" ht="12.75" customHeight="1" thickBot="1" x14ac:dyDescent="0.25">
      <c r="A426" s="60">
        <f t="shared" si="167"/>
        <v>300</v>
      </c>
      <c r="B426" s="60">
        <f t="shared" si="168"/>
        <v>300</v>
      </c>
      <c r="C426" s="60">
        <f t="shared" si="168"/>
        <v>0</v>
      </c>
      <c r="D426" s="60">
        <f t="shared" si="169"/>
        <v>0</v>
      </c>
      <c r="E426" s="60">
        <v>0</v>
      </c>
      <c r="F426" s="60">
        <v>0</v>
      </c>
      <c r="G426" s="60">
        <f t="shared" si="170"/>
        <v>300</v>
      </c>
      <c r="H426" s="60">
        <v>300</v>
      </c>
      <c r="I426" s="60">
        <v>0</v>
      </c>
      <c r="J426" s="65" t="s">
        <v>222</v>
      </c>
      <c r="K426" s="66" t="s">
        <v>424</v>
      </c>
      <c r="L426" s="55"/>
    </row>
    <row r="427" spans="1:12" ht="12.75" customHeight="1" thickBot="1" x14ac:dyDescent="0.25">
      <c r="A427" s="60">
        <f t="shared" ref="A427:H427" si="188">SUM(A425:A426)</f>
        <v>2928</v>
      </c>
      <c r="B427" s="60">
        <f t="shared" si="188"/>
        <v>2928</v>
      </c>
      <c r="C427" s="60">
        <f t="shared" si="188"/>
        <v>0</v>
      </c>
      <c r="D427" s="60">
        <f t="shared" si="188"/>
        <v>0</v>
      </c>
      <c r="E427" s="60">
        <f t="shared" si="188"/>
        <v>0</v>
      </c>
      <c r="F427" s="60">
        <f t="shared" si="188"/>
        <v>0</v>
      </c>
      <c r="G427" s="60">
        <f t="shared" si="188"/>
        <v>2928</v>
      </c>
      <c r="H427" s="60">
        <f t="shared" si="188"/>
        <v>2928</v>
      </c>
      <c r="I427" s="60">
        <f>SUM(I425:I426)</f>
        <v>0</v>
      </c>
      <c r="J427" s="65" t="s">
        <v>13</v>
      </c>
      <c r="K427" s="67"/>
      <c r="L427" s="55"/>
    </row>
    <row r="428" spans="1:12" ht="12.75" customHeight="1" thickBot="1" x14ac:dyDescent="0.25">
      <c r="A428" s="60">
        <f t="shared" si="167"/>
        <v>1384</v>
      </c>
      <c r="B428" s="60">
        <f t="shared" si="168"/>
        <v>1384</v>
      </c>
      <c r="C428" s="60">
        <f t="shared" si="168"/>
        <v>0</v>
      </c>
      <c r="D428" s="60">
        <f t="shared" si="169"/>
        <v>0</v>
      </c>
      <c r="E428" s="60">
        <v>0</v>
      </c>
      <c r="F428" s="60">
        <v>0</v>
      </c>
      <c r="G428" s="60">
        <f t="shared" si="170"/>
        <v>1384</v>
      </c>
      <c r="H428" s="60">
        <v>1384</v>
      </c>
      <c r="I428" s="60">
        <v>0</v>
      </c>
      <c r="J428" s="65" t="s">
        <v>221</v>
      </c>
      <c r="K428" s="66"/>
      <c r="L428" s="55"/>
    </row>
    <row r="429" spans="1:12" ht="12.75" customHeight="1" thickBot="1" x14ac:dyDescent="0.25">
      <c r="A429" s="60">
        <f t="shared" si="167"/>
        <v>144</v>
      </c>
      <c r="B429" s="60">
        <f t="shared" si="168"/>
        <v>144</v>
      </c>
      <c r="C429" s="60">
        <f t="shared" si="168"/>
        <v>0</v>
      </c>
      <c r="D429" s="60">
        <f t="shared" si="169"/>
        <v>0</v>
      </c>
      <c r="E429" s="60">
        <v>0</v>
      </c>
      <c r="F429" s="60">
        <v>0</v>
      </c>
      <c r="G429" s="60">
        <f t="shared" si="170"/>
        <v>144</v>
      </c>
      <c r="H429" s="60">
        <v>144</v>
      </c>
      <c r="I429" s="60">
        <v>0</v>
      </c>
      <c r="J429" s="65" t="s">
        <v>222</v>
      </c>
      <c r="K429" s="66" t="s">
        <v>425</v>
      </c>
      <c r="L429" s="55"/>
    </row>
    <row r="430" spans="1:12" ht="12.75" customHeight="1" thickBot="1" x14ac:dyDescent="0.25">
      <c r="A430" s="60">
        <f t="shared" ref="A430:H430" si="189">SUM(A428:A429)</f>
        <v>1528</v>
      </c>
      <c r="B430" s="60">
        <f t="shared" si="189"/>
        <v>1528</v>
      </c>
      <c r="C430" s="60">
        <f t="shared" si="189"/>
        <v>0</v>
      </c>
      <c r="D430" s="60">
        <f t="shared" si="189"/>
        <v>0</v>
      </c>
      <c r="E430" s="60">
        <f t="shared" si="189"/>
        <v>0</v>
      </c>
      <c r="F430" s="60">
        <f t="shared" si="189"/>
        <v>0</v>
      </c>
      <c r="G430" s="60">
        <f t="shared" si="189"/>
        <v>1528</v>
      </c>
      <c r="H430" s="60">
        <f t="shared" si="189"/>
        <v>1528</v>
      </c>
      <c r="I430" s="60">
        <f>SUM(I428:I429)</f>
        <v>0</v>
      </c>
      <c r="J430" s="65" t="s">
        <v>13</v>
      </c>
      <c r="K430" s="67"/>
      <c r="L430" s="55"/>
    </row>
    <row r="431" spans="1:12" ht="12.75" customHeight="1" thickBot="1" x14ac:dyDescent="0.25">
      <c r="A431" s="60">
        <f t="shared" si="167"/>
        <v>3042</v>
      </c>
      <c r="B431" s="60">
        <f t="shared" si="168"/>
        <v>3042</v>
      </c>
      <c r="C431" s="60">
        <f t="shared" si="168"/>
        <v>0</v>
      </c>
      <c r="D431" s="60">
        <f t="shared" si="169"/>
        <v>0</v>
      </c>
      <c r="E431" s="60">
        <v>0</v>
      </c>
      <c r="F431" s="60">
        <v>0</v>
      </c>
      <c r="G431" s="60">
        <f t="shared" si="170"/>
        <v>3042</v>
      </c>
      <c r="H431" s="60">
        <v>3042</v>
      </c>
      <c r="I431" s="60">
        <v>0</v>
      </c>
      <c r="J431" s="65" t="s">
        <v>221</v>
      </c>
      <c r="K431" s="66"/>
      <c r="L431" s="55"/>
    </row>
    <row r="432" spans="1:12" ht="12.75" customHeight="1" thickBot="1" x14ac:dyDescent="0.25">
      <c r="A432" s="60">
        <f t="shared" si="167"/>
        <v>1881</v>
      </c>
      <c r="B432" s="60">
        <f t="shared" si="168"/>
        <v>1881</v>
      </c>
      <c r="C432" s="60">
        <f t="shared" si="168"/>
        <v>0</v>
      </c>
      <c r="D432" s="60">
        <f t="shared" si="169"/>
        <v>0</v>
      </c>
      <c r="E432" s="60">
        <v>0</v>
      </c>
      <c r="F432" s="60">
        <v>0</v>
      </c>
      <c r="G432" s="60">
        <f t="shared" si="170"/>
        <v>1881</v>
      </c>
      <c r="H432" s="60">
        <v>1881</v>
      </c>
      <c r="I432" s="60">
        <v>0</v>
      </c>
      <c r="J432" s="65" t="s">
        <v>222</v>
      </c>
      <c r="K432" s="66" t="s">
        <v>426</v>
      </c>
      <c r="L432" s="55"/>
    </row>
    <row r="433" spans="1:12" ht="12.75" customHeight="1" thickBot="1" x14ac:dyDescent="0.25">
      <c r="A433" s="60">
        <f t="shared" ref="A433:H433" si="190">SUM(A431:A432)</f>
        <v>4923</v>
      </c>
      <c r="B433" s="60">
        <f t="shared" si="190"/>
        <v>4923</v>
      </c>
      <c r="C433" s="60">
        <f t="shared" si="190"/>
        <v>0</v>
      </c>
      <c r="D433" s="60">
        <f t="shared" si="190"/>
        <v>0</v>
      </c>
      <c r="E433" s="60">
        <f t="shared" si="190"/>
        <v>0</v>
      </c>
      <c r="F433" s="60">
        <f t="shared" si="190"/>
        <v>0</v>
      </c>
      <c r="G433" s="60">
        <f t="shared" si="190"/>
        <v>4923</v>
      </c>
      <c r="H433" s="60">
        <f t="shared" si="190"/>
        <v>4923</v>
      </c>
      <c r="I433" s="60">
        <f>SUM(I431:I432)</f>
        <v>0</v>
      </c>
      <c r="J433" s="65" t="s">
        <v>13</v>
      </c>
      <c r="K433" s="67"/>
      <c r="L433" s="55"/>
    </row>
    <row r="434" spans="1:12" ht="12.75" customHeight="1" thickBot="1" x14ac:dyDescent="0.25">
      <c r="A434" s="60">
        <f t="shared" si="167"/>
        <v>3373</v>
      </c>
      <c r="B434" s="60">
        <f t="shared" si="168"/>
        <v>3373</v>
      </c>
      <c r="C434" s="60">
        <f t="shared" si="168"/>
        <v>0</v>
      </c>
      <c r="D434" s="60">
        <f t="shared" si="169"/>
        <v>0</v>
      </c>
      <c r="E434" s="60">
        <v>0</v>
      </c>
      <c r="F434" s="60">
        <v>0</v>
      </c>
      <c r="G434" s="60">
        <f t="shared" si="170"/>
        <v>3373</v>
      </c>
      <c r="H434" s="60">
        <v>3373</v>
      </c>
      <c r="I434" s="60">
        <v>0</v>
      </c>
      <c r="J434" s="65" t="s">
        <v>221</v>
      </c>
      <c r="K434" s="66"/>
      <c r="L434" s="55"/>
    </row>
    <row r="435" spans="1:12" ht="12.75" customHeight="1" thickBot="1" x14ac:dyDescent="0.25">
      <c r="A435" s="60">
        <f t="shared" si="167"/>
        <v>544</v>
      </c>
      <c r="B435" s="60">
        <f t="shared" si="168"/>
        <v>544</v>
      </c>
      <c r="C435" s="60">
        <f t="shared" si="168"/>
        <v>0</v>
      </c>
      <c r="D435" s="60">
        <f t="shared" si="169"/>
        <v>0</v>
      </c>
      <c r="E435" s="60">
        <v>0</v>
      </c>
      <c r="F435" s="60">
        <v>0</v>
      </c>
      <c r="G435" s="60">
        <f t="shared" si="170"/>
        <v>544</v>
      </c>
      <c r="H435" s="60">
        <v>544</v>
      </c>
      <c r="I435" s="60">
        <v>0</v>
      </c>
      <c r="J435" s="65" t="s">
        <v>222</v>
      </c>
      <c r="K435" s="66" t="s">
        <v>427</v>
      </c>
      <c r="L435" s="55"/>
    </row>
    <row r="436" spans="1:12" ht="12.75" customHeight="1" thickBot="1" x14ac:dyDescent="0.25">
      <c r="A436" s="60">
        <f t="shared" ref="A436:H436" si="191">SUM(A434:A435)</f>
        <v>3917</v>
      </c>
      <c r="B436" s="60">
        <f t="shared" si="191"/>
        <v>3917</v>
      </c>
      <c r="C436" s="60">
        <f t="shared" si="191"/>
        <v>0</v>
      </c>
      <c r="D436" s="60">
        <f t="shared" si="191"/>
        <v>0</v>
      </c>
      <c r="E436" s="60">
        <f t="shared" si="191"/>
        <v>0</v>
      </c>
      <c r="F436" s="60">
        <f t="shared" si="191"/>
        <v>0</v>
      </c>
      <c r="G436" s="60">
        <f t="shared" si="191"/>
        <v>3917</v>
      </c>
      <c r="H436" s="60">
        <f t="shared" si="191"/>
        <v>3917</v>
      </c>
      <c r="I436" s="60">
        <f>SUM(I434:I435)</f>
        <v>0</v>
      </c>
      <c r="J436" s="65" t="s">
        <v>13</v>
      </c>
      <c r="K436" s="67"/>
      <c r="L436" s="55"/>
    </row>
    <row r="437" spans="1:12" ht="12.75" customHeight="1" thickBot="1" x14ac:dyDescent="0.25">
      <c r="A437" s="60">
        <f t="shared" si="167"/>
        <v>220</v>
      </c>
      <c r="B437" s="60">
        <f t="shared" si="168"/>
        <v>220</v>
      </c>
      <c r="C437" s="60">
        <f t="shared" si="168"/>
        <v>0</v>
      </c>
      <c r="D437" s="60">
        <f t="shared" si="169"/>
        <v>0</v>
      </c>
      <c r="E437" s="60">
        <v>0</v>
      </c>
      <c r="F437" s="60">
        <v>0</v>
      </c>
      <c r="G437" s="60">
        <f t="shared" si="170"/>
        <v>220</v>
      </c>
      <c r="H437" s="60">
        <v>220</v>
      </c>
      <c r="I437" s="60">
        <v>0</v>
      </c>
      <c r="J437" s="65" t="s">
        <v>221</v>
      </c>
      <c r="K437" s="66"/>
      <c r="L437" s="55"/>
    </row>
    <row r="438" spans="1:12" ht="12.75" customHeight="1" thickBot="1" x14ac:dyDescent="0.25">
      <c r="A438" s="60">
        <f t="shared" si="167"/>
        <v>0</v>
      </c>
      <c r="B438" s="60">
        <f t="shared" si="168"/>
        <v>0</v>
      </c>
      <c r="C438" s="60">
        <f t="shared" si="168"/>
        <v>0</v>
      </c>
      <c r="D438" s="60">
        <f t="shared" si="169"/>
        <v>0</v>
      </c>
      <c r="E438" s="60">
        <v>0</v>
      </c>
      <c r="F438" s="60">
        <v>0</v>
      </c>
      <c r="G438" s="60">
        <f t="shared" si="170"/>
        <v>0</v>
      </c>
      <c r="H438" s="60">
        <v>0</v>
      </c>
      <c r="I438" s="60">
        <v>0</v>
      </c>
      <c r="J438" s="65" t="s">
        <v>222</v>
      </c>
      <c r="K438" s="66" t="s">
        <v>428</v>
      </c>
      <c r="L438" s="55"/>
    </row>
    <row r="439" spans="1:12" ht="12.75" customHeight="1" thickBot="1" x14ac:dyDescent="0.25">
      <c r="A439" s="60">
        <f t="shared" ref="A439:H439" si="192">SUM(A437:A438)</f>
        <v>220</v>
      </c>
      <c r="B439" s="60">
        <f t="shared" si="192"/>
        <v>220</v>
      </c>
      <c r="C439" s="60">
        <f t="shared" si="192"/>
        <v>0</v>
      </c>
      <c r="D439" s="60">
        <f t="shared" si="192"/>
        <v>0</v>
      </c>
      <c r="E439" s="60">
        <f t="shared" si="192"/>
        <v>0</v>
      </c>
      <c r="F439" s="60">
        <f t="shared" si="192"/>
        <v>0</v>
      </c>
      <c r="G439" s="60">
        <f t="shared" si="192"/>
        <v>220</v>
      </c>
      <c r="H439" s="60">
        <f t="shared" si="192"/>
        <v>220</v>
      </c>
      <c r="I439" s="60">
        <f>SUM(I437:I438)</f>
        <v>0</v>
      </c>
      <c r="J439" s="65" t="s">
        <v>13</v>
      </c>
      <c r="K439" s="67"/>
      <c r="L439" s="55"/>
    </row>
    <row r="440" spans="1:12" ht="12.75" customHeight="1" thickBot="1" x14ac:dyDescent="0.25">
      <c r="A440" s="60">
        <f t="shared" ref="A440:A462" si="193">SUM(B440:C440)</f>
        <v>1961</v>
      </c>
      <c r="B440" s="60">
        <f t="shared" ref="B440:C462" si="194">H440+E440</f>
        <v>1961</v>
      </c>
      <c r="C440" s="60">
        <f t="shared" si="194"/>
        <v>0</v>
      </c>
      <c r="D440" s="60">
        <f t="shared" ref="D440:D462" si="195">SUM(E440:F440)</f>
        <v>0</v>
      </c>
      <c r="E440" s="60">
        <v>0</v>
      </c>
      <c r="F440" s="60">
        <v>0</v>
      </c>
      <c r="G440" s="60">
        <f t="shared" ref="G440:G462" si="196">SUM(H440:I440)</f>
        <v>1961</v>
      </c>
      <c r="H440" s="60">
        <v>1961</v>
      </c>
      <c r="I440" s="60">
        <v>0</v>
      </c>
      <c r="J440" s="65" t="s">
        <v>221</v>
      </c>
      <c r="K440" s="66"/>
      <c r="L440" s="55"/>
    </row>
    <row r="441" spans="1:12" ht="12.75" customHeight="1" thickBot="1" x14ac:dyDescent="0.25">
      <c r="A441" s="60">
        <f t="shared" si="193"/>
        <v>130</v>
      </c>
      <c r="B441" s="60">
        <f t="shared" si="194"/>
        <v>130</v>
      </c>
      <c r="C441" s="60">
        <f t="shared" si="194"/>
        <v>0</v>
      </c>
      <c r="D441" s="60">
        <f t="shared" si="195"/>
        <v>0</v>
      </c>
      <c r="E441" s="60">
        <v>0</v>
      </c>
      <c r="F441" s="60">
        <v>0</v>
      </c>
      <c r="G441" s="60">
        <f t="shared" si="196"/>
        <v>130</v>
      </c>
      <c r="H441" s="60">
        <v>130</v>
      </c>
      <c r="I441" s="60">
        <v>0</v>
      </c>
      <c r="J441" s="65" t="s">
        <v>222</v>
      </c>
      <c r="K441" s="66" t="s">
        <v>429</v>
      </c>
      <c r="L441" s="55"/>
    </row>
    <row r="442" spans="1:12" ht="12.75" customHeight="1" thickBot="1" x14ac:dyDescent="0.25">
      <c r="A442" s="60">
        <f t="shared" ref="A442:H442" si="197">SUM(A440:A441)</f>
        <v>2091</v>
      </c>
      <c r="B442" s="60">
        <f t="shared" si="197"/>
        <v>2091</v>
      </c>
      <c r="C442" s="60">
        <f t="shared" si="197"/>
        <v>0</v>
      </c>
      <c r="D442" s="60">
        <f t="shared" si="197"/>
        <v>0</v>
      </c>
      <c r="E442" s="60">
        <f t="shared" si="197"/>
        <v>0</v>
      </c>
      <c r="F442" s="60">
        <f t="shared" si="197"/>
        <v>0</v>
      </c>
      <c r="G442" s="60">
        <f t="shared" si="197"/>
        <v>2091</v>
      </c>
      <c r="H442" s="60">
        <f t="shared" si="197"/>
        <v>2091</v>
      </c>
      <c r="I442" s="60">
        <f>SUM(I440:I441)</f>
        <v>0</v>
      </c>
      <c r="J442" s="65" t="s">
        <v>13</v>
      </c>
      <c r="K442" s="67"/>
      <c r="L442" s="55"/>
    </row>
    <row r="443" spans="1:12" ht="12.75" customHeight="1" thickBot="1" x14ac:dyDescent="0.25">
      <c r="A443" s="60">
        <f t="shared" si="193"/>
        <v>64</v>
      </c>
      <c r="B443" s="60">
        <f t="shared" si="194"/>
        <v>64</v>
      </c>
      <c r="C443" s="60">
        <f t="shared" si="194"/>
        <v>0</v>
      </c>
      <c r="D443" s="60">
        <f t="shared" si="195"/>
        <v>0</v>
      </c>
      <c r="E443" s="60">
        <v>0</v>
      </c>
      <c r="F443" s="60">
        <v>0</v>
      </c>
      <c r="G443" s="60">
        <f t="shared" si="196"/>
        <v>64</v>
      </c>
      <c r="H443" s="60">
        <v>64</v>
      </c>
      <c r="I443" s="60">
        <v>0</v>
      </c>
      <c r="J443" s="65" t="s">
        <v>221</v>
      </c>
      <c r="K443" s="66"/>
      <c r="L443" s="55"/>
    </row>
    <row r="444" spans="1:12" ht="12.75" customHeight="1" thickBot="1" x14ac:dyDescent="0.25">
      <c r="A444" s="60">
        <f t="shared" si="193"/>
        <v>0</v>
      </c>
      <c r="B444" s="60">
        <f t="shared" si="194"/>
        <v>0</v>
      </c>
      <c r="C444" s="60">
        <f t="shared" si="194"/>
        <v>0</v>
      </c>
      <c r="D444" s="60">
        <f t="shared" si="195"/>
        <v>0</v>
      </c>
      <c r="E444" s="60">
        <v>0</v>
      </c>
      <c r="F444" s="60">
        <v>0</v>
      </c>
      <c r="G444" s="60">
        <f t="shared" si="196"/>
        <v>0</v>
      </c>
      <c r="H444" s="60">
        <v>0</v>
      </c>
      <c r="I444" s="60">
        <v>0</v>
      </c>
      <c r="J444" s="65" t="s">
        <v>222</v>
      </c>
      <c r="K444" s="66" t="s">
        <v>430</v>
      </c>
      <c r="L444" s="55"/>
    </row>
    <row r="445" spans="1:12" ht="12.75" customHeight="1" thickBot="1" x14ac:dyDescent="0.25">
      <c r="A445" s="60">
        <f t="shared" ref="A445:H445" si="198">SUM(A443:A444)</f>
        <v>64</v>
      </c>
      <c r="B445" s="60">
        <f t="shared" si="198"/>
        <v>64</v>
      </c>
      <c r="C445" s="60">
        <f t="shared" si="198"/>
        <v>0</v>
      </c>
      <c r="D445" s="60">
        <f t="shared" si="198"/>
        <v>0</v>
      </c>
      <c r="E445" s="60">
        <f t="shared" si="198"/>
        <v>0</v>
      </c>
      <c r="F445" s="60">
        <f t="shared" si="198"/>
        <v>0</v>
      </c>
      <c r="G445" s="60">
        <f t="shared" si="198"/>
        <v>64</v>
      </c>
      <c r="H445" s="60">
        <f t="shared" si="198"/>
        <v>64</v>
      </c>
      <c r="I445" s="60">
        <f>SUM(I443:I444)</f>
        <v>0</v>
      </c>
      <c r="J445" s="65" t="s">
        <v>13</v>
      </c>
      <c r="K445" s="67"/>
      <c r="L445" s="55"/>
    </row>
    <row r="446" spans="1:12" ht="12.75" customHeight="1" thickBot="1" x14ac:dyDescent="0.25">
      <c r="A446" s="60">
        <f t="shared" si="193"/>
        <v>1318</v>
      </c>
      <c r="B446" s="60">
        <f t="shared" si="194"/>
        <v>1318</v>
      </c>
      <c r="C446" s="60">
        <f t="shared" si="194"/>
        <v>0</v>
      </c>
      <c r="D446" s="60">
        <f t="shared" si="195"/>
        <v>0</v>
      </c>
      <c r="E446" s="60">
        <v>0</v>
      </c>
      <c r="F446" s="60">
        <v>0</v>
      </c>
      <c r="G446" s="60">
        <f t="shared" si="196"/>
        <v>1318</v>
      </c>
      <c r="H446" s="60">
        <v>1318</v>
      </c>
      <c r="I446" s="60">
        <v>0</v>
      </c>
      <c r="J446" s="65" t="s">
        <v>221</v>
      </c>
      <c r="K446" s="66"/>
      <c r="L446" s="55"/>
    </row>
    <row r="447" spans="1:12" ht="12.75" customHeight="1" thickBot="1" x14ac:dyDescent="0.25">
      <c r="A447" s="60">
        <f t="shared" si="193"/>
        <v>237</v>
      </c>
      <c r="B447" s="60">
        <f t="shared" si="194"/>
        <v>237</v>
      </c>
      <c r="C447" s="60">
        <f t="shared" si="194"/>
        <v>0</v>
      </c>
      <c r="D447" s="60">
        <f t="shared" si="195"/>
        <v>0</v>
      </c>
      <c r="E447" s="60">
        <v>0</v>
      </c>
      <c r="F447" s="60">
        <v>0</v>
      </c>
      <c r="G447" s="60">
        <f t="shared" si="196"/>
        <v>237</v>
      </c>
      <c r="H447" s="60">
        <v>237</v>
      </c>
      <c r="I447" s="60">
        <v>0</v>
      </c>
      <c r="J447" s="65" t="s">
        <v>222</v>
      </c>
      <c r="K447" s="66" t="s">
        <v>431</v>
      </c>
      <c r="L447" s="55"/>
    </row>
    <row r="448" spans="1:12" ht="12.75" customHeight="1" thickBot="1" x14ac:dyDescent="0.25">
      <c r="A448" s="60">
        <f t="shared" ref="A448:H448" si="199">SUM(A446:A447)</f>
        <v>1555</v>
      </c>
      <c r="B448" s="60">
        <f t="shared" si="199"/>
        <v>1555</v>
      </c>
      <c r="C448" s="60">
        <f t="shared" si="199"/>
        <v>0</v>
      </c>
      <c r="D448" s="60">
        <f t="shared" si="199"/>
        <v>0</v>
      </c>
      <c r="E448" s="60">
        <f t="shared" si="199"/>
        <v>0</v>
      </c>
      <c r="F448" s="60">
        <f t="shared" si="199"/>
        <v>0</v>
      </c>
      <c r="G448" s="60">
        <f t="shared" si="199"/>
        <v>1555</v>
      </c>
      <c r="H448" s="60">
        <f t="shared" si="199"/>
        <v>1555</v>
      </c>
      <c r="I448" s="60">
        <f>SUM(I446:I447)</f>
        <v>0</v>
      </c>
      <c r="J448" s="65" t="s">
        <v>13</v>
      </c>
      <c r="K448" s="67"/>
      <c r="L448" s="55"/>
    </row>
    <row r="449" spans="1:12" ht="12.75" customHeight="1" thickBot="1" x14ac:dyDescent="0.25">
      <c r="A449" s="60">
        <f t="shared" si="193"/>
        <v>642</v>
      </c>
      <c r="B449" s="60">
        <f t="shared" si="194"/>
        <v>0</v>
      </c>
      <c r="C449" s="60">
        <f t="shared" si="194"/>
        <v>642</v>
      </c>
      <c r="D449" s="60">
        <f t="shared" si="195"/>
        <v>2</v>
      </c>
      <c r="E449" s="60">
        <v>0</v>
      </c>
      <c r="F449" s="60">
        <v>2</v>
      </c>
      <c r="G449" s="60">
        <f t="shared" si="196"/>
        <v>640</v>
      </c>
      <c r="H449" s="60">
        <v>0</v>
      </c>
      <c r="I449" s="60">
        <v>640</v>
      </c>
      <c r="J449" s="65" t="s">
        <v>221</v>
      </c>
      <c r="K449" s="66"/>
      <c r="L449" s="55"/>
    </row>
    <row r="450" spans="1:12" ht="12.75" customHeight="1" thickBot="1" x14ac:dyDescent="0.25">
      <c r="A450" s="60">
        <f t="shared" si="193"/>
        <v>0</v>
      </c>
      <c r="B450" s="60">
        <f t="shared" si="194"/>
        <v>0</v>
      </c>
      <c r="C450" s="60">
        <f t="shared" si="194"/>
        <v>0</v>
      </c>
      <c r="D450" s="60">
        <f t="shared" si="195"/>
        <v>0</v>
      </c>
      <c r="E450" s="60">
        <v>0</v>
      </c>
      <c r="F450" s="60">
        <v>0</v>
      </c>
      <c r="G450" s="60">
        <f t="shared" si="196"/>
        <v>0</v>
      </c>
      <c r="H450" s="60">
        <v>0</v>
      </c>
      <c r="I450" s="60">
        <v>0</v>
      </c>
      <c r="J450" s="65" t="s">
        <v>222</v>
      </c>
      <c r="K450" s="66" t="s">
        <v>432</v>
      </c>
      <c r="L450" s="55"/>
    </row>
    <row r="451" spans="1:12" ht="12.75" customHeight="1" thickBot="1" x14ac:dyDescent="0.25">
      <c r="A451" s="60">
        <f t="shared" ref="A451:H451" si="200">SUM(A449:A450)</f>
        <v>642</v>
      </c>
      <c r="B451" s="60">
        <f t="shared" si="200"/>
        <v>0</v>
      </c>
      <c r="C451" s="60">
        <f t="shared" si="200"/>
        <v>642</v>
      </c>
      <c r="D451" s="60">
        <f t="shared" si="200"/>
        <v>2</v>
      </c>
      <c r="E451" s="60">
        <f t="shared" si="200"/>
        <v>0</v>
      </c>
      <c r="F451" s="60">
        <f t="shared" si="200"/>
        <v>2</v>
      </c>
      <c r="G451" s="60">
        <f t="shared" si="200"/>
        <v>640</v>
      </c>
      <c r="H451" s="60">
        <f t="shared" si="200"/>
        <v>0</v>
      </c>
      <c r="I451" s="60">
        <f>SUM(I449:I450)</f>
        <v>640</v>
      </c>
      <c r="J451" s="65" t="s">
        <v>13</v>
      </c>
      <c r="K451" s="67"/>
      <c r="L451" s="55"/>
    </row>
    <row r="452" spans="1:12" ht="12.75" customHeight="1" thickBot="1" x14ac:dyDescent="0.25">
      <c r="A452" s="60">
        <f t="shared" si="193"/>
        <v>95</v>
      </c>
      <c r="B452" s="60">
        <f t="shared" si="194"/>
        <v>0</v>
      </c>
      <c r="C452" s="60">
        <f t="shared" si="194"/>
        <v>95</v>
      </c>
      <c r="D452" s="60">
        <f t="shared" si="195"/>
        <v>0</v>
      </c>
      <c r="E452" s="60">
        <v>0</v>
      </c>
      <c r="F452" s="60">
        <v>0</v>
      </c>
      <c r="G452" s="60">
        <f t="shared" si="196"/>
        <v>95</v>
      </c>
      <c r="H452" s="60">
        <v>0</v>
      </c>
      <c r="I452" s="60">
        <v>95</v>
      </c>
      <c r="J452" s="65" t="s">
        <v>221</v>
      </c>
      <c r="K452" s="66"/>
      <c r="L452" s="55"/>
    </row>
    <row r="453" spans="1:12" ht="12.75" customHeight="1" thickBot="1" x14ac:dyDescent="0.25">
      <c r="A453" s="60">
        <f t="shared" si="193"/>
        <v>0</v>
      </c>
      <c r="B453" s="60">
        <f t="shared" si="194"/>
        <v>0</v>
      </c>
      <c r="C453" s="60">
        <f t="shared" si="194"/>
        <v>0</v>
      </c>
      <c r="D453" s="60">
        <f t="shared" si="195"/>
        <v>0</v>
      </c>
      <c r="E453" s="60">
        <v>0</v>
      </c>
      <c r="F453" s="60">
        <v>0</v>
      </c>
      <c r="G453" s="60">
        <f t="shared" si="196"/>
        <v>0</v>
      </c>
      <c r="H453" s="60">
        <v>0</v>
      </c>
      <c r="I453" s="60">
        <v>0</v>
      </c>
      <c r="J453" s="65" t="s">
        <v>222</v>
      </c>
      <c r="K453" s="66" t="s">
        <v>433</v>
      </c>
      <c r="L453" s="55"/>
    </row>
    <row r="454" spans="1:12" ht="12.75" customHeight="1" thickBot="1" x14ac:dyDescent="0.25">
      <c r="A454" s="60">
        <f t="shared" ref="A454:H454" si="201">SUM(A452:A453)</f>
        <v>95</v>
      </c>
      <c r="B454" s="60">
        <f t="shared" si="201"/>
        <v>0</v>
      </c>
      <c r="C454" s="60">
        <f t="shared" si="201"/>
        <v>95</v>
      </c>
      <c r="D454" s="60">
        <f t="shared" si="201"/>
        <v>0</v>
      </c>
      <c r="E454" s="60">
        <f t="shared" si="201"/>
        <v>0</v>
      </c>
      <c r="F454" s="60">
        <f t="shared" si="201"/>
        <v>0</v>
      </c>
      <c r="G454" s="60">
        <f t="shared" si="201"/>
        <v>95</v>
      </c>
      <c r="H454" s="60">
        <f t="shared" si="201"/>
        <v>0</v>
      </c>
      <c r="I454" s="60">
        <f>SUM(I452:I453)</f>
        <v>95</v>
      </c>
      <c r="J454" s="65" t="s">
        <v>13</v>
      </c>
      <c r="K454" s="67"/>
      <c r="L454" s="55"/>
    </row>
    <row r="455" spans="1:12" ht="12.75" customHeight="1" thickBot="1" x14ac:dyDescent="0.25">
      <c r="A455" s="60">
        <f t="shared" si="193"/>
        <v>30</v>
      </c>
      <c r="B455" s="60">
        <f t="shared" si="194"/>
        <v>30</v>
      </c>
      <c r="C455" s="60">
        <f t="shared" si="194"/>
        <v>0</v>
      </c>
      <c r="D455" s="60">
        <f t="shared" si="195"/>
        <v>0</v>
      </c>
      <c r="E455" s="60">
        <v>0</v>
      </c>
      <c r="F455" s="60">
        <v>0</v>
      </c>
      <c r="G455" s="60">
        <f t="shared" si="196"/>
        <v>30</v>
      </c>
      <c r="H455" s="60">
        <v>30</v>
      </c>
      <c r="I455" s="60">
        <v>0</v>
      </c>
      <c r="J455" s="65" t="s">
        <v>221</v>
      </c>
      <c r="K455" s="66"/>
      <c r="L455" s="55"/>
    </row>
    <row r="456" spans="1:12" ht="12.75" customHeight="1" thickBot="1" x14ac:dyDescent="0.25">
      <c r="A456" s="60">
        <f t="shared" si="193"/>
        <v>0</v>
      </c>
      <c r="B456" s="60">
        <f t="shared" si="194"/>
        <v>0</v>
      </c>
      <c r="C456" s="60">
        <f t="shared" si="194"/>
        <v>0</v>
      </c>
      <c r="D456" s="60">
        <f t="shared" si="195"/>
        <v>0</v>
      </c>
      <c r="E456" s="60">
        <v>0</v>
      </c>
      <c r="F456" s="60">
        <v>0</v>
      </c>
      <c r="G456" s="60">
        <f t="shared" si="196"/>
        <v>0</v>
      </c>
      <c r="H456" s="60">
        <v>0</v>
      </c>
      <c r="I456" s="60">
        <v>0</v>
      </c>
      <c r="J456" s="65" t="s">
        <v>222</v>
      </c>
      <c r="K456" s="66" t="s">
        <v>434</v>
      </c>
      <c r="L456" s="55"/>
    </row>
    <row r="457" spans="1:12" ht="12.75" customHeight="1" thickBot="1" x14ac:dyDescent="0.25">
      <c r="A457" s="60">
        <f t="shared" ref="A457:H457" si="202">SUM(A455:A456)</f>
        <v>30</v>
      </c>
      <c r="B457" s="60">
        <f t="shared" si="202"/>
        <v>30</v>
      </c>
      <c r="C457" s="60">
        <f t="shared" si="202"/>
        <v>0</v>
      </c>
      <c r="D457" s="60">
        <f t="shared" si="202"/>
        <v>0</v>
      </c>
      <c r="E457" s="60">
        <f t="shared" si="202"/>
        <v>0</v>
      </c>
      <c r="F457" s="60">
        <f t="shared" si="202"/>
        <v>0</v>
      </c>
      <c r="G457" s="60">
        <f t="shared" si="202"/>
        <v>30</v>
      </c>
      <c r="H457" s="60">
        <f t="shared" si="202"/>
        <v>30</v>
      </c>
      <c r="I457" s="60">
        <f>SUM(I455:I456)</f>
        <v>0</v>
      </c>
      <c r="J457" s="65" t="s">
        <v>13</v>
      </c>
      <c r="K457" s="67"/>
      <c r="L457" s="55"/>
    </row>
    <row r="458" spans="1:12" ht="12.75" customHeight="1" thickBot="1" x14ac:dyDescent="0.25">
      <c r="A458" s="60">
        <f t="shared" si="193"/>
        <v>68</v>
      </c>
      <c r="B458" s="60">
        <f t="shared" si="194"/>
        <v>0</v>
      </c>
      <c r="C458" s="60">
        <f t="shared" si="194"/>
        <v>68</v>
      </c>
      <c r="D458" s="60">
        <f t="shared" si="195"/>
        <v>6</v>
      </c>
      <c r="E458" s="60">
        <v>0</v>
      </c>
      <c r="F458" s="60">
        <v>6</v>
      </c>
      <c r="G458" s="60">
        <f t="shared" si="196"/>
        <v>62</v>
      </c>
      <c r="H458" s="60">
        <v>0</v>
      </c>
      <c r="I458" s="60">
        <v>62</v>
      </c>
      <c r="J458" s="65" t="s">
        <v>221</v>
      </c>
      <c r="K458" s="66"/>
      <c r="L458" s="55"/>
    </row>
    <row r="459" spans="1:12" ht="12.75" customHeight="1" thickBot="1" x14ac:dyDescent="0.25">
      <c r="A459" s="60">
        <f t="shared" si="193"/>
        <v>0</v>
      </c>
      <c r="B459" s="60">
        <f t="shared" si="194"/>
        <v>0</v>
      </c>
      <c r="C459" s="60">
        <f t="shared" si="194"/>
        <v>0</v>
      </c>
      <c r="D459" s="60">
        <f t="shared" si="195"/>
        <v>0</v>
      </c>
      <c r="E459" s="60">
        <v>0</v>
      </c>
      <c r="F459" s="60">
        <v>0</v>
      </c>
      <c r="G459" s="60">
        <f t="shared" si="196"/>
        <v>0</v>
      </c>
      <c r="H459" s="60">
        <v>0</v>
      </c>
      <c r="I459" s="60">
        <v>0</v>
      </c>
      <c r="J459" s="65" t="s">
        <v>222</v>
      </c>
      <c r="K459" s="66" t="s">
        <v>568</v>
      </c>
      <c r="L459" s="55"/>
    </row>
    <row r="460" spans="1:12" ht="12.75" customHeight="1" thickBot="1" x14ac:dyDescent="0.25">
      <c r="A460" s="60">
        <f t="shared" ref="A460:H460" si="203">SUM(A458:A459)</f>
        <v>68</v>
      </c>
      <c r="B460" s="60">
        <f t="shared" si="203"/>
        <v>0</v>
      </c>
      <c r="C460" s="60">
        <f t="shared" si="203"/>
        <v>68</v>
      </c>
      <c r="D460" s="60">
        <f t="shared" si="203"/>
        <v>6</v>
      </c>
      <c r="E460" s="60">
        <f t="shared" si="203"/>
        <v>0</v>
      </c>
      <c r="F460" s="60">
        <f t="shared" si="203"/>
        <v>6</v>
      </c>
      <c r="G460" s="60">
        <f t="shared" si="203"/>
        <v>62</v>
      </c>
      <c r="H460" s="60">
        <f t="shared" si="203"/>
        <v>0</v>
      </c>
      <c r="I460" s="60">
        <f>SUM(I458:I459)</f>
        <v>62</v>
      </c>
      <c r="J460" s="65" t="s">
        <v>13</v>
      </c>
      <c r="K460" s="67"/>
      <c r="L460" s="55"/>
    </row>
    <row r="461" spans="1:12" ht="12.75" customHeight="1" thickBot="1" x14ac:dyDescent="0.25">
      <c r="A461" s="60">
        <f t="shared" si="193"/>
        <v>383</v>
      </c>
      <c r="B461" s="60">
        <f t="shared" si="194"/>
        <v>383</v>
      </c>
      <c r="C461" s="60">
        <f t="shared" si="194"/>
        <v>0</v>
      </c>
      <c r="D461" s="60">
        <f t="shared" si="195"/>
        <v>0</v>
      </c>
      <c r="E461" s="60">
        <v>0</v>
      </c>
      <c r="F461" s="60">
        <v>0</v>
      </c>
      <c r="G461" s="60">
        <f t="shared" si="196"/>
        <v>383</v>
      </c>
      <c r="H461" s="60">
        <v>383</v>
      </c>
      <c r="I461" s="60">
        <v>0</v>
      </c>
      <c r="J461" s="65" t="s">
        <v>221</v>
      </c>
      <c r="K461" s="66"/>
      <c r="L461" s="55"/>
    </row>
    <row r="462" spans="1:12" ht="12.75" customHeight="1" thickBot="1" x14ac:dyDescent="0.25">
      <c r="A462" s="60">
        <f t="shared" si="193"/>
        <v>0</v>
      </c>
      <c r="B462" s="60">
        <f t="shared" si="194"/>
        <v>0</v>
      </c>
      <c r="C462" s="60">
        <f t="shared" si="194"/>
        <v>0</v>
      </c>
      <c r="D462" s="60">
        <f t="shared" si="195"/>
        <v>0</v>
      </c>
      <c r="E462" s="60">
        <v>0</v>
      </c>
      <c r="F462" s="60">
        <v>0</v>
      </c>
      <c r="G462" s="60">
        <f t="shared" si="196"/>
        <v>0</v>
      </c>
      <c r="H462" s="60">
        <v>0</v>
      </c>
      <c r="I462" s="60">
        <v>0</v>
      </c>
      <c r="J462" s="65" t="s">
        <v>222</v>
      </c>
      <c r="K462" s="66" t="s">
        <v>436</v>
      </c>
      <c r="L462" s="55"/>
    </row>
    <row r="463" spans="1:12" ht="12.75" customHeight="1" thickBot="1" x14ac:dyDescent="0.25">
      <c r="A463" s="60">
        <f t="shared" ref="A463:H463" si="204">SUM(A461:A462)</f>
        <v>383</v>
      </c>
      <c r="B463" s="60">
        <f t="shared" si="204"/>
        <v>383</v>
      </c>
      <c r="C463" s="60">
        <f t="shared" si="204"/>
        <v>0</v>
      </c>
      <c r="D463" s="60">
        <f t="shared" si="204"/>
        <v>0</v>
      </c>
      <c r="E463" s="60">
        <f t="shared" si="204"/>
        <v>0</v>
      </c>
      <c r="F463" s="60">
        <f t="shared" si="204"/>
        <v>0</v>
      </c>
      <c r="G463" s="60">
        <f t="shared" si="204"/>
        <v>383</v>
      </c>
      <c r="H463" s="60">
        <f t="shared" si="204"/>
        <v>383</v>
      </c>
      <c r="I463" s="60">
        <f>SUM(I461:I462)</f>
        <v>0</v>
      </c>
      <c r="J463" s="65" t="s">
        <v>13</v>
      </c>
      <c r="K463" s="67"/>
      <c r="L463" s="55"/>
    </row>
    <row r="464" spans="1:12" ht="12.75" customHeight="1" thickBot="1" x14ac:dyDescent="0.25">
      <c r="A464" s="60">
        <f t="shared" ref="A464:I466" si="205">A374+A377+A380+A383+A386+A389+A392+A395+A398+A401+A404+A407+A410+A413+A416+A419+A422+A425+A428+A431+A434+A437+A440+A443+A446+A449+A452+A455+A458+A461</f>
        <v>37549</v>
      </c>
      <c r="B464" s="60">
        <f t="shared" si="205"/>
        <v>26816</v>
      </c>
      <c r="C464" s="60">
        <f t="shared" si="205"/>
        <v>10733</v>
      </c>
      <c r="D464" s="60">
        <f t="shared" si="205"/>
        <v>98</v>
      </c>
      <c r="E464" s="60">
        <f t="shared" si="205"/>
        <v>1</v>
      </c>
      <c r="F464" s="60">
        <f t="shared" si="205"/>
        <v>97</v>
      </c>
      <c r="G464" s="60">
        <f t="shared" si="205"/>
        <v>37451</v>
      </c>
      <c r="H464" s="60">
        <f t="shared" si="205"/>
        <v>26815</v>
      </c>
      <c r="I464" s="60">
        <f>I374+I377+I380+I383+I386+I389+I392+I395+I398+I401+I404+I407+I410+I413+I416+I419+I422+I425+I428+I431+I434+I437+I440+I443+I446+I449+I452+I455+I458+I461</f>
        <v>10636</v>
      </c>
      <c r="J464" s="65" t="s">
        <v>224</v>
      </c>
      <c r="K464" s="57"/>
      <c r="L464" s="55"/>
    </row>
    <row r="465" spans="1:12" ht="12.75" customHeight="1" thickBot="1" x14ac:dyDescent="0.25">
      <c r="A465" s="60">
        <f t="shared" si="205"/>
        <v>6048</v>
      </c>
      <c r="B465" s="60">
        <f t="shared" si="205"/>
        <v>5514</v>
      </c>
      <c r="C465" s="60">
        <f t="shared" si="205"/>
        <v>534</v>
      </c>
      <c r="D465" s="60">
        <f t="shared" si="205"/>
        <v>0</v>
      </c>
      <c r="E465" s="60">
        <f t="shared" si="205"/>
        <v>0</v>
      </c>
      <c r="F465" s="60">
        <f t="shared" si="205"/>
        <v>0</v>
      </c>
      <c r="G465" s="60">
        <f t="shared" si="205"/>
        <v>6048</v>
      </c>
      <c r="H465" s="60">
        <f t="shared" si="205"/>
        <v>5514</v>
      </c>
      <c r="I465" s="60">
        <f t="shared" si="205"/>
        <v>534</v>
      </c>
      <c r="J465" s="65" t="s">
        <v>225</v>
      </c>
      <c r="K465" s="68" t="s">
        <v>211</v>
      </c>
      <c r="L465" s="55"/>
    </row>
    <row r="466" spans="1:12" ht="12.75" customHeight="1" thickBot="1" x14ac:dyDescent="0.25">
      <c r="A466" s="60">
        <f t="shared" si="205"/>
        <v>43597</v>
      </c>
      <c r="B466" s="60">
        <f t="shared" si="205"/>
        <v>32330</v>
      </c>
      <c r="C466" s="60">
        <f t="shared" si="205"/>
        <v>11267</v>
      </c>
      <c r="D466" s="60">
        <f t="shared" si="205"/>
        <v>98</v>
      </c>
      <c r="E466" s="60">
        <f t="shared" si="205"/>
        <v>1</v>
      </c>
      <c r="F466" s="60">
        <f t="shared" si="205"/>
        <v>97</v>
      </c>
      <c r="G466" s="60">
        <f t="shared" si="205"/>
        <v>43499</v>
      </c>
      <c r="H466" s="60">
        <f t="shared" si="205"/>
        <v>32329</v>
      </c>
      <c r="I466" s="60">
        <f t="shared" si="205"/>
        <v>11170</v>
      </c>
      <c r="J466" s="65" t="s">
        <v>13</v>
      </c>
      <c r="K466" s="59"/>
      <c r="L466" s="55"/>
    </row>
    <row r="467" spans="1:12" ht="12.75" customHeight="1" x14ac:dyDescent="0.2">
      <c r="A467" s="177" t="s">
        <v>560</v>
      </c>
      <c r="B467" s="177"/>
      <c r="C467" s="177"/>
      <c r="D467" s="177"/>
      <c r="E467" s="177"/>
      <c r="F467" s="177"/>
      <c r="G467" s="177"/>
      <c r="H467" s="177"/>
      <c r="I467" s="177"/>
      <c r="J467" s="177"/>
      <c r="K467" s="177"/>
      <c r="L467" s="55"/>
    </row>
    <row r="468" spans="1:12" ht="12.75" customHeight="1" thickBot="1" x14ac:dyDescent="0.25">
      <c r="A468" s="178" t="s">
        <v>561</v>
      </c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55"/>
    </row>
    <row r="469" spans="1:12" ht="12.75" customHeight="1" thickBot="1" x14ac:dyDescent="0.25">
      <c r="A469" s="179" t="s">
        <v>5</v>
      </c>
      <c r="B469" s="179"/>
      <c r="C469" s="179"/>
      <c r="D469" s="179" t="s">
        <v>162</v>
      </c>
      <c r="E469" s="179"/>
      <c r="F469" s="179"/>
      <c r="G469" s="179" t="s">
        <v>163</v>
      </c>
      <c r="H469" s="179"/>
      <c r="I469" s="179"/>
      <c r="J469" s="179" t="s">
        <v>72</v>
      </c>
      <c r="K469" s="179"/>
      <c r="L469" s="55"/>
    </row>
    <row r="470" spans="1:12" ht="12.75" customHeight="1" thickBot="1" x14ac:dyDescent="0.25">
      <c r="A470" s="58" t="s">
        <v>216</v>
      </c>
      <c r="B470" s="58" t="s">
        <v>11</v>
      </c>
      <c r="C470" s="58" t="s">
        <v>10</v>
      </c>
      <c r="D470" s="58" t="s">
        <v>216</v>
      </c>
      <c r="E470" s="58" t="s">
        <v>11</v>
      </c>
      <c r="F470" s="58" t="s">
        <v>10</v>
      </c>
      <c r="G470" s="58" t="s">
        <v>216</v>
      </c>
      <c r="H470" s="58" t="s">
        <v>11</v>
      </c>
      <c r="I470" s="58" t="s">
        <v>10</v>
      </c>
      <c r="J470" s="180" t="s">
        <v>108</v>
      </c>
      <c r="K470" s="180"/>
      <c r="L470" s="55"/>
    </row>
    <row r="471" spans="1:12" ht="12.75" customHeight="1" thickBot="1" x14ac:dyDescent="0.25">
      <c r="A471" s="60">
        <f>SUM(B471:C471)</f>
        <v>1392</v>
      </c>
      <c r="B471" s="60">
        <f>H471+E471</f>
        <v>0</v>
      </c>
      <c r="C471" s="60">
        <f>I471+F471</f>
        <v>1392</v>
      </c>
      <c r="D471" s="60">
        <f>SUM(E471:F471)</f>
        <v>0</v>
      </c>
      <c r="E471" s="60">
        <v>0</v>
      </c>
      <c r="F471" s="60">
        <v>0</v>
      </c>
      <c r="G471" s="60">
        <f>SUM(H471:I471)</f>
        <v>1392</v>
      </c>
      <c r="H471" s="60">
        <v>0</v>
      </c>
      <c r="I471" s="60">
        <f>1192+200</f>
        <v>1392</v>
      </c>
      <c r="J471" s="65" t="s">
        <v>221</v>
      </c>
      <c r="K471" s="66"/>
      <c r="L471" s="55"/>
    </row>
    <row r="472" spans="1:12" ht="12.75" customHeight="1" thickBot="1" x14ac:dyDescent="0.25">
      <c r="A472" s="60">
        <f t="shared" ref="A472:A532" si="206">SUM(B472:C472)</f>
        <v>0</v>
      </c>
      <c r="B472" s="60">
        <f t="shared" ref="B472:C532" si="207">H472+E472</f>
        <v>0</v>
      </c>
      <c r="C472" s="60">
        <f t="shared" si="207"/>
        <v>0</v>
      </c>
      <c r="D472" s="60">
        <f t="shared" ref="D472:D532" si="208">SUM(E472:F472)</f>
        <v>0</v>
      </c>
      <c r="E472" s="60">
        <v>0</v>
      </c>
      <c r="F472" s="60">
        <v>0</v>
      </c>
      <c r="G472" s="60">
        <f t="shared" ref="G472:G532" si="209">SUM(H472:I472)</f>
        <v>0</v>
      </c>
      <c r="H472" s="60">
        <v>0</v>
      </c>
      <c r="I472" s="60">
        <v>0</v>
      </c>
      <c r="J472" s="65" t="s">
        <v>222</v>
      </c>
      <c r="K472" s="66" t="s">
        <v>437</v>
      </c>
      <c r="L472" s="55"/>
    </row>
    <row r="473" spans="1:12" ht="12.75" customHeight="1" thickBot="1" x14ac:dyDescent="0.25">
      <c r="A473" s="60">
        <f t="shared" ref="A473:H473" si="210">SUM(A471:A472)</f>
        <v>1392</v>
      </c>
      <c r="B473" s="60">
        <f t="shared" si="210"/>
        <v>0</v>
      </c>
      <c r="C473" s="60">
        <f t="shared" si="210"/>
        <v>1392</v>
      </c>
      <c r="D473" s="60">
        <f t="shared" si="210"/>
        <v>0</v>
      </c>
      <c r="E473" s="60">
        <f t="shared" si="210"/>
        <v>0</v>
      </c>
      <c r="F473" s="60">
        <f t="shared" si="210"/>
        <v>0</v>
      </c>
      <c r="G473" s="60">
        <f t="shared" si="210"/>
        <v>1392</v>
      </c>
      <c r="H473" s="60">
        <f t="shared" si="210"/>
        <v>0</v>
      </c>
      <c r="I473" s="60">
        <f>SUM(I471:I472)</f>
        <v>1392</v>
      </c>
      <c r="J473" s="65" t="s">
        <v>13</v>
      </c>
      <c r="K473" s="67"/>
      <c r="L473" s="55"/>
    </row>
    <row r="474" spans="1:12" ht="12.75" customHeight="1" thickBot="1" x14ac:dyDescent="0.25">
      <c r="A474" s="60">
        <f t="shared" si="206"/>
        <v>1895</v>
      </c>
      <c r="B474" s="60">
        <f t="shared" si="207"/>
        <v>0</v>
      </c>
      <c r="C474" s="60">
        <f t="shared" si="207"/>
        <v>1895</v>
      </c>
      <c r="D474" s="60">
        <f t="shared" si="208"/>
        <v>20</v>
      </c>
      <c r="E474" s="60">
        <v>0</v>
      </c>
      <c r="F474" s="60">
        <v>20</v>
      </c>
      <c r="G474" s="60">
        <f t="shared" si="209"/>
        <v>1875</v>
      </c>
      <c r="H474" s="60">
        <v>0</v>
      </c>
      <c r="I474" s="60">
        <f>1663+212</f>
        <v>1875</v>
      </c>
      <c r="J474" s="65" t="s">
        <v>221</v>
      </c>
      <c r="K474" s="66"/>
      <c r="L474" s="55"/>
    </row>
    <row r="475" spans="1:12" ht="12.75" customHeight="1" thickBot="1" x14ac:dyDescent="0.25">
      <c r="A475" s="60">
        <f t="shared" si="206"/>
        <v>10</v>
      </c>
      <c r="B475" s="60">
        <f t="shared" si="207"/>
        <v>1</v>
      </c>
      <c r="C475" s="60">
        <f t="shared" si="207"/>
        <v>9</v>
      </c>
      <c r="D475" s="60">
        <f t="shared" si="208"/>
        <v>0</v>
      </c>
      <c r="E475" s="60">
        <v>0</v>
      </c>
      <c r="F475" s="60">
        <v>0</v>
      </c>
      <c r="G475" s="60">
        <f t="shared" si="209"/>
        <v>10</v>
      </c>
      <c r="H475" s="60">
        <v>1</v>
      </c>
      <c r="I475" s="60">
        <v>9</v>
      </c>
      <c r="J475" s="65" t="s">
        <v>222</v>
      </c>
      <c r="K475" s="66" t="s">
        <v>419</v>
      </c>
      <c r="L475" s="55"/>
    </row>
    <row r="476" spans="1:12" ht="12.75" customHeight="1" thickBot="1" x14ac:dyDescent="0.25">
      <c r="A476" s="60">
        <f t="shared" ref="A476:C476" si="211">SUM(A474:A475)</f>
        <v>1905</v>
      </c>
      <c r="B476" s="60">
        <f t="shared" si="211"/>
        <v>1</v>
      </c>
      <c r="C476" s="60">
        <f t="shared" si="211"/>
        <v>1904</v>
      </c>
      <c r="D476" s="60">
        <f t="shared" ref="D476" si="212">SUM(D474:D475)</f>
        <v>20</v>
      </c>
      <c r="E476" s="60">
        <f t="shared" ref="E476:H476" si="213">SUM(E474:E475)</f>
        <v>0</v>
      </c>
      <c r="F476" s="60">
        <f t="shared" si="213"/>
        <v>20</v>
      </c>
      <c r="G476" s="60">
        <f t="shared" si="213"/>
        <v>1885</v>
      </c>
      <c r="H476" s="60">
        <f t="shared" si="213"/>
        <v>1</v>
      </c>
      <c r="I476" s="60">
        <f>SUM(I474:I475)</f>
        <v>1884</v>
      </c>
      <c r="J476" s="65" t="s">
        <v>13</v>
      </c>
      <c r="K476" s="67"/>
      <c r="L476" s="55"/>
    </row>
    <row r="477" spans="1:12" ht="12.75" customHeight="1" thickBot="1" x14ac:dyDescent="0.25">
      <c r="A477" s="60">
        <f t="shared" si="206"/>
        <v>2967</v>
      </c>
      <c r="B477" s="60">
        <f t="shared" si="207"/>
        <v>0</v>
      </c>
      <c r="C477" s="60">
        <f t="shared" si="207"/>
        <v>2967</v>
      </c>
      <c r="D477" s="60">
        <f t="shared" si="208"/>
        <v>16</v>
      </c>
      <c r="E477" s="60">
        <v>0</v>
      </c>
      <c r="F477" s="60">
        <v>16</v>
      </c>
      <c r="G477" s="60">
        <f t="shared" si="209"/>
        <v>2951</v>
      </c>
      <c r="H477" s="60">
        <v>0</v>
      </c>
      <c r="I477" s="60">
        <v>2951</v>
      </c>
      <c r="J477" s="65" t="s">
        <v>221</v>
      </c>
      <c r="K477" s="66"/>
      <c r="L477" s="55"/>
    </row>
    <row r="478" spans="1:12" ht="12.75" customHeight="1" thickBot="1" x14ac:dyDescent="0.25">
      <c r="A478" s="60">
        <f t="shared" si="206"/>
        <v>9</v>
      </c>
      <c r="B478" s="60">
        <f t="shared" si="207"/>
        <v>1</v>
      </c>
      <c r="C478" s="60">
        <f t="shared" si="207"/>
        <v>8</v>
      </c>
      <c r="D478" s="60">
        <f t="shared" si="208"/>
        <v>0</v>
      </c>
      <c r="E478" s="60">
        <v>0</v>
      </c>
      <c r="F478" s="60">
        <v>0</v>
      </c>
      <c r="G478" s="60">
        <f t="shared" si="209"/>
        <v>9</v>
      </c>
      <c r="H478" s="60">
        <v>1</v>
      </c>
      <c r="I478" s="60">
        <v>8</v>
      </c>
      <c r="J478" s="65" t="s">
        <v>222</v>
      </c>
      <c r="K478" s="66" t="s">
        <v>438</v>
      </c>
      <c r="L478" s="55"/>
    </row>
    <row r="479" spans="1:12" ht="12.75" customHeight="1" thickBot="1" x14ac:dyDescent="0.25">
      <c r="A479" s="60">
        <f t="shared" ref="A479:H479" si="214">SUM(A477:A478)</f>
        <v>2976</v>
      </c>
      <c r="B479" s="60">
        <f t="shared" si="214"/>
        <v>1</v>
      </c>
      <c r="C479" s="60">
        <f t="shared" si="214"/>
        <v>2975</v>
      </c>
      <c r="D479" s="60">
        <f t="shared" si="214"/>
        <v>16</v>
      </c>
      <c r="E479" s="60">
        <f t="shared" si="214"/>
        <v>0</v>
      </c>
      <c r="F479" s="60">
        <f t="shared" si="214"/>
        <v>16</v>
      </c>
      <c r="G479" s="60">
        <f t="shared" si="214"/>
        <v>2960</v>
      </c>
      <c r="H479" s="60">
        <f t="shared" si="214"/>
        <v>1</v>
      </c>
      <c r="I479" s="60">
        <f>SUM(I477:I478)</f>
        <v>2959</v>
      </c>
      <c r="J479" s="65" t="s">
        <v>13</v>
      </c>
      <c r="K479" s="67"/>
      <c r="L479" s="55"/>
    </row>
    <row r="480" spans="1:12" ht="12.75" customHeight="1" thickBot="1" x14ac:dyDescent="0.25">
      <c r="A480" s="60">
        <f t="shared" si="206"/>
        <v>3701</v>
      </c>
      <c r="B480" s="60">
        <f t="shared" si="207"/>
        <v>1466</v>
      </c>
      <c r="C480" s="60">
        <f t="shared" si="207"/>
        <v>2235</v>
      </c>
      <c r="D480" s="60">
        <f t="shared" si="208"/>
        <v>28</v>
      </c>
      <c r="E480" s="60">
        <v>3</v>
      </c>
      <c r="F480" s="60">
        <v>25</v>
      </c>
      <c r="G480" s="60">
        <f t="shared" si="209"/>
        <v>3673</v>
      </c>
      <c r="H480" s="60">
        <v>1463</v>
      </c>
      <c r="I480" s="60">
        <v>2210</v>
      </c>
      <c r="J480" s="65" t="s">
        <v>221</v>
      </c>
      <c r="K480" s="66"/>
      <c r="L480" s="55"/>
    </row>
    <row r="481" spans="1:12" ht="12.75" customHeight="1" thickBot="1" x14ac:dyDescent="0.25">
      <c r="A481" s="60">
        <f t="shared" si="206"/>
        <v>0</v>
      </c>
      <c r="B481" s="60">
        <f t="shared" si="207"/>
        <v>0</v>
      </c>
      <c r="C481" s="60">
        <f t="shared" si="207"/>
        <v>0</v>
      </c>
      <c r="D481" s="60">
        <f t="shared" si="208"/>
        <v>0</v>
      </c>
      <c r="E481" s="60">
        <v>0</v>
      </c>
      <c r="F481" s="60">
        <v>0</v>
      </c>
      <c r="G481" s="60">
        <f t="shared" si="209"/>
        <v>0</v>
      </c>
      <c r="H481" s="60">
        <v>0</v>
      </c>
      <c r="I481" s="60">
        <v>0</v>
      </c>
      <c r="J481" s="65" t="s">
        <v>222</v>
      </c>
      <c r="K481" s="66" t="s">
        <v>439</v>
      </c>
      <c r="L481" s="55"/>
    </row>
    <row r="482" spans="1:12" ht="12.75" customHeight="1" thickBot="1" x14ac:dyDescent="0.25">
      <c r="A482" s="60">
        <f t="shared" ref="A482:H482" si="215">SUM(A480:A481)</f>
        <v>3701</v>
      </c>
      <c r="B482" s="60">
        <f t="shared" si="215"/>
        <v>1466</v>
      </c>
      <c r="C482" s="60">
        <f t="shared" si="215"/>
        <v>2235</v>
      </c>
      <c r="D482" s="60">
        <f t="shared" si="215"/>
        <v>28</v>
      </c>
      <c r="E482" s="60">
        <f t="shared" si="215"/>
        <v>3</v>
      </c>
      <c r="F482" s="60">
        <f t="shared" si="215"/>
        <v>25</v>
      </c>
      <c r="G482" s="60">
        <f t="shared" si="215"/>
        <v>3673</v>
      </c>
      <c r="H482" s="60">
        <f t="shared" si="215"/>
        <v>1463</v>
      </c>
      <c r="I482" s="60">
        <f>SUM(I480:I481)</f>
        <v>2210</v>
      </c>
      <c r="J482" s="65" t="s">
        <v>13</v>
      </c>
      <c r="K482" s="67"/>
      <c r="L482" s="55"/>
    </row>
    <row r="483" spans="1:12" ht="12.75" customHeight="1" thickBot="1" x14ac:dyDescent="0.25">
      <c r="A483" s="60">
        <f t="shared" si="206"/>
        <v>1725</v>
      </c>
      <c r="B483" s="60">
        <f t="shared" si="207"/>
        <v>0</v>
      </c>
      <c r="C483" s="60">
        <f t="shared" si="207"/>
        <v>1725</v>
      </c>
      <c r="D483" s="60">
        <f t="shared" si="208"/>
        <v>3</v>
      </c>
      <c r="E483" s="60">
        <v>0</v>
      </c>
      <c r="F483" s="60">
        <v>3</v>
      </c>
      <c r="G483" s="60">
        <f t="shared" si="209"/>
        <v>1722</v>
      </c>
      <c r="H483" s="60">
        <v>0</v>
      </c>
      <c r="I483" s="60">
        <v>1722</v>
      </c>
      <c r="J483" s="65" t="s">
        <v>221</v>
      </c>
      <c r="K483" s="66"/>
      <c r="L483" s="55"/>
    </row>
    <row r="484" spans="1:12" ht="12.75" customHeight="1" thickBot="1" x14ac:dyDescent="0.25">
      <c r="A484" s="60">
        <f t="shared" si="206"/>
        <v>0</v>
      </c>
      <c r="B484" s="60">
        <f t="shared" si="207"/>
        <v>0</v>
      </c>
      <c r="C484" s="60">
        <f t="shared" si="207"/>
        <v>0</v>
      </c>
      <c r="D484" s="60">
        <f t="shared" si="208"/>
        <v>0</v>
      </c>
      <c r="E484" s="60">
        <v>0</v>
      </c>
      <c r="F484" s="60">
        <v>0</v>
      </c>
      <c r="G484" s="60">
        <f t="shared" si="209"/>
        <v>0</v>
      </c>
      <c r="H484" s="60">
        <v>0</v>
      </c>
      <c r="I484" s="60">
        <v>0</v>
      </c>
      <c r="J484" s="65" t="s">
        <v>222</v>
      </c>
      <c r="K484" s="66" t="s">
        <v>440</v>
      </c>
      <c r="L484" s="55"/>
    </row>
    <row r="485" spans="1:12" ht="12.75" customHeight="1" thickBot="1" x14ac:dyDescent="0.25">
      <c r="A485" s="60">
        <f t="shared" ref="A485:H485" si="216">SUM(A483:A484)</f>
        <v>1725</v>
      </c>
      <c r="B485" s="60">
        <f t="shared" si="216"/>
        <v>0</v>
      </c>
      <c r="C485" s="60">
        <f t="shared" si="216"/>
        <v>1725</v>
      </c>
      <c r="D485" s="60">
        <f t="shared" si="216"/>
        <v>3</v>
      </c>
      <c r="E485" s="60">
        <f t="shared" si="216"/>
        <v>0</v>
      </c>
      <c r="F485" s="60">
        <f t="shared" si="216"/>
        <v>3</v>
      </c>
      <c r="G485" s="60">
        <f t="shared" si="216"/>
        <v>1722</v>
      </c>
      <c r="H485" s="60">
        <f t="shared" si="216"/>
        <v>0</v>
      </c>
      <c r="I485" s="60">
        <f>SUM(I483:I484)</f>
        <v>1722</v>
      </c>
      <c r="J485" s="65" t="s">
        <v>13</v>
      </c>
      <c r="K485" s="67"/>
      <c r="L485" s="55"/>
    </row>
    <row r="486" spans="1:12" ht="12.75" customHeight="1" thickBot="1" x14ac:dyDescent="0.25">
      <c r="A486" s="60">
        <f t="shared" si="206"/>
        <v>568</v>
      </c>
      <c r="B486" s="60">
        <f t="shared" si="207"/>
        <v>218</v>
      </c>
      <c r="C486" s="60">
        <f t="shared" si="207"/>
        <v>350</v>
      </c>
      <c r="D486" s="60">
        <f t="shared" si="208"/>
        <v>2</v>
      </c>
      <c r="E486" s="60">
        <v>0</v>
      </c>
      <c r="F486" s="60">
        <v>2</v>
      </c>
      <c r="G486" s="60">
        <f t="shared" si="209"/>
        <v>566</v>
      </c>
      <c r="H486" s="60">
        <v>218</v>
      </c>
      <c r="I486" s="60">
        <v>348</v>
      </c>
      <c r="J486" s="65" t="s">
        <v>221</v>
      </c>
      <c r="K486" s="66"/>
      <c r="L486" s="55"/>
    </row>
    <row r="487" spans="1:12" ht="12.75" customHeight="1" thickBot="1" x14ac:dyDescent="0.25">
      <c r="A487" s="60">
        <f t="shared" si="206"/>
        <v>0</v>
      </c>
      <c r="B487" s="60">
        <f t="shared" si="207"/>
        <v>0</v>
      </c>
      <c r="C487" s="60">
        <f t="shared" si="207"/>
        <v>0</v>
      </c>
      <c r="D487" s="60">
        <f t="shared" si="208"/>
        <v>0</v>
      </c>
      <c r="E487" s="60">
        <v>0</v>
      </c>
      <c r="F487" s="60">
        <v>0</v>
      </c>
      <c r="G487" s="60">
        <f t="shared" si="209"/>
        <v>0</v>
      </c>
      <c r="H487" s="60">
        <v>0</v>
      </c>
      <c r="I487" s="60">
        <v>0</v>
      </c>
      <c r="J487" s="65" t="s">
        <v>222</v>
      </c>
      <c r="K487" s="66" t="s">
        <v>441</v>
      </c>
      <c r="L487" s="55"/>
    </row>
    <row r="488" spans="1:12" ht="12.75" customHeight="1" thickBot="1" x14ac:dyDescent="0.25">
      <c r="A488" s="60">
        <f t="shared" ref="A488:H488" si="217">SUM(A486:A487)</f>
        <v>568</v>
      </c>
      <c r="B488" s="60">
        <f t="shared" si="217"/>
        <v>218</v>
      </c>
      <c r="C488" s="60">
        <f t="shared" si="217"/>
        <v>350</v>
      </c>
      <c r="D488" s="60">
        <f t="shared" si="217"/>
        <v>2</v>
      </c>
      <c r="E488" s="60">
        <f t="shared" si="217"/>
        <v>0</v>
      </c>
      <c r="F488" s="60">
        <f t="shared" si="217"/>
        <v>2</v>
      </c>
      <c r="G488" s="60">
        <f t="shared" si="217"/>
        <v>566</v>
      </c>
      <c r="H488" s="60">
        <f t="shared" si="217"/>
        <v>218</v>
      </c>
      <c r="I488" s="60">
        <f>SUM(I486:I487)</f>
        <v>348</v>
      </c>
      <c r="J488" s="65" t="s">
        <v>13</v>
      </c>
      <c r="K488" s="67"/>
      <c r="L488" s="55"/>
    </row>
    <row r="489" spans="1:12" ht="12.75" customHeight="1" thickBot="1" x14ac:dyDescent="0.25">
      <c r="A489" s="60">
        <f t="shared" si="206"/>
        <v>1394</v>
      </c>
      <c r="B489" s="60">
        <f t="shared" si="207"/>
        <v>0</v>
      </c>
      <c r="C489" s="60">
        <f t="shared" si="207"/>
        <v>1394</v>
      </c>
      <c r="D489" s="60">
        <f t="shared" si="208"/>
        <v>3</v>
      </c>
      <c r="E489" s="60">
        <v>0</v>
      </c>
      <c r="F489" s="60">
        <v>3</v>
      </c>
      <c r="G489" s="60">
        <f t="shared" si="209"/>
        <v>1391</v>
      </c>
      <c r="H489" s="60">
        <v>0</v>
      </c>
      <c r="I489" s="60">
        <v>1391</v>
      </c>
      <c r="J489" s="65" t="s">
        <v>221</v>
      </c>
      <c r="K489" s="66"/>
      <c r="L489" s="55"/>
    </row>
    <row r="490" spans="1:12" ht="12.75" customHeight="1" thickBot="1" x14ac:dyDescent="0.25">
      <c r="A490" s="60">
        <f t="shared" si="206"/>
        <v>0</v>
      </c>
      <c r="B490" s="60">
        <f t="shared" si="207"/>
        <v>0</v>
      </c>
      <c r="C490" s="60">
        <f t="shared" si="207"/>
        <v>0</v>
      </c>
      <c r="D490" s="60">
        <f t="shared" si="208"/>
        <v>0</v>
      </c>
      <c r="E490" s="60">
        <v>0</v>
      </c>
      <c r="F490" s="60">
        <v>0</v>
      </c>
      <c r="G490" s="60">
        <f t="shared" si="209"/>
        <v>0</v>
      </c>
      <c r="H490" s="60">
        <v>0</v>
      </c>
      <c r="I490" s="60">
        <v>0</v>
      </c>
      <c r="J490" s="65" t="s">
        <v>222</v>
      </c>
      <c r="K490" s="66" t="s">
        <v>377</v>
      </c>
      <c r="L490" s="55"/>
    </row>
    <row r="491" spans="1:12" ht="12.75" customHeight="1" thickBot="1" x14ac:dyDescent="0.25">
      <c r="A491" s="60">
        <f t="shared" ref="A491:H491" si="218">SUM(A489:A490)</f>
        <v>1394</v>
      </c>
      <c r="B491" s="60">
        <f t="shared" si="218"/>
        <v>0</v>
      </c>
      <c r="C491" s="60">
        <f t="shared" si="218"/>
        <v>1394</v>
      </c>
      <c r="D491" s="60">
        <f t="shared" si="218"/>
        <v>3</v>
      </c>
      <c r="E491" s="60">
        <f t="shared" si="218"/>
        <v>0</v>
      </c>
      <c r="F491" s="60">
        <f t="shared" si="218"/>
        <v>3</v>
      </c>
      <c r="G491" s="60">
        <f t="shared" si="218"/>
        <v>1391</v>
      </c>
      <c r="H491" s="60">
        <f t="shared" si="218"/>
        <v>0</v>
      </c>
      <c r="I491" s="60">
        <f>SUM(I489:I490)</f>
        <v>1391</v>
      </c>
      <c r="J491" s="65" t="s">
        <v>13</v>
      </c>
      <c r="K491" s="67"/>
      <c r="L491" s="55"/>
    </row>
    <row r="492" spans="1:12" ht="12.75" customHeight="1" thickBot="1" x14ac:dyDescent="0.25">
      <c r="A492" s="60">
        <f t="shared" si="206"/>
        <v>467</v>
      </c>
      <c r="B492" s="60">
        <f t="shared" si="207"/>
        <v>0</v>
      </c>
      <c r="C492" s="60">
        <f t="shared" si="207"/>
        <v>467</v>
      </c>
      <c r="D492" s="60">
        <f t="shared" si="208"/>
        <v>0</v>
      </c>
      <c r="E492" s="60">
        <v>0</v>
      </c>
      <c r="F492" s="60">
        <v>0</v>
      </c>
      <c r="G492" s="60">
        <f t="shared" si="209"/>
        <v>467</v>
      </c>
      <c r="H492" s="60">
        <v>0</v>
      </c>
      <c r="I492" s="60">
        <v>467</v>
      </c>
      <c r="J492" s="65" t="s">
        <v>221</v>
      </c>
      <c r="K492" s="66"/>
      <c r="L492" s="55"/>
    </row>
    <row r="493" spans="1:12" ht="12.75" customHeight="1" thickBot="1" x14ac:dyDescent="0.25">
      <c r="A493" s="60">
        <f t="shared" si="206"/>
        <v>0</v>
      </c>
      <c r="B493" s="60">
        <f t="shared" si="207"/>
        <v>0</v>
      </c>
      <c r="C493" s="60">
        <f t="shared" si="207"/>
        <v>0</v>
      </c>
      <c r="D493" s="60">
        <f t="shared" si="208"/>
        <v>0</v>
      </c>
      <c r="E493" s="60">
        <v>0</v>
      </c>
      <c r="F493" s="60">
        <v>0</v>
      </c>
      <c r="G493" s="60">
        <f t="shared" si="209"/>
        <v>0</v>
      </c>
      <c r="H493" s="60">
        <v>0</v>
      </c>
      <c r="I493" s="60">
        <v>0</v>
      </c>
      <c r="J493" s="65" t="s">
        <v>222</v>
      </c>
      <c r="K493" s="66" t="s">
        <v>359</v>
      </c>
      <c r="L493" s="55"/>
    </row>
    <row r="494" spans="1:12" ht="12.75" customHeight="1" thickBot="1" x14ac:dyDescent="0.25">
      <c r="A494" s="60">
        <f t="shared" ref="A494:H494" si="219">SUM(A492:A493)</f>
        <v>467</v>
      </c>
      <c r="B494" s="60">
        <f t="shared" si="219"/>
        <v>0</v>
      </c>
      <c r="C494" s="60">
        <f t="shared" si="219"/>
        <v>467</v>
      </c>
      <c r="D494" s="60">
        <f t="shared" si="219"/>
        <v>0</v>
      </c>
      <c r="E494" s="60">
        <f t="shared" si="219"/>
        <v>0</v>
      </c>
      <c r="F494" s="60">
        <f t="shared" si="219"/>
        <v>0</v>
      </c>
      <c r="G494" s="60">
        <f t="shared" si="219"/>
        <v>467</v>
      </c>
      <c r="H494" s="60">
        <f t="shared" si="219"/>
        <v>0</v>
      </c>
      <c r="I494" s="60">
        <f>SUM(I492:I493)</f>
        <v>467</v>
      </c>
      <c r="J494" s="65" t="s">
        <v>13</v>
      </c>
      <c r="K494" s="67"/>
      <c r="L494" s="55"/>
    </row>
    <row r="495" spans="1:12" ht="12.75" customHeight="1" thickBot="1" x14ac:dyDescent="0.25">
      <c r="A495" s="60">
        <f t="shared" si="206"/>
        <v>368</v>
      </c>
      <c r="B495" s="60">
        <f t="shared" si="207"/>
        <v>0</v>
      </c>
      <c r="C495" s="60">
        <f t="shared" si="207"/>
        <v>368</v>
      </c>
      <c r="D495" s="60">
        <f t="shared" si="208"/>
        <v>0</v>
      </c>
      <c r="E495" s="60">
        <v>0</v>
      </c>
      <c r="F495" s="60">
        <v>0</v>
      </c>
      <c r="G495" s="60">
        <f t="shared" si="209"/>
        <v>368</v>
      </c>
      <c r="H495" s="60">
        <v>0</v>
      </c>
      <c r="I495" s="60">
        <v>368</v>
      </c>
      <c r="J495" s="65" t="s">
        <v>221</v>
      </c>
      <c r="K495" s="66"/>
      <c r="L495" s="55"/>
    </row>
    <row r="496" spans="1:12" ht="12.75" customHeight="1" thickBot="1" x14ac:dyDescent="0.25">
      <c r="A496" s="60">
        <f t="shared" si="206"/>
        <v>0</v>
      </c>
      <c r="B496" s="60">
        <f t="shared" si="207"/>
        <v>0</v>
      </c>
      <c r="C496" s="60">
        <f t="shared" si="207"/>
        <v>0</v>
      </c>
      <c r="D496" s="60">
        <f t="shared" si="208"/>
        <v>0</v>
      </c>
      <c r="E496" s="60">
        <v>0</v>
      </c>
      <c r="F496" s="60">
        <v>0</v>
      </c>
      <c r="G496" s="60">
        <f t="shared" si="209"/>
        <v>0</v>
      </c>
      <c r="H496" s="60">
        <v>0</v>
      </c>
      <c r="I496" s="60">
        <v>0</v>
      </c>
      <c r="J496" s="65" t="s">
        <v>222</v>
      </c>
      <c r="K496" s="66" t="s">
        <v>442</v>
      </c>
      <c r="L496" s="55"/>
    </row>
    <row r="497" spans="1:12" ht="12.75" customHeight="1" thickBot="1" x14ac:dyDescent="0.25">
      <c r="A497" s="60">
        <f t="shared" ref="A497:H497" si="220">SUM(A495:A496)</f>
        <v>368</v>
      </c>
      <c r="B497" s="60">
        <f t="shared" si="220"/>
        <v>0</v>
      </c>
      <c r="C497" s="60">
        <f t="shared" si="220"/>
        <v>368</v>
      </c>
      <c r="D497" s="60">
        <f t="shared" si="220"/>
        <v>0</v>
      </c>
      <c r="E497" s="60">
        <f t="shared" si="220"/>
        <v>0</v>
      </c>
      <c r="F497" s="60">
        <f t="shared" si="220"/>
        <v>0</v>
      </c>
      <c r="G497" s="60">
        <f t="shared" si="220"/>
        <v>368</v>
      </c>
      <c r="H497" s="60">
        <f t="shared" si="220"/>
        <v>0</v>
      </c>
      <c r="I497" s="60">
        <f>SUM(I495:I496)</f>
        <v>368</v>
      </c>
      <c r="J497" s="65" t="s">
        <v>13</v>
      </c>
      <c r="K497" s="67"/>
      <c r="L497" s="55"/>
    </row>
    <row r="498" spans="1:12" ht="12.75" customHeight="1" thickBot="1" x14ac:dyDescent="0.25">
      <c r="A498" s="60">
        <f t="shared" si="206"/>
        <v>520</v>
      </c>
      <c r="B498" s="60">
        <f t="shared" si="207"/>
        <v>231</v>
      </c>
      <c r="C498" s="60">
        <f t="shared" si="207"/>
        <v>289</v>
      </c>
      <c r="D498" s="60">
        <f t="shared" si="208"/>
        <v>0</v>
      </c>
      <c r="E498" s="60">
        <v>0</v>
      </c>
      <c r="F498" s="60">
        <v>0</v>
      </c>
      <c r="G498" s="60">
        <f t="shared" si="209"/>
        <v>520</v>
      </c>
      <c r="H498" s="60">
        <v>231</v>
      </c>
      <c r="I498" s="60">
        <v>289</v>
      </c>
      <c r="J498" s="65" t="s">
        <v>221</v>
      </c>
      <c r="K498" s="66"/>
      <c r="L498" s="55"/>
    </row>
    <row r="499" spans="1:12" ht="12.75" customHeight="1" thickBot="1" x14ac:dyDescent="0.25">
      <c r="A499" s="60">
        <f t="shared" si="206"/>
        <v>0</v>
      </c>
      <c r="B499" s="60">
        <f t="shared" si="207"/>
        <v>0</v>
      </c>
      <c r="C499" s="60">
        <f t="shared" si="207"/>
        <v>0</v>
      </c>
      <c r="D499" s="60">
        <f t="shared" si="208"/>
        <v>0</v>
      </c>
      <c r="E499" s="60">
        <v>0</v>
      </c>
      <c r="F499" s="60">
        <v>0</v>
      </c>
      <c r="G499" s="60">
        <f t="shared" si="209"/>
        <v>0</v>
      </c>
      <c r="H499" s="60">
        <v>0</v>
      </c>
      <c r="I499" s="60">
        <v>0</v>
      </c>
      <c r="J499" s="65" t="s">
        <v>222</v>
      </c>
      <c r="K499" s="66" t="s">
        <v>443</v>
      </c>
      <c r="L499" s="55"/>
    </row>
    <row r="500" spans="1:12" ht="12.75" customHeight="1" thickBot="1" x14ac:dyDescent="0.25">
      <c r="A500" s="60">
        <f t="shared" ref="A500:H500" si="221">SUM(A498:A499)</f>
        <v>520</v>
      </c>
      <c r="B500" s="60">
        <f t="shared" si="221"/>
        <v>231</v>
      </c>
      <c r="C500" s="60">
        <f t="shared" si="221"/>
        <v>289</v>
      </c>
      <c r="D500" s="60">
        <f t="shared" si="221"/>
        <v>0</v>
      </c>
      <c r="E500" s="60">
        <f t="shared" si="221"/>
        <v>0</v>
      </c>
      <c r="F500" s="60">
        <f t="shared" si="221"/>
        <v>0</v>
      </c>
      <c r="G500" s="60">
        <f t="shared" si="221"/>
        <v>520</v>
      </c>
      <c r="H500" s="60">
        <f t="shared" si="221"/>
        <v>231</v>
      </c>
      <c r="I500" s="60">
        <f>SUM(I498:I499)</f>
        <v>289</v>
      </c>
      <c r="J500" s="65" t="s">
        <v>13</v>
      </c>
      <c r="K500" s="67"/>
      <c r="L500" s="55"/>
    </row>
    <row r="501" spans="1:12" ht="12.75" customHeight="1" thickBot="1" x14ac:dyDescent="0.25">
      <c r="A501" s="60">
        <f t="shared" si="206"/>
        <v>141</v>
      </c>
      <c r="B501" s="60">
        <f t="shared" si="207"/>
        <v>0</v>
      </c>
      <c r="C501" s="60">
        <f t="shared" si="207"/>
        <v>141</v>
      </c>
      <c r="D501" s="60">
        <f t="shared" si="208"/>
        <v>0</v>
      </c>
      <c r="E501" s="60">
        <v>0</v>
      </c>
      <c r="F501" s="60">
        <v>0</v>
      </c>
      <c r="G501" s="60">
        <f t="shared" si="209"/>
        <v>141</v>
      </c>
      <c r="H501" s="60">
        <v>0</v>
      </c>
      <c r="I501" s="60">
        <v>141</v>
      </c>
      <c r="J501" s="65" t="s">
        <v>221</v>
      </c>
      <c r="K501" s="66"/>
      <c r="L501" s="55"/>
    </row>
    <row r="502" spans="1:12" ht="12.75" customHeight="1" thickBot="1" x14ac:dyDescent="0.25">
      <c r="A502" s="60">
        <f t="shared" si="206"/>
        <v>0</v>
      </c>
      <c r="B502" s="60">
        <f t="shared" si="207"/>
        <v>0</v>
      </c>
      <c r="C502" s="60">
        <f t="shared" si="207"/>
        <v>0</v>
      </c>
      <c r="D502" s="60">
        <f t="shared" si="208"/>
        <v>0</v>
      </c>
      <c r="E502" s="60">
        <v>0</v>
      </c>
      <c r="F502" s="60">
        <v>0</v>
      </c>
      <c r="G502" s="60">
        <f t="shared" si="209"/>
        <v>0</v>
      </c>
      <c r="H502" s="60">
        <v>0</v>
      </c>
      <c r="I502" s="60">
        <v>0</v>
      </c>
      <c r="J502" s="65" t="s">
        <v>222</v>
      </c>
      <c r="K502" s="66" t="s">
        <v>569</v>
      </c>
      <c r="L502" s="55"/>
    </row>
    <row r="503" spans="1:12" ht="12.75" customHeight="1" thickBot="1" x14ac:dyDescent="0.25">
      <c r="A503" s="60">
        <f t="shared" ref="A503:H503" si="222">SUM(A501:A502)</f>
        <v>141</v>
      </c>
      <c r="B503" s="60">
        <f t="shared" si="222"/>
        <v>0</v>
      </c>
      <c r="C503" s="60">
        <f t="shared" si="222"/>
        <v>141</v>
      </c>
      <c r="D503" s="60">
        <f t="shared" si="222"/>
        <v>0</v>
      </c>
      <c r="E503" s="60">
        <f t="shared" si="222"/>
        <v>0</v>
      </c>
      <c r="F503" s="60">
        <f t="shared" si="222"/>
        <v>0</v>
      </c>
      <c r="G503" s="60">
        <f t="shared" si="222"/>
        <v>141</v>
      </c>
      <c r="H503" s="60">
        <f t="shared" si="222"/>
        <v>0</v>
      </c>
      <c r="I503" s="60">
        <f>SUM(I501:I502)</f>
        <v>141</v>
      </c>
      <c r="J503" s="65" t="s">
        <v>13</v>
      </c>
      <c r="K503" s="67"/>
      <c r="L503" s="55"/>
    </row>
    <row r="504" spans="1:12" ht="12.75" customHeight="1" thickBot="1" x14ac:dyDescent="0.25">
      <c r="A504" s="60">
        <f t="shared" si="206"/>
        <v>3714</v>
      </c>
      <c r="B504" s="60">
        <f t="shared" si="207"/>
        <v>3714</v>
      </c>
      <c r="C504" s="60">
        <f t="shared" si="207"/>
        <v>0</v>
      </c>
      <c r="D504" s="60">
        <f t="shared" si="208"/>
        <v>1</v>
      </c>
      <c r="E504" s="60">
        <v>1</v>
      </c>
      <c r="F504" s="60">
        <v>0</v>
      </c>
      <c r="G504" s="60">
        <f t="shared" si="209"/>
        <v>3713</v>
      </c>
      <c r="H504" s="60">
        <f>769+2944</f>
        <v>3713</v>
      </c>
      <c r="I504" s="60">
        <v>0</v>
      </c>
      <c r="J504" s="65" t="s">
        <v>221</v>
      </c>
      <c r="K504" s="66"/>
      <c r="L504" s="55"/>
    </row>
    <row r="505" spans="1:12" ht="12.75" customHeight="1" thickBot="1" x14ac:dyDescent="0.25">
      <c r="A505" s="60">
        <f t="shared" si="206"/>
        <v>1632</v>
      </c>
      <c r="B505" s="60">
        <f t="shared" si="207"/>
        <v>1632</v>
      </c>
      <c r="C505" s="60">
        <f t="shared" si="207"/>
        <v>0</v>
      </c>
      <c r="D505" s="60">
        <f t="shared" si="208"/>
        <v>0</v>
      </c>
      <c r="E505" s="60">
        <v>0</v>
      </c>
      <c r="F505" s="60">
        <v>0</v>
      </c>
      <c r="G505" s="60">
        <f t="shared" si="209"/>
        <v>1632</v>
      </c>
      <c r="H505" s="60">
        <f>198+1434</f>
        <v>1632</v>
      </c>
      <c r="I505" s="60">
        <v>0</v>
      </c>
      <c r="J505" s="65" t="s">
        <v>222</v>
      </c>
      <c r="K505" s="66" t="s">
        <v>570</v>
      </c>
      <c r="L505" s="55"/>
    </row>
    <row r="506" spans="1:12" ht="12.75" customHeight="1" thickBot="1" x14ac:dyDescent="0.25">
      <c r="A506" s="60">
        <f t="shared" ref="A506:H506" si="223">SUM(A504:A505)</f>
        <v>5346</v>
      </c>
      <c r="B506" s="60">
        <f t="shared" si="223"/>
        <v>5346</v>
      </c>
      <c r="C506" s="60">
        <f t="shared" si="223"/>
        <v>0</v>
      </c>
      <c r="D506" s="60">
        <f t="shared" si="223"/>
        <v>1</v>
      </c>
      <c r="E506" s="60">
        <f t="shared" si="223"/>
        <v>1</v>
      </c>
      <c r="F506" s="60">
        <f t="shared" si="223"/>
        <v>0</v>
      </c>
      <c r="G506" s="60">
        <f t="shared" si="223"/>
        <v>5345</v>
      </c>
      <c r="H506" s="60">
        <f t="shared" si="223"/>
        <v>5345</v>
      </c>
      <c r="I506" s="60">
        <f>SUM(I504:I505)</f>
        <v>0</v>
      </c>
      <c r="J506" s="65" t="s">
        <v>13</v>
      </c>
      <c r="K506" s="67"/>
      <c r="L506" s="55"/>
    </row>
    <row r="507" spans="1:12" ht="12.75" customHeight="1" thickBot="1" x14ac:dyDescent="0.25">
      <c r="A507" s="60">
        <f t="shared" si="206"/>
        <v>1687</v>
      </c>
      <c r="B507" s="60">
        <f t="shared" si="207"/>
        <v>1687</v>
      </c>
      <c r="C507" s="60">
        <f t="shared" si="207"/>
        <v>0</v>
      </c>
      <c r="D507" s="60">
        <f t="shared" si="208"/>
        <v>0</v>
      </c>
      <c r="E507" s="60">
        <v>0</v>
      </c>
      <c r="F507" s="60">
        <v>0</v>
      </c>
      <c r="G507" s="60">
        <f t="shared" si="209"/>
        <v>1687</v>
      </c>
      <c r="H507" s="60">
        <v>1687</v>
      </c>
      <c r="I507" s="60">
        <v>0</v>
      </c>
      <c r="J507" s="65" t="s">
        <v>221</v>
      </c>
      <c r="K507" s="66"/>
      <c r="L507" s="55"/>
    </row>
    <row r="508" spans="1:12" ht="12.75" customHeight="1" thickBot="1" x14ac:dyDescent="0.25">
      <c r="A508" s="60">
        <f t="shared" si="206"/>
        <v>0</v>
      </c>
      <c r="B508" s="60">
        <f t="shared" si="207"/>
        <v>0</v>
      </c>
      <c r="C508" s="60">
        <f t="shared" si="207"/>
        <v>0</v>
      </c>
      <c r="D508" s="60">
        <f t="shared" si="208"/>
        <v>0</v>
      </c>
      <c r="E508" s="60">
        <v>0</v>
      </c>
      <c r="F508" s="60">
        <v>0</v>
      </c>
      <c r="G508" s="60">
        <f t="shared" si="209"/>
        <v>0</v>
      </c>
      <c r="H508" s="60">
        <v>0</v>
      </c>
      <c r="I508" s="60">
        <v>0</v>
      </c>
      <c r="J508" s="65" t="s">
        <v>222</v>
      </c>
      <c r="K508" s="66" t="s">
        <v>444</v>
      </c>
      <c r="L508" s="55"/>
    </row>
    <row r="509" spans="1:12" ht="12.75" customHeight="1" thickBot="1" x14ac:dyDescent="0.25">
      <c r="A509" s="60">
        <f t="shared" ref="A509:H509" si="224">SUM(A507:A508)</f>
        <v>1687</v>
      </c>
      <c r="B509" s="60">
        <f t="shared" si="224"/>
        <v>1687</v>
      </c>
      <c r="C509" s="60">
        <f t="shared" si="224"/>
        <v>0</v>
      </c>
      <c r="D509" s="60">
        <f t="shared" si="224"/>
        <v>0</v>
      </c>
      <c r="E509" s="60">
        <f t="shared" si="224"/>
        <v>0</v>
      </c>
      <c r="F509" s="60">
        <f t="shared" si="224"/>
        <v>0</v>
      </c>
      <c r="G509" s="60">
        <f t="shared" si="224"/>
        <v>1687</v>
      </c>
      <c r="H509" s="60">
        <f t="shared" si="224"/>
        <v>1687</v>
      </c>
      <c r="I509" s="60">
        <f>SUM(I507:I508)</f>
        <v>0</v>
      </c>
      <c r="J509" s="65" t="s">
        <v>13</v>
      </c>
      <c r="K509" s="67"/>
      <c r="L509" s="55"/>
    </row>
    <row r="510" spans="1:12" ht="12.75" customHeight="1" thickBot="1" x14ac:dyDescent="0.25">
      <c r="A510" s="60">
        <f t="shared" si="206"/>
        <v>3959</v>
      </c>
      <c r="B510" s="60">
        <f t="shared" si="207"/>
        <v>3959</v>
      </c>
      <c r="C510" s="60">
        <f t="shared" si="207"/>
        <v>0</v>
      </c>
      <c r="D510" s="60">
        <f t="shared" si="208"/>
        <v>0</v>
      </c>
      <c r="E510" s="60">
        <v>0</v>
      </c>
      <c r="F510" s="60">
        <v>0</v>
      </c>
      <c r="G510" s="60">
        <f t="shared" si="209"/>
        <v>3959</v>
      </c>
      <c r="H510" s="60">
        <f>3000+959</f>
        <v>3959</v>
      </c>
      <c r="I510" s="60">
        <v>0</v>
      </c>
      <c r="J510" s="65" t="s">
        <v>221</v>
      </c>
      <c r="K510" s="66"/>
      <c r="L510" s="55"/>
    </row>
    <row r="511" spans="1:12" ht="12.75" customHeight="1" thickBot="1" x14ac:dyDescent="0.25">
      <c r="A511" s="60">
        <f t="shared" si="206"/>
        <v>537</v>
      </c>
      <c r="B511" s="60">
        <f t="shared" si="207"/>
        <v>537</v>
      </c>
      <c r="C511" s="60">
        <f t="shared" si="207"/>
        <v>0</v>
      </c>
      <c r="D511" s="60">
        <f t="shared" si="208"/>
        <v>0</v>
      </c>
      <c r="E511" s="60">
        <v>0</v>
      </c>
      <c r="F511" s="60">
        <v>0</v>
      </c>
      <c r="G511" s="60">
        <f t="shared" si="209"/>
        <v>537</v>
      </c>
      <c r="H511" s="60">
        <f>444+93</f>
        <v>537</v>
      </c>
      <c r="I511" s="60">
        <v>0</v>
      </c>
      <c r="J511" s="65" t="s">
        <v>222</v>
      </c>
      <c r="K511" s="66" t="s">
        <v>451</v>
      </c>
      <c r="L511" s="55"/>
    </row>
    <row r="512" spans="1:12" ht="12.75" customHeight="1" thickBot="1" x14ac:dyDescent="0.25">
      <c r="A512" s="60">
        <f t="shared" ref="A512:H512" si="225">SUM(A510:A511)</f>
        <v>4496</v>
      </c>
      <c r="B512" s="60">
        <f t="shared" si="225"/>
        <v>4496</v>
      </c>
      <c r="C512" s="60">
        <f t="shared" si="225"/>
        <v>0</v>
      </c>
      <c r="D512" s="60">
        <f t="shared" si="225"/>
        <v>0</v>
      </c>
      <c r="E512" s="60">
        <f t="shared" si="225"/>
        <v>0</v>
      </c>
      <c r="F512" s="60">
        <f t="shared" si="225"/>
        <v>0</v>
      </c>
      <c r="G512" s="60">
        <f t="shared" si="225"/>
        <v>4496</v>
      </c>
      <c r="H512" s="60">
        <f t="shared" si="225"/>
        <v>4496</v>
      </c>
      <c r="I512" s="60">
        <f>SUM(I510:I511)</f>
        <v>0</v>
      </c>
      <c r="J512" s="65" t="s">
        <v>13</v>
      </c>
      <c r="K512" s="67"/>
      <c r="L512" s="55"/>
    </row>
    <row r="513" spans="1:12" ht="12.75" customHeight="1" thickBot="1" x14ac:dyDescent="0.25">
      <c r="A513" s="60">
        <f t="shared" si="206"/>
        <v>2172</v>
      </c>
      <c r="B513" s="60">
        <f t="shared" si="207"/>
        <v>2172</v>
      </c>
      <c r="C513" s="60">
        <f t="shared" si="207"/>
        <v>0</v>
      </c>
      <c r="D513" s="60">
        <f t="shared" si="208"/>
        <v>0</v>
      </c>
      <c r="E513" s="60">
        <v>0</v>
      </c>
      <c r="F513" s="60">
        <v>0</v>
      </c>
      <c r="G513" s="60">
        <f t="shared" si="209"/>
        <v>2172</v>
      </c>
      <c r="H513" s="60">
        <v>2172</v>
      </c>
      <c r="I513" s="60">
        <v>0</v>
      </c>
      <c r="J513" s="65" t="s">
        <v>221</v>
      </c>
      <c r="K513" s="66"/>
      <c r="L513" s="55"/>
    </row>
    <row r="514" spans="1:12" ht="12.75" customHeight="1" thickBot="1" x14ac:dyDescent="0.25">
      <c r="A514" s="60">
        <f t="shared" si="206"/>
        <v>0</v>
      </c>
      <c r="B514" s="60">
        <f t="shared" si="207"/>
        <v>0</v>
      </c>
      <c r="C514" s="60">
        <f t="shared" si="207"/>
        <v>0</v>
      </c>
      <c r="D514" s="60">
        <f t="shared" si="208"/>
        <v>0</v>
      </c>
      <c r="E514" s="60">
        <v>0</v>
      </c>
      <c r="F514" s="60">
        <v>0</v>
      </c>
      <c r="G514" s="60">
        <f t="shared" si="209"/>
        <v>0</v>
      </c>
      <c r="H514" s="60">
        <v>0</v>
      </c>
      <c r="I514" s="60">
        <v>0</v>
      </c>
      <c r="J514" s="65" t="s">
        <v>222</v>
      </c>
      <c r="K514" s="66" t="s">
        <v>446</v>
      </c>
      <c r="L514" s="55"/>
    </row>
    <row r="515" spans="1:12" ht="12.75" customHeight="1" thickBot="1" x14ac:dyDescent="0.25">
      <c r="A515" s="60">
        <f t="shared" ref="A515:H515" si="226">SUM(A513:A514)</f>
        <v>2172</v>
      </c>
      <c r="B515" s="60">
        <f t="shared" si="226"/>
        <v>2172</v>
      </c>
      <c r="C515" s="60">
        <f t="shared" si="226"/>
        <v>0</v>
      </c>
      <c r="D515" s="60">
        <f t="shared" si="226"/>
        <v>0</v>
      </c>
      <c r="E515" s="60">
        <f t="shared" si="226"/>
        <v>0</v>
      </c>
      <c r="F515" s="60">
        <f t="shared" si="226"/>
        <v>0</v>
      </c>
      <c r="G515" s="60">
        <f t="shared" si="226"/>
        <v>2172</v>
      </c>
      <c r="H515" s="60">
        <f t="shared" si="226"/>
        <v>2172</v>
      </c>
      <c r="I515" s="60">
        <f>SUM(I513:I514)</f>
        <v>0</v>
      </c>
      <c r="J515" s="65" t="s">
        <v>13</v>
      </c>
      <c r="K515" s="67"/>
      <c r="L515" s="55"/>
    </row>
    <row r="516" spans="1:12" ht="12.75" customHeight="1" thickBot="1" x14ac:dyDescent="0.25">
      <c r="A516" s="60">
        <f t="shared" si="206"/>
        <v>1412</v>
      </c>
      <c r="B516" s="60">
        <f t="shared" si="207"/>
        <v>1412</v>
      </c>
      <c r="C516" s="60">
        <f t="shared" si="207"/>
        <v>0</v>
      </c>
      <c r="D516" s="60">
        <f t="shared" si="208"/>
        <v>0</v>
      </c>
      <c r="E516" s="60">
        <v>0</v>
      </c>
      <c r="F516" s="60">
        <v>0</v>
      </c>
      <c r="G516" s="60">
        <f t="shared" si="209"/>
        <v>1412</v>
      </c>
      <c r="H516" s="60">
        <v>1412</v>
      </c>
      <c r="I516" s="60">
        <v>0</v>
      </c>
      <c r="J516" s="65" t="s">
        <v>221</v>
      </c>
      <c r="K516" s="66"/>
      <c r="L516" s="55"/>
    </row>
    <row r="517" spans="1:12" ht="12.75" customHeight="1" thickBot="1" x14ac:dyDescent="0.25">
      <c r="A517" s="60">
        <f t="shared" si="206"/>
        <v>65</v>
      </c>
      <c r="B517" s="60">
        <f t="shared" si="207"/>
        <v>65</v>
      </c>
      <c r="C517" s="60">
        <f t="shared" si="207"/>
        <v>0</v>
      </c>
      <c r="D517" s="60">
        <f t="shared" si="208"/>
        <v>0</v>
      </c>
      <c r="E517" s="60">
        <v>0</v>
      </c>
      <c r="F517" s="60">
        <v>0</v>
      </c>
      <c r="G517" s="60">
        <f t="shared" si="209"/>
        <v>65</v>
      </c>
      <c r="H517" s="60">
        <v>65</v>
      </c>
      <c r="I517" s="60">
        <v>0</v>
      </c>
      <c r="J517" s="65" t="s">
        <v>222</v>
      </c>
      <c r="K517" s="66" t="s">
        <v>447</v>
      </c>
      <c r="L517" s="55"/>
    </row>
    <row r="518" spans="1:12" ht="12.75" customHeight="1" thickBot="1" x14ac:dyDescent="0.25">
      <c r="A518" s="60">
        <f t="shared" ref="A518:H518" si="227">SUM(A516:A517)</f>
        <v>1477</v>
      </c>
      <c r="B518" s="60">
        <f t="shared" si="227"/>
        <v>1477</v>
      </c>
      <c r="C518" s="60">
        <f t="shared" si="227"/>
        <v>0</v>
      </c>
      <c r="D518" s="60">
        <f t="shared" si="227"/>
        <v>0</v>
      </c>
      <c r="E518" s="60">
        <f t="shared" si="227"/>
        <v>0</v>
      </c>
      <c r="F518" s="60">
        <f t="shared" si="227"/>
        <v>0</v>
      </c>
      <c r="G518" s="60">
        <f t="shared" si="227"/>
        <v>1477</v>
      </c>
      <c r="H518" s="60">
        <f t="shared" si="227"/>
        <v>1477</v>
      </c>
      <c r="I518" s="60">
        <f>SUM(I516:I517)</f>
        <v>0</v>
      </c>
      <c r="J518" s="65" t="s">
        <v>13</v>
      </c>
      <c r="K518" s="67"/>
      <c r="L518" s="55"/>
    </row>
    <row r="519" spans="1:12" ht="12.75" customHeight="1" thickBot="1" x14ac:dyDescent="0.25">
      <c r="A519" s="60">
        <f t="shared" si="206"/>
        <v>628</v>
      </c>
      <c r="B519" s="60">
        <f t="shared" si="207"/>
        <v>0</v>
      </c>
      <c r="C519" s="60">
        <f t="shared" si="207"/>
        <v>628</v>
      </c>
      <c r="D519" s="60">
        <f t="shared" si="208"/>
        <v>0</v>
      </c>
      <c r="E519" s="60">
        <v>0</v>
      </c>
      <c r="F519" s="60">
        <v>0</v>
      </c>
      <c r="G519" s="60">
        <f t="shared" si="209"/>
        <v>628</v>
      </c>
      <c r="H519" s="60">
        <v>0</v>
      </c>
      <c r="I519" s="60">
        <v>628</v>
      </c>
      <c r="J519" s="65" t="s">
        <v>221</v>
      </c>
      <c r="K519" s="66"/>
      <c r="L519" s="55"/>
    </row>
    <row r="520" spans="1:12" ht="12.75" customHeight="1" thickBot="1" x14ac:dyDescent="0.25">
      <c r="A520" s="60">
        <f t="shared" si="206"/>
        <v>0</v>
      </c>
      <c r="B520" s="60">
        <f t="shared" si="207"/>
        <v>0</v>
      </c>
      <c r="C520" s="60">
        <f t="shared" si="207"/>
        <v>0</v>
      </c>
      <c r="D520" s="60">
        <f t="shared" si="208"/>
        <v>0</v>
      </c>
      <c r="E520" s="60">
        <v>0</v>
      </c>
      <c r="F520" s="60">
        <v>0</v>
      </c>
      <c r="G520" s="60">
        <f t="shared" si="209"/>
        <v>0</v>
      </c>
      <c r="H520" s="60">
        <v>0</v>
      </c>
      <c r="I520" s="60">
        <v>0</v>
      </c>
      <c r="J520" s="65" t="s">
        <v>222</v>
      </c>
      <c r="K520" s="66" t="s">
        <v>364</v>
      </c>
      <c r="L520" s="55"/>
    </row>
    <row r="521" spans="1:12" ht="12.75" customHeight="1" thickBot="1" x14ac:dyDescent="0.25">
      <c r="A521" s="60">
        <f t="shared" ref="A521:H521" si="228">SUM(A519:A520)</f>
        <v>628</v>
      </c>
      <c r="B521" s="60">
        <f t="shared" si="228"/>
        <v>0</v>
      </c>
      <c r="C521" s="60">
        <f t="shared" si="228"/>
        <v>628</v>
      </c>
      <c r="D521" s="60">
        <f t="shared" si="228"/>
        <v>0</v>
      </c>
      <c r="E521" s="60">
        <f t="shared" si="228"/>
        <v>0</v>
      </c>
      <c r="F521" s="60">
        <f t="shared" si="228"/>
        <v>0</v>
      </c>
      <c r="G521" s="60">
        <f t="shared" si="228"/>
        <v>628</v>
      </c>
      <c r="H521" s="60">
        <f t="shared" si="228"/>
        <v>0</v>
      </c>
      <c r="I521" s="60">
        <f>SUM(I519:I520)</f>
        <v>628</v>
      </c>
      <c r="J521" s="65" t="s">
        <v>13</v>
      </c>
      <c r="K521" s="67"/>
      <c r="L521" s="55"/>
    </row>
    <row r="522" spans="1:12" ht="12.75" customHeight="1" thickBot="1" x14ac:dyDescent="0.25">
      <c r="A522" s="60">
        <f t="shared" si="206"/>
        <v>1587</v>
      </c>
      <c r="B522" s="60">
        <f t="shared" si="207"/>
        <v>195</v>
      </c>
      <c r="C522" s="60">
        <f t="shared" si="207"/>
        <v>1392</v>
      </c>
      <c r="D522" s="60">
        <f t="shared" si="208"/>
        <v>7</v>
      </c>
      <c r="E522" s="60">
        <v>0</v>
      </c>
      <c r="F522" s="60">
        <v>7</v>
      </c>
      <c r="G522" s="60">
        <f t="shared" si="209"/>
        <v>1580</v>
      </c>
      <c r="H522" s="60">
        <v>195</v>
      </c>
      <c r="I522" s="60">
        <v>1385</v>
      </c>
      <c r="J522" s="65" t="s">
        <v>221</v>
      </c>
      <c r="K522" s="66"/>
      <c r="L522" s="55"/>
    </row>
    <row r="523" spans="1:12" ht="12.75" customHeight="1" thickBot="1" x14ac:dyDescent="0.25">
      <c r="A523" s="60">
        <f t="shared" si="206"/>
        <v>0</v>
      </c>
      <c r="B523" s="60">
        <f t="shared" si="207"/>
        <v>0</v>
      </c>
      <c r="C523" s="60">
        <f t="shared" si="207"/>
        <v>0</v>
      </c>
      <c r="D523" s="60">
        <f t="shared" si="208"/>
        <v>0</v>
      </c>
      <c r="E523" s="60">
        <v>0</v>
      </c>
      <c r="F523" s="60">
        <v>0</v>
      </c>
      <c r="G523" s="60">
        <f t="shared" si="209"/>
        <v>0</v>
      </c>
      <c r="H523" s="60">
        <v>0</v>
      </c>
      <c r="I523" s="60">
        <v>0</v>
      </c>
      <c r="J523" s="65" t="s">
        <v>222</v>
      </c>
      <c r="K523" s="66" t="s">
        <v>392</v>
      </c>
      <c r="L523" s="55"/>
    </row>
    <row r="524" spans="1:12" ht="12.75" customHeight="1" thickBot="1" x14ac:dyDescent="0.25">
      <c r="A524" s="60">
        <f t="shared" ref="A524:H524" si="229">SUM(A522:A523)</f>
        <v>1587</v>
      </c>
      <c r="B524" s="60">
        <f t="shared" si="229"/>
        <v>195</v>
      </c>
      <c r="C524" s="60">
        <f t="shared" si="229"/>
        <v>1392</v>
      </c>
      <c r="D524" s="60">
        <f t="shared" si="229"/>
        <v>7</v>
      </c>
      <c r="E524" s="60">
        <f t="shared" si="229"/>
        <v>0</v>
      </c>
      <c r="F524" s="60">
        <f t="shared" si="229"/>
        <v>7</v>
      </c>
      <c r="G524" s="60">
        <f t="shared" si="229"/>
        <v>1580</v>
      </c>
      <c r="H524" s="60">
        <f t="shared" si="229"/>
        <v>195</v>
      </c>
      <c r="I524" s="60">
        <f>SUM(I522:I523)</f>
        <v>1385</v>
      </c>
      <c r="J524" s="65" t="s">
        <v>13</v>
      </c>
      <c r="K524" s="67"/>
      <c r="L524" s="55"/>
    </row>
    <row r="525" spans="1:12" ht="12.75" customHeight="1" thickBot="1" x14ac:dyDescent="0.25">
      <c r="A525" s="60">
        <f t="shared" si="206"/>
        <v>26</v>
      </c>
      <c r="B525" s="60">
        <f t="shared" si="207"/>
        <v>0</v>
      </c>
      <c r="C525" s="60">
        <f t="shared" si="207"/>
        <v>26</v>
      </c>
      <c r="D525" s="60">
        <f t="shared" si="208"/>
        <v>0</v>
      </c>
      <c r="E525" s="60">
        <v>0</v>
      </c>
      <c r="F525" s="60">
        <v>0</v>
      </c>
      <c r="G525" s="60">
        <f t="shared" si="209"/>
        <v>26</v>
      </c>
      <c r="H525" s="60">
        <v>0</v>
      </c>
      <c r="I525" s="60">
        <v>26</v>
      </c>
      <c r="J525" s="65" t="s">
        <v>221</v>
      </c>
      <c r="K525" s="66"/>
      <c r="L525" s="55"/>
    </row>
    <row r="526" spans="1:12" ht="12.75" customHeight="1" thickBot="1" x14ac:dyDescent="0.25">
      <c r="A526" s="60">
        <f t="shared" si="206"/>
        <v>0</v>
      </c>
      <c r="B526" s="60">
        <f t="shared" si="207"/>
        <v>0</v>
      </c>
      <c r="C526" s="60">
        <f t="shared" si="207"/>
        <v>0</v>
      </c>
      <c r="D526" s="60">
        <f t="shared" si="208"/>
        <v>0</v>
      </c>
      <c r="E526" s="60">
        <v>0</v>
      </c>
      <c r="F526" s="60">
        <v>0</v>
      </c>
      <c r="G526" s="60">
        <f t="shared" si="209"/>
        <v>0</v>
      </c>
      <c r="H526" s="60">
        <v>0</v>
      </c>
      <c r="I526" s="60">
        <v>0</v>
      </c>
      <c r="J526" s="65" t="s">
        <v>222</v>
      </c>
      <c r="K526" s="66" t="s">
        <v>376</v>
      </c>
      <c r="L526" s="55"/>
    </row>
    <row r="527" spans="1:12" ht="12.75" customHeight="1" thickBot="1" x14ac:dyDescent="0.25">
      <c r="A527" s="60">
        <f t="shared" ref="A527:H527" si="230">SUM(A525:A526)</f>
        <v>26</v>
      </c>
      <c r="B527" s="60">
        <f t="shared" si="230"/>
        <v>0</v>
      </c>
      <c r="C527" s="60">
        <f t="shared" si="230"/>
        <v>26</v>
      </c>
      <c r="D527" s="60">
        <f t="shared" si="230"/>
        <v>0</v>
      </c>
      <c r="E527" s="60">
        <f t="shared" si="230"/>
        <v>0</v>
      </c>
      <c r="F527" s="60">
        <f t="shared" si="230"/>
        <v>0</v>
      </c>
      <c r="G527" s="60">
        <f t="shared" si="230"/>
        <v>26</v>
      </c>
      <c r="H527" s="60">
        <f t="shared" si="230"/>
        <v>0</v>
      </c>
      <c r="I527" s="60">
        <f>SUM(I525:I526)</f>
        <v>26</v>
      </c>
      <c r="J527" s="65" t="s">
        <v>13</v>
      </c>
      <c r="K527" s="67"/>
      <c r="L527" s="55"/>
    </row>
    <row r="528" spans="1:12" ht="12.75" customHeight="1" thickBot="1" x14ac:dyDescent="0.25">
      <c r="A528" s="60">
        <f t="shared" si="206"/>
        <v>45</v>
      </c>
      <c r="B528" s="60">
        <f t="shared" si="207"/>
        <v>0</v>
      </c>
      <c r="C528" s="60">
        <f t="shared" si="207"/>
        <v>45</v>
      </c>
      <c r="D528" s="60">
        <f t="shared" si="208"/>
        <v>0</v>
      </c>
      <c r="E528" s="60">
        <v>0</v>
      </c>
      <c r="F528" s="60">
        <v>0</v>
      </c>
      <c r="G528" s="60">
        <f t="shared" si="209"/>
        <v>45</v>
      </c>
      <c r="H528" s="60">
        <v>0</v>
      </c>
      <c r="I528" s="60">
        <v>45</v>
      </c>
      <c r="J528" s="65" t="s">
        <v>221</v>
      </c>
      <c r="K528" s="66"/>
      <c r="L528" s="55"/>
    </row>
    <row r="529" spans="1:12" ht="12.75" customHeight="1" thickBot="1" x14ac:dyDescent="0.25">
      <c r="A529" s="60">
        <f t="shared" si="206"/>
        <v>0</v>
      </c>
      <c r="B529" s="60">
        <f t="shared" si="207"/>
        <v>0</v>
      </c>
      <c r="C529" s="60">
        <f t="shared" si="207"/>
        <v>0</v>
      </c>
      <c r="D529" s="60">
        <f t="shared" si="208"/>
        <v>0</v>
      </c>
      <c r="E529" s="60">
        <v>0</v>
      </c>
      <c r="F529" s="60">
        <v>0</v>
      </c>
      <c r="G529" s="60">
        <f t="shared" si="209"/>
        <v>0</v>
      </c>
      <c r="H529" s="60">
        <v>0</v>
      </c>
      <c r="I529" s="60">
        <v>0</v>
      </c>
      <c r="J529" s="65" t="s">
        <v>222</v>
      </c>
      <c r="K529" s="66" t="s">
        <v>337</v>
      </c>
      <c r="L529" s="55"/>
    </row>
    <row r="530" spans="1:12" ht="12.75" customHeight="1" thickBot="1" x14ac:dyDescent="0.25">
      <c r="A530" s="60">
        <f t="shared" ref="A530:H530" si="231">SUM(A528:A529)</f>
        <v>45</v>
      </c>
      <c r="B530" s="60">
        <f t="shared" si="231"/>
        <v>0</v>
      </c>
      <c r="C530" s="60">
        <f t="shared" si="231"/>
        <v>45</v>
      </c>
      <c r="D530" s="60">
        <f t="shared" si="231"/>
        <v>0</v>
      </c>
      <c r="E530" s="60">
        <f t="shared" si="231"/>
        <v>0</v>
      </c>
      <c r="F530" s="60">
        <f t="shared" si="231"/>
        <v>0</v>
      </c>
      <c r="G530" s="60">
        <f t="shared" si="231"/>
        <v>45</v>
      </c>
      <c r="H530" s="60">
        <f t="shared" si="231"/>
        <v>0</v>
      </c>
      <c r="I530" s="60">
        <f>SUM(I528:I529)</f>
        <v>45</v>
      </c>
      <c r="J530" s="65" t="s">
        <v>13</v>
      </c>
      <c r="K530" s="67"/>
      <c r="L530" s="55"/>
    </row>
    <row r="531" spans="1:12" ht="12.75" customHeight="1" thickBot="1" x14ac:dyDescent="0.25">
      <c r="A531" s="60">
        <f t="shared" si="206"/>
        <v>1</v>
      </c>
      <c r="B531" s="60">
        <f t="shared" si="207"/>
        <v>1</v>
      </c>
      <c r="C531" s="60">
        <f t="shared" si="207"/>
        <v>0</v>
      </c>
      <c r="D531" s="60">
        <f t="shared" si="208"/>
        <v>1</v>
      </c>
      <c r="E531" s="60">
        <v>1</v>
      </c>
      <c r="F531" s="60">
        <v>0</v>
      </c>
      <c r="G531" s="60">
        <f t="shared" si="209"/>
        <v>0</v>
      </c>
      <c r="H531" s="60">
        <v>0</v>
      </c>
      <c r="I531" s="60">
        <v>0</v>
      </c>
      <c r="J531" s="65" t="s">
        <v>221</v>
      </c>
      <c r="K531" s="66"/>
      <c r="L531" s="55"/>
    </row>
    <row r="532" spans="1:12" ht="12.75" customHeight="1" thickBot="1" x14ac:dyDescent="0.25">
      <c r="A532" s="60">
        <f t="shared" si="206"/>
        <v>0</v>
      </c>
      <c r="B532" s="60">
        <f t="shared" si="207"/>
        <v>0</v>
      </c>
      <c r="C532" s="60">
        <f t="shared" si="207"/>
        <v>0</v>
      </c>
      <c r="D532" s="60">
        <f t="shared" si="208"/>
        <v>0</v>
      </c>
      <c r="E532" s="60">
        <v>0</v>
      </c>
      <c r="F532" s="60">
        <v>0</v>
      </c>
      <c r="G532" s="60">
        <f t="shared" si="209"/>
        <v>0</v>
      </c>
      <c r="H532" s="60">
        <v>0</v>
      </c>
      <c r="I532" s="60">
        <v>0</v>
      </c>
      <c r="J532" s="65" t="s">
        <v>222</v>
      </c>
      <c r="K532" s="66" t="s">
        <v>571</v>
      </c>
      <c r="L532" s="55"/>
    </row>
    <row r="533" spans="1:12" ht="12.75" customHeight="1" thickBot="1" x14ac:dyDescent="0.25">
      <c r="A533" s="60">
        <f t="shared" ref="A533:H533" si="232">SUM(A531:A532)</f>
        <v>1</v>
      </c>
      <c r="B533" s="60">
        <f t="shared" si="232"/>
        <v>1</v>
      </c>
      <c r="C533" s="60">
        <f t="shared" si="232"/>
        <v>0</v>
      </c>
      <c r="D533" s="60">
        <f t="shared" si="232"/>
        <v>1</v>
      </c>
      <c r="E533" s="60">
        <f t="shared" si="232"/>
        <v>1</v>
      </c>
      <c r="F533" s="60">
        <f t="shared" si="232"/>
        <v>0</v>
      </c>
      <c r="G533" s="60">
        <f t="shared" si="232"/>
        <v>0</v>
      </c>
      <c r="H533" s="60">
        <f t="shared" si="232"/>
        <v>0</v>
      </c>
      <c r="I533" s="60">
        <f>SUM(I531:I532)</f>
        <v>0</v>
      </c>
      <c r="J533" s="65" t="s">
        <v>13</v>
      </c>
      <c r="K533" s="67"/>
      <c r="L533" s="55"/>
    </row>
    <row r="534" spans="1:12" ht="12.75" customHeight="1" thickBot="1" x14ac:dyDescent="0.25">
      <c r="A534" s="60">
        <f t="shared" ref="A534:A541" si="233">SUM(B534:C534)</f>
        <v>2656</v>
      </c>
      <c r="B534" s="60">
        <f t="shared" ref="B534:C541" si="234">H534+E534</f>
        <v>2656</v>
      </c>
      <c r="C534" s="60">
        <f t="shared" si="234"/>
        <v>0</v>
      </c>
      <c r="D534" s="60">
        <f t="shared" ref="D534:D541" si="235">SUM(E534:F534)</f>
        <v>0</v>
      </c>
      <c r="E534" s="60">
        <v>0</v>
      </c>
      <c r="F534" s="60">
        <v>0</v>
      </c>
      <c r="G534" s="60">
        <f t="shared" ref="G534:G541" si="236">SUM(H534:I534)</f>
        <v>2656</v>
      </c>
      <c r="H534" s="60">
        <f>2671-15</f>
        <v>2656</v>
      </c>
      <c r="I534" s="60">
        <v>0</v>
      </c>
      <c r="J534" s="65" t="s">
        <v>221</v>
      </c>
      <c r="K534" s="66"/>
      <c r="L534" s="55"/>
    </row>
    <row r="535" spans="1:12" ht="12.75" customHeight="1" thickBot="1" x14ac:dyDescent="0.25">
      <c r="A535" s="60">
        <f t="shared" si="233"/>
        <v>695</v>
      </c>
      <c r="B535" s="60">
        <f t="shared" si="234"/>
        <v>695</v>
      </c>
      <c r="C535" s="60">
        <f t="shared" si="234"/>
        <v>0</v>
      </c>
      <c r="D535" s="60">
        <f t="shared" si="235"/>
        <v>0</v>
      </c>
      <c r="E535" s="60">
        <v>0</v>
      </c>
      <c r="F535" s="60">
        <v>0</v>
      </c>
      <c r="G535" s="60">
        <f t="shared" si="236"/>
        <v>695</v>
      </c>
      <c r="H535" s="60">
        <f>696-1</f>
        <v>695</v>
      </c>
      <c r="I535" s="60">
        <v>0</v>
      </c>
      <c r="J535" s="65" t="s">
        <v>222</v>
      </c>
      <c r="K535" s="66" t="s">
        <v>452</v>
      </c>
      <c r="L535" s="55"/>
    </row>
    <row r="536" spans="1:12" ht="12.75" customHeight="1" thickBot="1" x14ac:dyDescent="0.25">
      <c r="A536" s="60">
        <f t="shared" ref="A536:H536" si="237">SUM(A534:A535)</f>
        <v>3351</v>
      </c>
      <c r="B536" s="60">
        <f t="shared" si="237"/>
        <v>3351</v>
      </c>
      <c r="C536" s="60">
        <f t="shared" si="237"/>
        <v>0</v>
      </c>
      <c r="D536" s="60">
        <f t="shared" si="237"/>
        <v>0</v>
      </c>
      <c r="E536" s="60">
        <f t="shared" si="237"/>
        <v>0</v>
      </c>
      <c r="F536" s="60">
        <f t="shared" si="237"/>
        <v>0</v>
      </c>
      <c r="G536" s="60">
        <f t="shared" si="237"/>
        <v>3351</v>
      </c>
      <c r="H536" s="60">
        <f t="shared" si="237"/>
        <v>3351</v>
      </c>
      <c r="I536" s="60">
        <f>SUM(I534:I535)</f>
        <v>0</v>
      </c>
      <c r="J536" s="65" t="s">
        <v>13</v>
      </c>
      <c r="K536" s="67"/>
      <c r="L536" s="55"/>
    </row>
    <row r="537" spans="1:12" ht="12.75" customHeight="1" thickBot="1" x14ac:dyDescent="0.25">
      <c r="A537" s="60">
        <f t="shared" si="233"/>
        <v>1120</v>
      </c>
      <c r="B537" s="60">
        <f t="shared" si="234"/>
        <v>1120</v>
      </c>
      <c r="C537" s="60">
        <f t="shared" si="234"/>
        <v>0</v>
      </c>
      <c r="D537" s="60">
        <f t="shared" si="235"/>
        <v>0</v>
      </c>
      <c r="E537" s="60">
        <v>0</v>
      </c>
      <c r="F537" s="60">
        <v>0</v>
      </c>
      <c r="G537" s="60">
        <f t="shared" si="236"/>
        <v>1120</v>
      </c>
      <c r="H537" s="60">
        <f>1009+111</f>
        <v>1120</v>
      </c>
      <c r="I537" s="60">
        <v>0</v>
      </c>
      <c r="J537" s="65" t="s">
        <v>221</v>
      </c>
      <c r="K537" s="66"/>
      <c r="L537" s="55"/>
    </row>
    <row r="538" spans="1:12" ht="12.75" customHeight="1" thickBot="1" x14ac:dyDescent="0.25">
      <c r="A538" s="60">
        <f t="shared" si="233"/>
        <v>0</v>
      </c>
      <c r="B538" s="60">
        <f t="shared" si="234"/>
        <v>0</v>
      </c>
      <c r="C538" s="60">
        <f t="shared" si="234"/>
        <v>0</v>
      </c>
      <c r="D538" s="60">
        <f t="shared" si="235"/>
        <v>0</v>
      </c>
      <c r="E538" s="60">
        <v>0</v>
      </c>
      <c r="F538" s="60">
        <v>0</v>
      </c>
      <c r="G538" s="60">
        <f t="shared" si="236"/>
        <v>0</v>
      </c>
      <c r="H538" s="60">
        <v>0</v>
      </c>
      <c r="I538" s="60">
        <v>0</v>
      </c>
      <c r="J538" s="65" t="s">
        <v>222</v>
      </c>
      <c r="K538" s="66" t="s">
        <v>445</v>
      </c>
      <c r="L538" s="55"/>
    </row>
    <row r="539" spans="1:12" ht="12.75" customHeight="1" thickBot="1" x14ac:dyDescent="0.25">
      <c r="A539" s="60">
        <f t="shared" ref="A539:H539" si="238">SUM(A537:A538)</f>
        <v>1120</v>
      </c>
      <c r="B539" s="60">
        <f t="shared" si="238"/>
        <v>1120</v>
      </c>
      <c r="C539" s="60">
        <f t="shared" si="238"/>
        <v>0</v>
      </c>
      <c r="D539" s="60">
        <f t="shared" si="238"/>
        <v>0</v>
      </c>
      <c r="E539" s="60">
        <f t="shared" si="238"/>
        <v>0</v>
      </c>
      <c r="F539" s="60">
        <f t="shared" si="238"/>
        <v>0</v>
      </c>
      <c r="G539" s="60">
        <f t="shared" si="238"/>
        <v>1120</v>
      </c>
      <c r="H539" s="60">
        <f t="shared" si="238"/>
        <v>1120</v>
      </c>
      <c r="I539" s="60">
        <f>SUM(I537:I538)</f>
        <v>0</v>
      </c>
      <c r="J539" s="65" t="s">
        <v>13</v>
      </c>
      <c r="K539" s="67"/>
      <c r="L539" s="55"/>
    </row>
    <row r="540" spans="1:12" ht="12.75" customHeight="1" thickBot="1" x14ac:dyDescent="0.25">
      <c r="A540" s="60">
        <f t="shared" si="233"/>
        <v>1040</v>
      </c>
      <c r="B540" s="60">
        <f t="shared" si="234"/>
        <v>1040</v>
      </c>
      <c r="C540" s="60">
        <f t="shared" si="234"/>
        <v>0</v>
      </c>
      <c r="D540" s="60">
        <f t="shared" si="235"/>
        <v>5</v>
      </c>
      <c r="E540" s="60">
        <f>1+4</f>
        <v>5</v>
      </c>
      <c r="F540" s="60">
        <v>0</v>
      </c>
      <c r="G540" s="60">
        <f t="shared" si="236"/>
        <v>1035</v>
      </c>
      <c r="H540" s="60">
        <f>332+703</f>
        <v>1035</v>
      </c>
      <c r="I540" s="60">
        <v>0</v>
      </c>
      <c r="J540" s="65" t="s">
        <v>221</v>
      </c>
      <c r="K540" s="66"/>
      <c r="L540" s="55"/>
    </row>
    <row r="541" spans="1:12" ht="12.75" customHeight="1" thickBot="1" x14ac:dyDescent="0.25">
      <c r="A541" s="60">
        <f t="shared" si="233"/>
        <v>46</v>
      </c>
      <c r="B541" s="60">
        <f t="shared" si="234"/>
        <v>46</v>
      </c>
      <c r="C541" s="60">
        <f t="shared" si="234"/>
        <v>0</v>
      </c>
      <c r="D541" s="60">
        <f t="shared" si="235"/>
        <v>0</v>
      </c>
      <c r="E541" s="60">
        <v>0</v>
      </c>
      <c r="F541" s="60">
        <v>0</v>
      </c>
      <c r="G541" s="60">
        <f t="shared" si="236"/>
        <v>46</v>
      </c>
      <c r="H541" s="60">
        <v>46</v>
      </c>
      <c r="I541" s="60">
        <v>0</v>
      </c>
      <c r="J541" s="65" t="s">
        <v>222</v>
      </c>
      <c r="K541" s="66" t="s">
        <v>572</v>
      </c>
      <c r="L541" s="55"/>
    </row>
    <row r="542" spans="1:12" ht="12.75" customHeight="1" thickBot="1" x14ac:dyDescent="0.25">
      <c r="A542" s="60">
        <f t="shared" ref="A542:H542" si="239">SUM(A540:A541)</f>
        <v>1086</v>
      </c>
      <c r="B542" s="60">
        <f t="shared" si="239"/>
        <v>1086</v>
      </c>
      <c r="C542" s="60">
        <f t="shared" si="239"/>
        <v>0</v>
      </c>
      <c r="D542" s="60">
        <f t="shared" si="239"/>
        <v>5</v>
      </c>
      <c r="E542" s="60">
        <f t="shared" si="239"/>
        <v>5</v>
      </c>
      <c r="F542" s="60">
        <f t="shared" si="239"/>
        <v>0</v>
      </c>
      <c r="G542" s="60">
        <f t="shared" si="239"/>
        <v>1081</v>
      </c>
      <c r="H542" s="60">
        <f t="shared" si="239"/>
        <v>1081</v>
      </c>
      <c r="I542" s="60">
        <f>SUM(I540:I541)</f>
        <v>0</v>
      </c>
      <c r="J542" s="65" t="s">
        <v>13</v>
      </c>
      <c r="K542" s="67"/>
      <c r="L542" s="55"/>
    </row>
    <row r="543" spans="1:12" ht="12.75" customHeight="1" thickBot="1" x14ac:dyDescent="0.25">
      <c r="A543" s="60">
        <f t="shared" ref="A543:A544" si="240">SUM(B543:C543)</f>
        <v>15</v>
      </c>
      <c r="B543" s="60">
        <f t="shared" ref="B543:C544" si="241">H543+E543</f>
        <v>15</v>
      </c>
      <c r="C543" s="60">
        <f t="shared" si="241"/>
        <v>0</v>
      </c>
      <c r="D543" s="60">
        <f t="shared" ref="D543:D544" si="242">SUM(E543:F543)</f>
        <v>0</v>
      </c>
      <c r="E543" s="60">
        <v>0</v>
      </c>
      <c r="F543" s="60">
        <v>0</v>
      </c>
      <c r="G543" s="60">
        <f t="shared" ref="G543:G544" si="243">SUM(H543:I543)</f>
        <v>15</v>
      </c>
      <c r="H543" s="60">
        <v>15</v>
      </c>
      <c r="I543" s="60">
        <v>0</v>
      </c>
      <c r="J543" s="65" t="s">
        <v>221</v>
      </c>
      <c r="K543" s="66"/>
      <c r="L543" s="55"/>
    </row>
    <row r="544" spans="1:12" ht="12.75" customHeight="1" thickBot="1" x14ac:dyDescent="0.25">
      <c r="A544" s="60">
        <f t="shared" si="240"/>
        <v>1</v>
      </c>
      <c r="B544" s="60">
        <f t="shared" si="241"/>
        <v>1</v>
      </c>
      <c r="C544" s="60">
        <f t="shared" si="241"/>
        <v>0</v>
      </c>
      <c r="D544" s="60">
        <f t="shared" si="242"/>
        <v>0</v>
      </c>
      <c r="E544" s="60">
        <v>0</v>
      </c>
      <c r="F544" s="60">
        <v>0</v>
      </c>
      <c r="G544" s="60">
        <f t="shared" si="243"/>
        <v>1</v>
      </c>
      <c r="H544" s="60">
        <v>1</v>
      </c>
      <c r="I544" s="60">
        <v>0</v>
      </c>
      <c r="J544" s="65" t="s">
        <v>222</v>
      </c>
      <c r="K544" s="66" t="s">
        <v>453</v>
      </c>
      <c r="L544" s="55"/>
    </row>
    <row r="545" spans="1:12" ht="12.75" customHeight="1" thickBot="1" x14ac:dyDescent="0.25">
      <c r="A545" s="60">
        <f t="shared" ref="A545:H545" si="244">SUM(A543:A544)</f>
        <v>16</v>
      </c>
      <c r="B545" s="60">
        <f t="shared" si="244"/>
        <v>16</v>
      </c>
      <c r="C545" s="60">
        <f t="shared" si="244"/>
        <v>0</v>
      </c>
      <c r="D545" s="60">
        <f t="shared" si="244"/>
        <v>0</v>
      </c>
      <c r="E545" s="60">
        <f t="shared" si="244"/>
        <v>0</v>
      </c>
      <c r="F545" s="60">
        <f t="shared" si="244"/>
        <v>0</v>
      </c>
      <c r="G545" s="60">
        <f t="shared" si="244"/>
        <v>16</v>
      </c>
      <c r="H545" s="60">
        <f t="shared" si="244"/>
        <v>16</v>
      </c>
      <c r="I545" s="60">
        <f>SUM(I543:I544)</f>
        <v>0</v>
      </c>
      <c r="J545" s="65" t="s">
        <v>13</v>
      </c>
      <c r="K545" s="67"/>
      <c r="L545" s="55"/>
    </row>
    <row r="546" spans="1:12" ht="12.75" customHeight="1" thickBot="1" x14ac:dyDescent="0.25">
      <c r="A546" s="60">
        <f t="shared" ref="A546:I548" si="245">A471+A474+A477+A480+A483+A486+A489+A492+A495+A498+A501+A504+A507+A510+A513+A516+A519+A522+A525+A528+A531+A534+A537+A540+A543</f>
        <v>35200</v>
      </c>
      <c r="B546" s="60">
        <f t="shared" si="245"/>
        <v>19886</v>
      </c>
      <c r="C546" s="60">
        <f t="shared" si="245"/>
        <v>15314</v>
      </c>
      <c r="D546" s="60">
        <f t="shared" si="245"/>
        <v>86</v>
      </c>
      <c r="E546" s="60">
        <f t="shared" si="245"/>
        <v>10</v>
      </c>
      <c r="F546" s="60">
        <f t="shared" si="245"/>
        <v>76</v>
      </c>
      <c r="G546" s="60">
        <f t="shared" si="245"/>
        <v>35114</v>
      </c>
      <c r="H546" s="60">
        <f t="shared" si="245"/>
        <v>19876</v>
      </c>
      <c r="I546" s="60">
        <f>I471+I474+I477+I480+I483+I486+I489+I492+I495+I498+I501+I504+I507+I510+I513+I516+I519+I522+I525+I528+I531+I534+I537+I540+I543</f>
        <v>15238</v>
      </c>
      <c r="J546" s="65" t="s">
        <v>224</v>
      </c>
      <c r="K546" s="57"/>
      <c r="L546" s="55"/>
    </row>
    <row r="547" spans="1:12" ht="12.75" customHeight="1" thickBot="1" x14ac:dyDescent="0.25">
      <c r="A547" s="60">
        <f t="shared" si="245"/>
        <v>2995</v>
      </c>
      <c r="B547" s="60">
        <f t="shared" si="245"/>
        <v>2978</v>
      </c>
      <c r="C547" s="60">
        <f t="shared" si="245"/>
        <v>17</v>
      </c>
      <c r="D547" s="60">
        <f t="shared" si="245"/>
        <v>0</v>
      </c>
      <c r="E547" s="60">
        <f t="shared" si="245"/>
        <v>0</v>
      </c>
      <c r="F547" s="60">
        <f t="shared" si="245"/>
        <v>0</v>
      </c>
      <c r="G547" s="60">
        <f t="shared" si="245"/>
        <v>2995</v>
      </c>
      <c r="H547" s="60">
        <f t="shared" si="245"/>
        <v>2978</v>
      </c>
      <c r="I547" s="60">
        <f t="shared" si="245"/>
        <v>17</v>
      </c>
      <c r="J547" s="65" t="s">
        <v>225</v>
      </c>
      <c r="K547" s="68" t="s">
        <v>211</v>
      </c>
      <c r="L547" s="55"/>
    </row>
    <row r="548" spans="1:12" ht="12.75" customHeight="1" thickBot="1" x14ac:dyDescent="0.25">
      <c r="A548" s="60">
        <f t="shared" si="245"/>
        <v>38195</v>
      </c>
      <c r="B548" s="60">
        <f t="shared" si="245"/>
        <v>22864</v>
      </c>
      <c r="C548" s="60">
        <f t="shared" si="245"/>
        <v>15331</v>
      </c>
      <c r="D548" s="60">
        <f t="shared" si="245"/>
        <v>86</v>
      </c>
      <c r="E548" s="60">
        <f t="shared" si="245"/>
        <v>10</v>
      </c>
      <c r="F548" s="60">
        <f t="shared" si="245"/>
        <v>76</v>
      </c>
      <c r="G548" s="60">
        <f t="shared" si="245"/>
        <v>38109</v>
      </c>
      <c r="H548" s="60">
        <f t="shared" si="245"/>
        <v>22854</v>
      </c>
      <c r="I548" s="60">
        <f t="shared" si="245"/>
        <v>15255</v>
      </c>
      <c r="J548" s="65" t="s">
        <v>13</v>
      </c>
      <c r="K548" s="59"/>
      <c r="L548" s="55"/>
    </row>
    <row r="549" spans="1:12" ht="12.75" customHeight="1" x14ac:dyDescent="0.2">
      <c r="A549" s="177" t="s">
        <v>560</v>
      </c>
      <c r="B549" s="177"/>
      <c r="C549" s="177"/>
      <c r="D549" s="177"/>
      <c r="E549" s="177"/>
      <c r="F549" s="177"/>
      <c r="G549" s="177"/>
      <c r="H549" s="177"/>
      <c r="I549" s="177"/>
      <c r="J549" s="177"/>
      <c r="K549" s="177"/>
      <c r="L549" s="55"/>
    </row>
    <row r="550" spans="1:12" ht="12.75" customHeight="1" thickBot="1" x14ac:dyDescent="0.25">
      <c r="A550" s="178" t="s">
        <v>561</v>
      </c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55"/>
    </row>
    <row r="551" spans="1:12" ht="12.75" customHeight="1" thickBot="1" x14ac:dyDescent="0.25">
      <c r="A551" s="179" t="s">
        <v>5</v>
      </c>
      <c r="B551" s="179"/>
      <c r="C551" s="179"/>
      <c r="D551" s="179" t="s">
        <v>162</v>
      </c>
      <c r="E551" s="179"/>
      <c r="F551" s="179"/>
      <c r="G551" s="179" t="s">
        <v>163</v>
      </c>
      <c r="H551" s="179"/>
      <c r="I551" s="179"/>
      <c r="J551" s="179" t="s">
        <v>72</v>
      </c>
      <c r="K551" s="179"/>
      <c r="L551" s="55"/>
    </row>
    <row r="552" spans="1:12" ht="12.75" customHeight="1" thickBot="1" x14ac:dyDescent="0.25">
      <c r="A552" s="58" t="s">
        <v>216</v>
      </c>
      <c r="B552" s="58" t="s">
        <v>11</v>
      </c>
      <c r="C552" s="58" t="s">
        <v>10</v>
      </c>
      <c r="D552" s="58" t="s">
        <v>216</v>
      </c>
      <c r="E552" s="58" t="s">
        <v>11</v>
      </c>
      <c r="F552" s="58" t="s">
        <v>10</v>
      </c>
      <c r="G552" s="58" t="s">
        <v>216</v>
      </c>
      <c r="H552" s="58" t="s">
        <v>11</v>
      </c>
      <c r="I552" s="58" t="s">
        <v>10</v>
      </c>
      <c r="J552" s="180" t="s">
        <v>82</v>
      </c>
      <c r="K552" s="180"/>
      <c r="L552" s="55"/>
    </row>
    <row r="553" spans="1:12" ht="12.75" customHeight="1" thickBot="1" x14ac:dyDescent="0.25">
      <c r="A553" s="60">
        <f t="shared" ref="A553:C554" si="246">G553+D553</f>
        <v>936</v>
      </c>
      <c r="B553" s="60">
        <f t="shared" si="246"/>
        <v>0</v>
      </c>
      <c r="C553" s="60">
        <f t="shared" si="246"/>
        <v>936</v>
      </c>
      <c r="D553" s="60">
        <f>F553+E553</f>
        <v>8</v>
      </c>
      <c r="E553" s="60">
        <v>0</v>
      </c>
      <c r="F553" s="60">
        <v>8</v>
      </c>
      <c r="G553" s="60">
        <f>I553+H553</f>
        <v>928</v>
      </c>
      <c r="H553" s="60">
        <v>0</v>
      </c>
      <c r="I553" s="60">
        <f>1048-120</f>
        <v>928</v>
      </c>
      <c r="J553" s="65" t="s">
        <v>221</v>
      </c>
      <c r="K553" s="66"/>
      <c r="L553" s="55"/>
    </row>
    <row r="554" spans="1:12" ht="12.75" customHeight="1" thickBot="1" x14ac:dyDescent="0.25">
      <c r="A554" s="60">
        <f t="shared" si="246"/>
        <v>0</v>
      </c>
      <c r="B554" s="60">
        <f t="shared" si="246"/>
        <v>0</v>
      </c>
      <c r="C554" s="60">
        <f t="shared" si="246"/>
        <v>0</v>
      </c>
      <c r="D554" s="60">
        <f>F554+E554</f>
        <v>0</v>
      </c>
      <c r="E554" s="60">
        <v>0</v>
      </c>
      <c r="F554" s="60">
        <v>0</v>
      </c>
      <c r="G554" s="60">
        <f>I554+H554</f>
        <v>0</v>
      </c>
      <c r="H554" s="60">
        <v>0</v>
      </c>
      <c r="I554" s="60">
        <v>0</v>
      </c>
      <c r="J554" s="65" t="s">
        <v>222</v>
      </c>
      <c r="K554" s="66" t="s">
        <v>454</v>
      </c>
      <c r="L554" s="55"/>
    </row>
    <row r="555" spans="1:12" ht="12.75" customHeight="1" thickBot="1" x14ac:dyDescent="0.25">
      <c r="A555" s="60">
        <f t="shared" ref="A555:I555" si="247">A553+A554</f>
        <v>936</v>
      </c>
      <c r="B555" s="60">
        <f t="shared" si="247"/>
        <v>0</v>
      </c>
      <c r="C555" s="60">
        <f t="shared" si="247"/>
        <v>936</v>
      </c>
      <c r="D555" s="60">
        <f t="shared" si="247"/>
        <v>8</v>
      </c>
      <c r="E555" s="60">
        <f t="shared" si="247"/>
        <v>0</v>
      </c>
      <c r="F555" s="60">
        <f t="shared" si="247"/>
        <v>8</v>
      </c>
      <c r="G555" s="60">
        <f t="shared" si="247"/>
        <v>928</v>
      </c>
      <c r="H555" s="60">
        <f t="shared" si="247"/>
        <v>0</v>
      </c>
      <c r="I555" s="60">
        <f t="shared" si="247"/>
        <v>928</v>
      </c>
      <c r="J555" s="65" t="s">
        <v>13</v>
      </c>
      <c r="K555" s="67"/>
      <c r="L555" s="55"/>
    </row>
    <row r="556" spans="1:12" ht="12.75" customHeight="1" thickBot="1" x14ac:dyDescent="0.25">
      <c r="A556" s="60">
        <f t="shared" ref="A556:C557" si="248">G556+D556</f>
        <v>2455</v>
      </c>
      <c r="B556" s="60">
        <f t="shared" si="248"/>
        <v>1114</v>
      </c>
      <c r="C556" s="60">
        <f t="shared" si="248"/>
        <v>1341</v>
      </c>
      <c r="D556" s="60">
        <f>F556+E556</f>
        <v>64</v>
      </c>
      <c r="E556" s="60">
        <v>49</v>
      </c>
      <c r="F556" s="60">
        <v>15</v>
      </c>
      <c r="G556" s="60">
        <f>I556+H556</f>
        <v>2391</v>
      </c>
      <c r="H556" s="60">
        <v>1065</v>
      </c>
      <c r="I556" s="60">
        <f>1446-120</f>
        <v>1326</v>
      </c>
      <c r="J556" s="65" t="s">
        <v>221</v>
      </c>
      <c r="K556" s="66"/>
      <c r="L556" s="55"/>
    </row>
    <row r="557" spans="1:12" ht="12.75" customHeight="1" thickBot="1" x14ac:dyDescent="0.25">
      <c r="A557" s="60">
        <f t="shared" si="248"/>
        <v>0</v>
      </c>
      <c r="B557" s="60">
        <f t="shared" si="248"/>
        <v>0</v>
      </c>
      <c r="C557" s="60">
        <f t="shared" si="248"/>
        <v>0</v>
      </c>
      <c r="D557" s="60">
        <f>F557+E557</f>
        <v>0</v>
      </c>
      <c r="E557" s="60">
        <v>0</v>
      </c>
      <c r="F557" s="60">
        <v>0</v>
      </c>
      <c r="G557" s="60">
        <f>I557+H557</f>
        <v>0</v>
      </c>
      <c r="H557" s="60">
        <v>0</v>
      </c>
      <c r="I557" s="60">
        <v>0</v>
      </c>
      <c r="J557" s="65" t="s">
        <v>222</v>
      </c>
      <c r="K557" s="66" t="s">
        <v>359</v>
      </c>
      <c r="L557" s="55"/>
    </row>
    <row r="558" spans="1:12" ht="12.75" customHeight="1" thickBot="1" x14ac:dyDescent="0.25">
      <c r="A558" s="60">
        <f>A556+A557</f>
        <v>2455</v>
      </c>
      <c r="B558" s="60">
        <f t="shared" ref="B558:I558" si="249">B556+B557</f>
        <v>1114</v>
      </c>
      <c r="C558" s="60">
        <f t="shared" si="249"/>
        <v>1341</v>
      </c>
      <c r="D558" s="60">
        <f t="shared" si="249"/>
        <v>64</v>
      </c>
      <c r="E558" s="60">
        <f t="shared" si="249"/>
        <v>49</v>
      </c>
      <c r="F558" s="60">
        <f t="shared" si="249"/>
        <v>15</v>
      </c>
      <c r="G558" s="60">
        <f t="shared" si="249"/>
        <v>2391</v>
      </c>
      <c r="H558" s="60">
        <f t="shared" si="249"/>
        <v>1065</v>
      </c>
      <c r="I558" s="60">
        <f t="shared" si="249"/>
        <v>1326</v>
      </c>
      <c r="J558" s="65" t="s">
        <v>13</v>
      </c>
      <c r="K558" s="67"/>
      <c r="L558" s="55"/>
    </row>
    <row r="559" spans="1:12" ht="12.75" customHeight="1" thickBot="1" x14ac:dyDescent="0.25">
      <c r="A559" s="60">
        <f t="shared" ref="A559:C560" si="250">G559+D559</f>
        <v>1372</v>
      </c>
      <c r="B559" s="60">
        <f t="shared" si="250"/>
        <v>655</v>
      </c>
      <c r="C559" s="60">
        <f t="shared" si="250"/>
        <v>717</v>
      </c>
      <c r="D559" s="60">
        <f>F559+E559</f>
        <v>7</v>
      </c>
      <c r="E559" s="60">
        <v>6</v>
      </c>
      <c r="F559" s="60">
        <v>1</v>
      </c>
      <c r="G559" s="60">
        <f>I559+H559</f>
        <v>1365</v>
      </c>
      <c r="H559" s="60">
        <v>649</v>
      </c>
      <c r="I559" s="60">
        <v>716</v>
      </c>
      <c r="J559" s="65" t="s">
        <v>221</v>
      </c>
      <c r="K559" s="66"/>
      <c r="L559" s="55"/>
    </row>
    <row r="560" spans="1:12" ht="12.75" customHeight="1" thickBot="1" x14ac:dyDescent="0.25">
      <c r="A560" s="60">
        <f t="shared" si="250"/>
        <v>0</v>
      </c>
      <c r="B560" s="60">
        <f t="shared" si="250"/>
        <v>0</v>
      </c>
      <c r="C560" s="60">
        <f t="shared" si="250"/>
        <v>0</v>
      </c>
      <c r="D560" s="60">
        <f>F560+E560</f>
        <v>0</v>
      </c>
      <c r="E560" s="60">
        <v>0</v>
      </c>
      <c r="F560" s="60">
        <v>0</v>
      </c>
      <c r="G560" s="60">
        <f>I560+H560</f>
        <v>0</v>
      </c>
      <c r="H560" s="60">
        <v>0</v>
      </c>
      <c r="I560" s="60">
        <v>0</v>
      </c>
      <c r="J560" s="65" t="s">
        <v>222</v>
      </c>
      <c r="K560" s="66" t="s">
        <v>441</v>
      </c>
      <c r="L560" s="55"/>
    </row>
    <row r="561" spans="1:12" ht="12.75" customHeight="1" thickBot="1" x14ac:dyDescent="0.25">
      <c r="A561" s="60">
        <f>A559+A560</f>
        <v>1372</v>
      </c>
      <c r="B561" s="60">
        <f t="shared" ref="B561:I561" si="251">B559+B560</f>
        <v>655</v>
      </c>
      <c r="C561" s="60">
        <f t="shared" si="251"/>
        <v>717</v>
      </c>
      <c r="D561" s="60">
        <f t="shared" si="251"/>
        <v>7</v>
      </c>
      <c r="E561" s="60">
        <f t="shared" si="251"/>
        <v>6</v>
      </c>
      <c r="F561" s="60">
        <f t="shared" si="251"/>
        <v>1</v>
      </c>
      <c r="G561" s="60">
        <f t="shared" si="251"/>
        <v>1365</v>
      </c>
      <c r="H561" s="60">
        <f t="shared" si="251"/>
        <v>649</v>
      </c>
      <c r="I561" s="60">
        <f t="shared" si="251"/>
        <v>716</v>
      </c>
      <c r="J561" s="65" t="s">
        <v>13</v>
      </c>
      <c r="K561" s="67"/>
      <c r="L561" s="55"/>
    </row>
    <row r="562" spans="1:12" ht="12.75" customHeight="1" thickBot="1" x14ac:dyDescent="0.25">
      <c r="A562" s="60">
        <f t="shared" ref="A562:C563" si="252">G562+D562</f>
        <v>927</v>
      </c>
      <c r="B562" s="60">
        <f t="shared" si="252"/>
        <v>0</v>
      </c>
      <c r="C562" s="60">
        <f t="shared" si="252"/>
        <v>927</v>
      </c>
      <c r="D562" s="60">
        <f>F562+E562</f>
        <v>6</v>
      </c>
      <c r="E562" s="60">
        <v>0</v>
      </c>
      <c r="F562" s="60">
        <v>6</v>
      </c>
      <c r="G562" s="60">
        <f>I562+H562</f>
        <v>921</v>
      </c>
      <c r="H562" s="60">
        <v>0</v>
      </c>
      <c r="I562" s="60">
        <f>1039-118</f>
        <v>921</v>
      </c>
      <c r="J562" s="65" t="s">
        <v>221</v>
      </c>
      <c r="K562" s="66"/>
      <c r="L562" s="55"/>
    </row>
    <row r="563" spans="1:12" ht="12.75" customHeight="1" thickBot="1" x14ac:dyDescent="0.25">
      <c r="A563" s="60">
        <f t="shared" si="252"/>
        <v>0</v>
      </c>
      <c r="B563" s="60">
        <f t="shared" si="252"/>
        <v>0</v>
      </c>
      <c r="C563" s="60">
        <f t="shared" si="252"/>
        <v>0</v>
      </c>
      <c r="D563" s="60">
        <f>F563+E563</f>
        <v>0</v>
      </c>
      <c r="E563" s="60">
        <v>0</v>
      </c>
      <c r="F563" s="60">
        <v>0</v>
      </c>
      <c r="G563" s="60">
        <f>I563+H563</f>
        <v>0</v>
      </c>
      <c r="H563" s="60">
        <v>0</v>
      </c>
      <c r="I563" s="60">
        <v>0</v>
      </c>
      <c r="J563" s="65" t="s">
        <v>222</v>
      </c>
      <c r="K563" s="66" t="s">
        <v>455</v>
      </c>
      <c r="L563" s="55"/>
    </row>
    <row r="564" spans="1:12" ht="12.75" customHeight="1" thickBot="1" x14ac:dyDescent="0.25">
      <c r="A564" s="60">
        <f>A562+A563</f>
        <v>927</v>
      </c>
      <c r="B564" s="60">
        <f t="shared" ref="B564:I564" si="253">B562+B563</f>
        <v>0</v>
      </c>
      <c r="C564" s="60">
        <f t="shared" si="253"/>
        <v>927</v>
      </c>
      <c r="D564" s="60">
        <f t="shared" si="253"/>
        <v>6</v>
      </c>
      <c r="E564" s="60">
        <f t="shared" si="253"/>
        <v>0</v>
      </c>
      <c r="F564" s="60">
        <f t="shared" si="253"/>
        <v>6</v>
      </c>
      <c r="G564" s="60">
        <f t="shared" si="253"/>
        <v>921</v>
      </c>
      <c r="H564" s="60">
        <f t="shared" si="253"/>
        <v>0</v>
      </c>
      <c r="I564" s="60">
        <f t="shared" si="253"/>
        <v>921</v>
      </c>
      <c r="J564" s="65" t="s">
        <v>13</v>
      </c>
      <c r="K564" s="67"/>
      <c r="L564" s="55"/>
    </row>
    <row r="565" spans="1:12" ht="12.75" customHeight="1" thickBot="1" x14ac:dyDescent="0.25">
      <c r="A565" s="60">
        <f t="shared" ref="A565:C566" si="254">G565+D565</f>
        <v>2284</v>
      </c>
      <c r="B565" s="60">
        <f t="shared" si="254"/>
        <v>1260</v>
      </c>
      <c r="C565" s="60">
        <f t="shared" si="254"/>
        <v>1024</v>
      </c>
      <c r="D565" s="60">
        <f>F565+E565</f>
        <v>9</v>
      </c>
      <c r="E565" s="60">
        <v>4</v>
      </c>
      <c r="F565" s="60">
        <v>5</v>
      </c>
      <c r="G565" s="60">
        <f>I565+H565</f>
        <v>2275</v>
      </c>
      <c r="H565" s="60">
        <v>1256</v>
      </c>
      <c r="I565" s="60">
        <v>1019</v>
      </c>
      <c r="J565" s="65" t="s">
        <v>221</v>
      </c>
      <c r="K565" s="66"/>
      <c r="L565" s="55"/>
    </row>
    <row r="566" spans="1:12" ht="12.75" customHeight="1" thickBot="1" x14ac:dyDescent="0.25">
      <c r="A566" s="60">
        <f t="shared" si="254"/>
        <v>0</v>
      </c>
      <c r="B566" s="60">
        <f t="shared" si="254"/>
        <v>0</v>
      </c>
      <c r="C566" s="60">
        <f t="shared" si="254"/>
        <v>0</v>
      </c>
      <c r="D566" s="60">
        <f>F566+E566</f>
        <v>0</v>
      </c>
      <c r="E566" s="60">
        <v>0</v>
      </c>
      <c r="F566" s="60">
        <v>0</v>
      </c>
      <c r="G566" s="60">
        <f>I566+H566</f>
        <v>0</v>
      </c>
      <c r="H566" s="60">
        <v>0</v>
      </c>
      <c r="I566" s="60">
        <v>0</v>
      </c>
      <c r="J566" s="65" t="s">
        <v>222</v>
      </c>
      <c r="K566" s="66" t="s">
        <v>456</v>
      </c>
      <c r="L566" s="55"/>
    </row>
    <row r="567" spans="1:12" ht="12.75" customHeight="1" thickBot="1" x14ac:dyDescent="0.25">
      <c r="A567" s="60">
        <f>A565+A566</f>
        <v>2284</v>
      </c>
      <c r="B567" s="60">
        <f t="shared" ref="B567:I567" si="255">B565+B566</f>
        <v>1260</v>
      </c>
      <c r="C567" s="60">
        <f t="shared" si="255"/>
        <v>1024</v>
      </c>
      <c r="D567" s="60">
        <f t="shared" si="255"/>
        <v>9</v>
      </c>
      <c r="E567" s="60">
        <f t="shared" si="255"/>
        <v>4</v>
      </c>
      <c r="F567" s="60">
        <f t="shared" si="255"/>
        <v>5</v>
      </c>
      <c r="G567" s="60">
        <f t="shared" si="255"/>
        <v>2275</v>
      </c>
      <c r="H567" s="60">
        <f t="shared" si="255"/>
        <v>1256</v>
      </c>
      <c r="I567" s="60">
        <f t="shared" si="255"/>
        <v>1019</v>
      </c>
      <c r="J567" s="65" t="s">
        <v>13</v>
      </c>
      <c r="K567" s="67"/>
      <c r="L567" s="55"/>
    </row>
    <row r="568" spans="1:12" ht="12.75" customHeight="1" thickBot="1" x14ac:dyDescent="0.25">
      <c r="A568" s="60">
        <f t="shared" ref="A568:C569" si="256">G568+D568</f>
        <v>249</v>
      </c>
      <c r="B568" s="60">
        <f t="shared" si="256"/>
        <v>0</v>
      </c>
      <c r="C568" s="60">
        <f t="shared" si="256"/>
        <v>249</v>
      </c>
      <c r="D568" s="60">
        <f>F568+E568</f>
        <v>0</v>
      </c>
      <c r="E568" s="60">
        <v>0</v>
      </c>
      <c r="F568" s="60">
        <v>0</v>
      </c>
      <c r="G568" s="60">
        <f>I568+H568</f>
        <v>249</v>
      </c>
      <c r="H568" s="60">
        <v>0</v>
      </c>
      <c r="I568" s="60">
        <v>249</v>
      </c>
      <c r="J568" s="65" t="s">
        <v>221</v>
      </c>
      <c r="K568" s="66"/>
      <c r="L568" s="55"/>
    </row>
    <row r="569" spans="1:12" ht="12.75" customHeight="1" thickBot="1" x14ac:dyDescent="0.25">
      <c r="A569" s="60">
        <f t="shared" si="256"/>
        <v>0</v>
      </c>
      <c r="B569" s="60">
        <f t="shared" si="256"/>
        <v>0</v>
      </c>
      <c r="C569" s="60">
        <f t="shared" si="256"/>
        <v>0</v>
      </c>
      <c r="D569" s="60">
        <f>F569+E569</f>
        <v>0</v>
      </c>
      <c r="E569" s="60">
        <v>0</v>
      </c>
      <c r="F569" s="60">
        <v>0</v>
      </c>
      <c r="G569" s="60">
        <f>I569+H569</f>
        <v>0</v>
      </c>
      <c r="H569" s="60">
        <v>0</v>
      </c>
      <c r="I569" s="60">
        <v>0</v>
      </c>
      <c r="J569" s="65" t="s">
        <v>222</v>
      </c>
      <c r="K569" s="66" t="s">
        <v>377</v>
      </c>
      <c r="L569" s="55"/>
    </row>
    <row r="570" spans="1:12" ht="12.75" customHeight="1" thickBot="1" x14ac:dyDescent="0.25">
      <c r="A570" s="60">
        <f>A568+A569</f>
        <v>249</v>
      </c>
      <c r="B570" s="60">
        <f t="shared" ref="B570:I570" si="257">B568+B569</f>
        <v>0</v>
      </c>
      <c r="C570" s="60">
        <f t="shared" si="257"/>
        <v>249</v>
      </c>
      <c r="D570" s="60">
        <f t="shared" si="257"/>
        <v>0</v>
      </c>
      <c r="E570" s="60">
        <f t="shared" si="257"/>
        <v>0</v>
      </c>
      <c r="F570" s="60">
        <f t="shared" si="257"/>
        <v>0</v>
      </c>
      <c r="G570" s="60">
        <f t="shared" si="257"/>
        <v>249</v>
      </c>
      <c r="H570" s="60">
        <f t="shared" si="257"/>
        <v>0</v>
      </c>
      <c r="I570" s="60">
        <f t="shared" si="257"/>
        <v>249</v>
      </c>
      <c r="J570" s="65" t="s">
        <v>13</v>
      </c>
      <c r="K570" s="67"/>
      <c r="L570" s="55"/>
    </row>
    <row r="571" spans="1:12" ht="12.75" customHeight="1" thickBot="1" x14ac:dyDescent="0.25">
      <c r="A571" s="60">
        <f t="shared" ref="A571:C572" si="258">G571+D571</f>
        <v>2033</v>
      </c>
      <c r="B571" s="60">
        <f t="shared" si="258"/>
        <v>2033</v>
      </c>
      <c r="C571" s="60">
        <f t="shared" si="258"/>
        <v>0</v>
      </c>
      <c r="D571" s="60">
        <f>F571+E571</f>
        <v>0</v>
      </c>
      <c r="E571" s="60">
        <v>0</v>
      </c>
      <c r="F571" s="60">
        <v>0</v>
      </c>
      <c r="G571" s="60">
        <f>I571+H571</f>
        <v>2033</v>
      </c>
      <c r="H571" s="60">
        <v>2033</v>
      </c>
      <c r="I571" s="60">
        <v>0</v>
      </c>
      <c r="J571" s="65" t="s">
        <v>221</v>
      </c>
      <c r="K571" s="66"/>
      <c r="L571" s="55"/>
    </row>
    <row r="572" spans="1:12" ht="12.75" customHeight="1" thickBot="1" x14ac:dyDescent="0.25">
      <c r="A572" s="60">
        <f t="shared" si="258"/>
        <v>0</v>
      </c>
      <c r="B572" s="60">
        <f t="shared" si="258"/>
        <v>0</v>
      </c>
      <c r="C572" s="60">
        <f t="shared" si="258"/>
        <v>0</v>
      </c>
      <c r="D572" s="60">
        <f>F572+E572</f>
        <v>0</v>
      </c>
      <c r="E572" s="60">
        <v>0</v>
      </c>
      <c r="F572" s="60">
        <v>0</v>
      </c>
      <c r="G572" s="60">
        <f>I572+H572</f>
        <v>0</v>
      </c>
      <c r="H572" s="60">
        <v>0</v>
      </c>
      <c r="I572" s="60">
        <v>0</v>
      </c>
      <c r="J572" s="65" t="s">
        <v>222</v>
      </c>
      <c r="K572" s="66" t="s">
        <v>457</v>
      </c>
      <c r="L572" s="55"/>
    </row>
    <row r="573" spans="1:12" ht="12.75" customHeight="1" thickBot="1" x14ac:dyDescent="0.25">
      <c r="A573" s="60">
        <f>A571+A572</f>
        <v>2033</v>
      </c>
      <c r="B573" s="60">
        <f t="shared" ref="B573:I573" si="259">B571+B572</f>
        <v>2033</v>
      </c>
      <c r="C573" s="60">
        <f t="shared" si="259"/>
        <v>0</v>
      </c>
      <c r="D573" s="60">
        <f t="shared" si="259"/>
        <v>0</v>
      </c>
      <c r="E573" s="60">
        <f t="shared" si="259"/>
        <v>0</v>
      </c>
      <c r="F573" s="60">
        <f t="shared" si="259"/>
        <v>0</v>
      </c>
      <c r="G573" s="60">
        <f t="shared" si="259"/>
        <v>2033</v>
      </c>
      <c r="H573" s="60">
        <f t="shared" si="259"/>
        <v>2033</v>
      </c>
      <c r="I573" s="60">
        <f t="shared" si="259"/>
        <v>0</v>
      </c>
      <c r="J573" s="65" t="s">
        <v>13</v>
      </c>
      <c r="K573" s="67"/>
      <c r="L573" s="55"/>
    </row>
    <row r="574" spans="1:12" ht="12.75" customHeight="1" thickBot="1" x14ac:dyDescent="0.25">
      <c r="A574" s="60">
        <f t="shared" ref="A574:C575" si="260">G574+D574</f>
        <v>3558</v>
      </c>
      <c r="B574" s="60">
        <f t="shared" si="260"/>
        <v>3558</v>
      </c>
      <c r="C574" s="60">
        <f t="shared" si="260"/>
        <v>0</v>
      </c>
      <c r="D574" s="60">
        <f>F574+E574</f>
        <v>14</v>
      </c>
      <c r="E574" s="60">
        <v>14</v>
      </c>
      <c r="F574" s="60">
        <v>0</v>
      </c>
      <c r="G574" s="60">
        <f>I574+H574</f>
        <v>3544</v>
      </c>
      <c r="H574" s="60">
        <v>3544</v>
      </c>
      <c r="I574" s="60">
        <v>0</v>
      </c>
      <c r="J574" s="65" t="s">
        <v>221</v>
      </c>
      <c r="K574" s="66"/>
      <c r="L574" s="55"/>
    </row>
    <row r="575" spans="1:12" ht="12.75" customHeight="1" thickBot="1" x14ac:dyDescent="0.25">
      <c r="A575" s="60">
        <f t="shared" si="260"/>
        <v>338</v>
      </c>
      <c r="B575" s="60">
        <f t="shared" si="260"/>
        <v>338</v>
      </c>
      <c r="C575" s="60">
        <f t="shared" si="260"/>
        <v>0</v>
      </c>
      <c r="D575" s="60">
        <f>F575+E575</f>
        <v>0</v>
      </c>
      <c r="E575" s="60">
        <v>0</v>
      </c>
      <c r="F575" s="60">
        <v>0</v>
      </c>
      <c r="G575" s="60">
        <f>I575+H575</f>
        <v>338</v>
      </c>
      <c r="H575" s="60">
        <v>338</v>
      </c>
      <c r="I575" s="60">
        <v>0</v>
      </c>
      <c r="J575" s="65" t="s">
        <v>222</v>
      </c>
      <c r="K575" s="66" t="s">
        <v>458</v>
      </c>
      <c r="L575" s="55"/>
    </row>
    <row r="576" spans="1:12" ht="12.75" customHeight="1" thickBot="1" x14ac:dyDescent="0.25">
      <c r="A576" s="60">
        <f>A574+A575</f>
        <v>3896</v>
      </c>
      <c r="B576" s="60">
        <f t="shared" ref="B576:I576" si="261">B574+B575</f>
        <v>3896</v>
      </c>
      <c r="C576" s="60">
        <f t="shared" si="261"/>
        <v>0</v>
      </c>
      <c r="D576" s="60">
        <f t="shared" si="261"/>
        <v>14</v>
      </c>
      <c r="E576" s="60">
        <f t="shared" si="261"/>
        <v>14</v>
      </c>
      <c r="F576" s="60">
        <f t="shared" si="261"/>
        <v>0</v>
      </c>
      <c r="G576" s="60">
        <f t="shared" si="261"/>
        <v>3882</v>
      </c>
      <c r="H576" s="60">
        <f t="shared" si="261"/>
        <v>3882</v>
      </c>
      <c r="I576" s="60">
        <f t="shared" si="261"/>
        <v>0</v>
      </c>
      <c r="J576" s="65" t="s">
        <v>13</v>
      </c>
      <c r="K576" s="67"/>
      <c r="L576" s="55"/>
    </row>
    <row r="577" spans="1:12" ht="12.75" customHeight="1" thickBot="1" x14ac:dyDescent="0.25">
      <c r="A577" s="60">
        <f t="shared" ref="A577:C578" si="262">G577+D577</f>
        <v>2289</v>
      </c>
      <c r="B577" s="60">
        <f t="shared" si="262"/>
        <v>2289</v>
      </c>
      <c r="C577" s="60">
        <f t="shared" si="262"/>
        <v>0</v>
      </c>
      <c r="D577" s="60">
        <f>F577+E577</f>
        <v>7</v>
      </c>
      <c r="E577" s="60">
        <v>7</v>
      </c>
      <c r="F577" s="60">
        <v>0</v>
      </c>
      <c r="G577" s="60">
        <f>I577+H577</f>
        <v>2282</v>
      </c>
      <c r="H577" s="60">
        <v>2282</v>
      </c>
      <c r="I577" s="60">
        <v>0</v>
      </c>
      <c r="J577" s="65" t="s">
        <v>221</v>
      </c>
      <c r="K577" s="66"/>
      <c r="L577" s="55"/>
    </row>
    <row r="578" spans="1:12" ht="12.75" customHeight="1" thickBot="1" x14ac:dyDescent="0.25">
      <c r="A578" s="60">
        <f t="shared" si="262"/>
        <v>1098</v>
      </c>
      <c r="B578" s="60">
        <f t="shared" si="262"/>
        <v>1098</v>
      </c>
      <c r="C578" s="60">
        <f t="shared" si="262"/>
        <v>0</v>
      </c>
      <c r="D578" s="60">
        <f>F578+E578</f>
        <v>0</v>
      </c>
      <c r="E578" s="60">
        <v>0</v>
      </c>
      <c r="F578" s="60">
        <v>0</v>
      </c>
      <c r="G578" s="60">
        <f>I578+H578</f>
        <v>1098</v>
      </c>
      <c r="H578" s="60">
        <v>1098</v>
      </c>
      <c r="I578" s="60">
        <v>0</v>
      </c>
      <c r="J578" s="65" t="s">
        <v>222</v>
      </c>
      <c r="K578" s="66" t="s">
        <v>573</v>
      </c>
      <c r="L578" s="55"/>
    </row>
    <row r="579" spans="1:12" ht="12.75" customHeight="1" thickBot="1" x14ac:dyDescent="0.25">
      <c r="A579" s="60">
        <f>A577+A578</f>
        <v>3387</v>
      </c>
      <c r="B579" s="60">
        <f t="shared" ref="B579:I579" si="263">B577+B578</f>
        <v>3387</v>
      </c>
      <c r="C579" s="60">
        <f t="shared" si="263"/>
        <v>0</v>
      </c>
      <c r="D579" s="60">
        <f t="shared" si="263"/>
        <v>7</v>
      </c>
      <c r="E579" s="60">
        <f t="shared" si="263"/>
        <v>7</v>
      </c>
      <c r="F579" s="60">
        <f t="shared" si="263"/>
        <v>0</v>
      </c>
      <c r="G579" s="60">
        <f t="shared" si="263"/>
        <v>3380</v>
      </c>
      <c r="H579" s="60">
        <f t="shared" si="263"/>
        <v>3380</v>
      </c>
      <c r="I579" s="60">
        <f t="shared" si="263"/>
        <v>0</v>
      </c>
      <c r="J579" s="65" t="s">
        <v>13</v>
      </c>
      <c r="K579" s="67"/>
      <c r="L579" s="55"/>
    </row>
    <row r="580" spans="1:12" ht="12.75" customHeight="1" thickBot="1" x14ac:dyDescent="0.25">
      <c r="A580" s="60">
        <f t="shared" ref="A580:C581" si="264">G580+D580</f>
        <v>1164</v>
      </c>
      <c r="B580" s="60">
        <f t="shared" si="264"/>
        <v>1164</v>
      </c>
      <c r="C580" s="60">
        <f t="shared" si="264"/>
        <v>0</v>
      </c>
      <c r="D580" s="60">
        <f>F580+E580</f>
        <v>6</v>
      </c>
      <c r="E580" s="60">
        <v>6</v>
      </c>
      <c r="F580" s="60">
        <v>0</v>
      </c>
      <c r="G580" s="60">
        <f>I580+H580</f>
        <v>1158</v>
      </c>
      <c r="H580" s="60">
        <v>1158</v>
      </c>
      <c r="I580" s="60">
        <v>0</v>
      </c>
      <c r="J580" s="65" t="s">
        <v>221</v>
      </c>
      <c r="K580" s="66"/>
      <c r="L580" s="55"/>
    </row>
    <row r="581" spans="1:12" ht="12.75" customHeight="1" thickBot="1" x14ac:dyDescent="0.25">
      <c r="A581" s="60">
        <f t="shared" si="264"/>
        <v>0</v>
      </c>
      <c r="B581" s="60">
        <f t="shared" si="264"/>
        <v>0</v>
      </c>
      <c r="C581" s="60">
        <f t="shared" si="264"/>
        <v>0</v>
      </c>
      <c r="D581" s="60">
        <f>F581+E581</f>
        <v>0</v>
      </c>
      <c r="E581" s="60">
        <v>0</v>
      </c>
      <c r="F581" s="60">
        <v>0</v>
      </c>
      <c r="G581" s="60">
        <f>I581+H581</f>
        <v>0</v>
      </c>
      <c r="H581" s="60">
        <v>0</v>
      </c>
      <c r="I581" s="60">
        <v>0</v>
      </c>
      <c r="J581" s="65" t="s">
        <v>222</v>
      </c>
      <c r="K581" s="66" t="s">
        <v>460</v>
      </c>
      <c r="L581" s="55"/>
    </row>
    <row r="582" spans="1:12" ht="12.75" customHeight="1" thickBot="1" x14ac:dyDescent="0.25">
      <c r="A582" s="60">
        <f>A580+A581</f>
        <v>1164</v>
      </c>
      <c r="B582" s="60">
        <f t="shared" ref="B582:I582" si="265">B580+B581</f>
        <v>1164</v>
      </c>
      <c r="C582" s="60">
        <f t="shared" si="265"/>
        <v>0</v>
      </c>
      <c r="D582" s="60">
        <f t="shared" si="265"/>
        <v>6</v>
      </c>
      <c r="E582" s="60">
        <f t="shared" si="265"/>
        <v>6</v>
      </c>
      <c r="F582" s="60">
        <f t="shared" si="265"/>
        <v>0</v>
      </c>
      <c r="G582" s="60">
        <f t="shared" si="265"/>
        <v>1158</v>
      </c>
      <c r="H582" s="60">
        <f t="shared" si="265"/>
        <v>1158</v>
      </c>
      <c r="I582" s="60">
        <f t="shared" si="265"/>
        <v>0</v>
      </c>
      <c r="J582" s="65" t="s">
        <v>13</v>
      </c>
      <c r="K582" s="67"/>
      <c r="L582" s="55"/>
    </row>
    <row r="583" spans="1:12" ht="12.75" customHeight="1" thickBot="1" x14ac:dyDescent="0.25">
      <c r="A583" s="60">
        <f t="shared" ref="A583:C584" si="266">G583+D583</f>
        <v>2316</v>
      </c>
      <c r="B583" s="60">
        <f t="shared" si="266"/>
        <v>2316</v>
      </c>
      <c r="C583" s="60">
        <f t="shared" si="266"/>
        <v>0</v>
      </c>
      <c r="D583" s="60">
        <f>F583+E583</f>
        <v>0</v>
      </c>
      <c r="E583" s="60">
        <v>0</v>
      </c>
      <c r="F583" s="60">
        <v>0</v>
      </c>
      <c r="G583" s="60">
        <f>I583+H583</f>
        <v>2316</v>
      </c>
      <c r="H583" s="60">
        <v>2316</v>
      </c>
      <c r="I583" s="60">
        <v>0</v>
      </c>
      <c r="J583" s="65" t="s">
        <v>221</v>
      </c>
      <c r="K583" s="66"/>
      <c r="L583" s="55"/>
    </row>
    <row r="584" spans="1:12" ht="12.75" customHeight="1" thickBot="1" x14ac:dyDescent="0.25">
      <c r="A584" s="60">
        <f t="shared" si="266"/>
        <v>157</v>
      </c>
      <c r="B584" s="60">
        <f t="shared" si="266"/>
        <v>157</v>
      </c>
      <c r="C584" s="60">
        <f t="shared" si="266"/>
        <v>0</v>
      </c>
      <c r="D584" s="60">
        <f>F584+E584</f>
        <v>0</v>
      </c>
      <c r="E584" s="60">
        <v>0</v>
      </c>
      <c r="F584" s="60">
        <v>0</v>
      </c>
      <c r="G584" s="60">
        <f>I584+H584</f>
        <v>157</v>
      </c>
      <c r="H584" s="60">
        <v>157</v>
      </c>
      <c r="I584" s="60">
        <v>0</v>
      </c>
      <c r="J584" s="65" t="s">
        <v>222</v>
      </c>
      <c r="K584" s="66" t="s">
        <v>461</v>
      </c>
      <c r="L584" s="55"/>
    </row>
    <row r="585" spans="1:12" ht="12.75" customHeight="1" thickBot="1" x14ac:dyDescent="0.25">
      <c r="A585" s="60">
        <f>A583+A584</f>
        <v>2473</v>
      </c>
      <c r="B585" s="60">
        <f t="shared" ref="B585:I585" si="267">B583+B584</f>
        <v>2473</v>
      </c>
      <c r="C585" s="60">
        <f t="shared" si="267"/>
        <v>0</v>
      </c>
      <c r="D585" s="60">
        <f t="shared" si="267"/>
        <v>0</v>
      </c>
      <c r="E585" s="60">
        <f t="shared" si="267"/>
        <v>0</v>
      </c>
      <c r="F585" s="60">
        <f t="shared" si="267"/>
        <v>0</v>
      </c>
      <c r="G585" s="60">
        <f t="shared" si="267"/>
        <v>2473</v>
      </c>
      <c r="H585" s="60">
        <f t="shared" si="267"/>
        <v>2473</v>
      </c>
      <c r="I585" s="60">
        <f t="shared" si="267"/>
        <v>0</v>
      </c>
      <c r="J585" s="65" t="s">
        <v>13</v>
      </c>
      <c r="K585" s="67"/>
      <c r="L585" s="55"/>
    </row>
    <row r="586" spans="1:12" ht="12.75" customHeight="1" thickBot="1" x14ac:dyDescent="0.25">
      <c r="A586" s="60">
        <f t="shared" ref="A586:C587" si="268">G586+D586</f>
        <v>58</v>
      </c>
      <c r="B586" s="60">
        <f t="shared" si="268"/>
        <v>0</v>
      </c>
      <c r="C586" s="60">
        <f t="shared" si="268"/>
        <v>58</v>
      </c>
      <c r="D586" s="60">
        <f>F586+E586</f>
        <v>0</v>
      </c>
      <c r="E586" s="60">
        <v>0</v>
      </c>
      <c r="F586" s="60">
        <v>0</v>
      </c>
      <c r="G586" s="60">
        <f>I586+H586</f>
        <v>58</v>
      </c>
      <c r="H586" s="60">
        <v>0</v>
      </c>
      <c r="I586" s="60">
        <v>58</v>
      </c>
      <c r="J586" s="65" t="s">
        <v>221</v>
      </c>
      <c r="K586" s="66"/>
      <c r="L586" s="55"/>
    </row>
    <row r="587" spans="1:12" ht="12.75" customHeight="1" thickBot="1" x14ac:dyDescent="0.25">
      <c r="A587" s="60">
        <f t="shared" si="268"/>
        <v>0</v>
      </c>
      <c r="B587" s="60">
        <f t="shared" si="268"/>
        <v>0</v>
      </c>
      <c r="C587" s="60">
        <f t="shared" si="268"/>
        <v>0</v>
      </c>
      <c r="D587" s="60">
        <f>F587+E587</f>
        <v>0</v>
      </c>
      <c r="E587" s="60">
        <v>0</v>
      </c>
      <c r="F587" s="60">
        <v>0</v>
      </c>
      <c r="G587" s="60">
        <f>I587+H587</f>
        <v>0</v>
      </c>
      <c r="H587" s="60">
        <v>0</v>
      </c>
      <c r="I587" s="60">
        <v>0</v>
      </c>
      <c r="J587" s="65" t="s">
        <v>222</v>
      </c>
      <c r="K587" s="66" t="s">
        <v>462</v>
      </c>
      <c r="L587" s="55"/>
    </row>
    <row r="588" spans="1:12" ht="12.75" customHeight="1" thickBot="1" x14ac:dyDescent="0.25">
      <c r="A588" s="60">
        <f>A586+A587</f>
        <v>58</v>
      </c>
      <c r="B588" s="60">
        <f t="shared" ref="B588:I588" si="269">B586+B587</f>
        <v>0</v>
      </c>
      <c r="C588" s="60">
        <f t="shared" si="269"/>
        <v>58</v>
      </c>
      <c r="D588" s="60">
        <f t="shared" si="269"/>
        <v>0</v>
      </c>
      <c r="E588" s="60">
        <f t="shared" si="269"/>
        <v>0</v>
      </c>
      <c r="F588" s="60">
        <f t="shared" si="269"/>
        <v>0</v>
      </c>
      <c r="G588" s="60">
        <f t="shared" si="269"/>
        <v>58</v>
      </c>
      <c r="H588" s="60">
        <f t="shared" si="269"/>
        <v>0</v>
      </c>
      <c r="I588" s="60">
        <f t="shared" si="269"/>
        <v>58</v>
      </c>
      <c r="J588" s="65" t="s">
        <v>13</v>
      </c>
      <c r="K588" s="67"/>
      <c r="L588" s="55"/>
    </row>
    <row r="589" spans="1:12" ht="12.75" customHeight="1" thickBot="1" x14ac:dyDescent="0.25">
      <c r="A589" s="60">
        <f t="shared" ref="A589:C590" si="270">G589+D589</f>
        <v>403</v>
      </c>
      <c r="B589" s="60">
        <f t="shared" si="270"/>
        <v>0</v>
      </c>
      <c r="C589" s="60">
        <f t="shared" si="270"/>
        <v>403</v>
      </c>
      <c r="D589" s="60">
        <f>F589+E589</f>
        <v>0</v>
      </c>
      <c r="E589" s="60">
        <v>0</v>
      </c>
      <c r="F589" s="60">
        <v>0</v>
      </c>
      <c r="G589" s="60">
        <f>I589+H589</f>
        <v>403</v>
      </c>
      <c r="H589" s="60">
        <v>0</v>
      </c>
      <c r="I589" s="60">
        <v>403</v>
      </c>
      <c r="J589" s="65" t="s">
        <v>221</v>
      </c>
      <c r="K589" s="66"/>
      <c r="L589" s="55"/>
    </row>
    <row r="590" spans="1:12" ht="12.75" customHeight="1" thickBot="1" x14ac:dyDescent="0.25">
      <c r="A590" s="60">
        <f t="shared" si="270"/>
        <v>0</v>
      </c>
      <c r="B590" s="60">
        <f t="shared" si="270"/>
        <v>0</v>
      </c>
      <c r="C590" s="60">
        <f t="shared" si="270"/>
        <v>0</v>
      </c>
      <c r="D590" s="60">
        <f>F590+E590</f>
        <v>0</v>
      </c>
      <c r="E590" s="60">
        <v>0</v>
      </c>
      <c r="F590" s="60">
        <v>0</v>
      </c>
      <c r="G590" s="60">
        <f>I590+H590</f>
        <v>0</v>
      </c>
      <c r="H590" s="60">
        <v>0</v>
      </c>
      <c r="I590" s="60">
        <v>0</v>
      </c>
      <c r="J590" s="65" t="s">
        <v>222</v>
      </c>
      <c r="K590" s="66" t="s">
        <v>463</v>
      </c>
      <c r="L590" s="55"/>
    </row>
    <row r="591" spans="1:12" ht="12.75" customHeight="1" thickBot="1" x14ac:dyDescent="0.25">
      <c r="A591" s="60">
        <f>A589+A590</f>
        <v>403</v>
      </c>
      <c r="B591" s="60">
        <f t="shared" ref="B591:I591" si="271">B589+B590</f>
        <v>0</v>
      </c>
      <c r="C591" s="60">
        <f t="shared" si="271"/>
        <v>403</v>
      </c>
      <c r="D591" s="60">
        <f t="shared" si="271"/>
        <v>0</v>
      </c>
      <c r="E591" s="60">
        <f t="shared" si="271"/>
        <v>0</v>
      </c>
      <c r="F591" s="60">
        <f t="shared" si="271"/>
        <v>0</v>
      </c>
      <c r="G591" s="60">
        <f t="shared" si="271"/>
        <v>403</v>
      </c>
      <c r="H591" s="60">
        <f t="shared" si="271"/>
        <v>0</v>
      </c>
      <c r="I591" s="60">
        <f t="shared" si="271"/>
        <v>403</v>
      </c>
      <c r="J591" s="65" t="s">
        <v>13</v>
      </c>
      <c r="K591" s="67"/>
      <c r="L591" s="55"/>
    </row>
    <row r="592" spans="1:12" ht="12.75" customHeight="1" thickBot="1" x14ac:dyDescent="0.25">
      <c r="A592" s="60">
        <f t="shared" ref="A592:C593" si="272">G592+D592</f>
        <v>399</v>
      </c>
      <c r="B592" s="60">
        <f t="shared" si="272"/>
        <v>399</v>
      </c>
      <c r="C592" s="60">
        <f t="shared" si="272"/>
        <v>0</v>
      </c>
      <c r="D592" s="60">
        <f>F592+E592</f>
        <v>2</v>
      </c>
      <c r="E592" s="60">
        <v>2</v>
      </c>
      <c r="F592" s="60">
        <v>0</v>
      </c>
      <c r="G592" s="60">
        <f>I592+H592</f>
        <v>397</v>
      </c>
      <c r="H592" s="60">
        <v>397</v>
      </c>
      <c r="I592" s="60">
        <v>0</v>
      </c>
      <c r="J592" s="65" t="s">
        <v>221</v>
      </c>
      <c r="K592" s="66"/>
      <c r="L592" s="55"/>
    </row>
    <row r="593" spans="1:12" ht="12.75" customHeight="1" thickBot="1" x14ac:dyDescent="0.25">
      <c r="A593" s="60">
        <f t="shared" si="272"/>
        <v>0</v>
      </c>
      <c r="B593" s="60">
        <f t="shared" si="272"/>
        <v>0</v>
      </c>
      <c r="C593" s="60">
        <f t="shared" si="272"/>
        <v>0</v>
      </c>
      <c r="D593" s="60">
        <f>F593+E593</f>
        <v>0</v>
      </c>
      <c r="E593" s="60">
        <v>0</v>
      </c>
      <c r="F593" s="60">
        <v>0</v>
      </c>
      <c r="G593" s="60">
        <f>I593+H593</f>
        <v>0</v>
      </c>
      <c r="H593" s="60">
        <v>0</v>
      </c>
      <c r="I593" s="60">
        <v>0</v>
      </c>
      <c r="J593" s="65" t="s">
        <v>222</v>
      </c>
      <c r="K593" s="66" t="s">
        <v>464</v>
      </c>
      <c r="L593" s="55"/>
    </row>
    <row r="594" spans="1:12" ht="12.75" customHeight="1" thickBot="1" x14ac:dyDescent="0.25">
      <c r="A594" s="60">
        <f>A592+A593</f>
        <v>399</v>
      </c>
      <c r="B594" s="60">
        <f t="shared" ref="B594:I594" si="273">B592+B593</f>
        <v>399</v>
      </c>
      <c r="C594" s="60">
        <f t="shared" si="273"/>
        <v>0</v>
      </c>
      <c r="D594" s="60">
        <f t="shared" si="273"/>
        <v>2</v>
      </c>
      <c r="E594" s="60">
        <f t="shared" si="273"/>
        <v>2</v>
      </c>
      <c r="F594" s="60">
        <f t="shared" si="273"/>
        <v>0</v>
      </c>
      <c r="G594" s="60">
        <f t="shared" si="273"/>
        <v>397</v>
      </c>
      <c r="H594" s="60">
        <f t="shared" si="273"/>
        <v>397</v>
      </c>
      <c r="I594" s="60">
        <f t="shared" si="273"/>
        <v>0</v>
      </c>
      <c r="J594" s="65" t="s">
        <v>13</v>
      </c>
      <c r="K594" s="67"/>
      <c r="L594" s="55"/>
    </row>
    <row r="595" spans="1:12" ht="12.75" customHeight="1" thickBot="1" x14ac:dyDescent="0.25">
      <c r="A595" s="60">
        <f t="shared" ref="A595:C596" si="274">G595+D595</f>
        <v>226</v>
      </c>
      <c r="B595" s="60">
        <f t="shared" si="274"/>
        <v>226</v>
      </c>
      <c r="C595" s="60">
        <f t="shared" si="274"/>
        <v>0</v>
      </c>
      <c r="D595" s="60">
        <f>F595+E595</f>
        <v>0</v>
      </c>
      <c r="E595" s="60">
        <v>0</v>
      </c>
      <c r="F595" s="60">
        <v>0</v>
      </c>
      <c r="G595" s="60">
        <f>I595+H595</f>
        <v>226</v>
      </c>
      <c r="H595" s="60">
        <v>226</v>
      </c>
      <c r="I595" s="60">
        <v>0</v>
      </c>
      <c r="J595" s="65" t="s">
        <v>221</v>
      </c>
      <c r="K595" s="66"/>
      <c r="L595" s="55"/>
    </row>
    <row r="596" spans="1:12" ht="12.75" customHeight="1" thickBot="1" x14ac:dyDescent="0.25">
      <c r="A596" s="60">
        <f t="shared" si="274"/>
        <v>0</v>
      </c>
      <c r="B596" s="60">
        <f t="shared" si="274"/>
        <v>0</v>
      </c>
      <c r="C596" s="60">
        <f t="shared" si="274"/>
        <v>0</v>
      </c>
      <c r="D596" s="60">
        <f>F596+E596</f>
        <v>0</v>
      </c>
      <c r="E596" s="60">
        <v>0</v>
      </c>
      <c r="F596" s="60">
        <v>0</v>
      </c>
      <c r="G596" s="60">
        <f>I596+H596</f>
        <v>0</v>
      </c>
      <c r="H596" s="60">
        <v>0</v>
      </c>
      <c r="I596" s="60">
        <v>0</v>
      </c>
      <c r="J596" s="65" t="s">
        <v>222</v>
      </c>
      <c r="K596" s="66" t="s">
        <v>465</v>
      </c>
      <c r="L596" s="55"/>
    </row>
    <row r="597" spans="1:12" ht="12.75" customHeight="1" thickBot="1" x14ac:dyDescent="0.25">
      <c r="A597" s="60">
        <f>A595+A596</f>
        <v>226</v>
      </c>
      <c r="B597" s="60">
        <f t="shared" ref="B597:I597" si="275">B595+B596</f>
        <v>226</v>
      </c>
      <c r="C597" s="60">
        <f t="shared" si="275"/>
        <v>0</v>
      </c>
      <c r="D597" s="60">
        <f t="shared" si="275"/>
        <v>0</v>
      </c>
      <c r="E597" s="60">
        <f t="shared" si="275"/>
        <v>0</v>
      </c>
      <c r="F597" s="60">
        <f t="shared" si="275"/>
        <v>0</v>
      </c>
      <c r="G597" s="60">
        <f t="shared" si="275"/>
        <v>226</v>
      </c>
      <c r="H597" s="60">
        <f t="shared" si="275"/>
        <v>226</v>
      </c>
      <c r="I597" s="60">
        <f t="shared" si="275"/>
        <v>0</v>
      </c>
      <c r="J597" s="65" t="s">
        <v>13</v>
      </c>
      <c r="K597" s="67"/>
      <c r="L597" s="55"/>
    </row>
    <row r="598" spans="1:12" ht="12.75" customHeight="1" thickBot="1" x14ac:dyDescent="0.25">
      <c r="A598" s="60">
        <f t="shared" ref="A598:C599" si="276">G598+D598</f>
        <v>92</v>
      </c>
      <c r="B598" s="60">
        <f t="shared" si="276"/>
        <v>92</v>
      </c>
      <c r="C598" s="60">
        <f t="shared" si="276"/>
        <v>0</v>
      </c>
      <c r="D598" s="60">
        <f>F598+E598</f>
        <v>4</v>
      </c>
      <c r="E598" s="60">
        <v>4</v>
      </c>
      <c r="F598" s="60">
        <v>0</v>
      </c>
      <c r="G598" s="60">
        <f>I598+H598</f>
        <v>88</v>
      </c>
      <c r="H598" s="60">
        <v>88</v>
      </c>
      <c r="I598" s="60">
        <v>0</v>
      </c>
      <c r="J598" s="65" t="s">
        <v>221</v>
      </c>
      <c r="K598" s="66"/>
      <c r="L598" s="55"/>
    </row>
    <row r="599" spans="1:12" ht="12.75" customHeight="1" thickBot="1" x14ac:dyDescent="0.25">
      <c r="A599" s="60">
        <f t="shared" si="276"/>
        <v>0</v>
      </c>
      <c r="B599" s="60">
        <f t="shared" si="276"/>
        <v>0</v>
      </c>
      <c r="C599" s="60">
        <f t="shared" si="276"/>
        <v>0</v>
      </c>
      <c r="D599" s="60">
        <f>F599+E599</f>
        <v>0</v>
      </c>
      <c r="E599" s="60">
        <v>0</v>
      </c>
      <c r="F599" s="60">
        <v>0</v>
      </c>
      <c r="G599" s="60">
        <f>I599+H599</f>
        <v>0</v>
      </c>
      <c r="H599" s="60">
        <v>0</v>
      </c>
      <c r="I599" s="60">
        <v>0</v>
      </c>
      <c r="J599" s="65" t="s">
        <v>222</v>
      </c>
      <c r="K599" s="66" t="s">
        <v>112</v>
      </c>
      <c r="L599" s="55"/>
    </row>
    <row r="600" spans="1:12" ht="12.75" customHeight="1" thickBot="1" x14ac:dyDescent="0.25">
      <c r="A600" s="60">
        <f>A598+A599</f>
        <v>92</v>
      </c>
      <c r="B600" s="60">
        <f t="shared" ref="B600:I600" si="277">B598+B599</f>
        <v>92</v>
      </c>
      <c r="C600" s="60">
        <f t="shared" si="277"/>
        <v>0</v>
      </c>
      <c r="D600" s="60">
        <f t="shared" si="277"/>
        <v>4</v>
      </c>
      <c r="E600" s="60">
        <f t="shared" si="277"/>
        <v>4</v>
      </c>
      <c r="F600" s="60">
        <f t="shared" si="277"/>
        <v>0</v>
      </c>
      <c r="G600" s="60">
        <f t="shared" si="277"/>
        <v>88</v>
      </c>
      <c r="H600" s="60">
        <f t="shared" si="277"/>
        <v>88</v>
      </c>
      <c r="I600" s="60">
        <f t="shared" si="277"/>
        <v>0</v>
      </c>
      <c r="J600" s="65" t="s">
        <v>13</v>
      </c>
      <c r="K600" s="67"/>
      <c r="L600" s="55"/>
    </row>
    <row r="601" spans="1:12" ht="12.75" customHeight="1" thickBot="1" x14ac:dyDescent="0.25">
      <c r="A601" s="60">
        <f t="shared" ref="A601:C602" si="278">G601+D601</f>
        <v>2632</v>
      </c>
      <c r="B601" s="60">
        <f t="shared" si="278"/>
        <v>1523</v>
      </c>
      <c r="C601" s="60">
        <f t="shared" si="278"/>
        <v>1109</v>
      </c>
      <c r="D601" s="60">
        <f>F601+E601</f>
        <v>67</v>
      </c>
      <c r="E601" s="60">
        <v>40</v>
      </c>
      <c r="F601" s="60">
        <v>27</v>
      </c>
      <c r="G601" s="60">
        <f>I601+H601</f>
        <v>2565</v>
      </c>
      <c r="H601" s="60">
        <v>1483</v>
      </c>
      <c r="I601" s="60">
        <v>1082</v>
      </c>
      <c r="J601" s="65" t="s">
        <v>221</v>
      </c>
      <c r="K601" s="66"/>
      <c r="L601" s="55"/>
    </row>
    <row r="602" spans="1:12" ht="12.75" customHeight="1" thickBot="1" x14ac:dyDescent="0.25">
      <c r="A602" s="60">
        <f t="shared" si="278"/>
        <v>0</v>
      </c>
      <c r="B602" s="60">
        <f t="shared" si="278"/>
        <v>0</v>
      </c>
      <c r="C602" s="60">
        <f t="shared" si="278"/>
        <v>0</v>
      </c>
      <c r="D602" s="60">
        <f>F602+E602</f>
        <v>0</v>
      </c>
      <c r="E602" s="60">
        <v>0</v>
      </c>
      <c r="F602" s="60">
        <v>0</v>
      </c>
      <c r="G602" s="60">
        <f>I602+H602</f>
        <v>0</v>
      </c>
      <c r="H602" s="60">
        <v>0</v>
      </c>
      <c r="I602" s="60">
        <v>0</v>
      </c>
      <c r="J602" s="65" t="s">
        <v>222</v>
      </c>
      <c r="K602" s="66" t="s">
        <v>466</v>
      </c>
      <c r="L602" s="55"/>
    </row>
    <row r="603" spans="1:12" ht="12.75" customHeight="1" thickBot="1" x14ac:dyDescent="0.25">
      <c r="A603" s="60">
        <f>A601+A602</f>
        <v>2632</v>
      </c>
      <c r="B603" s="60">
        <f t="shared" ref="B603:I603" si="279">B601+B602</f>
        <v>1523</v>
      </c>
      <c r="C603" s="60">
        <f t="shared" si="279"/>
        <v>1109</v>
      </c>
      <c r="D603" s="60">
        <f t="shared" si="279"/>
        <v>67</v>
      </c>
      <c r="E603" s="60">
        <f t="shared" si="279"/>
        <v>40</v>
      </c>
      <c r="F603" s="60">
        <f t="shared" si="279"/>
        <v>27</v>
      </c>
      <c r="G603" s="60">
        <f t="shared" si="279"/>
        <v>2565</v>
      </c>
      <c r="H603" s="60">
        <f t="shared" si="279"/>
        <v>1483</v>
      </c>
      <c r="I603" s="60">
        <f t="shared" si="279"/>
        <v>1082</v>
      </c>
      <c r="J603" s="65" t="s">
        <v>13</v>
      </c>
      <c r="K603" s="67"/>
      <c r="L603" s="55"/>
    </row>
    <row r="604" spans="1:12" ht="12.75" customHeight="1" thickBot="1" x14ac:dyDescent="0.25">
      <c r="A604" s="60">
        <f t="shared" ref="A604:C605" si="280">G604+D604</f>
        <v>20</v>
      </c>
      <c r="B604" s="60">
        <f t="shared" si="280"/>
        <v>0</v>
      </c>
      <c r="C604" s="60">
        <f t="shared" si="280"/>
        <v>20</v>
      </c>
      <c r="D604" s="60">
        <f>F604+E604</f>
        <v>0</v>
      </c>
      <c r="E604" s="60">
        <v>0</v>
      </c>
      <c r="F604" s="60">
        <v>0</v>
      </c>
      <c r="G604" s="60">
        <f>I604+H604</f>
        <v>20</v>
      </c>
      <c r="H604" s="60">
        <v>0</v>
      </c>
      <c r="I604" s="60">
        <v>20</v>
      </c>
      <c r="J604" s="65" t="s">
        <v>221</v>
      </c>
      <c r="K604" s="66"/>
      <c r="L604" s="55"/>
    </row>
    <row r="605" spans="1:12" ht="12.75" customHeight="1" thickBot="1" x14ac:dyDescent="0.25">
      <c r="A605" s="60">
        <f t="shared" si="280"/>
        <v>0</v>
      </c>
      <c r="B605" s="60">
        <f t="shared" si="280"/>
        <v>0</v>
      </c>
      <c r="C605" s="60">
        <f t="shared" si="280"/>
        <v>0</v>
      </c>
      <c r="D605" s="60">
        <f>F605+E605</f>
        <v>0</v>
      </c>
      <c r="E605" s="60">
        <v>0</v>
      </c>
      <c r="F605" s="60">
        <v>0</v>
      </c>
      <c r="G605" s="60">
        <f>I605+H605</f>
        <v>0</v>
      </c>
      <c r="H605" s="60">
        <v>0</v>
      </c>
      <c r="I605" s="60">
        <v>0</v>
      </c>
      <c r="J605" s="65" t="s">
        <v>222</v>
      </c>
      <c r="K605" s="66" t="s">
        <v>337</v>
      </c>
      <c r="L605" s="55"/>
    </row>
    <row r="606" spans="1:12" ht="12.75" customHeight="1" thickBot="1" x14ac:dyDescent="0.25">
      <c r="A606" s="60">
        <f>A604+A605</f>
        <v>20</v>
      </c>
      <c r="B606" s="60">
        <f t="shared" ref="B606:I606" si="281">B604+B605</f>
        <v>0</v>
      </c>
      <c r="C606" s="60">
        <f t="shared" si="281"/>
        <v>20</v>
      </c>
      <c r="D606" s="60">
        <f t="shared" si="281"/>
        <v>0</v>
      </c>
      <c r="E606" s="60">
        <f t="shared" si="281"/>
        <v>0</v>
      </c>
      <c r="F606" s="60">
        <f t="shared" si="281"/>
        <v>0</v>
      </c>
      <c r="G606" s="60">
        <f t="shared" si="281"/>
        <v>20</v>
      </c>
      <c r="H606" s="60">
        <f t="shared" si="281"/>
        <v>0</v>
      </c>
      <c r="I606" s="60">
        <f t="shared" si="281"/>
        <v>20</v>
      </c>
      <c r="J606" s="65" t="s">
        <v>13</v>
      </c>
      <c r="K606" s="67"/>
      <c r="L606" s="55"/>
    </row>
    <row r="607" spans="1:12" ht="12.75" customHeight="1" thickBot="1" x14ac:dyDescent="0.25">
      <c r="A607" s="60">
        <f t="shared" ref="A607:C608" si="282">G607+D607</f>
        <v>1124</v>
      </c>
      <c r="B607" s="60">
        <f t="shared" si="282"/>
        <v>334</v>
      </c>
      <c r="C607" s="60">
        <f t="shared" si="282"/>
        <v>790</v>
      </c>
      <c r="D607" s="60">
        <f>F607+E607</f>
        <v>10</v>
      </c>
      <c r="E607" s="60">
        <v>3</v>
      </c>
      <c r="F607" s="60">
        <v>7</v>
      </c>
      <c r="G607" s="60">
        <f>I607+H607</f>
        <v>1114</v>
      </c>
      <c r="H607" s="60">
        <v>331</v>
      </c>
      <c r="I607" s="60">
        <v>783</v>
      </c>
      <c r="J607" s="65" t="s">
        <v>221</v>
      </c>
      <c r="K607" s="66"/>
      <c r="L607" s="55"/>
    </row>
    <row r="608" spans="1:12" ht="12.75" customHeight="1" thickBot="1" x14ac:dyDescent="0.25">
      <c r="A608" s="60">
        <f t="shared" si="282"/>
        <v>0</v>
      </c>
      <c r="B608" s="60">
        <f t="shared" si="282"/>
        <v>0</v>
      </c>
      <c r="C608" s="60">
        <f t="shared" si="282"/>
        <v>0</v>
      </c>
      <c r="D608" s="60">
        <f>F608+E608</f>
        <v>0</v>
      </c>
      <c r="E608" s="60">
        <v>0</v>
      </c>
      <c r="F608" s="60">
        <v>0</v>
      </c>
      <c r="G608" s="60">
        <f>I608+H608</f>
        <v>0</v>
      </c>
      <c r="H608" s="60">
        <v>0</v>
      </c>
      <c r="I608" s="60">
        <v>0</v>
      </c>
      <c r="J608" s="65" t="s">
        <v>222</v>
      </c>
      <c r="K608" s="66" t="s">
        <v>467</v>
      </c>
      <c r="L608" s="55"/>
    </row>
    <row r="609" spans="1:12" ht="12.75" customHeight="1" thickBot="1" x14ac:dyDescent="0.25">
      <c r="A609" s="60">
        <f>A607+A608</f>
        <v>1124</v>
      </c>
      <c r="B609" s="60">
        <f t="shared" ref="B609:I609" si="283">B607+B608</f>
        <v>334</v>
      </c>
      <c r="C609" s="60">
        <f t="shared" si="283"/>
        <v>790</v>
      </c>
      <c r="D609" s="60">
        <f t="shared" si="283"/>
        <v>10</v>
      </c>
      <c r="E609" s="60">
        <f t="shared" si="283"/>
        <v>3</v>
      </c>
      <c r="F609" s="60">
        <f t="shared" si="283"/>
        <v>7</v>
      </c>
      <c r="G609" s="60">
        <f t="shared" si="283"/>
        <v>1114</v>
      </c>
      <c r="H609" s="60">
        <f t="shared" si="283"/>
        <v>331</v>
      </c>
      <c r="I609" s="60">
        <f t="shared" si="283"/>
        <v>783</v>
      </c>
      <c r="J609" s="65" t="s">
        <v>13</v>
      </c>
      <c r="K609" s="67"/>
      <c r="L609" s="55"/>
    </row>
    <row r="610" spans="1:12" ht="12.75" customHeight="1" thickBot="1" x14ac:dyDescent="0.25">
      <c r="A610" s="60">
        <f t="shared" ref="A610:C611" si="284">G610+D610</f>
        <v>2473</v>
      </c>
      <c r="B610" s="60">
        <f t="shared" si="284"/>
        <v>819</v>
      </c>
      <c r="C610" s="60">
        <f>I610+F610</f>
        <v>1654</v>
      </c>
      <c r="D610" s="60">
        <f>F610+E610</f>
        <v>100</v>
      </c>
      <c r="E610" s="60">
        <v>63</v>
      </c>
      <c r="F610" s="60">
        <v>37</v>
      </c>
      <c r="G610" s="60">
        <f>I610+H610</f>
        <v>2373</v>
      </c>
      <c r="H610" s="60">
        <v>756</v>
      </c>
      <c r="I610" s="60">
        <v>1617</v>
      </c>
      <c r="J610" s="65" t="s">
        <v>221</v>
      </c>
      <c r="K610" s="66"/>
      <c r="L610" s="55"/>
    </row>
    <row r="611" spans="1:12" ht="12.75" customHeight="1" thickBot="1" x14ac:dyDescent="0.25">
      <c r="A611" s="60">
        <f t="shared" si="284"/>
        <v>66</v>
      </c>
      <c r="B611" s="60">
        <f t="shared" si="284"/>
        <v>0</v>
      </c>
      <c r="C611" s="60">
        <f t="shared" si="284"/>
        <v>66</v>
      </c>
      <c r="D611" s="60">
        <f>F611+E611</f>
        <v>0</v>
      </c>
      <c r="E611" s="60">
        <v>0</v>
      </c>
      <c r="F611" s="60">
        <v>0</v>
      </c>
      <c r="G611" s="60">
        <f>I611+H611</f>
        <v>66</v>
      </c>
      <c r="H611" s="60">
        <v>0</v>
      </c>
      <c r="I611" s="60">
        <v>66</v>
      </c>
      <c r="J611" s="65" t="s">
        <v>222</v>
      </c>
      <c r="K611" s="66" t="s">
        <v>213</v>
      </c>
      <c r="L611" s="55"/>
    </row>
    <row r="612" spans="1:12" ht="12.75" customHeight="1" thickBot="1" x14ac:dyDescent="0.25">
      <c r="A612" s="60">
        <f>A610+A611</f>
        <v>2539</v>
      </c>
      <c r="B612" s="60">
        <f t="shared" ref="B612:I612" si="285">B610+B611</f>
        <v>819</v>
      </c>
      <c r="C612" s="60">
        <f t="shared" si="285"/>
        <v>1720</v>
      </c>
      <c r="D612" s="60">
        <f t="shared" si="285"/>
        <v>100</v>
      </c>
      <c r="E612" s="60">
        <f t="shared" si="285"/>
        <v>63</v>
      </c>
      <c r="F612" s="60">
        <f t="shared" si="285"/>
        <v>37</v>
      </c>
      <c r="G612" s="60">
        <f t="shared" si="285"/>
        <v>2439</v>
      </c>
      <c r="H612" s="60">
        <f t="shared" si="285"/>
        <v>756</v>
      </c>
      <c r="I612" s="60">
        <f t="shared" si="285"/>
        <v>1683</v>
      </c>
      <c r="J612" s="65" t="s">
        <v>13</v>
      </c>
      <c r="K612" s="67"/>
      <c r="L612" s="55"/>
    </row>
    <row r="613" spans="1:12" ht="12.75" customHeight="1" thickBot="1" x14ac:dyDescent="0.25">
      <c r="A613" s="60">
        <f t="shared" ref="A613:C614" si="286">G613+D613</f>
        <v>19</v>
      </c>
      <c r="B613" s="60">
        <f t="shared" si="286"/>
        <v>0</v>
      </c>
      <c r="C613" s="60">
        <f t="shared" si="286"/>
        <v>19</v>
      </c>
      <c r="D613" s="60">
        <f>F613+E613</f>
        <v>0</v>
      </c>
      <c r="E613" s="60">
        <v>0</v>
      </c>
      <c r="F613" s="60">
        <v>0</v>
      </c>
      <c r="G613" s="60">
        <f>I613+H613</f>
        <v>19</v>
      </c>
      <c r="H613" s="60">
        <v>0</v>
      </c>
      <c r="I613" s="60">
        <v>19</v>
      </c>
      <c r="J613" s="65" t="s">
        <v>221</v>
      </c>
      <c r="K613" s="66"/>
      <c r="L613" s="55"/>
    </row>
    <row r="614" spans="1:12" ht="12.75" customHeight="1" thickBot="1" x14ac:dyDescent="0.25">
      <c r="A614" s="60">
        <f t="shared" si="286"/>
        <v>0</v>
      </c>
      <c r="B614" s="60">
        <f t="shared" si="286"/>
        <v>0</v>
      </c>
      <c r="C614" s="60">
        <f t="shared" si="286"/>
        <v>0</v>
      </c>
      <c r="D614" s="60">
        <f>F614+E614</f>
        <v>0</v>
      </c>
      <c r="E614" s="60">
        <v>0</v>
      </c>
      <c r="F614" s="60">
        <v>0</v>
      </c>
      <c r="G614" s="60">
        <f>I614+H614</f>
        <v>0</v>
      </c>
      <c r="H614" s="60">
        <v>0</v>
      </c>
      <c r="I614" s="60">
        <v>0</v>
      </c>
      <c r="J614" s="65" t="s">
        <v>222</v>
      </c>
      <c r="K614" s="66" t="s">
        <v>376</v>
      </c>
      <c r="L614" s="55"/>
    </row>
    <row r="615" spans="1:12" ht="12.75" customHeight="1" thickBot="1" x14ac:dyDescent="0.25">
      <c r="A615" s="60">
        <f>A613+A614</f>
        <v>19</v>
      </c>
      <c r="B615" s="60">
        <f t="shared" ref="B615:I615" si="287">B613+B614</f>
        <v>0</v>
      </c>
      <c r="C615" s="60">
        <f t="shared" si="287"/>
        <v>19</v>
      </c>
      <c r="D615" s="60">
        <f t="shared" si="287"/>
        <v>0</v>
      </c>
      <c r="E615" s="60">
        <f t="shared" si="287"/>
        <v>0</v>
      </c>
      <c r="F615" s="60">
        <f t="shared" si="287"/>
        <v>0</v>
      </c>
      <c r="G615" s="60">
        <f t="shared" si="287"/>
        <v>19</v>
      </c>
      <c r="H615" s="60">
        <f t="shared" si="287"/>
        <v>0</v>
      </c>
      <c r="I615" s="60">
        <f t="shared" si="287"/>
        <v>19</v>
      </c>
      <c r="J615" s="65" t="s">
        <v>13</v>
      </c>
      <c r="K615" s="67"/>
      <c r="L615" s="55"/>
    </row>
    <row r="616" spans="1:12" ht="12.75" customHeight="1" thickBot="1" x14ac:dyDescent="0.25">
      <c r="A616" s="60">
        <f t="shared" ref="A616:C617" si="288">G616+D616</f>
        <v>119</v>
      </c>
      <c r="B616" s="60">
        <f t="shared" si="288"/>
        <v>119</v>
      </c>
      <c r="C616" s="60">
        <f t="shared" si="288"/>
        <v>0</v>
      </c>
      <c r="D616" s="60">
        <f>F616+E616</f>
        <v>0</v>
      </c>
      <c r="E616" s="60">
        <v>0</v>
      </c>
      <c r="F616" s="60">
        <v>0</v>
      </c>
      <c r="G616" s="60">
        <f>I616+H616</f>
        <v>119</v>
      </c>
      <c r="H616" s="60">
        <v>119</v>
      </c>
      <c r="I616" s="60">
        <v>0</v>
      </c>
      <c r="J616" s="65" t="s">
        <v>221</v>
      </c>
      <c r="K616" s="66"/>
      <c r="L616" s="55"/>
    </row>
    <row r="617" spans="1:12" ht="12.75" customHeight="1" thickBot="1" x14ac:dyDescent="0.25">
      <c r="A617" s="60">
        <f t="shared" si="288"/>
        <v>0</v>
      </c>
      <c r="B617" s="60">
        <f t="shared" si="288"/>
        <v>0</v>
      </c>
      <c r="C617" s="60">
        <f t="shared" si="288"/>
        <v>0</v>
      </c>
      <c r="D617" s="60">
        <f>F617+E617</f>
        <v>0</v>
      </c>
      <c r="E617" s="60">
        <v>0</v>
      </c>
      <c r="F617" s="60">
        <v>0</v>
      </c>
      <c r="G617" s="60">
        <f>I617+H617</f>
        <v>0</v>
      </c>
      <c r="H617" s="60">
        <v>0</v>
      </c>
      <c r="I617" s="60">
        <v>0</v>
      </c>
      <c r="J617" s="65" t="s">
        <v>222</v>
      </c>
      <c r="K617" s="66" t="s">
        <v>468</v>
      </c>
      <c r="L617" s="55"/>
    </row>
    <row r="618" spans="1:12" ht="12.75" customHeight="1" thickBot="1" x14ac:dyDescent="0.25">
      <c r="A618" s="60">
        <f>A616+A617</f>
        <v>119</v>
      </c>
      <c r="B618" s="60">
        <f t="shared" ref="B618:I618" si="289">B616+B617</f>
        <v>119</v>
      </c>
      <c r="C618" s="60">
        <f t="shared" si="289"/>
        <v>0</v>
      </c>
      <c r="D618" s="60">
        <f t="shared" si="289"/>
        <v>0</v>
      </c>
      <c r="E618" s="60">
        <f t="shared" si="289"/>
        <v>0</v>
      </c>
      <c r="F618" s="60">
        <f t="shared" si="289"/>
        <v>0</v>
      </c>
      <c r="G618" s="60">
        <f t="shared" si="289"/>
        <v>119</v>
      </c>
      <c r="H618" s="60">
        <f t="shared" si="289"/>
        <v>119</v>
      </c>
      <c r="I618" s="60">
        <f t="shared" si="289"/>
        <v>0</v>
      </c>
      <c r="J618" s="65" t="s">
        <v>13</v>
      </c>
      <c r="K618" s="67"/>
      <c r="L618" s="55"/>
    </row>
    <row r="619" spans="1:12" ht="12.75" customHeight="1" thickBot="1" x14ac:dyDescent="0.25">
      <c r="A619" s="60">
        <f t="shared" ref="A619:C620" si="290">G619+D619</f>
        <v>45</v>
      </c>
      <c r="B619" s="60">
        <f t="shared" si="290"/>
        <v>45</v>
      </c>
      <c r="C619" s="60">
        <f t="shared" si="290"/>
        <v>0</v>
      </c>
      <c r="D619" s="60">
        <f>F619+E619</f>
        <v>0</v>
      </c>
      <c r="E619" s="60">
        <v>0</v>
      </c>
      <c r="F619" s="60">
        <v>0</v>
      </c>
      <c r="G619" s="60">
        <f>I619+H619</f>
        <v>45</v>
      </c>
      <c r="H619" s="60">
        <v>45</v>
      </c>
      <c r="I619" s="60">
        <v>0</v>
      </c>
      <c r="J619" s="65" t="s">
        <v>221</v>
      </c>
      <c r="K619" s="66"/>
      <c r="L619" s="55"/>
    </row>
    <row r="620" spans="1:12" ht="12.75" customHeight="1" thickBot="1" x14ac:dyDescent="0.25">
      <c r="A620" s="60">
        <f t="shared" si="290"/>
        <v>0</v>
      </c>
      <c r="B620" s="60">
        <f t="shared" si="290"/>
        <v>0</v>
      </c>
      <c r="C620" s="60">
        <f t="shared" si="290"/>
        <v>0</v>
      </c>
      <c r="D620" s="60">
        <f>F620+E620</f>
        <v>0</v>
      </c>
      <c r="E620" s="60">
        <v>0</v>
      </c>
      <c r="F620" s="60">
        <v>0</v>
      </c>
      <c r="G620" s="60">
        <f>I620+H620</f>
        <v>0</v>
      </c>
      <c r="H620" s="60">
        <v>0</v>
      </c>
      <c r="I620" s="60">
        <v>0</v>
      </c>
      <c r="J620" s="65" t="s">
        <v>222</v>
      </c>
      <c r="K620" s="66" t="s">
        <v>536</v>
      </c>
      <c r="L620" s="55"/>
    </row>
    <row r="621" spans="1:12" ht="12.75" customHeight="1" thickBot="1" x14ac:dyDescent="0.25">
      <c r="A621" s="60">
        <f>A619+A620</f>
        <v>45</v>
      </c>
      <c r="B621" s="60">
        <f t="shared" ref="B621:I621" si="291">B619+B620</f>
        <v>45</v>
      </c>
      <c r="C621" s="60">
        <f t="shared" si="291"/>
        <v>0</v>
      </c>
      <c r="D621" s="60">
        <f t="shared" si="291"/>
        <v>0</v>
      </c>
      <c r="E621" s="60">
        <f t="shared" si="291"/>
        <v>0</v>
      </c>
      <c r="F621" s="60">
        <f t="shared" si="291"/>
        <v>0</v>
      </c>
      <c r="G621" s="60">
        <f t="shared" si="291"/>
        <v>45</v>
      </c>
      <c r="H621" s="60">
        <f t="shared" si="291"/>
        <v>45</v>
      </c>
      <c r="I621" s="60">
        <f t="shared" si="291"/>
        <v>0</v>
      </c>
      <c r="J621" s="65" t="s">
        <v>13</v>
      </c>
      <c r="K621" s="67"/>
      <c r="L621" s="55"/>
    </row>
    <row r="622" spans="1:12" ht="12.75" customHeight="1" thickBot="1" x14ac:dyDescent="0.25">
      <c r="A622" s="60">
        <f t="shared" ref="A622:C623" si="292">G622+D622</f>
        <v>3368</v>
      </c>
      <c r="B622" s="60">
        <f t="shared" si="292"/>
        <v>3368</v>
      </c>
      <c r="C622" s="60">
        <f t="shared" si="292"/>
        <v>0</v>
      </c>
      <c r="D622" s="60">
        <f>F622+E622</f>
        <v>14</v>
      </c>
      <c r="E622" s="60">
        <v>14</v>
      </c>
      <c r="F622" s="60">
        <v>0</v>
      </c>
      <c r="G622" s="60">
        <f>I622+H622</f>
        <v>3354</v>
      </c>
      <c r="H622" s="60">
        <v>3354</v>
      </c>
      <c r="I622" s="60">
        <v>0</v>
      </c>
      <c r="J622" s="65" t="s">
        <v>221</v>
      </c>
      <c r="K622" s="66"/>
      <c r="L622" s="55"/>
    </row>
    <row r="623" spans="1:12" ht="12.75" customHeight="1" thickBot="1" x14ac:dyDescent="0.25">
      <c r="A623" s="60">
        <f t="shared" si="292"/>
        <v>0</v>
      </c>
      <c r="B623" s="60">
        <f t="shared" si="292"/>
        <v>0</v>
      </c>
      <c r="C623" s="60">
        <f t="shared" si="292"/>
        <v>0</v>
      </c>
      <c r="D623" s="60">
        <f>F623+E623</f>
        <v>0</v>
      </c>
      <c r="E623" s="60">
        <v>0</v>
      </c>
      <c r="F623" s="60">
        <v>0</v>
      </c>
      <c r="G623" s="60">
        <f>I623+H623</f>
        <v>0</v>
      </c>
      <c r="H623" s="60">
        <v>0</v>
      </c>
      <c r="I623" s="60">
        <v>0</v>
      </c>
      <c r="J623" s="65" t="s">
        <v>222</v>
      </c>
      <c r="K623" s="66" t="s">
        <v>469</v>
      </c>
      <c r="L623" s="55"/>
    </row>
    <row r="624" spans="1:12" ht="12.75" customHeight="1" thickBot="1" x14ac:dyDescent="0.25">
      <c r="A624" s="60">
        <f>A622+A623</f>
        <v>3368</v>
      </c>
      <c r="B624" s="60">
        <f t="shared" ref="B624:I624" si="293">B622+B623</f>
        <v>3368</v>
      </c>
      <c r="C624" s="60">
        <f t="shared" si="293"/>
        <v>0</v>
      </c>
      <c r="D624" s="60">
        <f t="shared" si="293"/>
        <v>14</v>
      </c>
      <c r="E624" s="60">
        <f t="shared" si="293"/>
        <v>14</v>
      </c>
      <c r="F624" s="60">
        <f t="shared" si="293"/>
        <v>0</v>
      </c>
      <c r="G624" s="60">
        <f t="shared" si="293"/>
        <v>3354</v>
      </c>
      <c r="H624" s="60">
        <f t="shared" si="293"/>
        <v>3354</v>
      </c>
      <c r="I624" s="60">
        <f t="shared" si="293"/>
        <v>0</v>
      </c>
      <c r="J624" s="65" t="s">
        <v>13</v>
      </c>
      <c r="K624" s="67"/>
      <c r="L624" s="55"/>
    </row>
    <row r="625" spans="1:12" ht="12.75" customHeight="1" thickBot="1" x14ac:dyDescent="0.25">
      <c r="A625" s="60">
        <f t="shared" ref="A625:H627" si="294">A553+A556+A559+A562+A565+A568+A571+A574+A577+A580+A583+A586+A589+A592+A595+A598+A601+A604+A607+A610+A613+A616+A619+A622</f>
        <v>30561</v>
      </c>
      <c r="B625" s="60">
        <f t="shared" si="294"/>
        <v>21314</v>
      </c>
      <c r="C625" s="60">
        <f t="shared" si="294"/>
        <v>9247</v>
      </c>
      <c r="D625" s="60">
        <f t="shared" si="294"/>
        <v>318</v>
      </c>
      <c r="E625" s="60">
        <f t="shared" si="294"/>
        <v>212</v>
      </c>
      <c r="F625" s="60">
        <f t="shared" si="294"/>
        <v>106</v>
      </c>
      <c r="G625" s="60">
        <f t="shared" si="294"/>
        <v>30243</v>
      </c>
      <c r="H625" s="60">
        <f t="shared" si="294"/>
        <v>21102</v>
      </c>
      <c r="I625" s="60">
        <f>I553+I556+I559+I562+I565+I568+I571+I574+I577+I580+I583+I586+I589+I592+I595+I598+I601+I604+I607+I610+I613+I616+I619+I622</f>
        <v>9141</v>
      </c>
      <c r="J625" s="65" t="s">
        <v>224</v>
      </c>
      <c r="K625" s="57"/>
      <c r="L625" s="55"/>
    </row>
    <row r="626" spans="1:12" ht="12.75" customHeight="1" thickBot="1" x14ac:dyDescent="0.25">
      <c r="A626" s="60">
        <f t="shared" si="294"/>
        <v>1659</v>
      </c>
      <c r="B626" s="60">
        <f t="shared" si="294"/>
        <v>1593</v>
      </c>
      <c r="C626" s="60">
        <f t="shared" si="294"/>
        <v>66</v>
      </c>
      <c r="D626" s="60">
        <f t="shared" si="294"/>
        <v>0</v>
      </c>
      <c r="E626" s="60">
        <f t="shared" si="294"/>
        <v>0</v>
      </c>
      <c r="F626" s="60">
        <f t="shared" si="294"/>
        <v>0</v>
      </c>
      <c r="G626" s="60">
        <f t="shared" si="294"/>
        <v>1659</v>
      </c>
      <c r="H626" s="60">
        <f t="shared" si="294"/>
        <v>1593</v>
      </c>
      <c r="I626" s="60">
        <f>I554+I557+I560+I563+I566+I569+I572+I575+I578+I581+I584+I587+I590+I593+I596+I599+I602+I605+I608+I611+I614+I617+I620+I623</f>
        <v>66</v>
      </c>
      <c r="J626" s="65" t="s">
        <v>225</v>
      </c>
      <c r="K626" s="68" t="s">
        <v>211</v>
      </c>
      <c r="L626" s="55"/>
    </row>
    <row r="627" spans="1:12" ht="12.75" customHeight="1" thickBot="1" x14ac:dyDescent="0.25">
      <c r="A627" s="60">
        <f t="shared" si="294"/>
        <v>32220</v>
      </c>
      <c r="B627" s="60">
        <f t="shared" si="294"/>
        <v>22907</v>
      </c>
      <c r="C627" s="60">
        <f t="shared" si="294"/>
        <v>9313</v>
      </c>
      <c r="D627" s="60">
        <f t="shared" si="294"/>
        <v>318</v>
      </c>
      <c r="E627" s="60">
        <f t="shared" si="294"/>
        <v>212</v>
      </c>
      <c r="F627" s="60">
        <f t="shared" si="294"/>
        <v>106</v>
      </c>
      <c r="G627" s="60">
        <f t="shared" si="294"/>
        <v>31902</v>
      </c>
      <c r="H627" s="60">
        <f t="shared" si="294"/>
        <v>22695</v>
      </c>
      <c r="I627" s="60">
        <f>I555+I558+I561+I564+I567+I570+I573+I576+I579+I582+I585+I588+I591+I594+I597+I600+I603+I606+I609+I612+I615+I618+I621+I624</f>
        <v>9207</v>
      </c>
      <c r="J627" s="65" t="s">
        <v>13</v>
      </c>
      <c r="K627" s="59"/>
      <c r="L627" s="55"/>
    </row>
    <row r="628" spans="1:12" ht="12.75" customHeight="1" x14ac:dyDescent="0.2">
      <c r="A628" s="177" t="s">
        <v>560</v>
      </c>
      <c r="B628" s="177"/>
      <c r="C628" s="177"/>
      <c r="D628" s="177"/>
      <c r="E628" s="177"/>
      <c r="F628" s="177"/>
      <c r="G628" s="177"/>
      <c r="H628" s="177"/>
      <c r="I628" s="177"/>
      <c r="J628" s="177"/>
      <c r="K628" s="177"/>
      <c r="L628" s="55"/>
    </row>
    <row r="629" spans="1:12" ht="12.75" customHeight="1" thickBot="1" x14ac:dyDescent="0.25">
      <c r="A629" s="178" t="s">
        <v>561</v>
      </c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55"/>
    </row>
    <row r="630" spans="1:12" ht="12.75" customHeight="1" thickBot="1" x14ac:dyDescent="0.25">
      <c r="A630" s="179" t="s">
        <v>5</v>
      </c>
      <c r="B630" s="179"/>
      <c r="C630" s="179"/>
      <c r="D630" s="179" t="s">
        <v>162</v>
      </c>
      <c r="E630" s="179"/>
      <c r="F630" s="179"/>
      <c r="G630" s="179" t="s">
        <v>163</v>
      </c>
      <c r="H630" s="179"/>
      <c r="I630" s="179"/>
      <c r="J630" s="179" t="s">
        <v>72</v>
      </c>
      <c r="K630" s="179"/>
      <c r="L630" s="55"/>
    </row>
    <row r="631" spans="1:12" ht="12.75" customHeight="1" thickBot="1" x14ac:dyDescent="0.25">
      <c r="A631" s="58" t="s">
        <v>216</v>
      </c>
      <c r="B631" s="58" t="s">
        <v>11</v>
      </c>
      <c r="C631" s="58" t="s">
        <v>10</v>
      </c>
      <c r="D631" s="58" t="s">
        <v>216</v>
      </c>
      <c r="E631" s="58" t="s">
        <v>11</v>
      </c>
      <c r="F631" s="58" t="s">
        <v>10</v>
      </c>
      <c r="G631" s="58" t="s">
        <v>216</v>
      </c>
      <c r="H631" s="58" t="s">
        <v>11</v>
      </c>
      <c r="I631" s="58" t="s">
        <v>10</v>
      </c>
      <c r="J631" s="180" t="s">
        <v>83</v>
      </c>
      <c r="K631" s="180"/>
      <c r="L631" s="55"/>
    </row>
    <row r="632" spans="1:12" ht="12.75" customHeight="1" thickBot="1" x14ac:dyDescent="0.25">
      <c r="A632" s="60">
        <f>SUM(B632:C632)</f>
        <v>3259</v>
      </c>
      <c r="B632" s="60">
        <f>H632+E632</f>
        <v>0</v>
      </c>
      <c r="C632" s="60">
        <f>I632+F632</f>
        <v>3259</v>
      </c>
      <c r="D632" s="60">
        <f>SUM(E632:F632)</f>
        <v>0</v>
      </c>
      <c r="E632" s="60">
        <v>0</v>
      </c>
      <c r="F632" s="60">
        <v>0</v>
      </c>
      <c r="G632" s="60">
        <f>SUM(H632:I632)</f>
        <v>3259</v>
      </c>
      <c r="H632" s="60">
        <v>0</v>
      </c>
      <c r="I632" s="60">
        <v>3259</v>
      </c>
      <c r="J632" s="65" t="s">
        <v>221</v>
      </c>
      <c r="K632" s="66"/>
      <c r="L632" s="55"/>
    </row>
    <row r="633" spans="1:12" ht="12.75" customHeight="1" thickBot="1" x14ac:dyDescent="0.25">
      <c r="A633" s="60">
        <f t="shared" ref="A633:A678" si="295">SUM(B633:C633)</f>
        <v>0</v>
      </c>
      <c r="B633" s="60">
        <f t="shared" ref="B633:C678" si="296">H633+E633</f>
        <v>0</v>
      </c>
      <c r="C633" s="60">
        <f t="shared" si="296"/>
        <v>0</v>
      </c>
      <c r="D633" s="60">
        <f t="shared" ref="D633:D678" si="297">SUM(E633:F633)</f>
        <v>0</v>
      </c>
      <c r="E633" s="60">
        <v>0</v>
      </c>
      <c r="F633" s="60">
        <v>0</v>
      </c>
      <c r="G633" s="60">
        <f t="shared" ref="G633:G678" si="298">SUM(H633:I633)</f>
        <v>0</v>
      </c>
      <c r="H633" s="60">
        <v>0</v>
      </c>
      <c r="I633" s="60">
        <v>0</v>
      </c>
      <c r="J633" s="65" t="s">
        <v>222</v>
      </c>
      <c r="K633" s="66" t="s">
        <v>261</v>
      </c>
      <c r="L633" s="55"/>
    </row>
    <row r="634" spans="1:12" ht="12.75" customHeight="1" thickBot="1" x14ac:dyDescent="0.25">
      <c r="A634" s="60">
        <f t="shared" ref="A634:H634" si="299">SUM(A632:A633)</f>
        <v>3259</v>
      </c>
      <c r="B634" s="60">
        <f t="shared" si="299"/>
        <v>0</v>
      </c>
      <c r="C634" s="60">
        <f t="shared" si="299"/>
        <v>3259</v>
      </c>
      <c r="D634" s="60">
        <f t="shared" si="299"/>
        <v>0</v>
      </c>
      <c r="E634" s="60">
        <f t="shared" si="299"/>
        <v>0</v>
      </c>
      <c r="F634" s="60">
        <f t="shared" si="299"/>
        <v>0</v>
      </c>
      <c r="G634" s="60">
        <f t="shared" si="299"/>
        <v>3259</v>
      </c>
      <c r="H634" s="60">
        <f t="shared" si="299"/>
        <v>0</v>
      </c>
      <c r="I634" s="60">
        <f>SUM(I632:I633)</f>
        <v>3259</v>
      </c>
      <c r="J634" s="65" t="s">
        <v>13</v>
      </c>
      <c r="K634" s="67"/>
      <c r="L634" s="55"/>
    </row>
    <row r="635" spans="1:12" ht="12.75" customHeight="1" thickBot="1" x14ac:dyDescent="0.25">
      <c r="A635" s="60">
        <f t="shared" si="295"/>
        <v>2287</v>
      </c>
      <c r="B635" s="60">
        <f t="shared" si="296"/>
        <v>1855</v>
      </c>
      <c r="C635" s="60">
        <f t="shared" si="296"/>
        <v>432</v>
      </c>
      <c r="D635" s="60">
        <f t="shared" si="297"/>
        <v>6</v>
      </c>
      <c r="E635" s="60">
        <v>6</v>
      </c>
      <c r="F635" s="60">
        <v>0</v>
      </c>
      <c r="G635" s="60">
        <f t="shared" si="298"/>
        <v>2281</v>
      </c>
      <c r="H635" s="60">
        <f>1849+180-180</f>
        <v>1849</v>
      </c>
      <c r="I635" s="60">
        <v>432</v>
      </c>
      <c r="J635" s="65" t="s">
        <v>221</v>
      </c>
      <c r="K635" s="66"/>
      <c r="L635" s="55"/>
    </row>
    <row r="636" spans="1:12" ht="12.75" customHeight="1" thickBot="1" x14ac:dyDescent="0.25">
      <c r="A636" s="60">
        <f t="shared" si="295"/>
        <v>0</v>
      </c>
      <c r="B636" s="60">
        <f t="shared" si="296"/>
        <v>0</v>
      </c>
      <c r="C636" s="60">
        <f t="shared" si="296"/>
        <v>0</v>
      </c>
      <c r="D636" s="60">
        <f t="shared" si="297"/>
        <v>0</v>
      </c>
      <c r="E636" s="60">
        <v>0</v>
      </c>
      <c r="F636" s="60">
        <v>0</v>
      </c>
      <c r="G636" s="60">
        <f t="shared" si="298"/>
        <v>0</v>
      </c>
      <c r="H636" s="60">
        <v>0</v>
      </c>
      <c r="I636" s="60">
        <v>0</v>
      </c>
      <c r="J636" s="65" t="s">
        <v>222</v>
      </c>
      <c r="K636" s="66" t="s">
        <v>364</v>
      </c>
      <c r="L636" s="55"/>
    </row>
    <row r="637" spans="1:12" ht="12.75" customHeight="1" thickBot="1" x14ac:dyDescent="0.25">
      <c r="A637" s="60">
        <f t="shared" ref="A637:H637" si="300">SUM(A635:A636)</f>
        <v>2287</v>
      </c>
      <c r="B637" s="60">
        <f t="shared" si="300"/>
        <v>1855</v>
      </c>
      <c r="C637" s="60">
        <f t="shared" si="300"/>
        <v>432</v>
      </c>
      <c r="D637" s="60">
        <f t="shared" si="300"/>
        <v>6</v>
      </c>
      <c r="E637" s="60">
        <f t="shared" si="300"/>
        <v>6</v>
      </c>
      <c r="F637" s="60">
        <f t="shared" si="300"/>
        <v>0</v>
      </c>
      <c r="G637" s="60">
        <f t="shared" si="300"/>
        <v>2281</v>
      </c>
      <c r="H637" s="60">
        <f t="shared" si="300"/>
        <v>1849</v>
      </c>
      <c r="I637" s="60">
        <f>SUM(I635:I636)</f>
        <v>432</v>
      </c>
      <c r="J637" s="65" t="s">
        <v>13</v>
      </c>
      <c r="K637" s="67"/>
      <c r="L637" s="55"/>
    </row>
    <row r="638" spans="1:12" ht="12.75" customHeight="1" thickBot="1" x14ac:dyDescent="0.25">
      <c r="A638" s="60">
        <f t="shared" si="295"/>
        <v>2802</v>
      </c>
      <c r="B638" s="60">
        <f t="shared" si="296"/>
        <v>1619</v>
      </c>
      <c r="C638" s="60">
        <f t="shared" si="296"/>
        <v>1183</v>
      </c>
      <c r="D638" s="60">
        <f t="shared" si="297"/>
        <v>51</v>
      </c>
      <c r="E638" s="60">
        <v>32</v>
      </c>
      <c r="F638" s="60">
        <v>19</v>
      </c>
      <c r="G638" s="60">
        <f t="shared" si="298"/>
        <v>2751</v>
      </c>
      <c r="H638" s="60">
        <v>1587</v>
      </c>
      <c r="I638" s="60">
        <v>1164</v>
      </c>
      <c r="J638" s="65" t="s">
        <v>221</v>
      </c>
      <c r="K638" s="66"/>
      <c r="L638" s="55"/>
    </row>
    <row r="639" spans="1:12" ht="12.75" customHeight="1" thickBot="1" x14ac:dyDescent="0.25">
      <c r="A639" s="60">
        <f t="shared" si="295"/>
        <v>2</v>
      </c>
      <c r="B639" s="60">
        <f t="shared" si="296"/>
        <v>2</v>
      </c>
      <c r="C639" s="60">
        <f t="shared" si="296"/>
        <v>0</v>
      </c>
      <c r="D639" s="60">
        <f t="shared" si="297"/>
        <v>0</v>
      </c>
      <c r="E639" s="60">
        <v>0</v>
      </c>
      <c r="F639" s="60">
        <v>0</v>
      </c>
      <c r="G639" s="60">
        <f t="shared" si="298"/>
        <v>2</v>
      </c>
      <c r="H639" s="60">
        <v>2</v>
      </c>
      <c r="I639" s="60">
        <v>0</v>
      </c>
      <c r="J639" s="65" t="s">
        <v>222</v>
      </c>
      <c r="K639" s="66" t="s">
        <v>359</v>
      </c>
      <c r="L639" s="55"/>
    </row>
    <row r="640" spans="1:12" ht="12.75" customHeight="1" thickBot="1" x14ac:dyDescent="0.25">
      <c r="A640" s="60">
        <f t="shared" ref="A640:H640" si="301">SUM(A638:A639)</f>
        <v>2804</v>
      </c>
      <c r="B640" s="60">
        <f t="shared" si="301"/>
        <v>1621</v>
      </c>
      <c r="C640" s="60">
        <f t="shared" si="301"/>
        <v>1183</v>
      </c>
      <c r="D640" s="60">
        <f t="shared" si="301"/>
        <v>51</v>
      </c>
      <c r="E640" s="60">
        <f t="shared" si="301"/>
        <v>32</v>
      </c>
      <c r="F640" s="60">
        <f t="shared" si="301"/>
        <v>19</v>
      </c>
      <c r="G640" s="60">
        <f t="shared" si="301"/>
        <v>2753</v>
      </c>
      <c r="H640" s="60">
        <f t="shared" si="301"/>
        <v>1589</v>
      </c>
      <c r="I640" s="60">
        <f>SUM(I638:I639)</f>
        <v>1164</v>
      </c>
      <c r="J640" s="65" t="s">
        <v>13</v>
      </c>
      <c r="K640" s="67"/>
      <c r="L640" s="55"/>
    </row>
    <row r="641" spans="1:12" ht="12.75" customHeight="1" thickBot="1" x14ac:dyDescent="0.25">
      <c r="A641" s="60">
        <f t="shared" si="295"/>
        <v>203</v>
      </c>
      <c r="B641" s="60">
        <f t="shared" si="296"/>
        <v>0</v>
      </c>
      <c r="C641" s="60">
        <f t="shared" si="296"/>
        <v>203</v>
      </c>
      <c r="D641" s="60">
        <f t="shared" si="297"/>
        <v>0</v>
      </c>
      <c r="E641" s="60">
        <v>0</v>
      </c>
      <c r="F641" s="60">
        <v>0</v>
      </c>
      <c r="G641" s="60">
        <f t="shared" si="298"/>
        <v>203</v>
      </c>
      <c r="H641" s="60">
        <v>0</v>
      </c>
      <c r="I641" s="60">
        <v>203</v>
      </c>
      <c r="J641" s="65" t="s">
        <v>221</v>
      </c>
      <c r="K641" s="66"/>
      <c r="L641" s="55"/>
    </row>
    <row r="642" spans="1:12" ht="12.75" customHeight="1" thickBot="1" x14ac:dyDescent="0.25">
      <c r="A642" s="60">
        <f t="shared" si="295"/>
        <v>0</v>
      </c>
      <c r="B642" s="60">
        <f t="shared" si="296"/>
        <v>0</v>
      </c>
      <c r="C642" s="60">
        <f t="shared" si="296"/>
        <v>0</v>
      </c>
      <c r="D642" s="60">
        <f t="shared" si="297"/>
        <v>0</v>
      </c>
      <c r="E642" s="60">
        <v>0</v>
      </c>
      <c r="F642" s="60">
        <v>0</v>
      </c>
      <c r="G642" s="60">
        <f t="shared" si="298"/>
        <v>0</v>
      </c>
      <c r="H642" s="60">
        <v>0</v>
      </c>
      <c r="I642" s="60">
        <v>0</v>
      </c>
      <c r="J642" s="65" t="s">
        <v>222</v>
      </c>
      <c r="K642" s="66" t="s">
        <v>470</v>
      </c>
      <c r="L642" s="55"/>
    </row>
    <row r="643" spans="1:12" ht="12.75" customHeight="1" thickBot="1" x14ac:dyDescent="0.25">
      <c r="A643" s="60">
        <f t="shared" ref="A643:H643" si="302">SUM(A641:A642)</f>
        <v>203</v>
      </c>
      <c r="B643" s="60">
        <f t="shared" si="302"/>
        <v>0</v>
      </c>
      <c r="C643" s="60">
        <f t="shared" si="302"/>
        <v>203</v>
      </c>
      <c r="D643" s="60">
        <f t="shared" si="302"/>
        <v>0</v>
      </c>
      <c r="E643" s="60">
        <f t="shared" si="302"/>
        <v>0</v>
      </c>
      <c r="F643" s="60">
        <f t="shared" si="302"/>
        <v>0</v>
      </c>
      <c r="G643" s="60">
        <f t="shared" si="302"/>
        <v>203</v>
      </c>
      <c r="H643" s="60">
        <f t="shared" si="302"/>
        <v>0</v>
      </c>
      <c r="I643" s="60">
        <f>SUM(I641:I642)</f>
        <v>203</v>
      </c>
      <c r="J643" s="65" t="s">
        <v>13</v>
      </c>
      <c r="K643" s="67"/>
      <c r="L643" s="55"/>
    </row>
    <row r="644" spans="1:12" ht="12.75" customHeight="1" thickBot="1" x14ac:dyDescent="0.25">
      <c r="A644" s="60">
        <f t="shared" si="295"/>
        <v>1220</v>
      </c>
      <c r="B644" s="60">
        <f t="shared" si="296"/>
        <v>615</v>
      </c>
      <c r="C644" s="60">
        <f t="shared" si="296"/>
        <v>605</v>
      </c>
      <c r="D644" s="60">
        <f t="shared" si="297"/>
        <v>32</v>
      </c>
      <c r="E644" s="60">
        <v>16</v>
      </c>
      <c r="F644" s="60">
        <v>16</v>
      </c>
      <c r="G644" s="60">
        <f t="shared" si="298"/>
        <v>1188</v>
      </c>
      <c r="H644" s="60">
        <v>599</v>
      </c>
      <c r="I644" s="60">
        <v>589</v>
      </c>
      <c r="J644" s="65" t="s">
        <v>221</v>
      </c>
      <c r="K644" s="66"/>
      <c r="L644" s="55"/>
    </row>
    <row r="645" spans="1:12" ht="12.75" customHeight="1" thickBot="1" x14ac:dyDescent="0.25">
      <c r="A645" s="60">
        <f t="shared" si="295"/>
        <v>0</v>
      </c>
      <c r="B645" s="60">
        <f t="shared" si="296"/>
        <v>0</v>
      </c>
      <c r="C645" s="60">
        <f t="shared" si="296"/>
        <v>0</v>
      </c>
      <c r="D645" s="60">
        <f t="shared" si="297"/>
        <v>0</v>
      </c>
      <c r="E645" s="60">
        <v>0</v>
      </c>
      <c r="F645" s="60">
        <v>0</v>
      </c>
      <c r="G645" s="60">
        <f t="shared" si="298"/>
        <v>0</v>
      </c>
      <c r="H645" s="60">
        <v>0</v>
      </c>
      <c r="I645" s="60">
        <v>0</v>
      </c>
      <c r="J645" s="65" t="s">
        <v>222</v>
      </c>
      <c r="K645" s="66" t="s">
        <v>471</v>
      </c>
      <c r="L645" s="55"/>
    </row>
    <row r="646" spans="1:12" ht="12.75" customHeight="1" thickBot="1" x14ac:dyDescent="0.25">
      <c r="A646" s="60">
        <f t="shared" ref="A646:H646" si="303">SUM(A644:A645)</f>
        <v>1220</v>
      </c>
      <c r="B646" s="60">
        <f t="shared" si="303"/>
        <v>615</v>
      </c>
      <c r="C646" s="60">
        <f t="shared" si="303"/>
        <v>605</v>
      </c>
      <c r="D646" s="60">
        <f t="shared" si="303"/>
        <v>32</v>
      </c>
      <c r="E646" s="60">
        <f t="shared" si="303"/>
        <v>16</v>
      </c>
      <c r="F646" s="60">
        <f t="shared" si="303"/>
        <v>16</v>
      </c>
      <c r="G646" s="60">
        <f t="shared" si="303"/>
        <v>1188</v>
      </c>
      <c r="H646" s="60">
        <f t="shared" si="303"/>
        <v>599</v>
      </c>
      <c r="I646" s="60">
        <f>SUM(I644:I645)</f>
        <v>589</v>
      </c>
      <c r="J646" s="65" t="s">
        <v>13</v>
      </c>
      <c r="K646" s="67"/>
      <c r="L646" s="55"/>
    </row>
    <row r="647" spans="1:12" ht="12.75" customHeight="1" thickBot="1" x14ac:dyDescent="0.25">
      <c r="A647" s="60">
        <f t="shared" si="295"/>
        <v>773</v>
      </c>
      <c r="B647" s="60">
        <f t="shared" si="296"/>
        <v>431</v>
      </c>
      <c r="C647" s="60">
        <f t="shared" si="296"/>
        <v>342</v>
      </c>
      <c r="D647" s="60">
        <f t="shared" si="297"/>
        <v>19</v>
      </c>
      <c r="E647" s="60">
        <v>7</v>
      </c>
      <c r="F647" s="60">
        <v>12</v>
      </c>
      <c r="G647" s="60">
        <f t="shared" si="298"/>
        <v>754</v>
      </c>
      <c r="H647" s="60">
        <v>424</v>
      </c>
      <c r="I647" s="60">
        <v>330</v>
      </c>
      <c r="J647" s="65" t="s">
        <v>221</v>
      </c>
      <c r="K647" s="66"/>
      <c r="L647" s="55"/>
    </row>
    <row r="648" spans="1:12" ht="12.75" customHeight="1" thickBot="1" x14ac:dyDescent="0.25">
      <c r="A648" s="60">
        <f t="shared" si="295"/>
        <v>0</v>
      </c>
      <c r="B648" s="60">
        <f t="shared" si="296"/>
        <v>0</v>
      </c>
      <c r="C648" s="60">
        <f t="shared" si="296"/>
        <v>0</v>
      </c>
      <c r="D648" s="60">
        <f t="shared" si="297"/>
        <v>0</v>
      </c>
      <c r="E648" s="60">
        <v>0</v>
      </c>
      <c r="F648" s="60">
        <v>0</v>
      </c>
      <c r="G648" s="60">
        <f t="shared" si="298"/>
        <v>0</v>
      </c>
      <c r="H648" s="60">
        <v>0</v>
      </c>
      <c r="I648" s="60">
        <v>0</v>
      </c>
      <c r="J648" s="65" t="s">
        <v>222</v>
      </c>
      <c r="K648" s="66" t="s">
        <v>455</v>
      </c>
      <c r="L648" s="55"/>
    </row>
    <row r="649" spans="1:12" ht="12.75" customHeight="1" thickBot="1" x14ac:dyDescent="0.25">
      <c r="A649" s="60">
        <f t="shared" ref="A649:H649" si="304">SUM(A647:A648)</f>
        <v>773</v>
      </c>
      <c r="B649" s="60">
        <f t="shared" si="304"/>
        <v>431</v>
      </c>
      <c r="C649" s="60">
        <f t="shared" si="304"/>
        <v>342</v>
      </c>
      <c r="D649" s="60">
        <f t="shared" si="304"/>
        <v>19</v>
      </c>
      <c r="E649" s="60">
        <f t="shared" si="304"/>
        <v>7</v>
      </c>
      <c r="F649" s="60">
        <f t="shared" si="304"/>
        <v>12</v>
      </c>
      <c r="G649" s="60">
        <f t="shared" si="304"/>
        <v>754</v>
      </c>
      <c r="H649" s="60">
        <f t="shared" si="304"/>
        <v>424</v>
      </c>
      <c r="I649" s="60">
        <f>SUM(I647:I648)</f>
        <v>330</v>
      </c>
      <c r="J649" s="65" t="s">
        <v>13</v>
      </c>
      <c r="K649" s="67"/>
      <c r="L649" s="55"/>
    </row>
    <row r="650" spans="1:12" ht="12.75" customHeight="1" thickBot="1" x14ac:dyDescent="0.25">
      <c r="A650" s="60">
        <f t="shared" si="295"/>
        <v>4027</v>
      </c>
      <c r="B650" s="60">
        <f t="shared" si="296"/>
        <v>2226</v>
      </c>
      <c r="C650" s="60">
        <f t="shared" si="296"/>
        <v>1801</v>
      </c>
      <c r="D650" s="60">
        <f t="shared" si="297"/>
        <v>49</v>
      </c>
      <c r="E650" s="60">
        <v>31</v>
      </c>
      <c r="F650" s="60">
        <v>18</v>
      </c>
      <c r="G650" s="60">
        <f t="shared" si="298"/>
        <v>3978</v>
      </c>
      <c r="H650" s="53">
        <f>2182+199-186</f>
        <v>2195</v>
      </c>
      <c r="I650" s="60">
        <v>1783</v>
      </c>
      <c r="J650" s="65" t="s">
        <v>221</v>
      </c>
      <c r="K650" s="66"/>
      <c r="L650" s="55"/>
    </row>
    <row r="651" spans="1:12" ht="12.75" customHeight="1" thickBot="1" x14ac:dyDescent="0.25">
      <c r="A651" s="60">
        <f t="shared" si="295"/>
        <v>1050</v>
      </c>
      <c r="B651" s="60">
        <f t="shared" si="296"/>
        <v>1050</v>
      </c>
      <c r="C651" s="60">
        <f t="shared" si="296"/>
        <v>0</v>
      </c>
      <c r="D651" s="60">
        <f t="shared" si="297"/>
        <v>0</v>
      </c>
      <c r="E651" s="60">
        <v>0</v>
      </c>
      <c r="F651" s="60">
        <v>0</v>
      </c>
      <c r="G651" s="60">
        <f t="shared" si="298"/>
        <v>1050</v>
      </c>
      <c r="H651" s="53">
        <v>1050</v>
      </c>
      <c r="I651" s="60">
        <v>0</v>
      </c>
      <c r="J651" s="65" t="s">
        <v>222</v>
      </c>
      <c r="K651" s="66" t="s">
        <v>363</v>
      </c>
      <c r="L651" s="55"/>
    </row>
    <row r="652" spans="1:12" ht="12.75" customHeight="1" thickBot="1" x14ac:dyDescent="0.25">
      <c r="A652" s="60">
        <f t="shared" ref="A652:H652" si="305">SUM(A650:A651)</f>
        <v>5077</v>
      </c>
      <c r="B652" s="60">
        <f t="shared" si="305"/>
        <v>3276</v>
      </c>
      <c r="C652" s="60">
        <f t="shared" si="305"/>
        <v>1801</v>
      </c>
      <c r="D652" s="60">
        <f t="shared" si="305"/>
        <v>49</v>
      </c>
      <c r="E652" s="60">
        <f t="shared" si="305"/>
        <v>31</v>
      </c>
      <c r="F652" s="60">
        <f t="shared" si="305"/>
        <v>18</v>
      </c>
      <c r="G652" s="60">
        <f t="shared" si="305"/>
        <v>5028</v>
      </c>
      <c r="H652" s="60">
        <f t="shared" si="305"/>
        <v>3245</v>
      </c>
      <c r="I652" s="60">
        <f>SUM(I650:I651)</f>
        <v>1783</v>
      </c>
      <c r="J652" s="65" t="s">
        <v>13</v>
      </c>
      <c r="K652" s="67"/>
      <c r="L652" s="55"/>
    </row>
    <row r="653" spans="1:12" ht="12.75" customHeight="1" thickBot="1" x14ac:dyDescent="0.25">
      <c r="A653" s="60">
        <f t="shared" si="295"/>
        <v>98</v>
      </c>
      <c r="B653" s="60">
        <f t="shared" si="296"/>
        <v>0</v>
      </c>
      <c r="C653" s="60">
        <f t="shared" si="296"/>
        <v>98</v>
      </c>
      <c r="D653" s="60">
        <f t="shared" si="297"/>
        <v>0</v>
      </c>
      <c r="E653" s="60">
        <v>0</v>
      </c>
      <c r="F653" s="60">
        <v>0</v>
      </c>
      <c r="G653" s="60">
        <f t="shared" si="298"/>
        <v>98</v>
      </c>
      <c r="H653" s="53">
        <v>0</v>
      </c>
      <c r="I653" s="60">
        <v>98</v>
      </c>
      <c r="J653" s="65" t="s">
        <v>221</v>
      </c>
      <c r="K653" s="66"/>
      <c r="L653" s="55"/>
    </row>
    <row r="654" spans="1:12" ht="12.75" customHeight="1" thickBot="1" x14ac:dyDescent="0.25">
      <c r="A654" s="60">
        <f t="shared" si="295"/>
        <v>0</v>
      </c>
      <c r="B654" s="60">
        <f t="shared" si="296"/>
        <v>0</v>
      </c>
      <c r="C654" s="60">
        <f t="shared" si="296"/>
        <v>0</v>
      </c>
      <c r="D654" s="60">
        <f t="shared" si="297"/>
        <v>0</v>
      </c>
      <c r="E654" s="60">
        <v>0</v>
      </c>
      <c r="F654" s="60">
        <v>0</v>
      </c>
      <c r="G654" s="60">
        <f t="shared" si="298"/>
        <v>0</v>
      </c>
      <c r="H654" s="53">
        <v>0</v>
      </c>
      <c r="I654" s="60">
        <v>0</v>
      </c>
      <c r="J654" s="65" t="s">
        <v>222</v>
      </c>
      <c r="K654" s="66" t="s">
        <v>337</v>
      </c>
      <c r="L654" s="55"/>
    </row>
    <row r="655" spans="1:12" ht="12.75" customHeight="1" thickBot="1" x14ac:dyDescent="0.25">
      <c r="A655" s="60">
        <f t="shared" ref="A655:H655" si="306">SUM(A653:A654)</f>
        <v>98</v>
      </c>
      <c r="B655" s="60">
        <f t="shared" si="306"/>
        <v>0</v>
      </c>
      <c r="C655" s="60">
        <f t="shared" si="306"/>
        <v>98</v>
      </c>
      <c r="D655" s="60">
        <f t="shared" si="306"/>
        <v>0</v>
      </c>
      <c r="E655" s="60">
        <f t="shared" si="306"/>
        <v>0</v>
      </c>
      <c r="F655" s="60">
        <f t="shared" si="306"/>
        <v>0</v>
      </c>
      <c r="G655" s="60">
        <f t="shared" si="306"/>
        <v>98</v>
      </c>
      <c r="H655" s="60">
        <f t="shared" si="306"/>
        <v>0</v>
      </c>
      <c r="I655" s="60">
        <f>SUM(I653:I654)</f>
        <v>98</v>
      </c>
      <c r="J655" s="65" t="s">
        <v>13</v>
      </c>
      <c r="K655" s="67"/>
      <c r="L655" s="55"/>
    </row>
    <row r="656" spans="1:12" ht="12.75" customHeight="1" thickBot="1" x14ac:dyDescent="0.25">
      <c r="A656" s="60">
        <f t="shared" si="295"/>
        <v>70</v>
      </c>
      <c r="B656" s="60">
        <f t="shared" si="296"/>
        <v>0</v>
      </c>
      <c r="C656" s="60">
        <f t="shared" si="296"/>
        <v>70</v>
      </c>
      <c r="D656" s="60">
        <f t="shared" si="297"/>
        <v>1</v>
      </c>
      <c r="E656" s="60">
        <v>0</v>
      </c>
      <c r="F656" s="60">
        <v>1</v>
      </c>
      <c r="G656" s="60">
        <f t="shared" si="298"/>
        <v>69</v>
      </c>
      <c r="H656" s="53">
        <v>0</v>
      </c>
      <c r="I656" s="60">
        <v>69</v>
      </c>
      <c r="J656" s="65" t="s">
        <v>221</v>
      </c>
      <c r="K656" s="66"/>
      <c r="L656" s="55"/>
    </row>
    <row r="657" spans="1:12" ht="12.75" customHeight="1" thickBot="1" x14ac:dyDescent="0.25">
      <c r="A657" s="60">
        <f t="shared" si="295"/>
        <v>0</v>
      </c>
      <c r="B657" s="60">
        <f t="shared" si="296"/>
        <v>0</v>
      </c>
      <c r="C657" s="60">
        <f t="shared" si="296"/>
        <v>0</v>
      </c>
      <c r="D657" s="60">
        <f t="shared" si="297"/>
        <v>0</v>
      </c>
      <c r="E657" s="60">
        <v>0</v>
      </c>
      <c r="F657" s="60">
        <v>0</v>
      </c>
      <c r="G657" s="60">
        <f t="shared" si="298"/>
        <v>0</v>
      </c>
      <c r="H657" s="53">
        <v>0</v>
      </c>
      <c r="I657" s="60">
        <v>0</v>
      </c>
      <c r="J657" s="65" t="s">
        <v>222</v>
      </c>
      <c r="K657" s="66" t="s">
        <v>377</v>
      </c>
      <c r="L657" s="55"/>
    </row>
    <row r="658" spans="1:12" ht="12.75" customHeight="1" thickBot="1" x14ac:dyDescent="0.25">
      <c r="A658" s="60">
        <f t="shared" ref="A658:H658" si="307">SUM(A656:A657)</f>
        <v>70</v>
      </c>
      <c r="B658" s="60">
        <f t="shared" si="307"/>
        <v>0</v>
      </c>
      <c r="C658" s="60">
        <f t="shared" si="307"/>
        <v>70</v>
      </c>
      <c r="D658" s="60">
        <f t="shared" si="307"/>
        <v>1</v>
      </c>
      <c r="E658" s="60">
        <f t="shared" si="307"/>
        <v>0</v>
      </c>
      <c r="F658" s="60">
        <f t="shared" si="307"/>
        <v>1</v>
      </c>
      <c r="G658" s="60">
        <f t="shared" si="307"/>
        <v>69</v>
      </c>
      <c r="H658" s="60">
        <f t="shared" si="307"/>
        <v>0</v>
      </c>
      <c r="I658" s="60">
        <f>SUM(I656:I657)</f>
        <v>69</v>
      </c>
      <c r="J658" s="65" t="s">
        <v>13</v>
      </c>
      <c r="K658" s="67"/>
      <c r="L658" s="55"/>
    </row>
    <row r="659" spans="1:12" ht="12.75" customHeight="1" thickBot="1" x14ac:dyDescent="0.25">
      <c r="A659" s="60">
        <f t="shared" si="295"/>
        <v>2729</v>
      </c>
      <c r="B659" s="60">
        <f t="shared" si="296"/>
        <v>2729</v>
      </c>
      <c r="C659" s="60">
        <f t="shared" si="296"/>
        <v>0</v>
      </c>
      <c r="D659" s="60">
        <f t="shared" si="297"/>
        <v>0</v>
      </c>
      <c r="E659" s="60">
        <v>0</v>
      </c>
      <c r="F659" s="60">
        <v>0</v>
      </c>
      <c r="G659" s="60">
        <f t="shared" si="298"/>
        <v>2729</v>
      </c>
      <c r="H659" s="53">
        <v>2729</v>
      </c>
      <c r="I659" s="60">
        <v>0</v>
      </c>
      <c r="J659" s="65" t="s">
        <v>221</v>
      </c>
      <c r="K659" s="66"/>
      <c r="L659" s="55"/>
    </row>
    <row r="660" spans="1:12" ht="12.75" customHeight="1" thickBot="1" x14ac:dyDescent="0.25">
      <c r="A660" s="60">
        <f t="shared" si="295"/>
        <v>1723</v>
      </c>
      <c r="B660" s="60">
        <f t="shared" si="296"/>
        <v>1723</v>
      </c>
      <c r="C660" s="60">
        <f t="shared" si="296"/>
        <v>0</v>
      </c>
      <c r="D660" s="60">
        <f t="shared" si="297"/>
        <v>0</v>
      </c>
      <c r="E660" s="60">
        <v>0</v>
      </c>
      <c r="F660" s="60">
        <v>0</v>
      </c>
      <c r="G660" s="60">
        <f t="shared" si="298"/>
        <v>1723</v>
      </c>
      <c r="H660" s="53">
        <v>1723</v>
      </c>
      <c r="I660" s="60">
        <v>0</v>
      </c>
      <c r="J660" s="65" t="s">
        <v>222</v>
      </c>
      <c r="K660" s="66" t="s">
        <v>472</v>
      </c>
      <c r="L660" s="55"/>
    </row>
    <row r="661" spans="1:12" ht="12.75" customHeight="1" thickBot="1" x14ac:dyDescent="0.25">
      <c r="A661" s="60">
        <f t="shared" ref="A661:H661" si="308">SUM(A659:A660)</f>
        <v>4452</v>
      </c>
      <c r="B661" s="60">
        <f t="shared" si="308"/>
        <v>4452</v>
      </c>
      <c r="C661" s="60">
        <f t="shared" si="308"/>
        <v>0</v>
      </c>
      <c r="D661" s="60">
        <f t="shared" si="308"/>
        <v>0</v>
      </c>
      <c r="E661" s="60">
        <f t="shared" si="308"/>
        <v>0</v>
      </c>
      <c r="F661" s="60">
        <f t="shared" si="308"/>
        <v>0</v>
      </c>
      <c r="G661" s="60">
        <f t="shared" si="308"/>
        <v>4452</v>
      </c>
      <c r="H661" s="60">
        <f t="shared" si="308"/>
        <v>4452</v>
      </c>
      <c r="I661" s="60">
        <f>SUM(I659:I660)</f>
        <v>0</v>
      </c>
      <c r="J661" s="65" t="s">
        <v>13</v>
      </c>
      <c r="K661" s="67"/>
      <c r="L661" s="55"/>
    </row>
    <row r="662" spans="1:12" ht="12.75" customHeight="1" thickBot="1" x14ac:dyDescent="0.25">
      <c r="A662" s="60">
        <f t="shared" si="295"/>
        <v>2365</v>
      </c>
      <c r="B662" s="60">
        <f t="shared" si="296"/>
        <v>2365</v>
      </c>
      <c r="C662" s="60">
        <f t="shared" si="296"/>
        <v>0</v>
      </c>
      <c r="D662" s="60">
        <f t="shared" si="297"/>
        <v>1</v>
      </c>
      <c r="E662" s="60">
        <v>1</v>
      </c>
      <c r="F662" s="60">
        <v>0</v>
      </c>
      <c r="G662" s="60">
        <f t="shared" si="298"/>
        <v>2364</v>
      </c>
      <c r="H662" s="60">
        <v>2364</v>
      </c>
      <c r="I662" s="60">
        <v>0</v>
      </c>
      <c r="J662" s="65" t="s">
        <v>221</v>
      </c>
      <c r="K662" s="66"/>
      <c r="L662" s="55"/>
    </row>
    <row r="663" spans="1:12" ht="12.75" customHeight="1" thickBot="1" x14ac:dyDescent="0.25">
      <c r="A663" s="60">
        <f t="shared" si="295"/>
        <v>173</v>
      </c>
      <c r="B663" s="60">
        <f t="shared" si="296"/>
        <v>173</v>
      </c>
      <c r="C663" s="60">
        <f t="shared" si="296"/>
        <v>0</v>
      </c>
      <c r="D663" s="60">
        <f t="shared" si="297"/>
        <v>0</v>
      </c>
      <c r="E663" s="60">
        <v>0</v>
      </c>
      <c r="F663" s="60">
        <v>0</v>
      </c>
      <c r="G663" s="60">
        <f t="shared" si="298"/>
        <v>173</v>
      </c>
      <c r="H663" s="60">
        <v>173</v>
      </c>
      <c r="I663" s="60">
        <v>0</v>
      </c>
      <c r="J663" s="65" t="s">
        <v>222</v>
      </c>
      <c r="K663" s="66" t="s">
        <v>574</v>
      </c>
      <c r="L663" s="55"/>
    </row>
    <row r="664" spans="1:12" ht="12.75" customHeight="1" thickBot="1" x14ac:dyDescent="0.25">
      <c r="A664" s="60">
        <f t="shared" ref="A664" si="309">SUM(A662:A663)</f>
        <v>2538</v>
      </c>
      <c r="B664" s="60">
        <f t="shared" ref="B664:H664" si="310">SUM(B662:B663)</f>
        <v>2538</v>
      </c>
      <c r="C664" s="60">
        <f t="shared" si="310"/>
        <v>0</v>
      </c>
      <c r="D664" s="60">
        <f t="shared" si="310"/>
        <v>1</v>
      </c>
      <c r="E664" s="60">
        <f t="shared" si="310"/>
        <v>1</v>
      </c>
      <c r="F664" s="60">
        <f t="shared" si="310"/>
        <v>0</v>
      </c>
      <c r="G664" s="60">
        <f t="shared" si="310"/>
        <v>2537</v>
      </c>
      <c r="H664" s="60">
        <f t="shared" si="310"/>
        <v>2537</v>
      </c>
      <c r="I664" s="60">
        <f>SUM(I662:I663)</f>
        <v>0</v>
      </c>
      <c r="J664" s="65" t="s">
        <v>13</v>
      </c>
      <c r="K664" s="67"/>
      <c r="L664" s="55"/>
    </row>
    <row r="665" spans="1:12" ht="12.75" customHeight="1" thickBot="1" x14ac:dyDescent="0.25">
      <c r="A665" s="60">
        <f t="shared" si="295"/>
        <v>6</v>
      </c>
      <c r="B665" s="60">
        <f t="shared" si="296"/>
        <v>0</v>
      </c>
      <c r="C665" s="60">
        <f t="shared" si="296"/>
        <v>6</v>
      </c>
      <c r="D665" s="60">
        <f t="shared" si="297"/>
        <v>0</v>
      </c>
      <c r="E665" s="60">
        <v>0</v>
      </c>
      <c r="F665" s="60">
        <v>0</v>
      </c>
      <c r="G665" s="60">
        <f t="shared" si="298"/>
        <v>6</v>
      </c>
      <c r="H665" s="60">
        <v>0</v>
      </c>
      <c r="I665" s="60">
        <v>6</v>
      </c>
      <c r="J665" s="65" t="s">
        <v>221</v>
      </c>
      <c r="K665" s="66"/>
      <c r="L665" s="55"/>
    </row>
    <row r="666" spans="1:12" ht="12.75" customHeight="1" thickBot="1" x14ac:dyDescent="0.25">
      <c r="A666" s="60">
        <f t="shared" si="295"/>
        <v>0</v>
      </c>
      <c r="B666" s="60">
        <f t="shared" si="296"/>
        <v>0</v>
      </c>
      <c r="C666" s="60">
        <f t="shared" si="296"/>
        <v>0</v>
      </c>
      <c r="D666" s="60">
        <f t="shared" si="297"/>
        <v>0</v>
      </c>
      <c r="E666" s="60">
        <v>0</v>
      </c>
      <c r="F666" s="60">
        <v>0</v>
      </c>
      <c r="G666" s="60">
        <f t="shared" si="298"/>
        <v>0</v>
      </c>
      <c r="H666" s="60">
        <v>0</v>
      </c>
      <c r="I666" s="60">
        <v>0</v>
      </c>
      <c r="J666" s="65" t="s">
        <v>222</v>
      </c>
      <c r="K666" s="66" t="s">
        <v>262</v>
      </c>
      <c r="L666" s="55"/>
    </row>
    <row r="667" spans="1:12" ht="12.75" customHeight="1" thickBot="1" x14ac:dyDescent="0.25">
      <c r="A667" s="60">
        <f t="shared" ref="A667:H667" si="311">SUM(A665:A666)</f>
        <v>6</v>
      </c>
      <c r="B667" s="60">
        <f t="shared" si="311"/>
        <v>0</v>
      </c>
      <c r="C667" s="60">
        <f t="shared" si="311"/>
        <v>6</v>
      </c>
      <c r="D667" s="60">
        <f t="shared" si="311"/>
        <v>0</v>
      </c>
      <c r="E667" s="60">
        <f t="shared" si="311"/>
        <v>0</v>
      </c>
      <c r="F667" s="60">
        <f t="shared" si="311"/>
        <v>0</v>
      </c>
      <c r="G667" s="60">
        <f t="shared" si="311"/>
        <v>6</v>
      </c>
      <c r="H667" s="60">
        <f t="shared" si="311"/>
        <v>0</v>
      </c>
      <c r="I667" s="60">
        <f>SUM(I665:I666)</f>
        <v>6</v>
      </c>
      <c r="J667" s="65" t="s">
        <v>13</v>
      </c>
      <c r="K667" s="67"/>
      <c r="L667" s="55"/>
    </row>
    <row r="668" spans="1:12" ht="12.75" customHeight="1" thickBot="1" x14ac:dyDescent="0.25">
      <c r="A668" s="60">
        <f t="shared" si="295"/>
        <v>1090</v>
      </c>
      <c r="B668" s="60">
        <f t="shared" si="296"/>
        <v>1090</v>
      </c>
      <c r="C668" s="60">
        <f t="shared" si="296"/>
        <v>0</v>
      </c>
      <c r="D668" s="60">
        <f t="shared" si="297"/>
        <v>1</v>
      </c>
      <c r="E668" s="60">
        <v>1</v>
      </c>
      <c r="F668" s="60">
        <v>0</v>
      </c>
      <c r="G668" s="60">
        <f t="shared" si="298"/>
        <v>1089</v>
      </c>
      <c r="H668" s="60">
        <v>1089</v>
      </c>
      <c r="I668" s="60">
        <v>0</v>
      </c>
      <c r="J668" s="65" t="s">
        <v>221</v>
      </c>
      <c r="K668" s="66"/>
      <c r="L668" s="55"/>
    </row>
    <row r="669" spans="1:12" ht="12.75" customHeight="1" thickBot="1" x14ac:dyDescent="0.25">
      <c r="A669" s="60">
        <f t="shared" si="295"/>
        <v>96</v>
      </c>
      <c r="B669" s="60">
        <f t="shared" si="296"/>
        <v>96</v>
      </c>
      <c r="C669" s="60">
        <f t="shared" si="296"/>
        <v>0</v>
      </c>
      <c r="D669" s="60">
        <f t="shared" si="297"/>
        <v>0</v>
      </c>
      <c r="E669" s="60">
        <v>0</v>
      </c>
      <c r="F669" s="60">
        <v>0</v>
      </c>
      <c r="G669" s="60">
        <f t="shared" si="298"/>
        <v>96</v>
      </c>
      <c r="H669" s="60">
        <v>96</v>
      </c>
      <c r="I669" s="60">
        <v>0</v>
      </c>
      <c r="J669" s="65" t="s">
        <v>222</v>
      </c>
      <c r="K669" s="66" t="s">
        <v>474</v>
      </c>
      <c r="L669" s="55"/>
    </row>
    <row r="670" spans="1:12" ht="12.75" customHeight="1" thickBot="1" x14ac:dyDescent="0.25">
      <c r="A670" s="60">
        <f t="shared" ref="A670:H670" si="312">SUM(A668:A669)</f>
        <v>1186</v>
      </c>
      <c r="B670" s="60">
        <f t="shared" si="312"/>
        <v>1186</v>
      </c>
      <c r="C670" s="60">
        <f t="shared" si="312"/>
        <v>0</v>
      </c>
      <c r="D670" s="60">
        <f t="shared" si="312"/>
        <v>1</v>
      </c>
      <c r="E670" s="60">
        <f t="shared" si="312"/>
        <v>1</v>
      </c>
      <c r="F670" s="60">
        <f t="shared" si="312"/>
        <v>0</v>
      </c>
      <c r="G670" s="60">
        <f t="shared" si="312"/>
        <v>1185</v>
      </c>
      <c r="H670" s="60">
        <f t="shared" si="312"/>
        <v>1185</v>
      </c>
      <c r="I670" s="60">
        <f>SUM(I668:I669)</f>
        <v>0</v>
      </c>
      <c r="J670" s="65" t="s">
        <v>13</v>
      </c>
      <c r="K670" s="67"/>
      <c r="L670" s="55"/>
    </row>
    <row r="671" spans="1:12" ht="12.75" customHeight="1" thickBot="1" x14ac:dyDescent="0.25">
      <c r="A671" s="60">
        <f t="shared" si="295"/>
        <v>1164</v>
      </c>
      <c r="B671" s="60">
        <f t="shared" si="296"/>
        <v>1164</v>
      </c>
      <c r="C671" s="60">
        <f t="shared" si="296"/>
        <v>0</v>
      </c>
      <c r="D671" s="60">
        <f t="shared" si="297"/>
        <v>0</v>
      </c>
      <c r="E671" s="60">
        <v>0</v>
      </c>
      <c r="F671" s="60">
        <v>0</v>
      </c>
      <c r="G671" s="60">
        <f t="shared" si="298"/>
        <v>1164</v>
      </c>
      <c r="H671" s="60">
        <f>1048+116</f>
        <v>1164</v>
      </c>
      <c r="I671" s="60">
        <v>0</v>
      </c>
      <c r="J671" s="65" t="s">
        <v>221</v>
      </c>
      <c r="K671" s="66"/>
      <c r="L671" s="55"/>
    </row>
    <row r="672" spans="1:12" ht="12.75" customHeight="1" thickBot="1" x14ac:dyDescent="0.25">
      <c r="A672" s="60">
        <f t="shared" si="295"/>
        <v>61</v>
      </c>
      <c r="B672" s="60">
        <f t="shared" si="296"/>
        <v>61</v>
      </c>
      <c r="C672" s="60">
        <f t="shared" si="296"/>
        <v>0</v>
      </c>
      <c r="D672" s="60">
        <f t="shared" si="297"/>
        <v>0</v>
      </c>
      <c r="E672" s="60">
        <v>0</v>
      </c>
      <c r="F672" s="60">
        <v>0</v>
      </c>
      <c r="G672" s="60">
        <f t="shared" si="298"/>
        <v>61</v>
      </c>
      <c r="H672" s="60">
        <v>61</v>
      </c>
      <c r="I672" s="60">
        <v>0</v>
      </c>
      <c r="J672" s="65" t="s">
        <v>222</v>
      </c>
      <c r="K672" s="66" t="s">
        <v>475</v>
      </c>
      <c r="L672" s="55"/>
    </row>
    <row r="673" spans="1:12" ht="12.75" customHeight="1" thickBot="1" x14ac:dyDescent="0.25">
      <c r="A673" s="60">
        <f t="shared" ref="A673:H673" si="313">SUM(A671:A672)</f>
        <v>1225</v>
      </c>
      <c r="B673" s="60">
        <f t="shared" si="313"/>
        <v>1225</v>
      </c>
      <c r="C673" s="60">
        <f t="shared" si="313"/>
        <v>0</v>
      </c>
      <c r="D673" s="60">
        <f t="shared" si="313"/>
        <v>0</v>
      </c>
      <c r="E673" s="60">
        <f t="shared" si="313"/>
        <v>0</v>
      </c>
      <c r="F673" s="60">
        <f t="shared" si="313"/>
        <v>0</v>
      </c>
      <c r="G673" s="60">
        <f t="shared" si="313"/>
        <v>1225</v>
      </c>
      <c r="H673" s="60">
        <f t="shared" si="313"/>
        <v>1225</v>
      </c>
      <c r="I673" s="60">
        <f>SUM(I671:I672)</f>
        <v>0</v>
      </c>
      <c r="J673" s="65" t="s">
        <v>13</v>
      </c>
      <c r="K673" s="67"/>
      <c r="L673" s="55"/>
    </row>
    <row r="674" spans="1:12" ht="12.75" customHeight="1" thickBot="1" x14ac:dyDescent="0.25">
      <c r="A674" s="60">
        <f t="shared" si="295"/>
        <v>300</v>
      </c>
      <c r="B674" s="60">
        <f t="shared" si="296"/>
        <v>300</v>
      </c>
      <c r="C674" s="60">
        <f t="shared" si="296"/>
        <v>0</v>
      </c>
      <c r="D674" s="60">
        <f t="shared" si="297"/>
        <v>0</v>
      </c>
      <c r="E674" s="60">
        <v>0</v>
      </c>
      <c r="F674" s="60">
        <v>0</v>
      </c>
      <c r="G674" s="60">
        <f t="shared" si="298"/>
        <v>300</v>
      </c>
      <c r="H674" s="60">
        <v>300</v>
      </c>
      <c r="I674" s="60">
        <v>0</v>
      </c>
      <c r="J674" s="65" t="s">
        <v>221</v>
      </c>
      <c r="K674" s="66"/>
      <c r="L674" s="55"/>
    </row>
    <row r="675" spans="1:12" ht="12.75" customHeight="1" thickBot="1" x14ac:dyDescent="0.25">
      <c r="A675" s="60">
        <f t="shared" si="295"/>
        <v>0</v>
      </c>
      <c r="B675" s="60">
        <f t="shared" si="296"/>
        <v>0</v>
      </c>
      <c r="C675" s="60">
        <f t="shared" si="296"/>
        <v>0</v>
      </c>
      <c r="D675" s="60">
        <f t="shared" si="297"/>
        <v>0</v>
      </c>
      <c r="E675" s="60">
        <v>0</v>
      </c>
      <c r="F675" s="60">
        <v>0</v>
      </c>
      <c r="G675" s="60">
        <f t="shared" si="298"/>
        <v>0</v>
      </c>
      <c r="H675" s="60">
        <v>0</v>
      </c>
      <c r="I675" s="60">
        <v>0</v>
      </c>
      <c r="J675" s="65" t="s">
        <v>222</v>
      </c>
      <c r="K675" s="66" t="s">
        <v>476</v>
      </c>
      <c r="L675" s="55"/>
    </row>
    <row r="676" spans="1:12" ht="12.75" customHeight="1" thickBot="1" x14ac:dyDescent="0.25">
      <c r="A676" s="60">
        <f t="shared" ref="A676:H676" si="314">SUM(A674:A675)</f>
        <v>300</v>
      </c>
      <c r="B676" s="60">
        <f t="shared" si="314"/>
        <v>300</v>
      </c>
      <c r="C676" s="60">
        <f t="shared" si="314"/>
        <v>0</v>
      </c>
      <c r="D676" s="60">
        <f t="shared" si="314"/>
        <v>0</v>
      </c>
      <c r="E676" s="60">
        <f t="shared" si="314"/>
        <v>0</v>
      </c>
      <c r="F676" s="60">
        <f t="shared" si="314"/>
        <v>0</v>
      </c>
      <c r="G676" s="60">
        <f t="shared" si="314"/>
        <v>300</v>
      </c>
      <c r="H676" s="60">
        <f t="shared" si="314"/>
        <v>300</v>
      </c>
      <c r="I676" s="60">
        <f>SUM(I674:I675)</f>
        <v>0</v>
      </c>
      <c r="J676" s="65" t="s">
        <v>13</v>
      </c>
      <c r="K676" s="67"/>
      <c r="L676" s="55"/>
    </row>
    <row r="677" spans="1:12" ht="12.75" customHeight="1" thickBot="1" x14ac:dyDescent="0.25">
      <c r="A677" s="60">
        <f t="shared" si="295"/>
        <v>105</v>
      </c>
      <c r="B677" s="60">
        <f t="shared" si="296"/>
        <v>105</v>
      </c>
      <c r="C677" s="60">
        <f t="shared" si="296"/>
        <v>0</v>
      </c>
      <c r="D677" s="60">
        <f t="shared" si="297"/>
        <v>0</v>
      </c>
      <c r="E677" s="60">
        <v>0</v>
      </c>
      <c r="F677" s="60">
        <v>0</v>
      </c>
      <c r="G677" s="60">
        <f t="shared" si="298"/>
        <v>105</v>
      </c>
      <c r="H677" s="60">
        <v>105</v>
      </c>
      <c r="I677" s="60">
        <v>0</v>
      </c>
      <c r="J677" s="65" t="s">
        <v>221</v>
      </c>
      <c r="K677" s="66"/>
      <c r="L677" s="55"/>
    </row>
    <row r="678" spans="1:12" ht="12.75" customHeight="1" thickBot="1" x14ac:dyDescent="0.25">
      <c r="A678" s="60">
        <f t="shared" si="295"/>
        <v>0</v>
      </c>
      <c r="B678" s="60">
        <f t="shared" si="296"/>
        <v>0</v>
      </c>
      <c r="C678" s="60">
        <f t="shared" si="296"/>
        <v>0</v>
      </c>
      <c r="D678" s="60">
        <f t="shared" si="297"/>
        <v>0</v>
      </c>
      <c r="E678" s="60">
        <v>0</v>
      </c>
      <c r="F678" s="60">
        <v>0</v>
      </c>
      <c r="G678" s="60">
        <f t="shared" si="298"/>
        <v>0</v>
      </c>
      <c r="H678" s="60">
        <v>0</v>
      </c>
      <c r="I678" s="60">
        <v>0</v>
      </c>
      <c r="J678" s="65" t="s">
        <v>222</v>
      </c>
      <c r="K678" s="66" t="s">
        <v>264</v>
      </c>
      <c r="L678" s="55"/>
    </row>
    <row r="679" spans="1:12" ht="12.75" customHeight="1" thickBot="1" x14ac:dyDescent="0.25">
      <c r="A679" s="60">
        <f t="shared" ref="A679:H679" si="315">SUM(A677:A678)</f>
        <v>105</v>
      </c>
      <c r="B679" s="60">
        <f t="shared" si="315"/>
        <v>105</v>
      </c>
      <c r="C679" s="60">
        <f t="shared" si="315"/>
        <v>0</v>
      </c>
      <c r="D679" s="60">
        <f t="shared" si="315"/>
        <v>0</v>
      </c>
      <c r="E679" s="60">
        <f t="shared" si="315"/>
        <v>0</v>
      </c>
      <c r="F679" s="60">
        <f t="shared" si="315"/>
        <v>0</v>
      </c>
      <c r="G679" s="60">
        <f t="shared" si="315"/>
        <v>105</v>
      </c>
      <c r="H679" s="60">
        <f t="shared" si="315"/>
        <v>105</v>
      </c>
      <c r="I679" s="60">
        <f>SUM(I677:I678)</f>
        <v>0</v>
      </c>
      <c r="J679" s="65" t="s">
        <v>13</v>
      </c>
      <c r="K679" s="67"/>
      <c r="L679" s="55"/>
    </row>
    <row r="680" spans="1:12" ht="12.75" customHeight="1" thickBot="1" x14ac:dyDescent="0.25">
      <c r="A680" s="60">
        <f t="shared" ref="A680:I682" si="316">A632+A635+A638+A641+A644+A647+A650+A653+A656+A659+A662+A665+A668+A671+A674+A677</f>
        <v>22498</v>
      </c>
      <c r="B680" s="60">
        <f t="shared" si="316"/>
        <v>14499</v>
      </c>
      <c r="C680" s="60">
        <f t="shared" si="316"/>
        <v>7999</v>
      </c>
      <c r="D680" s="60">
        <f t="shared" si="316"/>
        <v>160</v>
      </c>
      <c r="E680" s="60">
        <f t="shared" si="316"/>
        <v>94</v>
      </c>
      <c r="F680" s="60">
        <f t="shared" si="316"/>
        <v>66</v>
      </c>
      <c r="G680" s="60">
        <f t="shared" si="316"/>
        <v>22338</v>
      </c>
      <c r="H680" s="60">
        <f t="shared" si="316"/>
        <v>14405</v>
      </c>
      <c r="I680" s="60">
        <f>I632+I635+I638+I641+I644+I647+I650+I653+I656+I659+I662+I665+I668+I671+I674+I677</f>
        <v>7933</v>
      </c>
      <c r="J680" s="65" t="s">
        <v>224</v>
      </c>
      <c r="K680" s="57"/>
      <c r="L680" s="55"/>
    </row>
    <row r="681" spans="1:12" ht="12.75" customHeight="1" thickBot="1" x14ac:dyDescent="0.25">
      <c r="A681" s="60">
        <f t="shared" si="316"/>
        <v>3105</v>
      </c>
      <c r="B681" s="60">
        <f t="shared" si="316"/>
        <v>3105</v>
      </c>
      <c r="C681" s="60">
        <f t="shared" si="316"/>
        <v>0</v>
      </c>
      <c r="D681" s="60">
        <f t="shared" si="316"/>
        <v>0</v>
      </c>
      <c r="E681" s="60">
        <f t="shared" si="316"/>
        <v>0</v>
      </c>
      <c r="F681" s="60">
        <f t="shared" si="316"/>
        <v>0</v>
      </c>
      <c r="G681" s="60">
        <f t="shared" si="316"/>
        <v>3105</v>
      </c>
      <c r="H681" s="60">
        <f t="shared" si="316"/>
        <v>3105</v>
      </c>
      <c r="I681" s="60">
        <f t="shared" si="316"/>
        <v>0</v>
      </c>
      <c r="J681" s="65" t="s">
        <v>225</v>
      </c>
      <c r="K681" s="68" t="s">
        <v>211</v>
      </c>
      <c r="L681" s="55"/>
    </row>
    <row r="682" spans="1:12" ht="12.75" customHeight="1" thickBot="1" x14ac:dyDescent="0.25">
      <c r="A682" s="60">
        <f t="shared" si="316"/>
        <v>25603</v>
      </c>
      <c r="B682" s="60">
        <f t="shared" si="316"/>
        <v>17604</v>
      </c>
      <c r="C682" s="60">
        <f t="shared" si="316"/>
        <v>7999</v>
      </c>
      <c r="D682" s="60">
        <f t="shared" si="316"/>
        <v>160</v>
      </c>
      <c r="E682" s="60">
        <f t="shared" si="316"/>
        <v>94</v>
      </c>
      <c r="F682" s="60">
        <f t="shared" si="316"/>
        <v>66</v>
      </c>
      <c r="G682" s="60">
        <f t="shared" si="316"/>
        <v>25443</v>
      </c>
      <c r="H682" s="60">
        <f t="shared" si="316"/>
        <v>17510</v>
      </c>
      <c r="I682" s="60">
        <f t="shared" si="316"/>
        <v>7933</v>
      </c>
      <c r="J682" s="65" t="s">
        <v>13</v>
      </c>
      <c r="K682" s="59"/>
      <c r="L682" s="55"/>
    </row>
    <row r="683" spans="1:12" ht="12.75" customHeight="1" x14ac:dyDescent="0.2">
      <c r="A683" s="177" t="s">
        <v>560</v>
      </c>
      <c r="B683" s="177"/>
      <c r="C683" s="177"/>
      <c r="D683" s="177"/>
      <c r="E683" s="177"/>
      <c r="F683" s="177"/>
      <c r="G683" s="177"/>
      <c r="H683" s="177"/>
      <c r="I683" s="177"/>
      <c r="J683" s="177"/>
      <c r="K683" s="177"/>
      <c r="L683" s="55"/>
    </row>
    <row r="684" spans="1:12" ht="12.75" customHeight="1" thickBot="1" x14ac:dyDescent="0.25">
      <c r="A684" s="178" t="s">
        <v>561</v>
      </c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55"/>
    </row>
    <row r="685" spans="1:12" ht="12.75" customHeight="1" thickBot="1" x14ac:dyDescent="0.25">
      <c r="A685" s="179" t="s">
        <v>5</v>
      </c>
      <c r="B685" s="179"/>
      <c r="C685" s="179"/>
      <c r="D685" s="179" t="s">
        <v>162</v>
      </c>
      <c r="E685" s="179"/>
      <c r="F685" s="179"/>
      <c r="G685" s="179" t="s">
        <v>163</v>
      </c>
      <c r="H685" s="179"/>
      <c r="I685" s="179"/>
      <c r="J685" s="179" t="s">
        <v>72</v>
      </c>
      <c r="K685" s="179"/>
      <c r="L685" s="55"/>
    </row>
    <row r="686" spans="1:12" ht="12.75" customHeight="1" thickBot="1" x14ac:dyDescent="0.25">
      <c r="A686" s="58" t="s">
        <v>216</v>
      </c>
      <c r="B686" s="58" t="s">
        <v>11</v>
      </c>
      <c r="C686" s="58" t="s">
        <v>10</v>
      </c>
      <c r="D686" s="58" t="s">
        <v>216</v>
      </c>
      <c r="E686" s="58" t="s">
        <v>11</v>
      </c>
      <c r="F686" s="58" t="s">
        <v>10</v>
      </c>
      <c r="G686" s="58" t="s">
        <v>216</v>
      </c>
      <c r="H686" s="58" t="s">
        <v>11</v>
      </c>
      <c r="I686" s="58" t="s">
        <v>10</v>
      </c>
      <c r="J686" s="180" t="s">
        <v>165</v>
      </c>
      <c r="K686" s="180"/>
      <c r="L686" s="55"/>
    </row>
    <row r="687" spans="1:12" ht="12.75" customHeight="1" thickBot="1" x14ac:dyDescent="0.25">
      <c r="A687" s="60">
        <v>154</v>
      </c>
      <c r="B687" s="60">
        <v>0</v>
      </c>
      <c r="C687" s="60">
        <v>154</v>
      </c>
      <c r="D687" s="60">
        <v>0</v>
      </c>
      <c r="E687" s="60">
        <v>0</v>
      </c>
      <c r="F687" s="60">
        <v>0</v>
      </c>
      <c r="G687" s="60">
        <v>154</v>
      </c>
      <c r="H687" s="60">
        <v>0</v>
      </c>
      <c r="I687" s="60">
        <v>154</v>
      </c>
      <c r="J687" s="65" t="s">
        <v>221</v>
      </c>
      <c r="K687" s="66"/>
      <c r="L687" s="55"/>
    </row>
    <row r="688" spans="1:12" ht="12.75" customHeight="1" thickBot="1" x14ac:dyDescent="0.25">
      <c r="A688" s="60">
        <v>0</v>
      </c>
      <c r="B688" s="60">
        <v>0</v>
      </c>
      <c r="C688" s="60">
        <v>0</v>
      </c>
      <c r="D688" s="60">
        <v>0</v>
      </c>
      <c r="E688" s="60">
        <v>0</v>
      </c>
      <c r="F688" s="60">
        <v>0</v>
      </c>
      <c r="G688" s="60">
        <v>0</v>
      </c>
      <c r="H688" s="60">
        <v>0</v>
      </c>
      <c r="I688" s="60">
        <v>0</v>
      </c>
      <c r="J688" s="65" t="s">
        <v>222</v>
      </c>
      <c r="K688" s="66" t="s">
        <v>263</v>
      </c>
      <c r="L688" s="55"/>
    </row>
    <row r="689" spans="1:12" ht="12.75" customHeight="1" thickBot="1" x14ac:dyDescent="0.25">
      <c r="A689" s="60">
        <v>154</v>
      </c>
      <c r="B689" s="60">
        <v>0</v>
      </c>
      <c r="C689" s="60">
        <v>154</v>
      </c>
      <c r="D689" s="60">
        <v>0</v>
      </c>
      <c r="E689" s="60">
        <v>0</v>
      </c>
      <c r="F689" s="60">
        <v>0</v>
      </c>
      <c r="G689" s="60">
        <v>154</v>
      </c>
      <c r="H689" s="60">
        <v>0</v>
      </c>
      <c r="I689" s="60">
        <v>154</v>
      </c>
      <c r="J689" s="65" t="s">
        <v>13</v>
      </c>
      <c r="K689" s="67"/>
      <c r="L689" s="55"/>
    </row>
    <row r="690" spans="1:12" ht="12.75" customHeight="1" thickBot="1" x14ac:dyDescent="0.25">
      <c r="A690" s="60">
        <v>437</v>
      </c>
      <c r="B690" s="60">
        <v>437</v>
      </c>
      <c r="C690" s="60">
        <v>0</v>
      </c>
      <c r="D690" s="60">
        <v>2</v>
      </c>
      <c r="E690" s="60">
        <v>2</v>
      </c>
      <c r="F690" s="60">
        <v>0</v>
      </c>
      <c r="G690" s="60">
        <v>435</v>
      </c>
      <c r="H690" s="60">
        <v>435</v>
      </c>
      <c r="I690" s="60">
        <v>0</v>
      </c>
      <c r="J690" s="65" t="s">
        <v>221</v>
      </c>
      <c r="K690" s="66"/>
      <c r="L690" s="55"/>
    </row>
    <row r="691" spans="1:12" ht="12.75" customHeight="1" thickBot="1" x14ac:dyDescent="0.25">
      <c r="A691" s="60">
        <v>0</v>
      </c>
      <c r="B691" s="60">
        <v>0</v>
      </c>
      <c r="C691" s="60">
        <v>0</v>
      </c>
      <c r="D691" s="60">
        <v>0</v>
      </c>
      <c r="E691" s="60">
        <v>0</v>
      </c>
      <c r="F691" s="60">
        <v>0</v>
      </c>
      <c r="G691" s="60">
        <v>0</v>
      </c>
      <c r="H691" s="60">
        <v>0</v>
      </c>
      <c r="I691" s="60">
        <v>0</v>
      </c>
      <c r="J691" s="65" t="s">
        <v>222</v>
      </c>
      <c r="K691" s="66" t="s">
        <v>477</v>
      </c>
      <c r="L691" s="55"/>
    </row>
    <row r="692" spans="1:12" ht="12.75" customHeight="1" thickBot="1" x14ac:dyDescent="0.25">
      <c r="A692" s="60">
        <v>437</v>
      </c>
      <c r="B692" s="60">
        <v>437</v>
      </c>
      <c r="C692" s="60">
        <v>0</v>
      </c>
      <c r="D692" s="60">
        <v>2</v>
      </c>
      <c r="E692" s="60">
        <v>2</v>
      </c>
      <c r="F692" s="60">
        <v>0</v>
      </c>
      <c r="G692" s="60">
        <v>435</v>
      </c>
      <c r="H692" s="60">
        <v>435</v>
      </c>
      <c r="I692" s="60">
        <v>0</v>
      </c>
      <c r="J692" s="65" t="s">
        <v>13</v>
      </c>
      <c r="K692" s="67"/>
      <c r="L692" s="55"/>
    </row>
    <row r="693" spans="1:12" ht="12.75" customHeight="1" thickBot="1" x14ac:dyDescent="0.25">
      <c r="A693" s="60">
        <v>208</v>
      </c>
      <c r="B693" s="60">
        <v>208</v>
      </c>
      <c r="C693" s="60">
        <v>0</v>
      </c>
      <c r="D693" s="60">
        <v>2</v>
      </c>
      <c r="E693" s="60">
        <v>2</v>
      </c>
      <c r="F693" s="60">
        <v>0</v>
      </c>
      <c r="G693" s="60">
        <v>206</v>
      </c>
      <c r="H693" s="60">
        <v>206</v>
      </c>
      <c r="I693" s="60">
        <v>0</v>
      </c>
      <c r="J693" s="65" t="s">
        <v>221</v>
      </c>
      <c r="K693" s="66"/>
      <c r="L693" s="55"/>
    </row>
    <row r="694" spans="1:12" ht="12.75" customHeight="1" thickBot="1" x14ac:dyDescent="0.25">
      <c r="A694" s="60">
        <v>0</v>
      </c>
      <c r="B694" s="60">
        <v>0</v>
      </c>
      <c r="C694" s="60">
        <v>0</v>
      </c>
      <c r="D694" s="60">
        <v>0</v>
      </c>
      <c r="E694" s="60">
        <v>0</v>
      </c>
      <c r="F694" s="60">
        <v>0</v>
      </c>
      <c r="G694" s="60">
        <v>0</v>
      </c>
      <c r="H694" s="60">
        <v>0</v>
      </c>
      <c r="I694" s="60">
        <v>0</v>
      </c>
      <c r="J694" s="65" t="s">
        <v>222</v>
      </c>
      <c r="K694" s="66" t="s">
        <v>478</v>
      </c>
      <c r="L694" s="55"/>
    </row>
    <row r="695" spans="1:12" ht="12.75" customHeight="1" thickBot="1" x14ac:dyDescent="0.25">
      <c r="A695" s="60">
        <v>208</v>
      </c>
      <c r="B695" s="60">
        <v>208</v>
      </c>
      <c r="C695" s="60">
        <v>0</v>
      </c>
      <c r="D695" s="60">
        <v>2</v>
      </c>
      <c r="E695" s="60">
        <v>2</v>
      </c>
      <c r="F695" s="60">
        <v>0</v>
      </c>
      <c r="G695" s="60">
        <v>206</v>
      </c>
      <c r="H695" s="60">
        <v>206</v>
      </c>
      <c r="I695" s="60">
        <v>0</v>
      </c>
      <c r="J695" s="65" t="s">
        <v>13</v>
      </c>
      <c r="K695" s="67"/>
      <c r="L695" s="55"/>
    </row>
    <row r="696" spans="1:12" ht="12.75" customHeight="1" thickBot="1" x14ac:dyDescent="0.25">
      <c r="A696" s="60">
        <v>799</v>
      </c>
      <c r="B696" s="60">
        <v>645</v>
      </c>
      <c r="C696" s="60">
        <v>154</v>
      </c>
      <c r="D696" s="60">
        <v>4</v>
      </c>
      <c r="E696" s="60">
        <v>4</v>
      </c>
      <c r="F696" s="60">
        <v>0</v>
      </c>
      <c r="G696" s="60">
        <v>795</v>
      </c>
      <c r="H696" s="60">
        <v>641</v>
      </c>
      <c r="I696" s="60">
        <v>154</v>
      </c>
      <c r="J696" s="65" t="s">
        <v>224</v>
      </c>
      <c r="K696" s="57"/>
      <c r="L696" s="55"/>
    </row>
    <row r="697" spans="1:12" ht="12.75" customHeight="1" thickBot="1" x14ac:dyDescent="0.25">
      <c r="A697" s="60">
        <v>0</v>
      </c>
      <c r="B697" s="60">
        <v>0</v>
      </c>
      <c r="C697" s="60">
        <v>0</v>
      </c>
      <c r="D697" s="60">
        <v>0</v>
      </c>
      <c r="E697" s="60">
        <v>0</v>
      </c>
      <c r="F697" s="60">
        <v>0</v>
      </c>
      <c r="G697" s="60">
        <v>0</v>
      </c>
      <c r="H697" s="60">
        <v>0</v>
      </c>
      <c r="I697" s="60">
        <v>0</v>
      </c>
      <c r="J697" s="65" t="s">
        <v>225</v>
      </c>
      <c r="K697" s="68" t="s">
        <v>211</v>
      </c>
      <c r="L697" s="55"/>
    </row>
    <row r="698" spans="1:12" ht="12.75" customHeight="1" thickBot="1" x14ac:dyDescent="0.25">
      <c r="A698" s="60">
        <v>799</v>
      </c>
      <c r="B698" s="60">
        <v>645</v>
      </c>
      <c r="C698" s="60">
        <v>154</v>
      </c>
      <c r="D698" s="60">
        <v>4</v>
      </c>
      <c r="E698" s="60">
        <v>4</v>
      </c>
      <c r="F698" s="60">
        <v>0</v>
      </c>
      <c r="G698" s="60">
        <v>795</v>
      </c>
      <c r="H698" s="60">
        <v>641</v>
      </c>
      <c r="I698" s="60">
        <v>154</v>
      </c>
      <c r="J698" s="65" t="s">
        <v>13</v>
      </c>
      <c r="K698" s="59"/>
      <c r="L698" s="55"/>
    </row>
    <row r="699" spans="1:12" ht="12.75" customHeight="1" x14ac:dyDescent="0.2">
      <c r="A699" s="177" t="s">
        <v>560</v>
      </c>
      <c r="B699" s="177"/>
      <c r="C699" s="177"/>
      <c r="D699" s="177"/>
      <c r="E699" s="177"/>
      <c r="F699" s="177"/>
      <c r="G699" s="177"/>
      <c r="H699" s="177"/>
      <c r="I699" s="177"/>
      <c r="J699" s="177"/>
      <c r="K699" s="177"/>
      <c r="L699" s="55"/>
    </row>
    <row r="700" spans="1:12" ht="12.75" customHeight="1" thickBot="1" x14ac:dyDescent="0.25">
      <c r="A700" s="178" t="s">
        <v>561</v>
      </c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55"/>
    </row>
    <row r="701" spans="1:12" ht="12.75" customHeight="1" thickBot="1" x14ac:dyDescent="0.25">
      <c r="A701" s="179" t="s">
        <v>5</v>
      </c>
      <c r="B701" s="179"/>
      <c r="C701" s="179"/>
      <c r="D701" s="179" t="s">
        <v>162</v>
      </c>
      <c r="E701" s="179"/>
      <c r="F701" s="179"/>
      <c r="G701" s="179" t="s">
        <v>163</v>
      </c>
      <c r="H701" s="179"/>
      <c r="I701" s="179"/>
      <c r="J701" s="179" t="s">
        <v>72</v>
      </c>
      <c r="K701" s="179"/>
      <c r="L701" s="55"/>
    </row>
    <row r="702" spans="1:12" ht="12.75" customHeight="1" thickBot="1" x14ac:dyDescent="0.25">
      <c r="A702" s="58" t="s">
        <v>216</v>
      </c>
      <c r="B702" s="58" t="s">
        <v>11</v>
      </c>
      <c r="C702" s="58" t="s">
        <v>10</v>
      </c>
      <c r="D702" s="58" t="s">
        <v>216</v>
      </c>
      <c r="E702" s="58" t="s">
        <v>11</v>
      </c>
      <c r="F702" s="58" t="s">
        <v>10</v>
      </c>
      <c r="G702" s="58" t="s">
        <v>216</v>
      </c>
      <c r="H702" s="58" t="s">
        <v>11</v>
      </c>
      <c r="I702" s="58" t="s">
        <v>10</v>
      </c>
      <c r="J702" s="180" t="s">
        <v>115</v>
      </c>
      <c r="K702" s="180"/>
      <c r="L702" s="55"/>
    </row>
    <row r="703" spans="1:12" ht="12.75" customHeight="1" thickBot="1" x14ac:dyDescent="0.25">
      <c r="A703" s="60">
        <f>SUM(B703:C703)</f>
        <v>2180</v>
      </c>
      <c r="B703" s="60">
        <f>H703+E703</f>
        <v>0</v>
      </c>
      <c r="C703" s="60">
        <f>I703+F703</f>
        <v>2180</v>
      </c>
      <c r="D703" s="60">
        <f>SUM(E703:F703)</f>
        <v>0</v>
      </c>
      <c r="E703" s="60">
        <v>0</v>
      </c>
      <c r="F703" s="60">
        <v>0</v>
      </c>
      <c r="G703" s="60">
        <f>SUM(H703:I703)</f>
        <v>2180</v>
      </c>
      <c r="H703" s="60">
        <v>0</v>
      </c>
      <c r="I703" s="60">
        <f>1704+320+264-6+256-358</f>
        <v>2180</v>
      </c>
      <c r="J703" s="65" t="s">
        <v>221</v>
      </c>
      <c r="K703" s="66"/>
      <c r="L703" s="55"/>
    </row>
    <row r="704" spans="1:12" ht="12.75" customHeight="1" thickBot="1" x14ac:dyDescent="0.25">
      <c r="A704" s="60">
        <f t="shared" ref="A704:A734" si="317">SUM(B704:C704)</f>
        <v>0</v>
      </c>
      <c r="B704" s="60">
        <f t="shared" ref="B704:C734" si="318">H704+E704</f>
        <v>0</v>
      </c>
      <c r="C704" s="60">
        <f t="shared" si="318"/>
        <v>0</v>
      </c>
      <c r="D704" s="60">
        <f t="shared" ref="D704:D734" si="319">SUM(E704:F704)</f>
        <v>0</v>
      </c>
      <c r="E704" s="60">
        <v>0</v>
      </c>
      <c r="F704" s="60">
        <v>0</v>
      </c>
      <c r="G704" s="60">
        <f t="shared" ref="G704:G734" si="320">SUM(H704:I704)</f>
        <v>0</v>
      </c>
      <c r="H704" s="60">
        <v>0</v>
      </c>
      <c r="I704" s="60">
        <v>0</v>
      </c>
      <c r="J704" s="65" t="s">
        <v>222</v>
      </c>
      <c r="K704" s="66" t="s">
        <v>265</v>
      </c>
      <c r="L704" s="55"/>
    </row>
    <row r="705" spans="1:12" ht="12.75" customHeight="1" thickBot="1" x14ac:dyDescent="0.25">
      <c r="A705" s="60">
        <f t="shared" ref="A705:H705" si="321">SUM(A703:A704)</f>
        <v>2180</v>
      </c>
      <c r="B705" s="60">
        <f t="shared" si="321"/>
        <v>0</v>
      </c>
      <c r="C705" s="60">
        <f t="shared" si="321"/>
        <v>2180</v>
      </c>
      <c r="D705" s="60">
        <f t="shared" si="321"/>
        <v>0</v>
      </c>
      <c r="E705" s="60">
        <f t="shared" si="321"/>
        <v>0</v>
      </c>
      <c r="F705" s="60">
        <f t="shared" si="321"/>
        <v>0</v>
      </c>
      <c r="G705" s="60">
        <f t="shared" si="321"/>
        <v>2180</v>
      </c>
      <c r="H705" s="60">
        <f t="shared" si="321"/>
        <v>0</v>
      </c>
      <c r="I705" s="60">
        <f>SUM(I703:I704)</f>
        <v>2180</v>
      </c>
      <c r="J705" s="65" t="s">
        <v>13</v>
      </c>
      <c r="K705" s="67"/>
      <c r="L705" s="55"/>
    </row>
    <row r="706" spans="1:12" ht="12.75" customHeight="1" thickBot="1" x14ac:dyDescent="0.25">
      <c r="A706" s="60">
        <f t="shared" si="317"/>
        <v>639</v>
      </c>
      <c r="B706" s="60">
        <f t="shared" si="318"/>
        <v>0</v>
      </c>
      <c r="C706" s="60">
        <f t="shared" si="318"/>
        <v>639</v>
      </c>
      <c r="D706" s="60">
        <f t="shared" si="319"/>
        <v>0</v>
      </c>
      <c r="E706" s="60">
        <v>0</v>
      </c>
      <c r="F706" s="60">
        <v>0</v>
      </c>
      <c r="G706" s="60">
        <f t="shared" si="320"/>
        <v>639</v>
      </c>
      <c r="H706" s="60">
        <v>0</v>
      </c>
      <c r="I706" s="60">
        <f>302+337</f>
        <v>639</v>
      </c>
      <c r="J706" s="65" t="s">
        <v>221</v>
      </c>
      <c r="K706" s="66"/>
      <c r="L706" s="55"/>
    </row>
    <row r="707" spans="1:12" ht="12.75" customHeight="1" thickBot="1" x14ac:dyDescent="0.25">
      <c r="A707" s="60">
        <f t="shared" si="317"/>
        <v>0</v>
      </c>
      <c r="B707" s="60">
        <f t="shared" si="318"/>
        <v>0</v>
      </c>
      <c r="C707" s="60">
        <f t="shared" si="318"/>
        <v>0</v>
      </c>
      <c r="D707" s="60">
        <f t="shared" si="319"/>
        <v>0</v>
      </c>
      <c r="E707" s="60">
        <v>0</v>
      </c>
      <c r="F707" s="60">
        <v>0</v>
      </c>
      <c r="G707" s="60">
        <f t="shared" si="320"/>
        <v>0</v>
      </c>
      <c r="H707" s="60">
        <v>0</v>
      </c>
      <c r="I707" s="60">
        <v>0</v>
      </c>
      <c r="J707" s="65" t="s">
        <v>222</v>
      </c>
      <c r="K707" s="66" t="s">
        <v>416</v>
      </c>
      <c r="L707" s="55"/>
    </row>
    <row r="708" spans="1:12" ht="12.75" customHeight="1" thickBot="1" x14ac:dyDescent="0.25">
      <c r="A708" s="60">
        <f t="shared" ref="A708:H708" si="322">SUM(A706:A707)</f>
        <v>639</v>
      </c>
      <c r="B708" s="60">
        <f t="shared" si="322"/>
        <v>0</v>
      </c>
      <c r="C708" s="60">
        <f t="shared" si="322"/>
        <v>639</v>
      </c>
      <c r="D708" s="60">
        <f t="shared" si="322"/>
        <v>0</v>
      </c>
      <c r="E708" s="60">
        <f t="shared" si="322"/>
        <v>0</v>
      </c>
      <c r="F708" s="60">
        <f t="shared" si="322"/>
        <v>0</v>
      </c>
      <c r="G708" s="60">
        <f t="shared" si="322"/>
        <v>639</v>
      </c>
      <c r="H708" s="60">
        <f t="shared" si="322"/>
        <v>0</v>
      </c>
      <c r="I708" s="60">
        <f>SUM(I706:I707)</f>
        <v>639</v>
      </c>
      <c r="J708" s="65" t="s">
        <v>13</v>
      </c>
      <c r="K708" s="67"/>
      <c r="L708" s="55"/>
    </row>
    <row r="709" spans="1:12" ht="12.75" customHeight="1" thickBot="1" x14ac:dyDescent="0.25">
      <c r="A709" s="60">
        <f t="shared" si="317"/>
        <v>721</v>
      </c>
      <c r="B709" s="60">
        <f t="shared" si="318"/>
        <v>0</v>
      </c>
      <c r="C709" s="60">
        <f t="shared" si="318"/>
        <v>721</v>
      </c>
      <c r="D709" s="60">
        <f t="shared" si="319"/>
        <v>0</v>
      </c>
      <c r="E709" s="60">
        <v>0</v>
      </c>
      <c r="F709" s="60">
        <v>0</v>
      </c>
      <c r="G709" s="60">
        <f t="shared" si="320"/>
        <v>721</v>
      </c>
      <c r="H709" s="60">
        <v>0</v>
      </c>
      <c r="I709" s="60">
        <f>445+276</f>
        <v>721</v>
      </c>
      <c r="J709" s="65" t="s">
        <v>221</v>
      </c>
      <c r="K709" s="66"/>
      <c r="L709" s="55"/>
    </row>
    <row r="710" spans="1:12" ht="12.75" customHeight="1" thickBot="1" x14ac:dyDescent="0.25">
      <c r="A710" s="60">
        <f t="shared" si="317"/>
        <v>0</v>
      </c>
      <c r="B710" s="60">
        <f t="shared" si="318"/>
        <v>0</v>
      </c>
      <c r="C710" s="60">
        <f t="shared" si="318"/>
        <v>0</v>
      </c>
      <c r="D710" s="60">
        <f t="shared" si="319"/>
        <v>0</v>
      </c>
      <c r="E710" s="60">
        <v>0</v>
      </c>
      <c r="F710" s="60">
        <v>0</v>
      </c>
      <c r="G710" s="60">
        <f t="shared" si="320"/>
        <v>0</v>
      </c>
      <c r="H710" s="60">
        <v>0</v>
      </c>
      <c r="I710" s="60">
        <v>0</v>
      </c>
      <c r="J710" s="65" t="s">
        <v>222</v>
      </c>
      <c r="K710" s="66" t="s">
        <v>377</v>
      </c>
      <c r="L710" s="55"/>
    </row>
    <row r="711" spans="1:12" ht="12.75" customHeight="1" thickBot="1" x14ac:dyDescent="0.25">
      <c r="A711" s="60">
        <f t="shared" ref="A711:H711" si="323">SUM(A709:A710)</f>
        <v>721</v>
      </c>
      <c r="B711" s="60">
        <f t="shared" si="323"/>
        <v>0</v>
      </c>
      <c r="C711" s="60">
        <f t="shared" si="323"/>
        <v>721</v>
      </c>
      <c r="D711" s="60">
        <f t="shared" si="323"/>
        <v>0</v>
      </c>
      <c r="E711" s="60">
        <f t="shared" si="323"/>
        <v>0</v>
      </c>
      <c r="F711" s="60">
        <f t="shared" si="323"/>
        <v>0</v>
      </c>
      <c r="G711" s="60">
        <f t="shared" si="323"/>
        <v>721</v>
      </c>
      <c r="H711" s="60">
        <f t="shared" si="323"/>
        <v>0</v>
      </c>
      <c r="I711" s="60">
        <f>SUM(I709:I710)</f>
        <v>721</v>
      </c>
      <c r="J711" s="65" t="s">
        <v>13</v>
      </c>
      <c r="K711" s="67"/>
      <c r="L711" s="55"/>
    </row>
    <row r="712" spans="1:12" ht="12.75" customHeight="1" thickBot="1" x14ac:dyDescent="0.25">
      <c r="A712" s="60">
        <f t="shared" si="317"/>
        <v>272</v>
      </c>
      <c r="B712" s="60">
        <f t="shared" si="318"/>
        <v>0</v>
      </c>
      <c r="C712" s="60">
        <f t="shared" si="318"/>
        <v>272</v>
      </c>
      <c r="D712" s="60">
        <f t="shared" si="319"/>
        <v>0</v>
      </c>
      <c r="E712" s="60">
        <v>0</v>
      </c>
      <c r="F712" s="60">
        <v>0</v>
      </c>
      <c r="G712" s="60">
        <f t="shared" si="320"/>
        <v>272</v>
      </c>
      <c r="H712" s="60">
        <v>0</v>
      </c>
      <c r="I712" s="60">
        <f>202+70</f>
        <v>272</v>
      </c>
      <c r="J712" s="65" t="s">
        <v>221</v>
      </c>
      <c r="K712" s="66"/>
      <c r="L712" s="55"/>
    </row>
    <row r="713" spans="1:12" ht="12.75" customHeight="1" thickBot="1" x14ac:dyDescent="0.25">
      <c r="A713" s="60">
        <f t="shared" si="317"/>
        <v>0</v>
      </c>
      <c r="B713" s="60">
        <f t="shared" si="318"/>
        <v>0</v>
      </c>
      <c r="C713" s="60">
        <f t="shared" si="318"/>
        <v>0</v>
      </c>
      <c r="D713" s="60">
        <f t="shared" si="319"/>
        <v>0</v>
      </c>
      <c r="E713" s="60">
        <v>0</v>
      </c>
      <c r="F713" s="60">
        <v>0</v>
      </c>
      <c r="G713" s="60">
        <f t="shared" si="320"/>
        <v>0</v>
      </c>
      <c r="H713" s="60">
        <v>0</v>
      </c>
      <c r="I713" s="60">
        <v>0</v>
      </c>
      <c r="J713" s="65" t="s">
        <v>222</v>
      </c>
      <c r="K713" s="66" t="s">
        <v>263</v>
      </c>
      <c r="L713" s="55"/>
    </row>
    <row r="714" spans="1:12" ht="12.75" customHeight="1" thickBot="1" x14ac:dyDescent="0.25">
      <c r="A714" s="60">
        <f t="shared" ref="A714:H714" si="324">SUM(A712:A713)</f>
        <v>272</v>
      </c>
      <c r="B714" s="60">
        <f t="shared" si="324"/>
        <v>0</v>
      </c>
      <c r="C714" s="60">
        <f t="shared" si="324"/>
        <v>272</v>
      </c>
      <c r="D714" s="60">
        <f t="shared" si="324"/>
        <v>0</v>
      </c>
      <c r="E714" s="60">
        <f t="shared" si="324"/>
        <v>0</v>
      </c>
      <c r="F714" s="60">
        <f t="shared" si="324"/>
        <v>0</v>
      </c>
      <c r="G714" s="60">
        <f t="shared" si="324"/>
        <v>272</v>
      </c>
      <c r="H714" s="60">
        <f t="shared" si="324"/>
        <v>0</v>
      </c>
      <c r="I714" s="60">
        <f>SUM(I712:I713)</f>
        <v>272</v>
      </c>
      <c r="J714" s="65" t="s">
        <v>13</v>
      </c>
      <c r="K714" s="67"/>
      <c r="L714" s="55"/>
    </row>
    <row r="715" spans="1:12" ht="12.75" customHeight="1" thickBot="1" x14ac:dyDescent="0.25">
      <c r="A715" s="60">
        <f t="shared" si="317"/>
        <v>1145</v>
      </c>
      <c r="B715" s="60">
        <f t="shared" si="318"/>
        <v>0</v>
      </c>
      <c r="C715" s="60">
        <f t="shared" si="318"/>
        <v>1145</v>
      </c>
      <c r="D715" s="60">
        <f t="shared" si="319"/>
        <v>0</v>
      </c>
      <c r="E715" s="60">
        <v>0</v>
      </c>
      <c r="F715" s="60">
        <v>0</v>
      </c>
      <c r="G715" s="60">
        <f t="shared" si="320"/>
        <v>1145</v>
      </c>
      <c r="H715" s="60">
        <v>0</v>
      </c>
      <c r="I715" s="60">
        <f>172+725+125+123</f>
        <v>1145</v>
      </c>
      <c r="J715" s="65" t="s">
        <v>221</v>
      </c>
      <c r="K715" s="66"/>
      <c r="L715" s="55"/>
    </row>
    <row r="716" spans="1:12" ht="12.75" customHeight="1" thickBot="1" x14ac:dyDescent="0.25">
      <c r="A716" s="60">
        <f t="shared" si="317"/>
        <v>0</v>
      </c>
      <c r="B716" s="60">
        <f t="shared" si="318"/>
        <v>0</v>
      </c>
      <c r="C716" s="60">
        <f t="shared" si="318"/>
        <v>0</v>
      </c>
      <c r="D716" s="60">
        <f t="shared" si="319"/>
        <v>0</v>
      </c>
      <c r="E716" s="60">
        <v>0</v>
      </c>
      <c r="F716" s="60">
        <v>0</v>
      </c>
      <c r="G716" s="60">
        <f t="shared" si="320"/>
        <v>0</v>
      </c>
      <c r="H716" s="60">
        <v>0</v>
      </c>
      <c r="I716" s="60">
        <v>0</v>
      </c>
      <c r="J716" s="65" t="s">
        <v>222</v>
      </c>
      <c r="K716" s="66" t="s">
        <v>359</v>
      </c>
      <c r="L716" s="55"/>
    </row>
    <row r="717" spans="1:12" ht="12.75" customHeight="1" thickBot="1" x14ac:dyDescent="0.25">
      <c r="A717" s="60">
        <f t="shared" ref="A717:H717" si="325">SUM(A715:A716)</f>
        <v>1145</v>
      </c>
      <c r="B717" s="60">
        <f t="shared" si="325"/>
        <v>0</v>
      </c>
      <c r="C717" s="60">
        <f t="shared" si="325"/>
        <v>1145</v>
      </c>
      <c r="D717" s="60">
        <f t="shared" si="325"/>
        <v>0</v>
      </c>
      <c r="E717" s="60">
        <f t="shared" si="325"/>
        <v>0</v>
      </c>
      <c r="F717" s="60">
        <f t="shared" si="325"/>
        <v>0</v>
      </c>
      <c r="G717" s="60">
        <f t="shared" si="325"/>
        <v>1145</v>
      </c>
      <c r="H717" s="60">
        <f t="shared" si="325"/>
        <v>0</v>
      </c>
      <c r="I717" s="60">
        <f>SUM(I715:I716)</f>
        <v>1145</v>
      </c>
      <c r="J717" s="65" t="s">
        <v>13</v>
      </c>
      <c r="K717" s="67"/>
      <c r="L717" s="55"/>
    </row>
    <row r="718" spans="1:12" ht="12.75" customHeight="1" thickBot="1" x14ac:dyDescent="0.25">
      <c r="A718" s="60">
        <f t="shared" si="317"/>
        <v>419</v>
      </c>
      <c r="B718" s="60">
        <f t="shared" si="318"/>
        <v>0</v>
      </c>
      <c r="C718" s="60">
        <f t="shared" si="318"/>
        <v>419</v>
      </c>
      <c r="D718" s="60">
        <f t="shared" si="319"/>
        <v>0</v>
      </c>
      <c r="E718" s="60">
        <v>0</v>
      </c>
      <c r="F718" s="60">
        <v>0</v>
      </c>
      <c r="G718" s="60">
        <f t="shared" si="320"/>
        <v>419</v>
      </c>
      <c r="H718" s="60">
        <v>0</v>
      </c>
      <c r="I718" s="60">
        <f>77+110+111+121</f>
        <v>419</v>
      </c>
      <c r="J718" s="65" t="s">
        <v>221</v>
      </c>
      <c r="K718" s="66"/>
      <c r="L718" s="55"/>
    </row>
    <row r="719" spans="1:12" ht="12.75" customHeight="1" thickBot="1" x14ac:dyDescent="0.25">
      <c r="A719" s="60">
        <f t="shared" si="317"/>
        <v>0</v>
      </c>
      <c r="B719" s="60">
        <f t="shared" si="318"/>
        <v>0</v>
      </c>
      <c r="C719" s="60">
        <f t="shared" si="318"/>
        <v>0</v>
      </c>
      <c r="D719" s="60">
        <f t="shared" si="319"/>
        <v>0</v>
      </c>
      <c r="E719" s="60">
        <v>0</v>
      </c>
      <c r="F719" s="60">
        <v>0</v>
      </c>
      <c r="G719" s="60">
        <f t="shared" si="320"/>
        <v>0</v>
      </c>
      <c r="H719" s="60">
        <v>0</v>
      </c>
      <c r="I719" s="60">
        <v>0</v>
      </c>
      <c r="J719" s="65" t="s">
        <v>222</v>
      </c>
      <c r="K719" s="66" t="s">
        <v>264</v>
      </c>
      <c r="L719" s="55"/>
    </row>
    <row r="720" spans="1:12" ht="12.75" customHeight="1" thickBot="1" x14ac:dyDescent="0.25">
      <c r="A720" s="60">
        <f t="shared" ref="A720:H720" si="326">SUM(A718:A719)</f>
        <v>419</v>
      </c>
      <c r="B720" s="60">
        <f t="shared" si="326"/>
        <v>0</v>
      </c>
      <c r="C720" s="60">
        <f t="shared" si="326"/>
        <v>419</v>
      </c>
      <c r="D720" s="60">
        <f t="shared" si="326"/>
        <v>0</v>
      </c>
      <c r="E720" s="60">
        <f t="shared" si="326"/>
        <v>0</v>
      </c>
      <c r="F720" s="60">
        <f t="shared" si="326"/>
        <v>0</v>
      </c>
      <c r="G720" s="60">
        <f t="shared" si="326"/>
        <v>419</v>
      </c>
      <c r="H720" s="60">
        <f t="shared" si="326"/>
        <v>0</v>
      </c>
      <c r="I720" s="60">
        <f>SUM(I718:I719)</f>
        <v>419</v>
      </c>
      <c r="J720" s="65" t="s">
        <v>13</v>
      </c>
      <c r="K720" s="67"/>
      <c r="L720" s="55"/>
    </row>
    <row r="721" spans="1:12" ht="12.75" customHeight="1" thickBot="1" x14ac:dyDescent="0.25">
      <c r="A721" s="60">
        <f t="shared" si="317"/>
        <v>3083</v>
      </c>
      <c r="B721" s="60">
        <f t="shared" si="318"/>
        <v>3083</v>
      </c>
      <c r="C721" s="60">
        <f t="shared" si="318"/>
        <v>0</v>
      </c>
      <c r="D721" s="60">
        <f t="shared" si="319"/>
        <v>0</v>
      </c>
      <c r="E721" s="60">
        <v>0</v>
      </c>
      <c r="F721" s="60">
        <v>0</v>
      </c>
      <c r="G721" s="60">
        <f t="shared" si="320"/>
        <v>3083</v>
      </c>
      <c r="H721" s="60">
        <f>3205-122</f>
        <v>3083</v>
      </c>
      <c r="I721" s="60">
        <v>0</v>
      </c>
      <c r="J721" s="65" t="s">
        <v>221</v>
      </c>
      <c r="K721" s="66"/>
      <c r="L721" s="55"/>
    </row>
    <row r="722" spans="1:12" ht="12.75" customHeight="1" thickBot="1" x14ac:dyDescent="0.25">
      <c r="A722" s="60">
        <f t="shared" si="317"/>
        <v>1387</v>
      </c>
      <c r="B722" s="60">
        <f t="shared" si="318"/>
        <v>1387</v>
      </c>
      <c r="C722" s="60">
        <f t="shared" si="318"/>
        <v>0</v>
      </c>
      <c r="D722" s="60">
        <f t="shared" si="319"/>
        <v>0</v>
      </c>
      <c r="E722" s="60">
        <v>0</v>
      </c>
      <c r="F722" s="60">
        <v>0</v>
      </c>
      <c r="G722" s="60">
        <f t="shared" si="320"/>
        <v>1387</v>
      </c>
      <c r="H722" s="60">
        <f>1231+156</f>
        <v>1387</v>
      </c>
      <c r="I722" s="60">
        <v>0</v>
      </c>
      <c r="J722" s="65" t="s">
        <v>222</v>
      </c>
      <c r="K722" s="66" t="s">
        <v>479</v>
      </c>
      <c r="L722" s="55"/>
    </row>
    <row r="723" spans="1:12" ht="12.75" customHeight="1" thickBot="1" x14ac:dyDescent="0.25">
      <c r="A723" s="60">
        <f t="shared" ref="A723:H723" si="327">SUM(A721:A722)</f>
        <v>4470</v>
      </c>
      <c r="B723" s="60">
        <f t="shared" si="327"/>
        <v>4470</v>
      </c>
      <c r="C723" s="60">
        <f t="shared" si="327"/>
        <v>0</v>
      </c>
      <c r="D723" s="60">
        <f t="shared" si="327"/>
        <v>0</v>
      </c>
      <c r="E723" s="60">
        <f t="shared" si="327"/>
        <v>0</v>
      </c>
      <c r="F723" s="60">
        <f t="shared" si="327"/>
        <v>0</v>
      </c>
      <c r="G723" s="60">
        <f t="shared" si="327"/>
        <v>4470</v>
      </c>
      <c r="H723" s="60">
        <f t="shared" si="327"/>
        <v>4470</v>
      </c>
      <c r="I723" s="60">
        <f>SUM(I721:I722)</f>
        <v>0</v>
      </c>
      <c r="J723" s="65" t="s">
        <v>13</v>
      </c>
      <c r="K723" s="67"/>
      <c r="L723" s="55"/>
    </row>
    <row r="724" spans="1:12" ht="12.75" customHeight="1" thickBot="1" x14ac:dyDescent="0.25">
      <c r="A724" s="60">
        <f t="shared" si="317"/>
        <v>532</v>
      </c>
      <c r="B724" s="60">
        <f t="shared" si="318"/>
        <v>532</v>
      </c>
      <c r="C724" s="60">
        <f t="shared" si="318"/>
        <v>0</v>
      </c>
      <c r="D724" s="60">
        <f t="shared" si="319"/>
        <v>2</v>
      </c>
      <c r="E724" s="60">
        <v>2</v>
      </c>
      <c r="F724" s="60">
        <v>0</v>
      </c>
      <c r="G724" s="60">
        <f t="shared" si="320"/>
        <v>530</v>
      </c>
      <c r="H724" s="60">
        <f>410+120</f>
        <v>530</v>
      </c>
      <c r="I724" s="60">
        <v>0</v>
      </c>
      <c r="J724" s="65" t="s">
        <v>221</v>
      </c>
      <c r="K724" s="66"/>
      <c r="L724" s="55"/>
    </row>
    <row r="725" spans="1:12" ht="12.75" customHeight="1" thickBot="1" x14ac:dyDescent="0.25">
      <c r="A725" s="60">
        <f t="shared" si="317"/>
        <v>0</v>
      </c>
      <c r="B725" s="60">
        <f t="shared" si="318"/>
        <v>0</v>
      </c>
      <c r="C725" s="60">
        <f t="shared" si="318"/>
        <v>0</v>
      </c>
      <c r="D725" s="60">
        <f t="shared" si="319"/>
        <v>0</v>
      </c>
      <c r="E725" s="60">
        <v>0</v>
      </c>
      <c r="F725" s="60">
        <v>0</v>
      </c>
      <c r="G725" s="60">
        <f t="shared" si="320"/>
        <v>0</v>
      </c>
      <c r="H725" s="60">
        <v>0</v>
      </c>
      <c r="I725" s="60">
        <v>0</v>
      </c>
      <c r="J725" s="65" t="s">
        <v>222</v>
      </c>
      <c r="K725" s="66" t="s">
        <v>480</v>
      </c>
      <c r="L725" s="55"/>
    </row>
    <row r="726" spans="1:12" ht="12.75" customHeight="1" thickBot="1" x14ac:dyDescent="0.25">
      <c r="A726" s="60">
        <f t="shared" ref="A726:H726" si="328">SUM(A724:A725)</f>
        <v>532</v>
      </c>
      <c r="B726" s="60">
        <f t="shared" si="328"/>
        <v>532</v>
      </c>
      <c r="C726" s="60">
        <f t="shared" si="328"/>
        <v>0</v>
      </c>
      <c r="D726" s="60">
        <f t="shared" si="328"/>
        <v>2</v>
      </c>
      <c r="E726" s="60">
        <f t="shared" si="328"/>
        <v>2</v>
      </c>
      <c r="F726" s="60">
        <f t="shared" si="328"/>
        <v>0</v>
      </c>
      <c r="G726" s="60">
        <f t="shared" si="328"/>
        <v>530</v>
      </c>
      <c r="H726" s="60">
        <f t="shared" si="328"/>
        <v>530</v>
      </c>
      <c r="I726" s="60">
        <f>SUM(I724:I725)</f>
        <v>0</v>
      </c>
      <c r="J726" s="65" t="s">
        <v>13</v>
      </c>
      <c r="K726" s="67"/>
      <c r="L726" s="55"/>
    </row>
    <row r="727" spans="1:12" ht="12.75" customHeight="1" thickBot="1" x14ac:dyDescent="0.25">
      <c r="A727" s="60">
        <f t="shared" si="317"/>
        <v>2240</v>
      </c>
      <c r="B727" s="60">
        <f t="shared" si="318"/>
        <v>2240</v>
      </c>
      <c r="C727" s="60">
        <f t="shared" si="318"/>
        <v>0</v>
      </c>
      <c r="D727" s="60">
        <f t="shared" si="319"/>
        <v>0</v>
      </c>
      <c r="E727" s="60">
        <v>0</v>
      </c>
      <c r="F727" s="60">
        <v>0</v>
      </c>
      <c r="G727" s="60">
        <f t="shared" si="320"/>
        <v>2240</v>
      </c>
      <c r="H727" s="60">
        <f>2362-122</f>
        <v>2240</v>
      </c>
      <c r="I727" s="60">
        <v>0</v>
      </c>
      <c r="J727" s="65" t="s">
        <v>221</v>
      </c>
      <c r="K727" s="66"/>
      <c r="L727" s="55"/>
    </row>
    <row r="728" spans="1:12" ht="12.75" customHeight="1" thickBot="1" x14ac:dyDescent="0.25">
      <c r="A728" s="60">
        <f t="shared" si="317"/>
        <v>0</v>
      </c>
      <c r="B728" s="60">
        <f t="shared" si="318"/>
        <v>0</v>
      </c>
      <c r="C728" s="60">
        <f t="shared" si="318"/>
        <v>0</v>
      </c>
      <c r="D728" s="60">
        <f t="shared" si="319"/>
        <v>0</v>
      </c>
      <c r="E728" s="60">
        <v>0</v>
      </c>
      <c r="F728" s="60">
        <v>0</v>
      </c>
      <c r="G728" s="60">
        <f t="shared" si="320"/>
        <v>0</v>
      </c>
      <c r="H728" s="60">
        <v>0</v>
      </c>
      <c r="I728" s="60">
        <v>0</v>
      </c>
      <c r="J728" s="65" t="s">
        <v>222</v>
      </c>
      <c r="K728" s="66" t="s">
        <v>481</v>
      </c>
      <c r="L728" s="55"/>
    </row>
    <row r="729" spans="1:12" ht="12.75" customHeight="1" thickBot="1" x14ac:dyDescent="0.25">
      <c r="A729" s="60">
        <f t="shared" ref="A729:H729" si="329">SUM(A727:A728)</f>
        <v>2240</v>
      </c>
      <c r="B729" s="60">
        <f t="shared" si="329"/>
        <v>2240</v>
      </c>
      <c r="C729" s="60">
        <f t="shared" si="329"/>
        <v>0</v>
      </c>
      <c r="D729" s="60">
        <f t="shared" si="329"/>
        <v>0</v>
      </c>
      <c r="E729" s="60">
        <f t="shared" si="329"/>
        <v>0</v>
      </c>
      <c r="F729" s="60">
        <f t="shared" si="329"/>
        <v>0</v>
      </c>
      <c r="G729" s="60">
        <f t="shared" si="329"/>
        <v>2240</v>
      </c>
      <c r="H729" s="60">
        <f t="shared" si="329"/>
        <v>2240</v>
      </c>
      <c r="I729" s="60">
        <f>SUM(I727:I728)</f>
        <v>0</v>
      </c>
      <c r="J729" s="65" t="s">
        <v>13</v>
      </c>
      <c r="K729" s="67"/>
      <c r="L729" s="55"/>
    </row>
    <row r="730" spans="1:12" ht="12.75" customHeight="1" thickBot="1" x14ac:dyDescent="0.25">
      <c r="A730" s="60">
        <f t="shared" si="317"/>
        <v>2045</v>
      </c>
      <c r="B730" s="60">
        <f t="shared" si="318"/>
        <v>2045</v>
      </c>
      <c r="C730" s="60">
        <f t="shared" si="318"/>
        <v>0</v>
      </c>
      <c r="D730" s="60">
        <f t="shared" si="319"/>
        <v>0</v>
      </c>
      <c r="E730" s="60">
        <v>0</v>
      </c>
      <c r="F730" s="60">
        <v>0</v>
      </c>
      <c r="G730" s="60">
        <f t="shared" si="320"/>
        <v>2045</v>
      </c>
      <c r="H730" s="60">
        <f>1971+74</f>
        <v>2045</v>
      </c>
      <c r="I730" s="60">
        <v>0</v>
      </c>
      <c r="J730" s="65" t="s">
        <v>221</v>
      </c>
      <c r="K730" s="66"/>
      <c r="L730" s="55"/>
    </row>
    <row r="731" spans="1:12" ht="12.75" customHeight="1" thickBot="1" x14ac:dyDescent="0.25">
      <c r="A731" s="60">
        <f t="shared" si="317"/>
        <v>1343</v>
      </c>
      <c r="B731" s="60">
        <f t="shared" si="318"/>
        <v>1343</v>
      </c>
      <c r="C731" s="60">
        <f t="shared" si="318"/>
        <v>0</v>
      </c>
      <c r="D731" s="60">
        <f t="shared" si="319"/>
        <v>0</v>
      </c>
      <c r="E731" s="60">
        <v>0</v>
      </c>
      <c r="F731" s="60">
        <v>0</v>
      </c>
      <c r="G731" s="60">
        <f t="shared" si="320"/>
        <v>1343</v>
      </c>
      <c r="H731" s="60">
        <f>1243+100</f>
        <v>1343</v>
      </c>
      <c r="I731" s="60">
        <v>0</v>
      </c>
      <c r="J731" s="65" t="s">
        <v>222</v>
      </c>
      <c r="K731" s="66" t="s">
        <v>482</v>
      </c>
      <c r="L731" s="55"/>
    </row>
    <row r="732" spans="1:12" ht="12.75" customHeight="1" thickBot="1" x14ac:dyDescent="0.25">
      <c r="A732" s="60">
        <f t="shared" ref="A732:H732" si="330">SUM(A730:A731)</f>
        <v>3388</v>
      </c>
      <c r="B732" s="60">
        <f t="shared" si="330"/>
        <v>3388</v>
      </c>
      <c r="C732" s="60">
        <f t="shared" si="330"/>
        <v>0</v>
      </c>
      <c r="D732" s="60">
        <f t="shared" si="330"/>
        <v>0</v>
      </c>
      <c r="E732" s="60">
        <f t="shared" si="330"/>
        <v>0</v>
      </c>
      <c r="F732" s="60">
        <f t="shared" si="330"/>
        <v>0</v>
      </c>
      <c r="G732" s="60">
        <f t="shared" si="330"/>
        <v>3388</v>
      </c>
      <c r="H732" s="60">
        <f t="shared" si="330"/>
        <v>3388</v>
      </c>
      <c r="I732" s="60">
        <f>SUM(I730:I731)</f>
        <v>0</v>
      </c>
      <c r="J732" s="65" t="s">
        <v>13</v>
      </c>
      <c r="K732" s="67"/>
      <c r="L732" s="55"/>
    </row>
    <row r="733" spans="1:12" ht="12.75" customHeight="1" thickBot="1" x14ac:dyDescent="0.25">
      <c r="A733" s="60">
        <f t="shared" si="317"/>
        <v>2952</v>
      </c>
      <c r="B733" s="60">
        <f t="shared" si="318"/>
        <v>2952</v>
      </c>
      <c r="C733" s="60">
        <f t="shared" si="318"/>
        <v>0</v>
      </c>
      <c r="D733" s="60">
        <f t="shared" si="319"/>
        <v>23</v>
      </c>
      <c r="E733" s="60">
        <v>23</v>
      </c>
      <c r="F733" s="60">
        <v>0</v>
      </c>
      <c r="G733" s="60">
        <f t="shared" si="320"/>
        <v>2929</v>
      </c>
      <c r="H733" s="60">
        <f>3051-122</f>
        <v>2929</v>
      </c>
      <c r="I733" s="60">
        <v>0</v>
      </c>
      <c r="J733" s="65" t="s">
        <v>221</v>
      </c>
      <c r="K733" s="66"/>
      <c r="L733" s="55"/>
    </row>
    <row r="734" spans="1:12" ht="12.75" customHeight="1" thickBot="1" x14ac:dyDescent="0.25">
      <c r="A734" s="60">
        <f t="shared" si="317"/>
        <v>1964</v>
      </c>
      <c r="B734" s="60">
        <f t="shared" si="318"/>
        <v>1964</v>
      </c>
      <c r="C734" s="60">
        <f t="shared" si="318"/>
        <v>0</v>
      </c>
      <c r="D734" s="60">
        <f t="shared" si="319"/>
        <v>18</v>
      </c>
      <c r="E734" s="60">
        <v>18</v>
      </c>
      <c r="F734" s="60">
        <v>0</v>
      </c>
      <c r="G734" s="60">
        <f t="shared" si="320"/>
        <v>1946</v>
      </c>
      <c r="H734" s="60">
        <v>1946</v>
      </c>
      <c r="I734" s="60">
        <v>0</v>
      </c>
      <c r="J734" s="65" t="s">
        <v>222</v>
      </c>
      <c r="K734" s="66" t="s">
        <v>483</v>
      </c>
      <c r="L734" s="55"/>
    </row>
    <row r="735" spans="1:12" ht="12.75" customHeight="1" thickBot="1" x14ac:dyDescent="0.25">
      <c r="A735" s="60">
        <f t="shared" ref="A735:H735" si="331">SUM(A733:A734)</f>
        <v>4916</v>
      </c>
      <c r="B735" s="60">
        <f t="shared" si="331"/>
        <v>4916</v>
      </c>
      <c r="C735" s="60">
        <f t="shared" si="331"/>
        <v>0</v>
      </c>
      <c r="D735" s="60">
        <f t="shared" si="331"/>
        <v>41</v>
      </c>
      <c r="E735" s="60">
        <f t="shared" si="331"/>
        <v>41</v>
      </c>
      <c r="F735" s="60">
        <f t="shared" si="331"/>
        <v>0</v>
      </c>
      <c r="G735" s="60">
        <f t="shared" si="331"/>
        <v>4875</v>
      </c>
      <c r="H735" s="60">
        <f t="shared" si="331"/>
        <v>4875</v>
      </c>
      <c r="I735" s="60">
        <f>SUM(I733:I734)</f>
        <v>0</v>
      </c>
      <c r="J735" s="65" t="s">
        <v>13</v>
      </c>
      <c r="K735" s="67"/>
      <c r="L735" s="55"/>
    </row>
    <row r="736" spans="1:12" ht="12.75" customHeight="1" thickBot="1" x14ac:dyDescent="0.25">
      <c r="A736" s="60">
        <f t="shared" ref="A736:I738" si="332">A703+A706+A709+A712+A715+A718+A721+A724+A727+A730+A733</f>
        <v>16228</v>
      </c>
      <c r="B736" s="60">
        <f t="shared" si="332"/>
        <v>10852</v>
      </c>
      <c r="C736" s="60">
        <f t="shared" si="332"/>
        <v>5376</v>
      </c>
      <c r="D736" s="60">
        <f t="shared" si="332"/>
        <v>25</v>
      </c>
      <c r="E736" s="60">
        <f t="shared" si="332"/>
        <v>25</v>
      </c>
      <c r="F736" s="60">
        <f t="shared" si="332"/>
        <v>0</v>
      </c>
      <c r="G736" s="60">
        <f t="shared" si="332"/>
        <v>16203</v>
      </c>
      <c r="H736" s="60">
        <f t="shared" si="332"/>
        <v>10827</v>
      </c>
      <c r="I736" s="60">
        <f>I703+I706+I709+I712+I715+I718+I721+I724+I727+I730+I733</f>
        <v>5376</v>
      </c>
      <c r="J736" s="65" t="s">
        <v>224</v>
      </c>
      <c r="K736" s="57"/>
      <c r="L736" s="55"/>
    </row>
    <row r="737" spans="1:12" ht="12.75" customHeight="1" thickBot="1" x14ac:dyDescent="0.25">
      <c r="A737" s="60">
        <f t="shared" si="332"/>
        <v>4694</v>
      </c>
      <c r="B737" s="60">
        <f t="shared" si="332"/>
        <v>4694</v>
      </c>
      <c r="C737" s="60">
        <f t="shared" si="332"/>
        <v>0</v>
      </c>
      <c r="D737" s="60">
        <f t="shared" si="332"/>
        <v>18</v>
      </c>
      <c r="E737" s="60">
        <f t="shared" si="332"/>
        <v>18</v>
      </c>
      <c r="F737" s="60">
        <f t="shared" si="332"/>
        <v>0</v>
      </c>
      <c r="G737" s="60">
        <f t="shared" si="332"/>
        <v>4676</v>
      </c>
      <c r="H737" s="60">
        <f t="shared" si="332"/>
        <v>4676</v>
      </c>
      <c r="I737" s="60">
        <f t="shared" si="332"/>
        <v>0</v>
      </c>
      <c r="J737" s="65" t="s">
        <v>225</v>
      </c>
      <c r="K737" s="68" t="s">
        <v>211</v>
      </c>
      <c r="L737" s="55"/>
    </row>
    <row r="738" spans="1:12" ht="12.75" customHeight="1" thickBot="1" x14ac:dyDescent="0.25">
      <c r="A738" s="60">
        <f t="shared" si="332"/>
        <v>20922</v>
      </c>
      <c r="B738" s="60">
        <f t="shared" si="332"/>
        <v>15546</v>
      </c>
      <c r="C738" s="60">
        <f t="shared" si="332"/>
        <v>5376</v>
      </c>
      <c r="D738" s="60">
        <f t="shared" si="332"/>
        <v>43</v>
      </c>
      <c r="E738" s="60">
        <f t="shared" si="332"/>
        <v>43</v>
      </c>
      <c r="F738" s="60">
        <f t="shared" si="332"/>
        <v>0</v>
      </c>
      <c r="G738" s="60">
        <f t="shared" si="332"/>
        <v>20879</v>
      </c>
      <c r="H738" s="60">
        <f t="shared" si="332"/>
        <v>15503</v>
      </c>
      <c r="I738" s="60">
        <f t="shared" si="332"/>
        <v>5376</v>
      </c>
      <c r="J738" s="65" t="s">
        <v>13</v>
      </c>
      <c r="K738" s="59"/>
      <c r="L738" s="55"/>
    </row>
    <row r="739" spans="1:12" ht="12.75" customHeight="1" x14ac:dyDescent="0.2">
      <c r="A739" s="177" t="s">
        <v>560</v>
      </c>
      <c r="B739" s="177"/>
      <c r="C739" s="177"/>
      <c r="D739" s="177"/>
      <c r="E739" s="177"/>
      <c r="F739" s="177"/>
      <c r="G739" s="177"/>
      <c r="H739" s="177"/>
      <c r="I739" s="177"/>
      <c r="J739" s="177"/>
      <c r="K739" s="177"/>
      <c r="L739" s="55"/>
    </row>
    <row r="740" spans="1:12" ht="12.75" customHeight="1" thickBot="1" x14ac:dyDescent="0.25">
      <c r="A740" s="178" t="s">
        <v>561</v>
      </c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55"/>
    </row>
    <row r="741" spans="1:12" ht="12.75" customHeight="1" thickBot="1" x14ac:dyDescent="0.25">
      <c r="A741" s="179" t="s">
        <v>5</v>
      </c>
      <c r="B741" s="179"/>
      <c r="C741" s="179"/>
      <c r="D741" s="179" t="s">
        <v>162</v>
      </c>
      <c r="E741" s="179"/>
      <c r="F741" s="179"/>
      <c r="G741" s="179" t="s">
        <v>163</v>
      </c>
      <c r="H741" s="179"/>
      <c r="I741" s="179"/>
      <c r="J741" s="179" t="s">
        <v>72</v>
      </c>
      <c r="K741" s="179"/>
      <c r="L741" s="55"/>
    </row>
    <row r="742" spans="1:12" ht="12.75" customHeight="1" thickBot="1" x14ac:dyDescent="0.25">
      <c r="A742" s="58" t="s">
        <v>216</v>
      </c>
      <c r="B742" s="58" t="s">
        <v>11</v>
      </c>
      <c r="C742" s="58" t="s">
        <v>10</v>
      </c>
      <c r="D742" s="58" t="s">
        <v>216</v>
      </c>
      <c r="E742" s="58" t="s">
        <v>11</v>
      </c>
      <c r="F742" s="58" t="s">
        <v>10</v>
      </c>
      <c r="G742" s="58" t="s">
        <v>216</v>
      </c>
      <c r="H742" s="58" t="s">
        <v>11</v>
      </c>
      <c r="I742" s="58" t="s">
        <v>10</v>
      </c>
      <c r="J742" s="180" t="s">
        <v>118</v>
      </c>
      <c r="K742" s="180"/>
      <c r="L742" s="55"/>
    </row>
    <row r="743" spans="1:12" ht="12.75" customHeight="1" thickBot="1" x14ac:dyDescent="0.25">
      <c r="A743" s="60">
        <f>SUM(B743:C743)</f>
        <v>907</v>
      </c>
      <c r="B743" s="60">
        <f>H743+E743</f>
        <v>495</v>
      </c>
      <c r="C743" s="60">
        <f>I743+F743</f>
        <v>412</v>
      </c>
      <c r="D743" s="60">
        <f>SUM(E743:F743)</f>
        <v>0</v>
      </c>
      <c r="E743" s="60">
        <v>0</v>
      </c>
      <c r="F743" s="60">
        <v>0</v>
      </c>
      <c r="G743" s="60">
        <f>SUM(H743:I743)</f>
        <v>907</v>
      </c>
      <c r="H743" s="60">
        <v>495</v>
      </c>
      <c r="I743" s="60">
        <v>412</v>
      </c>
      <c r="J743" s="65" t="s">
        <v>221</v>
      </c>
      <c r="K743" s="66"/>
      <c r="L743" s="55"/>
    </row>
    <row r="744" spans="1:12" ht="12.75" customHeight="1" thickBot="1" x14ac:dyDescent="0.25">
      <c r="A744" s="60">
        <f t="shared" ref="A744:A759" si="333">SUM(B744:C744)</f>
        <v>0</v>
      </c>
      <c r="B744" s="60">
        <f t="shared" ref="B744:C759" si="334">H744+E744</f>
        <v>0</v>
      </c>
      <c r="C744" s="60">
        <f t="shared" si="334"/>
        <v>0</v>
      </c>
      <c r="D744" s="60">
        <f t="shared" ref="D744:D759" si="335">SUM(E744:F744)</f>
        <v>0</v>
      </c>
      <c r="E744" s="60">
        <v>0</v>
      </c>
      <c r="F744" s="60">
        <v>0</v>
      </c>
      <c r="G744" s="60">
        <f t="shared" ref="G744:G759" si="336">SUM(H744:I744)</f>
        <v>0</v>
      </c>
      <c r="H744" s="60">
        <v>0</v>
      </c>
      <c r="I744" s="60">
        <v>0</v>
      </c>
      <c r="J744" s="65" t="s">
        <v>222</v>
      </c>
      <c r="K744" s="66" t="s">
        <v>377</v>
      </c>
      <c r="L744" s="55"/>
    </row>
    <row r="745" spans="1:12" ht="12.75" customHeight="1" thickBot="1" x14ac:dyDescent="0.25">
      <c r="A745" s="60">
        <f t="shared" ref="A745:H745" si="337">SUM(A743:A744)</f>
        <v>907</v>
      </c>
      <c r="B745" s="60">
        <f t="shared" si="337"/>
        <v>495</v>
      </c>
      <c r="C745" s="60">
        <f t="shared" si="337"/>
        <v>412</v>
      </c>
      <c r="D745" s="60">
        <f t="shared" si="337"/>
        <v>0</v>
      </c>
      <c r="E745" s="60">
        <f t="shared" si="337"/>
        <v>0</v>
      </c>
      <c r="F745" s="60">
        <f t="shared" si="337"/>
        <v>0</v>
      </c>
      <c r="G745" s="60">
        <f t="shared" si="337"/>
        <v>907</v>
      </c>
      <c r="H745" s="60">
        <f t="shared" si="337"/>
        <v>495</v>
      </c>
      <c r="I745" s="60">
        <f>SUM(I743:I744)</f>
        <v>412</v>
      </c>
      <c r="J745" s="65" t="s">
        <v>13</v>
      </c>
      <c r="K745" s="67"/>
      <c r="L745" s="55"/>
    </row>
    <row r="746" spans="1:12" ht="12.75" customHeight="1" thickBot="1" x14ac:dyDescent="0.25">
      <c r="A746" s="60">
        <f t="shared" si="333"/>
        <v>272</v>
      </c>
      <c r="B746" s="60">
        <f t="shared" si="334"/>
        <v>0</v>
      </c>
      <c r="C746" s="60">
        <f t="shared" si="334"/>
        <v>272</v>
      </c>
      <c r="D746" s="60">
        <f t="shared" si="335"/>
        <v>12</v>
      </c>
      <c r="E746" s="60">
        <v>0</v>
      </c>
      <c r="F746" s="60">
        <v>12</v>
      </c>
      <c r="G746" s="60">
        <f t="shared" si="336"/>
        <v>260</v>
      </c>
      <c r="H746" s="60">
        <v>0</v>
      </c>
      <c r="I746" s="60">
        <v>260</v>
      </c>
      <c r="J746" s="65" t="s">
        <v>221</v>
      </c>
      <c r="K746" s="66"/>
      <c r="L746" s="55"/>
    </row>
    <row r="747" spans="1:12" ht="12.75" customHeight="1" thickBot="1" x14ac:dyDescent="0.25">
      <c r="A747" s="60">
        <f t="shared" si="333"/>
        <v>0</v>
      </c>
      <c r="B747" s="60">
        <f t="shared" si="334"/>
        <v>0</v>
      </c>
      <c r="C747" s="60">
        <f t="shared" si="334"/>
        <v>0</v>
      </c>
      <c r="D747" s="60">
        <f t="shared" si="335"/>
        <v>0</v>
      </c>
      <c r="E747" s="60">
        <v>0</v>
      </c>
      <c r="F747" s="60">
        <v>0</v>
      </c>
      <c r="G747" s="60">
        <f t="shared" si="336"/>
        <v>0</v>
      </c>
      <c r="H747" s="60">
        <v>0</v>
      </c>
      <c r="I747" s="60">
        <v>0</v>
      </c>
      <c r="J747" s="65" t="s">
        <v>222</v>
      </c>
      <c r="K747" s="66" t="s">
        <v>268</v>
      </c>
      <c r="L747" s="55"/>
    </row>
    <row r="748" spans="1:12" ht="12.75" customHeight="1" thickBot="1" x14ac:dyDescent="0.25">
      <c r="A748" s="60">
        <f t="shared" ref="A748:H748" si="338">SUM(A746:A747)</f>
        <v>272</v>
      </c>
      <c r="B748" s="60">
        <f t="shared" si="338"/>
        <v>0</v>
      </c>
      <c r="C748" s="60">
        <f t="shared" si="338"/>
        <v>272</v>
      </c>
      <c r="D748" s="60">
        <f t="shared" si="338"/>
        <v>12</v>
      </c>
      <c r="E748" s="60">
        <f t="shared" si="338"/>
        <v>0</v>
      </c>
      <c r="F748" s="60">
        <f t="shared" si="338"/>
        <v>12</v>
      </c>
      <c r="G748" s="60">
        <f t="shared" si="338"/>
        <v>260</v>
      </c>
      <c r="H748" s="60">
        <f t="shared" si="338"/>
        <v>0</v>
      </c>
      <c r="I748" s="60">
        <f>SUM(I746:I747)</f>
        <v>260</v>
      </c>
      <c r="J748" s="65" t="s">
        <v>13</v>
      </c>
      <c r="K748" s="67"/>
      <c r="L748" s="55"/>
    </row>
    <row r="749" spans="1:12" ht="12.75" customHeight="1" thickBot="1" x14ac:dyDescent="0.25">
      <c r="A749" s="60">
        <f t="shared" si="333"/>
        <v>4709</v>
      </c>
      <c r="B749" s="60">
        <f t="shared" si="334"/>
        <v>4709</v>
      </c>
      <c r="C749" s="60">
        <f t="shared" si="334"/>
        <v>0</v>
      </c>
      <c r="D749" s="60">
        <f t="shared" si="335"/>
        <v>0</v>
      </c>
      <c r="E749" s="60">
        <v>0</v>
      </c>
      <c r="F749" s="60">
        <v>0</v>
      </c>
      <c r="G749" s="60">
        <f t="shared" si="336"/>
        <v>4709</v>
      </c>
      <c r="H749" s="60">
        <f>5037-328</f>
        <v>4709</v>
      </c>
      <c r="I749" s="60">
        <v>0</v>
      </c>
      <c r="J749" s="65" t="s">
        <v>221</v>
      </c>
      <c r="K749" s="66"/>
      <c r="L749" s="55"/>
    </row>
    <row r="750" spans="1:12" ht="12.75" customHeight="1" thickBot="1" x14ac:dyDescent="0.25">
      <c r="A750" s="60">
        <f t="shared" si="333"/>
        <v>1840</v>
      </c>
      <c r="B750" s="60">
        <f t="shared" si="334"/>
        <v>1840</v>
      </c>
      <c r="C750" s="60">
        <f t="shared" si="334"/>
        <v>0</v>
      </c>
      <c r="D750" s="60">
        <f t="shared" si="335"/>
        <v>0</v>
      </c>
      <c r="E750" s="60">
        <v>0</v>
      </c>
      <c r="F750" s="60">
        <v>0</v>
      </c>
      <c r="G750" s="60">
        <f t="shared" si="336"/>
        <v>1840</v>
      </c>
      <c r="H750" s="60">
        <f>1630+210</f>
        <v>1840</v>
      </c>
      <c r="I750" s="60">
        <v>0</v>
      </c>
      <c r="J750" s="65" t="s">
        <v>222</v>
      </c>
      <c r="K750" s="66" t="s">
        <v>484</v>
      </c>
      <c r="L750" s="55"/>
    </row>
    <row r="751" spans="1:12" ht="12.75" customHeight="1" thickBot="1" x14ac:dyDescent="0.25">
      <c r="A751" s="60">
        <f t="shared" ref="A751:H751" si="339">SUM(A749:A750)</f>
        <v>6549</v>
      </c>
      <c r="B751" s="60">
        <f t="shared" si="339"/>
        <v>6549</v>
      </c>
      <c r="C751" s="60">
        <f t="shared" si="339"/>
        <v>0</v>
      </c>
      <c r="D751" s="60">
        <f t="shared" si="339"/>
        <v>0</v>
      </c>
      <c r="E751" s="60">
        <f t="shared" si="339"/>
        <v>0</v>
      </c>
      <c r="F751" s="60">
        <f t="shared" si="339"/>
        <v>0</v>
      </c>
      <c r="G751" s="60">
        <f t="shared" si="339"/>
        <v>6549</v>
      </c>
      <c r="H751" s="60">
        <f t="shared" si="339"/>
        <v>6549</v>
      </c>
      <c r="I751" s="60">
        <f>SUM(I749:I750)</f>
        <v>0</v>
      </c>
      <c r="J751" s="65" t="s">
        <v>13</v>
      </c>
      <c r="K751" s="67"/>
      <c r="L751" s="55"/>
    </row>
    <row r="752" spans="1:12" ht="12.75" customHeight="1" thickBot="1" x14ac:dyDescent="0.25">
      <c r="A752" s="60">
        <f t="shared" si="333"/>
        <v>4069</v>
      </c>
      <c r="B752" s="60">
        <f t="shared" si="334"/>
        <v>4069</v>
      </c>
      <c r="C752" s="60">
        <f t="shared" si="334"/>
        <v>0</v>
      </c>
      <c r="D752" s="60">
        <f t="shared" si="335"/>
        <v>0</v>
      </c>
      <c r="E752" s="60">
        <v>0</v>
      </c>
      <c r="F752" s="60">
        <v>0</v>
      </c>
      <c r="G752" s="60">
        <f t="shared" si="336"/>
        <v>4069</v>
      </c>
      <c r="H752" s="60">
        <f>3929+140</f>
        <v>4069</v>
      </c>
      <c r="I752" s="60">
        <v>0</v>
      </c>
      <c r="J752" s="65" t="s">
        <v>221</v>
      </c>
      <c r="K752" s="66"/>
      <c r="L752" s="55"/>
    </row>
    <row r="753" spans="1:12" ht="12.75" customHeight="1" thickBot="1" x14ac:dyDescent="0.25">
      <c r="A753" s="60">
        <f t="shared" si="333"/>
        <v>0</v>
      </c>
      <c r="B753" s="60">
        <f t="shared" si="334"/>
        <v>0</v>
      </c>
      <c r="C753" s="60">
        <f t="shared" si="334"/>
        <v>0</v>
      </c>
      <c r="D753" s="60">
        <f t="shared" si="335"/>
        <v>0</v>
      </c>
      <c r="E753" s="60">
        <v>0</v>
      </c>
      <c r="F753" s="60">
        <v>0</v>
      </c>
      <c r="G753" s="60">
        <f t="shared" si="336"/>
        <v>0</v>
      </c>
      <c r="H753" s="60">
        <v>0</v>
      </c>
      <c r="I753" s="60">
        <v>0</v>
      </c>
      <c r="J753" s="65" t="s">
        <v>222</v>
      </c>
      <c r="K753" s="66" t="s">
        <v>575</v>
      </c>
      <c r="L753" s="55"/>
    </row>
    <row r="754" spans="1:12" ht="12.75" customHeight="1" thickBot="1" x14ac:dyDescent="0.25">
      <c r="A754" s="60">
        <f t="shared" ref="A754:H754" si="340">SUM(A752:A753)</f>
        <v>4069</v>
      </c>
      <c r="B754" s="60">
        <f t="shared" si="340"/>
        <v>4069</v>
      </c>
      <c r="C754" s="60">
        <f t="shared" si="340"/>
        <v>0</v>
      </c>
      <c r="D754" s="60">
        <f t="shared" si="340"/>
        <v>0</v>
      </c>
      <c r="E754" s="60">
        <f t="shared" si="340"/>
        <v>0</v>
      </c>
      <c r="F754" s="60">
        <f t="shared" si="340"/>
        <v>0</v>
      </c>
      <c r="G754" s="60">
        <f t="shared" si="340"/>
        <v>4069</v>
      </c>
      <c r="H754" s="60">
        <f t="shared" si="340"/>
        <v>4069</v>
      </c>
      <c r="I754" s="60">
        <f>SUM(I752:I753)</f>
        <v>0</v>
      </c>
      <c r="J754" s="65" t="s">
        <v>13</v>
      </c>
      <c r="K754" s="67"/>
      <c r="L754" s="55"/>
    </row>
    <row r="755" spans="1:12" ht="12.75" customHeight="1" thickBot="1" x14ac:dyDescent="0.25">
      <c r="A755" s="60">
        <f t="shared" si="333"/>
        <v>579</v>
      </c>
      <c r="B755" s="60">
        <f t="shared" si="334"/>
        <v>177</v>
      </c>
      <c r="C755" s="60">
        <f t="shared" si="334"/>
        <v>402</v>
      </c>
      <c r="D755" s="60">
        <f t="shared" si="335"/>
        <v>0</v>
      </c>
      <c r="E755" s="60">
        <v>0</v>
      </c>
      <c r="F755" s="60">
        <v>0</v>
      </c>
      <c r="G755" s="60">
        <f t="shared" si="336"/>
        <v>579</v>
      </c>
      <c r="H755" s="60">
        <f>127+50</f>
        <v>177</v>
      </c>
      <c r="I755" s="60">
        <v>402</v>
      </c>
      <c r="J755" s="65" t="s">
        <v>221</v>
      </c>
      <c r="K755" s="66"/>
      <c r="L755" s="55"/>
    </row>
    <row r="756" spans="1:12" ht="12.75" customHeight="1" thickBot="1" x14ac:dyDescent="0.25">
      <c r="A756" s="60">
        <f t="shared" si="333"/>
        <v>0</v>
      </c>
      <c r="B756" s="60">
        <f t="shared" si="334"/>
        <v>0</v>
      </c>
      <c r="C756" s="60">
        <f t="shared" si="334"/>
        <v>0</v>
      </c>
      <c r="D756" s="60">
        <f t="shared" si="335"/>
        <v>0</v>
      </c>
      <c r="E756" s="60">
        <v>0</v>
      </c>
      <c r="F756" s="60">
        <v>0</v>
      </c>
      <c r="G756" s="60">
        <f t="shared" si="336"/>
        <v>0</v>
      </c>
      <c r="H756" s="60">
        <v>0</v>
      </c>
      <c r="I756" s="60">
        <v>0</v>
      </c>
      <c r="J756" s="65" t="s">
        <v>222</v>
      </c>
      <c r="K756" s="66" t="s">
        <v>117</v>
      </c>
      <c r="L756" s="55"/>
    </row>
    <row r="757" spans="1:12" ht="12.75" customHeight="1" thickBot="1" x14ac:dyDescent="0.25">
      <c r="A757" s="60">
        <f t="shared" ref="A757:H757" si="341">SUM(A755:A756)</f>
        <v>579</v>
      </c>
      <c r="B757" s="60">
        <f t="shared" si="341"/>
        <v>177</v>
      </c>
      <c r="C757" s="60">
        <f t="shared" si="341"/>
        <v>402</v>
      </c>
      <c r="D757" s="60">
        <f t="shared" si="341"/>
        <v>0</v>
      </c>
      <c r="E757" s="60">
        <f t="shared" si="341"/>
        <v>0</v>
      </c>
      <c r="F757" s="60">
        <f t="shared" si="341"/>
        <v>0</v>
      </c>
      <c r="G757" s="60">
        <f t="shared" si="341"/>
        <v>579</v>
      </c>
      <c r="H757" s="60">
        <f t="shared" si="341"/>
        <v>177</v>
      </c>
      <c r="I757" s="60">
        <f>SUM(I755:I756)</f>
        <v>402</v>
      </c>
      <c r="J757" s="65" t="s">
        <v>13</v>
      </c>
      <c r="K757" s="67"/>
      <c r="L757" s="55"/>
    </row>
    <row r="758" spans="1:12" ht="12.75" customHeight="1" thickBot="1" x14ac:dyDescent="0.25">
      <c r="A758" s="60">
        <f t="shared" si="333"/>
        <v>2771</v>
      </c>
      <c r="B758" s="60">
        <f t="shared" si="334"/>
        <v>0</v>
      </c>
      <c r="C758" s="60">
        <f t="shared" si="334"/>
        <v>2771</v>
      </c>
      <c r="D758" s="60">
        <f t="shared" si="335"/>
        <v>46</v>
      </c>
      <c r="E758" s="60">
        <v>0</v>
      </c>
      <c r="F758" s="60">
        <v>46</v>
      </c>
      <c r="G758" s="60">
        <f t="shared" si="336"/>
        <v>2725</v>
      </c>
      <c r="H758" s="60">
        <v>0</v>
      </c>
      <c r="I758" s="60">
        <v>2725</v>
      </c>
      <c r="J758" s="65" t="s">
        <v>221</v>
      </c>
      <c r="K758" s="66"/>
      <c r="L758" s="55"/>
    </row>
    <row r="759" spans="1:12" ht="12.75" customHeight="1" thickBot="1" x14ac:dyDescent="0.25">
      <c r="A759" s="60">
        <f t="shared" si="333"/>
        <v>0</v>
      </c>
      <c r="B759" s="60">
        <f t="shared" si="334"/>
        <v>0</v>
      </c>
      <c r="C759" s="60">
        <f t="shared" si="334"/>
        <v>0</v>
      </c>
      <c r="D759" s="60">
        <f t="shared" si="335"/>
        <v>0</v>
      </c>
      <c r="E759" s="60">
        <v>0</v>
      </c>
      <c r="F759" s="60">
        <v>0</v>
      </c>
      <c r="G759" s="60">
        <f t="shared" si="336"/>
        <v>0</v>
      </c>
      <c r="H759" s="60">
        <v>0</v>
      </c>
      <c r="I759" s="60">
        <v>0</v>
      </c>
      <c r="J759" s="65" t="s">
        <v>222</v>
      </c>
      <c r="K759" s="66" t="s">
        <v>486</v>
      </c>
      <c r="L759" s="55"/>
    </row>
    <row r="760" spans="1:12" ht="12.75" customHeight="1" thickBot="1" x14ac:dyDescent="0.25">
      <c r="A760" s="60">
        <f t="shared" ref="A760:H760" si="342">SUM(A758:A759)</f>
        <v>2771</v>
      </c>
      <c r="B760" s="60">
        <f t="shared" si="342"/>
        <v>0</v>
      </c>
      <c r="C760" s="60">
        <f t="shared" si="342"/>
        <v>2771</v>
      </c>
      <c r="D760" s="60">
        <f t="shared" si="342"/>
        <v>46</v>
      </c>
      <c r="E760" s="60">
        <f t="shared" si="342"/>
        <v>0</v>
      </c>
      <c r="F760" s="60">
        <f t="shared" si="342"/>
        <v>46</v>
      </c>
      <c r="G760" s="60">
        <f t="shared" si="342"/>
        <v>2725</v>
      </c>
      <c r="H760" s="60">
        <f t="shared" si="342"/>
        <v>0</v>
      </c>
      <c r="I760" s="60">
        <f>SUM(I758:I759)</f>
        <v>2725</v>
      </c>
      <c r="J760" s="65" t="s">
        <v>13</v>
      </c>
      <c r="K760" s="67"/>
      <c r="L760" s="55"/>
    </row>
    <row r="761" spans="1:12" ht="12.75" customHeight="1" thickBot="1" x14ac:dyDescent="0.25">
      <c r="A761" s="60">
        <f t="shared" ref="A761:I763" si="343">A743+A746+A749+A752+A755+A758</f>
        <v>13307</v>
      </c>
      <c r="B761" s="60">
        <f t="shared" si="343"/>
        <v>9450</v>
      </c>
      <c r="C761" s="60">
        <f t="shared" si="343"/>
        <v>3857</v>
      </c>
      <c r="D761" s="60">
        <f t="shared" si="343"/>
        <v>58</v>
      </c>
      <c r="E761" s="60">
        <f t="shared" si="343"/>
        <v>0</v>
      </c>
      <c r="F761" s="60">
        <f t="shared" si="343"/>
        <v>58</v>
      </c>
      <c r="G761" s="60">
        <f t="shared" si="343"/>
        <v>13249</v>
      </c>
      <c r="H761" s="60">
        <f t="shared" si="343"/>
        <v>9450</v>
      </c>
      <c r="I761" s="60">
        <f>I743+I746+I749+I752+I755+I758</f>
        <v>3799</v>
      </c>
      <c r="J761" s="65" t="s">
        <v>224</v>
      </c>
      <c r="K761" s="57"/>
      <c r="L761" s="55"/>
    </row>
    <row r="762" spans="1:12" ht="12.75" customHeight="1" thickBot="1" x14ac:dyDescent="0.25">
      <c r="A762" s="60">
        <f t="shared" si="343"/>
        <v>1840</v>
      </c>
      <c r="B762" s="60">
        <f t="shared" si="343"/>
        <v>1840</v>
      </c>
      <c r="C762" s="60">
        <f t="shared" si="343"/>
        <v>0</v>
      </c>
      <c r="D762" s="60">
        <f t="shared" si="343"/>
        <v>0</v>
      </c>
      <c r="E762" s="60">
        <f t="shared" si="343"/>
        <v>0</v>
      </c>
      <c r="F762" s="60">
        <f t="shared" si="343"/>
        <v>0</v>
      </c>
      <c r="G762" s="60">
        <f t="shared" si="343"/>
        <v>1840</v>
      </c>
      <c r="H762" s="60">
        <f t="shared" si="343"/>
        <v>1840</v>
      </c>
      <c r="I762" s="60">
        <f t="shared" si="343"/>
        <v>0</v>
      </c>
      <c r="J762" s="65" t="s">
        <v>225</v>
      </c>
      <c r="K762" s="68" t="s">
        <v>211</v>
      </c>
      <c r="L762" s="55"/>
    </row>
    <row r="763" spans="1:12" ht="12.75" customHeight="1" thickBot="1" x14ac:dyDescent="0.25">
      <c r="A763" s="60">
        <f t="shared" si="343"/>
        <v>15147</v>
      </c>
      <c r="B763" s="60">
        <f t="shared" si="343"/>
        <v>11290</v>
      </c>
      <c r="C763" s="60">
        <f t="shared" si="343"/>
        <v>3857</v>
      </c>
      <c r="D763" s="60">
        <f t="shared" si="343"/>
        <v>58</v>
      </c>
      <c r="E763" s="60">
        <f t="shared" si="343"/>
        <v>0</v>
      </c>
      <c r="F763" s="60">
        <f t="shared" si="343"/>
        <v>58</v>
      </c>
      <c r="G763" s="60">
        <f t="shared" si="343"/>
        <v>15089</v>
      </c>
      <c r="H763" s="60">
        <f t="shared" si="343"/>
        <v>11290</v>
      </c>
      <c r="I763" s="60">
        <f t="shared" si="343"/>
        <v>3799</v>
      </c>
      <c r="J763" s="65" t="s">
        <v>13</v>
      </c>
      <c r="K763" s="59"/>
      <c r="L763" s="55"/>
    </row>
    <row r="764" spans="1:12" ht="12.75" customHeight="1" x14ac:dyDescent="0.2">
      <c r="A764" s="177" t="s">
        <v>560</v>
      </c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55"/>
    </row>
    <row r="765" spans="1:12" ht="12.75" customHeight="1" thickBot="1" x14ac:dyDescent="0.25">
      <c r="A765" s="178" t="s">
        <v>561</v>
      </c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55"/>
    </row>
    <row r="766" spans="1:12" ht="12.75" customHeight="1" thickBot="1" x14ac:dyDescent="0.25">
      <c r="A766" s="179" t="s">
        <v>5</v>
      </c>
      <c r="B766" s="179"/>
      <c r="C766" s="179"/>
      <c r="D766" s="179" t="s">
        <v>162</v>
      </c>
      <c r="E766" s="179"/>
      <c r="F766" s="179"/>
      <c r="G766" s="179" t="s">
        <v>163</v>
      </c>
      <c r="H766" s="179"/>
      <c r="I766" s="179"/>
      <c r="J766" s="179" t="s">
        <v>72</v>
      </c>
      <c r="K766" s="179"/>
      <c r="L766" s="55"/>
    </row>
    <row r="767" spans="1:12" ht="12.75" customHeight="1" thickBot="1" x14ac:dyDescent="0.25">
      <c r="A767" s="58" t="s">
        <v>216</v>
      </c>
      <c r="B767" s="58" t="s">
        <v>11</v>
      </c>
      <c r="C767" s="58" t="s">
        <v>10</v>
      </c>
      <c r="D767" s="58" t="s">
        <v>216</v>
      </c>
      <c r="E767" s="58" t="s">
        <v>11</v>
      </c>
      <c r="F767" s="58" t="s">
        <v>10</v>
      </c>
      <c r="G767" s="58" t="s">
        <v>216</v>
      </c>
      <c r="H767" s="58" t="s">
        <v>11</v>
      </c>
      <c r="I767" s="58" t="s">
        <v>10</v>
      </c>
      <c r="J767" s="180" t="s">
        <v>120</v>
      </c>
      <c r="K767" s="180"/>
      <c r="L767" s="55"/>
    </row>
    <row r="768" spans="1:12" ht="12.75" customHeight="1" thickBot="1" x14ac:dyDescent="0.25">
      <c r="A768" s="60">
        <f>SUM(B768:C768)</f>
        <v>4094</v>
      </c>
      <c r="B768" s="60">
        <f>H768+E768</f>
        <v>508</v>
      </c>
      <c r="C768" s="60">
        <f>I768+F768</f>
        <v>3586</v>
      </c>
      <c r="D768" s="60">
        <f>SUM(E768:F768)</f>
        <v>0</v>
      </c>
      <c r="E768" s="60">
        <v>0</v>
      </c>
      <c r="F768" s="60">
        <v>0</v>
      </c>
      <c r="G768" s="60">
        <f>SUM(H768:I768)</f>
        <v>4094</v>
      </c>
      <c r="H768" s="60">
        <f>388+120</f>
        <v>508</v>
      </c>
      <c r="I768" s="60">
        <f>3545+220-179</f>
        <v>3586</v>
      </c>
      <c r="J768" s="65" t="s">
        <v>221</v>
      </c>
      <c r="K768" s="66"/>
      <c r="L768" s="55"/>
    </row>
    <row r="769" spans="1:12" ht="12.75" customHeight="1" thickBot="1" x14ac:dyDescent="0.25">
      <c r="A769" s="60">
        <f t="shared" ref="A769:A793" si="344">SUM(B769:C769)</f>
        <v>0</v>
      </c>
      <c r="B769" s="60">
        <f t="shared" ref="B769:C793" si="345">H769+E769</f>
        <v>0</v>
      </c>
      <c r="C769" s="60">
        <f t="shared" si="345"/>
        <v>0</v>
      </c>
      <c r="D769" s="60">
        <f t="shared" ref="D769:D793" si="346">SUM(E769:F769)</f>
        <v>0</v>
      </c>
      <c r="E769" s="60">
        <v>0</v>
      </c>
      <c r="F769" s="60">
        <v>0</v>
      </c>
      <c r="G769" s="60">
        <f t="shared" ref="G769:G793" si="347">SUM(H769:I769)</f>
        <v>0</v>
      </c>
      <c r="H769" s="60">
        <v>0</v>
      </c>
      <c r="I769" s="60">
        <v>0</v>
      </c>
      <c r="J769" s="65" t="s">
        <v>222</v>
      </c>
      <c r="K769" s="66" t="s">
        <v>359</v>
      </c>
      <c r="L769" s="55"/>
    </row>
    <row r="770" spans="1:12" ht="12.75" customHeight="1" thickBot="1" x14ac:dyDescent="0.25">
      <c r="A770" s="60">
        <f t="shared" ref="A770:H770" si="348">SUM(A768:A769)</f>
        <v>4094</v>
      </c>
      <c r="B770" s="60">
        <f t="shared" si="348"/>
        <v>508</v>
      </c>
      <c r="C770" s="60">
        <f t="shared" si="348"/>
        <v>3586</v>
      </c>
      <c r="D770" s="60">
        <f t="shared" si="348"/>
        <v>0</v>
      </c>
      <c r="E770" s="60">
        <f t="shared" si="348"/>
        <v>0</v>
      </c>
      <c r="F770" s="60">
        <f t="shared" si="348"/>
        <v>0</v>
      </c>
      <c r="G770" s="60">
        <f t="shared" si="348"/>
        <v>4094</v>
      </c>
      <c r="H770" s="60">
        <f t="shared" si="348"/>
        <v>508</v>
      </c>
      <c r="I770" s="60">
        <f>SUM(I768:I769)</f>
        <v>3586</v>
      </c>
      <c r="J770" s="65" t="s">
        <v>13</v>
      </c>
      <c r="K770" s="67"/>
      <c r="L770" s="55"/>
    </row>
    <row r="771" spans="1:12" ht="12.75" customHeight="1" thickBot="1" x14ac:dyDescent="0.25">
      <c r="A771" s="60">
        <f t="shared" si="344"/>
        <v>452</v>
      </c>
      <c r="B771" s="60">
        <f t="shared" si="345"/>
        <v>148</v>
      </c>
      <c r="C771" s="60">
        <f t="shared" si="345"/>
        <v>304</v>
      </c>
      <c r="D771" s="60">
        <f t="shared" si="346"/>
        <v>0</v>
      </c>
      <c r="E771" s="60">
        <v>0</v>
      </c>
      <c r="F771" s="60">
        <v>0</v>
      </c>
      <c r="G771" s="60">
        <f t="shared" si="347"/>
        <v>452</v>
      </c>
      <c r="H771" s="60">
        <v>148</v>
      </c>
      <c r="I771" s="60">
        <f>207+97</f>
        <v>304</v>
      </c>
      <c r="J771" s="65" t="s">
        <v>221</v>
      </c>
      <c r="K771" s="66"/>
      <c r="L771" s="55"/>
    </row>
    <row r="772" spans="1:12" ht="12.75" customHeight="1" thickBot="1" x14ac:dyDescent="0.25">
      <c r="A772" s="60">
        <f t="shared" si="344"/>
        <v>0</v>
      </c>
      <c r="B772" s="60">
        <f t="shared" si="345"/>
        <v>0</v>
      </c>
      <c r="C772" s="60">
        <f t="shared" si="345"/>
        <v>0</v>
      </c>
      <c r="D772" s="60">
        <f t="shared" si="346"/>
        <v>0</v>
      </c>
      <c r="E772" s="60">
        <v>0</v>
      </c>
      <c r="F772" s="60">
        <v>0</v>
      </c>
      <c r="G772" s="60">
        <f t="shared" si="347"/>
        <v>0</v>
      </c>
      <c r="H772" s="60">
        <v>0</v>
      </c>
      <c r="I772" s="60">
        <v>0</v>
      </c>
      <c r="J772" s="65" t="s">
        <v>222</v>
      </c>
      <c r="K772" s="66" t="s">
        <v>264</v>
      </c>
      <c r="L772" s="55"/>
    </row>
    <row r="773" spans="1:12" ht="12.75" customHeight="1" thickBot="1" x14ac:dyDescent="0.25">
      <c r="A773" s="60">
        <f t="shared" ref="A773:H773" si="349">SUM(A771:A772)</f>
        <v>452</v>
      </c>
      <c r="B773" s="60">
        <f t="shared" si="349"/>
        <v>148</v>
      </c>
      <c r="C773" s="60">
        <f t="shared" si="349"/>
        <v>304</v>
      </c>
      <c r="D773" s="60">
        <f t="shared" si="349"/>
        <v>0</v>
      </c>
      <c r="E773" s="60">
        <f t="shared" si="349"/>
        <v>0</v>
      </c>
      <c r="F773" s="60">
        <f t="shared" si="349"/>
        <v>0</v>
      </c>
      <c r="G773" s="60">
        <f t="shared" si="349"/>
        <v>452</v>
      </c>
      <c r="H773" s="60">
        <f t="shared" si="349"/>
        <v>148</v>
      </c>
      <c r="I773" s="60">
        <f>SUM(I771:I772)</f>
        <v>304</v>
      </c>
      <c r="J773" s="65" t="s">
        <v>13</v>
      </c>
      <c r="K773" s="67"/>
      <c r="L773" s="55"/>
    </row>
    <row r="774" spans="1:12" ht="12.75" customHeight="1" thickBot="1" x14ac:dyDescent="0.25">
      <c r="A774" s="60">
        <f t="shared" si="344"/>
        <v>448</v>
      </c>
      <c r="B774" s="60">
        <f t="shared" si="345"/>
        <v>0</v>
      </c>
      <c r="C774" s="60">
        <f t="shared" si="345"/>
        <v>448</v>
      </c>
      <c r="D774" s="60">
        <f t="shared" si="346"/>
        <v>0</v>
      </c>
      <c r="E774" s="60">
        <v>0</v>
      </c>
      <c r="F774" s="60">
        <v>0</v>
      </c>
      <c r="G774" s="60">
        <f t="shared" si="347"/>
        <v>448</v>
      </c>
      <c r="H774" s="60">
        <v>0</v>
      </c>
      <c r="I774" s="60">
        <v>448</v>
      </c>
      <c r="J774" s="65" t="s">
        <v>221</v>
      </c>
      <c r="K774" s="66"/>
      <c r="L774" s="55"/>
    </row>
    <row r="775" spans="1:12" ht="12.75" customHeight="1" thickBot="1" x14ac:dyDescent="0.25">
      <c r="A775" s="60">
        <f t="shared" si="344"/>
        <v>0</v>
      </c>
      <c r="B775" s="60">
        <f t="shared" si="345"/>
        <v>0</v>
      </c>
      <c r="C775" s="60">
        <f t="shared" si="345"/>
        <v>0</v>
      </c>
      <c r="D775" s="60">
        <f t="shared" si="346"/>
        <v>0</v>
      </c>
      <c r="E775" s="60">
        <v>0</v>
      </c>
      <c r="F775" s="60">
        <v>0</v>
      </c>
      <c r="G775" s="60">
        <f t="shared" si="347"/>
        <v>0</v>
      </c>
      <c r="H775" s="60">
        <v>0</v>
      </c>
      <c r="I775" s="60">
        <v>0</v>
      </c>
      <c r="J775" s="65" t="s">
        <v>222</v>
      </c>
      <c r="K775" s="66" t="s">
        <v>377</v>
      </c>
      <c r="L775" s="55"/>
    </row>
    <row r="776" spans="1:12" ht="12.75" customHeight="1" thickBot="1" x14ac:dyDescent="0.25">
      <c r="A776" s="60">
        <f t="shared" ref="A776:H776" si="350">SUM(A774:A775)</f>
        <v>448</v>
      </c>
      <c r="B776" s="60">
        <f t="shared" si="350"/>
        <v>0</v>
      </c>
      <c r="C776" s="60">
        <f t="shared" si="350"/>
        <v>448</v>
      </c>
      <c r="D776" s="60">
        <f t="shared" si="350"/>
        <v>0</v>
      </c>
      <c r="E776" s="60">
        <f t="shared" si="350"/>
        <v>0</v>
      </c>
      <c r="F776" s="60">
        <f t="shared" si="350"/>
        <v>0</v>
      </c>
      <c r="G776" s="60">
        <f t="shared" si="350"/>
        <v>448</v>
      </c>
      <c r="H776" s="60">
        <f t="shared" si="350"/>
        <v>0</v>
      </c>
      <c r="I776" s="60">
        <f>SUM(I774:I775)</f>
        <v>448</v>
      </c>
      <c r="J776" s="65" t="s">
        <v>13</v>
      </c>
      <c r="K776" s="67"/>
      <c r="L776" s="55"/>
    </row>
    <row r="777" spans="1:12" ht="12.75" customHeight="1" thickBot="1" x14ac:dyDescent="0.25">
      <c r="A777" s="60">
        <f t="shared" si="344"/>
        <v>1048</v>
      </c>
      <c r="B777" s="60">
        <f t="shared" si="345"/>
        <v>0</v>
      </c>
      <c r="C777" s="60">
        <f t="shared" si="345"/>
        <v>1048</v>
      </c>
      <c r="D777" s="60">
        <f t="shared" si="346"/>
        <v>0</v>
      </c>
      <c r="E777" s="60">
        <v>0</v>
      </c>
      <c r="F777" s="60">
        <v>0</v>
      </c>
      <c r="G777" s="60">
        <f t="shared" si="347"/>
        <v>1048</v>
      </c>
      <c r="H777" s="60">
        <v>0</v>
      </c>
      <c r="I777" s="60">
        <f>918+130</f>
        <v>1048</v>
      </c>
      <c r="J777" s="65" t="s">
        <v>221</v>
      </c>
      <c r="K777" s="66"/>
      <c r="L777" s="55"/>
    </row>
    <row r="778" spans="1:12" ht="12.75" customHeight="1" thickBot="1" x14ac:dyDescent="0.25">
      <c r="A778" s="60">
        <f t="shared" si="344"/>
        <v>0</v>
      </c>
      <c r="B778" s="60">
        <f t="shared" si="345"/>
        <v>0</v>
      </c>
      <c r="C778" s="60">
        <f t="shared" si="345"/>
        <v>0</v>
      </c>
      <c r="D778" s="60">
        <f t="shared" si="346"/>
        <v>0</v>
      </c>
      <c r="E778" s="60">
        <v>0</v>
      </c>
      <c r="F778" s="60">
        <v>0</v>
      </c>
      <c r="G778" s="60">
        <f t="shared" si="347"/>
        <v>0</v>
      </c>
      <c r="H778" s="60">
        <v>0</v>
      </c>
      <c r="I778" s="60">
        <v>0</v>
      </c>
      <c r="J778" s="65" t="s">
        <v>222</v>
      </c>
      <c r="K778" s="66" t="s">
        <v>119</v>
      </c>
      <c r="L778" s="55"/>
    </row>
    <row r="779" spans="1:12" ht="12.75" customHeight="1" thickBot="1" x14ac:dyDescent="0.25">
      <c r="A779" s="60">
        <f t="shared" ref="A779:H779" si="351">SUM(A777:A778)</f>
        <v>1048</v>
      </c>
      <c r="B779" s="60">
        <f t="shared" si="351"/>
        <v>0</v>
      </c>
      <c r="C779" s="60">
        <f t="shared" si="351"/>
        <v>1048</v>
      </c>
      <c r="D779" s="60">
        <f t="shared" si="351"/>
        <v>0</v>
      </c>
      <c r="E779" s="60">
        <f t="shared" si="351"/>
        <v>0</v>
      </c>
      <c r="F779" s="60">
        <f t="shared" si="351"/>
        <v>0</v>
      </c>
      <c r="G779" s="60">
        <f t="shared" si="351"/>
        <v>1048</v>
      </c>
      <c r="H779" s="60">
        <f t="shared" si="351"/>
        <v>0</v>
      </c>
      <c r="I779" s="60">
        <f>SUM(I777:I778)</f>
        <v>1048</v>
      </c>
      <c r="J779" s="65" t="s">
        <v>13</v>
      </c>
      <c r="K779" s="67"/>
      <c r="L779" s="55"/>
    </row>
    <row r="780" spans="1:12" ht="12.75" customHeight="1" thickBot="1" x14ac:dyDescent="0.25">
      <c r="A780" s="60">
        <f t="shared" si="344"/>
        <v>936</v>
      </c>
      <c r="B780" s="60">
        <f t="shared" si="345"/>
        <v>936</v>
      </c>
      <c r="C780" s="60">
        <f t="shared" si="345"/>
        <v>0</v>
      </c>
      <c r="D780" s="60">
        <f t="shared" si="346"/>
        <v>0</v>
      </c>
      <c r="E780" s="60">
        <v>0</v>
      </c>
      <c r="F780" s="60">
        <v>0</v>
      </c>
      <c r="G780" s="60">
        <f t="shared" si="347"/>
        <v>936</v>
      </c>
      <c r="H780" s="60">
        <v>936</v>
      </c>
      <c r="I780" s="60">
        <v>0</v>
      </c>
      <c r="J780" s="65" t="s">
        <v>221</v>
      </c>
      <c r="K780" s="66"/>
      <c r="L780" s="55"/>
    </row>
    <row r="781" spans="1:12" ht="12.75" customHeight="1" thickBot="1" x14ac:dyDescent="0.25">
      <c r="A781" s="60">
        <f t="shared" si="344"/>
        <v>9</v>
      </c>
      <c r="B781" s="60">
        <f t="shared" si="345"/>
        <v>9</v>
      </c>
      <c r="C781" s="60">
        <f t="shared" si="345"/>
        <v>0</v>
      </c>
      <c r="D781" s="60">
        <f t="shared" si="346"/>
        <v>0</v>
      </c>
      <c r="E781" s="60">
        <v>0</v>
      </c>
      <c r="F781" s="60">
        <v>0</v>
      </c>
      <c r="G781" s="60">
        <f t="shared" si="347"/>
        <v>9</v>
      </c>
      <c r="H781" s="60">
        <v>9</v>
      </c>
      <c r="I781" s="60">
        <v>0</v>
      </c>
      <c r="J781" s="65" t="s">
        <v>222</v>
      </c>
      <c r="K781" s="66" t="s">
        <v>487</v>
      </c>
      <c r="L781" s="55"/>
    </row>
    <row r="782" spans="1:12" ht="12.75" customHeight="1" thickBot="1" x14ac:dyDescent="0.25">
      <c r="A782" s="60">
        <f t="shared" ref="A782:H782" si="352">SUM(A780:A781)</f>
        <v>945</v>
      </c>
      <c r="B782" s="60">
        <f t="shared" si="352"/>
        <v>945</v>
      </c>
      <c r="C782" s="60">
        <f t="shared" si="352"/>
        <v>0</v>
      </c>
      <c r="D782" s="60">
        <f t="shared" si="352"/>
        <v>0</v>
      </c>
      <c r="E782" s="60">
        <f t="shared" si="352"/>
        <v>0</v>
      </c>
      <c r="F782" s="60">
        <f t="shared" si="352"/>
        <v>0</v>
      </c>
      <c r="G782" s="60">
        <f t="shared" si="352"/>
        <v>945</v>
      </c>
      <c r="H782" s="60">
        <f t="shared" si="352"/>
        <v>945</v>
      </c>
      <c r="I782" s="60">
        <f>SUM(I780:I781)</f>
        <v>0</v>
      </c>
      <c r="J782" s="65" t="s">
        <v>13</v>
      </c>
      <c r="K782" s="67"/>
      <c r="L782" s="55"/>
    </row>
    <row r="783" spans="1:12" ht="12.75" customHeight="1" thickBot="1" x14ac:dyDescent="0.25">
      <c r="A783" s="60">
        <f t="shared" si="344"/>
        <v>3087</v>
      </c>
      <c r="B783" s="60">
        <f t="shared" si="345"/>
        <v>3087</v>
      </c>
      <c r="C783" s="60">
        <f t="shared" si="345"/>
        <v>0</v>
      </c>
      <c r="D783" s="60">
        <f t="shared" si="346"/>
        <v>0</v>
      </c>
      <c r="E783" s="60">
        <v>0</v>
      </c>
      <c r="F783" s="60">
        <v>0</v>
      </c>
      <c r="G783" s="60">
        <f t="shared" si="347"/>
        <v>3087</v>
      </c>
      <c r="H783" s="60">
        <f>3164+109-186</f>
        <v>3087</v>
      </c>
      <c r="I783" s="60">
        <v>0</v>
      </c>
      <c r="J783" s="65" t="s">
        <v>221</v>
      </c>
      <c r="K783" s="66"/>
      <c r="L783" s="55"/>
    </row>
    <row r="784" spans="1:12" ht="12.75" customHeight="1" thickBot="1" x14ac:dyDescent="0.25">
      <c r="A784" s="60">
        <f t="shared" si="344"/>
        <v>370</v>
      </c>
      <c r="B784" s="60">
        <f t="shared" si="345"/>
        <v>370</v>
      </c>
      <c r="C784" s="60">
        <f t="shared" si="345"/>
        <v>0</v>
      </c>
      <c r="D784" s="60">
        <f t="shared" si="346"/>
        <v>0</v>
      </c>
      <c r="E784" s="60">
        <v>0</v>
      </c>
      <c r="F784" s="60">
        <v>0</v>
      </c>
      <c r="G784" s="60">
        <f t="shared" si="347"/>
        <v>370</v>
      </c>
      <c r="H784" s="60">
        <v>370</v>
      </c>
      <c r="I784" s="60">
        <v>0</v>
      </c>
      <c r="J784" s="65" t="s">
        <v>222</v>
      </c>
      <c r="K784" s="66" t="s">
        <v>488</v>
      </c>
      <c r="L784" s="55"/>
    </row>
    <row r="785" spans="1:12" ht="12.75" customHeight="1" thickBot="1" x14ac:dyDescent="0.25">
      <c r="A785" s="60">
        <f t="shared" ref="A785:H785" si="353">SUM(A783:A784)</f>
        <v>3457</v>
      </c>
      <c r="B785" s="60">
        <f t="shared" si="353"/>
        <v>3457</v>
      </c>
      <c r="C785" s="60">
        <f t="shared" si="353"/>
        <v>0</v>
      </c>
      <c r="D785" s="60">
        <f t="shared" si="353"/>
        <v>0</v>
      </c>
      <c r="E785" s="60">
        <f t="shared" si="353"/>
        <v>0</v>
      </c>
      <c r="F785" s="60">
        <f t="shared" si="353"/>
        <v>0</v>
      </c>
      <c r="G785" s="60">
        <f t="shared" si="353"/>
        <v>3457</v>
      </c>
      <c r="H785" s="60">
        <f t="shared" si="353"/>
        <v>3457</v>
      </c>
      <c r="I785" s="60">
        <f>SUM(I783:I784)</f>
        <v>0</v>
      </c>
      <c r="J785" s="65" t="s">
        <v>13</v>
      </c>
      <c r="K785" s="67"/>
      <c r="L785" s="55"/>
    </row>
    <row r="786" spans="1:12" ht="12.75" customHeight="1" thickBot="1" x14ac:dyDescent="0.25">
      <c r="A786" s="60">
        <f t="shared" si="344"/>
        <v>2430</v>
      </c>
      <c r="B786" s="60">
        <f t="shared" si="345"/>
        <v>0</v>
      </c>
      <c r="C786" s="60">
        <f t="shared" si="345"/>
        <v>2430</v>
      </c>
      <c r="D786" s="60">
        <f t="shared" si="346"/>
        <v>0</v>
      </c>
      <c r="E786" s="60">
        <v>0</v>
      </c>
      <c r="F786" s="60">
        <v>0</v>
      </c>
      <c r="G786" s="60">
        <f t="shared" si="347"/>
        <v>2430</v>
      </c>
      <c r="H786" s="60">
        <v>0</v>
      </c>
      <c r="I786" s="60">
        <f>2456+153-179</f>
        <v>2430</v>
      </c>
      <c r="J786" s="65" t="s">
        <v>221</v>
      </c>
      <c r="K786" s="66"/>
      <c r="L786" s="55"/>
    </row>
    <row r="787" spans="1:12" ht="12.75" customHeight="1" thickBot="1" x14ac:dyDescent="0.25">
      <c r="A787" s="60">
        <f t="shared" si="344"/>
        <v>0</v>
      </c>
      <c r="B787" s="60">
        <f t="shared" si="345"/>
        <v>0</v>
      </c>
      <c r="C787" s="60">
        <f t="shared" si="345"/>
        <v>0</v>
      </c>
      <c r="D787" s="60">
        <f t="shared" si="346"/>
        <v>0</v>
      </c>
      <c r="E787" s="60">
        <v>0</v>
      </c>
      <c r="F787" s="60">
        <v>0</v>
      </c>
      <c r="G787" s="60">
        <f t="shared" si="347"/>
        <v>0</v>
      </c>
      <c r="H787" s="60">
        <v>0</v>
      </c>
      <c r="I787" s="60">
        <v>0</v>
      </c>
      <c r="J787" s="65" t="s">
        <v>222</v>
      </c>
      <c r="K787" s="66" t="s">
        <v>270</v>
      </c>
      <c r="L787" s="55"/>
    </row>
    <row r="788" spans="1:12" ht="12.75" customHeight="1" thickBot="1" x14ac:dyDescent="0.25">
      <c r="A788" s="60">
        <f t="shared" ref="A788:H788" si="354">SUM(A786:A787)</f>
        <v>2430</v>
      </c>
      <c r="B788" s="60">
        <f t="shared" si="354"/>
        <v>0</v>
      </c>
      <c r="C788" s="60">
        <f t="shared" si="354"/>
        <v>2430</v>
      </c>
      <c r="D788" s="60">
        <f t="shared" si="354"/>
        <v>0</v>
      </c>
      <c r="E788" s="60">
        <f t="shared" si="354"/>
        <v>0</v>
      </c>
      <c r="F788" s="60">
        <f t="shared" si="354"/>
        <v>0</v>
      </c>
      <c r="G788" s="60">
        <f t="shared" si="354"/>
        <v>2430</v>
      </c>
      <c r="H788" s="60">
        <f t="shared" si="354"/>
        <v>0</v>
      </c>
      <c r="I788" s="60">
        <f>SUM(I786:I787)</f>
        <v>2430</v>
      </c>
      <c r="J788" s="65" t="s">
        <v>13</v>
      </c>
      <c r="K788" s="67"/>
      <c r="L788" s="55"/>
    </row>
    <row r="789" spans="1:12" ht="12.75" customHeight="1" thickBot="1" x14ac:dyDescent="0.25">
      <c r="A789" s="60">
        <f t="shared" si="344"/>
        <v>2528</v>
      </c>
      <c r="B789" s="60">
        <f t="shared" si="345"/>
        <v>2528</v>
      </c>
      <c r="C789" s="60">
        <f t="shared" si="345"/>
        <v>0</v>
      </c>
      <c r="D789" s="60">
        <f t="shared" si="346"/>
        <v>1</v>
      </c>
      <c r="E789" s="60">
        <v>1</v>
      </c>
      <c r="F789" s="60">
        <v>0</v>
      </c>
      <c r="G789" s="60">
        <f t="shared" si="347"/>
        <v>2527</v>
      </c>
      <c r="H789" s="60">
        <f>2487+220-180</f>
        <v>2527</v>
      </c>
      <c r="I789" s="60">
        <v>0</v>
      </c>
      <c r="J789" s="65" t="s">
        <v>221</v>
      </c>
      <c r="K789" s="66"/>
      <c r="L789" s="55"/>
    </row>
    <row r="790" spans="1:12" ht="12.75" customHeight="1" thickBot="1" x14ac:dyDescent="0.25">
      <c r="A790" s="60">
        <f t="shared" si="344"/>
        <v>69</v>
      </c>
      <c r="B790" s="60">
        <f t="shared" si="345"/>
        <v>69</v>
      </c>
      <c r="C790" s="60">
        <f t="shared" si="345"/>
        <v>0</v>
      </c>
      <c r="D790" s="60">
        <f t="shared" si="346"/>
        <v>0</v>
      </c>
      <c r="E790" s="60">
        <v>0</v>
      </c>
      <c r="F790" s="60">
        <v>0</v>
      </c>
      <c r="G790" s="60">
        <f t="shared" si="347"/>
        <v>69</v>
      </c>
      <c r="H790" s="60">
        <v>69</v>
      </c>
      <c r="I790" s="60">
        <v>0</v>
      </c>
      <c r="J790" s="65" t="s">
        <v>222</v>
      </c>
      <c r="K790" s="66" t="s">
        <v>489</v>
      </c>
      <c r="L790" s="55"/>
    </row>
    <row r="791" spans="1:12" ht="12.75" customHeight="1" thickBot="1" x14ac:dyDescent="0.25">
      <c r="A791" s="60">
        <f t="shared" ref="A791:H791" si="355">SUM(A789:A790)</f>
        <v>2597</v>
      </c>
      <c r="B791" s="60">
        <f t="shared" si="355"/>
        <v>2597</v>
      </c>
      <c r="C791" s="60">
        <f t="shared" si="355"/>
        <v>0</v>
      </c>
      <c r="D791" s="60">
        <f t="shared" si="355"/>
        <v>1</v>
      </c>
      <c r="E791" s="60">
        <f t="shared" si="355"/>
        <v>1</v>
      </c>
      <c r="F791" s="60">
        <f t="shared" si="355"/>
        <v>0</v>
      </c>
      <c r="G791" s="60">
        <f t="shared" si="355"/>
        <v>2596</v>
      </c>
      <c r="H791" s="60">
        <f t="shared" si="355"/>
        <v>2596</v>
      </c>
      <c r="I791" s="60">
        <f>SUM(I789:I790)</f>
        <v>0</v>
      </c>
      <c r="J791" s="65" t="s">
        <v>13</v>
      </c>
      <c r="K791" s="67"/>
      <c r="L791" s="55"/>
    </row>
    <row r="792" spans="1:12" ht="12.75" customHeight="1" thickBot="1" x14ac:dyDescent="0.25">
      <c r="A792" s="60">
        <f t="shared" si="344"/>
        <v>45</v>
      </c>
      <c r="B792" s="60">
        <f t="shared" si="345"/>
        <v>0</v>
      </c>
      <c r="C792" s="60">
        <f t="shared" si="345"/>
        <v>45</v>
      </c>
      <c r="D792" s="60">
        <f t="shared" si="346"/>
        <v>0</v>
      </c>
      <c r="E792" s="60">
        <v>0</v>
      </c>
      <c r="F792" s="60">
        <v>0</v>
      </c>
      <c r="G792" s="60">
        <f t="shared" si="347"/>
        <v>45</v>
      </c>
      <c r="H792" s="60">
        <v>0</v>
      </c>
      <c r="I792" s="60">
        <v>45</v>
      </c>
      <c r="J792" s="65" t="s">
        <v>221</v>
      </c>
      <c r="K792" s="66"/>
      <c r="L792" s="55"/>
    </row>
    <row r="793" spans="1:12" ht="12.75" customHeight="1" thickBot="1" x14ac:dyDescent="0.25">
      <c r="A793" s="60">
        <f t="shared" si="344"/>
        <v>0</v>
      </c>
      <c r="B793" s="60">
        <f t="shared" si="345"/>
        <v>0</v>
      </c>
      <c r="C793" s="60">
        <f t="shared" si="345"/>
        <v>0</v>
      </c>
      <c r="D793" s="60">
        <f t="shared" si="346"/>
        <v>0</v>
      </c>
      <c r="E793" s="60">
        <v>0</v>
      </c>
      <c r="F793" s="60">
        <v>0</v>
      </c>
      <c r="G793" s="60">
        <f t="shared" si="347"/>
        <v>0</v>
      </c>
      <c r="H793" s="60">
        <v>0</v>
      </c>
      <c r="I793" s="60">
        <v>0</v>
      </c>
      <c r="J793" s="65" t="s">
        <v>222</v>
      </c>
      <c r="K793" s="66" t="s">
        <v>490</v>
      </c>
      <c r="L793" s="55"/>
    </row>
    <row r="794" spans="1:12" ht="12.75" customHeight="1" thickBot="1" x14ac:dyDescent="0.25">
      <c r="A794" s="60">
        <f t="shared" ref="A794:H794" si="356">SUM(A792:A793)</f>
        <v>45</v>
      </c>
      <c r="B794" s="60">
        <f t="shared" si="356"/>
        <v>0</v>
      </c>
      <c r="C794" s="60">
        <f t="shared" si="356"/>
        <v>45</v>
      </c>
      <c r="D794" s="60">
        <f t="shared" si="356"/>
        <v>0</v>
      </c>
      <c r="E794" s="60">
        <f t="shared" si="356"/>
        <v>0</v>
      </c>
      <c r="F794" s="60">
        <f t="shared" si="356"/>
        <v>0</v>
      </c>
      <c r="G794" s="60">
        <f t="shared" si="356"/>
        <v>45</v>
      </c>
      <c r="H794" s="60">
        <f t="shared" si="356"/>
        <v>0</v>
      </c>
      <c r="I794" s="60">
        <f>SUM(I792:I793)</f>
        <v>45</v>
      </c>
      <c r="J794" s="65" t="s">
        <v>13</v>
      </c>
      <c r="K794" s="67"/>
      <c r="L794" s="55"/>
    </row>
    <row r="795" spans="1:12" ht="12.75" customHeight="1" thickBot="1" x14ac:dyDescent="0.25">
      <c r="A795" s="60">
        <f t="shared" ref="A795:I797" si="357">A768+A771+A774+A777+A780+A783+A786+A789+A792</f>
        <v>15068</v>
      </c>
      <c r="B795" s="60">
        <f t="shared" si="357"/>
        <v>7207</v>
      </c>
      <c r="C795" s="60">
        <f t="shared" si="357"/>
        <v>7861</v>
      </c>
      <c r="D795" s="60">
        <f t="shared" si="357"/>
        <v>1</v>
      </c>
      <c r="E795" s="60">
        <f t="shared" si="357"/>
        <v>1</v>
      </c>
      <c r="F795" s="60">
        <f t="shared" si="357"/>
        <v>0</v>
      </c>
      <c r="G795" s="60">
        <f t="shared" si="357"/>
        <v>15067</v>
      </c>
      <c r="H795" s="60">
        <f t="shared" si="357"/>
        <v>7206</v>
      </c>
      <c r="I795" s="60">
        <f>I768+I771+I774+I777+I780+I783+I786+I789+I792</f>
        <v>7861</v>
      </c>
      <c r="J795" s="65" t="s">
        <v>224</v>
      </c>
      <c r="K795" s="57"/>
      <c r="L795" s="55"/>
    </row>
    <row r="796" spans="1:12" ht="12.75" customHeight="1" thickBot="1" x14ac:dyDescent="0.25">
      <c r="A796" s="60">
        <f t="shared" si="357"/>
        <v>448</v>
      </c>
      <c r="B796" s="60">
        <f t="shared" si="357"/>
        <v>448</v>
      </c>
      <c r="C796" s="60">
        <f t="shared" si="357"/>
        <v>0</v>
      </c>
      <c r="D796" s="60">
        <f t="shared" si="357"/>
        <v>0</v>
      </c>
      <c r="E796" s="60">
        <f t="shared" si="357"/>
        <v>0</v>
      </c>
      <c r="F796" s="60">
        <f t="shared" si="357"/>
        <v>0</v>
      </c>
      <c r="G796" s="60">
        <f t="shared" si="357"/>
        <v>448</v>
      </c>
      <c r="H796" s="60">
        <f t="shared" si="357"/>
        <v>448</v>
      </c>
      <c r="I796" s="60">
        <f t="shared" si="357"/>
        <v>0</v>
      </c>
      <c r="J796" s="65" t="s">
        <v>225</v>
      </c>
      <c r="K796" s="68" t="s">
        <v>211</v>
      </c>
      <c r="L796" s="55"/>
    </row>
    <row r="797" spans="1:12" ht="12.75" customHeight="1" thickBot="1" x14ac:dyDescent="0.25">
      <c r="A797" s="60">
        <f t="shared" si="357"/>
        <v>15516</v>
      </c>
      <c r="B797" s="60">
        <f t="shared" si="357"/>
        <v>7655</v>
      </c>
      <c r="C797" s="60">
        <f t="shared" si="357"/>
        <v>7861</v>
      </c>
      <c r="D797" s="60">
        <f t="shared" si="357"/>
        <v>1</v>
      </c>
      <c r="E797" s="60">
        <f t="shared" si="357"/>
        <v>1</v>
      </c>
      <c r="F797" s="60">
        <f t="shared" si="357"/>
        <v>0</v>
      </c>
      <c r="G797" s="60">
        <f t="shared" si="357"/>
        <v>15515</v>
      </c>
      <c r="H797" s="60">
        <f t="shared" si="357"/>
        <v>7654</v>
      </c>
      <c r="I797" s="60">
        <f t="shared" si="357"/>
        <v>7861</v>
      </c>
      <c r="J797" s="65" t="s">
        <v>13</v>
      </c>
      <c r="K797" s="59"/>
      <c r="L797" s="55"/>
    </row>
    <row r="798" spans="1:12" ht="12.75" customHeight="1" x14ac:dyDescent="0.2">
      <c r="A798" s="177" t="s">
        <v>560</v>
      </c>
      <c r="B798" s="177"/>
      <c r="C798" s="177"/>
      <c r="D798" s="177"/>
      <c r="E798" s="177"/>
      <c r="F798" s="177"/>
      <c r="G798" s="177"/>
      <c r="H798" s="177"/>
      <c r="I798" s="177"/>
      <c r="J798" s="177"/>
      <c r="K798" s="177"/>
      <c r="L798" s="55"/>
    </row>
    <row r="799" spans="1:12" ht="12.75" customHeight="1" thickBot="1" x14ac:dyDescent="0.25">
      <c r="A799" s="178" t="s">
        <v>561</v>
      </c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55"/>
    </row>
    <row r="800" spans="1:12" ht="12.75" customHeight="1" thickBot="1" x14ac:dyDescent="0.25">
      <c r="A800" s="179" t="s">
        <v>5</v>
      </c>
      <c r="B800" s="179"/>
      <c r="C800" s="179"/>
      <c r="D800" s="179" t="s">
        <v>162</v>
      </c>
      <c r="E800" s="179"/>
      <c r="F800" s="179"/>
      <c r="G800" s="179" t="s">
        <v>163</v>
      </c>
      <c r="H800" s="179"/>
      <c r="I800" s="179"/>
      <c r="J800" s="179" t="s">
        <v>72</v>
      </c>
      <c r="K800" s="179"/>
      <c r="L800" s="55"/>
    </row>
    <row r="801" spans="1:12" ht="12.75" customHeight="1" thickBot="1" x14ac:dyDescent="0.25">
      <c r="A801" s="58" t="s">
        <v>216</v>
      </c>
      <c r="B801" s="58" t="s">
        <v>11</v>
      </c>
      <c r="C801" s="58" t="s">
        <v>10</v>
      </c>
      <c r="D801" s="58" t="s">
        <v>216</v>
      </c>
      <c r="E801" s="58" t="s">
        <v>11</v>
      </c>
      <c r="F801" s="58" t="s">
        <v>10</v>
      </c>
      <c r="G801" s="58" t="s">
        <v>216</v>
      </c>
      <c r="H801" s="58" t="s">
        <v>11</v>
      </c>
      <c r="I801" s="58" t="s">
        <v>10</v>
      </c>
      <c r="J801" s="180" t="s">
        <v>124</v>
      </c>
      <c r="K801" s="180"/>
      <c r="L801" s="55"/>
    </row>
    <row r="802" spans="1:12" ht="12.75" customHeight="1" thickBot="1" x14ac:dyDescent="0.25">
      <c r="A802" s="60">
        <f>SUM(B802:C802)</f>
        <v>635</v>
      </c>
      <c r="B802" s="60">
        <f>H802+E802</f>
        <v>0</v>
      </c>
      <c r="C802" s="60">
        <f>I802+F802</f>
        <v>635</v>
      </c>
      <c r="D802" s="60">
        <f>SUM(E802:F802)</f>
        <v>0</v>
      </c>
      <c r="E802" s="60">
        <v>0</v>
      </c>
      <c r="F802" s="60">
        <v>0</v>
      </c>
      <c r="G802" s="60">
        <f>SUM(H802:I802)</f>
        <v>635</v>
      </c>
      <c r="H802" s="60">
        <v>0</v>
      </c>
      <c r="I802" s="60">
        <f>315+320</f>
        <v>635</v>
      </c>
      <c r="J802" s="65" t="s">
        <v>221</v>
      </c>
      <c r="K802" s="66"/>
      <c r="L802" s="55"/>
    </row>
    <row r="803" spans="1:12" ht="12.75" customHeight="1" thickBot="1" x14ac:dyDescent="0.25">
      <c r="A803" s="60">
        <f t="shared" ref="A803:A821" si="358">SUM(B803:C803)</f>
        <v>0</v>
      </c>
      <c r="B803" s="60">
        <f t="shared" ref="B803:C821" si="359">H803+E803</f>
        <v>0</v>
      </c>
      <c r="C803" s="60">
        <f t="shared" si="359"/>
        <v>0</v>
      </c>
      <c r="D803" s="60">
        <f t="shared" ref="D803:D821" si="360">SUM(E803:F803)</f>
        <v>0</v>
      </c>
      <c r="E803" s="60">
        <v>0</v>
      </c>
      <c r="F803" s="60">
        <v>0</v>
      </c>
      <c r="G803" s="60">
        <f t="shared" ref="G803:G821" si="361">SUM(H803:I803)</f>
        <v>0</v>
      </c>
      <c r="H803" s="60">
        <v>0</v>
      </c>
      <c r="I803" s="60">
        <v>0</v>
      </c>
      <c r="J803" s="65" t="s">
        <v>222</v>
      </c>
      <c r="K803" s="66" t="s">
        <v>359</v>
      </c>
      <c r="L803" s="55"/>
    </row>
    <row r="804" spans="1:12" ht="12.75" customHeight="1" thickBot="1" x14ac:dyDescent="0.25">
      <c r="A804" s="60">
        <f t="shared" ref="A804:H804" si="362">SUM(A802:A803)</f>
        <v>635</v>
      </c>
      <c r="B804" s="60">
        <f t="shared" si="362"/>
        <v>0</v>
      </c>
      <c r="C804" s="60">
        <f t="shared" si="362"/>
        <v>635</v>
      </c>
      <c r="D804" s="60">
        <f t="shared" si="362"/>
        <v>0</v>
      </c>
      <c r="E804" s="60">
        <f t="shared" si="362"/>
        <v>0</v>
      </c>
      <c r="F804" s="60">
        <f t="shared" si="362"/>
        <v>0</v>
      </c>
      <c r="G804" s="60">
        <f t="shared" si="362"/>
        <v>635</v>
      </c>
      <c r="H804" s="60">
        <f t="shared" si="362"/>
        <v>0</v>
      </c>
      <c r="I804" s="60">
        <f>SUM(I802:I803)</f>
        <v>635</v>
      </c>
      <c r="J804" s="65" t="s">
        <v>13</v>
      </c>
      <c r="K804" s="67"/>
      <c r="L804" s="55"/>
    </row>
    <row r="805" spans="1:12" ht="12.75" customHeight="1" thickBot="1" x14ac:dyDescent="0.25">
      <c r="A805" s="60">
        <f t="shared" si="358"/>
        <v>33</v>
      </c>
      <c r="B805" s="60">
        <f t="shared" si="359"/>
        <v>0</v>
      </c>
      <c r="C805" s="60">
        <f t="shared" si="359"/>
        <v>33</v>
      </c>
      <c r="D805" s="60">
        <f t="shared" si="360"/>
        <v>0</v>
      </c>
      <c r="E805" s="60">
        <v>0</v>
      </c>
      <c r="F805" s="60">
        <v>0</v>
      </c>
      <c r="G805" s="60">
        <f t="shared" si="361"/>
        <v>33</v>
      </c>
      <c r="H805" s="60">
        <v>0</v>
      </c>
      <c r="I805" s="60">
        <v>33</v>
      </c>
      <c r="J805" s="65" t="s">
        <v>221</v>
      </c>
      <c r="K805" s="66"/>
      <c r="L805" s="55"/>
    </row>
    <row r="806" spans="1:12" ht="12.75" customHeight="1" thickBot="1" x14ac:dyDescent="0.25">
      <c r="A806" s="60">
        <f t="shared" si="358"/>
        <v>0</v>
      </c>
      <c r="B806" s="60">
        <f t="shared" si="359"/>
        <v>0</v>
      </c>
      <c r="C806" s="60">
        <f t="shared" si="359"/>
        <v>0</v>
      </c>
      <c r="D806" s="60">
        <f t="shared" si="360"/>
        <v>0</v>
      </c>
      <c r="E806" s="60">
        <v>0</v>
      </c>
      <c r="F806" s="60">
        <v>0</v>
      </c>
      <c r="G806" s="60">
        <f t="shared" si="361"/>
        <v>0</v>
      </c>
      <c r="H806" s="60">
        <v>0</v>
      </c>
      <c r="I806" s="60">
        <v>0</v>
      </c>
      <c r="J806" s="65" t="s">
        <v>222</v>
      </c>
      <c r="K806" s="66" t="s">
        <v>264</v>
      </c>
      <c r="L806" s="55"/>
    </row>
    <row r="807" spans="1:12" ht="12.75" customHeight="1" thickBot="1" x14ac:dyDescent="0.25">
      <c r="A807" s="60">
        <f t="shared" ref="A807:H807" si="363">SUM(A805:A806)</f>
        <v>33</v>
      </c>
      <c r="B807" s="60">
        <f t="shared" si="363"/>
        <v>0</v>
      </c>
      <c r="C807" s="60">
        <f t="shared" si="363"/>
        <v>33</v>
      </c>
      <c r="D807" s="60">
        <f t="shared" si="363"/>
        <v>0</v>
      </c>
      <c r="E807" s="60">
        <f t="shared" si="363"/>
        <v>0</v>
      </c>
      <c r="F807" s="60">
        <f t="shared" si="363"/>
        <v>0</v>
      </c>
      <c r="G807" s="60">
        <f t="shared" si="363"/>
        <v>33</v>
      </c>
      <c r="H807" s="60">
        <f t="shared" si="363"/>
        <v>0</v>
      </c>
      <c r="I807" s="60">
        <f>SUM(I805:I806)</f>
        <v>33</v>
      </c>
      <c r="J807" s="65" t="s">
        <v>13</v>
      </c>
      <c r="K807" s="67"/>
      <c r="L807" s="55"/>
    </row>
    <row r="808" spans="1:12" ht="12.75" customHeight="1" thickBot="1" x14ac:dyDescent="0.25">
      <c r="A808" s="60">
        <f t="shared" si="358"/>
        <v>2118</v>
      </c>
      <c r="B808" s="60">
        <f t="shared" si="359"/>
        <v>2118</v>
      </c>
      <c r="C808" s="60">
        <f t="shared" si="359"/>
        <v>0</v>
      </c>
      <c r="D808" s="60">
        <f t="shared" si="360"/>
        <v>4</v>
      </c>
      <c r="E808" s="60">
        <v>4</v>
      </c>
      <c r="F808" s="60">
        <v>0</v>
      </c>
      <c r="G808" s="60">
        <f t="shared" si="361"/>
        <v>2114</v>
      </c>
      <c r="H808" s="60">
        <v>2114</v>
      </c>
      <c r="I808" s="60">
        <v>0</v>
      </c>
      <c r="J808" s="65" t="s">
        <v>221</v>
      </c>
      <c r="K808" s="66"/>
      <c r="L808" s="55"/>
    </row>
    <row r="809" spans="1:12" ht="12.75" customHeight="1" thickBot="1" x14ac:dyDescent="0.25">
      <c r="A809" s="60">
        <f t="shared" si="358"/>
        <v>0</v>
      </c>
      <c r="B809" s="60">
        <f t="shared" si="359"/>
        <v>0</v>
      </c>
      <c r="C809" s="60">
        <f t="shared" si="359"/>
        <v>0</v>
      </c>
      <c r="D809" s="60">
        <f t="shared" si="360"/>
        <v>0</v>
      </c>
      <c r="E809" s="60">
        <v>0</v>
      </c>
      <c r="F809" s="60">
        <v>0</v>
      </c>
      <c r="G809" s="60">
        <f t="shared" si="361"/>
        <v>0</v>
      </c>
      <c r="H809" s="60">
        <v>0</v>
      </c>
      <c r="I809" s="60">
        <v>0</v>
      </c>
      <c r="J809" s="65" t="s">
        <v>222</v>
      </c>
      <c r="K809" s="66" t="s">
        <v>491</v>
      </c>
      <c r="L809" s="55"/>
    </row>
    <row r="810" spans="1:12" ht="12.75" customHeight="1" thickBot="1" x14ac:dyDescent="0.25">
      <c r="A810" s="60">
        <f t="shared" ref="A810:H810" si="364">SUM(A808:A809)</f>
        <v>2118</v>
      </c>
      <c r="B810" s="60">
        <f t="shared" si="364"/>
        <v>2118</v>
      </c>
      <c r="C810" s="60">
        <f t="shared" si="364"/>
        <v>0</v>
      </c>
      <c r="D810" s="60">
        <f t="shared" si="364"/>
        <v>4</v>
      </c>
      <c r="E810" s="60">
        <f t="shared" si="364"/>
        <v>4</v>
      </c>
      <c r="F810" s="60">
        <f t="shared" si="364"/>
        <v>0</v>
      </c>
      <c r="G810" s="60">
        <f t="shared" si="364"/>
        <v>2114</v>
      </c>
      <c r="H810" s="60">
        <f t="shared" si="364"/>
        <v>2114</v>
      </c>
      <c r="I810" s="60">
        <f>SUM(I808:I809)</f>
        <v>0</v>
      </c>
      <c r="J810" s="65" t="s">
        <v>13</v>
      </c>
      <c r="K810" s="67"/>
      <c r="L810" s="55"/>
    </row>
    <row r="811" spans="1:12" ht="12.75" customHeight="1" thickBot="1" x14ac:dyDescent="0.25">
      <c r="A811" s="60">
        <f t="shared" si="358"/>
        <v>3874</v>
      </c>
      <c r="B811" s="60">
        <f t="shared" si="359"/>
        <v>3874</v>
      </c>
      <c r="C811" s="60">
        <f t="shared" si="359"/>
        <v>0</v>
      </c>
      <c r="D811" s="60">
        <f t="shared" si="360"/>
        <v>4</v>
      </c>
      <c r="E811" s="60">
        <v>4</v>
      </c>
      <c r="F811" s="60">
        <v>0</v>
      </c>
      <c r="G811" s="60">
        <f t="shared" si="361"/>
        <v>3870</v>
      </c>
      <c r="H811" s="60">
        <v>3870</v>
      </c>
      <c r="I811" s="60">
        <v>0</v>
      </c>
      <c r="J811" s="65" t="s">
        <v>221</v>
      </c>
      <c r="K811" s="66"/>
      <c r="L811" s="55"/>
    </row>
    <row r="812" spans="1:12" ht="12.75" customHeight="1" thickBot="1" x14ac:dyDescent="0.25">
      <c r="A812" s="60">
        <f t="shared" si="358"/>
        <v>1035</v>
      </c>
      <c r="B812" s="60">
        <f t="shared" si="359"/>
        <v>1035</v>
      </c>
      <c r="C812" s="60">
        <f t="shared" si="359"/>
        <v>0</v>
      </c>
      <c r="D812" s="60">
        <f t="shared" si="360"/>
        <v>0</v>
      </c>
      <c r="E812" s="60">
        <v>0</v>
      </c>
      <c r="F812" s="60">
        <v>0</v>
      </c>
      <c r="G812" s="60">
        <f t="shared" si="361"/>
        <v>1035</v>
      </c>
      <c r="H812" s="60">
        <v>1035</v>
      </c>
      <c r="I812" s="60">
        <v>0</v>
      </c>
      <c r="J812" s="65" t="s">
        <v>222</v>
      </c>
      <c r="K812" s="66" t="s">
        <v>492</v>
      </c>
      <c r="L812" s="55"/>
    </row>
    <row r="813" spans="1:12" ht="12.75" customHeight="1" thickBot="1" x14ac:dyDescent="0.25">
      <c r="A813" s="60">
        <f t="shared" ref="A813:H813" si="365">SUM(A811:A812)</f>
        <v>4909</v>
      </c>
      <c r="B813" s="60">
        <f t="shared" si="365"/>
        <v>4909</v>
      </c>
      <c r="C813" s="60">
        <f t="shared" si="365"/>
        <v>0</v>
      </c>
      <c r="D813" s="60">
        <f t="shared" si="365"/>
        <v>4</v>
      </c>
      <c r="E813" s="60">
        <f t="shared" si="365"/>
        <v>4</v>
      </c>
      <c r="F813" s="60">
        <f t="shared" si="365"/>
        <v>0</v>
      </c>
      <c r="G813" s="60">
        <f t="shared" si="365"/>
        <v>4905</v>
      </c>
      <c r="H813" s="60">
        <f t="shared" si="365"/>
        <v>4905</v>
      </c>
      <c r="I813" s="60">
        <f>SUM(I811:I812)</f>
        <v>0</v>
      </c>
      <c r="J813" s="65" t="s">
        <v>13</v>
      </c>
      <c r="K813" s="67"/>
      <c r="L813" s="55"/>
    </row>
    <row r="814" spans="1:12" ht="12.75" customHeight="1" thickBot="1" x14ac:dyDescent="0.25">
      <c r="A814" s="60">
        <f t="shared" si="358"/>
        <v>2096</v>
      </c>
      <c r="B814" s="60">
        <f t="shared" si="359"/>
        <v>0</v>
      </c>
      <c r="C814" s="60">
        <f t="shared" si="359"/>
        <v>2096</v>
      </c>
      <c r="D814" s="60">
        <f t="shared" si="360"/>
        <v>0</v>
      </c>
      <c r="E814" s="60">
        <v>0</v>
      </c>
      <c r="F814" s="60">
        <v>0</v>
      </c>
      <c r="G814" s="60">
        <f t="shared" si="361"/>
        <v>2096</v>
      </c>
      <c r="H814" s="60">
        <v>0</v>
      </c>
      <c r="I814" s="60">
        <f>1766+330</f>
        <v>2096</v>
      </c>
      <c r="J814" s="65" t="s">
        <v>221</v>
      </c>
      <c r="K814" s="66"/>
      <c r="L814" s="55"/>
    </row>
    <row r="815" spans="1:12" ht="12.75" customHeight="1" thickBot="1" x14ac:dyDescent="0.25">
      <c r="A815" s="60">
        <f t="shared" si="358"/>
        <v>0</v>
      </c>
      <c r="B815" s="60">
        <f t="shared" si="359"/>
        <v>0</v>
      </c>
      <c r="C815" s="60">
        <f t="shared" si="359"/>
        <v>0</v>
      </c>
      <c r="D815" s="60">
        <f t="shared" si="360"/>
        <v>0</v>
      </c>
      <c r="E815" s="60">
        <v>0</v>
      </c>
      <c r="F815" s="60">
        <v>0</v>
      </c>
      <c r="G815" s="60">
        <f t="shared" si="361"/>
        <v>0</v>
      </c>
      <c r="H815" s="60">
        <v>0</v>
      </c>
      <c r="I815" s="60">
        <v>0</v>
      </c>
      <c r="J815" s="65" t="s">
        <v>222</v>
      </c>
      <c r="K815" s="66" t="s">
        <v>247</v>
      </c>
      <c r="L815" s="55"/>
    </row>
    <row r="816" spans="1:12" ht="12.75" customHeight="1" thickBot="1" x14ac:dyDescent="0.25">
      <c r="A816" s="60">
        <f t="shared" ref="A816:H816" si="366">SUM(A814:A815)</f>
        <v>2096</v>
      </c>
      <c r="B816" s="60">
        <f t="shared" si="366"/>
        <v>0</v>
      </c>
      <c r="C816" s="60">
        <f t="shared" si="366"/>
        <v>2096</v>
      </c>
      <c r="D816" s="60">
        <f t="shared" si="366"/>
        <v>0</v>
      </c>
      <c r="E816" s="60">
        <f t="shared" si="366"/>
        <v>0</v>
      </c>
      <c r="F816" s="60">
        <f t="shared" si="366"/>
        <v>0</v>
      </c>
      <c r="G816" s="60">
        <f t="shared" si="366"/>
        <v>2096</v>
      </c>
      <c r="H816" s="60">
        <f t="shared" si="366"/>
        <v>0</v>
      </c>
      <c r="I816" s="60">
        <f>SUM(I814:I815)</f>
        <v>2096</v>
      </c>
      <c r="J816" s="65" t="s">
        <v>13</v>
      </c>
      <c r="K816" s="67"/>
      <c r="L816" s="55"/>
    </row>
    <row r="817" spans="1:12" ht="12.75" customHeight="1" thickBot="1" x14ac:dyDescent="0.25">
      <c r="A817" s="60">
        <f t="shared" si="358"/>
        <v>28</v>
      </c>
      <c r="B817" s="60">
        <f t="shared" si="359"/>
        <v>0</v>
      </c>
      <c r="C817" s="60">
        <f t="shared" si="359"/>
        <v>28</v>
      </c>
      <c r="D817" s="60">
        <f t="shared" si="360"/>
        <v>0</v>
      </c>
      <c r="E817" s="60">
        <v>0</v>
      </c>
      <c r="F817" s="60">
        <v>0</v>
      </c>
      <c r="G817" s="60">
        <f t="shared" si="361"/>
        <v>28</v>
      </c>
      <c r="H817" s="60">
        <v>0</v>
      </c>
      <c r="I817" s="60">
        <v>28</v>
      </c>
      <c r="J817" s="65" t="s">
        <v>221</v>
      </c>
      <c r="K817" s="66"/>
      <c r="L817" s="55"/>
    </row>
    <row r="818" spans="1:12" ht="12.75" customHeight="1" thickBot="1" x14ac:dyDescent="0.25">
      <c r="A818" s="60">
        <f t="shared" si="358"/>
        <v>0</v>
      </c>
      <c r="B818" s="60">
        <f t="shared" si="359"/>
        <v>0</v>
      </c>
      <c r="C818" s="60">
        <f t="shared" si="359"/>
        <v>0</v>
      </c>
      <c r="D818" s="60">
        <f t="shared" si="360"/>
        <v>0</v>
      </c>
      <c r="E818" s="60">
        <v>0</v>
      </c>
      <c r="F818" s="60">
        <v>0</v>
      </c>
      <c r="G818" s="60">
        <f t="shared" si="361"/>
        <v>0</v>
      </c>
      <c r="H818" s="60">
        <v>0</v>
      </c>
      <c r="I818" s="60">
        <v>0</v>
      </c>
      <c r="J818" s="65" t="s">
        <v>222</v>
      </c>
      <c r="K818" s="66" t="s">
        <v>263</v>
      </c>
      <c r="L818" s="55"/>
    </row>
    <row r="819" spans="1:12" ht="12.75" customHeight="1" thickBot="1" x14ac:dyDescent="0.25">
      <c r="A819" s="60">
        <f t="shared" ref="A819:H819" si="367">SUM(A817:A818)</f>
        <v>28</v>
      </c>
      <c r="B819" s="60">
        <f t="shared" si="367"/>
        <v>0</v>
      </c>
      <c r="C819" s="60">
        <f t="shared" si="367"/>
        <v>28</v>
      </c>
      <c r="D819" s="60">
        <f t="shared" si="367"/>
        <v>0</v>
      </c>
      <c r="E819" s="60">
        <f t="shared" si="367"/>
        <v>0</v>
      </c>
      <c r="F819" s="60">
        <f t="shared" si="367"/>
        <v>0</v>
      </c>
      <c r="G819" s="60">
        <f t="shared" si="367"/>
        <v>28</v>
      </c>
      <c r="H819" s="60">
        <f t="shared" si="367"/>
        <v>0</v>
      </c>
      <c r="I819" s="60">
        <f>SUM(I817:I818)</f>
        <v>28</v>
      </c>
      <c r="J819" s="65" t="s">
        <v>13</v>
      </c>
      <c r="K819" s="67"/>
      <c r="L819" s="55"/>
    </row>
    <row r="820" spans="1:12" ht="12.75" customHeight="1" thickBot="1" x14ac:dyDescent="0.25">
      <c r="A820" s="60">
        <f t="shared" si="358"/>
        <v>1678</v>
      </c>
      <c r="B820" s="60">
        <f t="shared" si="359"/>
        <v>1678</v>
      </c>
      <c r="C820" s="60">
        <f t="shared" si="359"/>
        <v>0</v>
      </c>
      <c r="D820" s="60">
        <f t="shared" si="360"/>
        <v>0</v>
      </c>
      <c r="E820" s="60">
        <v>0</v>
      </c>
      <c r="F820" s="60">
        <v>0</v>
      </c>
      <c r="G820" s="60">
        <f t="shared" si="361"/>
        <v>1678</v>
      </c>
      <c r="H820" s="60">
        <v>1678</v>
      </c>
      <c r="I820" s="60">
        <v>0</v>
      </c>
      <c r="J820" s="65" t="s">
        <v>221</v>
      </c>
      <c r="K820" s="66"/>
      <c r="L820" s="55"/>
    </row>
    <row r="821" spans="1:12" ht="12.75" customHeight="1" thickBot="1" x14ac:dyDescent="0.25">
      <c r="A821" s="60">
        <f t="shared" si="358"/>
        <v>120</v>
      </c>
      <c r="B821" s="60">
        <f t="shared" si="359"/>
        <v>120</v>
      </c>
      <c r="C821" s="60">
        <f t="shared" si="359"/>
        <v>0</v>
      </c>
      <c r="D821" s="60">
        <f t="shared" si="360"/>
        <v>0</v>
      </c>
      <c r="E821" s="60">
        <v>0</v>
      </c>
      <c r="F821" s="60">
        <v>0</v>
      </c>
      <c r="G821" s="60">
        <f t="shared" si="361"/>
        <v>120</v>
      </c>
      <c r="H821" s="60">
        <v>120</v>
      </c>
      <c r="I821" s="60">
        <v>0</v>
      </c>
      <c r="J821" s="65" t="s">
        <v>222</v>
      </c>
      <c r="K821" s="66" t="s">
        <v>493</v>
      </c>
      <c r="L821" s="55"/>
    </row>
    <row r="822" spans="1:12" ht="12.75" customHeight="1" thickBot="1" x14ac:dyDescent="0.25">
      <c r="A822" s="60">
        <f t="shared" ref="A822:H822" si="368">SUM(A820:A821)</f>
        <v>1798</v>
      </c>
      <c r="B822" s="60">
        <f t="shared" si="368"/>
        <v>1798</v>
      </c>
      <c r="C822" s="60">
        <f t="shared" si="368"/>
        <v>0</v>
      </c>
      <c r="D822" s="60">
        <f t="shared" si="368"/>
        <v>0</v>
      </c>
      <c r="E822" s="60">
        <f t="shared" si="368"/>
        <v>0</v>
      </c>
      <c r="F822" s="60">
        <f t="shared" si="368"/>
        <v>0</v>
      </c>
      <c r="G822" s="60">
        <f t="shared" si="368"/>
        <v>1798</v>
      </c>
      <c r="H822" s="60">
        <f t="shared" si="368"/>
        <v>1798</v>
      </c>
      <c r="I822" s="60">
        <f>SUM(I820:I821)</f>
        <v>0</v>
      </c>
      <c r="J822" s="65" t="s">
        <v>13</v>
      </c>
      <c r="K822" s="67"/>
      <c r="L822" s="55"/>
    </row>
    <row r="823" spans="1:12" ht="12.75" customHeight="1" thickBot="1" x14ac:dyDescent="0.25">
      <c r="A823" s="60">
        <f t="shared" ref="A823:I825" si="369">A802+A805+A808+A811+A814+A817+A820</f>
        <v>10462</v>
      </c>
      <c r="B823" s="60">
        <f t="shared" si="369"/>
        <v>7670</v>
      </c>
      <c r="C823" s="60">
        <f t="shared" si="369"/>
        <v>2792</v>
      </c>
      <c r="D823" s="60">
        <f t="shared" si="369"/>
        <v>8</v>
      </c>
      <c r="E823" s="60">
        <f t="shared" si="369"/>
        <v>8</v>
      </c>
      <c r="F823" s="60">
        <f t="shared" si="369"/>
        <v>0</v>
      </c>
      <c r="G823" s="60">
        <f t="shared" si="369"/>
        <v>10454</v>
      </c>
      <c r="H823" s="60">
        <f t="shared" si="369"/>
        <v>7662</v>
      </c>
      <c r="I823" s="60">
        <f>I802+I805+I808+I811+I814+I817+I820</f>
        <v>2792</v>
      </c>
      <c r="J823" s="65" t="s">
        <v>224</v>
      </c>
      <c r="K823" s="57"/>
      <c r="L823" s="55"/>
    </row>
    <row r="824" spans="1:12" ht="12.75" customHeight="1" thickBot="1" x14ac:dyDescent="0.25">
      <c r="A824" s="60">
        <f t="shared" si="369"/>
        <v>1155</v>
      </c>
      <c r="B824" s="60">
        <f t="shared" si="369"/>
        <v>1155</v>
      </c>
      <c r="C824" s="60">
        <f t="shared" si="369"/>
        <v>0</v>
      </c>
      <c r="D824" s="60">
        <f t="shared" si="369"/>
        <v>0</v>
      </c>
      <c r="E824" s="60">
        <f t="shared" si="369"/>
        <v>0</v>
      </c>
      <c r="F824" s="60">
        <f t="shared" si="369"/>
        <v>0</v>
      </c>
      <c r="G824" s="60">
        <f t="shared" si="369"/>
        <v>1155</v>
      </c>
      <c r="H824" s="60">
        <f t="shared" si="369"/>
        <v>1155</v>
      </c>
      <c r="I824" s="60">
        <f t="shared" si="369"/>
        <v>0</v>
      </c>
      <c r="J824" s="65" t="s">
        <v>225</v>
      </c>
      <c r="K824" s="68" t="s">
        <v>211</v>
      </c>
      <c r="L824" s="55"/>
    </row>
    <row r="825" spans="1:12" ht="12.75" customHeight="1" thickBot="1" x14ac:dyDescent="0.25">
      <c r="A825" s="60">
        <f t="shared" si="369"/>
        <v>11617</v>
      </c>
      <c r="B825" s="60">
        <f t="shared" si="369"/>
        <v>8825</v>
      </c>
      <c r="C825" s="60">
        <f t="shared" si="369"/>
        <v>2792</v>
      </c>
      <c r="D825" s="60">
        <f t="shared" si="369"/>
        <v>8</v>
      </c>
      <c r="E825" s="60">
        <f t="shared" si="369"/>
        <v>8</v>
      </c>
      <c r="F825" s="60">
        <f t="shared" si="369"/>
        <v>0</v>
      </c>
      <c r="G825" s="60">
        <f t="shared" si="369"/>
        <v>11609</v>
      </c>
      <c r="H825" s="60">
        <f t="shared" si="369"/>
        <v>8817</v>
      </c>
      <c r="I825" s="60">
        <f t="shared" si="369"/>
        <v>2792</v>
      </c>
      <c r="J825" s="65" t="s">
        <v>13</v>
      </c>
      <c r="K825" s="59"/>
      <c r="L825" s="55"/>
    </row>
    <row r="826" spans="1:12" ht="12.75" customHeight="1" x14ac:dyDescent="0.2">
      <c r="A826" s="177" t="s">
        <v>560</v>
      </c>
      <c r="B826" s="177"/>
      <c r="C826" s="177"/>
      <c r="D826" s="177"/>
      <c r="E826" s="177"/>
      <c r="F826" s="177"/>
      <c r="G826" s="177"/>
      <c r="H826" s="177"/>
      <c r="I826" s="177"/>
      <c r="J826" s="177"/>
      <c r="K826" s="177"/>
      <c r="L826" s="55"/>
    </row>
    <row r="827" spans="1:12" ht="12.75" customHeight="1" thickBot="1" x14ac:dyDescent="0.25">
      <c r="A827" s="178" t="s">
        <v>561</v>
      </c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55"/>
    </row>
    <row r="828" spans="1:12" ht="12.75" customHeight="1" thickBot="1" x14ac:dyDescent="0.25">
      <c r="A828" s="179" t="s">
        <v>5</v>
      </c>
      <c r="B828" s="179"/>
      <c r="C828" s="179"/>
      <c r="D828" s="179" t="s">
        <v>162</v>
      </c>
      <c r="E828" s="179"/>
      <c r="F828" s="179"/>
      <c r="G828" s="179" t="s">
        <v>163</v>
      </c>
      <c r="H828" s="179"/>
      <c r="I828" s="179"/>
      <c r="J828" s="179" t="s">
        <v>72</v>
      </c>
      <c r="K828" s="179"/>
      <c r="L828" s="55"/>
    </row>
    <row r="829" spans="1:12" ht="12.75" customHeight="1" thickBot="1" x14ac:dyDescent="0.25">
      <c r="A829" s="58" t="s">
        <v>216</v>
      </c>
      <c r="B829" s="58" t="s">
        <v>11</v>
      </c>
      <c r="C829" s="58" t="s">
        <v>10</v>
      </c>
      <c r="D829" s="58" t="s">
        <v>216</v>
      </c>
      <c r="E829" s="58" t="s">
        <v>11</v>
      </c>
      <c r="F829" s="58" t="s">
        <v>10</v>
      </c>
      <c r="G829" s="58" t="s">
        <v>216</v>
      </c>
      <c r="H829" s="58" t="s">
        <v>11</v>
      </c>
      <c r="I829" s="58" t="s">
        <v>10</v>
      </c>
      <c r="J829" s="180" t="s">
        <v>126</v>
      </c>
      <c r="K829" s="180"/>
      <c r="L829" s="55"/>
    </row>
    <row r="830" spans="1:12" ht="12.75" customHeight="1" thickBot="1" x14ac:dyDescent="0.25">
      <c r="A830" s="60">
        <f>SUM(B830:C830)</f>
        <v>1730</v>
      </c>
      <c r="B830" s="60">
        <f>H830+E830</f>
        <v>0</v>
      </c>
      <c r="C830" s="60">
        <f>I830+F830</f>
        <v>1730</v>
      </c>
      <c r="D830" s="60">
        <f>SUM(E830:F830)</f>
        <v>0</v>
      </c>
      <c r="E830" s="60">
        <v>0</v>
      </c>
      <c r="F830" s="60">
        <v>0</v>
      </c>
      <c r="G830" s="60">
        <f>SUM(H830:I830)</f>
        <v>1730</v>
      </c>
      <c r="H830" s="60">
        <v>0</v>
      </c>
      <c r="I830" s="60">
        <f>1674+235-179</f>
        <v>1730</v>
      </c>
      <c r="J830" s="65" t="s">
        <v>221</v>
      </c>
      <c r="K830" s="66"/>
      <c r="L830" s="55"/>
    </row>
    <row r="831" spans="1:12" ht="12.75" customHeight="1" thickBot="1" x14ac:dyDescent="0.25">
      <c r="A831" s="60">
        <f t="shared" ref="A831:A852" si="370">SUM(B831:C831)</f>
        <v>0</v>
      </c>
      <c r="B831" s="60">
        <f t="shared" ref="B831:C852" si="371">H831+E831</f>
        <v>0</v>
      </c>
      <c r="C831" s="60">
        <f t="shared" si="371"/>
        <v>0</v>
      </c>
      <c r="D831" s="60">
        <f t="shared" ref="D831:D852" si="372">SUM(E831:F831)</f>
        <v>0</v>
      </c>
      <c r="E831" s="60">
        <v>0</v>
      </c>
      <c r="F831" s="60">
        <v>0</v>
      </c>
      <c r="G831" s="60">
        <f t="shared" ref="G831:G852" si="373">SUM(H831:I831)</f>
        <v>0</v>
      </c>
      <c r="H831" s="60">
        <v>0</v>
      </c>
      <c r="I831" s="60">
        <v>0</v>
      </c>
      <c r="J831" s="65" t="s">
        <v>222</v>
      </c>
      <c r="K831" s="66" t="s">
        <v>494</v>
      </c>
      <c r="L831" s="55"/>
    </row>
    <row r="832" spans="1:12" ht="12.75" customHeight="1" thickBot="1" x14ac:dyDescent="0.25">
      <c r="A832" s="60">
        <f t="shared" ref="A832:H832" si="374">SUM(A830:A831)</f>
        <v>1730</v>
      </c>
      <c r="B832" s="60">
        <f t="shared" si="374"/>
        <v>0</v>
      </c>
      <c r="C832" s="60">
        <f t="shared" si="374"/>
        <v>1730</v>
      </c>
      <c r="D832" s="60">
        <f t="shared" si="374"/>
        <v>0</v>
      </c>
      <c r="E832" s="60">
        <f t="shared" si="374"/>
        <v>0</v>
      </c>
      <c r="F832" s="60">
        <f t="shared" si="374"/>
        <v>0</v>
      </c>
      <c r="G832" s="60">
        <f t="shared" si="374"/>
        <v>1730</v>
      </c>
      <c r="H832" s="60">
        <f t="shared" si="374"/>
        <v>0</v>
      </c>
      <c r="I832" s="60">
        <f>SUM(I830:I831)</f>
        <v>1730</v>
      </c>
      <c r="J832" s="65" t="s">
        <v>13</v>
      </c>
      <c r="K832" s="67"/>
      <c r="L832" s="55"/>
    </row>
    <row r="833" spans="1:12" ht="12.75" customHeight="1" thickBot="1" x14ac:dyDescent="0.25">
      <c r="A833" s="60">
        <f t="shared" si="370"/>
        <v>664</v>
      </c>
      <c r="B833" s="60">
        <f t="shared" si="371"/>
        <v>154</v>
      </c>
      <c r="C833" s="60">
        <f t="shared" si="371"/>
        <v>510</v>
      </c>
      <c r="D833" s="60">
        <f t="shared" si="372"/>
        <v>0</v>
      </c>
      <c r="E833" s="60">
        <v>0</v>
      </c>
      <c r="F833" s="60">
        <v>0</v>
      </c>
      <c r="G833" s="60">
        <f t="shared" si="373"/>
        <v>664</v>
      </c>
      <c r="H833" s="60">
        <v>154</v>
      </c>
      <c r="I833" s="60">
        <f>369+320-179</f>
        <v>510</v>
      </c>
      <c r="J833" s="65" t="s">
        <v>221</v>
      </c>
      <c r="K833" s="66"/>
      <c r="L833" s="55"/>
    </row>
    <row r="834" spans="1:12" ht="12.75" customHeight="1" thickBot="1" x14ac:dyDescent="0.25">
      <c r="A834" s="60">
        <f t="shared" si="370"/>
        <v>0</v>
      </c>
      <c r="B834" s="60">
        <f t="shared" si="371"/>
        <v>0</v>
      </c>
      <c r="C834" s="60">
        <f t="shared" si="371"/>
        <v>0</v>
      </c>
      <c r="D834" s="60">
        <f t="shared" si="372"/>
        <v>0</v>
      </c>
      <c r="E834" s="60">
        <v>0</v>
      </c>
      <c r="F834" s="60">
        <v>0</v>
      </c>
      <c r="G834" s="60">
        <f t="shared" si="373"/>
        <v>0</v>
      </c>
      <c r="H834" s="60">
        <v>0</v>
      </c>
      <c r="I834" s="60">
        <v>0</v>
      </c>
      <c r="J834" s="65" t="s">
        <v>222</v>
      </c>
      <c r="K834" s="66" t="s">
        <v>359</v>
      </c>
      <c r="L834" s="55"/>
    </row>
    <row r="835" spans="1:12" ht="12.75" customHeight="1" thickBot="1" x14ac:dyDescent="0.25">
      <c r="A835" s="60">
        <f t="shared" ref="A835:H835" si="375">SUM(A833:A834)</f>
        <v>664</v>
      </c>
      <c r="B835" s="60">
        <f t="shared" si="375"/>
        <v>154</v>
      </c>
      <c r="C835" s="60">
        <f t="shared" si="375"/>
        <v>510</v>
      </c>
      <c r="D835" s="60">
        <f t="shared" si="375"/>
        <v>0</v>
      </c>
      <c r="E835" s="60">
        <f t="shared" si="375"/>
        <v>0</v>
      </c>
      <c r="F835" s="60">
        <f t="shared" si="375"/>
        <v>0</v>
      </c>
      <c r="G835" s="60">
        <f t="shared" si="375"/>
        <v>664</v>
      </c>
      <c r="H835" s="60">
        <f t="shared" si="375"/>
        <v>154</v>
      </c>
      <c r="I835" s="60">
        <f>SUM(I833:I834)</f>
        <v>510</v>
      </c>
      <c r="J835" s="65" t="s">
        <v>13</v>
      </c>
      <c r="K835" s="67"/>
      <c r="L835" s="55"/>
    </row>
    <row r="836" spans="1:12" ht="12.75" customHeight="1" thickBot="1" x14ac:dyDescent="0.25">
      <c r="A836" s="60">
        <f t="shared" si="370"/>
        <v>263</v>
      </c>
      <c r="B836" s="60">
        <f t="shared" si="371"/>
        <v>0</v>
      </c>
      <c r="C836" s="60">
        <f t="shared" si="371"/>
        <v>263</v>
      </c>
      <c r="D836" s="60">
        <f t="shared" si="372"/>
        <v>0</v>
      </c>
      <c r="E836" s="60">
        <v>0</v>
      </c>
      <c r="F836" s="60">
        <v>0</v>
      </c>
      <c r="G836" s="60">
        <f t="shared" si="373"/>
        <v>263</v>
      </c>
      <c r="H836" s="60">
        <v>0</v>
      </c>
      <c r="I836" s="60">
        <f>168+95</f>
        <v>263</v>
      </c>
      <c r="J836" s="65" t="s">
        <v>221</v>
      </c>
      <c r="K836" s="66"/>
      <c r="L836" s="55"/>
    </row>
    <row r="837" spans="1:12" ht="12.75" customHeight="1" thickBot="1" x14ac:dyDescent="0.25">
      <c r="A837" s="60">
        <f t="shared" si="370"/>
        <v>0</v>
      </c>
      <c r="B837" s="60">
        <f t="shared" si="371"/>
        <v>0</v>
      </c>
      <c r="C837" s="60">
        <f t="shared" si="371"/>
        <v>0</v>
      </c>
      <c r="D837" s="60">
        <f t="shared" si="372"/>
        <v>0</v>
      </c>
      <c r="E837" s="60">
        <v>0</v>
      </c>
      <c r="F837" s="60">
        <v>0</v>
      </c>
      <c r="G837" s="60">
        <f t="shared" si="373"/>
        <v>0</v>
      </c>
      <c r="H837" s="60">
        <v>0</v>
      </c>
      <c r="I837" s="60">
        <v>0</v>
      </c>
      <c r="J837" s="65" t="s">
        <v>222</v>
      </c>
      <c r="K837" s="66" t="s">
        <v>377</v>
      </c>
      <c r="L837" s="55"/>
    </row>
    <row r="838" spans="1:12" ht="12.75" customHeight="1" thickBot="1" x14ac:dyDescent="0.25">
      <c r="A838" s="60">
        <f t="shared" ref="A838:H838" si="376">SUM(A836:A837)</f>
        <v>263</v>
      </c>
      <c r="B838" s="60">
        <f t="shared" si="376"/>
        <v>0</v>
      </c>
      <c r="C838" s="60">
        <f t="shared" si="376"/>
        <v>263</v>
      </c>
      <c r="D838" s="60">
        <f t="shared" si="376"/>
        <v>0</v>
      </c>
      <c r="E838" s="60">
        <f t="shared" si="376"/>
        <v>0</v>
      </c>
      <c r="F838" s="60">
        <f t="shared" si="376"/>
        <v>0</v>
      </c>
      <c r="G838" s="60">
        <f t="shared" si="376"/>
        <v>263</v>
      </c>
      <c r="H838" s="60">
        <f t="shared" si="376"/>
        <v>0</v>
      </c>
      <c r="I838" s="60">
        <f>SUM(I836:I837)</f>
        <v>263</v>
      </c>
      <c r="J838" s="65" t="s">
        <v>13</v>
      </c>
      <c r="K838" s="67"/>
      <c r="L838" s="55"/>
    </row>
    <row r="839" spans="1:12" ht="12.75" customHeight="1" thickBot="1" x14ac:dyDescent="0.25">
      <c r="A839" s="60">
        <f t="shared" si="370"/>
        <v>11</v>
      </c>
      <c r="B839" s="60">
        <f t="shared" si="371"/>
        <v>0</v>
      </c>
      <c r="C839" s="60">
        <f t="shared" si="371"/>
        <v>11</v>
      </c>
      <c r="D839" s="60">
        <f t="shared" si="372"/>
        <v>0</v>
      </c>
      <c r="E839" s="60">
        <v>0</v>
      </c>
      <c r="F839" s="60">
        <v>0</v>
      </c>
      <c r="G839" s="60">
        <f t="shared" si="373"/>
        <v>11</v>
      </c>
      <c r="H839" s="60">
        <v>0</v>
      </c>
      <c r="I839" s="60">
        <v>11</v>
      </c>
      <c r="J839" s="65" t="s">
        <v>221</v>
      </c>
      <c r="K839" s="66"/>
      <c r="L839" s="55"/>
    </row>
    <row r="840" spans="1:12" ht="12.75" customHeight="1" thickBot="1" x14ac:dyDescent="0.25">
      <c r="A840" s="60">
        <f t="shared" si="370"/>
        <v>0</v>
      </c>
      <c r="B840" s="60">
        <f t="shared" si="371"/>
        <v>0</v>
      </c>
      <c r="C840" s="60">
        <f t="shared" si="371"/>
        <v>0</v>
      </c>
      <c r="D840" s="60">
        <f t="shared" si="372"/>
        <v>0</v>
      </c>
      <c r="E840" s="60">
        <v>0</v>
      </c>
      <c r="F840" s="60">
        <v>0</v>
      </c>
      <c r="G840" s="60">
        <f t="shared" si="373"/>
        <v>0</v>
      </c>
      <c r="H840" s="60">
        <v>0</v>
      </c>
      <c r="I840" s="60">
        <v>0</v>
      </c>
      <c r="J840" s="65" t="s">
        <v>222</v>
      </c>
      <c r="K840" s="66" t="s">
        <v>264</v>
      </c>
      <c r="L840" s="55"/>
    </row>
    <row r="841" spans="1:12" ht="12.75" customHeight="1" thickBot="1" x14ac:dyDescent="0.25">
      <c r="A841" s="60">
        <f t="shared" ref="A841:H841" si="377">SUM(A839:A840)</f>
        <v>11</v>
      </c>
      <c r="B841" s="60">
        <f t="shared" si="377"/>
        <v>0</v>
      </c>
      <c r="C841" s="60">
        <f t="shared" si="377"/>
        <v>11</v>
      </c>
      <c r="D841" s="60">
        <f t="shared" si="377"/>
        <v>0</v>
      </c>
      <c r="E841" s="60">
        <f t="shared" si="377"/>
        <v>0</v>
      </c>
      <c r="F841" s="60">
        <f t="shared" si="377"/>
        <v>0</v>
      </c>
      <c r="G841" s="60">
        <f t="shared" si="377"/>
        <v>11</v>
      </c>
      <c r="H841" s="60">
        <f t="shared" si="377"/>
        <v>0</v>
      </c>
      <c r="I841" s="60">
        <f>SUM(I839:I840)</f>
        <v>11</v>
      </c>
      <c r="J841" s="65" t="s">
        <v>13</v>
      </c>
      <c r="K841" s="67"/>
      <c r="L841" s="55"/>
    </row>
    <row r="842" spans="1:12" ht="12.75" customHeight="1" thickBot="1" x14ac:dyDescent="0.25">
      <c r="A842" s="60">
        <f t="shared" si="370"/>
        <v>2392</v>
      </c>
      <c r="B842" s="60">
        <f t="shared" si="371"/>
        <v>2392</v>
      </c>
      <c r="C842" s="60">
        <f t="shared" si="371"/>
        <v>0</v>
      </c>
      <c r="D842" s="60">
        <f t="shared" si="372"/>
        <v>7</v>
      </c>
      <c r="E842" s="60">
        <v>7</v>
      </c>
      <c r="F842" s="60">
        <v>0</v>
      </c>
      <c r="G842" s="60">
        <f t="shared" si="373"/>
        <v>2385</v>
      </c>
      <c r="H842" s="60">
        <v>2385</v>
      </c>
      <c r="I842" s="60">
        <v>0</v>
      </c>
      <c r="J842" s="65" t="s">
        <v>221</v>
      </c>
      <c r="K842" s="66"/>
      <c r="L842" s="55"/>
    </row>
    <row r="843" spans="1:12" ht="12.75" customHeight="1" thickBot="1" x14ac:dyDescent="0.25">
      <c r="A843" s="60">
        <f t="shared" si="370"/>
        <v>541</v>
      </c>
      <c r="B843" s="60">
        <f t="shared" si="371"/>
        <v>541</v>
      </c>
      <c r="C843" s="60">
        <f t="shared" si="371"/>
        <v>0</v>
      </c>
      <c r="D843" s="60">
        <f t="shared" si="372"/>
        <v>0</v>
      </c>
      <c r="E843" s="60">
        <v>0</v>
      </c>
      <c r="F843" s="60">
        <v>0</v>
      </c>
      <c r="G843" s="60">
        <f t="shared" si="373"/>
        <v>541</v>
      </c>
      <c r="H843" s="60">
        <v>541</v>
      </c>
      <c r="I843" s="60">
        <v>0</v>
      </c>
      <c r="J843" s="65" t="s">
        <v>222</v>
      </c>
      <c r="K843" s="66" t="s">
        <v>495</v>
      </c>
      <c r="L843" s="55"/>
    </row>
    <row r="844" spans="1:12" ht="12.75" customHeight="1" thickBot="1" x14ac:dyDescent="0.25">
      <c r="A844" s="60">
        <f t="shared" ref="A844:H844" si="378">SUM(A842:A843)</f>
        <v>2933</v>
      </c>
      <c r="B844" s="60">
        <f t="shared" si="378"/>
        <v>2933</v>
      </c>
      <c r="C844" s="60">
        <f t="shared" si="378"/>
        <v>0</v>
      </c>
      <c r="D844" s="60">
        <f t="shared" si="378"/>
        <v>7</v>
      </c>
      <c r="E844" s="60">
        <f t="shared" si="378"/>
        <v>7</v>
      </c>
      <c r="F844" s="60">
        <f t="shared" si="378"/>
        <v>0</v>
      </c>
      <c r="G844" s="60">
        <f t="shared" si="378"/>
        <v>2926</v>
      </c>
      <c r="H844" s="60">
        <f t="shared" si="378"/>
        <v>2926</v>
      </c>
      <c r="I844" s="60">
        <f>SUM(I842:I843)</f>
        <v>0</v>
      </c>
      <c r="J844" s="65" t="s">
        <v>13</v>
      </c>
      <c r="K844" s="67"/>
      <c r="L844" s="55"/>
    </row>
    <row r="845" spans="1:12" ht="12.75" customHeight="1" thickBot="1" x14ac:dyDescent="0.25">
      <c r="A845" s="60">
        <f t="shared" si="370"/>
        <v>1318</v>
      </c>
      <c r="B845" s="60">
        <f t="shared" si="371"/>
        <v>1318</v>
      </c>
      <c r="C845" s="60">
        <f t="shared" si="371"/>
        <v>0</v>
      </c>
      <c r="D845" s="60">
        <f t="shared" si="372"/>
        <v>0</v>
      </c>
      <c r="E845" s="60">
        <v>0</v>
      </c>
      <c r="F845" s="60">
        <v>0</v>
      </c>
      <c r="G845" s="60">
        <f t="shared" si="373"/>
        <v>1318</v>
      </c>
      <c r="H845" s="60">
        <v>1318</v>
      </c>
      <c r="I845" s="60">
        <v>0</v>
      </c>
      <c r="J845" s="65" t="s">
        <v>221</v>
      </c>
      <c r="K845" s="66"/>
      <c r="L845" s="55"/>
    </row>
    <row r="846" spans="1:12" ht="12.75" customHeight="1" thickBot="1" x14ac:dyDescent="0.25">
      <c r="A846" s="60">
        <f t="shared" si="370"/>
        <v>58</v>
      </c>
      <c r="B846" s="60">
        <f t="shared" si="371"/>
        <v>58</v>
      </c>
      <c r="C846" s="60">
        <f t="shared" si="371"/>
        <v>0</v>
      </c>
      <c r="D846" s="60">
        <f t="shared" si="372"/>
        <v>0</v>
      </c>
      <c r="E846" s="60">
        <v>0</v>
      </c>
      <c r="F846" s="60">
        <v>0</v>
      </c>
      <c r="G846" s="60">
        <f t="shared" si="373"/>
        <v>58</v>
      </c>
      <c r="H846" s="60">
        <v>58</v>
      </c>
      <c r="I846" s="60">
        <v>0</v>
      </c>
      <c r="J846" s="65" t="s">
        <v>222</v>
      </c>
      <c r="K846" s="66" t="s">
        <v>496</v>
      </c>
      <c r="L846" s="55"/>
    </row>
    <row r="847" spans="1:12" ht="12.75" customHeight="1" thickBot="1" x14ac:dyDescent="0.25">
      <c r="A847" s="60">
        <f t="shared" ref="A847:H847" si="379">SUM(A845:A846)</f>
        <v>1376</v>
      </c>
      <c r="B847" s="60">
        <f t="shared" si="379"/>
        <v>1376</v>
      </c>
      <c r="C847" s="60">
        <f t="shared" si="379"/>
        <v>0</v>
      </c>
      <c r="D847" s="60">
        <f t="shared" si="379"/>
        <v>0</v>
      </c>
      <c r="E847" s="60">
        <f t="shared" si="379"/>
        <v>0</v>
      </c>
      <c r="F847" s="60">
        <f t="shared" si="379"/>
        <v>0</v>
      </c>
      <c r="G847" s="60">
        <f t="shared" si="379"/>
        <v>1376</v>
      </c>
      <c r="H847" s="60">
        <f t="shared" si="379"/>
        <v>1376</v>
      </c>
      <c r="I847" s="60">
        <f>SUM(I845:I846)</f>
        <v>0</v>
      </c>
      <c r="J847" s="65" t="s">
        <v>13</v>
      </c>
      <c r="K847" s="67"/>
      <c r="L847" s="55"/>
    </row>
    <row r="848" spans="1:12" ht="12.75" customHeight="1" thickBot="1" x14ac:dyDescent="0.25">
      <c r="A848" s="60">
        <f t="shared" si="370"/>
        <v>2070</v>
      </c>
      <c r="B848" s="60">
        <f t="shared" si="371"/>
        <v>2070</v>
      </c>
      <c r="C848" s="60">
        <f t="shared" si="371"/>
        <v>0</v>
      </c>
      <c r="D848" s="60">
        <f t="shared" si="372"/>
        <v>1</v>
      </c>
      <c r="E848" s="60">
        <v>1</v>
      </c>
      <c r="F848" s="60">
        <v>0</v>
      </c>
      <c r="G848" s="60">
        <f t="shared" si="373"/>
        <v>2069</v>
      </c>
      <c r="H848" s="60">
        <v>2069</v>
      </c>
      <c r="I848" s="60">
        <v>0</v>
      </c>
      <c r="J848" s="65" t="s">
        <v>221</v>
      </c>
      <c r="K848" s="66"/>
      <c r="L848" s="55"/>
    </row>
    <row r="849" spans="1:12" ht="12.75" customHeight="1" thickBot="1" x14ac:dyDescent="0.25">
      <c r="A849" s="60">
        <f t="shared" si="370"/>
        <v>0</v>
      </c>
      <c r="B849" s="60">
        <f t="shared" si="371"/>
        <v>0</v>
      </c>
      <c r="C849" s="60">
        <f t="shared" si="371"/>
        <v>0</v>
      </c>
      <c r="D849" s="60">
        <f t="shared" si="372"/>
        <v>0</v>
      </c>
      <c r="E849" s="60">
        <v>0</v>
      </c>
      <c r="F849" s="60">
        <v>0</v>
      </c>
      <c r="G849" s="60">
        <f t="shared" si="373"/>
        <v>0</v>
      </c>
      <c r="H849" s="60">
        <v>0</v>
      </c>
      <c r="I849" s="60">
        <v>0</v>
      </c>
      <c r="J849" s="65" t="s">
        <v>222</v>
      </c>
      <c r="K849" s="66" t="s">
        <v>497</v>
      </c>
      <c r="L849" s="55"/>
    </row>
    <row r="850" spans="1:12" ht="12.75" customHeight="1" thickBot="1" x14ac:dyDescent="0.25">
      <c r="A850" s="60">
        <f t="shared" ref="A850:H850" si="380">SUM(A848:A849)</f>
        <v>2070</v>
      </c>
      <c r="B850" s="60">
        <f t="shared" si="380"/>
        <v>2070</v>
      </c>
      <c r="C850" s="60">
        <f t="shared" si="380"/>
        <v>0</v>
      </c>
      <c r="D850" s="60">
        <f t="shared" si="380"/>
        <v>1</v>
      </c>
      <c r="E850" s="60">
        <f t="shared" si="380"/>
        <v>1</v>
      </c>
      <c r="F850" s="60">
        <f t="shared" si="380"/>
        <v>0</v>
      </c>
      <c r="G850" s="60">
        <f t="shared" si="380"/>
        <v>2069</v>
      </c>
      <c r="H850" s="60">
        <f t="shared" si="380"/>
        <v>2069</v>
      </c>
      <c r="I850" s="60">
        <f>SUM(I848:I849)</f>
        <v>0</v>
      </c>
      <c r="J850" s="65" t="s">
        <v>13</v>
      </c>
      <c r="K850" s="67"/>
      <c r="L850" s="55"/>
    </row>
    <row r="851" spans="1:12" ht="12.75" customHeight="1" thickBot="1" x14ac:dyDescent="0.25">
      <c r="A851" s="60">
        <f t="shared" si="370"/>
        <v>2302</v>
      </c>
      <c r="B851" s="60">
        <f t="shared" si="371"/>
        <v>2302</v>
      </c>
      <c r="C851" s="60">
        <f t="shared" si="371"/>
        <v>0</v>
      </c>
      <c r="D851" s="60">
        <f t="shared" si="372"/>
        <v>0</v>
      </c>
      <c r="E851" s="60">
        <v>0</v>
      </c>
      <c r="F851" s="60">
        <v>0</v>
      </c>
      <c r="G851" s="60">
        <f t="shared" si="373"/>
        <v>2302</v>
      </c>
      <c r="H851" s="60">
        <v>2302</v>
      </c>
      <c r="I851" s="60">
        <v>0</v>
      </c>
      <c r="J851" s="65" t="s">
        <v>221</v>
      </c>
      <c r="K851" s="66"/>
      <c r="L851" s="55"/>
    </row>
    <row r="852" spans="1:12" ht="12.75" customHeight="1" thickBot="1" x14ac:dyDescent="0.25">
      <c r="A852" s="60">
        <f t="shared" si="370"/>
        <v>140</v>
      </c>
      <c r="B852" s="60">
        <f t="shared" si="371"/>
        <v>140</v>
      </c>
      <c r="C852" s="60">
        <f t="shared" si="371"/>
        <v>0</v>
      </c>
      <c r="D852" s="60">
        <f t="shared" si="372"/>
        <v>0</v>
      </c>
      <c r="E852" s="60">
        <v>0</v>
      </c>
      <c r="F852" s="60">
        <v>0</v>
      </c>
      <c r="G852" s="60">
        <f t="shared" si="373"/>
        <v>140</v>
      </c>
      <c r="H852" s="60">
        <v>140</v>
      </c>
      <c r="I852" s="60">
        <v>0</v>
      </c>
      <c r="J852" s="65" t="s">
        <v>222</v>
      </c>
      <c r="K852" s="66" t="s">
        <v>498</v>
      </c>
      <c r="L852" s="55"/>
    </row>
    <row r="853" spans="1:12" ht="12.75" customHeight="1" thickBot="1" x14ac:dyDescent="0.25">
      <c r="A853" s="60">
        <f t="shared" ref="A853:H853" si="381">SUM(A851:A852)</f>
        <v>2442</v>
      </c>
      <c r="B853" s="60">
        <f t="shared" si="381"/>
        <v>2442</v>
      </c>
      <c r="C853" s="60">
        <f t="shared" si="381"/>
        <v>0</v>
      </c>
      <c r="D853" s="60">
        <f t="shared" si="381"/>
        <v>0</v>
      </c>
      <c r="E853" s="60">
        <f t="shared" si="381"/>
        <v>0</v>
      </c>
      <c r="F853" s="60">
        <f t="shared" si="381"/>
        <v>0</v>
      </c>
      <c r="G853" s="60">
        <f t="shared" si="381"/>
        <v>2442</v>
      </c>
      <c r="H853" s="60">
        <f t="shared" si="381"/>
        <v>2442</v>
      </c>
      <c r="I853" s="60">
        <f>SUM(I851:I852)</f>
        <v>0</v>
      </c>
      <c r="J853" s="65" t="s">
        <v>13</v>
      </c>
      <c r="K853" s="67"/>
      <c r="L853" s="55"/>
    </row>
    <row r="854" spans="1:12" ht="12.75" customHeight="1" thickBot="1" x14ac:dyDescent="0.25">
      <c r="A854" s="60">
        <f t="shared" ref="A854:I856" si="382">A830+A833+A836+A839+A842+A845+A848+A851</f>
        <v>10750</v>
      </c>
      <c r="B854" s="60">
        <f t="shared" si="382"/>
        <v>8236</v>
      </c>
      <c r="C854" s="60">
        <f t="shared" si="382"/>
        <v>2514</v>
      </c>
      <c r="D854" s="60">
        <f t="shared" si="382"/>
        <v>8</v>
      </c>
      <c r="E854" s="60">
        <f t="shared" si="382"/>
        <v>8</v>
      </c>
      <c r="F854" s="60">
        <f t="shared" si="382"/>
        <v>0</v>
      </c>
      <c r="G854" s="60">
        <f t="shared" si="382"/>
        <v>10742</v>
      </c>
      <c r="H854" s="60">
        <f t="shared" si="382"/>
        <v>8228</v>
      </c>
      <c r="I854" s="60">
        <f>I830+I833+I836+I839+I842+I845+I848+I851</f>
        <v>2514</v>
      </c>
      <c r="J854" s="65" t="s">
        <v>224</v>
      </c>
      <c r="K854" s="57"/>
      <c r="L854" s="55"/>
    </row>
    <row r="855" spans="1:12" ht="12.75" customHeight="1" thickBot="1" x14ac:dyDescent="0.25">
      <c r="A855" s="60">
        <f t="shared" si="382"/>
        <v>739</v>
      </c>
      <c r="B855" s="60">
        <f t="shared" si="382"/>
        <v>739</v>
      </c>
      <c r="C855" s="60">
        <f t="shared" si="382"/>
        <v>0</v>
      </c>
      <c r="D855" s="60">
        <f t="shared" si="382"/>
        <v>0</v>
      </c>
      <c r="E855" s="60">
        <f t="shared" si="382"/>
        <v>0</v>
      </c>
      <c r="F855" s="60">
        <f t="shared" si="382"/>
        <v>0</v>
      </c>
      <c r="G855" s="60">
        <f t="shared" si="382"/>
        <v>739</v>
      </c>
      <c r="H855" s="60">
        <f t="shared" si="382"/>
        <v>739</v>
      </c>
      <c r="I855" s="60">
        <f t="shared" si="382"/>
        <v>0</v>
      </c>
      <c r="J855" s="65" t="s">
        <v>225</v>
      </c>
      <c r="K855" s="68" t="s">
        <v>211</v>
      </c>
      <c r="L855" s="55"/>
    </row>
    <row r="856" spans="1:12" ht="12.75" customHeight="1" thickBot="1" x14ac:dyDescent="0.25">
      <c r="A856" s="60">
        <f t="shared" si="382"/>
        <v>11489</v>
      </c>
      <c r="B856" s="60">
        <f t="shared" si="382"/>
        <v>8975</v>
      </c>
      <c r="C856" s="60">
        <f t="shared" si="382"/>
        <v>2514</v>
      </c>
      <c r="D856" s="60">
        <f t="shared" si="382"/>
        <v>8</v>
      </c>
      <c r="E856" s="60">
        <f t="shared" si="382"/>
        <v>8</v>
      </c>
      <c r="F856" s="60">
        <f t="shared" si="382"/>
        <v>0</v>
      </c>
      <c r="G856" s="60">
        <f t="shared" si="382"/>
        <v>11481</v>
      </c>
      <c r="H856" s="60">
        <f t="shared" si="382"/>
        <v>8967</v>
      </c>
      <c r="I856" s="60">
        <f t="shared" si="382"/>
        <v>2514</v>
      </c>
      <c r="J856" s="65" t="s">
        <v>13</v>
      </c>
      <c r="K856" s="59"/>
      <c r="L856" s="55"/>
    </row>
    <row r="857" spans="1:12" ht="12.75" customHeight="1" x14ac:dyDescent="0.2">
      <c r="A857" s="177" t="s">
        <v>560</v>
      </c>
      <c r="B857" s="177"/>
      <c r="C857" s="177"/>
      <c r="D857" s="177"/>
      <c r="E857" s="177"/>
      <c r="F857" s="177"/>
      <c r="G857" s="177"/>
      <c r="H857" s="177"/>
      <c r="I857" s="177"/>
      <c r="J857" s="177"/>
      <c r="K857" s="177"/>
      <c r="L857" s="55"/>
    </row>
    <row r="858" spans="1:12" ht="12.75" customHeight="1" thickBot="1" x14ac:dyDescent="0.25">
      <c r="A858" s="178" t="s">
        <v>561</v>
      </c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55"/>
    </row>
    <row r="859" spans="1:12" ht="12.75" customHeight="1" thickBot="1" x14ac:dyDescent="0.25">
      <c r="A859" s="179" t="s">
        <v>5</v>
      </c>
      <c r="B859" s="179"/>
      <c r="C859" s="179"/>
      <c r="D859" s="179" t="s">
        <v>162</v>
      </c>
      <c r="E859" s="179"/>
      <c r="F859" s="179"/>
      <c r="G859" s="179" t="s">
        <v>163</v>
      </c>
      <c r="H859" s="179"/>
      <c r="I859" s="179"/>
      <c r="J859" s="179" t="s">
        <v>72</v>
      </c>
      <c r="K859" s="179"/>
      <c r="L859" s="55"/>
    </row>
    <row r="860" spans="1:12" ht="12.75" customHeight="1" thickBot="1" x14ac:dyDescent="0.25">
      <c r="A860" s="58" t="s">
        <v>216</v>
      </c>
      <c r="B860" s="58" t="s">
        <v>11</v>
      </c>
      <c r="C860" s="58" t="s">
        <v>10</v>
      </c>
      <c r="D860" s="58" t="s">
        <v>216</v>
      </c>
      <c r="E860" s="58" t="s">
        <v>11</v>
      </c>
      <c r="F860" s="58" t="s">
        <v>10</v>
      </c>
      <c r="G860" s="58" t="s">
        <v>216</v>
      </c>
      <c r="H860" s="58" t="s">
        <v>11</v>
      </c>
      <c r="I860" s="58" t="s">
        <v>10</v>
      </c>
      <c r="J860" s="180" t="s">
        <v>129</v>
      </c>
      <c r="K860" s="180"/>
      <c r="L860" s="55"/>
    </row>
    <row r="861" spans="1:12" ht="12.75" customHeight="1" thickBot="1" x14ac:dyDescent="0.25">
      <c r="A861" s="60">
        <f>SUM(B861:C861)</f>
        <v>4062</v>
      </c>
      <c r="B861" s="60">
        <f>H861+E861</f>
        <v>4062</v>
      </c>
      <c r="C861" s="60">
        <f>I861+F861</f>
        <v>0</v>
      </c>
      <c r="D861" s="60">
        <f>SUM(E861:F861)</f>
        <v>19</v>
      </c>
      <c r="E861" s="60">
        <v>19</v>
      </c>
      <c r="F861" s="60">
        <v>0</v>
      </c>
      <c r="G861" s="60">
        <f>SUM(H861:I861)</f>
        <v>4043</v>
      </c>
      <c r="H861" s="60">
        <v>4043</v>
      </c>
      <c r="I861" s="60">
        <v>0</v>
      </c>
      <c r="J861" s="65" t="s">
        <v>221</v>
      </c>
      <c r="K861" s="66"/>
      <c r="L861" s="55"/>
    </row>
    <row r="862" spans="1:12" ht="12.75" customHeight="1" thickBot="1" x14ac:dyDescent="0.25">
      <c r="A862" s="60">
        <f t="shared" ref="A862:A868" si="383">SUM(B862:C862)</f>
        <v>616</v>
      </c>
      <c r="B862" s="60">
        <f t="shared" ref="B862:C868" si="384">H862+E862</f>
        <v>616</v>
      </c>
      <c r="C862" s="60">
        <f t="shared" si="384"/>
        <v>0</v>
      </c>
      <c r="D862" s="60">
        <f t="shared" ref="D862:D868" si="385">SUM(E862:F862)</f>
        <v>8</v>
      </c>
      <c r="E862" s="60">
        <v>8</v>
      </c>
      <c r="F862" s="60">
        <v>0</v>
      </c>
      <c r="G862" s="60">
        <f t="shared" ref="G862:G868" si="386">SUM(H862:I862)</f>
        <v>608</v>
      </c>
      <c r="H862" s="60">
        <v>608</v>
      </c>
      <c r="I862" s="60">
        <v>0</v>
      </c>
      <c r="J862" s="65" t="s">
        <v>222</v>
      </c>
      <c r="K862" s="66" t="s">
        <v>499</v>
      </c>
      <c r="L862" s="55"/>
    </row>
    <row r="863" spans="1:12" ht="12.75" customHeight="1" thickBot="1" x14ac:dyDescent="0.25">
      <c r="A863" s="60">
        <f t="shared" ref="A863:H863" si="387">SUM(A861:A862)</f>
        <v>4678</v>
      </c>
      <c r="B863" s="60">
        <f t="shared" si="387"/>
        <v>4678</v>
      </c>
      <c r="C863" s="60">
        <f t="shared" si="387"/>
        <v>0</v>
      </c>
      <c r="D863" s="60">
        <f t="shared" si="387"/>
        <v>27</v>
      </c>
      <c r="E863" s="60">
        <f t="shared" si="387"/>
        <v>27</v>
      </c>
      <c r="F863" s="60">
        <f t="shared" si="387"/>
        <v>0</v>
      </c>
      <c r="G863" s="60">
        <f t="shared" si="387"/>
        <v>4651</v>
      </c>
      <c r="H863" s="60">
        <f t="shared" si="387"/>
        <v>4651</v>
      </c>
      <c r="I863" s="60">
        <f>SUM(I861:I862)</f>
        <v>0</v>
      </c>
      <c r="J863" s="65" t="s">
        <v>13</v>
      </c>
      <c r="K863" s="67"/>
      <c r="L863" s="55"/>
    </row>
    <row r="864" spans="1:12" ht="12.75" customHeight="1" thickBot="1" x14ac:dyDescent="0.25">
      <c r="A864" s="60">
        <f t="shared" si="383"/>
        <v>1293</v>
      </c>
      <c r="B864" s="60">
        <f t="shared" si="384"/>
        <v>1293</v>
      </c>
      <c r="C864" s="60">
        <f t="shared" si="384"/>
        <v>0</v>
      </c>
      <c r="D864" s="60">
        <f t="shared" si="385"/>
        <v>0</v>
      </c>
      <c r="E864" s="60">
        <v>0</v>
      </c>
      <c r="F864" s="60">
        <v>0</v>
      </c>
      <c r="G864" s="60">
        <f t="shared" si="386"/>
        <v>1293</v>
      </c>
      <c r="H864" s="60">
        <f>1217+76</f>
        <v>1293</v>
      </c>
      <c r="I864" s="60">
        <v>0</v>
      </c>
      <c r="J864" s="65" t="s">
        <v>221</v>
      </c>
      <c r="K864" s="66"/>
      <c r="L864" s="55"/>
    </row>
    <row r="865" spans="1:12" ht="12.75" customHeight="1" thickBot="1" x14ac:dyDescent="0.25">
      <c r="A865" s="60">
        <f t="shared" si="383"/>
        <v>0</v>
      </c>
      <c r="B865" s="60">
        <f t="shared" si="384"/>
        <v>0</v>
      </c>
      <c r="C865" s="60">
        <f t="shared" si="384"/>
        <v>0</v>
      </c>
      <c r="D865" s="60">
        <f t="shared" si="385"/>
        <v>0</v>
      </c>
      <c r="E865" s="60">
        <v>0</v>
      </c>
      <c r="F865" s="60">
        <v>0</v>
      </c>
      <c r="G865" s="60">
        <f t="shared" si="386"/>
        <v>0</v>
      </c>
      <c r="H865" s="60">
        <v>0</v>
      </c>
      <c r="I865" s="60">
        <v>0</v>
      </c>
      <c r="J865" s="65" t="s">
        <v>222</v>
      </c>
      <c r="K865" s="66" t="s">
        <v>500</v>
      </c>
      <c r="L865" s="55"/>
    </row>
    <row r="866" spans="1:12" ht="12.75" customHeight="1" thickBot="1" x14ac:dyDescent="0.25">
      <c r="A866" s="60">
        <f t="shared" ref="A866:H866" si="388">SUM(A864:A865)</f>
        <v>1293</v>
      </c>
      <c r="B866" s="60">
        <f t="shared" si="388"/>
        <v>1293</v>
      </c>
      <c r="C866" s="60">
        <f t="shared" si="388"/>
        <v>0</v>
      </c>
      <c r="D866" s="60">
        <f t="shared" si="388"/>
        <v>0</v>
      </c>
      <c r="E866" s="60">
        <f t="shared" si="388"/>
        <v>0</v>
      </c>
      <c r="F866" s="60">
        <f t="shared" si="388"/>
        <v>0</v>
      </c>
      <c r="G866" s="60">
        <f t="shared" si="388"/>
        <v>1293</v>
      </c>
      <c r="H866" s="60">
        <f t="shared" si="388"/>
        <v>1293</v>
      </c>
      <c r="I866" s="60">
        <f>SUM(I864:I865)</f>
        <v>0</v>
      </c>
      <c r="J866" s="65" t="s">
        <v>13</v>
      </c>
      <c r="K866" s="67"/>
      <c r="L866" s="55"/>
    </row>
    <row r="867" spans="1:12" ht="12.75" customHeight="1" thickBot="1" x14ac:dyDescent="0.25">
      <c r="A867" s="60">
        <f t="shared" si="383"/>
        <v>626</v>
      </c>
      <c r="B867" s="60">
        <f t="shared" si="384"/>
        <v>0</v>
      </c>
      <c r="C867" s="60">
        <f t="shared" si="384"/>
        <v>626</v>
      </c>
      <c r="D867" s="60">
        <f t="shared" si="385"/>
        <v>0</v>
      </c>
      <c r="E867" s="60">
        <v>0</v>
      </c>
      <c r="F867" s="60">
        <v>0</v>
      </c>
      <c r="G867" s="60">
        <f t="shared" si="386"/>
        <v>626</v>
      </c>
      <c r="H867" s="60">
        <v>0</v>
      </c>
      <c r="I867" s="60">
        <f>436+190</f>
        <v>626</v>
      </c>
      <c r="J867" s="65" t="s">
        <v>221</v>
      </c>
      <c r="K867" s="66"/>
      <c r="L867" s="55"/>
    </row>
    <row r="868" spans="1:12" ht="12.75" customHeight="1" thickBot="1" x14ac:dyDescent="0.25">
      <c r="A868" s="60">
        <f t="shared" si="383"/>
        <v>0</v>
      </c>
      <c r="B868" s="60">
        <f t="shared" si="384"/>
        <v>0</v>
      </c>
      <c r="C868" s="60">
        <f t="shared" si="384"/>
        <v>0</v>
      </c>
      <c r="D868" s="60">
        <f t="shared" si="385"/>
        <v>0</v>
      </c>
      <c r="E868" s="60">
        <v>0</v>
      </c>
      <c r="F868" s="60">
        <v>0</v>
      </c>
      <c r="G868" s="60">
        <f t="shared" si="386"/>
        <v>0</v>
      </c>
      <c r="H868" s="60">
        <v>0</v>
      </c>
      <c r="I868" s="60">
        <v>0</v>
      </c>
      <c r="J868" s="65" t="s">
        <v>222</v>
      </c>
      <c r="K868" s="66" t="s">
        <v>501</v>
      </c>
      <c r="L868" s="55"/>
    </row>
    <row r="869" spans="1:12" ht="12.75" customHeight="1" thickBot="1" x14ac:dyDescent="0.25">
      <c r="A869" s="60">
        <f t="shared" ref="A869:H869" si="389">SUM(A867:A868)</f>
        <v>626</v>
      </c>
      <c r="B869" s="60">
        <f t="shared" si="389"/>
        <v>0</v>
      </c>
      <c r="C869" s="60">
        <f t="shared" si="389"/>
        <v>626</v>
      </c>
      <c r="D869" s="60">
        <f t="shared" si="389"/>
        <v>0</v>
      </c>
      <c r="E869" s="60">
        <f t="shared" si="389"/>
        <v>0</v>
      </c>
      <c r="F869" s="60">
        <f t="shared" si="389"/>
        <v>0</v>
      </c>
      <c r="G869" s="60">
        <f t="shared" si="389"/>
        <v>626</v>
      </c>
      <c r="H869" s="60">
        <f t="shared" si="389"/>
        <v>0</v>
      </c>
      <c r="I869" s="60">
        <f>SUM(I867:I868)</f>
        <v>626</v>
      </c>
      <c r="J869" s="65" t="s">
        <v>13</v>
      </c>
      <c r="K869" s="67"/>
      <c r="L869" s="55"/>
    </row>
    <row r="870" spans="1:12" ht="12.75" customHeight="1" thickBot="1" x14ac:dyDescent="0.25">
      <c r="A870" s="60">
        <f t="shared" ref="A870:I872" si="390">A861+A864+A867</f>
        <v>5981</v>
      </c>
      <c r="B870" s="60">
        <f t="shared" si="390"/>
        <v>5355</v>
      </c>
      <c r="C870" s="60">
        <f t="shared" si="390"/>
        <v>626</v>
      </c>
      <c r="D870" s="60">
        <f t="shared" si="390"/>
        <v>19</v>
      </c>
      <c r="E870" s="60">
        <f t="shared" si="390"/>
        <v>19</v>
      </c>
      <c r="F870" s="60">
        <f t="shared" si="390"/>
        <v>0</v>
      </c>
      <c r="G870" s="60">
        <f t="shared" si="390"/>
        <v>5962</v>
      </c>
      <c r="H870" s="60">
        <f t="shared" si="390"/>
        <v>5336</v>
      </c>
      <c r="I870" s="60">
        <f>I861+I864+I867</f>
        <v>626</v>
      </c>
      <c r="J870" s="65" t="s">
        <v>224</v>
      </c>
      <c r="K870" s="57"/>
      <c r="L870" s="55"/>
    </row>
    <row r="871" spans="1:12" ht="12.75" customHeight="1" thickBot="1" x14ac:dyDescent="0.25">
      <c r="A871" s="60">
        <f t="shared" si="390"/>
        <v>616</v>
      </c>
      <c r="B871" s="60">
        <f t="shared" si="390"/>
        <v>616</v>
      </c>
      <c r="C871" s="60">
        <f t="shared" si="390"/>
        <v>0</v>
      </c>
      <c r="D871" s="60">
        <f t="shared" si="390"/>
        <v>8</v>
      </c>
      <c r="E871" s="60">
        <f t="shared" si="390"/>
        <v>8</v>
      </c>
      <c r="F871" s="60">
        <f t="shared" si="390"/>
        <v>0</v>
      </c>
      <c r="G871" s="60">
        <f t="shared" si="390"/>
        <v>608</v>
      </c>
      <c r="H871" s="60">
        <f t="shared" si="390"/>
        <v>608</v>
      </c>
      <c r="I871" s="60">
        <f t="shared" si="390"/>
        <v>0</v>
      </c>
      <c r="J871" s="65" t="s">
        <v>225</v>
      </c>
      <c r="K871" s="68" t="s">
        <v>211</v>
      </c>
      <c r="L871" s="55"/>
    </row>
    <row r="872" spans="1:12" ht="12.75" customHeight="1" thickBot="1" x14ac:dyDescent="0.25">
      <c r="A872" s="60">
        <f t="shared" si="390"/>
        <v>6597</v>
      </c>
      <c r="B872" s="60">
        <f t="shared" si="390"/>
        <v>5971</v>
      </c>
      <c r="C872" s="60">
        <f t="shared" si="390"/>
        <v>626</v>
      </c>
      <c r="D872" s="60">
        <f t="shared" si="390"/>
        <v>27</v>
      </c>
      <c r="E872" s="60">
        <f t="shared" si="390"/>
        <v>27</v>
      </c>
      <c r="F872" s="60">
        <f t="shared" si="390"/>
        <v>0</v>
      </c>
      <c r="G872" s="60">
        <f t="shared" si="390"/>
        <v>6570</v>
      </c>
      <c r="H872" s="60">
        <f t="shared" si="390"/>
        <v>5944</v>
      </c>
      <c r="I872" s="60">
        <f t="shared" si="390"/>
        <v>626</v>
      </c>
      <c r="J872" s="65" t="s">
        <v>13</v>
      </c>
      <c r="K872" s="59"/>
      <c r="L872" s="55"/>
    </row>
    <row r="873" spans="1:12" ht="12.75" customHeight="1" x14ac:dyDescent="0.2">
      <c r="A873" s="177" t="s">
        <v>560</v>
      </c>
      <c r="B873" s="177"/>
      <c r="C873" s="177"/>
      <c r="D873" s="177"/>
      <c r="E873" s="177"/>
      <c r="F873" s="177"/>
      <c r="G873" s="177"/>
      <c r="H873" s="177"/>
      <c r="I873" s="177"/>
      <c r="J873" s="177"/>
      <c r="K873" s="177"/>
      <c r="L873" s="55"/>
    </row>
    <row r="874" spans="1:12" ht="12.75" customHeight="1" thickBot="1" x14ac:dyDescent="0.25">
      <c r="A874" s="178" t="s">
        <v>561</v>
      </c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55"/>
    </row>
    <row r="875" spans="1:12" ht="12.75" customHeight="1" thickBot="1" x14ac:dyDescent="0.25">
      <c r="A875" s="179" t="s">
        <v>5</v>
      </c>
      <c r="B875" s="179"/>
      <c r="C875" s="179"/>
      <c r="D875" s="179" t="s">
        <v>162</v>
      </c>
      <c r="E875" s="179"/>
      <c r="F875" s="179"/>
      <c r="G875" s="179" t="s">
        <v>163</v>
      </c>
      <c r="H875" s="179"/>
      <c r="I875" s="179"/>
      <c r="J875" s="179" t="s">
        <v>72</v>
      </c>
      <c r="K875" s="179"/>
      <c r="L875" s="55"/>
    </row>
    <row r="876" spans="1:12" ht="12.75" customHeight="1" thickBot="1" x14ac:dyDescent="0.25">
      <c r="A876" s="58" t="s">
        <v>216</v>
      </c>
      <c r="B876" s="58" t="s">
        <v>11</v>
      </c>
      <c r="C876" s="58" t="s">
        <v>10</v>
      </c>
      <c r="D876" s="58" t="s">
        <v>216</v>
      </c>
      <c r="E876" s="58" t="s">
        <v>11</v>
      </c>
      <c r="F876" s="58" t="s">
        <v>10</v>
      </c>
      <c r="G876" s="58" t="s">
        <v>216</v>
      </c>
      <c r="H876" s="58" t="s">
        <v>11</v>
      </c>
      <c r="I876" s="58" t="s">
        <v>10</v>
      </c>
      <c r="J876" s="180" t="s">
        <v>131</v>
      </c>
      <c r="K876" s="180"/>
      <c r="L876" s="55"/>
    </row>
    <row r="877" spans="1:12" ht="12.75" customHeight="1" thickBot="1" x14ac:dyDescent="0.25">
      <c r="A877" s="60">
        <f t="shared" ref="A877:C878" si="391">G877+D877</f>
        <v>2079</v>
      </c>
      <c r="B877" s="60">
        <f t="shared" si="391"/>
        <v>2079</v>
      </c>
      <c r="C877" s="60">
        <f t="shared" si="391"/>
        <v>0</v>
      </c>
      <c r="D877" s="60">
        <f>F877+E877</f>
        <v>10</v>
      </c>
      <c r="E877" s="60">
        <v>10</v>
      </c>
      <c r="F877" s="60">
        <v>0</v>
      </c>
      <c r="G877" s="60">
        <f>I877+H877</f>
        <v>2069</v>
      </c>
      <c r="H877" s="60">
        <v>2069</v>
      </c>
      <c r="I877" s="60">
        <v>0</v>
      </c>
      <c r="J877" s="65" t="s">
        <v>221</v>
      </c>
      <c r="K877" s="66"/>
      <c r="L877" s="55"/>
    </row>
    <row r="878" spans="1:12" ht="12.75" customHeight="1" thickBot="1" x14ac:dyDescent="0.25">
      <c r="A878" s="60">
        <f t="shared" si="391"/>
        <v>0</v>
      </c>
      <c r="B878" s="60">
        <f t="shared" si="391"/>
        <v>0</v>
      </c>
      <c r="C878" s="60">
        <f t="shared" si="391"/>
        <v>0</v>
      </c>
      <c r="D878" s="60">
        <f>F878+E878</f>
        <v>0</v>
      </c>
      <c r="E878" s="60">
        <v>0</v>
      </c>
      <c r="F878" s="60">
        <v>0</v>
      </c>
      <c r="G878" s="60">
        <f>I878+H878</f>
        <v>0</v>
      </c>
      <c r="H878" s="60">
        <v>0</v>
      </c>
      <c r="I878" s="60">
        <v>0</v>
      </c>
      <c r="J878" s="65" t="s">
        <v>222</v>
      </c>
      <c r="K878" s="66" t="s">
        <v>502</v>
      </c>
      <c r="L878" s="55"/>
    </row>
    <row r="879" spans="1:12" ht="12.75" customHeight="1" thickBot="1" x14ac:dyDescent="0.25">
      <c r="A879" s="60">
        <f t="shared" ref="A879:H879" si="392">A877+A878</f>
        <v>2079</v>
      </c>
      <c r="B879" s="60">
        <f t="shared" si="392"/>
        <v>2079</v>
      </c>
      <c r="C879" s="60">
        <f t="shared" si="392"/>
        <v>0</v>
      </c>
      <c r="D879" s="60">
        <f t="shared" si="392"/>
        <v>10</v>
      </c>
      <c r="E879" s="60">
        <f t="shared" si="392"/>
        <v>10</v>
      </c>
      <c r="F879" s="60">
        <f t="shared" si="392"/>
        <v>0</v>
      </c>
      <c r="G879" s="60">
        <f t="shared" si="392"/>
        <v>2069</v>
      </c>
      <c r="H879" s="60">
        <f t="shared" si="392"/>
        <v>2069</v>
      </c>
      <c r="I879" s="60">
        <f>I877+I878</f>
        <v>0</v>
      </c>
      <c r="J879" s="65" t="s">
        <v>13</v>
      </c>
      <c r="K879" s="67"/>
      <c r="L879" s="55"/>
    </row>
    <row r="880" spans="1:12" ht="12.75" customHeight="1" thickBot="1" x14ac:dyDescent="0.25">
      <c r="A880" s="60">
        <f t="shared" ref="A880:C881" si="393">G880+D880</f>
        <v>2048</v>
      </c>
      <c r="B880" s="60">
        <f t="shared" si="393"/>
        <v>2048</v>
      </c>
      <c r="C880" s="60">
        <f t="shared" si="393"/>
        <v>0</v>
      </c>
      <c r="D880" s="60">
        <f>F880+E880</f>
        <v>32</v>
      </c>
      <c r="E880" s="60">
        <v>32</v>
      </c>
      <c r="F880" s="60">
        <v>0</v>
      </c>
      <c r="G880" s="60">
        <f>I880+H880</f>
        <v>2016</v>
      </c>
      <c r="H880" s="60">
        <v>2016</v>
      </c>
      <c r="I880" s="60">
        <v>0</v>
      </c>
      <c r="J880" s="65" t="s">
        <v>221</v>
      </c>
      <c r="K880" s="66"/>
      <c r="L880" s="55"/>
    </row>
    <row r="881" spans="1:12" ht="12.75" customHeight="1" thickBot="1" x14ac:dyDescent="0.25">
      <c r="A881" s="60">
        <f t="shared" si="393"/>
        <v>1065</v>
      </c>
      <c r="B881" s="60">
        <f t="shared" si="393"/>
        <v>1065</v>
      </c>
      <c r="C881" s="60">
        <f t="shared" si="393"/>
        <v>0</v>
      </c>
      <c r="D881" s="60">
        <f>F881+E881</f>
        <v>4</v>
      </c>
      <c r="E881" s="60">
        <v>4</v>
      </c>
      <c r="F881" s="60">
        <v>0</v>
      </c>
      <c r="G881" s="60">
        <f>I881+H881</f>
        <v>1061</v>
      </c>
      <c r="H881" s="60">
        <v>1061</v>
      </c>
      <c r="I881" s="60">
        <v>0</v>
      </c>
      <c r="J881" s="65" t="s">
        <v>222</v>
      </c>
      <c r="K881" s="66" t="s">
        <v>503</v>
      </c>
      <c r="L881" s="55"/>
    </row>
    <row r="882" spans="1:12" ht="12.75" customHeight="1" thickBot="1" x14ac:dyDescent="0.25">
      <c r="A882" s="60">
        <f t="shared" ref="A882:I882" si="394">A880+A881</f>
        <v>3113</v>
      </c>
      <c r="B882" s="60">
        <f t="shared" si="394"/>
        <v>3113</v>
      </c>
      <c r="C882" s="60">
        <f t="shared" si="394"/>
        <v>0</v>
      </c>
      <c r="D882" s="60">
        <f t="shared" si="394"/>
        <v>36</v>
      </c>
      <c r="E882" s="60">
        <f t="shared" si="394"/>
        <v>36</v>
      </c>
      <c r="F882" s="60">
        <f t="shared" si="394"/>
        <v>0</v>
      </c>
      <c r="G882" s="60">
        <f t="shared" si="394"/>
        <v>3077</v>
      </c>
      <c r="H882" s="60">
        <f t="shared" si="394"/>
        <v>3077</v>
      </c>
      <c r="I882" s="60">
        <f t="shared" si="394"/>
        <v>0</v>
      </c>
      <c r="J882" s="65" t="s">
        <v>13</v>
      </c>
      <c r="K882" s="67"/>
      <c r="L882" s="55"/>
    </row>
    <row r="883" spans="1:12" ht="12.75" customHeight="1" thickBot="1" x14ac:dyDescent="0.25">
      <c r="A883" s="60">
        <f t="shared" ref="A883:C884" si="395">G883+D883</f>
        <v>1453</v>
      </c>
      <c r="B883" s="60">
        <f t="shared" si="395"/>
        <v>1453</v>
      </c>
      <c r="C883" s="60">
        <f t="shared" si="395"/>
        <v>0</v>
      </c>
      <c r="D883" s="60">
        <f>F883+E883</f>
        <v>0</v>
      </c>
      <c r="E883" s="60">
        <v>0</v>
      </c>
      <c r="F883" s="60">
        <v>0</v>
      </c>
      <c r="G883" s="60">
        <f>I883+H883</f>
        <v>1453</v>
      </c>
      <c r="H883" s="60">
        <v>1453</v>
      </c>
      <c r="I883" s="60">
        <v>0</v>
      </c>
      <c r="J883" s="65" t="s">
        <v>221</v>
      </c>
      <c r="K883" s="66"/>
      <c r="L883" s="55"/>
    </row>
    <row r="884" spans="1:12" ht="12.75" customHeight="1" thickBot="1" x14ac:dyDescent="0.25">
      <c r="A884" s="60">
        <f t="shared" si="395"/>
        <v>0</v>
      </c>
      <c r="B884" s="60">
        <f t="shared" si="395"/>
        <v>0</v>
      </c>
      <c r="C884" s="60">
        <f t="shared" si="395"/>
        <v>0</v>
      </c>
      <c r="D884" s="60">
        <f>F884+E884</f>
        <v>0</v>
      </c>
      <c r="E884" s="60">
        <v>0</v>
      </c>
      <c r="F884" s="60">
        <v>0</v>
      </c>
      <c r="G884" s="60">
        <f>I884+H884</f>
        <v>0</v>
      </c>
      <c r="H884" s="60">
        <v>0</v>
      </c>
      <c r="I884" s="60">
        <v>0</v>
      </c>
      <c r="J884" s="65" t="s">
        <v>222</v>
      </c>
      <c r="K884" s="66" t="s">
        <v>504</v>
      </c>
      <c r="L884" s="55"/>
    </row>
    <row r="885" spans="1:12" ht="12.75" customHeight="1" thickBot="1" x14ac:dyDescent="0.25">
      <c r="A885" s="60">
        <f t="shared" ref="A885:I885" si="396">A883+A884</f>
        <v>1453</v>
      </c>
      <c r="B885" s="60">
        <f t="shared" si="396"/>
        <v>1453</v>
      </c>
      <c r="C885" s="60">
        <f t="shared" si="396"/>
        <v>0</v>
      </c>
      <c r="D885" s="60">
        <f t="shared" si="396"/>
        <v>0</v>
      </c>
      <c r="E885" s="60">
        <f t="shared" si="396"/>
        <v>0</v>
      </c>
      <c r="F885" s="60">
        <f t="shared" si="396"/>
        <v>0</v>
      </c>
      <c r="G885" s="60">
        <f t="shared" si="396"/>
        <v>1453</v>
      </c>
      <c r="H885" s="60">
        <f t="shared" si="396"/>
        <v>1453</v>
      </c>
      <c r="I885" s="60">
        <f t="shared" si="396"/>
        <v>0</v>
      </c>
      <c r="J885" s="65" t="s">
        <v>13</v>
      </c>
      <c r="K885" s="67"/>
      <c r="L885" s="55"/>
    </row>
    <row r="886" spans="1:12" ht="12.75" customHeight="1" thickBot="1" x14ac:dyDescent="0.25">
      <c r="A886" s="60">
        <f t="shared" ref="A886:C887" si="397">G886+D886</f>
        <v>1577</v>
      </c>
      <c r="B886" s="60">
        <f t="shared" si="397"/>
        <v>1577</v>
      </c>
      <c r="C886" s="60">
        <f t="shared" si="397"/>
        <v>0</v>
      </c>
      <c r="D886" s="60">
        <f>F886+E886</f>
        <v>3</v>
      </c>
      <c r="E886" s="60">
        <v>3</v>
      </c>
      <c r="F886" s="60">
        <v>0</v>
      </c>
      <c r="G886" s="60">
        <f>I886+H886</f>
        <v>1574</v>
      </c>
      <c r="H886" s="60">
        <v>1574</v>
      </c>
      <c r="I886" s="60">
        <v>0</v>
      </c>
      <c r="J886" s="65" t="s">
        <v>221</v>
      </c>
      <c r="K886" s="66"/>
      <c r="L886" s="55"/>
    </row>
    <row r="887" spans="1:12" ht="12.75" customHeight="1" thickBot="1" x14ac:dyDescent="0.25">
      <c r="A887" s="60">
        <f t="shared" si="397"/>
        <v>0</v>
      </c>
      <c r="B887" s="60">
        <f t="shared" si="397"/>
        <v>0</v>
      </c>
      <c r="C887" s="60">
        <f t="shared" si="397"/>
        <v>0</v>
      </c>
      <c r="D887" s="60">
        <f>F887+E887</f>
        <v>0</v>
      </c>
      <c r="E887" s="60">
        <v>0</v>
      </c>
      <c r="F887" s="60">
        <v>0</v>
      </c>
      <c r="G887" s="60">
        <f>I887+H887</f>
        <v>0</v>
      </c>
      <c r="H887" s="60">
        <v>0</v>
      </c>
      <c r="I887" s="60">
        <v>0</v>
      </c>
      <c r="J887" s="65" t="s">
        <v>222</v>
      </c>
      <c r="K887" s="66" t="s">
        <v>505</v>
      </c>
      <c r="L887" s="55"/>
    </row>
    <row r="888" spans="1:12" ht="12.75" customHeight="1" thickBot="1" x14ac:dyDescent="0.25">
      <c r="A888" s="60">
        <f t="shared" ref="A888:I888" si="398">A886+A887</f>
        <v>1577</v>
      </c>
      <c r="B888" s="60">
        <f t="shared" si="398"/>
        <v>1577</v>
      </c>
      <c r="C888" s="60">
        <f t="shared" si="398"/>
        <v>0</v>
      </c>
      <c r="D888" s="60">
        <f t="shared" si="398"/>
        <v>3</v>
      </c>
      <c r="E888" s="60">
        <f t="shared" si="398"/>
        <v>3</v>
      </c>
      <c r="F888" s="60">
        <f t="shared" si="398"/>
        <v>0</v>
      </c>
      <c r="G888" s="60">
        <f t="shared" si="398"/>
        <v>1574</v>
      </c>
      <c r="H888" s="60">
        <f t="shared" si="398"/>
        <v>1574</v>
      </c>
      <c r="I888" s="60">
        <f t="shared" si="398"/>
        <v>0</v>
      </c>
      <c r="J888" s="65" t="s">
        <v>13</v>
      </c>
      <c r="K888" s="67"/>
      <c r="L888" s="55"/>
    </row>
    <row r="889" spans="1:12" ht="12.75" customHeight="1" thickBot="1" x14ac:dyDescent="0.25">
      <c r="A889" s="60">
        <f t="shared" ref="A889:C890" si="399">G889+D889</f>
        <v>1886</v>
      </c>
      <c r="B889" s="60">
        <f t="shared" si="399"/>
        <v>1886</v>
      </c>
      <c r="C889" s="60">
        <f t="shared" si="399"/>
        <v>0</v>
      </c>
      <c r="D889" s="60">
        <f>F889+E889</f>
        <v>7</v>
      </c>
      <c r="E889" s="60">
        <v>7</v>
      </c>
      <c r="F889" s="60">
        <v>0</v>
      </c>
      <c r="G889" s="60">
        <f>I889+H889</f>
        <v>1879</v>
      </c>
      <c r="H889" s="60">
        <v>1879</v>
      </c>
      <c r="I889" s="60">
        <v>0</v>
      </c>
      <c r="J889" s="65" t="s">
        <v>221</v>
      </c>
      <c r="K889" s="66"/>
      <c r="L889" s="55"/>
    </row>
    <row r="890" spans="1:12" ht="12.75" customHeight="1" thickBot="1" x14ac:dyDescent="0.25">
      <c r="A890" s="60">
        <f t="shared" si="399"/>
        <v>979</v>
      </c>
      <c r="B890" s="60">
        <f t="shared" si="399"/>
        <v>979</v>
      </c>
      <c r="C890" s="60">
        <f t="shared" si="399"/>
        <v>0</v>
      </c>
      <c r="D890" s="60">
        <f>F890+E890</f>
        <v>5</v>
      </c>
      <c r="E890" s="60">
        <v>5</v>
      </c>
      <c r="F890" s="60">
        <v>0</v>
      </c>
      <c r="G890" s="60">
        <f>I890+H890</f>
        <v>974</v>
      </c>
      <c r="H890" s="60">
        <v>974</v>
      </c>
      <c r="I890" s="60">
        <v>0</v>
      </c>
      <c r="J890" s="65" t="s">
        <v>222</v>
      </c>
      <c r="K890" s="66" t="s">
        <v>506</v>
      </c>
      <c r="L890" s="55"/>
    </row>
    <row r="891" spans="1:12" ht="12.75" customHeight="1" thickBot="1" x14ac:dyDescent="0.25">
      <c r="A891" s="60">
        <f t="shared" ref="A891:I891" si="400">A889+A890</f>
        <v>2865</v>
      </c>
      <c r="B891" s="60">
        <f t="shared" si="400"/>
        <v>2865</v>
      </c>
      <c r="C891" s="60">
        <f t="shared" si="400"/>
        <v>0</v>
      </c>
      <c r="D891" s="60">
        <f t="shared" si="400"/>
        <v>12</v>
      </c>
      <c r="E891" s="60">
        <f t="shared" si="400"/>
        <v>12</v>
      </c>
      <c r="F891" s="60">
        <f t="shared" si="400"/>
        <v>0</v>
      </c>
      <c r="G891" s="60">
        <f t="shared" si="400"/>
        <v>2853</v>
      </c>
      <c r="H891" s="60">
        <f t="shared" si="400"/>
        <v>2853</v>
      </c>
      <c r="I891" s="60">
        <f t="shared" si="400"/>
        <v>0</v>
      </c>
      <c r="J891" s="65" t="s">
        <v>13</v>
      </c>
      <c r="K891" s="67"/>
      <c r="L891" s="55"/>
    </row>
    <row r="892" spans="1:12" ht="12.75" customHeight="1" thickBot="1" x14ac:dyDescent="0.25">
      <c r="A892" s="60">
        <f t="shared" ref="A892:C893" si="401">G892+D892</f>
        <v>1237</v>
      </c>
      <c r="B892" s="60">
        <f t="shared" si="401"/>
        <v>1237</v>
      </c>
      <c r="C892" s="60">
        <f t="shared" si="401"/>
        <v>0</v>
      </c>
      <c r="D892" s="60">
        <f>F892+E892</f>
        <v>0</v>
      </c>
      <c r="E892" s="60">
        <v>0</v>
      </c>
      <c r="F892" s="60">
        <v>0</v>
      </c>
      <c r="G892" s="60">
        <f>I892+H892</f>
        <v>1237</v>
      </c>
      <c r="H892" s="60">
        <v>1237</v>
      </c>
      <c r="I892" s="60">
        <v>0</v>
      </c>
      <c r="J892" s="65" t="s">
        <v>221</v>
      </c>
      <c r="K892" s="66"/>
      <c r="L892" s="55"/>
    </row>
    <row r="893" spans="1:12" ht="12.75" customHeight="1" thickBot="1" x14ac:dyDescent="0.25">
      <c r="A893" s="60">
        <f t="shared" si="401"/>
        <v>158</v>
      </c>
      <c r="B893" s="60">
        <f t="shared" si="401"/>
        <v>158</v>
      </c>
      <c r="C893" s="60">
        <f t="shared" si="401"/>
        <v>0</v>
      </c>
      <c r="D893" s="60">
        <f>F893+E893</f>
        <v>0</v>
      </c>
      <c r="E893" s="60">
        <v>0</v>
      </c>
      <c r="F893" s="60">
        <v>0</v>
      </c>
      <c r="G893" s="60">
        <f>I893+H893</f>
        <v>158</v>
      </c>
      <c r="H893" s="60">
        <v>158</v>
      </c>
      <c r="I893" s="60">
        <v>0</v>
      </c>
      <c r="J893" s="65" t="s">
        <v>222</v>
      </c>
      <c r="K893" s="66" t="s">
        <v>507</v>
      </c>
      <c r="L893" s="55"/>
    </row>
    <row r="894" spans="1:12" ht="12.75" customHeight="1" thickBot="1" x14ac:dyDescent="0.25">
      <c r="A894" s="60">
        <f t="shared" ref="A894:I894" si="402">A892+A893</f>
        <v>1395</v>
      </c>
      <c r="B894" s="60">
        <f t="shared" si="402"/>
        <v>1395</v>
      </c>
      <c r="C894" s="60">
        <f t="shared" si="402"/>
        <v>0</v>
      </c>
      <c r="D894" s="60">
        <f t="shared" si="402"/>
        <v>0</v>
      </c>
      <c r="E894" s="60">
        <f t="shared" si="402"/>
        <v>0</v>
      </c>
      <c r="F894" s="60">
        <f t="shared" si="402"/>
        <v>0</v>
      </c>
      <c r="G894" s="60">
        <f t="shared" si="402"/>
        <v>1395</v>
      </c>
      <c r="H894" s="60">
        <f t="shared" si="402"/>
        <v>1395</v>
      </c>
      <c r="I894" s="60">
        <f t="shared" si="402"/>
        <v>0</v>
      </c>
      <c r="J894" s="65" t="s">
        <v>13</v>
      </c>
      <c r="K894" s="67"/>
      <c r="L894" s="55"/>
    </row>
    <row r="895" spans="1:12" ht="12.75" customHeight="1" thickBot="1" x14ac:dyDescent="0.25">
      <c r="A895" s="60">
        <f t="shared" ref="A895:C896" si="403">G895+D895</f>
        <v>1079</v>
      </c>
      <c r="B895" s="60">
        <f t="shared" si="403"/>
        <v>1079</v>
      </c>
      <c r="C895" s="60">
        <f t="shared" si="403"/>
        <v>0</v>
      </c>
      <c r="D895" s="60">
        <f>F895+E895</f>
        <v>0</v>
      </c>
      <c r="E895" s="60">
        <v>0</v>
      </c>
      <c r="F895" s="60">
        <v>0</v>
      </c>
      <c r="G895" s="60">
        <f>I895+H895</f>
        <v>1079</v>
      </c>
      <c r="H895" s="60">
        <v>1079</v>
      </c>
      <c r="I895" s="60">
        <v>0</v>
      </c>
      <c r="J895" s="65" t="s">
        <v>221</v>
      </c>
      <c r="K895" s="66"/>
      <c r="L895" s="55"/>
    </row>
    <row r="896" spans="1:12" ht="12.75" customHeight="1" thickBot="1" x14ac:dyDescent="0.25">
      <c r="A896" s="60">
        <f t="shared" si="403"/>
        <v>56</v>
      </c>
      <c r="B896" s="60">
        <f t="shared" si="403"/>
        <v>56</v>
      </c>
      <c r="C896" s="60">
        <f t="shared" si="403"/>
        <v>0</v>
      </c>
      <c r="D896" s="60">
        <f>F896+E896</f>
        <v>0</v>
      </c>
      <c r="E896" s="60">
        <v>0</v>
      </c>
      <c r="F896" s="60">
        <v>0</v>
      </c>
      <c r="G896" s="60">
        <f>I896+H896</f>
        <v>56</v>
      </c>
      <c r="H896" s="60">
        <v>56</v>
      </c>
      <c r="I896" s="60">
        <v>0</v>
      </c>
      <c r="J896" s="65" t="s">
        <v>222</v>
      </c>
      <c r="K896" s="66" t="s">
        <v>508</v>
      </c>
      <c r="L896" s="55"/>
    </row>
    <row r="897" spans="1:12" ht="12.75" customHeight="1" thickBot="1" x14ac:dyDescent="0.25">
      <c r="A897" s="60">
        <f t="shared" ref="A897:I897" si="404">A895+A896</f>
        <v>1135</v>
      </c>
      <c r="B897" s="60">
        <f t="shared" si="404"/>
        <v>1135</v>
      </c>
      <c r="C897" s="60">
        <f t="shared" si="404"/>
        <v>0</v>
      </c>
      <c r="D897" s="60">
        <f t="shared" si="404"/>
        <v>0</v>
      </c>
      <c r="E897" s="60">
        <f t="shared" si="404"/>
        <v>0</v>
      </c>
      <c r="F897" s="60">
        <f t="shared" si="404"/>
        <v>0</v>
      </c>
      <c r="G897" s="60">
        <f t="shared" si="404"/>
        <v>1135</v>
      </c>
      <c r="H897" s="60">
        <f t="shared" si="404"/>
        <v>1135</v>
      </c>
      <c r="I897" s="60">
        <f t="shared" si="404"/>
        <v>0</v>
      </c>
      <c r="J897" s="65" t="s">
        <v>13</v>
      </c>
      <c r="K897" s="67"/>
      <c r="L897" s="55"/>
    </row>
    <row r="898" spans="1:12" ht="12.75" customHeight="1" thickBot="1" x14ac:dyDescent="0.25">
      <c r="A898" s="60">
        <f t="shared" ref="A898:C899" si="405">G898+D898</f>
        <v>558</v>
      </c>
      <c r="B898" s="60">
        <f t="shared" si="405"/>
        <v>558</v>
      </c>
      <c r="C898" s="60">
        <f t="shared" si="405"/>
        <v>0</v>
      </c>
      <c r="D898" s="60">
        <f>F898+E898</f>
        <v>0</v>
      </c>
      <c r="E898" s="60">
        <v>0</v>
      </c>
      <c r="F898" s="60">
        <v>0</v>
      </c>
      <c r="G898" s="60">
        <f>I898+H898</f>
        <v>558</v>
      </c>
      <c r="H898" s="60">
        <v>558</v>
      </c>
      <c r="I898" s="60">
        <v>0</v>
      </c>
      <c r="J898" s="65" t="s">
        <v>221</v>
      </c>
      <c r="K898" s="66"/>
      <c r="L898" s="55"/>
    </row>
    <row r="899" spans="1:12" ht="12.75" customHeight="1" thickBot="1" x14ac:dyDescent="0.25">
      <c r="A899" s="60">
        <f t="shared" si="405"/>
        <v>94</v>
      </c>
      <c r="B899" s="60">
        <f t="shared" si="405"/>
        <v>94</v>
      </c>
      <c r="C899" s="60">
        <f t="shared" si="405"/>
        <v>0</v>
      </c>
      <c r="D899" s="60">
        <f>F899+E899</f>
        <v>0</v>
      </c>
      <c r="E899" s="60">
        <v>0</v>
      </c>
      <c r="F899" s="60">
        <v>0</v>
      </c>
      <c r="G899" s="60">
        <f>I899+H899</f>
        <v>94</v>
      </c>
      <c r="H899" s="60">
        <v>94</v>
      </c>
      <c r="I899" s="60">
        <v>0</v>
      </c>
      <c r="J899" s="65" t="s">
        <v>222</v>
      </c>
      <c r="K899" s="66" t="s">
        <v>509</v>
      </c>
      <c r="L899" s="55"/>
    </row>
    <row r="900" spans="1:12" ht="12.75" customHeight="1" thickBot="1" x14ac:dyDescent="0.25">
      <c r="A900" s="60">
        <f t="shared" ref="A900:I900" si="406">A898+A899</f>
        <v>652</v>
      </c>
      <c r="B900" s="60">
        <f t="shared" si="406"/>
        <v>652</v>
      </c>
      <c r="C900" s="60">
        <f t="shared" si="406"/>
        <v>0</v>
      </c>
      <c r="D900" s="60">
        <f t="shared" si="406"/>
        <v>0</v>
      </c>
      <c r="E900" s="60">
        <f t="shared" si="406"/>
        <v>0</v>
      </c>
      <c r="F900" s="60">
        <f t="shared" si="406"/>
        <v>0</v>
      </c>
      <c r="G900" s="60">
        <f t="shared" si="406"/>
        <v>652</v>
      </c>
      <c r="H900" s="60">
        <f t="shared" si="406"/>
        <v>652</v>
      </c>
      <c r="I900" s="60">
        <f t="shared" si="406"/>
        <v>0</v>
      </c>
      <c r="J900" s="65" t="s">
        <v>13</v>
      </c>
      <c r="K900" s="67"/>
      <c r="L900" s="55"/>
    </row>
    <row r="901" spans="1:12" ht="12.75" customHeight="1" thickBot="1" x14ac:dyDescent="0.25">
      <c r="A901" s="60">
        <f t="shared" ref="A901:C902" si="407">G901+D901</f>
        <v>911</v>
      </c>
      <c r="B901" s="60">
        <f t="shared" si="407"/>
        <v>911</v>
      </c>
      <c r="C901" s="60">
        <f t="shared" si="407"/>
        <v>0</v>
      </c>
      <c r="D901" s="60">
        <f>F901+E901</f>
        <v>0</v>
      </c>
      <c r="E901" s="60">
        <v>0</v>
      </c>
      <c r="F901" s="60">
        <v>0</v>
      </c>
      <c r="G901" s="60">
        <f>I901+H901</f>
        <v>911</v>
      </c>
      <c r="H901" s="60">
        <f>1033-122</f>
        <v>911</v>
      </c>
      <c r="I901" s="60">
        <v>0</v>
      </c>
      <c r="J901" s="65" t="s">
        <v>221</v>
      </c>
      <c r="K901" s="66"/>
      <c r="L901" s="55"/>
    </row>
    <row r="902" spans="1:12" ht="12.75" customHeight="1" thickBot="1" x14ac:dyDescent="0.25">
      <c r="A902" s="60">
        <f t="shared" si="407"/>
        <v>550</v>
      </c>
      <c r="B902" s="60">
        <f t="shared" si="407"/>
        <v>550</v>
      </c>
      <c r="C902" s="60">
        <f t="shared" si="407"/>
        <v>0</v>
      </c>
      <c r="D902" s="60">
        <f>F902+E902</f>
        <v>0</v>
      </c>
      <c r="E902" s="60">
        <v>0</v>
      </c>
      <c r="F902" s="60">
        <v>0</v>
      </c>
      <c r="G902" s="60">
        <f>I902+H902</f>
        <v>550</v>
      </c>
      <c r="H902" s="60">
        <v>550</v>
      </c>
      <c r="I902" s="60">
        <v>0</v>
      </c>
      <c r="J902" s="65" t="s">
        <v>222</v>
      </c>
      <c r="K902" s="66" t="s">
        <v>510</v>
      </c>
      <c r="L902" s="55"/>
    </row>
    <row r="903" spans="1:12" ht="12.75" customHeight="1" thickBot="1" x14ac:dyDescent="0.25">
      <c r="A903" s="60">
        <f t="shared" ref="A903:I903" si="408">A901+A902</f>
        <v>1461</v>
      </c>
      <c r="B903" s="60">
        <f t="shared" si="408"/>
        <v>1461</v>
      </c>
      <c r="C903" s="60">
        <f t="shared" si="408"/>
        <v>0</v>
      </c>
      <c r="D903" s="60">
        <f t="shared" si="408"/>
        <v>0</v>
      </c>
      <c r="E903" s="60">
        <f t="shared" si="408"/>
        <v>0</v>
      </c>
      <c r="F903" s="60">
        <f t="shared" si="408"/>
        <v>0</v>
      </c>
      <c r="G903" s="60">
        <f t="shared" si="408"/>
        <v>1461</v>
      </c>
      <c r="H903" s="60">
        <f t="shared" si="408"/>
        <v>1461</v>
      </c>
      <c r="I903" s="60">
        <f t="shared" si="408"/>
        <v>0</v>
      </c>
      <c r="J903" s="65" t="s">
        <v>13</v>
      </c>
      <c r="K903" s="67"/>
      <c r="L903" s="55"/>
    </row>
    <row r="904" spans="1:12" ht="12.75" customHeight="1" thickBot="1" x14ac:dyDescent="0.25">
      <c r="A904" s="60">
        <f t="shared" ref="A904:C905" si="409">G904+D904</f>
        <v>1681</v>
      </c>
      <c r="B904" s="60">
        <f t="shared" si="409"/>
        <v>1681</v>
      </c>
      <c r="C904" s="60">
        <f t="shared" si="409"/>
        <v>0</v>
      </c>
      <c r="D904" s="60">
        <f>F904+E904</f>
        <v>6</v>
      </c>
      <c r="E904" s="60">
        <v>6</v>
      </c>
      <c r="F904" s="60">
        <v>0</v>
      </c>
      <c r="G904" s="60">
        <f>I904+H904</f>
        <v>1675</v>
      </c>
      <c r="H904" s="60">
        <f>1797-122</f>
        <v>1675</v>
      </c>
      <c r="I904" s="60">
        <v>0</v>
      </c>
      <c r="J904" s="65" t="s">
        <v>221</v>
      </c>
      <c r="K904" s="66"/>
      <c r="L904" s="55"/>
    </row>
    <row r="905" spans="1:12" ht="12.75" customHeight="1" thickBot="1" x14ac:dyDescent="0.25">
      <c r="A905" s="60">
        <f t="shared" si="409"/>
        <v>78</v>
      </c>
      <c r="B905" s="60">
        <f t="shared" si="409"/>
        <v>78</v>
      </c>
      <c r="C905" s="60">
        <f t="shared" si="409"/>
        <v>0</v>
      </c>
      <c r="D905" s="60">
        <f>F905+E905</f>
        <v>0</v>
      </c>
      <c r="E905" s="60">
        <v>0</v>
      </c>
      <c r="F905" s="60">
        <v>0</v>
      </c>
      <c r="G905" s="60">
        <f>I905+H905</f>
        <v>78</v>
      </c>
      <c r="H905" s="60">
        <v>78</v>
      </c>
      <c r="I905" s="60">
        <v>0</v>
      </c>
      <c r="J905" s="65" t="s">
        <v>222</v>
      </c>
      <c r="K905" s="66" t="s">
        <v>511</v>
      </c>
      <c r="L905" s="55"/>
    </row>
    <row r="906" spans="1:12" ht="12.75" customHeight="1" thickBot="1" x14ac:dyDescent="0.25">
      <c r="A906" s="60">
        <f t="shared" ref="A906:I906" si="410">A904+A905</f>
        <v>1759</v>
      </c>
      <c r="B906" s="60">
        <f t="shared" si="410"/>
        <v>1759</v>
      </c>
      <c r="C906" s="60">
        <f t="shared" si="410"/>
        <v>0</v>
      </c>
      <c r="D906" s="60">
        <f t="shared" si="410"/>
        <v>6</v>
      </c>
      <c r="E906" s="60">
        <f t="shared" si="410"/>
        <v>6</v>
      </c>
      <c r="F906" s="60">
        <f t="shared" si="410"/>
        <v>0</v>
      </c>
      <c r="G906" s="60">
        <f t="shared" si="410"/>
        <v>1753</v>
      </c>
      <c r="H906" s="60">
        <f t="shared" si="410"/>
        <v>1753</v>
      </c>
      <c r="I906" s="60">
        <f t="shared" si="410"/>
        <v>0</v>
      </c>
      <c r="J906" s="65" t="s">
        <v>13</v>
      </c>
      <c r="K906" s="67"/>
      <c r="L906" s="55"/>
    </row>
    <row r="907" spans="1:12" ht="12.75" customHeight="1" thickBot="1" x14ac:dyDescent="0.25">
      <c r="A907" s="60">
        <f t="shared" ref="A907:C908" si="411">G907+D907</f>
        <v>952</v>
      </c>
      <c r="B907" s="60">
        <f t="shared" si="411"/>
        <v>952</v>
      </c>
      <c r="C907" s="60">
        <f t="shared" si="411"/>
        <v>0</v>
      </c>
      <c r="D907" s="60">
        <f>F907+E907</f>
        <v>0</v>
      </c>
      <c r="E907" s="60">
        <v>0</v>
      </c>
      <c r="F907" s="60">
        <v>0</v>
      </c>
      <c r="G907" s="60">
        <f>I907+H907</f>
        <v>952</v>
      </c>
      <c r="H907" s="60">
        <v>952</v>
      </c>
      <c r="I907" s="60">
        <v>0</v>
      </c>
      <c r="J907" s="65" t="s">
        <v>221</v>
      </c>
      <c r="K907" s="66"/>
      <c r="L907" s="55"/>
    </row>
    <row r="908" spans="1:12" ht="12.75" customHeight="1" thickBot="1" x14ac:dyDescent="0.25">
      <c r="A908" s="60">
        <f t="shared" si="411"/>
        <v>185</v>
      </c>
      <c r="B908" s="60">
        <f t="shared" si="411"/>
        <v>185</v>
      </c>
      <c r="C908" s="60">
        <f t="shared" si="411"/>
        <v>0</v>
      </c>
      <c r="D908" s="60">
        <f>F908+E908</f>
        <v>0</v>
      </c>
      <c r="E908" s="60">
        <v>0</v>
      </c>
      <c r="F908" s="60">
        <v>0</v>
      </c>
      <c r="G908" s="60">
        <f>I908+H908</f>
        <v>185</v>
      </c>
      <c r="H908" s="60">
        <v>185</v>
      </c>
      <c r="I908" s="60">
        <v>0</v>
      </c>
      <c r="J908" s="65" t="s">
        <v>222</v>
      </c>
      <c r="K908" s="66" t="s">
        <v>512</v>
      </c>
      <c r="L908" s="55"/>
    </row>
    <row r="909" spans="1:12" ht="12.75" customHeight="1" thickBot="1" x14ac:dyDescent="0.25">
      <c r="A909" s="60">
        <f t="shared" ref="A909:I909" si="412">A907+A908</f>
        <v>1137</v>
      </c>
      <c r="B909" s="60">
        <f t="shared" si="412"/>
        <v>1137</v>
      </c>
      <c r="C909" s="60">
        <f t="shared" si="412"/>
        <v>0</v>
      </c>
      <c r="D909" s="60">
        <f t="shared" si="412"/>
        <v>0</v>
      </c>
      <c r="E909" s="60">
        <f t="shared" si="412"/>
        <v>0</v>
      </c>
      <c r="F909" s="60">
        <f t="shared" si="412"/>
        <v>0</v>
      </c>
      <c r="G909" s="60">
        <f t="shared" si="412"/>
        <v>1137</v>
      </c>
      <c r="H909" s="60">
        <f t="shared" si="412"/>
        <v>1137</v>
      </c>
      <c r="I909" s="60">
        <f t="shared" si="412"/>
        <v>0</v>
      </c>
      <c r="J909" s="65" t="s">
        <v>13</v>
      </c>
      <c r="K909" s="67"/>
      <c r="L909" s="55"/>
    </row>
    <row r="910" spans="1:12" ht="12.75" customHeight="1" thickBot="1" x14ac:dyDescent="0.25">
      <c r="A910" s="60">
        <f t="shared" ref="A910:C911" si="413">G910+D910</f>
        <v>1826</v>
      </c>
      <c r="B910" s="60">
        <f t="shared" si="413"/>
        <v>1826</v>
      </c>
      <c r="C910" s="60">
        <f t="shared" si="413"/>
        <v>0</v>
      </c>
      <c r="D910" s="60">
        <f>F910+E910</f>
        <v>0</v>
      </c>
      <c r="E910" s="60">
        <v>0</v>
      </c>
      <c r="F910" s="60">
        <v>0</v>
      </c>
      <c r="G910" s="60">
        <f>I910+H910</f>
        <v>1826</v>
      </c>
      <c r="H910" s="60">
        <v>1826</v>
      </c>
      <c r="I910" s="60">
        <v>0</v>
      </c>
      <c r="J910" s="65" t="s">
        <v>221</v>
      </c>
      <c r="K910" s="66"/>
      <c r="L910" s="55"/>
    </row>
    <row r="911" spans="1:12" ht="12.75" customHeight="1" thickBot="1" x14ac:dyDescent="0.25">
      <c r="A911" s="60">
        <f t="shared" si="413"/>
        <v>563</v>
      </c>
      <c r="B911" s="60">
        <f t="shared" si="413"/>
        <v>563</v>
      </c>
      <c r="C911" s="60">
        <f t="shared" si="413"/>
        <v>0</v>
      </c>
      <c r="D911" s="60">
        <f>F911+E911</f>
        <v>0</v>
      </c>
      <c r="E911" s="60">
        <v>0</v>
      </c>
      <c r="F911" s="60">
        <v>0</v>
      </c>
      <c r="G911" s="60">
        <f>I911+H911</f>
        <v>563</v>
      </c>
      <c r="H911" s="60">
        <v>563</v>
      </c>
      <c r="I911" s="60">
        <v>0</v>
      </c>
      <c r="J911" s="65" t="s">
        <v>222</v>
      </c>
      <c r="K911" s="66" t="s">
        <v>513</v>
      </c>
      <c r="L911" s="55"/>
    </row>
    <row r="912" spans="1:12" ht="12.75" customHeight="1" thickBot="1" x14ac:dyDescent="0.25">
      <c r="A912" s="60">
        <f t="shared" ref="A912:I912" si="414">A910+A911</f>
        <v>2389</v>
      </c>
      <c r="B912" s="60">
        <f t="shared" si="414"/>
        <v>2389</v>
      </c>
      <c r="C912" s="60">
        <f t="shared" si="414"/>
        <v>0</v>
      </c>
      <c r="D912" s="60">
        <f t="shared" si="414"/>
        <v>0</v>
      </c>
      <c r="E912" s="60">
        <f t="shared" si="414"/>
        <v>0</v>
      </c>
      <c r="F912" s="60">
        <f t="shared" si="414"/>
        <v>0</v>
      </c>
      <c r="G912" s="60">
        <f t="shared" si="414"/>
        <v>2389</v>
      </c>
      <c r="H912" s="60">
        <f t="shared" si="414"/>
        <v>2389</v>
      </c>
      <c r="I912" s="60">
        <f t="shared" si="414"/>
        <v>0</v>
      </c>
      <c r="J912" s="65" t="s">
        <v>13</v>
      </c>
      <c r="K912" s="67"/>
      <c r="L912" s="55"/>
    </row>
    <row r="913" spans="1:12" ht="12.75" customHeight="1" thickBot="1" x14ac:dyDescent="0.25">
      <c r="A913" s="60">
        <f t="shared" ref="A913:C914" si="415">G913+D913</f>
        <v>1524</v>
      </c>
      <c r="B913" s="60">
        <f t="shared" si="415"/>
        <v>1524</v>
      </c>
      <c r="C913" s="60">
        <f t="shared" si="415"/>
        <v>0</v>
      </c>
      <c r="D913" s="60">
        <f>F913+E913</f>
        <v>0</v>
      </c>
      <c r="E913" s="60">
        <v>0</v>
      </c>
      <c r="F913" s="60">
        <v>0</v>
      </c>
      <c r="G913" s="60">
        <f>I913+H913</f>
        <v>1524</v>
      </c>
      <c r="H913" s="60">
        <v>1524</v>
      </c>
      <c r="I913" s="60">
        <v>0</v>
      </c>
      <c r="J913" s="65" t="s">
        <v>221</v>
      </c>
      <c r="K913" s="66"/>
      <c r="L913" s="55"/>
    </row>
    <row r="914" spans="1:12" ht="12.75" customHeight="1" thickBot="1" x14ac:dyDescent="0.25">
      <c r="A914" s="60">
        <f t="shared" si="415"/>
        <v>649</v>
      </c>
      <c r="B914" s="60">
        <f t="shared" si="415"/>
        <v>649</v>
      </c>
      <c r="C914" s="60">
        <f t="shared" si="415"/>
        <v>0</v>
      </c>
      <c r="D914" s="60">
        <f>F914+E914</f>
        <v>0</v>
      </c>
      <c r="E914" s="60">
        <v>0</v>
      </c>
      <c r="F914" s="60">
        <v>0</v>
      </c>
      <c r="G914" s="60">
        <f>I914+H914</f>
        <v>649</v>
      </c>
      <c r="H914" s="60">
        <v>649</v>
      </c>
      <c r="I914" s="60">
        <v>0</v>
      </c>
      <c r="J914" s="65" t="s">
        <v>222</v>
      </c>
      <c r="K914" s="66" t="s">
        <v>514</v>
      </c>
      <c r="L914" s="55"/>
    </row>
    <row r="915" spans="1:12" ht="12.75" customHeight="1" thickBot="1" x14ac:dyDescent="0.25">
      <c r="A915" s="60">
        <f t="shared" ref="A915:I915" si="416">A913+A914</f>
        <v>2173</v>
      </c>
      <c r="B915" s="60">
        <f t="shared" si="416"/>
        <v>2173</v>
      </c>
      <c r="C915" s="60">
        <f t="shared" si="416"/>
        <v>0</v>
      </c>
      <c r="D915" s="60">
        <f t="shared" si="416"/>
        <v>0</v>
      </c>
      <c r="E915" s="60">
        <f t="shared" si="416"/>
        <v>0</v>
      </c>
      <c r="F915" s="60">
        <f t="shared" si="416"/>
        <v>0</v>
      </c>
      <c r="G915" s="60">
        <f t="shared" si="416"/>
        <v>2173</v>
      </c>
      <c r="H915" s="60">
        <f t="shared" si="416"/>
        <v>2173</v>
      </c>
      <c r="I915" s="60">
        <f t="shared" si="416"/>
        <v>0</v>
      </c>
      <c r="J915" s="65" t="s">
        <v>13</v>
      </c>
      <c r="K915" s="67"/>
      <c r="L915" s="55"/>
    </row>
    <row r="916" spans="1:12" ht="12.75" customHeight="1" thickBot="1" x14ac:dyDescent="0.25">
      <c r="A916" s="60">
        <f t="shared" ref="A916:C917" si="417">G916+D916</f>
        <v>1474</v>
      </c>
      <c r="B916" s="60">
        <f t="shared" si="417"/>
        <v>1474</v>
      </c>
      <c r="C916" s="60">
        <f t="shared" si="417"/>
        <v>0</v>
      </c>
      <c r="D916" s="60">
        <f>F916+E916</f>
        <v>4</v>
      </c>
      <c r="E916" s="60">
        <v>4</v>
      </c>
      <c r="F916" s="60">
        <v>0</v>
      </c>
      <c r="G916" s="60">
        <f>I916+H916</f>
        <v>1470</v>
      </c>
      <c r="H916" s="60">
        <v>1470</v>
      </c>
      <c r="I916" s="60">
        <v>0</v>
      </c>
      <c r="J916" s="65" t="s">
        <v>221</v>
      </c>
      <c r="K916" s="66"/>
      <c r="L916" s="55"/>
    </row>
    <row r="917" spans="1:12" ht="12.75" customHeight="1" thickBot="1" x14ac:dyDescent="0.25">
      <c r="A917" s="60">
        <f t="shared" si="417"/>
        <v>260</v>
      </c>
      <c r="B917" s="60">
        <f t="shared" si="417"/>
        <v>260</v>
      </c>
      <c r="C917" s="60">
        <f t="shared" si="417"/>
        <v>0</v>
      </c>
      <c r="D917" s="60">
        <f>F917+E917</f>
        <v>2</v>
      </c>
      <c r="E917" s="60">
        <v>2</v>
      </c>
      <c r="F917" s="60">
        <v>0</v>
      </c>
      <c r="G917" s="60">
        <f>I917+H917</f>
        <v>258</v>
      </c>
      <c r="H917" s="60">
        <v>258</v>
      </c>
      <c r="I917" s="60">
        <v>0</v>
      </c>
      <c r="J917" s="65" t="s">
        <v>222</v>
      </c>
      <c r="K917" s="66" t="s">
        <v>515</v>
      </c>
      <c r="L917" s="55"/>
    </row>
    <row r="918" spans="1:12" ht="12.75" customHeight="1" thickBot="1" x14ac:dyDescent="0.25">
      <c r="A918" s="60">
        <f t="shared" ref="A918:I918" si="418">A916+A917</f>
        <v>1734</v>
      </c>
      <c r="B918" s="60">
        <f t="shared" si="418"/>
        <v>1734</v>
      </c>
      <c r="C918" s="60">
        <f t="shared" si="418"/>
        <v>0</v>
      </c>
      <c r="D918" s="60">
        <f t="shared" si="418"/>
        <v>6</v>
      </c>
      <c r="E918" s="60">
        <f t="shared" si="418"/>
        <v>6</v>
      </c>
      <c r="F918" s="60">
        <f t="shared" si="418"/>
        <v>0</v>
      </c>
      <c r="G918" s="60">
        <f t="shared" si="418"/>
        <v>1728</v>
      </c>
      <c r="H918" s="60">
        <f t="shared" si="418"/>
        <v>1728</v>
      </c>
      <c r="I918" s="60">
        <f t="shared" si="418"/>
        <v>0</v>
      </c>
      <c r="J918" s="65" t="s">
        <v>13</v>
      </c>
      <c r="K918" s="67"/>
      <c r="L918" s="55"/>
    </row>
    <row r="919" spans="1:12" ht="12.75" customHeight="1" thickBot="1" x14ac:dyDescent="0.25">
      <c r="A919" s="60">
        <f t="shared" ref="A919:C920" si="419">G919+D919</f>
        <v>1869</v>
      </c>
      <c r="B919" s="60">
        <f t="shared" si="419"/>
        <v>1869</v>
      </c>
      <c r="C919" s="60">
        <f t="shared" si="419"/>
        <v>0</v>
      </c>
      <c r="D919" s="60">
        <f>F919+E919</f>
        <v>0</v>
      </c>
      <c r="E919" s="60">
        <v>0</v>
      </c>
      <c r="F919" s="60">
        <v>0</v>
      </c>
      <c r="G919" s="60">
        <f>I919+H919</f>
        <v>1869</v>
      </c>
      <c r="H919" s="60">
        <v>1869</v>
      </c>
      <c r="I919" s="60">
        <v>0</v>
      </c>
      <c r="J919" s="65" t="s">
        <v>221</v>
      </c>
      <c r="K919" s="66"/>
      <c r="L919" s="55"/>
    </row>
    <row r="920" spans="1:12" ht="12.75" customHeight="1" thickBot="1" x14ac:dyDescent="0.25">
      <c r="A920" s="60">
        <f t="shared" si="419"/>
        <v>410</v>
      </c>
      <c r="B920" s="60">
        <f t="shared" si="419"/>
        <v>410</v>
      </c>
      <c r="C920" s="60">
        <f t="shared" si="419"/>
        <v>0</v>
      </c>
      <c r="D920" s="60">
        <f>F920+E920</f>
        <v>0</v>
      </c>
      <c r="E920" s="60">
        <v>0</v>
      </c>
      <c r="F920" s="60">
        <v>0</v>
      </c>
      <c r="G920" s="60">
        <f>I920+H920</f>
        <v>410</v>
      </c>
      <c r="H920" s="60">
        <v>410</v>
      </c>
      <c r="I920" s="60">
        <v>0</v>
      </c>
      <c r="J920" s="65" t="s">
        <v>222</v>
      </c>
      <c r="K920" s="66" t="s">
        <v>516</v>
      </c>
      <c r="L920" s="55"/>
    </row>
    <row r="921" spans="1:12" ht="12.75" customHeight="1" thickBot="1" x14ac:dyDescent="0.25">
      <c r="A921" s="60">
        <f t="shared" ref="A921:I921" si="420">A919+A920</f>
        <v>2279</v>
      </c>
      <c r="B921" s="60">
        <f t="shared" si="420"/>
        <v>2279</v>
      </c>
      <c r="C921" s="60">
        <f t="shared" si="420"/>
        <v>0</v>
      </c>
      <c r="D921" s="60">
        <f t="shared" si="420"/>
        <v>0</v>
      </c>
      <c r="E921" s="60">
        <f t="shared" si="420"/>
        <v>0</v>
      </c>
      <c r="F921" s="60">
        <f t="shared" si="420"/>
        <v>0</v>
      </c>
      <c r="G921" s="60">
        <f t="shared" si="420"/>
        <v>2279</v>
      </c>
      <c r="H921" s="60">
        <f t="shared" si="420"/>
        <v>2279</v>
      </c>
      <c r="I921" s="60">
        <f t="shared" si="420"/>
        <v>0</v>
      </c>
      <c r="J921" s="65" t="s">
        <v>13</v>
      </c>
      <c r="K921" s="67"/>
      <c r="L921" s="55"/>
    </row>
    <row r="922" spans="1:12" ht="12.75" customHeight="1" thickBot="1" x14ac:dyDescent="0.25">
      <c r="A922" s="60">
        <f t="shared" ref="A922:C923" si="421">G922+D922</f>
        <v>1921</v>
      </c>
      <c r="B922" s="60">
        <f t="shared" si="421"/>
        <v>1921</v>
      </c>
      <c r="C922" s="60">
        <f t="shared" si="421"/>
        <v>0</v>
      </c>
      <c r="D922" s="60">
        <f>F922+E922</f>
        <v>0</v>
      </c>
      <c r="E922" s="60">
        <v>0</v>
      </c>
      <c r="F922" s="60">
        <v>0</v>
      </c>
      <c r="G922" s="60">
        <f>I922+H922</f>
        <v>1921</v>
      </c>
      <c r="H922" s="60">
        <v>1921</v>
      </c>
      <c r="I922" s="60">
        <v>0</v>
      </c>
      <c r="J922" s="65" t="s">
        <v>221</v>
      </c>
      <c r="K922" s="66"/>
      <c r="L922" s="55"/>
    </row>
    <row r="923" spans="1:12" ht="12.75" customHeight="1" thickBot="1" x14ac:dyDescent="0.25">
      <c r="A923" s="60">
        <f t="shared" si="421"/>
        <v>635</v>
      </c>
      <c r="B923" s="60">
        <f t="shared" si="421"/>
        <v>635</v>
      </c>
      <c r="C923" s="60">
        <f t="shared" si="421"/>
        <v>0</v>
      </c>
      <c r="D923" s="60">
        <f>F923+E923</f>
        <v>2</v>
      </c>
      <c r="E923" s="60">
        <v>2</v>
      </c>
      <c r="F923" s="60">
        <v>0</v>
      </c>
      <c r="G923" s="60">
        <f>I923+H923</f>
        <v>633</v>
      </c>
      <c r="H923" s="60">
        <v>633</v>
      </c>
      <c r="I923" s="60">
        <v>0</v>
      </c>
      <c r="J923" s="65" t="s">
        <v>222</v>
      </c>
      <c r="K923" s="66" t="s">
        <v>517</v>
      </c>
      <c r="L923" s="55"/>
    </row>
    <row r="924" spans="1:12" ht="12.75" customHeight="1" thickBot="1" x14ac:dyDescent="0.25">
      <c r="A924" s="60">
        <f t="shared" ref="A924:I924" si="422">A922+A923</f>
        <v>2556</v>
      </c>
      <c r="B924" s="60">
        <f t="shared" si="422"/>
        <v>2556</v>
      </c>
      <c r="C924" s="60">
        <f t="shared" si="422"/>
        <v>0</v>
      </c>
      <c r="D924" s="60">
        <f t="shared" si="422"/>
        <v>2</v>
      </c>
      <c r="E924" s="60">
        <f t="shared" si="422"/>
        <v>2</v>
      </c>
      <c r="F924" s="60">
        <f t="shared" si="422"/>
        <v>0</v>
      </c>
      <c r="G924" s="60">
        <f t="shared" si="422"/>
        <v>2554</v>
      </c>
      <c r="H924" s="60">
        <f t="shared" si="422"/>
        <v>2554</v>
      </c>
      <c r="I924" s="60">
        <f t="shared" si="422"/>
        <v>0</v>
      </c>
      <c r="J924" s="65" t="s">
        <v>13</v>
      </c>
      <c r="K924" s="67"/>
      <c r="L924" s="55"/>
    </row>
    <row r="925" spans="1:12" ht="12.75" customHeight="1" thickBot="1" x14ac:dyDescent="0.25">
      <c r="A925" s="60">
        <f t="shared" ref="A925:C926" si="423">G925+D925</f>
        <v>1134</v>
      </c>
      <c r="B925" s="60">
        <f t="shared" si="423"/>
        <v>1134</v>
      </c>
      <c r="C925" s="60">
        <f t="shared" si="423"/>
        <v>0</v>
      </c>
      <c r="D925" s="60">
        <f>F925+E925</f>
        <v>0</v>
      </c>
      <c r="E925" s="60">
        <v>0</v>
      </c>
      <c r="F925" s="60">
        <v>0</v>
      </c>
      <c r="G925" s="60">
        <f>I925+H925</f>
        <v>1134</v>
      </c>
      <c r="H925" s="60">
        <v>1134</v>
      </c>
      <c r="I925" s="60">
        <v>0</v>
      </c>
      <c r="J925" s="65" t="s">
        <v>221</v>
      </c>
      <c r="K925" s="66"/>
      <c r="L925" s="55"/>
    </row>
    <row r="926" spans="1:12" ht="12.75" customHeight="1" thickBot="1" x14ac:dyDescent="0.25">
      <c r="A926" s="60">
        <f t="shared" si="423"/>
        <v>35</v>
      </c>
      <c r="B926" s="60">
        <f t="shared" si="423"/>
        <v>35</v>
      </c>
      <c r="C926" s="60">
        <f t="shared" si="423"/>
        <v>0</v>
      </c>
      <c r="D926" s="60">
        <f>F926+E926</f>
        <v>0</v>
      </c>
      <c r="E926" s="60">
        <v>0</v>
      </c>
      <c r="F926" s="60">
        <v>0</v>
      </c>
      <c r="G926" s="60">
        <f>I926+H926</f>
        <v>35</v>
      </c>
      <c r="H926" s="60">
        <v>35</v>
      </c>
      <c r="I926" s="60">
        <v>0</v>
      </c>
      <c r="J926" s="65" t="s">
        <v>222</v>
      </c>
      <c r="K926" s="66" t="s">
        <v>518</v>
      </c>
      <c r="L926" s="55"/>
    </row>
    <row r="927" spans="1:12" ht="12.75" customHeight="1" thickBot="1" x14ac:dyDescent="0.25">
      <c r="A927" s="60">
        <f t="shared" ref="A927:I927" si="424">A925+A926</f>
        <v>1169</v>
      </c>
      <c r="B927" s="60">
        <f t="shared" si="424"/>
        <v>1169</v>
      </c>
      <c r="C927" s="60">
        <f t="shared" si="424"/>
        <v>0</v>
      </c>
      <c r="D927" s="60">
        <f t="shared" si="424"/>
        <v>0</v>
      </c>
      <c r="E927" s="60">
        <f t="shared" si="424"/>
        <v>0</v>
      </c>
      <c r="F927" s="60">
        <f t="shared" si="424"/>
        <v>0</v>
      </c>
      <c r="G927" s="60">
        <f t="shared" si="424"/>
        <v>1169</v>
      </c>
      <c r="H927" s="60">
        <f t="shared" si="424"/>
        <v>1169</v>
      </c>
      <c r="I927" s="60">
        <f t="shared" si="424"/>
        <v>0</v>
      </c>
      <c r="J927" s="65" t="s">
        <v>13</v>
      </c>
      <c r="K927" s="67"/>
      <c r="L927" s="55"/>
    </row>
    <row r="928" spans="1:12" ht="12.75" customHeight="1" thickBot="1" x14ac:dyDescent="0.25">
      <c r="A928" s="60">
        <f t="shared" ref="A928:C929" si="425">G928+D928</f>
        <v>2090</v>
      </c>
      <c r="B928" s="60">
        <f t="shared" si="425"/>
        <v>2090</v>
      </c>
      <c r="C928" s="60">
        <f t="shared" si="425"/>
        <v>0</v>
      </c>
      <c r="D928" s="60">
        <f>F928+E928</f>
        <v>0</v>
      </c>
      <c r="E928" s="60">
        <v>0</v>
      </c>
      <c r="F928" s="60">
        <v>0</v>
      </c>
      <c r="G928" s="60">
        <f>I928+H928</f>
        <v>2090</v>
      </c>
      <c r="H928" s="60">
        <f>2212-122</f>
        <v>2090</v>
      </c>
      <c r="I928" s="60">
        <v>0</v>
      </c>
      <c r="J928" s="65" t="s">
        <v>221</v>
      </c>
      <c r="K928" s="66"/>
      <c r="L928" s="55"/>
    </row>
    <row r="929" spans="1:12" ht="12.75" customHeight="1" thickBot="1" x14ac:dyDescent="0.25">
      <c r="A929" s="60">
        <f t="shared" si="425"/>
        <v>543</v>
      </c>
      <c r="B929" s="60">
        <f t="shared" si="425"/>
        <v>543</v>
      </c>
      <c r="C929" s="60">
        <f t="shared" si="425"/>
        <v>0</v>
      </c>
      <c r="D929" s="60">
        <f>F929+E929</f>
        <v>0</v>
      </c>
      <c r="E929" s="60">
        <v>0</v>
      </c>
      <c r="F929" s="60">
        <v>0</v>
      </c>
      <c r="G929" s="60">
        <f>I929+H929</f>
        <v>543</v>
      </c>
      <c r="H929" s="60">
        <v>543</v>
      </c>
      <c r="I929" s="60">
        <v>0</v>
      </c>
      <c r="J929" s="65" t="s">
        <v>222</v>
      </c>
      <c r="K929" s="66" t="s">
        <v>519</v>
      </c>
      <c r="L929" s="55"/>
    </row>
    <row r="930" spans="1:12" ht="12.75" customHeight="1" thickBot="1" x14ac:dyDescent="0.25">
      <c r="A930" s="60">
        <f t="shared" ref="A930:I930" si="426">A928+A929</f>
        <v>2633</v>
      </c>
      <c r="B930" s="60">
        <f t="shared" si="426"/>
        <v>2633</v>
      </c>
      <c r="C930" s="60">
        <f t="shared" si="426"/>
        <v>0</v>
      </c>
      <c r="D930" s="60">
        <f t="shared" si="426"/>
        <v>0</v>
      </c>
      <c r="E930" s="60">
        <f t="shared" si="426"/>
        <v>0</v>
      </c>
      <c r="F930" s="60">
        <f t="shared" si="426"/>
        <v>0</v>
      </c>
      <c r="G930" s="60">
        <f t="shared" si="426"/>
        <v>2633</v>
      </c>
      <c r="H930" s="60">
        <f t="shared" si="426"/>
        <v>2633</v>
      </c>
      <c r="I930" s="60">
        <f t="shared" si="426"/>
        <v>0</v>
      </c>
      <c r="J930" s="65" t="s">
        <v>13</v>
      </c>
      <c r="K930" s="67"/>
      <c r="L930" s="55"/>
    </row>
    <row r="931" spans="1:12" ht="12.75" customHeight="1" thickBot="1" x14ac:dyDescent="0.25">
      <c r="A931" s="60">
        <f t="shared" ref="A931:C932" si="427">G931+D931</f>
        <v>2621</v>
      </c>
      <c r="B931" s="60">
        <f t="shared" si="427"/>
        <v>2621</v>
      </c>
      <c r="C931" s="60">
        <f t="shared" si="427"/>
        <v>0</v>
      </c>
      <c r="D931" s="60">
        <f>F931+E931</f>
        <v>3</v>
      </c>
      <c r="E931" s="60">
        <v>3</v>
      </c>
      <c r="F931" s="60">
        <v>0</v>
      </c>
      <c r="G931" s="60">
        <f>I931+H931</f>
        <v>2618</v>
      </c>
      <c r="H931" s="60">
        <v>2618</v>
      </c>
      <c r="I931" s="60">
        <v>0</v>
      </c>
      <c r="J931" s="65" t="s">
        <v>221</v>
      </c>
      <c r="K931" s="66"/>
      <c r="L931" s="55"/>
    </row>
    <row r="932" spans="1:12" ht="12.75" customHeight="1" thickBot="1" x14ac:dyDescent="0.25">
      <c r="A932" s="60">
        <f t="shared" si="427"/>
        <v>959</v>
      </c>
      <c r="B932" s="60">
        <f t="shared" si="427"/>
        <v>959</v>
      </c>
      <c r="C932" s="60">
        <f t="shared" si="427"/>
        <v>0</v>
      </c>
      <c r="D932" s="60">
        <f>F932+E932</f>
        <v>0</v>
      </c>
      <c r="E932" s="60">
        <v>0</v>
      </c>
      <c r="F932" s="60">
        <v>0</v>
      </c>
      <c r="G932" s="60">
        <f>I932+H932</f>
        <v>959</v>
      </c>
      <c r="H932" s="60">
        <v>959</v>
      </c>
      <c r="I932" s="60">
        <v>0</v>
      </c>
      <c r="J932" s="65" t="s">
        <v>222</v>
      </c>
      <c r="K932" s="66" t="s">
        <v>520</v>
      </c>
      <c r="L932" s="55"/>
    </row>
    <row r="933" spans="1:12" ht="12.75" customHeight="1" thickBot="1" x14ac:dyDescent="0.25">
      <c r="A933" s="60">
        <f t="shared" ref="A933:I933" si="428">A931+A932</f>
        <v>3580</v>
      </c>
      <c r="B933" s="60">
        <f t="shared" si="428"/>
        <v>3580</v>
      </c>
      <c r="C933" s="60">
        <f t="shared" si="428"/>
        <v>0</v>
      </c>
      <c r="D933" s="60">
        <f t="shared" si="428"/>
        <v>3</v>
      </c>
      <c r="E933" s="60">
        <f t="shared" si="428"/>
        <v>3</v>
      </c>
      <c r="F933" s="60">
        <f t="shared" si="428"/>
        <v>0</v>
      </c>
      <c r="G933" s="60">
        <f t="shared" si="428"/>
        <v>3577</v>
      </c>
      <c r="H933" s="60">
        <f t="shared" si="428"/>
        <v>3577</v>
      </c>
      <c r="I933" s="60">
        <f t="shared" si="428"/>
        <v>0</v>
      </c>
      <c r="J933" s="65" t="s">
        <v>13</v>
      </c>
      <c r="K933" s="67"/>
      <c r="L933" s="55"/>
    </row>
    <row r="934" spans="1:12" ht="12.75" customHeight="1" thickBot="1" x14ac:dyDescent="0.25">
      <c r="A934" s="60">
        <f t="shared" ref="A934:C935" si="429">G934+D934</f>
        <v>1173</v>
      </c>
      <c r="B934" s="60">
        <f t="shared" si="429"/>
        <v>1173</v>
      </c>
      <c r="C934" s="60">
        <f t="shared" si="429"/>
        <v>0</v>
      </c>
      <c r="D934" s="60">
        <f>F934+E934</f>
        <v>0</v>
      </c>
      <c r="E934" s="60">
        <v>0</v>
      </c>
      <c r="F934" s="60">
        <v>0</v>
      </c>
      <c r="G934" s="60">
        <f>I934+H934</f>
        <v>1173</v>
      </c>
      <c r="H934" s="60">
        <v>1173</v>
      </c>
      <c r="I934" s="60">
        <v>0</v>
      </c>
      <c r="J934" s="65" t="s">
        <v>221</v>
      </c>
      <c r="K934" s="66"/>
      <c r="L934" s="55"/>
    </row>
    <row r="935" spans="1:12" ht="12.75" customHeight="1" thickBot="1" x14ac:dyDescent="0.25">
      <c r="A935" s="60">
        <f t="shared" si="429"/>
        <v>0</v>
      </c>
      <c r="B935" s="60">
        <f t="shared" si="429"/>
        <v>0</v>
      </c>
      <c r="C935" s="60">
        <f t="shared" si="429"/>
        <v>0</v>
      </c>
      <c r="D935" s="60">
        <f>F935+E935</f>
        <v>0</v>
      </c>
      <c r="E935" s="60">
        <v>0</v>
      </c>
      <c r="F935" s="60">
        <v>0</v>
      </c>
      <c r="G935" s="60">
        <f>I935+H935</f>
        <v>0</v>
      </c>
      <c r="H935" s="60">
        <v>0</v>
      </c>
      <c r="I935" s="60">
        <v>0</v>
      </c>
      <c r="J935" s="65" t="s">
        <v>222</v>
      </c>
      <c r="K935" s="66" t="s">
        <v>521</v>
      </c>
      <c r="L935" s="55"/>
    </row>
    <row r="936" spans="1:12" ht="12.75" customHeight="1" thickBot="1" x14ac:dyDescent="0.25">
      <c r="A936" s="60">
        <f t="shared" ref="A936:I936" si="430">A934+A935</f>
        <v>1173</v>
      </c>
      <c r="B936" s="60">
        <f t="shared" si="430"/>
        <v>1173</v>
      </c>
      <c r="C936" s="60">
        <f t="shared" si="430"/>
        <v>0</v>
      </c>
      <c r="D936" s="60">
        <f t="shared" si="430"/>
        <v>0</v>
      </c>
      <c r="E936" s="60">
        <f t="shared" si="430"/>
        <v>0</v>
      </c>
      <c r="F936" s="60">
        <f t="shared" si="430"/>
        <v>0</v>
      </c>
      <c r="G936" s="60">
        <f t="shared" si="430"/>
        <v>1173</v>
      </c>
      <c r="H936" s="60">
        <f t="shared" si="430"/>
        <v>1173</v>
      </c>
      <c r="I936" s="60">
        <f t="shared" si="430"/>
        <v>0</v>
      </c>
      <c r="J936" s="65" t="s">
        <v>13</v>
      </c>
      <c r="K936" s="67"/>
      <c r="L936" s="55"/>
    </row>
    <row r="937" spans="1:12" ht="12.75" customHeight="1" thickBot="1" x14ac:dyDescent="0.25">
      <c r="A937" s="60">
        <f t="shared" ref="A937:C938" si="431">G937+D937</f>
        <v>684</v>
      </c>
      <c r="B937" s="60">
        <f t="shared" si="431"/>
        <v>684</v>
      </c>
      <c r="C937" s="60">
        <f t="shared" si="431"/>
        <v>0</v>
      </c>
      <c r="D937" s="60">
        <f>F937+E937</f>
        <v>0</v>
      </c>
      <c r="E937" s="60">
        <v>0</v>
      </c>
      <c r="F937" s="60">
        <v>0</v>
      </c>
      <c r="G937" s="60">
        <f>I937+H937</f>
        <v>684</v>
      </c>
      <c r="H937" s="60">
        <v>684</v>
      </c>
      <c r="I937" s="60">
        <v>0</v>
      </c>
      <c r="J937" s="65" t="s">
        <v>221</v>
      </c>
      <c r="K937" s="66"/>
      <c r="L937" s="55"/>
    </row>
    <row r="938" spans="1:12" ht="12.75" customHeight="1" thickBot="1" x14ac:dyDescent="0.25">
      <c r="A938" s="60">
        <f t="shared" si="431"/>
        <v>106</v>
      </c>
      <c r="B938" s="60">
        <f t="shared" si="431"/>
        <v>106</v>
      </c>
      <c r="C938" s="60">
        <f t="shared" si="431"/>
        <v>0</v>
      </c>
      <c r="D938" s="60">
        <f>F938+E938</f>
        <v>0</v>
      </c>
      <c r="E938" s="60">
        <v>0</v>
      </c>
      <c r="F938" s="60">
        <v>0</v>
      </c>
      <c r="G938" s="60">
        <f>I938+H938</f>
        <v>106</v>
      </c>
      <c r="H938" s="60">
        <v>106</v>
      </c>
      <c r="I938" s="60">
        <v>0</v>
      </c>
      <c r="J938" s="65" t="s">
        <v>222</v>
      </c>
      <c r="K938" s="66" t="s">
        <v>522</v>
      </c>
      <c r="L938" s="55"/>
    </row>
    <row r="939" spans="1:12" ht="12.75" customHeight="1" thickBot="1" x14ac:dyDescent="0.25">
      <c r="A939" s="60">
        <f t="shared" ref="A939:I939" si="432">A937+A938</f>
        <v>790</v>
      </c>
      <c r="B939" s="60">
        <f t="shared" si="432"/>
        <v>790</v>
      </c>
      <c r="C939" s="60">
        <f t="shared" si="432"/>
        <v>0</v>
      </c>
      <c r="D939" s="60">
        <f t="shared" si="432"/>
        <v>0</v>
      </c>
      <c r="E939" s="60">
        <f t="shared" si="432"/>
        <v>0</v>
      </c>
      <c r="F939" s="60">
        <f t="shared" si="432"/>
        <v>0</v>
      </c>
      <c r="G939" s="60">
        <f t="shared" si="432"/>
        <v>790</v>
      </c>
      <c r="H939" s="60">
        <f t="shared" si="432"/>
        <v>790</v>
      </c>
      <c r="I939" s="60">
        <f t="shared" si="432"/>
        <v>0</v>
      </c>
      <c r="J939" s="65" t="s">
        <v>13</v>
      </c>
      <c r="K939" s="67"/>
      <c r="L939" s="55"/>
    </row>
    <row r="940" spans="1:12" ht="12.75" customHeight="1" thickBot="1" x14ac:dyDescent="0.25">
      <c r="A940" s="60">
        <f t="shared" ref="A940:C941" si="433">G940+D940</f>
        <v>1462</v>
      </c>
      <c r="B940" s="60">
        <f t="shared" si="433"/>
        <v>1462</v>
      </c>
      <c r="C940" s="60">
        <f t="shared" si="433"/>
        <v>0</v>
      </c>
      <c r="D940" s="60">
        <f>F940+E940</f>
        <v>0</v>
      </c>
      <c r="E940" s="60">
        <v>0</v>
      </c>
      <c r="F940" s="60">
        <v>0</v>
      </c>
      <c r="G940" s="60">
        <f>I940+H940</f>
        <v>1462</v>
      </c>
      <c r="H940" s="60">
        <f>1531-69</f>
        <v>1462</v>
      </c>
      <c r="I940" s="60">
        <v>0</v>
      </c>
      <c r="J940" s="65" t="s">
        <v>221</v>
      </c>
      <c r="K940" s="66"/>
      <c r="L940" s="55"/>
    </row>
    <row r="941" spans="1:12" ht="12.75" customHeight="1" thickBot="1" x14ac:dyDescent="0.25">
      <c r="A941" s="60">
        <f t="shared" si="433"/>
        <v>534</v>
      </c>
      <c r="B941" s="60">
        <f t="shared" si="433"/>
        <v>534</v>
      </c>
      <c r="C941" s="60">
        <f t="shared" si="433"/>
        <v>0</v>
      </c>
      <c r="D941" s="60">
        <f>F941+E941</f>
        <v>0</v>
      </c>
      <c r="E941" s="60">
        <v>0</v>
      </c>
      <c r="F941" s="60">
        <v>0</v>
      </c>
      <c r="G941" s="60">
        <f>I941+H941</f>
        <v>534</v>
      </c>
      <c r="H941" s="60">
        <v>534</v>
      </c>
      <c r="I941" s="60">
        <v>0</v>
      </c>
      <c r="J941" s="65" t="s">
        <v>222</v>
      </c>
      <c r="K941" s="66" t="s">
        <v>523</v>
      </c>
      <c r="L941" s="55"/>
    </row>
    <row r="942" spans="1:12" ht="12.75" customHeight="1" thickBot="1" x14ac:dyDescent="0.25">
      <c r="A942" s="60">
        <f t="shared" ref="A942:I942" si="434">A940+A941</f>
        <v>1996</v>
      </c>
      <c r="B942" s="60">
        <f t="shared" si="434"/>
        <v>1996</v>
      </c>
      <c r="C942" s="60">
        <f t="shared" si="434"/>
        <v>0</v>
      </c>
      <c r="D942" s="60">
        <f t="shared" si="434"/>
        <v>0</v>
      </c>
      <c r="E942" s="60">
        <f t="shared" si="434"/>
        <v>0</v>
      </c>
      <c r="F942" s="60">
        <f t="shared" si="434"/>
        <v>0</v>
      </c>
      <c r="G942" s="60">
        <f t="shared" si="434"/>
        <v>1996</v>
      </c>
      <c r="H942" s="60">
        <f t="shared" si="434"/>
        <v>1996</v>
      </c>
      <c r="I942" s="60">
        <f t="shared" si="434"/>
        <v>0</v>
      </c>
      <c r="J942" s="65" t="s">
        <v>13</v>
      </c>
      <c r="K942" s="67"/>
      <c r="L942" s="55"/>
    </row>
    <row r="943" spans="1:12" ht="12.75" customHeight="1" thickBot="1" x14ac:dyDescent="0.25">
      <c r="A943" s="115">
        <f t="shared" ref="A943:H945" si="435">A877+A880+A883+A886+A889+A892+A895+A898+A901+A904+A907+A910+A913+A916+A919+A922+A925+A928+A931+A934+A937+A940</f>
        <v>33239</v>
      </c>
      <c r="B943" s="115">
        <f t="shared" si="435"/>
        <v>33239</v>
      </c>
      <c r="C943" s="115">
        <f t="shared" si="435"/>
        <v>0</v>
      </c>
      <c r="D943" s="115">
        <f t="shared" si="435"/>
        <v>65</v>
      </c>
      <c r="E943" s="115">
        <f t="shared" si="435"/>
        <v>65</v>
      </c>
      <c r="F943" s="115">
        <f t="shared" si="435"/>
        <v>0</v>
      </c>
      <c r="G943" s="115">
        <f t="shared" si="435"/>
        <v>33174</v>
      </c>
      <c r="H943" s="115">
        <f>H877+H880+H883+H886+H889+H892+H895+H898+H901+H904+H907+H910+H913+H916+H919+H922+H925+H928+H931+H934+H937+H940</f>
        <v>33174</v>
      </c>
      <c r="I943" s="115">
        <f>I877+I880+I883+I886+I889+I892+I895+I898+I901+I904+I907+I910+I913+I916+I919+I922+I925+I928+I931+I934+I937+I940</f>
        <v>0</v>
      </c>
      <c r="J943" s="65" t="s">
        <v>224</v>
      </c>
      <c r="K943" s="57"/>
      <c r="L943" s="55"/>
    </row>
    <row r="944" spans="1:12" ht="12.75" customHeight="1" thickBot="1" x14ac:dyDescent="0.25">
      <c r="A944" s="115">
        <f t="shared" si="435"/>
        <v>7859</v>
      </c>
      <c r="B944" s="115">
        <f t="shared" si="435"/>
        <v>7859</v>
      </c>
      <c r="C944" s="115">
        <f t="shared" si="435"/>
        <v>0</v>
      </c>
      <c r="D944" s="115">
        <f t="shared" si="435"/>
        <v>13</v>
      </c>
      <c r="E944" s="115">
        <f t="shared" si="435"/>
        <v>13</v>
      </c>
      <c r="F944" s="115">
        <f t="shared" si="435"/>
        <v>0</v>
      </c>
      <c r="G944" s="115">
        <f t="shared" si="435"/>
        <v>7846</v>
      </c>
      <c r="H944" s="115">
        <f t="shared" si="435"/>
        <v>7846</v>
      </c>
      <c r="I944" s="115">
        <f>I878+I881+I884+I887+I890+I893+I896+I899+I902+I905+I908+I911+I914+I917+I920+I923+I926+I929+I932+I935+I938+I941</f>
        <v>0</v>
      </c>
      <c r="J944" s="65" t="s">
        <v>225</v>
      </c>
      <c r="K944" s="68" t="s">
        <v>211</v>
      </c>
      <c r="L944" s="55"/>
    </row>
    <row r="945" spans="1:12" ht="12.75" customHeight="1" thickBot="1" x14ac:dyDescent="0.25">
      <c r="A945" s="115">
        <f t="shared" si="435"/>
        <v>41098</v>
      </c>
      <c r="B945" s="115">
        <f t="shared" si="435"/>
        <v>41098</v>
      </c>
      <c r="C945" s="115">
        <f t="shared" si="435"/>
        <v>0</v>
      </c>
      <c r="D945" s="115">
        <f t="shared" si="435"/>
        <v>78</v>
      </c>
      <c r="E945" s="115">
        <f t="shared" si="435"/>
        <v>78</v>
      </c>
      <c r="F945" s="115">
        <f t="shared" si="435"/>
        <v>0</v>
      </c>
      <c r="G945" s="115">
        <f t="shared" si="435"/>
        <v>41020</v>
      </c>
      <c r="H945" s="115">
        <f t="shared" si="435"/>
        <v>41020</v>
      </c>
      <c r="I945" s="115">
        <f>I879+I882+I885+I888+I891+I894+I897+I900+I903+I906+I909+I912+I915+I918+I921+I924+I927+I930+I933+I936+I939+I942</f>
        <v>0</v>
      </c>
      <c r="J945" s="65" t="s">
        <v>13</v>
      </c>
      <c r="K945" s="59"/>
      <c r="L945" s="55"/>
    </row>
    <row r="946" spans="1:12" ht="12.75" customHeight="1" x14ac:dyDescent="0.2">
      <c r="A946" s="177" t="s">
        <v>560</v>
      </c>
      <c r="B946" s="177"/>
      <c r="C946" s="177"/>
      <c r="D946" s="177"/>
      <c r="E946" s="177"/>
      <c r="F946" s="177"/>
      <c r="G946" s="177"/>
      <c r="H946" s="177"/>
      <c r="I946" s="177"/>
      <c r="J946" s="177"/>
      <c r="K946" s="177"/>
      <c r="L946" s="55"/>
    </row>
    <row r="947" spans="1:12" ht="12.75" customHeight="1" thickBot="1" x14ac:dyDescent="0.25">
      <c r="A947" s="178" t="s">
        <v>561</v>
      </c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55"/>
    </row>
    <row r="948" spans="1:12" ht="12.75" customHeight="1" thickBot="1" x14ac:dyDescent="0.25">
      <c r="A948" s="179" t="s">
        <v>5</v>
      </c>
      <c r="B948" s="179"/>
      <c r="C948" s="179"/>
      <c r="D948" s="179" t="s">
        <v>162</v>
      </c>
      <c r="E948" s="179"/>
      <c r="F948" s="179"/>
      <c r="G948" s="179" t="s">
        <v>163</v>
      </c>
      <c r="H948" s="179"/>
      <c r="I948" s="179"/>
      <c r="J948" s="179" t="s">
        <v>72</v>
      </c>
      <c r="K948" s="179"/>
      <c r="L948" s="55"/>
    </row>
    <row r="949" spans="1:12" ht="12.75" customHeight="1" thickBot="1" x14ac:dyDescent="0.25">
      <c r="A949" s="58" t="s">
        <v>216</v>
      </c>
      <c r="B949" s="58" t="s">
        <v>11</v>
      </c>
      <c r="C949" s="58" t="s">
        <v>10</v>
      </c>
      <c r="D949" s="58" t="s">
        <v>216</v>
      </c>
      <c r="E949" s="58" t="s">
        <v>11</v>
      </c>
      <c r="F949" s="58" t="s">
        <v>10</v>
      </c>
      <c r="G949" s="58" t="s">
        <v>216</v>
      </c>
      <c r="H949" s="58" t="s">
        <v>11</v>
      </c>
      <c r="I949" s="58" t="s">
        <v>10</v>
      </c>
      <c r="J949" s="180" t="s">
        <v>133</v>
      </c>
      <c r="K949" s="180"/>
      <c r="L949" s="55"/>
    </row>
    <row r="950" spans="1:12" ht="12.75" customHeight="1" thickBot="1" x14ac:dyDescent="0.25">
      <c r="A950" s="60">
        <f>SUM(B950:C950)</f>
        <v>420</v>
      </c>
      <c r="B950" s="60">
        <f>H950+E950</f>
        <v>0</v>
      </c>
      <c r="C950" s="60">
        <f>I950+F950</f>
        <v>420</v>
      </c>
      <c r="D950" s="60">
        <f>SUM(E950:F950)</f>
        <v>0</v>
      </c>
      <c r="E950" s="60">
        <v>0</v>
      </c>
      <c r="F950" s="60">
        <v>0</v>
      </c>
      <c r="G950" s="60">
        <f>SUM(H950:I950)</f>
        <v>420</v>
      </c>
      <c r="H950" s="60">
        <v>0</v>
      </c>
      <c r="I950" s="60">
        <f>383+157-120</f>
        <v>420</v>
      </c>
      <c r="J950" s="65" t="s">
        <v>221</v>
      </c>
      <c r="K950" s="66"/>
      <c r="L950" s="55"/>
    </row>
    <row r="951" spans="1:12" ht="12.75" customHeight="1" thickBot="1" x14ac:dyDescent="0.25">
      <c r="A951" s="60">
        <f t="shared" ref="A951:A960" si="436">SUM(B951:C951)</f>
        <v>0</v>
      </c>
      <c r="B951" s="60">
        <f t="shared" ref="B951:C960" si="437">H951+E951</f>
        <v>0</v>
      </c>
      <c r="C951" s="60">
        <f t="shared" si="437"/>
        <v>0</v>
      </c>
      <c r="D951" s="60">
        <f t="shared" ref="D951:D960" si="438">SUM(E951:F951)</f>
        <v>0</v>
      </c>
      <c r="E951" s="60">
        <v>0</v>
      </c>
      <c r="F951" s="60">
        <v>0</v>
      </c>
      <c r="G951" s="60">
        <f t="shared" ref="G951:G960" si="439">SUM(H951:I951)</f>
        <v>0</v>
      </c>
      <c r="H951" s="60">
        <v>0</v>
      </c>
      <c r="I951" s="60">
        <v>0</v>
      </c>
      <c r="J951" s="65" t="s">
        <v>222</v>
      </c>
      <c r="K951" s="66" t="s">
        <v>524</v>
      </c>
      <c r="L951" s="55"/>
    </row>
    <row r="952" spans="1:12" ht="12.75" customHeight="1" thickBot="1" x14ac:dyDescent="0.25">
      <c r="A952" s="60">
        <f t="shared" ref="A952:H952" si="440">SUM(A950:A951)</f>
        <v>420</v>
      </c>
      <c r="B952" s="60">
        <f t="shared" si="440"/>
        <v>0</v>
      </c>
      <c r="C952" s="60">
        <f t="shared" si="440"/>
        <v>420</v>
      </c>
      <c r="D952" s="60">
        <f t="shared" si="440"/>
        <v>0</v>
      </c>
      <c r="E952" s="60">
        <f t="shared" si="440"/>
        <v>0</v>
      </c>
      <c r="F952" s="60">
        <f t="shared" si="440"/>
        <v>0</v>
      </c>
      <c r="G952" s="60">
        <f t="shared" si="440"/>
        <v>420</v>
      </c>
      <c r="H952" s="60">
        <f t="shared" si="440"/>
        <v>0</v>
      </c>
      <c r="I952" s="60">
        <f>SUM(I950:I951)</f>
        <v>420</v>
      </c>
      <c r="J952" s="65" t="s">
        <v>13</v>
      </c>
      <c r="K952" s="67"/>
      <c r="L952" s="55"/>
    </row>
    <row r="953" spans="1:12" ht="12.75" customHeight="1" thickBot="1" x14ac:dyDescent="0.25">
      <c r="A953" s="60">
        <f t="shared" si="436"/>
        <v>805</v>
      </c>
      <c r="B953" s="60">
        <f t="shared" si="437"/>
        <v>0</v>
      </c>
      <c r="C953" s="60">
        <f t="shared" si="437"/>
        <v>805</v>
      </c>
      <c r="D953" s="60">
        <f t="shared" si="438"/>
        <v>0</v>
      </c>
      <c r="E953" s="60">
        <v>0</v>
      </c>
      <c r="F953" s="60">
        <v>0</v>
      </c>
      <c r="G953" s="60">
        <f t="shared" si="439"/>
        <v>805</v>
      </c>
      <c r="H953" s="60">
        <v>0</v>
      </c>
      <c r="I953" s="60">
        <f>743+130-238+170</f>
        <v>805</v>
      </c>
      <c r="J953" s="65" t="s">
        <v>221</v>
      </c>
      <c r="K953" s="66"/>
      <c r="L953" s="55"/>
    </row>
    <row r="954" spans="1:12" ht="12.75" customHeight="1" thickBot="1" x14ac:dyDescent="0.25">
      <c r="A954" s="60">
        <f t="shared" si="436"/>
        <v>0</v>
      </c>
      <c r="B954" s="60">
        <f t="shared" si="437"/>
        <v>0</v>
      </c>
      <c r="C954" s="60">
        <f t="shared" si="437"/>
        <v>0</v>
      </c>
      <c r="D954" s="60">
        <f t="shared" si="438"/>
        <v>0</v>
      </c>
      <c r="E954" s="60">
        <v>0</v>
      </c>
      <c r="F954" s="60">
        <v>0</v>
      </c>
      <c r="G954" s="60">
        <f t="shared" si="439"/>
        <v>0</v>
      </c>
      <c r="H954" s="60">
        <v>0</v>
      </c>
      <c r="I954" s="60">
        <v>0</v>
      </c>
      <c r="J954" s="65" t="s">
        <v>222</v>
      </c>
      <c r="K954" s="66" t="s">
        <v>278</v>
      </c>
      <c r="L954" s="55"/>
    </row>
    <row r="955" spans="1:12" ht="12.75" customHeight="1" thickBot="1" x14ac:dyDescent="0.25">
      <c r="A955" s="60">
        <f t="shared" ref="A955:H955" si="441">SUM(A953:A954)</f>
        <v>805</v>
      </c>
      <c r="B955" s="60">
        <f t="shared" si="441"/>
        <v>0</v>
      </c>
      <c r="C955" s="60">
        <f t="shared" si="441"/>
        <v>805</v>
      </c>
      <c r="D955" s="60">
        <f t="shared" si="441"/>
        <v>0</v>
      </c>
      <c r="E955" s="60">
        <f t="shared" si="441"/>
        <v>0</v>
      </c>
      <c r="F955" s="60">
        <f t="shared" si="441"/>
        <v>0</v>
      </c>
      <c r="G955" s="60">
        <f t="shared" si="441"/>
        <v>805</v>
      </c>
      <c r="H955" s="60">
        <f t="shared" si="441"/>
        <v>0</v>
      </c>
      <c r="I955" s="60">
        <f>SUM(I953:I954)</f>
        <v>805</v>
      </c>
      <c r="J955" s="65" t="s">
        <v>13</v>
      </c>
      <c r="K955" s="67"/>
      <c r="L955" s="55"/>
    </row>
    <row r="956" spans="1:12" ht="12.75" customHeight="1" thickBot="1" x14ac:dyDescent="0.25">
      <c r="A956" s="60">
        <f t="shared" si="436"/>
        <v>1675</v>
      </c>
      <c r="B956" s="60">
        <f t="shared" si="437"/>
        <v>1675</v>
      </c>
      <c r="C956" s="60">
        <f t="shared" si="437"/>
        <v>0</v>
      </c>
      <c r="D956" s="60">
        <f t="shared" si="438"/>
        <v>0</v>
      </c>
      <c r="E956" s="60">
        <v>0</v>
      </c>
      <c r="F956" s="60">
        <v>0</v>
      </c>
      <c r="G956" s="60">
        <f t="shared" si="439"/>
        <v>1675</v>
      </c>
      <c r="H956" s="60">
        <f>1855-180</f>
        <v>1675</v>
      </c>
      <c r="I956" s="60">
        <v>0</v>
      </c>
      <c r="J956" s="65" t="s">
        <v>221</v>
      </c>
      <c r="K956" s="66"/>
      <c r="L956" s="55"/>
    </row>
    <row r="957" spans="1:12" ht="12.75" customHeight="1" thickBot="1" x14ac:dyDescent="0.25">
      <c r="A957" s="60">
        <f t="shared" si="436"/>
        <v>247</v>
      </c>
      <c r="B957" s="60">
        <f t="shared" si="437"/>
        <v>247</v>
      </c>
      <c r="C957" s="60">
        <f t="shared" si="437"/>
        <v>0</v>
      </c>
      <c r="D957" s="60">
        <f t="shared" si="438"/>
        <v>0</v>
      </c>
      <c r="E957" s="60">
        <v>0</v>
      </c>
      <c r="F957" s="60">
        <v>0</v>
      </c>
      <c r="G957" s="60">
        <f t="shared" si="439"/>
        <v>247</v>
      </c>
      <c r="H957" s="60">
        <v>247</v>
      </c>
      <c r="I957" s="60">
        <v>0</v>
      </c>
      <c r="J957" s="65" t="s">
        <v>222</v>
      </c>
      <c r="K957" s="66" t="s">
        <v>525</v>
      </c>
      <c r="L957" s="55"/>
    </row>
    <row r="958" spans="1:12" ht="12.75" customHeight="1" thickBot="1" x14ac:dyDescent="0.25">
      <c r="A958" s="60">
        <f t="shared" ref="A958:H958" si="442">SUM(A956:A957)</f>
        <v>1922</v>
      </c>
      <c r="B958" s="60">
        <f t="shared" si="442"/>
        <v>1922</v>
      </c>
      <c r="C958" s="60">
        <f t="shared" si="442"/>
        <v>0</v>
      </c>
      <c r="D958" s="60">
        <f t="shared" si="442"/>
        <v>0</v>
      </c>
      <c r="E958" s="60">
        <f t="shared" si="442"/>
        <v>0</v>
      </c>
      <c r="F958" s="60">
        <f t="shared" si="442"/>
        <v>0</v>
      </c>
      <c r="G958" s="60">
        <f t="shared" si="442"/>
        <v>1922</v>
      </c>
      <c r="H958" s="60">
        <f t="shared" si="442"/>
        <v>1922</v>
      </c>
      <c r="I958" s="60">
        <f>SUM(I956:I957)</f>
        <v>0</v>
      </c>
      <c r="J958" s="65" t="s">
        <v>13</v>
      </c>
      <c r="K958" s="67"/>
      <c r="L958" s="55"/>
    </row>
    <row r="959" spans="1:12" ht="12.75" customHeight="1" thickBot="1" x14ac:dyDescent="0.25">
      <c r="A959" s="60">
        <f t="shared" si="436"/>
        <v>1131</v>
      </c>
      <c r="B959" s="60">
        <f t="shared" si="437"/>
        <v>1131</v>
      </c>
      <c r="C959" s="60">
        <f t="shared" si="437"/>
        <v>0</v>
      </c>
      <c r="D959" s="60">
        <f t="shared" si="438"/>
        <v>0</v>
      </c>
      <c r="E959" s="60">
        <v>0</v>
      </c>
      <c r="F959" s="60">
        <v>0</v>
      </c>
      <c r="G959" s="60">
        <f t="shared" si="439"/>
        <v>1131</v>
      </c>
      <c r="H959" s="60">
        <f>1318-187</f>
        <v>1131</v>
      </c>
      <c r="I959" s="60">
        <v>0</v>
      </c>
      <c r="J959" s="65" t="s">
        <v>221</v>
      </c>
      <c r="K959" s="66"/>
      <c r="L959" s="55"/>
    </row>
    <row r="960" spans="1:12" ht="12.75" customHeight="1" thickBot="1" x14ac:dyDescent="0.25">
      <c r="A960" s="60">
        <f t="shared" si="436"/>
        <v>382</v>
      </c>
      <c r="B960" s="60">
        <f t="shared" si="437"/>
        <v>382</v>
      </c>
      <c r="C960" s="60">
        <f t="shared" si="437"/>
        <v>0</v>
      </c>
      <c r="D960" s="60">
        <f t="shared" si="438"/>
        <v>0</v>
      </c>
      <c r="E960" s="60">
        <v>0</v>
      </c>
      <c r="F960" s="60">
        <v>0</v>
      </c>
      <c r="G960" s="60">
        <f t="shared" si="439"/>
        <v>382</v>
      </c>
      <c r="H960" s="60">
        <v>382</v>
      </c>
      <c r="I960" s="60">
        <v>0</v>
      </c>
      <c r="J960" s="65" t="s">
        <v>222</v>
      </c>
      <c r="K960" s="66" t="s">
        <v>526</v>
      </c>
      <c r="L960" s="55"/>
    </row>
    <row r="961" spans="1:12" ht="12.75" customHeight="1" thickBot="1" x14ac:dyDescent="0.25">
      <c r="A961" s="60">
        <f t="shared" ref="A961:H961" si="443">SUM(A959:A960)</f>
        <v>1513</v>
      </c>
      <c r="B961" s="60">
        <f t="shared" si="443"/>
        <v>1513</v>
      </c>
      <c r="C961" s="60">
        <f t="shared" si="443"/>
        <v>0</v>
      </c>
      <c r="D961" s="60">
        <f t="shared" si="443"/>
        <v>0</v>
      </c>
      <c r="E961" s="60">
        <f t="shared" si="443"/>
        <v>0</v>
      </c>
      <c r="F961" s="60">
        <f t="shared" si="443"/>
        <v>0</v>
      </c>
      <c r="G961" s="60">
        <f t="shared" si="443"/>
        <v>1513</v>
      </c>
      <c r="H961" s="60">
        <f t="shared" si="443"/>
        <v>1513</v>
      </c>
      <c r="I961" s="60">
        <f>SUM(I959:I960)</f>
        <v>0</v>
      </c>
      <c r="J961" s="65" t="s">
        <v>13</v>
      </c>
      <c r="K961" s="67"/>
      <c r="L961" s="55"/>
    </row>
    <row r="962" spans="1:12" ht="12.75" customHeight="1" thickBot="1" x14ac:dyDescent="0.25">
      <c r="A962" s="60">
        <f t="shared" ref="A962:I964" si="444">A950+A953+A956+A959</f>
        <v>4031</v>
      </c>
      <c r="B962" s="60">
        <f t="shared" si="444"/>
        <v>2806</v>
      </c>
      <c r="C962" s="60">
        <f t="shared" si="444"/>
        <v>1225</v>
      </c>
      <c r="D962" s="60">
        <f t="shared" si="444"/>
        <v>0</v>
      </c>
      <c r="E962" s="60">
        <f t="shared" si="444"/>
        <v>0</v>
      </c>
      <c r="F962" s="60">
        <f t="shared" si="444"/>
        <v>0</v>
      </c>
      <c r="G962" s="60">
        <f t="shared" si="444"/>
        <v>4031</v>
      </c>
      <c r="H962" s="60">
        <f t="shared" si="444"/>
        <v>2806</v>
      </c>
      <c r="I962" s="60">
        <f>I950+I953+I956+I959</f>
        <v>1225</v>
      </c>
      <c r="J962" s="65" t="s">
        <v>224</v>
      </c>
      <c r="K962" s="57"/>
      <c r="L962" s="55"/>
    </row>
    <row r="963" spans="1:12" ht="12.75" customHeight="1" thickBot="1" x14ac:dyDescent="0.25">
      <c r="A963" s="60">
        <f t="shared" si="444"/>
        <v>629</v>
      </c>
      <c r="B963" s="60">
        <f t="shared" si="444"/>
        <v>629</v>
      </c>
      <c r="C963" s="60">
        <f t="shared" si="444"/>
        <v>0</v>
      </c>
      <c r="D963" s="60">
        <f t="shared" si="444"/>
        <v>0</v>
      </c>
      <c r="E963" s="60">
        <f t="shared" si="444"/>
        <v>0</v>
      </c>
      <c r="F963" s="60">
        <f t="shared" si="444"/>
        <v>0</v>
      </c>
      <c r="G963" s="60">
        <f t="shared" si="444"/>
        <v>629</v>
      </c>
      <c r="H963" s="60">
        <f t="shared" si="444"/>
        <v>629</v>
      </c>
      <c r="I963" s="60">
        <f t="shared" si="444"/>
        <v>0</v>
      </c>
      <c r="J963" s="65" t="s">
        <v>225</v>
      </c>
      <c r="K963" s="68" t="s">
        <v>211</v>
      </c>
      <c r="L963" s="55"/>
    </row>
    <row r="964" spans="1:12" ht="12.75" customHeight="1" thickBot="1" x14ac:dyDescent="0.25">
      <c r="A964" s="60">
        <f t="shared" si="444"/>
        <v>4660</v>
      </c>
      <c r="B964" s="60">
        <f t="shared" si="444"/>
        <v>3435</v>
      </c>
      <c r="C964" s="60">
        <f t="shared" si="444"/>
        <v>1225</v>
      </c>
      <c r="D964" s="60">
        <f t="shared" si="444"/>
        <v>0</v>
      </c>
      <c r="E964" s="60">
        <f t="shared" si="444"/>
        <v>0</v>
      </c>
      <c r="F964" s="60">
        <f t="shared" si="444"/>
        <v>0</v>
      </c>
      <c r="G964" s="60">
        <f t="shared" si="444"/>
        <v>4660</v>
      </c>
      <c r="H964" s="60">
        <f t="shared" si="444"/>
        <v>3435</v>
      </c>
      <c r="I964" s="60">
        <f t="shared" si="444"/>
        <v>1225</v>
      </c>
      <c r="J964" s="65" t="s">
        <v>13</v>
      </c>
      <c r="K964" s="59"/>
      <c r="L964" s="55"/>
    </row>
    <row r="965" spans="1:12" ht="12.75" customHeight="1" x14ac:dyDescent="0.2">
      <c r="A965" s="177" t="s">
        <v>560</v>
      </c>
      <c r="B965" s="177"/>
      <c r="C965" s="177"/>
      <c r="D965" s="177"/>
      <c r="E965" s="177"/>
      <c r="F965" s="177"/>
      <c r="G965" s="177"/>
      <c r="H965" s="177"/>
      <c r="I965" s="177"/>
      <c r="J965" s="177"/>
      <c r="K965" s="177"/>
      <c r="L965" s="55"/>
    </row>
    <row r="966" spans="1:12" ht="12.75" customHeight="1" thickBot="1" x14ac:dyDescent="0.25">
      <c r="A966" s="178" t="s">
        <v>561</v>
      </c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55"/>
    </row>
    <row r="967" spans="1:12" ht="12.75" customHeight="1" thickBot="1" x14ac:dyDescent="0.25">
      <c r="A967" s="179" t="s">
        <v>5</v>
      </c>
      <c r="B967" s="179"/>
      <c r="C967" s="179"/>
      <c r="D967" s="179" t="s">
        <v>162</v>
      </c>
      <c r="E967" s="179"/>
      <c r="F967" s="179"/>
      <c r="G967" s="179" t="s">
        <v>163</v>
      </c>
      <c r="H967" s="179"/>
      <c r="I967" s="179"/>
      <c r="J967" s="179" t="s">
        <v>72</v>
      </c>
      <c r="K967" s="179"/>
      <c r="L967" s="55"/>
    </row>
    <row r="968" spans="1:12" ht="12.75" customHeight="1" thickBot="1" x14ac:dyDescent="0.25">
      <c r="A968" s="58" t="s">
        <v>216</v>
      </c>
      <c r="B968" s="58" t="s">
        <v>11</v>
      </c>
      <c r="C968" s="58" t="s">
        <v>10</v>
      </c>
      <c r="D968" s="58" t="s">
        <v>216</v>
      </c>
      <c r="E968" s="58" t="s">
        <v>11</v>
      </c>
      <c r="F968" s="58" t="s">
        <v>10</v>
      </c>
      <c r="G968" s="58" t="s">
        <v>216</v>
      </c>
      <c r="H968" s="58" t="s">
        <v>11</v>
      </c>
      <c r="I968" s="58" t="s">
        <v>10</v>
      </c>
      <c r="J968" s="180" t="s">
        <v>168</v>
      </c>
      <c r="K968" s="180"/>
      <c r="L968" s="55"/>
    </row>
    <row r="969" spans="1:12" ht="12.75" customHeight="1" thickBot="1" x14ac:dyDescent="0.25">
      <c r="A969" s="60">
        <v>1037</v>
      </c>
      <c r="B969" s="60">
        <v>0</v>
      </c>
      <c r="C969" s="60">
        <v>1037</v>
      </c>
      <c r="D969" s="60">
        <v>0</v>
      </c>
      <c r="E969" s="60">
        <v>0</v>
      </c>
      <c r="F969" s="60">
        <v>0</v>
      </c>
      <c r="G969" s="60">
        <v>1037</v>
      </c>
      <c r="H969" s="60">
        <v>0</v>
      </c>
      <c r="I969" s="60">
        <v>1037</v>
      </c>
      <c r="J969" s="65" t="s">
        <v>221</v>
      </c>
      <c r="K969" s="66"/>
      <c r="L969" s="55"/>
    </row>
    <row r="970" spans="1:12" ht="12.75" customHeight="1" thickBot="1" x14ac:dyDescent="0.25">
      <c r="A970" s="60">
        <v>0</v>
      </c>
      <c r="B970" s="60">
        <v>0</v>
      </c>
      <c r="C970" s="60">
        <v>0</v>
      </c>
      <c r="D970" s="60">
        <v>0</v>
      </c>
      <c r="E970" s="60">
        <v>0</v>
      </c>
      <c r="F970" s="60">
        <v>0</v>
      </c>
      <c r="G970" s="60">
        <v>0</v>
      </c>
      <c r="H970" s="60">
        <v>0</v>
      </c>
      <c r="I970" s="60">
        <v>0</v>
      </c>
      <c r="J970" s="65" t="s">
        <v>222</v>
      </c>
      <c r="K970" s="66" t="s">
        <v>280</v>
      </c>
      <c r="L970" s="55"/>
    </row>
    <row r="971" spans="1:12" ht="12.75" customHeight="1" thickBot="1" x14ac:dyDescent="0.25">
      <c r="A971" s="60">
        <v>1037</v>
      </c>
      <c r="B971" s="60">
        <v>0</v>
      </c>
      <c r="C971" s="60">
        <v>1037</v>
      </c>
      <c r="D971" s="60">
        <v>0</v>
      </c>
      <c r="E971" s="60">
        <v>0</v>
      </c>
      <c r="F971" s="60">
        <v>0</v>
      </c>
      <c r="G971" s="60">
        <v>1037</v>
      </c>
      <c r="H971" s="60">
        <v>0</v>
      </c>
      <c r="I971" s="60">
        <v>1037</v>
      </c>
      <c r="J971" s="65" t="s">
        <v>13</v>
      </c>
      <c r="K971" s="67"/>
      <c r="L971" s="55"/>
    </row>
    <row r="972" spans="1:12" ht="12.75" customHeight="1" thickBot="1" x14ac:dyDescent="0.25">
      <c r="A972" s="60">
        <v>1037</v>
      </c>
      <c r="B972" s="60">
        <v>0</v>
      </c>
      <c r="C972" s="60">
        <v>1037</v>
      </c>
      <c r="D972" s="60">
        <v>0</v>
      </c>
      <c r="E972" s="60">
        <v>0</v>
      </c>
      <c r="F972" s="60">
        <v>0</v>
      </c>
      <c r="G972" s="60">
        <v>1037</v>
      </c>
      <c r="H972" s="60">
        <v>0</v>
      </c>
      <c r="I972" s="60">
        <v>1037</v>
      </c>
      <c r="J972" s="65" t="s">
        <v>224</v>
      </c>
      <c r="K972" s="57"/>
      <c r="L972" s="55"/>
    </row>
    <row r="973" spans="1:12" ht="12.75" customHeight="1" thickBot="1" x14ac:dyDescent="0.25">
      <c r="A973" s="60">
        <v>0</v>
      </c>
      <c r="B973" s="60">
        <v>0</v>
      </c>
      <c r="C973" s="60">
        <v>0</v>
      </c>
      <c r="D973" s="60">
        <v>0</v>
      </c>
      <c r="E973" s="60">
        <v>0</v>
      </c>
      <c r="F973" s="60">
        <v>0</v>
      </c>
      <c r="G973" s="60">
        <v>0</v>
      </c>
      <c r="H973" s="60">
        <v>0</v>
      </c>
      <c r="I973" s="60">
        <v>0</v>
      </c>
      <c r="J973" s="65" t="s">
        <v>225</v>
      </c>
      <c r="K973" s="68" t="s">
        <v>211</v>
      </c>
      <c r="L973" s="55"/>
    </row>
    <row r="974" spans="1:12" ht="12.75" customHeight="1" thickBot="1" x14ac:dyDescent="0.25">
      <c r="A974" s="60">
        <v>1037</v>
      </c>
      <c r="B974" s="60">
        <v>0</v>
      </c>
      <c r="C974" s="60">
        <v>1037</v>
      </c>
      <c r="D974" s="60">
        <v>0</v>
      </c>
      <c r="E974" s="60">
        <v>0</v>
      </c>
      <c r="F974" s="60">
        <v>0</v>
      </c>
      <c r="G974" s="60">
        <v>1037</v>
      </c>
      <c r="H974" s="60">
        <v>0</v>
      </c>
      <c r="I974" s="60">
        <v>1037</v>
      </c>
      <c r="J974" s="65" t="s">
        <v>13</v>
      </c>
      <c r="K974" s="59"/>
      <c r="L974" s="55"/>
    </row>
    <row r="975" spans="1:12" ht="12.75" customHeight="1" x14ac:dyDescent="0.2">
      <c r="A975" s="177" t="s">
        <v>560</v>
      </c>
      <c r="B975" s="177"/>
      <c r="C975" s="177"/>
      <c r="D975" s="177"/>
      <c r="E975" s="177"/>
      <c r="F975" s="177"/>
      <c r="G975" s="177"/>
      <c r="H975" s="177"/>
      <c r="I975" s="177"/>
      <c r="J975" s="177"/>
      <c r="K975" s="177"/>
      <c r="L975" s="55"/>
    </row>
    <row r="976" spans="1:12" ht="12.75" customHeight="1" thickBot="1" x14ac:dyDescent="0.25">
      <c r="A976" s="178" t="s">
        <v>561</v>
      </c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55"/>
    </row>
    <row r="977" spans="1:12" ht="12.75" customHeight="1" thickBot="1" x14ac:dyDescent="0.25">
      <c r="A977" s="179" t="s">
        <v>5</v>
      </c>
      <c r="B977" s="179"/>
      <c r="C977" s="179"/>
      <c r="D977" s="179" t="s">
        <v>162</v>
      </c>
      <c r="E977" s="179"/>
      <c r="F977" s="179"/>
      <c r="G977" s="179" t="s">
        <v>163</v>
      </c>
      <c r="H977" s="179"/>
      <c r="I977" s="179"/>
      <c r="J977" s="179" t="s">
        <v>72</v>
      </c>
      <c r="K977" s="179"/>
      <c r="L977" s="55"/>
    </row>
    <row r="978" spans="1:12" ht="12.75" customHeight="1" thickBot="1" x14ac:dyDescent="0.25">
      <c r="A978" s="58" t="s">
        <v>216</v>
      </c>
      <c r="B978" s="58" t="s">
        <v>11</v>
      </c>
      <c r="C978" s="58" t="s">
        <v>10</v>
      </c>
      <c r="D978" s="58" t="s">
        <v>216</v>
      </c>
      <c r="E978" s="58" t="s">
        <v>11</v>
      </c>
      <c r="F978" s="58" t="s">
        <v>10</v>
      </c>
      <c r="G978" s="58" t="s">
        <v>216</v>
      </c>
      <c r="H978" s="58" t="s">
        <v>11</v>
      </c>
      <c r="I978" s="58" t="s">
        <v>10</v>
      </c>
      <c r="J978" s="180" t="s">
        <v>169</v>
      </c>
      <c r="K978" s="180"/>
      <c r="L978" s="55"/>
    </row>
    <row r="979" spans="1:12" ht="12.75" customHeight="1" thickBot="1" x14ac:dyDescent="0.25">
      <c r="A979" s="60">
        <v>114</v>
      </c>
      <c r="B979" s="60">
        <v>72</v>
      </c>
      <c r="C979" s="60">
        <v>42</v>
      </c>
      <c r="D979" s="60">
        <v>0</v>
      </c>
      <c r="E979" s="60">
        <v>0</v>
      </c>
      <c r="F979" s="60">
        <v>0</v>
      </c>
      <c r="G979" s="60">
        <v>114</v>
      </c>
      <c r="H979" s="60">
        <v>72</v>
      </c>
      <c r="I979" s="60">
        <v>42</v>
      </c>
      <c r="J979" s="65" t="s">
        <v>221</v>
      </c>
      <c r="K979" s="66"/>
      <c r="L979" s="55"/>
    </row>
    <row r="980" spans="1:12" ht="12.75" customHeight="1" thickBot="1" x14ac:dyDescent="0.25">
      <c r="A980" s="60">
        <v>0</v>
      </c>
      <c r="B980" s="60">
        <v>0</v>
      </c>
      <c r="C980" s="60">
        <v>0</v>
      </c>
      <c r="D980" s="60">
        <v>0</v>
      </c>
      <c r="E980" s="60">
        <v>0</v>
      </c>
      <c r="F980" s="60">
        <v>0</v>
      </c>
      <c r="G980" s="60">
        <v>0</v>
      </c>
      <c r="H980" s="60">
        <v>0</v>
      </c>
      <c r="I980" s="60">
        <v>0</v>
      </c>
      <c r="J980" s="65" t="s">
        <v>222</v>
      </c>
      <c r="K980" s="66" t="s">
        <v>324</v>
      </c>
      <c r="L980" s="55"/>
    </row>
    <row r="981" spans="1:12" ht="12.75" customHeight="1" thickBot="1" x14ac:dyDescent="0.25">
      <c r="A981" s="60">
        <v>114</v>
      </c>
      <c r="B981" s="60">
        <v>72</v>
      </c>
      <c r="C981" s="60">
        <v>42</v>
      </c>
      <c r="D981" s="60">
        <v>0</v>
      </c>
      <c r="E981" s="60">
        <v>0</v>
      </c>
      <c r="F981" s="60">
        <v>0</v>
      </c>
      <c r="G981" s="60">
        <v>114</v>
      </c>
      <c r="H981" s="60">
        <v>72</v>
      </c>
      <c r="I981" s="60">
        <v>42</v>
      </c>
      <c r="J981" s="65" t="s">
        <v>13</v>
      </c>
      <c r="K981" s="67"/>
      <c r="L981" s="55"/>
    </row>
    <row r="982" spans="1:12" ht="12.75" customHeight="1" thickBot="1" x14ac:dyDescent="0.25">
      <c r="A982" s="60">
        <v>114</v>
      </c>
      <c r="B982" s="60">
        <v>72</v>
      </c>
      <c r="C982" s="60">
        <v>42</v>
      </c>
      <c r="D982" s="60">
        <v>0</v>
      </c>
      <c r="E982" s="60">
        <v>0</v>
      </c>
      <c r="F982" s="60">
        <v>0</v>
      </c>
      <c r="G982" s="60">
        <v>114</v>
      </c>
      <c r="H982" s="60">
        <v>72</v>
      </c>
      <c r="I982" s="60">
        <v>42</v>
      </c>
      <c r="J982" s="65" t="s">
        <v>224</v>
      </c>
      <c r="K982" s="57"/>
      <c r="L982" s="55"/>
    </row>
    <row r="983" spans="1:12" ht="12.75" customHeight="1" thickBot="1" x14ac:dyDescent="0.25">
      <c r="A983" s="60">
        <v>0</v>
      </c>
      <c r="B983" s="60">
        <v>0</v>
      </c>
      <c r="C983" s="60">
        <v>0</v>
      </c>
      <c r="D983" s="60">
        <v>0</v>
      </c>
      <c r="E983" s="60">
        <v>0</v>
      </c>
      <c r="F983" s="60">
        <v>0</v>
      </c>
      <c r="G983" s="60">
        <v>0</v>
      </c>
      <c r="H983" s="60">
        <v>0</v>
      </c>
      <c r="I983" s="60">
        <v>0</v>
      </c>
      <c r="J983" s="65" t="s">
        <v>225</v>
      </c>
      <c r="K983" s="68" t="s">
        <v>211</v>
      </c>
      <c r="L983" s="55"/>
    </row>
    <row r="984" spans="1:12" ht="12.75" customHeight="1" thickBot="1" x14ac:dyDescent="0.25">
      <c r="A984" s="60">
        <v>114</v>
      </c>
      <c r="B984" s="60">
        <v>72</v>
      </c>
      <c r="C984" s="60">
        <v>42</v>
      </c>
      <c r="D984" s="60">
        <v>0</v>
      </c>
      <c r="E984" s="60">
        <v>0</v>
      </c>
      <c r="F984" s="60">
        <v>0</v>
      </c>
      <c r="G984" s="60">
        <v>114</v>
      </c>
      <c r="H984" s="60">
        <v>72</v>
      </c>
      <c r="I984" s="60">
        <v>42</v>
      </c>
      <c r="J984" s="65" t="s">
        <v>13</v>
      </c>
      <c r="K984" s="59"/>
      <c r="L984" s="55"/>
    </row>
    <row r="985" spans="1:12" ht="12.75" customHeight="1" x14ac:dyDescent="0.2">
      <c r="A985" s="177" t="s">
        <v>560</v>
      </c>
      <c r="B985" s="177"/>
      <c r="C985" s="177"/>
      <c r="D985" s="177"/>
      <c r="E985" s="177"/>
      <c r="F985" s="177"/>
      <c r="G985" s="177"/>
      <c r="H985" s="177"/>
      <c r="I985" s="177"/>
      <c r="J985" s="177"/>
      <c r="K985" s="177"/>
      <c r="L985" s="55"/>
    </row>
    <row r="986" spans="1:12" ht="12.75" customHeight="1" thickBot="1" x14ac:dyDescent="0.25">
      <c r="A986" s="178" t="s">
        <v>561</v>
      </c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55"/>
    </row>
    <row r="987" spans="1:12" ht="12.75" customHeight="1" thickBot="1" x14ac:dyDescent="0.25">
      <c r="A987" s="179" t="s">
        <v>5</v>
      </c>
      <c r="B987" s="179"/>
      <c r="C987" s="179"/>
      <c r="D987" s="179" t="s">
        <v>162</v>
      </c>
      <c r="E987" s="179"/>
      <c r="F987" s="179"/>
      <c r="G987" s="179" t="s">
        <v>163</v>
      </c>
      <c r="H987" s="179"/>
      <c r="I987" s="179"/>
      <c r="J987" s="179" t="s">
        <v>72</v>
      </c>
      <c r="K987" s="179"/>
      <c r="L987" s="55"/>
    </row>
    <row r="988" spans="1:12" ht="12.75" customHeight="1" thickBot="1" x14ac:dyDescent="0.25">
      <c r="A988" s="58" t="s">
        <v>216</v>
      </c>
      <c r="B988" s="58" t="s">
        <v>11</v>
      </c>
      <c r="C988" s="58" t="s">
        <v>10</v>
      </c>
      <c r="D988" s="58" t="s">
        <v>216</v>
      </c>
      <c r="E988" s="58" t="s">
        <v>11</v>
      </c>
      <c r="F988" s="58" t="s">
        <v>10</v>
      </c>
      <c r="G988" s="58" t="s">
        <v>216</v>
      </c>
      <c r="H988" s="58" t="s">
        <v>11</v>
      </c>
      <c r="I988" s="58" t="s">
        <v>10</v>
      </c>
      <c r="J988" s="180" t="s">
        <v>170</v>
      </c>
      <c r="K988" s="180"/>
      <c r="L988" s="55"/>
    </row>
    <row r="989" spans="1:12" ht="12.75" customHeight="1" thickBot="1" x14ac:dyDescent="0.25">
      <c r="A989" s="60">
        <v>282</v>
      </c>
      <c r="B989" s="60">
        <v>0</v>
      </c>
      <c r="C989" s="60">
        <v>282</v>
      </c>
      <c r="D989" s="60">
        <v>0</v>
      </c>
      <c r="E989" s="60">
        <v>0</v>
      </c>
      <c r="F989" s="60">
        <v>0</v>
      </c>
      <c r="G989" s="60">
        <v>282</v>
      </c>
      <c r="H989" s="60">
        <v>0</v>
      </c>
      <c r="I989" s="60">
        <v>282</v>
      </c>
      <c r="J989" s="65" t="s">
        <v>221</v>
      </c>
      <c r="K989" s="66"/>
      <c r="L989" s="55"/>
    </row>
    <row r="990" spans="1:12" ht="12.75" customHeight="1" thickBot="1" x14ac:dyDescent="0.25">
      <c r="A990" s="60">
        <v>0</v>
      </c>
      <c r="B990" s="60">
        <v>0</v>
      </c>
      <c r="C990" s="60">
        <v>0</v>
      </c>
      <c r="D990" s="60">
        <v>0</v>
      </c>
      <c r="E990" s="60">
        <v>0</v>
      </c>
      <c r="F990" s="60">
        <v>0</v>
      </c>
      <c r="G990" s="60">
        <v>0</v>
      </c>
      <c r="H990" s="60">
        <v>0</v>
      </c>
      <c r="I990" s="60">
        <v>0</v>
      </c>
      <c r="J990" s="65" t="s">
        <v>222</v>
      </c>
      <c r="K990" s="66" t="s">
        <v>325</v>
      </c>
      <c r="L990" s="55"/>
    </row>
    <row r="991" spans="1:12" ht="12.75" customHeight="1" thickBot="1" x14ac:dyDescent="0.25">
      <c r="A991" s="60">
        <v>282</v>
      </c>
      <c r="B991" s="60">
        <v>0</v>
      </c>
      <c r="C991" s="60">
        <v>282</v>
      </c>
      <c r="D991" s="60">
        <v>0</v>
      </c>
      <c r="E991" s="60">
        <v>0</v>
      </c>
      <c r="F991" s="60">
        <v>0</v>
      </c>
      <c r="G991" s="60">
        <v>282</v>
      </c>
      <c r="H991" s="60">
        <v>0</v>
      </c>
      <c r="I991" s="60">
        <v>282</v>
      </c>
      <c r="J991" s="65" t="s">
        <v>13</v>
      </c>
      <c r="K991" s="67"/>
      <c r="L991" s="55"/>
    </row>
    <row r="992" spans="1:12" ht="12.75" customHeight="1" thickBot="1" x14ac:dyDescent="0.25">
      <c r="A992" s="60">
        <v>184</v>
      </c>
      <c r="B992" s="60">
        <v>0</v>
      </c>
      <c r="C992" s="60">
        <v>184</v>
      </c>
      <c r="D992" s="60">
        <v>0</v>
      </c>
      <c r="E992" s="60">
        <v>0</v>
      </c>
      <c r="F992" s="60">
        <v>0</v>
      </c>
      <c r="G992" s="60">
        <v>184</v>
      </c>
      <c r="H992" s="60">
        <v>0</v>
      </c>
      <c r="I992" s="60">
        <v>184</v>
      </c>
      <c r="J992" s="65" t="s">
        <v>221</v>
      </c>
      <c r="K992" s="66"/>
      <c r="L992" s="55"/>
    </row>
    <row r="993" spans="1:12" ht="12.75" customHeight="1" thickBot="1" x14ac:dyDescent="0.25">
      <c r="A993" s="60">
        <v>0</v>
      </c>
      <c r="B993" s="60">
        <v>0</v>
      </c>
      <c r="C993" s="60">
        <v>0</v>
      </c>
      <c r="D993" s="60">
        <v>0</v>
      </c>
      <c r="E993" s="60">
        <v>0</v>
      </c>
      <c r="F993" s="60">
        <v>0</v>
      </c>
      <c r="G993" s="60">
        <v>0</v>
      </c>
      <c r="H993" s="60">
        <v>0</v>
      </c>
      <c r="I993" s="60">
        <v>0</v>
      </c>
      <c r="J993" s="65" t="s">
        <v>222</v>
      </c>
      <c r="K993" s="66" t="s">
        <v>326</v>
      </c>
      <c r="L993" s="55"/>
    </row>
    <row r="994" spans="1:12" ht="12.75" customHeight="1" thickBot="1" x14ac:dyDescent="0.25">
      <c r="A994" s="60">
        <v>184</v>
      </c>
      <c r="B994" s="60">
        <v>0</v>
      </c>
      <c r="C994" s="60">
        <v>184</v>
      </c>
      <c r="D994" s="60">
        <v>0</v>
      </c>
      <c r="E994" s="60">
        <v>0</v>
      </c>
      <c r="F994" s="60">
        <v>0</v>
      </c>
      <c r="G994" s="60">
        <v>184</v>
      </c>
      <c r="H994" s="60">
        <v>0</v>
      </c>
      <c r="I994" s="60">
        <v>184</v>
      </c>
      <c r="J994" s="65" t="s">
        <v>13</v>
      </c>
      <c r="K994" s="67"/>
      <c r="L994" s="55"/>
    </row>
    <row r="995" spans="1:12" ht="12.75" customHeight="1" thickBot="1" x14ac:dyDescent="0.25">
      <c r="A995" s="60">
        <v>645</v>
      </c>
      <c r="B995" s="60">
        <v>461</v>
      </c>
      <c r="C995" s="60">
        <v>184</v>
      </c>
      <c r="D995" s="60">
        <v>7</v>
      </c>
      <c r="E995" s="60">
        <v>5</v>
      </c>
      <c r="F995" s="60">
        <v>2</v>
      </c>
      <c r="G995" s="60">
        <v>638</v>
      </c>
      <c r="H995" s="60">
        <v>456</v>
      </c>
      <c r="I995" s="60">
        <v>182</v>
      </c>
      <c r="J995" s="65" t="s">
        <v>221</v>
      </c>
      <c r="K995" s="66"/>
      <c r="L995" s="55"/>
    </row>
    <row r="996" spans="1:12" ht="12.75" customHeight="1" thickBot="1" x14ac:dyDescent="0.25">
      <c r="A996" s="60">
        <v>0</v>
      </c>
      <c r="B996" s="60">
        <v>0</v>
      </c>
      <c r="C996" s="60">
        <v>0</v>
      </c>
      <c r="D996" s="60">
        <v>0</v>
      </c>
      <c r="E996" s="60">
        <v>0</v>
      </c>
      <c r="F996" s="60">
        <v>0</v>
      </c>
      <c r="G996" s="60">
        <v>0</v>
      </c>
      <c r="H996" s="60">
        <v>0</v>
      </c>
      <c r="I996" s="60">
        <v>0</v>
      </c>
      <c r="J996" s="65" t="s">
        <v>222</v>
      </c>
      <c r="K996" s="66" t="s">
        <v>527</v>
      </c>
      <c r="L996" s="55"/>
    </row>
    <row r="997" spans="1:12" ht="12.75" customHeight="1" thickBot="1" x14ac:dyDescent="0.25">
      <c r="A997" s="60">
        <v>645</v>
      </c>
      <c r="B997" s="60">
        <v>461</v>
      </c>
      <c r="C997" s="60">
        <v>184</v>
      </c>
      <c r="D997" s="60">
        <v>7</v>
      </c>
      <c r="E997" s="60">
        <v>5</v>
      </c>
      <c r="F997" s="60">
        <v>2</v>
      </c>
      <c r="G997" s="60">
        <v>638</v>
      </c>
      <c r="H997" s="60">
        <v>456</v>
      </c>
      <c r="I997" s="60">
        <v>182</v>
      </c>
      <c r="J997" s="65" t="s">
        <v>13</v>
      </c>
      <c r="K997" s="67"/>
      <c r="L997" s="55"/>
    </row>
    <row r="998" spans="1:12" ht="12.75" customHeight="1" thickBot="1" x14ac:dyDescent="0.25">
      <c r="A998" s="60">
        <v>1004</v>
      </c>
      <c r="B998" s="60">
        <v>590</v>
      </c>
      <c r="C998" s="60">
        <v>414</v>
      </c>
      <c r="D998" s="60">
        <v>0</v>
      </c>
      <c r="E998" s="60">
        <v>0</v>
      </c>
      <c r="F998" s="60">
        <v>0</v>
      </c>
      <c r="G998" s="60">
        <v>1004</v>
      </c>
      <c r="H998" s="60">
        <v>590</v>
      </c>
      <c r="I998" s="60">
        <v>414</v>
      </c>
      <c r="J998" s="65" t="s">
        <v>221</v>
      </c>
      <c r="K998" s="66"/>
      <c r="L998" s="55"/>
    </row>
    <row r="999" spans="1:12" ht="12.75" customHeight="1" thickBot="1" x14ac:dyDescent="0.25">
      <c r="A999" s="60">
        <v>0</v>
      </c>
      <c r="B999" s="60">
        <v>0</v>
      </c>
      <c r="C999" s="60">
        <v>0</v>
      </c>
      <c r="D999" s="60">
        <v>0</v>
      </c>
      <c r="E999" s="60">
        <v>0</v>
      </c>
      <c r="F999" s="60">
        <v>0</v>
      </c>
      <c r="G999" s="60">
        <v>0</v>
      </c>
      <c r="H999" s="60">
        <v>0</v>
      </c>
      <c r="I999" s="60">
        <v>0</v>
      </c>
      <c r="J999" s="65" t="s">
        <v>222</v>
      </c>
      <c r="K999" s="66" t="s">
        <v>528</v>
      </c>
      <c r="L999" s="55"/>
    </row>
    <row r="1000" spans="1:12" ht="12.75" customHeight="1" thickBot="1" x14ac:dyDescent="0.25">
      <c r="A1000" s="60">
        <v>1004</v>
      </c>
      <c r="B1000" s="60">
        <v>590</v>
      </c>
      <c r="C1000" s="60">
        <v>414</v>
      </c>
      <c r="D1000" s="60">
        <v>0</v>
      </c>
      <c r="E1000" s="60">
        <v>0</v>
      </c>
      <c r="F1000" s="60">
        <v>0</v>
      </c>
      <c r="G1000" s="60">
        <v>1004</v>
      </c>
      <c r="H1000" s="60">
        <v>590</v>
      </c>
      <c r="I1000" s="60">
        <v>414</v>
      </c>
      <c r="J1000" s="65" t="s">
        <v>13</v>
      </c>
      <c r="K1000" s="67"/>
      <c r="L1000" s="55"/>
    </row>
    <row r="1001" spans="1:12" ht="12.75" customHeight="1" thickBot="1" x14ac:dyDescent="0.25">
      <c r="A1001" s="60">
        <v>2115</v>
      </c>
      <c r="B1001" s="60">
        <v>1051</v>
      </c>
      <c r="C1001" s="60">
        <v>1064</v>
      </c>
      <c r="D1001" s="60">
        <v>7</v>
      </c>
      <c r="E1001" s="60">
        <v>5</v>
      </c>
      <c r="F1001" s="60">
        <v>2</v>
      </c>
      <c r="G1001" s="60">
        <v>2108</v>
      </c>
      <c r="H1001" s="60">
        <v>1046</v>
      </c>
      <c r="I1001" s="60">
        <v>1062</v>
      </c>
      <c r="J1001" s="65" t="s">
        <v>224</v>
      </c>
      <c r="K1001" s="57"/>
      <c r="L1001" s="55"/>
    </row>
    <row r="1002" spans="1:12" ht="12.75" customHeight="1" thickBot="1" x14ac:dyDescent="0.25">
      <c r="A1002" s="60">
        <v>0</v>
      </c>
      <c r="B1002" s="60">
        <v>0</v>
      </c>
      <c r="C1002" s="60">
        <v>0</v>
      </c>
      <c r="D1002" s="60">
        <v>0</v>
      </c>
      <c r="E1002" s="60">
        <v>0</v>
      </c>
      <c r="F1002" s="60">
        <v>0</v>
      </c>
      <c r="G1002" s="60">
        <v>0</v>
      </c>
      <c r="H1002" s="60">
        <v>0</v>
      </c>
      <c r="I1002" s="60">
        <v>0</v>
      </c>
      <c r="J1002" s="65" t="s">
        <v>225</v>
      </c>
      <c r="K1002" s="68" t="s">
        <v>211</v>
      </c>
      <c r="L1002" s="55"/>
    </row>
    <row r="1003" spans="1:12" ht="12.75" customHeight="1" thickBot="1" x14ac:dyDescent="0.25">
      <c r="A1003" s="60">
        <v>2115</v>
      </c>
      <c r="B1003" s="60">
        <v>1051</v>
      </c>
      <c r="C1003" s="60">
        <v>1064</v>
      </c>
      <c r="D1003" s="60">
        <v>7</v>
      </c>
      <c r="E1003" s="60">
        <v>5</v>
      </c>
      <c r="F1003" s="60">
        <v>2</v>
      </c>
      <c r="G1003" s="60">
        <v>2108</v>
      </c>
      <c r="H1003" s="60">
        <v>1046</v>
      </c>
      <c r="I1003" s="60">
        <v>1062</v>
      </c>
      <c r="J1003" s="65" t="s">
        <v>13</v>
      </c>
      <c r="K1003" s="59"/>
      <c r="L1003" s="55"/>
    </row>
    <row r="1004" spans="1:12" ht="12.75" customHeight="1" x14ac:dyDescent="0.2">
      <c r="A1004" s="177" t="s">
        <v>560</v>
      </c>
      <c r="B1004" s="177"/>
      <c r="C1004" s="177"/>
      <c r="D1004" s="177"/>
      <c r="E1004" s="177"/>
      <c r="F1004" s="177"/>
      <c r="G1004" s="177"/>
      <c r="H1004" s="177"/>
      <c r="I1004" s="177"/>
      <c r="J1004" s="177"/>
      <c r="K1004" s="177"/>
      <c r="L1004" s="55"/>
    </row>
    <row r="1005" spans="1:12" ht="12.75" customHeight="1" thickBot="1" x14ac:dyDescent="0.25">
      <c r="A1005" s="178" t="s">
        <v>561</v>
      </c>
      <c r="B1005" s="178"/>
      <c r="C1005" s="178"/>
      <c r="D1005" s="178"/>
      <c r="E1005" s="178"/>
      <c r="F1005" s="178"/>
      <c r="G1005" s="178"/>
      <c r="H1005" s="178"/>
      <c r="I1005" s="178"/>
      <c r="J1005" s="178"/>
      <c r="K1005" s="178"/>
      <c r="L1005" s="55"/>
    </row>
    <row r="1006" spans="1:12" ht="12.75" customHeight="1" thickBot="1" x14ac:dyDescent="0.25">
      <c r="A1006" s="179" t="s">
        <v>5</v>
      </c>
      <c r="B1006" s="179"/>
      <c r="C1006" s="179"/>
      <c r="D1006" s="179" t="s">
        <v>162</v>
      </c>
      <c r="E1006" s="179"/>
      <c r="F1006" s="179"/>
      <c r="G1006" s="179" t="s">
        <v>163</v>
      </c>
      <c r="H1006" s="179"/>
      <c r="I1006" s="179"/>
      <c r="J1006" s="179" t="s">
        <v>72</v>
      </c>
      <c r="K1006" s="179"/>
      <c r="L1006" s="55"/>
    </row>
    <row r="1007" spans="1:12" ht="12.75" customHeight="1" thickBot="1" x14ac:dyDescent="0.25">
      <c r="A1007" s="58" t="s">
        <v>216</v>
      </c>
      <c r="B1007" s="58" t="s">
        <v>11</v>
      </c>
      <c r="C1007" s="58" t="s">
        <v>10</v>
      </c>
      <c r="D1007" s="58" t="s">
        <v>216</v>
      </c>
      <c r="E1007" s="58" t="s">
        <v>11</v>
      </c>
      <c r="F1007" s="58" t="s">
        <v>10</v>
      </c>
      <c r="G1007" s="58" t="s">
        <v>216</v>
      </c>
      <c r="H1007" s="58" t="s">
        <v>11</v>
      </c>
      <c r="I1007" s="58" t="s">
        <v>10</v>
      </c>
      <c r="J1007" s="180" t="s">
        <v>173</v>
      </c>
      <c r="K1007" s="180"/>
      <c r="L1007" s="55"/>
    </row>
    <row r="1008" spans="1:12" ht="12.75" customHeight="1" thickBot="1" x14ac:dyDescent="0.25">
      <c r="A1008" s="60">
        <f>SUM(B1008:C1008)</f>
        <v>2148</v>
      </c>
      <c r="B1008" s="60">
        <f>H1008+E1008</f>
        <v>1306</v>
      </c>
      <c r="C1008" s="60">
        <f>I1008+F1008</f>
        <v>842</v>
      </c>
      <c r="D1008" s="60">
        <f>SUM(E1008:F1008)</f>
        <v>504</v>
      </c>
      <c r="E1008" s="60">
        <f>251+29+69</f>
        <v>349</v>
      </c>
      <c r="F1008" s="60">
        <v>155</v>
      </c>
      <c r="G1008" s="60">
        <f>SUM(H1008:I1008)</f>
        <v>1644</v>
      </c>
      <c r="H1008" s="60">
        <v>957</v>
      </c>
      <c r="I1008" s="60">
        <v>687</v>
      </c>
      <c r="J1008" s="65" t="s">
        <v>221</v>
      </c>
      <c r="K1008" s="66"/>
      <c r="L1008" s="55"/>
    </row>
    <row r="1009" spans="1:12" ht="12.75" customHeight="1" thickBot="1" x14ac:dyDescent="0.25">
      <c r="A1009" s="60">
        <f t="shared" ref="A1009:A1066" si="445">SUM(B1009:C1009)</f>
        <v>0</v>
      </c>
      <c r="B1009" s="60">
        <f t="shared" ref="B1009:C1066" si="446">H1009+E1009</f>
        <v>0</v>
      </c>
      <c r="C1009" s="60">
        <f t="shared" si="446"/>
        <v>0</v>
      </c>
      <c r="D1009" s="60">
        <f t="shared" ref="D1009:D1066" si="447">SUM(E1009:F1009)</f>
        <v>0</v>
      </c>
      <c r="E1009" s="60">
        <v>0</v>
      </c>
      <c r="F1009" s="60">
        <v>0</v>
      </c>
      <c r="G1009" s="60">
        <f t="shared" ref="G1009:G1066" si="448">SUM(H1009:I1009)</f>
        <v>0</v>
      </c>
      <c r="H1009" s="60">
        <v>0</v>
      </c>
      <c r="I1009" s="60">
        <v>0</v>
      </c>
      <c r="J1009" s="65" t="s">
        <v>222</v>
      </c>
      <c r="K1009" s="66" t="s">
        <v>138</v>
      </c>
      <c r="L1009" s="55"/>
    </row>
    <row r="1010" spans="1:12" ht="12.75" customHeight="1" thickBot="1" x14ac:dyDescent="0.25">
      <c r="A1010" s="60">
        <f t="shared" ref="A1010:H1010" si="449">SUM(A1008:A1009)</f>
        <v>2148</v>
      </c>
      <c r="B1010" s="60">
        <f t="shared" si="449"/>
        <v>1306</v>
      </c>
      <c r="C1010" s="60">
        <f t="shared" si="449"/>
        <v>842</v>
      </c>
      <c r="D1010" s="60">
        <f t="shared" si="449"/>
        <v>504</v>
      </c>
      <c r="E1010" s="60">
        <f t="shared" si="449"/>
        <v>349</v>
      </c>
      <c r="F1010" s="60">
        <f t="shared" si="449"/>
        <v>155</v>
      </c>
      <c r="G1010" s="60">
        <f t="shared" si="449"/>
        <v>1644</v>
      </c>
      <c r="H1010" s="60">
        <f t="shared" si="449"/>
        <v>957</v>
      </c>
      <c r="I1010" s="60">
        <f>SUM(I1008:I1009)</f>
        <v>687</v>
      </c>
      <c r="J1010" s="65" t="s">
        <v>13</v>
      </c>
      <c r="K1010" s="67"/>
      <c r="L1010" s="55"/>
    </row>
    <row r="1011" spans="1:12" ht="12.75" customHeight="1" thickBot="1" x14ac:dyDescent="0.25">
      <c r="A1011" s="60">
        <f t="shared" si="445"/>
        <v>8869</v>
      </c>
      <c r="B1011" s="60">
        <f t="shared" si="446"/>
        <v>4271</v>
      </c>
      <c r="C1011" s="60">
        <f t="shared" si="446"/>
        <v>4598</v>
      </c>
      <c r="D1011" s="60">
        <f t="shared" si="447"/>
        <v>2782</v>
      </c>
      <c r="E1011" s="60">
        <f>1594+78</f>
        <v>1672</v>
      </c>
      <c r="F1011" s="60">
        <f>1375-265</f>
        <v>1110</v>
      </c>
      <c r="G1011" s="60">
        <f t="shared" si="448"/>
        <v>6087</v>
      </c>
      <c r="H1011" s="60">
        <v>2599</v>
      </c>
      <c r="I1011" s="60">
        <v>3488</v>
      </c>
      <c r="J1011" s="65" t="s">
        <v>221</v>
      </c>
      <c r="K1011" s="66"/>
      <c r="L1011" s="55"/>
    </row>
    <row r="1012" spans="1:12" ht="12.75" customHeight="1" thickBot="1" x14ac:dyDescent="0.25">
      <c r="A1012" s="60">
        <f t="shared" si="445"/>
        <v>0</v>
      </c>
      <c r="B1012" s="60">
        <f t="shared" si="446"/>
        <v>0</v>
      </c>
      <c r="C1012" s="60">
        <f t="shared" si="446"/>
        <v>0</v>
      </c>
      <c r="D1012" s="60">
        <f t="shared" si="447"/>
        <v>0</v>
      </c>
      <c r="E1012" s="60">
        <v>0</v>
      </c>
      <c r="F1012" s="60">
        <v>0</v>
      </c>
      <c r="G1012" s="60">
        <f t="shared" si="448"/>
        <v>0</v>
      </c>
      <c r="H1012" s="60">
        <v>0</v>
      </c>
      <c r="I1012" s="60">
        <v>0</v>
      </c>
      <c r="J1012" s="65" t="s">
        <v>222</v>
      </c>
      <c r="K1012" s="66" t="s">
        <v>139</v>
      </c>
      <c r="L1012" s="55"/>
    </row>
    <row r="1013" spans="1:12" ht="12.75" customHeight="1" thickBot="1" x14ac:dyDescent="0.25">
      <c r="A1013" s="60">
        <f t="shared" ref="A1013:H1013" si="450">SUM(A1011:A1012)</f>
        <v>8869</v>
      </c>
      <c r="B1013" s="60">
        <f t="shared" si="450"/>
        <v>4271</v>
      </c>
      <c r="C1013" s="60">
        <f t="shared" si="450"/>
        <v>4598</v>
      </c>
      <c r="D1013" s="60">
        <f t="shared" si="450"/>
        <v>2782</v>
      </c>
      <c r="E1013" s="60">
        <f t="shared" si="450"/>
        <v>1672</v>
      </c>
      <c r="F1013" s="60">
        <f t="shared" si="450"/>
        <v>1110</v>
      </c>
      <c r="G1013" s="60">
        <f t="shared" si="450"/>
        <v>6087</v>
      </c>
      <c r="H1013" s="60">
        <f t="shared" si="450"/>
        <v>2599</v>
      </c>
      <c r="I1013" s="60">
        <f>SUM(I1011:I1012)</f>
        <v>3488</v>
      </c>
      <c r="J1013" s="65" t="s">
        <v>13</v>
      </c>
      <c r="K1013" s="67"/>
      <c r="L1013" s="55"/>
    </row>
    <row r="1014" spans="1:12" ht="12.75" customHeight="1" thickBot="1" x14ac:dyDescent="0.25">
      <c r="A1014" s="60">
        <f t="shared" si="445"/>
        <v>1144</v>
      </c>
      <c r="B1014" s="60">
        <f t="shared" si="446"/>
        <v>675</v>
      </c>
      <c r="C1014" s="60">
        <f t="shared" si="446"/>
        <v>469</v>
      </c>
      <c r="D1014" s="60">
        <f t="shared" si="447"/>
        <v>210</v>
      </c>
      <c r="E1014" s="60">
        <v>165</v>
      </c>
      <c r="F1014" s="60">
        <v>45</v>
      </c>
      <c r="G1014" s="60">
        <f t="shared" si="448"/>
        <v>934</v>
      </c>
      <c r="H1014" s="60">
        <v>510</v>
      </c>
      <c r="I1014" s="60">
        <v>424</v>
      </c>
      <c r="J1014" s="65" t="s">
        <v>221</v>
      </c>
      <c r="K1014" s="66"/>
      <c r="L1014" s="55"/>
    </row>
    <row r="1015" spans="1:12" ht="12.75" customHeight="1" thickBot="1" x14ac:dyDescent="0.25">
      <c r="A1015" s="60">
        <f t="shared" si="445"/>
        <v>0</v>
      </c>
      <c r="B1015" s="60">
        <f t="shared" si="446"/>
        <v>0</v>
      </c>
      <c r="C1015" s="60">
        <f t="shared" si="446"/>
        <v>0</v>
      </c>
      <c r="D1015" s="60">
        <f t="shared" si="447"/>
        <v>0</v>
      </c>
      <c r="E1015" s="60">
        <v>0</v>
      </c>
      <c r="F1015" s="60">
        <v>0</v>
      </c>
      <c r="G1015" s="60">
        <f t="shared" si="448"/>
        <v>0</v>
      </c>
      <c r="H1015" s="60">
        <v>0</v>
      </c>
      <c r="I1015" s="60">
        <v>0</v>
      </c>
      <c r="J1015" s="65" t="s">
        <v>222</v>
      </c>
      <c r="K1015" s="66" t="s">
        <v>140</v>
      </c>
      <c r="L1015" s="55"/>
    </row>
    <row r="1016" spans="1:12" ht="12.75" customHeight="1" thickBot="1" x14ac:dyDescent="0.25">
      <c r="A1016" s="60">
        <f t="shared" ref="A1016:H1016" si="451">SUM(A1014:A1015)</f>
        <v>1144</v>
      </c>
      <c r="B1016" s="60">
        <f t="shared" si="451"/>
        <v>675</v>
      </c>
      <c r="C1016" s="60">
        <f t="shared" si="451"/>
        <v>469</v>
      </c>
      <c r="D1016" s="60">
        <f t="shared" si="451"/>
        <v>210</v>
      </c>
      <c r="E1016" s="60">
        <f t="shared" si="451"/>
        <v>165</v>
      </c>
      <c r="F1016" s="60">
        <f t="shared" si="451"/>
        <v>45</v>
      </c>
      <c r="G1016" s="60">
        <f t="shared" si="451"/>
        <v>934</v>
      </c>
      <c r="H1016" s="60">
        <f t="shared" si="451"/>
        <v>510</v>
      </c>
      <c r="I1016" s="60">
        <f>SUM(I1014:I1015)</f>
        <v>424</v>
      </c>
      <c r="J1016" s="65" t="s">
        <v>13</v>
      </c>
      <c r="K1016" s="67"/>
      <c r="L1016" s="55"/>
    </row>
    <row r="1017" spans="1:12" ht="12.75" customHeight="1" thickBot="1" x14ac:dyDescent="0.25">
      <c r="A1017" s="60">
        <f t="shared" si="445"/>
        <v>267</v>
      </c>
      <c r="B1017" s="60">
        <f t="shared" si="446"/>
        <v>267</v>
      </c>
      <c r="C1017" s="60">
        <f t="shared" si="446"/>
        <v>0</v>
      </c>
      <c r="D1017" s="60">
        <f t="shared" si="447"/>
        <v>58</v>
      </c>
      <c r="E1017" s="60">
        <v>58</v>
      </c>
      <c r="F1017" s="60">
        <v>0</v>
      </c>
      <c r="G1017" s="60">
        <f t="shared" si="448"/>
        <v>209</v>
      </c>
      <c r="H1017" s="60">
        <v>209</v>
      </c>
      <c r="I1017" s="60">
        <v>0</v>
      </c>
      <c r="J1017" s="65" t="s">
        <v>221</v>
      </c>
      <c r="K1017" s="66"/>
      <c r="L1017" s="55"/>
    </row>
    <row r="1018" spans="1:12" ht="12.75" customHeight="1" thickBot="1" x14ac:dyDescent="0.25">
      <c r="A1018" s="60">
        <f t="shared" si="445"/>
        <v>0</v>
      </c>
      <c r="B1018" s="60">
        <f t="shared" si="446"/>
        <v>0</v>
      </c>
      <c r="C1018" s="60">
        <f t="shared" si="446"/>
        <v>0</v>
      </c>
      <c r="D1018" s="60">
        <f t="shared" si="447"/>
        <v>0</v>
      </c>
      <c r="E1018" s="60">
        <v>0</v>
      </c>
      <c r="F1018" s="60">
        <v>0</v>
      </c>
      <c r="G1018" s="60">
        <f t="shared" si="448"/>
        <v>0</v>
      </c>
      <c r="H1018" s="60">
        <v>0</v>
      </c>
      <c r="I1018" s="60">
        <v>0</v>
      </c>
      <c r="J1018" s="65" t="s">
        <v>222</v>
      </c>
      <c r="K1018" s="66" t="s">
        <v>141</v>
      </c>
      <c r="L1018" s="55"/>
    </row>
    <row r="1019" spans="1:12" ht="12.75" customHeight="1" thickBot="1" x14ac:dyDescent="0.25">
      <c r="A1019" s="60">
        <f t="shared" ref="A1019:H1019" si="452">SUM(A1017:A1018)</f>
        <v>267</v>
      </c>
      <c r="B1019" s="60">
        <f t="shared" si="452"/>
        <v>267</v>
      </c>
      <c r="C1019" s="60">
        <f t="shared" si="452"/>
        <v>0</v>
      </c>
      <c r="D1019" s="60">
        <f t="shared" si="452"/>
        <v>58</v>
      </c>
      <c r="E1019" s="60">
        <f t="shared" si="452"/>
        <v>58</v>
      </c>
      <c r="F1019" s="60">
        <f t="shared" si="452"/>
        <v>0</v>
      </c>
      <c r="G1019" s="60">
        <f t="shared" si="452"/>
        <v>209</v>
      </c>
      <c r="H1019" s="60">
        <f t="shared" si="452"/>
        <v>209</v>
      </c>
      <c r="I1019" s="60">
        <f>SUM(I1017:I1018)</f>
        <v>0</v>
      </c>
      <c r="J1019" s="65" t="s">
        <v>13</v>
      </c>
      <c r="K1019" s="67"/>
      <c r="L1019" s="55"/>
    </row>
    <row r="1020" spans="1:12" ht="12.75" customHeight="1" thickBot="1" x14ac:dyDescent="0.25">
      <c r="A1020" s="60">
        <f t="shared" si="445"/>
        <v>77</v>
      </c>
      <c r="B1020" s="60">
        <f t="shared" si="446"/>
        <v>33</v>
      </c>
      <c r="C1020" s="60">
        <f t="shared" si="446"/>
        <v>44</v>
      </c>
      <c r="D1020" s="60">
        <f t="shared" si="447"/>
        <v>0</v>
      </c>
      <c r="E1020" s="60">
        <v>0</v>
      </c>
      <c r="F1020" s="60">
        <v>0</v>
      </c>
      <c r="G1020" s="60">
        <f t="shared" si="448"/>
        <v>77</v>
      </c>
      <c r="H1020" s="60">
        <v>33</v>
      </c>
      <c r="I1020" s="60">
        <v>44</v>
      </c>
      <c r="J1020" s="65" t="s">
        <v>221</v>
      </c>
      <c r="K1020" s="66"/>
      <c r="L1020" s="55"/>
    </row>
    <row r="1021" spans="1:12" ht="12.75" customHeight="1" thickBot="1" x14ac:dyDescent="0.25">
      <c r="A1021" s="60">
        <f t="shared" si="445"/>
        <v>0</v>
      </c>
      <c r="B1021" s="60">
        <f t="shared" si="446"/>
        <v>0</v>
      </c>
      <c r="C1021" s="60">
        <f t="shared" si="446"/>
        <v>0</v>
      </c>
      <c r="D1021" s="60">
        <f t="shared" si="447"/>
        <v>0</v>
      </c>
      <c r="E1021" s="60">
        <v>0</v>
      </c>
      <c r="F1021" s="60">
        <v>0</v>
      </c>
      <c r="G1021" s="60">
        <f t="shared" si="448"/>
        <v>0</v>
      </c>
      <c r="H1021" s="60">
        <v>0</v>
      </c>
      <c r="I1021" s="60">
        <v>0</v>
      </c>
      <c r="J1021" s="65" t="s">
        <v>222</v>
      </c>
      <c r="K1021" s="66" t="s">
        <v>142</v>
      </c>
      <c r="L1021" s="55"/>
    </row>
    <row r="1022" spans="1:12" ht="12.75" customHeight="1" thickBot="1" x14ac:dyDescent="0.25">
      <c r="A1022" s="60">
        <f t="shared" ref="A1022:F1022" si="453">SUM(A1020:A1021)</f>
        <v>77</v>
      </c>
      <c r="B1022" s="60">
        <f t="shared" si="453"/>
        <v>33</v>
      </c>
      <c r="C1022" s="60">
        <f t="shared" si="453"/>
        <v>44</v>
      </c>
      <c r="D1022" s="60">
        <f t="shared" si="453"/>
        <v>0</v>
      </c>
      <c r="E1022" s="60">
        <f t="shared" si="453"/>
        <v>0</v>
      </c>
      <c r="F1022" s="60">
        <f t="shared" si="453"/>
        <v>0</v>
      </c>
      <c r="G1022" s="60">
        <f t="shared" ref="G1022:H1022" si="454">SUM(G1020:G1021)</f>
        <v>77</v>
      </c>
      <c r="H1022" s="60">
        <f t="shared" si="454"/>
        <v>33</v>
      </c>
      <c r="I1022" s="60">
        <f>SUM(I1020:I1021)</f>
        <v>44</v>
      </c>
      <c r="J1022" s="65" t="s">
        <v>13</v>
      </c>
      <c r="K1022" s="67"/>
      <c r="L1022" s="55"/>
    </row>
    <row r="1023" spans="1:12" ht="12.75" customHeight="1" thickBot="1" x14ac:dyDescent="0.25">
      <c r="A1023" s="60">
        <f t="shared" si="445"/>
        <v>80</v>
      </c>
      <c r="B1023" s="60">
        <f t="shared" si="446"/>
        <v>0</v>
      </c>
      <c r="C1023" s="60">
        <f t="shared" si="446"/>
        <v>80</v>
      </c>
      <c r="D1023" s="60">
        <f t="shared" si="447"/>
        <v>34</v>
      </c>
      <c r="E1023" s="60">
        <v>0</v>
      </c>
      <c r="F1023" s="60">
        <v>34</v>
      </c>
      <c r="G1023" s="60">
        <f t="shared" si="448"/>
        <v>46</v>
      </c>
      <c r="H1023" s="60">
        <v>0</v>
      </c>
      <c r="I1023" s="60">
        <v>46</v>
      </c>
      <c r="J1023" s="65" t="s">
        <v>221</v>
      </c>
      <c r="K1023" s="66"/>
      <c r="L1023" s="55"/>
    </row>
    <row r="1024" spans="1:12" ht="12.75" customHeight="1" thickBot="1" x14ac:dyDescent="0.25">
      <c r="A1024" s="60">
        <f t="shared" si="445"/>
        <v>0</v>
      </c>
      <c r="B1024" s="60">
        <f t="shared" si="446"/>
        <v>0</v>
      </c>
      <c r="C1024" s="60">
        <f t="shared" si="446"/>
        <v>0</v>
      </c>
      <c r="D1024" s="60">
        <f t="shared" si="447"/>
        <v>0</v>
      </c>
      <c r="E1024" s="60">
        <v>0</v>
      </c>
      <c r="F1024" s="60">
        <v>0</v>
      </c>
      <c r="G1024" s="60">
        <f t="shared" si="448"/>
        <v>0</v>
      </c>
      <c r="H1024" s="60">
        <v>0</v>
      </c>
      <c r="I1024" s="60">
        <v>0</v>
      </c>
      <c r="J1024" s="65" t="s">
        <v>222</v>
      </c>
      <c r="K1024" s="66" t="s">
        <v>143</v>
      </c>
      <c r="L1024" s="55"/>
    </row>
    <row r="1025" spans="1:12" ht="12.75" customHeight="1" thickBot="1" x14ac:dyDescent="0.25">
      <c r="A1025" s="60">
        <f t="shared" ref="A1025:H1025" si="455">SUM(A1023:A1024)</f>
        <v>80</v>
      </c>
      <c r="B1025" s="60">
        <f t="shared" si="455"/>
        <v>0</v>
      </c>
      <c r="C1025" s="60">
        <f t="shared" si="455"/>
        <v>80</v>
      </c>
      <c r="D1025" s="60">
        <f t="shared" si="455"/>
        <v>34</v>
      </c>
      <c r="E1025" s="60">
        <f t="shared" si="455"/>
        <v>0</v>
      </c>
      <c r="F1025" s="60">
        <f t="shared" si="455"/>
        <v>34</v>
      </c>
      <c r="G1025" s="60">
        <f t="shared" si="455"/>
        <v>46</v>
      </c>
      <c r="H1025" s="60">
        <f t="shared" si="455"/>
        <v>0</v>
      </c>
      <c r="I1025" s="60">
        <f>SUM(I1023:I1024)</f>
        <v>46</v>
      </c>
      <c r="J1025" s="65" t="s">
        <v>13</v>
      </c>
      <c r="K1025" s="67"/>
      <c r="L1025" s="55"/>
    </row>
    <row r="1026" spans="1:12" ht="12.75" customHeight="1" thickBot="1" x14ac:dyDescent="0.25">
      <c r="A1026" s="60">
        <f t="shared" si="445"/>
        <v>920</v>
      </c>
      <c r="B1026" s="60">
        <f t="shared" si="446"/>
        <v>920</v>
      </c>
      <c r="C1026" s="60">
        <f t="shared" si="446"/>
        <v>0</v>
      </c>
      <c r="D1026" s="60">
        <f t="shared" si="447"/>
        <v>296</v>
      </c>
      <c r="E1026" s="60">
        <v>296</v>
      </c>
      <c r="F1026" s="60">
        <v>0</v>
      </c>
      <c r="G1026" s="60">
        <f t="shared" si="448"/>
        <v>624</v>
      </c>
      <c r="H1026" s="60">
        <v>624</v>
      </c>
      <c r="I1026" s="60">
        <v>0</v>
      </c>
      <c r="J1026" s="65" t="s">
        <v>221</v>
      </c>
      <c r="K1026" s="66"/>
      <c r="L1026" s="55"/>
    </row>
    <row r="1027" spans="1:12" ht="12.75" customHeight="1" thickBot="1" x14ac:dyDescent="0.25">
      <c r="A1027" s="60">
        <f t="shared" si="445"/>
        <v>0</v>
      </c>
      <c r="B1027" s="60">
        <f t="shared" si="446"/>
        <v>0</v>
      </c>
      <c r="C1027" s="60">
        <f t="shared" si="446"/>
        <v>0</v>
      </c>
      <c r="D1027" s="60">
        <f t="shared" si="447"/>
        <v>0</v>
      </c>
      <c r="E1027" s="60">
        <v>0</v>
      </c>
      <c r="F1027" s="60">
        <v>0</v>
      </c>
      <c r="G1027" s="60">
        <f t="shared" si="448"/>
        <v>0</v>
      </c>
      <c r="H1027" s="60">
        <v>0</v>
      </c>
      <c r="I1027" s="60">
        <v>0</v>
      </c>
      <c r="J1027" s="65" t="s">
        <v>222</v>
      </c>
      <c r="K1027" s="66" t="s">
        <v>144</v>
      </c>
      <c r="L1027" s="55"/>
    </row>
    <row r="1028" spans="1:12" ht="12.75" customHeight="1" thickBot="1" x14ac:dyDescent="0.25">
      <c r="A1028" s="60">
        <f t="shared" ref="A1028:H1028" si="456">SUM(A1026:A1027)</f>
        <v>920</v>
      </c>
      <c r="B1028" s="60">
        <f t="shared" si="456"/>
        <v>920</v>
      </c>
      <c r="C1028" s="60">
        <f t="shared" si="456"/>
        <v>0</v>
      </c>
      <c r="D1028" s="60">
        <f t="shared" si="456"/>
        <v>296</v>
      </c>
      <c r="E1028" s="60">
        <f t="shared" si="456"/>
        <v>296</v>
      </c>
      <c r="F1028" s="60">
        <f t="shared" si="456"/>
        <v>0</v>
      </c>
      <c r="G1028" s="60">
        <f t="shared" si="456"/>
        <v>624</v>
      </c>
      <c r="H1028" s="60">
        <f t="shared" si="456"/>
        <v>624</v>
      </c>
      <c r="I1028" s="60">
        <f>SUM(I1026:I1027)</f>
        <v>0</v>
      </c>
      <c r="J1028" s="65" t="s">
        <v>13</v>
      </c>
      <c r="K1028" s="67"/>
      <c r="L1028" s="55"/>
    </row>
    <row r="1029" spans="1:12" ht="12.75" customHeight="1" thickBot="1" x14ac:dyDescent="0.25">
      <c r="A1029" s="60">
        <f t="shared" si="445"/>
        <v>163</v>
      </c>
      <c r="B1029" s="60">
        <f t="shared" si="446"/>
        <v>0</v>
      </c>
      <c r="C1029" s="60">
        <f t="shared" si="446"/>
        <v>163</v>
      </c>
      <c r="D1029" s="60">
        <f t="shared" si="447"/>
        <v>0</v>
      </c>
      <c r="E1029" s="60">
        <v>0</v>
      </c>
      <c r="F1029" s="60">
        <v>0</v>
      </c>
      <c r="G1029" s="60">
        <f t="shared" si="448"/>
        <v>163</v>
      </c>
      <c r="H1029" s="60">
        <v>0</v>
      </c>
      <c r="I1029" s="60">
        <v>163</v>
      </c>
      <c r="J1029" s="65" t="s">
        <v>221</v>
      </c>
      <c r="K1029" s="66"/>
      <c r="L1029" s="55"/>
    </row>
    <row r="1030" spans="1:12" ht="12.75" customHeight="1" thickBot="1" x14ac:dyDescent="0.25">
      <c r="A1030" s="60">
        <f t="shared" si="445"/>
        <v>0</v>
      </c>
      <c r="B1030" s="60">
        <f t="shared" si="446"/>
        <v>0</v>
      </c>
      <c r="C1030" s="60">
        <f t="shared" si="446"/>
        <v>0</v>
      </c>
      <c r="D1030" s="60">
        <f t="shared" si="447"/>
        <v>0</v>
      </c>
      <c r="E1030" s="60">
        <v>0</v>
      </c>
      <c r="F1030" s="60">
        <v>0</v>
      </c>
      <c r="G1030" s="60">
        <f t="shared" si="448"/>
        <v>0</v>
      </c>
      <c r="H1030" s="60">
        <v>0</v>
      </c>
      <c r="I1030" s="60">
        <v>0</v>
      </c>
      <c r="J1030" s="65" t="s">
        <v>222</v>
      </c>
      <c r="K1030" s="66" t="s">
        <v>145</v>
      </c>
      <c r="L1030" s="55"/>
    </row>
    <row r="1031" spans="1:12" ht="12.75" customHeight="1" thickBot="1" x14ac:dyDescent="0.25">
      <c r="A1031" s="60">
        <f t="shared" ref="A1031:H1031" si="457">SUM(A1029:A1030)</f>
        <v>163</v>
      </c>
      <c r="B1031" s="60">
        <f t="shared" si="457"/>
        <v>0</v>
      </c>
      <c r="C1031" s="60">
        <f t="shared" si="457"/>
        <v>163</v>
      </c>
      <c r="D1031" s="60">
        <f t="shared" si="457"/>
        <v>0</v>
      </c>
      <c r="E1031" s="60">
        <f t="shared" si="457"/>
        <v>0</v>
      </c>
      <c r="F1031" s="60">
        <f t="shared" si="457"/>
        <v>0</v>
      </c>
      <c r="G1031" s="60">
        <f t="shared" si="457"/>
        <v>163</v>
      </c>
      <c r="H1031" s="60">
        <f t="shared" si="457"/>
        <v>0</v>
      </c>
      <c r="I1031" s="60">
        <f>SUM(I1029:I1030)</f>
        <v>163</v>
      </c>
      <c r="J1031" s="65" t="s">
        <v>13</v>
      </c>
      <c r="K1031" s="67"/>
      <c r="L1031" s="55"/>
    </row>
    <row r="1032" spans="1:12" ht="12.75" customHeight="1" thickBot="1" x14ac:dyDescent="0.25">
      <c r="A1032" s="60">
        <f t="shared" si="445"/>
        <v>743</v>
      </c>
      <c r="B1032" s="60">
        <f t="shared" si="446"/>
        <v>0</v>
      </c>
      <c r="C1032" s="60">
        <f t="shared" si="446"/>
        <v>743</v>
      </c>
      <c r="D1032" s="60">
        <f t="shared" si="447"/>
        <v>254</v>
      </c>
      <c r="E1032" s="60">
        <v>0</v>
      </c>
      <c r="F1032" s="60">
        <f>352-98</f>
        <v>254</v>
      </c>
      <c r="G1032" s="60">
        <f t="shared" si="448"/>
        <v>489</v>
      </c>
      <c r="H1032" s="60">
        <v>0</v>
      </c>
      <c r="I1032" s="60">
        <v>489</v>
      </c>
      <c r="J1032" s="65" t="s">
        <v>221</v>
      </c>
      <c r="K1032" s="66"/>
      <c r="L1032" s="55"/>
    </row>
    <row r="1033" spans="1:12" ht="12.75" customHeight="1" thickBot="1" x14ac:dyDescent="0.25">
      <c r="A1033" s="60">
        <f t="shared" si="445"/>
        <v>0</v>
      </c>
      <c r="B1033" s="60">
        <f t="shared" si="446"/>
        <v>0</v>
      </c>
      <c r="C1033" s="60">
        <f t="shared" si="446"/>
        <v>0</v>
      </c>
      <c r="D1033" s="60">
        <f t="shared" si="447"/>
        <v>0</v>
      </c>
      <c r="E1033" s="60">
        <v>0</v>
      </c>
      <c r="F1033" s="60">
        <v>0</v>
      </c>
      <c r="G1033" s="60">
        <f t="shared" si="448"/>
        <v>0</v>
      </c>
      <c r="H1033" s="60">
        <v>0</v>
      </c>
      <c r="I1033" s="60">
        <v>0</v>
      </c>
      <c r="J1033" s="65" t="s">
        <v>222</v>
      </c>
      <c r="K1033" s="66" t="s">
        <v>146</v>
      </c>
      <c r="L1033" s="55"/>
    </row>
    <row r="1034" spans="1:12" ht="12.75" customHeight="1" thickBot="1" x14ac:dyDescent="0.25">
      <c r="A1034" s="60">
        <f t="shared" ref="A1034:H1034" si="458">SUM(A1032:A1033)</f>
        <v>743</v>
      </c>
      <c r="B1034" s="60">
        <f t="shared" si="458"/>
        <v>0</v>
      </c>
      <c r="C1034" s="60">
        <f t="shared" si="458"/>
        <v>743</v>
      </c>
      <c r="D1034" s="60">
        <f t="shared" si="458"/>
        <v>254</v>
      </c>
      <c r="E1034" s="60">
        <f t="shared" si="458"/>
        <v>0</v>
      </c>
      <c r="F1034" s="60">
        <f t="shared" si="458"/>
        <v>254</v>
      </c>
      <c r="G1034" s="60">
        <f t="shared" si="458"/>
        <v>489</v>
      </c>
      <c r="H1034" s="60">
        <f t="shared" si="458"/>
        <v>0</v>
      </c>
      <c r="I1034" s="60">
        <f>SUM(I1032:I1033)</f>
        <v>489</v>
      </c>
      <c r="J1034" s="65" t="s">
        <v>13</v>
      </c>
      <c r="K1034" s="67"/>
      <c r="L1034" s="55"/>
    </row>
    <row r="1035" spans="1:12" ht="12.75" customHeight="1" thickBot="1" x14ac:dyDescent="0.25">
      <c r="A1035" s="60">
        <f t="shared" si="445"/>
        <v>893</v>
      </c>
      <c r="B1035" s="60">
        <f t="shared" si="446"/>
        <v>0</v>
      </c>
      <c r="C1035" s="60">
        <f t="shared" si="446"/>
        <v>893</v>
      </c>
      <c r="D1035" s="60">
        <f t="shared" si="447"/>
        <v>106</v>
      </c>
      <c r="E1035" s="60">
        <v>0</v>
      </c>
      <c r="F1035" s="60">
        <f>138-32</f>
        <v>106</v>
      </c>
      <c r="G1035" s="60">
        <f t="shared" si="448"/>
        <v>787</v>
      </c>
      <c r="H1035" s="60">
        <v>0</v>
      </c>
      <c r="I1035" s="60">
        <v>787</v>
      </c>
      <c r="J1035" s="65" t="s">
        <v>221</v>
      </c>
      <c r="K1035" s="66"/>
      <c r="L1035" s="55"/>
    </row>
    <row r="1036" spans="1:12" ht="12.75" customHeight="1" thickBot="1" x14ac:dyDescent="0.25">
      <c r="A1036" s="60">
        <f t="shared" si="445"/>
        <v>0</v>
      </c>
      <c r="B1036" s="60">
        <f t="shared" si="446"/>
        <v>0</v>
      </c>
      <c r="C1036" s="60">
        <f t="shared" si="446"/>
        <v>0</v>
      </c>
      <c r="D1036" s="60">
        <f t="shared" si="447"/>
        <v>0</v>
      </c>
      <c r="E1036" s="60">
        <v>0</v>
      </c>
      <c r="F1036" s="60">
        <v>0</v>
      </c>
      <c r="G1036" s="60">
        <f t="shared" si="448"/>
        <v>0</v>
      </c>
      <c r="H1036" s="60">
        <v>0</v>
      </c>
      <c r="I1036" s="60">
        <v>0</v>
      </c>
      <c r="J1036" s="65" t="s">
        <v>222</v>
      </c>
      <c r="K1036" s="66" t="s">
        <v>147</v>
      </c>
      <c r="L1036" s="55"/>
    </row>
    <row r="1037" spans="1:12" ht="12.75" customHeight="1" thickBot="1" x14ac:dyDescent="0.25">
      <c r="A1037" s="60">
        <f t="shared" ref="A1037:H1037" si="459">SUM(A1035:A1036)</f>
        <v>893</v>
      </c>
      <c r="B1037" s="60">
        <f t="shared" si="459"/>
        <v>0</v>
      </c>
      <c r="C1037" s="60">
        <f t="shared" si="459"/>
        <v>893</v>
      </c>
      <c r="D1037" s="60">
        <f t="shared" si="459"/>
        <v>106</v>
      </c>
      <c r="E1037" s="60">
        <f t="shared" si="459"/>
        <v>0</v>
      </c>
      <c r="F1037" s="60">
        <f t="shared" si="459"/>
        <v>106</v>
      </c>
      <c r="G1037" s="60">
        <f t="shared" si="459"/>
        <v>787</v>
      </c>
      <c r="H1037" s="60">
        <f t="shared" si="459"/>
        <v>0</v>
      </c>
      <c r="I1037" s="60">
        <f>SUM(I1035:I1036)</f>
        <v>787</v>
      </c>
      <c r="J1037" s="65" t="s">
        <v>13</v>
      </c>
      <c r="K1037" s="67"/>
      <c r="L1037" s="55"/>
    </row>
    <row r="1038" spans="1:12" ht="12.75" customHeight="1" thickBot="1" x14ac:dyDescent="0.25">
      <c r="A1038" s="60">
        <f t="shared" si="445"/>
        <v>126</v>
      </c>
      <c r="B1038" s="60">
        <f t="shared" si="446"/>
        <v>126</v>
      </c>
      <c r="C1038" s="60">
        <f t="shared" si="446"/>
        <v>0</v>
      </c>
      <c r="D1038" s="60">
        <f t="shared" si="447"/>
        <v>28</v>
      </c>
      <c r="E1038" s="60">
        <v>28</v>
      </c>
      <c r="F1038" s="60">
        <v>0</v>
      </c>
      <c r="G1038" s="60">
        <f t="shared" si="448"/>
        <v>98</v>
      </c>
      <c r="H1038" s="60">
        <v>98</v>
      </c>
      <c r="I1038" s="60">
        <v>0</v>
      </c>
      <c r="J1038" s="65" t="s">
        <v>221</v>
      </c>
      <c r="K1038" s="66"/>
      <c r="L1038" s="55"/>
    </row>
    <row r="1039" spans="1:12" ht="12.75" customHeight="1" thickBot="1" x14ac:dyDescent="0.25">
      <c r="A1039" s="60">
        <f t="shared" si="445"/>
        <v>0</v>
      </c>
      <c r="B1039" s="60">
        <f t="shared" si="446"/>
        <v>0</v>
      </c>
      <c r="C1039" s="60">
        <f t="shared" si="446"/>
        <v>0</v>
      </c>
      <c r="D1039" s="60">
        <f t="shared" si="447"/>
        <v>0</v>
      </c>
      <c r="E1039" s="60">
        <v>0</v>
      </c>
      <c r="F1039" s="60">
        <v>0</v>
      </c>
      <c r="G1039" s="60">
        <f t="shared" si="448"/>
        <v>0</v>
      </c>
      <c r="H1039" s="60">
        <v>0</v>
      </c>
      <c r="I1039" s="60">
        <v>0</v>
      </c>
      <c r="J1039" s="65" t="s">
        <v>222</v>
      </c>
      <c r="K1039" s="66" t="s">
        <v>148</v>
      </c>
      <c r="L1039" s="55"/>
    </row>
    <row r="1040" spans="1:12" ht="12.75" customHeight="1" thickBot="1" x14ac:dyDescent="0.25">
      <c r="A1040" s="60">
        <f t="shared" ref="A1040:H1040" si="460">SUM(A1038:A1039)</f>
        <v>126</v>
      </c>
      <c r="B1040" s="60">
        <f t="shared" si="460"/>
        <v>126</v>
      </c>
      <c r="C1040" s="60">
        <f t="shared" si="460"/>
        <v>0</v>
      </c>
      <c r="D1040" s="60">
        <f t="shared" si="460"/>
        <v>28</v>
      </c>
      <c r="E1040" s="60">
        <f t="shared" si="460"/>
        <v>28</v>
      </c>
      <c r="F1040" s="60">
        <f t="shared" si="460"/>
        <v>0</v>
      </c>
      <c r="G1040" s="60">
        <f t="shared" si="460"/>
        <v>98</v>
      </c>
      <c r="H1040" s="60">
        <f t="shared" si="460"/>
        <v>98</v>
      </c>
      <c r="I1040" s="60">
        <f>SUM(I1038:I1039)</f>
        <v>0</v>
      </c>
      <c r="J1040" s="65" t="s">
        <v>13</v>
      </c>
      <c r="K1040" s="67"/>
      <c r="L1040" s="55"/>
    </row>
    <row r="1041" spans="1:12" ht="12.75" customHeight="1" thickBot="1" x14ac:dyDescent="0.25">
      <c r="A1041" s="60">
        <f t="shared" si="445"/>
        <v>813</v>
      </c>
      <c r="B1041" s="60">
        <f t="shared" si="446"/>
        <v>455</v>
      </c>
      <c r="C1041" s="60">
        <f t="shared" si="446"/>
        <v>358</v>
      </c>
      <c r="D1041" s="60">
        <f t="shared" si="447"/>
        <v>0</v>
      </c>
      <c r="E1041" s="60">
        <v>0</v>
      </c>
      <c r="F1041" s="60">
        <v>0</v>
      </c>
      <c r="G1041" s="60">
        <f t="shared" si="448"/>
        <v>813</v>
      </c>
      <c r="H1041" s="60">
        <v>455</v>
      </c>
      <c r="I1041" s="60">
        <v>358</v>
      </c>
      <c r="J1041" s="65" t="s">
        <v>221</v>
      </c>
      <c r="K1041" s="66"/>
      <c r="L1041" s="55"/>
    </row>
    <row r="1042" spans="1:12" ht="12.75" customHeight="1" thickBot="1" x14ac:dyDescent="0.25">
      <c r="A1042" s="60">
        <f t="shared" si="445"/>
        <v>0</v>
      </c>
      <c r="B1042" s="60">
        <f t="shared" si="446"/>
        <v>0</v>
      </c>
      <c r="C1042" s="60">
        <f t="shared" si="446"/>
        <v>0</v>
      </c>
      <c r="D1042" s="60">
        <f t="shared" si="447"/>
        <v>0</v>
      </c>
      <c r="E1042" s="60">
        <v>0</v>
      </c>
      <c r="F1042" s="60">
        <v>0</v>
      </c>
      <c r="G1042" s="60">
        <f t="shared" si="448"/>
        <v>0</v>
      </c>
      <c r="H1042" s="60">
        <v>0</v>
      </c>
      <c r="I1042" s="60">
        <v>0</v>
      </c>
      <c r="J1042" s="65" t="s">
        <v>222</v>
      </c>
      <c r="K1042" s="66" t="s">
        <v>149</v>
      </c>
      <c r="L1042" s="55"/>
    </row>
    <row r="1043" spans="1:12" ht="12.75" customHeight="1" thickBot="1" x14ac:dyDescent="0.25">
      <c r="A1043" s="60">
        <f t="shared" ref="A1043:H1043" si="461">SUM(A1041:A1042)</f>
        <v>813</v>
      </c>
      <c r="B1043" s="60">
        <f t="shared" si="461"/>
        <v>455</v>
      </c>
      <c r="C1043" s="60">
        <f t="shared" si="461"/>
        <v>358</v>
      </c>
      <c r="D1043" s="60">
        <f t="shared" si="461"/>
        <v>0</v>
      </c>
      <c r="E1043" s="60">
        <f t="shared" si="461"/>
        <v>0</v>
      </c>
      <c r="F1043" s="60">
        <f t="shared" si="461"/>
        <v>0</v>
      </c>
      <c r="G1043" s="60">
        <f t="shared" si="461"/>
        <v>813</v>
      </c>
      <c r="H1043" s="60">
        <f t="shared" si="461"/>
        <v>455</v>
      </c>
      <c r="I1043" s="60">
        <f>SUM(I1041:I1042)</f>
        <v>358</v>
      </c>
      <c r="J1043" s="65" t="s">
        <v>13</v>
      </c>
      <c r="K1043" s="67"/>
      <c r="L1043" s="55"/>
    </row>
    <row r="1044" spans="1:12" ht="12.75" customHeight="1" thickBot="1" x14ac:dyDescent="0.25">
      <c r="A1044" s="60">
        <f t="shared" si="445"/>
        <v>803</v>
      </c>
      <c r="B1044" s="60">
        <f t="shared" si="446"/>
        <v>383</v>
      </c>
      <c r="C1044" s="60">
        <f t="shared" si="446"/>
        <v>420</v>
      </c>
      <c r="D1044" s="60">
        <f t="shared" si="447"/>
        <v>237</v>
      </c>
      <c r="E1044" s="60">
        <v>124</v>
      </c>
      <c r="F1044" s="60">
        <v>113</v>
      </c>
      <c r="G1044" s="60">
        <f t="shared" si="448"/>
        <v>566</v>
      </c>
      <c r="H1044" s="60">
        <v>259</v>
      </c>
      <c r="I1044" s="60">
        <v>307</v>
      </c>
      <c r="J1044" s="65" t="s">
        <v>221</v>
      </c>
      <c r="K1044" s="66"/>
      <c r="L1044" s="55"/>
    </row>
    <row r="1045" spans="1:12" ht="12.75" customHeight="1" thickBot="1" x14ac:dyDescent="0.25">
      <c r="A1045" s="60">
        <f t="shared" si="445"/>
        <v>0</v>
      </c>
      <c r="B1045" s="60">
        <f t="shared" si="446"/>
        <v>0</v>
      </c>
      <c r="C1045" s="60">
        <f t="shared" si="446"/>
        <v>0</v>
      </c>
      <c r="D1045" s="60">
        <f t="shared" si="447"/>
        <v>0</v>
      </c>
      <c r="E1045" s="60">
        <v>0</v>
      </c>
      <c r="F1045" s="60">
        <v>0</v>
      </c>
      <c r="G1045" s="60">
        <f t="shared" si="448"/>
        <v>0</v>
      </c>
      <c r="H1045" s="60">
        <v>0</v>
      </c>
      <c r="I1045" s="60">
        <v>0</v>
      </c>
      <c r="J1045" s="65" t="s">
        <v>222</v>
      </c>
      <c r="K1045" s="66" t="s">
        <v>150</v>
      </c>
      <c r="L1045" s="55"/>
    </row>
    <row r="1046" spans="1:12" ht="12.75" customHeight="1" thickBot="1" x14ac:dyDescent="0.25">
      <c r="A1046" s="60">
        <f t="shared" ref="A1046:F1046" si="462">SUM(A1044:A1045)</f>
        <v>803</v>
      </c>
      <c r="B1046" s="60">
        <f t="shared" si="462"/>
        <v>383</v>
      </c>
      <c r="C1046" s="60">
        <f t="shared" si="462"/>
        <v>420</v>
      </c>
      <c r="D1046" s="60">
        <f t="shared" si="462"/>
        <v>237</v>
      </c>
      <c r="E1046" s="60">
        <f t="shared" si="462"/>
        <v>124</v>
      </c>
      <c r="F1046" s="60">
        <f t="shared" si="462"/>
        <v>113</v>
      </c>
      <c r="G1046" s="60">
        <f t="shared" ref="G1046:H1046" si="463">SUM(G1044:G1045)</f>
        <v>566</v>
      </c>
      <c r="H1046" s="60">
        <f t="shared" si="463"/>
        <v>259</v>
      </c>
      <c r="I1046" s="60">
        <f>SUM(I1044:I1045)</f>
        <v>307</v>
      </c>
      <c r="J1046" s="65" t="s">
        <v>13</v>
      </c>
      <c r="K1046" s="67"/>
      <c r="L1046" s="55"/>
    </row>
    <row r="1047" spans="1:12" ht="12.75" customHeight="1" thickBot="1" x14ac:dyDescent="0.25">
      <c r="A1047" s="60">
        <f t="shared" si="445"/>
        <v>232</v>
      </c>
      <c r="B1047" s="60">
        <f t="shared" si="446"/>
        <v>0</v>
      </c>
      <c r="C1047" s="60">
        <f t="shared" si="446"/>
        <v>232</v>
      </c>
      <c r="D1047" s="60">
        <f t="shared" si="447"/>
        <v>30</v>
      </c>
      <c r="E1047" s="60">
        <v>0</v>
      </c>
      <c r="F1047" s="60">
        <v>30</v>
      </c>
      <c r="G1047" s="60">
        <f t="shared" si="448"/>
        <v>202</v>
      </c>
      <c r="H1047" s="60">
        <v>0</v>
      </c>
      <c r="I1047" s="60">
        <v>202</v>
      </c>
      <c r="J1047" s="65" t="s">
        <v>221</v>
      </c>
      <c r="K1047" s="66"/>
      <c r="L1047" s="55"/>
    </row>
    <row r="1048" spans="1:12" ht="12.75" customHeight="1" thickBot="1" x14ac:dyDescent="0.25">
      <c r="A1048" s="60">
        <f t="shared" si="445"/>
        <v>0</v>
      </c>
      <c r="B1048" s="60">
        <f t="shared" si="446"/>
        <v>0</v>
      </c>
      <c r="C1048" s="60">
        <f t="shared" si="446"/>
        <v>0</v>
      </c>
      <c r="D1048" s="60">
        <f t="shared" si="447"/>
        <v>0</v>
      </c>
      <c r="E1048" s="60">
        <v>0</v>
      </c>
      <c r="F1048" s="60">
        <v>0</v>
      </c>
      <c r="G1048" s="60">
        <f t="shared" si="448"/>
        <v>0</v>
      </c>
      <c r="H1048" s="60">
        <v>0</v>
      </c>
      <c r="I1048" s="60">
        <v>0</v>
      </c>
      <c r="J1048" s="65" t="s">
        <v>222</v>
      </c>
      <c r="K1048" s="66" t="s">
        <v>151</v>
      </c>
      <c r="L1048" s="55"/>
    </row>
    <row r="1049" spans="1:12" ht="12.75" customHeight="1" thickBot="1" x14ac:dyDescent="0.25">
      <c r="A1049" s="60">
        <f t="shared" ref="A1049:H1049" si="464">SUM(A1047:A1048)</f>
        <v>232</v>
      </c>
      <c r="B1049" s="60">
        <f t="shared" si="464"/>
        <v>0</v>
      </c>
      <c r="C1049" s="60">
        <f t="shared" si="464"/>
        <v>232</v>
      </c>
      <c r="D1049" s="60">
        <f t="shared" si="464"/>
        <v>30</v>
      </c>
      <c r="E1049" s="60">
        <f t="shared" si="464"/>
        <v>0</v>
      </c>
      <c r="F1049" s="60">
        <f t="shared" si="464"/>
        <v>30</v>
      </c>
      <c r="G1049" s="60">
        <f t="shared" si="464"/>
        <v>202</v>
      </c>
      <c r="H1049" s="60">
        <f t="shared" si="464"/>
        <v>0</v>
      </c>
      <c r="I1049" s="60">
        <f>SUM(I1047:I1048)</f>
        <v>202</v>
      </c>
      <c r="J1049" s="65" t="s">
        <v>13</v>
      </c>
      <c r="K1049" s="67"/>
      <c r="L1049" s="55"/>
    </row>
    <row r="1050" spans="1:12" ht="12.75" customHeight="1" thickBot="1" x14ac:dyDescent="0.25">
      <c r="A1050" s="60">
        <f t="shared" si="445"/>
        <v>418</v>
      </c>
      <c r="B1050" s="60">
        <f t="shared" si="446"/>
        <v>192</v>
      </c>
      <c r="C1050" s="60">
        <f t="shared" si="446"/>
        <v>226</v>
      </c>
      <c r="D1050" s="60">
        <f t="shared" si="447"/>
        <v>21</v>
      </c>
      <c r="E1050" s="60">
        <v>12</v>
      </c>
      <c r="F1050" s="60">
        <v>9</v>
      </c>
      <c r="G1050" s="60">
        <f t="shared" si="448"/>
        <v>397</v>
      </c>
      <c r="H1050" s="60">
        <v>180</v>
      </c>
      <c r="I1050" s="60">
        <v>217</v>
      </c>
      <c r="J1050" s="65" t="s">
        <v>221</v>
      </c>
      <c r="K1050" s="66"/>
      <c r="L1050" s="55"/>
    </row>
    <row r="1051" spans="1:12" ht="12.75" customHeight="1" thickBot="1" x14ac:dyDescent="0.25">
      <c r="A1051" s="60">
        <f t="shared" si="445"/>
        <v>0</v>
      </c>
      <c r="B1051" s="60">
        <f t="shared" si="446"/>
        <v>0</v>
      </c>
      <c r="C1051" s="60">
        <f t="shared" si="446"/>
        <v>0</v>
      </c>
      <c r="D1051" s="60">
        <f t="shared" si="447"/>
        <v>0</v>
      </c>
      <c r="E1051" s="60">
        <v>0</v>
      </c>
      <c r="F1051" s="60">
        <v>0</v>
      </c>
      <c r="G1051" s="60">
        <f t="shared" si="448"/>
        <v>0</v>
      </c>
      <c r="H1051" s="60">
        <v>0</v>
      </c>
      <c r="I1051" s="60">
        <v>0</v>
      </c>
      <c r="J1051" s="65" t="s">
        <v>222</v>
      </c>
      <c r="K1051" s="66" t="s">
        <v>152</v>
      </c>
      <c r="L1051" s="55"/>
    </row>
    <row r="1052" spans="1:12" ht="12.75" customHeight="1" thickBot="1" x14ac:dyDescent="0.25">
      <c r="A1052" s="60">
        <f t="shared" ref="A1052:H1052" si="465">SUM(A1050:A1051)</f>
        <v>418</v>
      </c>
      <c r="B1052" s="60">
        <f t="shared" si="465"/>
        <v>192</v>
      </c>
      <c r="C1052" s="60">
        <f t="shared" si="465"/>
        <v>226</v>
      </c>
      <c r="D1052" s="60">
        <f t="shared" si="465"/>
        <v>21</v>
      </c>
      <c r="E1052" s="60">
        <f t="shared" si="465"/>
        <v>12</v>
      </c>
      <c r="F1052" s="60">
        <f t="shared" si="465"/>
        <v>9</v>
      </c>
      <c r="G1052" s="60">
        <f t="shared" si="465"/>
        <v>397</v>
      </c>
      <c r="H1052" s="60">
        <f t="shared" si="465"/>
        <v>180</v>
      </c>
      <c r="I1052" s="60">
        <f>SUM(I1050:I1051)</f>
        <v>217</v>
      </c>
      <c r="J1052" s="65" t="s">
        <v>13</v>
      </c>
      <c r="K1052" s="67"/>
      <c r="L1052" s="55"/>
    </row>
    <row r="1053" spans="1:12" ht="12.75" customHeight="1" thickBot="1" x14ac:dyDescent="0.25">
      <c r="A1053" s="60">
        <f t="shared" si="445"/>
        <v>55</v>
      </c>
      <c r="B1053" s="60">
        <f t="shared" si="446"/>
        <v>0</v>
      </c>
      <c r="C1053" s="60">
        <f t="shared" si="446"/>
        <v>55</v>
      </c>
      <c r="D1053" s="60">
        <f t="shared" si="447"/>
        <v>15</v>
      </c>
      <c r="E1053" s="60">
        <v>0</v>
      </c>
      <c r="F1053" s="60">
        <v>15</v>
      </c>
      <c r="G1053" s="60">
        <f t="shared" si="448"/>
        <v>40</v>
      </c>
      <c r="H1053" s="60">
        <v>0</v>
      </c>
      <c r="I1053" s="60">
        <v>40</v>
      </c>
      <c r="J1053" s="65" t="s">
        <v>221</v>
      </c>
      <c r="K1053" s="66"/>
      <c r="L1053" s="55"/>
    </row>
    <row r="1054" spans="1:12" ht="12.75" customHeight="1" thickBot="1" x14ac:dyDescent="0.25">
      <c r="A1054" s="60">
        <f t="shared" si="445"/>
        <v>0</v>
      </c>
      <c r="B1054" s="60">
        <f t="shared" si="446"/>
        <v>0</v>
      </c>
      <c r="C1054" s="60">
        <f t="shared" si="446"/>
        <v>0</v>
      </c>
      <c r="D1054" s="60">
        <f t="shared" si="447"/>
        <v>0</v>
      </c>
      <c r="E1054" s="60">
        <v>0</v>
      </c>
      <c r="F1054" s="60">
        <v>0</v>
      </c>
      <c r="G1054" s="60">
        <f t="shared" si="448"/>
        <v>0</v>
      </c>
      <c r="H1054" s="60">
        <v>0</v>
      </c>
      <c r="I1054" s="60">
        <v>0</v>
      </c>
      <c r="J1054" s="65" t="s">
        <v>222</v>
      </c>
      <c r="K1054" s="66" t="s">
        <v>153</v>
      </c>
      <c r="L1054" s="55"/>
    </row>
    <row r="1055" spans="1:12" ht="12.75" customHeight="1" thickBot="1" x14ac:dyDescent="0.25">
      <c r="A1055" s="60">
        <f t="shared" ref="A1055:H1055" si="466">SUM(A1053:A1054)</f>
        <v>55</v>
      </c>
      <c r="B1055" s="60">
        <f t="shared" si="466"/>
        <v>0</v>
      </c>
      <c r="C1055" s="60">
        <f t="shared" si="466"/>
        <v>55</v>
      </c>
      <c r="D1055" s="60">
        <f t="shared" si="466"/>
        <v>15</v>
      </c>
      <c r="E1055" s="60">
        <f t="shared" si="466"/>
        <v>0</v>
      </c>
      <c r="F1055" s="60">
        <f t="shared" si="466"/>
        <v>15</v>
      </c>
      <c r="G1055" s="60">
        <f t="shared" si="466"/>
        <v>40</v>
      </c>
      <c r="H1055" s="60">
        <f t="shared" si="466"/>
        <v>0</v>
      </c>
      <c r="I1055" s="60">
        <f>SUM(I1053:I1054)</f>
        <v>40</v>
      </c>
      <c r="J1055" s="65" t="s">
        <v>13</v>
      </c>
      <c r="K1055" s="67"/>
      <c r="L1055" s="55"/>
    </row>
    <row r="1056" spans="1:12" ht="12.75" customHeight="1" thickBot="1" x14ac:dyDescent="0.25">
      <c r="A1056" s="60">
        <f t="shared" si="445"/>
        <v>767</v>
      </c>
      <c r="B1056" s="60">
        <f t="shared" si="446"/>
        <v>426</v>
      </c>
      <c r="C1056" s="60">
        <f t="shared" si="446"/>
        <v>341</v>
      </c>
      <c r="D1056" s="60">
        <f t="shared" si="447"/>
        <v>98</v>
      </c>
      <c r="E1056" s="60">
        <v>63</v>
      </c>
      <c r="F1056" s="60">
        <v>35</v>
      </c>
      <c r="G1056" s="60">
        <f t="shared" si="448"/>
        <v>669</v>
      </c>
      <c r="H1056" s="60">
        <v>363</v>
      </c>
      <c r="I1056" s="60">
        <v>306</v>
      </c>
      <c r="J1056" s="65" t="s">
        <v>221</v>
      </c>
      <c r="K1056" s="66"/>
      <c r="L1056" s="55"/>
    </row>
    <row r="1057" spans="1:12" ht="12.75" customHeight="1" thickBot="1" x14ac:dyDescent="0.25">
      <c r="A1057" s="60">
        <f t="shared" si="445"/>
        <v>0</v>
      </c>
      <c r="B1057" s="60">
        <f t="shared" si="446"/>
        <v>0</v>
      </c>
      <c r="C1057" s="60">
        <f t="shared" si="446"/>
        <v>0</v>
      </c>
      <c r="D1057" s="60">
        <f t="shared" si="447"/>
        <v>0</v>
      </c>
      <c r="E1057" s="60">
        <v>0</v>
      </c>
      <c r="F1057" s="60">
        <v>0</v>
      </c>
      <c r="G1057" s="60">
        <f t="shared" si="448"/>
        <v>0</v>
      </c>
      <c r="H1057" s="60">
        <v>0</v>
      </c>
      <c r="I1057" s="60">
        <v>0</v>
      </c>
      <c r="J1057" s="65" t="s">
        <v>222</v>
      </c>
      <c r="K1057" s="66" t="s">
        <v>154</v>
      </c>
      <c r="L1057" s="55"/>
    </row>
    <row r="1058" spans="1:12" ht="12.75" customHeight="1" thickBot="1" x14ac:dyDescent="0.25">
      <c r="A1058" s="60">
        <f t="shared" ref="A1058:H1058" si="467">SUM(A1056:A1057)</f>
        <v>767</v>
      </c>
      <c r="B1058" s="60">
        <f t="shared" si="467"/>
        <v>426</v>
      </c>
      <c r="C1058" s="60">
        <f t="shared" si="467"/>
        <v>341</v>
      </c>
      <c r="D1058" s="60">
        <f t="shared" si="467"/>
        <v>98</v>
      </c>
      <c r="E1058" s="60">
        <f t="shared" si="467"/>
        <v>63</v>
      </c>
      <c r="F1058" s="60">
        <f t="shared" si="467"/>
        <v>35</v>
      </c>
      <c r="G1058" s="60">
        <f t="shared" si="467"/>
        <v>669</v>
      </c>
      <c r="H1058" s="60">
        <f t="shared" si="467"/>
        <v>363</v>
      </c>
      <c r="I1058" s="60">
        <f>SUM(I1056:I1057)</f>
        <v>306</v>
      </c>
      <c r="J1058" s="65" t="s">
        <v>13</v>
      </c>
      <c r="K1058" s="67"/>
      <c r="L1058" s="55"/>
    </row>
    <row r="1059" spans="1:12" ht="12.75" customHeight="1" thickBot="1" x14ac:dyDescent="0.25">
      <c r="A1059" s="60">
        <f t="shared" si="445"/>
        <v>204</v>
      </c>
      <c r="B1059" s="60">
        <f t="shared" si="446"/>
        <v>204</v>
      </c>
      <c r="C1059" s="60">
        <f t="shared" si="446"/>
        <v>0</v>
      </c>
      <c r="D1059" s="60">
        <f t="shared" si="447"/>
        <v>14</v>
      </c>
      <c r="E1059" s="60">
        <v>14</v>
      </c>
      <c r="F1059" s="60">
        <v>0</v>
      </c>
      <c r="G1059" s="60">
        <f t="shared" si="448"/>
        <v>190</v>
      </c>
      <c r="H1059" s="60">
        <v>190</v>
      </c>
      <c r="I1059" s="60">
        <v>0</v>
      </c>
      <c r="J1059" s="65" t="s">
        <v>221</v>
      </c>
      <c r="K1059" s="66"/>
      <c r="L1059" s="55"/>
    </row>
    <row r="1060" spans="1:12" ht="12.75" customHeight="1" thickBot="1" x14ac:dyDescent="0.25">
      <c r="A1060" s="60">
        <f t="shared" si="445"/>
        <v>0</v>
      </c>
      <c r="B1060" s="60">
        <f t="shared" si="446"/>
        <v>0</v>
      </c>
      <c r="C1060" s="60">
        <f t="shared" si="446"/>
        <v>0</v>
      </c>
      <c r="D1060" s="60">
        <f t="shared" si="447"/>
        <v>0</v>
      </c>
      <c r="E1060" s="60">
        <v>0</v>
      </c>
      <c r="F1060" s="60">
        <v>0</v>
      </c>
      <c r="G1060" s="60">
        <f t="shared" si="448"/>
        <v>0</v>
      </c>
      <c r="H1060" s="60">
        <v>0</v>
      </c>
      <c r="I1060" s="60">
        <v>0</v>
      </c>
      <c r="J1060" s="65" t="s">
        <v>222</v>
      </c>
      <c r="K1060" s="66" t="s">
        <v>155</v>
      </c>
      <c r="L1060" s="55"/>
    </row>
    <row r="1061" spans="1:12" ht="12.75" customHeight="1" thickBot="1" x14ac:dyDescent="0.25">
      <c r="A1061" s="60">
        <f t="shared" ref="A1061" si="468">SUM(A1059:A1060)</f>
        <v>204</v>
      </c>
      <c r="B1061" s="60">
        <f t="shared" ref="B1061:H1061" si="469">SUM(B1059:B1060)</f>
        <v>204</v>
      </c>
      <c r="C1061" s="60">
        <f t="shared" si="469"/>
        <v>0</v>
      </c>
      <c r="D1061" s="60">
        <f t="shared" si="469"/>
        <v>14</v>
      </c>
      <c r="E1061" s="60">
        <f t="shared" si="469"/>
        <v>14</v>
      </c>
      <c r="F1061" s="60">
        <f t="shared" si="469"/>
        <v>0</v>
      </c>
      <c r="G1061" s="60">
        <f t="shared" si="469"/>
        <v>190</v>
      </c>
      <c r="H1061" s="60">
        <f t="shared" si="469"/>
        <v>190</v>
      </c>
      <c r="I1061" s="60">
        <f>SUM(I1059:I1060)</f>
        <v>0</v>
      </c>
      <c r="J1061" s="65" t="s">
        <v>13</v>
      </c>
      <c r="K1061" s="67"/>
      <c r="L1061" s="55"/>
    </row>
    <row r="1062" spans="1:12" ht="12.75" customHeight="1" thickBot="1" x14ac:dyDescent="0.25">
      <c r="A1062" s="60">
        <f t="shared" si="445"/>
        <v>163</v>
      </c>
      <c r="B1062" s="60">
        <f t="shared" si="446"/>
        <v>163</v>
      </c>
      <c r="C1062" s="60">
        <f t="shared" si="446"/>
        <v>0</v>
      </c>
      <c r="D1062" s="60">
        <f t="shared" si="447"/>
        <v>7</v>
      </c>
      <c r="E1062" s="60">
        <v>7</v>
      </c>
      <c r="F1062" s="60">
        <v>0</v>
      </c>
      <c r="G1062" s="60">
        <f t="shared" si="448"/>
        <v>156</v>
      </c>
      <c r="H1062" s="60">
        <v>156</v>
      </c>
      <c r="I1062" s="60">
        <v>0</v>
      </c>
      <c r="J1062" s="65" t="s">
        <v>221</v>
      </c>
      <c r="K1062" s="66"/>
      <c r="L1062" s="55"/>
    </row>
    <row r="1063" spans="1:12" ht="12.75" customHeight="1" thickBot="1" x14ac:dyDescent="0.25">
      <c r="A1063" s="60">
        <f t="shared" si="445"/>
        <v>0</v>
      </c>
      <c r="B1063" s="60">
        <f t="shared" si="446"/>
        <v>0</v>
      </c>
      <c r="C1063" s="60">
        <f t="shared" si="446"/>
        <v>0</v>
      </c>
      <c r="D1063" s="60">
        <f t="shared" si="447"/>
        <v>0</v>
      </c>
      <c r="E1063" s="60">
        <v>0</v>
      </c>
      <c r="F1063" s="60">
        <v>0</v>
      </c>
      <c r="G1063" s="60">
        <f t="shared" si="448"/>
        <v>0</v>
      </c>
      <c r="H1063" s="60">
        <v>0</v>
      </c>
      <c r="I1063" s="60">
        <v>0</v>
      </c>
      <c r="J1063" s="65" t="s">
        <v>222</v>
      </c>
      <c r="K1063" s="66" t="s">
        <v>156</v>
      </c>
      <c r="L1063" s="55"/>
    </row>
    <row r="1064" spans="1:12" ht="12.75" customHeight="1" thickBot="1" x14ac:dyDescent="0.25">
      <c r="A1064" s="60">
        <f t="shared" ref="A1064:H1064" si="470">SUM(A1062:A1063)</f>
        <v>163</v>
      </c>
      <c r="B1064" s="60">
        <f t="shared" si="470"/>
        <v>163</v>
      </c>
      <c r="C1064" s="60">
        <f t="shared" si="470"/>
        <v>0</v>
      </c>
      <c r="D1064" s="60">
        <f t="shared" si="470"/>
        <v>7</v>
      </c>
      <c r="E1064" s="60">
        <f t="shared" si="470"/>
        <v>7</v>
      </c>
      <c r="F1064" s="60">
        <f t="shared" si="470"/>
        <v>0</v>
      </c>
      <c r="G1064" s="60">
        <f t="shared" si="470"/>
        <v>156</v>
      </c>
      <c r="H1064" s="60">
        <f t="shared" si="470"/>
        <v>156</v>
      </c>
      <c r="I1064" s="60">
        <f>SUM(I1062:I1063)</f>
        <v>0</v>
      </c>
      <c r="J1064" s="65" t="s">
        <v>13</v>
      </c>
      <c r="K1064" s="67"/>
      <c r="L1064" s="55"/>
    </row>
    <row r="1065" spans="1:12" ht="12.75" customHeight="1" thickBot="1" x14ac:dyDescent="0.25">
      <c r="A1065" s="60">
        <f t="shared" si="445"/>
        <v>20</v>
      </c>
      <c r="B1065" s="60">
        <f t="shared" si="446"/>
        <v>19</v>
      </c>
      <c r="C1065" s="60">
        <f t="shared" si="446"/>
        <v>1</v>
      </c>
      <c r="D1065" s="60">
        <f t="shared" si="447"/>
        <v>2</v>
      </c>
      <c r="E1065" s="60">
        <v>2</v>
      </c>
      <c r="F1065" s="60">
        <v>0</v>
      </c>
      <c r="G1065" s="60">
        <f t="shared" si="448"/>
        <v>18</v>
      </c>
      <c r="H1065" s="60">
        <v>17</v>
      </c>
      <c r="I1065" s="60">
        <v>1</v>
      </c>
      <c r="J1065" s="65" t="s">
        <v>221</v>
      </c>
      <c r="K1065" s="66"/>
      <c r="L1065" s="55"/>
    </row>
    <row r="1066" spans="1:12" ht="12.75" customHeight="1" thickBot="1" x14ac:dyDescent="0.25">
      <c r="A1066" s="60">
        <f t="shared" si="445"/>
        <v>0</v>
      </c>
      <c r="B1066" s="60">
        <f t="shared" si="446"/>
        <v>0</v>
      </c>
      <c r="C1066" s="60">
        <f t="shared" si="446"/>
        <v>0</v>
      </c>
      <c r="D1066" s="60">
        <f t="shared" si="447"/>
        <v>0</v>
      </c>
      <c r="E1066" s="60">
        <v>0</v>
      </c>
      <c r="F1066" s="60">
        <v>0</v>
      </c>
      <c r="G1066" s="60">
        <f t="shared" si="448"/>
        <v>0</v>
      </c>
      <c r="H1066" s="60">
        <v>0</v>
      </c>
      <c r="I1066" s="60">
        <v>0</v>
      </c>
      <c r="J1066" s="65" t="s">
        <v>222</v>
      </c>
      <c r="K1066" s="66" t="s">
        <v>157</v>
      </c>
      <c r="L1066" s="55"/>
    </row>
    <row r="1067" spans="1:12" ht="12.75" customHeight="1" thickBot="1" x14ac:dyDescent="0.25">
      <c r="A1067" s="60">
        <f t="shared" ref="A1067:H1067" si="471">SUM(A1065:A1066)</f>
        <v>20</v>
      </c>
      <c r="B1067" s="60">
        <f t="shared" si="471"/>
        <v>19</v>
      </c>
      <c r="C1067" s="60">
        <f t="shared" si="471"/>
        <v>1</v>
      </c>
      <c r="D1067" s="60">
        <f t="shared" si="471"/>
        <v>2</v>
      </c>
      <c r="E1067" s="60">
        <f t="shared" si="471"/>
        <v>2</v>
      </c>
      <c r="F1067" s="60">
        <f t="shared" si="471"/>
        <v>0</v>
      </c>
      <c r="G1067" s="60">
        <f t="shared" si="471"/>
        <v>18</v>
      </c>
      <c r="H1067" s="60">
        <f t="shared" si="471"/>
        <v>17</v>
      </c>
      <c r="I1067" s="60">
        <f>SUM(I1065:I1066)</f>
        <v>1</v>
      </c>
      <c r="J1067" s="65" t="s">
        <v>13</v>
      </c>
      <c r="K1067" s="67"/>
      <c r="L1067" s="55"/>
    </row>
    <row r="1068" spans="1:12" ht="12.75" customHeight="1" thickBot="1" x14ac:dyDescent="0.25">
      <c r="A1068" s="60">
        <f t="shared" ref="A1068:I1070" si="472">A1008+A1011+A1014+A1017+A1020+A1023+A1026+A1029+A1032+A1035+A1038+A1041+A1044+A1047+A1050+A1053+A1056+A1059+A1062+A1065</f>
        <v>18905</v>
      </c>
      <c r="B1068" s="60">
        <f t="shared" si="472"/>
        <v>9440</v>
      </c>
      <c r="C1068" s="60">
        <f t="shared" si="472"/>
        <v>9465</v>
      </c>
      <c r="D1068" s="60">
        <f t="shared" si="472"/>
        <v>4696</v>
      </c>
      <c r="E1068" s="60">
        <f t="shared" si="472"/>
        <v>2790</v>
      </c>
      <c r="F1068" s="60">
        <f t="shared" si="472"/>
        <v>1906</v>
      </c>
      <c r="G1068" s="60">
        <f t="shared" si="472"/>
        <v>14209</v>
      </c>
      <c r="H1068" s="60">
        <f t="shared" si="472"/>
        <v>6650</v>
      </c>
      <c r="I1068" s="60">
        <f>I1008+I1011+I1014+I1017+I1020+I1023+I1026+I1029+I1032+I1035+I1038+I1041+I1044+I1047+I1050+I1053+I1056+I1059+I1062+I1065</f>
        <v>7559</v>
      </c>
      <c r="J1068" s="65" t="s">
        <v>224</v>
      </c>
      <c r="K1068" s="57"/>
      <c r="L1068" s="55"/>
    </row>
    <row r="1069" spans="1:12" ht="12.75" customHeight="1" thickBot="1" x14ac:dyDescent="0.25">
      <c r="A1069" s="60">
        <f t="shared" si="472"/>
        <v>0</v>
      </c>
      <c r="B1069" s="60">
        <f t="shared" si="472"/>
        <v>0</v>
      </c>
      <c r="C1069" s="60">
        <f t="shared" si="472"/>
        <v>0</v>
      </c>
      <c r="D1069" s="60">
        <f t="shared" si="472"/>
        <v>0</v>
      </c>
      <c r="E1069" s="60">
        <f t="shared" si="472"/>
        <v>0</v>
      </c>
      <c r="F1069" s="60">
        <f t="shared" si="472"/>
        <v>0</v>
      </c>
      <c r="G1069" s="60">
        <f t="shared" si="472"/>
        <v>0</v>
      </c>
      <c r="H1069" s="60">
        <f t="shared" si="472"/>
        <v>0</v>
      </c>
      <c r="I1069" s="60">
        <f t="shared" si="472"/>
        <v>0</v>
      </c>
      <c r="J1069" s="65" t="s">
        <v>225</v>
      </c>
      <c r="K1069" s="68" t="s">
        <v>211</v>
      </c>
      <c r="L1069" s="55"/>
    </row>
    <row r="1070" spans="1:12" ht="12.75" customHeight="1" thickBot="1" x14ac:dyDescent="0.25">
      <c r="A1070" s="60">
        <f t="shared" si="472"/>
        <v>18905</v>
      </c>
      <c r="B1070" s="60">
        <f t="shared" si="472"/>
        <v>9440</v>
      </c>
      <c r="C1070" s="60">
        <f t="shared" si="472"/>
        <v>9465</v>
      </c>
      <c r="D1070" s="60">
        <f t="shared" si="472"/>
        <v>4696</v>
      </c>
      <c r="E1070" s="60">
        <f t="shared" si="472"/>
        <v>2790</v>
      </c>
      <c r="F1070" s="60">
        <f t="shared" si="472"/>
        <v>1906</v>
      </c>
      <c r="G1070" s="60">
        <f t="shared" si="472"/>
        <v>14209</v>
      </c>
      <c r="H1070" s="60">
        <f t="shared" si="472"/>
        <v>6650</v>
      </c>
      <c r="I1070" s="60">
        <f t="shared" si="472"/>
        <v>7559</v>
      </c>
      <c r="J1070" s="65" t="s">
        <v>13</v>
      </c>
      <c r="K1070" s="59"/>
      <c r="L1070" s="55"/>
    </row>
  </sheetData>
  <mergeCells count="167">
    <mergeCell ref="J4:K4"/>
    <mergeCell ref="A56:K56"/>
    <mergeCell ref="A57:K57"/>
    <mergeCell ref="A58:C58"/>
    <mergeCell ref="D58:F58"/>
    <mergeCell ref="G58:I58"/>
    <mergeCell ref="J58:K58"/>
    <mergeCell ref="A1:K1"/>
    <mergeCell ref="A2:K2"/>
    <mergeCell ref="A3:C3"/>
    <mergeCell ref="D3:F3"/>
    <mergeCell ref="G3:I3"/>
    <mergeCell ref="J3:K3"/>
    <mergeCell ref="J81:K81"/>
    <mergeCell ref="A115:K115"/>
    <mergeCell ref="A116:K116"/>
    <mergeCell ref="A117:C117"/>
    <mergeCell ref="D117:F117"/>
    <mergeCell ref="G117:I117"/>
    <mergeCell ref="J117:K117"/>
    <mergeCell ref="J59:K59"/>
    <mergeCell ref="A78:K78"/>
    <mergeCell ref="A79:K79"/>
    <mergeCell ref="A80:C80"/>
    <mergeCell ref="D80:F80"/>
    <mergeCell ref="G80:I80"/>
    <mergeCell ref="J80:K80"/>
    <mergeCell ref="J197:K197"/>
    <mergeCell ref="A264:K264"/>
    <mergeCell ref="A265:K265"/>
    <mergeCell ref="A266:C266"/>
    <mergeCell ref="D266:F266"/>
    <mergeCell ref="G266:I266"/>
    <mergeCell ref="J266:K266"/>
    <mergeCell ref="J118:K118"/>
    <mergeCell ref="A194:K194"/>
    <mergeCell ref="A195:K195"/>
    <mergeCell ref="A196:C196"/>
    <mergeCell ref="D196:F196"/>
    <mergeCell ref="G196:I196"/>
    <mergeCell ref="J196:K196"/>
    <mergeCell ref="J295:K295"/>
    <mergeCell ref="A371:K371"/>
    <mergeCell ref="A372:C372"/>
    <mergeCell ref="D372:F372"/>
    <mergeCell ref="G372:I372"/>
    <mergeCell ref="J372:K372"/>
    <mergeCell ref="J267:K267"/>
    <mergeCell ref="A292:K292"/>
    <mergeCell ref="A293:K293"/>
    <mergeCell ref="A294:C294"/>
    <mergeCell ref="D294:F294"/>
    <mergeCell ref="G294:I294"/>
    <mergeCell ref="J294:K294"/>
    <mergeCell ref="J470:K470"/>
    <mergeCell ref="A549:K549"/>
    <mergeCell ref="A550:K550"/>
    <mergeCell ref="A551:C551"/>
    <mergeCell ref="D551:F551"/>
    <mergeCell ref="G551:I551"/>
    <mergeCell ref="J551:K551"/>
    <mergeCell ref="J373:K373"/>
    <mergeCell ref="A467:K467"/>
    <mergeCell ref="A468:K468"/>
    <mergeCell ref="A469:C469"/>
    <mergeCell ref="D469:F469"/>
    <mergeCell ref="G469:I469"/>
    <mergeCell ref="J469:K469"/>
    <mergeCell ref="J631:K631"/>
    <mergeCell ref="A683:K683"/>
    <mergeCell ref="A684:K684"/>
    <mergeCell ref="A685:C685"/>
    <mergeCell ref="D685:F685"/>
    <mergeCell ref="G685:I685"/>
    <mergeCell ref="J685:K685"/>
    <mergeCell ref="J552:K552"/>
    <mergeCell ref="A628:K628"/>
    <mergeCell ref="A629:K629"/>
    <mergeCell ref="A630:C630"/>
    <mergeCell ref="D630:F630"/>
    <mergeCell ref="G630:I630"/>
    <mergeCell ref="J630:K630"/>
    <mergeCell ref="J702:K702"/>
    <mergeCell ref="A739:K739"/>
    <mergeCell ref="A740:K740"/>
    <mergeCell ref="A741:C741"/>
    <mergeCell ref="D741:F741"/>
    <mergeCell ref="G741:I741"/>
    <mergeCell ref="J741:K741"/>
    <mergeCell ref="J686:K686"/>
    <mergeCell ref="A699:K699"/>
    <mergeCell ref="A700:K700"/>
    <mergeCell ref="A701:C701"/>
    <mergeCell ref="D701:F701"/>
    <mergeCell ref="G701:I701"/>
    <mergeCell ref="J701:K701"/>
    <mergeCell ref="J767:K767"/>
    <mergeCell ref="A798:K798"/>
    <mergeCell ref="A799:K799"/>
    <mergeCell ref="A800:C800"/>
    <mergeCell ref="D800:F800"/>
    <mergeCell ref="G800:I800"/>
    <mergeCell ref="J800:K800"/>
    <mergeCell ref="J742:K742"/>
    <mergeCell ref="A764:K764"/>
    <mergeCell ref="A765:K765"/>
    <mergeCell ref="A766:C766"/>
    <mergeCell ref="D766:F766"/>
    <mergeCell ref="G766:I766"/>
    <mergeCell ref="J766:K766"/>
    <mergeCell ref="J829:K829"/>
    <mergeCell ref="A857:K857"/>
    <mergeCell ref="A858:K858"/>
    <mergeCell ref="A859:C859"/>
    <mergeCell ref="D859:F859"/>
    <mergeCell ref="G859:I859"/>
    <mergeCell ref="J859:K859"/>
    <mergeCell ref="J801:K801"/>
    <mergeCell ref="A826:K826"/>
    <mergeCell ref="A827:K827"/>
    <mergeCell ref="A828:C828"/>
    <mergeCell ref="D828:F828"/>
    <mergeCell ref="G828:I828"/>
    <mergeCell ref="J828:K828"/>
    <mergeCell ref="J876:K876"/>
    <mergeCell ref="A946:K946"/>
    <mergeCell ref="A947:K947"/>
    <mergeCell ref="A948:C948"/>
    <mergeCell ref="D948:F948"/>
    <mergeCell ref="G948:I948"/>
    <mergeCell ref="J948:K948"/>
    <mergeCell ref="J860:K860"/>
    <mergeCell ref="A873:K873"/>
    <mergeCell ref="A874:K874"/>
    <mergeCell ref="A875:C875"/>
    <mergeCell ref="D875:F875"/>
    <mergeCell ref="G875:I875"/>
    <mergeCell ref="J875:K875"/>
    <mergeCell ref="J968:K968"/>
    <mergeCell ref="A975:K975"/>
    <mergeCell ref="A976:K976"/>
    <mergeCell ref="A977:C977"/>
    <mergeCell ref="D977:F977"/>
    <mergeCell ref="G977:I977"/>
    <mergeCell ref="J977:K977"/>
    <mergeCell ref="J949:K949"/>
    <mergeCell ref="A965:K965"/>
    <mergeCell ref="A966:K966"/>
    <mergeCell ref="A967:C967"/>
    <mergeCell ref="D967:F967"/>
    <mergeCell ref="G967:I967"/>
    <mergeCell ref="J967:K967"/>
    <mergeCell ref="J1007:K1007"/>
    <mergeCell ref="J988:K988"/>
    <mergeCell ref="A1004:K1004"/>
    <mergeCell ref="A1005:K1005"/>
    <mergeCell ref="A1006:C1006"/>
    <mergeCell ref="D1006:F1006"/>
    <mergeCell ref="G1006:I1006"/>
    <mergeCell ref="J1006:K1006"/>
    <mergeCell ref="J978:K978"/>
    <mergeCell ref="A985:K985"/>
    <mergeCell ref="A986:K986"/>
    <mergeCell ref="A987:C987"/>
    <mergeCell ref="D987:F987"/>
    <mergeCell ref="G987:I987"/>
    <mergeCell ref="J987:K987"/>
  </mergeCells>
  <pageMargins left="0.4" right="0.4" top="0.25" bottom="0.25" header="0.25" footer="0.25"/>
  <pageSetup paperSize="9" scale="76" orientation="landscape" r:id="rId1"/>
  <headerFooter alignWithMargins="0"/>
  <rowBreaks count="15" manualBreakCount="15">
    <brk id="572" max="14" man="1"/>
    <brk id="627" max="16383" man="1"/>
    <brk id="682" max="14" man="1"/>
    <brk id="698" max="16383" man="1"/>
    <brk id="738" max="16383" man="1"/>
    <brk id="763" max="16383" man="1"/>
    <brk id="797" max="16383" man="1"/>
    <brk id="825" max="16383" man="1"/>
    <brk id="856" max="16383" man="1"/>
    <brk id="872" max="16383" man="1"/>
    <brk id="927" max="16383" man="1"/>
    <brk id="945" max="16383" man="1"/>
    <brk id="974" max="16383" man="1"/>
    <brk id="1003" max="16383" man="1"/>
    <brk id="1046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89"/>
  <sheetViews>
    <sheetView showGridLines="0" zoomScaleNormal="100" workbookViewId="0">
      <selection activeCell="M6" sqref="M6"/>
    </sheetView>
  </sheetViews>
  <sheetFormatPr defaultRowHeight="12.75" customHeight="1" x14ac:dyDescent="0.2"/>
  <cols>
    <col min="1" max="9" width="5.75" style="56" customWidth="1"/>
    <col min="10" max="10" width="34.375" style="56" bestFit="1" customWidth="1"/>
    <col min="11" max="11" width="4.125" style="82" customWidth="1"/>
    <col min="12" max="246" width="9" style="56"/>
    <col min="247" max="255" width="5.75" style="56" customWidth="1"/>
    <col min="256" max="256" width="34.375" style="56" bestFit="1" customWidth="1"/>
    <col min="257" max="257" width="4.125" style="56" customWidth="1"/>
    <col min="258" max="258" width="7" style="56" bestFit="1" customWidth="1"/>
    <col min="259" max="260" width="6" style="56" bestFit="1" customWidth="1"/>
    <col min="261" max="502" width="9" style="56"/>
    <col min="503" max="511" width="5.75" style="56" customWidth="1"/>
    <col min="512" max="512" width="34.375" style="56" bestFit="1" customWidth="1"/>
    <col min="513" max="513" width="4.125" style="56" customWidth="1"/>
    <col min="514" max="514" width="7" style="56" bestFit="1" customWidth="1"/>
    <col min="515" max="516" width="6" style="56" bestFit="1" customWidth="1"/>
    <col min="517" max="758" width="9" style="56"/>
    <col min="759" max="767" width="5.75" style="56" customWidth="1"/>
    <col min="768" max="768" width="34.375" style="56" bestFit="1" customWidth="1"/>
    <col min="769" max="769" width="4.125" style="56" customWidth="1"/>
    <col min="770" max="770" width="7" style="56" bestFit="1" customWidth="1"/>
    <col min="771" max="772" width="6" style="56" bestFit="1" customWidth="1"/>
    <col min="773" max="1014" width="9" style="56"/>
    <col min="1015" max="1023" width="5.75" style="56" customWidth="1"/>
    <col min="1024" max="1024" width="34.375" style="56" bestFit="1" customWidth="1"/>
    <col min="1025" max="1025" width="4.125" style="56" customWidth="1"/>
    <col min="1026" max="1026" width="7" style="56" bestFit="1" customWidth="1"/>
    <col min="1027" max="1028" width="6" style="56" bestFit="1" customWidth="1"/>
    <col min="1029" max="1270" width="9" style="56"/>
    <col min="1271" max="1279" width="5.75" style="56" customWidth="1"/>
    <col min="1280" max="1280" width="34.375" style="56" bestFit="1" customWidth="1"/>
    <col min="1281" max="1281" width="4.125" style="56" customWidth="1"/>
    <col min="1282" max="1282" width="7" style="56" bestFit="1" customWidth="1"/>
    <col min="1283" max="1284" width="6" style="56" bestFit="1" customWidth="1"/>
    <col min="1285" max="1526" width="9" style="56"/>
    <col min="1527" max="1535" width="5.75" style="56" customWidth="1"/>
    <col min="1536" max="1536" width="34.375" style="56" bestFit="1" customWidth="1"/>
    <col min="1537" max="1537" width="4.125" style="56" customWidth="1"/>
    <col min="1538" max="1538" width="7" style="56" bestFit="1" customWidth="1"/>
    <col min="1539" max="1540" width="6" style="56" bestFit="1" customWidth="1"/>
    <col min="1541" max="1782" width="9" style="56"/>
    <col min="1783" max="1791" width="5.75" style="56" customWidth="1"/>
    <col min="1792" max="1792" width="34.375" style="56" bestFit="1" customWidth="1"/>
    <col min="1793" max="1793" width="4.125" style="56" customWidth="1"/>
    <col min="1794" max="1794" width="7" style="56" bestFit="1" customWidth="1"/>
    <col min="1795" max="1796" width="6" style="56" bestFit="1" customWidth="1"/>
    <col min="1797" max="2038" width="9" style="56"/>
    <col min="2039" max="2047" width="5.75" style="56" customWidth="1"/>
    <col min="2048" max="2048" width="34.375" style="56" bestFit="1" customWidth="1"/>
    <col min="2049" max="2049" width="4.125" style="56" customWidth="1"/>
    <col min="2050" max="2050" width="7" style="56" bestFit="1" customWidth="1"/>
    <col min="2051" max="2052" width="6" style="56" bestFit="1" customWidth="1"/>
    <col min="2053" max="2294" width="9" style="56"/>
    <col min="2295" max="2303" width="5.75" style="56" customWidth="1"/>
    <col min="2304" max="2304" width="34.375" style="56" bestFit="1" customWidth="1"/>
    <col min="2305" max="2305" width="4.125" style="56" customWidth="1"/>
    <col min="2306" max="2306" width="7" style="56" bestFit="1" customWidth="1"/>
    <col min="2307" max="2308" width="6" style="56" bestFit="1" customWidth="1"/>
    <col min="2309" max="2550" width="9" style="56"/>
    <col min="2551" max="2559" width="5.75" style="56" customWidth="1"/>
    <col min="2560" max="2560" width="34.375" style="56" bestFit="1" customWidth="1"/>
    <col min="2561" max="2561" width="4.125" style="56" customWidth="1"/>
    <col min="2562" max="2562" width="7" style="56" bestFit="1" customWidth="1"/>
    <col min="2563" max="2564" width="6" style="56" bestFit="1" customWidth="1"/>
    <col min="2565" max="2806" width="9" style="56"/>
    <col min="2807" max="2815" width="5.75" style="56" customWidth="1"/>
    <col min="2816" max="2816" width="34.375" style="56" bestFit="1" customWidth="1"/>
    <col min="2817" max="2817" width="4.125" style="56" customWidth="1"/>
    <col min="2818" max="2818" width="7" style="56" bestFit="1" customWidth="1"/>
    <col min="2819" max="2820" width="6" style="56" bestFit="1" customWidth="1"/>
    <col min="2821" max="3062" width="9" style="56"/>
    <col min="3063" max="3071" width="5.75" style="56" customWidth="1"/>
    <col min="3072" max="3072" width="34.375" style="56" bestFit="1" customWidth="1"/>
    <col min="3073" max="3073" width="4.125" style="56" customWidth="1"/>
    <col min="3074" max="3074" width="7" style="56" bestFit="1" customWidth="1"/>
    <col min="3075" max="3076" width="6" style="56" bestFit="1" customWidth="1"/>
    <col min="3077" max="3318" width="9" style="56"/>
    <col min="3319" max="3327" width="5.75" style="56" customWidth="1"/>
    <col min="3328" max="3328" width="34.375" style="56" bestFit="1" customWidth="1"/>
    <col min="3329" max="3329" width="4.125" style="56" customWidth="1"/>
    <col min="3330" max="3330" width="7" style="56" bestFit="1" customWidth="1"/>
    <col min="3331" max="3332" width="6" style="56" bestFit="1" customWidth="1"/>
    <col min="3333" max="3574" width="9" style="56"/>
    <col min="3575" max="3583" width="5.75" style="56" customWidth="1"/>
    <col min="3584" max="3584" width="34.375" style="56" bestFit="1" customWidth="1"/>
    <col min="3585" max="3585" width="4.125" style="56" customWidth="1"/>
    <col min="3586" max="3586" width="7" style="56" bestFit="1" customWidth="1"/>
    <col min="3587" max="3588" width="6" style="56" bestFit="1" customWidth="1"/>
    <col min="3589" max="3830" width="9" style="56"/>
    <col min="3831" max="3839" width="5.75" style="56" customWidth="1"/>
    <col min="3840" max="3840" width="34.375" style="56" bestFit="1" customWidth="1"/>
    <col min="3841" max="3841" width="4.125" style="56" customWidth="1"/>
    <col min="3842" max="3842" width="7" style="56" bestFit="1" customWidth="1"/>
    <col min="3843" max="3844" width="6" style="56" bestFit="1" customWidth="1"/>
    <col min="3845" max="4086" width="9" style="56"/>
    <col min="4087" max="4095" width="5.75" style="56" customWidth="1"/>
    <col min="4096" max="4096" width="34.375" style="56" bestFit="1" customWidth="1"/>
    <col min="4097" max="4097" width="4.125" style="56" customWidth="1"/>
    <col min="4098" max="4098" width="7" style="56" bestFit="1" customWidth="1"/>
    <col min="4099" max="4100" width="6" style="56" bestFit="1" customWidth="1"/>
    <col min="4101" max="4342" width="9" style="56"/>
    <col min="4343" max="4351" width="5.75" style="56" customWidth="1"/>
    <col min="4352" max="4352" width="34.375" style="56" bestFit="1" customWidth="1"/>
    <col min="4353" max="4353" width="4.125" style="56" customWidth="1"/>
    <col min="4354" max="4354" width="7" style="56" bestFit="1" customWidth="1"/>
    <col min="4355" max="4356" width="6" style="56" bestFit="1" customWidth="1"/>
    <col min="4357" max="4598" width="9" style="56"/>
    <col min="4599" max="4607" width="5.75" style="56" customWidth="1"/>
    <col min="4608" max="4608" width="34.375" style="56" bestFit="1" customWidth="1"/>
    <col min="4609" max="4609" width="4.125" style="56" customWidth="1"/>
    <col min="4610" max="4610" width="7" style="56" bestFit="1" customWidth="1"/>
    <col min="4611" max="4612" width="6" style="56" bestFit="1" customWidth="1"/>
    <col min="4613" max="4854" width="9" style="56"/>
    <col min="4855" max="4863" width="5.75" style="56" customWidth="1"/>
    <col min="4864" max="4864" width="34.375" style="56" bestFit="1" customWidth="1"/>
    <col min="4865" max="4865" width="4.125" style="56" customWidth="1"/>
    <col min="4866" max="4866" width="7" style="56" bestFit="1" customWidth="1"/>
    <col min="4867" max="4868" width="6" style="56" bestFit="1" customWidth="1"/>
    <col min="4869" max="5110" width="9" style="56"/>
    <col min="5111" max="5119" width="5.75" style="56" customWidth="1"/>
    <col min="5120" max="5120" width="34.375" style="56" bestFit="1" customWidth="1"/>
    <col min="5121" max="5121" width="4.125" style="56" customWidth="1"/>
    <col min="5122" max="5122" width="7" style="56" bestFit="1" customWidth="1"/>
    <col min="5123" max="5124" width="6" style="56" bestFit="1" customWidth="1"/>
    <col min="5125" max="5366" width="9" style="56"/>
    <col min="5367" max="5375" width="5.75" style="56" customWidth="1"/>
    <col min="5376" max="5376" width="34.375" style="56" bestFit="1" customWidth="1"/>
    <col min="5377" max="5377" width="4.125" style="56" customWidth="1"/>
    <col min="5378" max="5378" width="7" style="56" bestFit="1" customWidth="1"/>
    <col min="5379" max="5380" width="6" style="56" bestFit="1" customWidth="1"/>
    <col min="5381" max="5622" width="9" style="56"/>
    <col min="5623" max="5631" width="5.75" style="56" customWidth="1"/>
    <col min="5632" max="5632" width="34.375" style="56" bestFit="1" customWidth="1"/>
    <col min="5633" max="5633" width="4.125" style="56" customWidth="1"/>
    <col min="5634" max="5634" width="7" style="56" bestFit="1" customWidth="1"/>
    <col min="5635" max="5636" width="6" style="56" bestFit="1" customWidth="1"/>
    <col min="5637" max="5878" width="9" style="56"/>
    <col min="5879" max="5887" width="5.75" style="56" customWidth="1"/>
    <col min="5888" max="5888" width="34.375" style="56" bestFit="1" customWidth="1"/>
    <col min="5889" max="5889" width="4.125" style="56" customWidth="1"/>
    <col min="5890" max="5890" width="7" style="56" bestFit="1" customWidth="1"/>
    <col min="5891" max="5892" width="6" style="56" bestFit="1" customWidth="1"/>
    <col min="5893" max="6134" width="9" style="56"/>
    <col min="6135" max="6143" width="5.75" style="56" customWidth="1"/>
    <col min="6144" max="6144" width="34.375" style="56" bestFit="1" customWidth="1"/>
    <col min="6145" max="6145" width="4.125" style="56" customWidth="1"/>
    <col min="6146" max="6146" width="7" style="56" bestFit="1" customWidth="1"/>
    <col min="6147" max="6148" width="6" style="56" bestFit="1" customWidth="1"/>
    <col min="6149" max="6390" width="9" style="56"/>
    <col min="6391" max="6399" width="5.75" style="56" customWidth="1"/>
    <col min="6400" max="6400" width="34.375" style="56" bestFit="1" customWidth="1"/>
    <col min="6401" max="6401" width="4.125" style="56" customWidth="1"/>
    <col min="6402" max="6402" width="7" style="56" bestFit="1" customWidth="1"/>
    <col min="6403" max="6404" width="6" style="56" bestFit="1" customWidth="1"/>
    <col min="6405" max="6646" width="9" style="56"/>
    <col min="6647" max="6655" width="5.75" style="56" customWidth="1"/>
    <col min="6656" max="6656" width="34.375" style="56" bestFit="1" customWidth="1"/>
    <col min="6657" max="6657" width="4.125" style="56" customWidth="1"/>
    <col min="6658" max="6658" width="7" style="56" bestFit="1" customWidth="1"/>
    <col min="6659" max="6660" width="6" style="56" bestFit="1" customWidth="1"/>
    <col min="6661" max="6902" width="9" style="56"/>
    <col min="6903" max="6911" width="5.75" style="56" customWidth="1"/>
    <col min="6912" max="6912" width="34.375" style="56" bestFit="1" customWidth="1"/>
    <col min="6913" max="6913" width="4.125" style="56" customWidth="1"/>
    <col min="6914" max="6914" width="7" style="56" bestFit="1" customWidth="1"/>
    <col min="6915" max="6916" width="6" style="56" bestFit="1" customWidth="1"/>
    <col min="6917" max="7158" width="9" style="56"/>
    <col min="7159" max="7167" width="5.75" style="56" customWidth="1"/>
    <col min="7168" max="7168" width="34.375" style="56" bestFit="1" customWidth="1"/>
    <col min="7169" max="7169" width="4.125" style="56" customWidth="1"/>
    <col min="7170" max="7170" width="7" style="56" bestFit="1" customWidth="1"/>
    <col min="7171" max="7172" width="6" style="56" bestFit="1" customWidth="1"/>
    <col min="7173" max="7414" width="9" style="56"/>
    <col min="7415" max="7423" width="5.75" style="56" customWidth="1"/>
    <col min="7424" max="7424" width="34.375" style="56" bestFit="1" customWidth="1"/>
    <col min="7425" max="7425" width="4.125" style="56" customWidth="1"/>
    <col min="7426" max="7426" width="7" style="56" bestFit="1" customWidth="1"/>
    <col min="7427" max="7428" width="6" style="56" bestFit="1" customWidth="1"/>
    <col min="7429" max="7670" width="9" style="56"/>
    <col min="7671" max="7679" width="5.75" style="56" customWidth="1"/>
    <col min="7680" max="7680" width="34.375" style="56" bestFit="1" customWidth="1"/>
    <col min="7681" max="7681" width="4.125" style="56" customWidth="1"/>
    <col min="7682" max="7682" width="7" style="56" bestFit="1" customWidth="1"/>
    <col min="7683" max="7684" width="6" style="56" bestFit="1" customWidth="1"/>
    <col min="7685" max="7926" width="9" style="56"/>
    <col min="7927" max="7935" width="5.75" style="56" customWidth="1"/>
    <col min="7936" max="7936" width="34.375" style="56" bestFit="1" customWidth="1"/>
    <col min="7937" max="7937" width="4.125" style="56" customWidth="1"/>
    <col min="7938" max="7938" width="7" style="56" bestFit="1" customWidth="1"/>
    <col min="7939" max="7940" width="6" style="56" bestFit="1" customWidth="1"/>
    <col min="7941" max="8182" width="9" style="56"/>
    <col min="8183" max="8191" width="5.75" style="56" customWidth="1"/>
    <col min="8192" max="8192" width="34.375" style="56" bestFit="1" customWidth="1"/>
    <col min="8193" max="8193" width="4.125" style="56" customWidth="1"/>
    <col min="8194" max="8194" width="7" style="56" bestFit="1" customWidth="1"/>
    <col min="8195" max="8196" width="6" style="56" bestFit="1" customWidth="1"/>
    <col min="8197" max="8438" width="9" style="56"/>
    <col min="8439" max="8447" width="5.75" style="56" customWidth="1"/>
    <col min="8448" max="8448" width="34.375" style="56" bestFit="1" customWidth="1"/>
    <col min="8449" max="8449" width="4.125" style="56" customWidth="1"/>
    <col min="8450" max="8450" width="7" style="56" bestFit="1" customWidth="1"/>
    <col min="8451" max="8452" width="6" style="56" bestFit="1" customWidth="1"/>
    <col min="8453" max="8694" width="9" style="56"/>
    <col min="8695" max="8703" width="5.75" style="56" customWidth="1"/>
    <col min="8704" max="8704" width="34.375" style="56" bestFit="1" customWidth="1"/>
    <col min="8705" max="8705" width="4.125" style="56" customWidth="1"/>
    <col min="8706" max="8706" width="7" style="56" bestFit="1" customWidth="1"/>
    <col min="8707" max="8708" width="6" style="56" bestFit="1" customWidth="1"/>
    <col min="8709" max="8950" width="9" style="56"/>
    <col min="8951" max="8959" width="5.75" style="56" customWidth="1"/>
    <col min="8960" max="8960" width="34.375" style="56" bestFit="1" customWidth="1"/>
    <col min="8961" max="8961" width="4.125" style="56" customWidth="1"/>
    <col min="8962" max="8962" width="7" style="56" bestFit="1" customWidth="1"/>
    <col min="8963" max="8964" width="6" style="56" bestFit="1" customWidth="1"/>
    <col min="8965" max="9206" width="9" style="56"/>
    <col min="9207" max="9215" width="5.75" style="56" customWidth="1"/>
    <col min="9216" max="9216" width="34.375" style="56" bestFit="1" customWidth="1"/>
    <col min="9217" max="9217" width="4.125" style="56" customWidth="1"/>
    <col min="9218" max="9218" width="7" style="56" bestFit="1" customWidth="1"/>
    <col min="9219" max="9220" width="6" style="56" bestFit="1" customWidth="1"/>
    <col min="9221" max="9462" width="9" style="56"/>
    <col min="9463" max="9471" width="5.75" style="56" customWidth="1"/>
    <col min="9472" max="9472" width="34.375" style="56" bestFit="1" customWidth="1"/>
    <col min="9473" max="9473" width="4.125" style="56" customWidth="1"/>
    <col min="9474" max="9474" width="7" style="56" bestFit="1" customWidth="1"/>
    <col min="9475" max="9476" width="6" style="56" bestFit="1" customWidth="1"/>
    <col min="9477" max="9718" width="9" style="56"/>
    <col min="9719" max="9727" width="5.75" style="56" customWidth="1"/>
    <col min="9728" max="9728" width="34.375" style="56" bestFit="1" customWidth="1"/>
    <col min="9729" max="9729" width="4.125" style="56" customWidth="1"/>
    <col min="9730" max="9730" width="7" style="56" bestFit="1" customWidth="1"/>
    <col min="9731" max="9732" width="6" style="56" bestFit="1" customWidth="1"/>
    <col min="9733" max="9974" width="9" style="56"/>
    <col min="9975" max="9983" width="5.75" style="56" customWidth="1"/>
    <col min="9984" max="9984" width="34.375" style="56" bestFit="1" customWidth="1"/>
    <col min="9985" max="9985" width="4.125" style="56" customWidth="1"/>
    <col min="9986" max="9986" width="7" style="56" bestFit="1" customWidth="1"/>
    <col min="9987" max="9988" width="6" style="56" bestFit="1" customWidth="1"/>
    <col min="9989" max="10230" width="9" style="56"/>
    <col min="10231" max="10239" width="5.75" style="56" customWidth="1"/>
    <col min="10240" max="10240" width="34.375" style="56" bestFit="1" customWidth="1"/>
    <col min="10241" max="10241" width="4.125" style="56" customWidth="1"/>
    <col min="10242" max="10242" width="7" style="56" bestFit="1" customWidth="1"/>
    <col min="10243" max="10244" width="6" style="56" bestFit="1" customWidth="1"/>
    <col min="10245" max="10486" width="9" style="56"/>
    <col min="10487" max="10495" width="5.75" style="56" customWidth="1"/>
    <col min="10496" max="10496" width="34.375" style="56" bestFit="1" customWidth="1"/>
    <col min="10497" max="10497" width="4.125" style="56" customWidth="1"/>
    <col min="10498" max="10498" width="7" style="56" bestFit="1" customWidth="1"/>
    <col min="10499" max="10500" width="6" style="56" bestFit="1" customWidth="1"/>
    <col min="10501" max="10742" width="9" style="56"/>
    <col min="10743" max="10751" width="5.75" style="56" customWidth="1"/>
    <col min="10752" max="10752" width="34.375" style="56" bestFit="1" customWidth="1"/>
    <col min="10753" max="10753" width="4.125" style="56" customWidth="1"/>
    <col min="10754" max="10754" width="7" style="56" bestFit="1" customWidth="1"/>
    <col min="10755" max="10756" width="6" style="56" bestFit="1" customWidth="1"/>
    <col min="10757" max="10998" width="9" style="56"/>
    <col min="10999" max="11007" width="5.75" style="56" customWidth="1"/>
    <col min="11008" max="11008" width="34.375" style="56" bestFit="1" customWidth="1"/>
    <col min="11009" max="11009" width="4.125" style="56" customWidth="1"/>
    <col min="11010" max="11010" width="7" style="56" bestFit="1" customWidth="1"/>
    <col min="11011" max="11012" width="6" style="56" bestFit="1" customWidth="1"/>
    <col min="11013" max="11254" width="9" style="56"/>
    <col min="11255" max="11263" width="5.75" style="56" customWidth="1"/>
    <col min="11264" max="11264" width="34.375" style="56" bestFit="1" customWidth="1"/>
    <col min="11265" max="11265" width="4.125" style="56" customWidth="1"/>
    <col min="11266" max="11266" width="7" style="56" bestFit="1" customWidth="1"/>
    <col min="11267" max="11268" width="6" style="56" bestFit="1" customWidth="1"/>
    <col min="11269" max="11510" width="9" style="56"/>
    <col min="11511" max="11519" width="5.75" style="56" customWidth="1"/>
    <col min="11520" max="11520" width="34.375" style="56" bestFit="1" customWidth="1"/>
    <col min="11521" max="11521" width="4.125" style="56" customWidth="1"/>
    <col min="11522" max="11522" width="7" style="56" bestFit="1" customWidth="1"/>
    <col min="11523" max="11524" width="6" style="56" bestFit="1" customWidth="1"/>
    <col min="11525" max="11766" width="9" style="56"/>
    <col min="11767" max="11775" width="5.75" style="56" customWidth="1"/>
    <col min="11776" max="11776" width="34.375" style="56" bestFit="1" customWidth="1"/>
    <col min="11777" max="11777" width="4.125" style="56" customWidth="1"/>
    <col min="11778" max="11778" width="7" style="56" bestFit="1" customWidth="1"/>
    <col min="11779" max="11780" width="6" style="56" bestFit="1" customWidth="1"/>
    <col min="11781" max="12022" width="9" style="56"/>
    <col min="12023" max="12031" width="5.75" style="56" customWidth="1"/>
    <col min="12032" max="12032" width="34.375" style="56" bestFit="1" customWidth="1"/>
    <col min="12033" max="12033" width="4.125" style="56" customWidth="1"/>
    <col min="12034" max="12034" width="7" style="56" bestFit="1" customWidth="1"/>
    <col min="12035" max="12036" width="6" style="56" bestFit="1" customWidth="1"/>
    <col min="12037" max="12278" width="9" style="56"/>
    <col min="12279" max="12287" width="5.75" style="56" customWidth="1"/>
    <col min="12288" max="12288" width="34.375" style="56" bestFit="1" customWidth="1"/>
    <col min="12289" max="12289" width="4.125" style="56" customWidth="1"/>
    <col min="12290" max="12290" width="7" style="56" bestFit="1" customWidth="1"/>
    <col min="12291" max="12292" width="6" style="56" bestFit="1" customWidth="1"/>
    <col min="12293" max="12534" width="9" style="56"/>
    <col min="12535" max="12543" width="5.75" style="56" customWidth="1"/>
    <col min="12544" max="12544" width="34.375" style="56" bestFit="1" customWidth="1"/>
    <col min="12545" max="12545" width="4.125" style="56" customWidth="1"/>
    <col min="12546" max="12546" width="7" style="56" bestFit="1" customWidth="1"/>
    <col min="12547" max="12548" width="6" style="56" bestFit="1" customWidth="1"/>
    <col min="12549" max="12790" width="9" style="56"/>
    <col min="12791" max="12799" width="5.75" style="56" customWidth="1"/>
    <col min="12800" max="12800" width="34.375" style="56" bestFit="1" customWidth="1"/>
    <col min="12801" max="12801" width="4.125" style="56" customWidth="1"/>
    <col min="12802" max="12802" width="7" style="56" bestFit="1" customWidth="1"/>
    <col min="12803" max="12804" width="6" style="56" bestFit="1" customWidth="1"/>
    <col min="12805" max="13046" width="9" style="56"/>
    <col min="13047" max="13055" width="5.75" style="56" customWidth="1"/>
    <col min="13056" max="13056" width="34.375" style="56" bestFit="1" customWidth="1"/>
    <col min="13057" max="13057" width="4.125" style="56" customWidth="1"/>
    <col min="13058" max="13058" width="7" style="56" bestFit="1" customWidth="1"/>
    <col min="13059" max="13060" width="6" style="56" bestFit="1" customWidth="1"/>
    <col min="13061" max="13302" width="9" style="56"/>
    <col min="13303" max="13311" width="5.75" style="56" customWidth="1"/>
    <col min="13312" max="13312" width="34.375" style="56" bestFit="1" customWidth="1"/>
    <col min="13313" max="13313" width="4.125" style="56" customWidth="1"/>
    <col min="13314" max="13314" width="7" style="56" bestFit="1" customWidth="1"/>
    <col min="13315" max="13316" width="6" style="56" bestFit="1" customWidth="1"/>
    <col min="13317" max="13558" width="9" style="56"/>
    <col min="13559" max="13567" width="5.75" style="56" customWidth="1"/>
    <col min="13568" max="13568" width="34.375" style="56" bestFit="1" customWidth="1"/>
    <col min="13569" max="13569" width="4.125" style="56" customWidth="1"/>
    <col min="13570" max="13570" width="7" style="56" bestFit="1" customWidth="1"/>
    <col min="13571" max="13572" width="6" style="56" bestFit="1" customWidth="1"/>
    <col min="13573" max="13814" width="9" style="56"/>
    <col min="13815" max="13823" width="5.75" style="56" customWidth="1"/>
    <col min="13824" max="13824" width="34.375" style="56" bestFit="1" customWidth="1"/>
    <col min="13825" max="13825" width="4.125" style="56" customWidth="1"/>
    <col min="13826" max="13826" width="7" style="56" bestFit="1" customWidth="1"/>
    <col min="13827" max="13828" width="6" style="56" bestFit="1" customWidth="1"/>
    <col min="13829" max="14070" width="9" style="56"/>
    <col min="14071" max="14079" width="5.75" style="56" customWidth="1"/>
    <col min="14080" max="14080" width="34.375" style="56" bestFit="1" customWidth="1"/>
    <col min="14081" max="14081" width="4.125" style="56" customWidth="1"/>
    <col min="14082" max="14082" width="7" style="56" bestFit="1" customWidth="1"/>
    <col min="14083" max="14084" width="6" style="56" bestFit="1" customWidth="1"/>
    <col min="14085" max="14326" width="9" style="56"/>
    <col min="14327" max="14335" width="5.75" style="56" customWidth="1"/>
    <col min="14336" max="14336" width="34.375" style="56" bestFit="1" customWidth="1"/>
    <col min="14337" max="14337" width="4.125" style="56" customWidth="1"/>
    <col min="14338" max="14338" width="7" style="56" bestFit="1" customWidth="1"/>
    <col min="14339" max="14340" width="6" style="56" bestFit="1" customWidth="1"/>
    <col min="14341" max="14582" width="9" style="56"/>
    <col min="14583" max="14591" width="5.75" style="56" customWidth="1"/>
    <col min="14592" max="14592" width="34.375" style="56" bestFit="1" customWidth="1"/>
    <col min="14593" max="14593" width="4.125" style="56" customWidth="1"/>
    <col min="14594" max="14594" width="7" style="56" bestFit="1" customWidth="1"/>
    <col min="14595" max="14596" width="6" style="56" bestFit="1" customWidth="1"/>
    <col min="14597" max="14838" width="9" style="56"/>
    <col min="14839" max="14847" width="5.75" style="56" customWidth="1"/>
    <col min="14848" max="14848" width="34.375" style="56" bestFit="1" customWidth="1"/>
    <col min="14849" max="14849" width="4.125" style="56" customWidth="1"/>
    <col min="14850" max="14850" width="7" style="56" bestFit="1" customWidth="1"/>
    <col min="14851" max="14852" width="6" style="56" bestFit="1" customWidth="1"/>
    <col min="14853" max="15094" width="9" style="56"/>
    <col min="15095" max="15103" width="5.75" style="56" customWidth="1"/>
    <col min="15104" max="15104" width="34.375" style="56" bestFit="1" customWidth="1"/>
    <col min="15105" max="15105" width="4.125" style="56" customWidth="1"/>
    <col min="15106" max="15106" width="7" style="56" bestFit="1" customWidth="1"/>
    <col min="15107" max="15108" width="6" style="56" bestFit="1" customWidth="1"/>
    <col min="15109" max="15350" width="9" style="56"/>
    <col min="15351" max="15359" width="5.75" style="56" customWidth="1"/>
    <col min="15360" max="15360" width="34.375" style="56" bestFit="1" customWidth="1"/>
    <col min="15361" max="15361" width="4.125" style="56" customWidth="1"/>
    <col min="15362" max="15362" width="7" style="56" bestFit="1" customWidth="1"/>
    <col min="15363" max="15364" width="6" style="56" bestFit="1" customWidth="1"/>
    <col min="15365" max="15606" width="9" style="56"/>
    <col min="15607" max="15615" width="5.75" style="56" customWidth="1"/>
    <col min="15616" max="15616" width="34.375" style="56" bestFit="1" customWidth="1"/>
    <col min="15617" max="15617" width="4.125" style="56" customWidth="1"/>
    <col min="15618" max="15618" width="7" style="56" bestFit="1" customWidth="1"/>
    <col min="15619" max="15620" width="6" style="56" bestFit="1" customWidth="1"/>
    <col min="15621" max="15862" width="9" style="56"/>
    <col min="15863" max="15871" width="5.75" style="56" customWidth="1"/>
    <col min="15872" max="15872" width="34.375" style="56" bestFit="1" customWidth="1"/>
    <col min="15873" max="15873" width="4.125" style="56" customWidth="1"/>
    <col min="15874" max="15874" width="7" style="56" bestFit="1" customWidth="1"/>
    <col min="15875" max="15876" width="6" style="56" bestFit="1" customWidth="1"/>
    <col min="15877" max="16118" width="9" style="56"/>
    <col min="16119" max="16127" width="5.75" style="56" customWidth="1"/>
    <col min="16128" max="16128" width="34.375" style="56" bestFit="1" customWidth="1"/>
    <col min="16129" max="16129" width="4.125" style="56" customWidth="1"/>
    <col min="16130" max="16130" width="7" style="56" bestFit="1" customWidth="1"/>
    <col min="16131" max="16132" width="6" style="56" bestFit="1" customWidth="1"/>
    <col min="16133" max="16374" width="9" style="56"/>
    <col min="16375" max="16384" width="9.125" style="56" customWidth="1"/>
  </cols>
  <sheetData>
    <row r="1" spans="1:11" ht="12.75" customHeight="1" x14ac:dyDescent="0.2">
      <c r="A1" s="177" t="s">
        <v>556</v>
      </c>
      <c r="B1" s="177"/>
      <c r="C1" s="177"/>
      <c r="D1" s="177"/>
      <c r="E1" s="177"/>
      <c r="F1" s="177"/>
      <c r="G1" s="177"/>
      <c r="H1" s="177"/>
      <c r="I1" s="177"/>
      <c r="J1" s="177"/>
      <c r="K1" s="55"/>
    </row>
    <row r="2" spans="1:11" ht="12.75" customHeight="1" thickBot="1" x14ac:dyDescent="0.25">
      <c r="A2" s="178" t="s">
        <v>557</v>
      </c>
      <c r="B2" s="178"/>
      <c r="C2" s="178"/>
      <c r="D2" s="178"/>
      <c r="E2" s="178"/>
      <c r="F2" s="178"/>
      <c r="G2" s="178"/>
      <c r="H2" s="178"/>
      <c r="I2" s="178"/>
      <c r="J2" s="178"/>
      <c r="K2" s="55"/>
    </row>
    <row r="3" spans="1:11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58" t="s">
        <v>72</v>
      </c>
      <c r="K3" s="55"/>
    </row>
    <row r="4" spans="1:11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59" t="s">
        <v>74</v>
      </c>
      <c r="K4" s="55"/>
    </row>
    <row r="5" spans="1:11" ht="12.75" customHeight="1" thickBot="1" x14ac:dyDescent="0.25">
      <c r="A5" s="60">
        <f t="shared" ref="A5:C10" si="0">G5+D5</f>
        <v>138</v>
      </c>
      <c r="B5" s="60">
        <f t="shared" si="0"/>
        <v>124</v>
      </c>
      <c r="C5" s="60">
        <f>I5+F5</f>
        <v>14</v>
      </c>
      <c r="D5" s="60">
        <f t="shared" ref="D5:D10" si="1">F5+E5</f>
        <v>30</v>
      </c>
      <c r="E5" s="60">
        <v>23</v>
      </c>
      <c r="F5" s="60">
        <v>7</v>
      </c>
      <c r="G5" s="60">
        <f>I5+H5</f>
        <v>108</v>
      </c>
      <c r="H5" s="60">
        <v>101</v>
      </c>
      <c r="I5" s="60">
        <v>7</v>
      </c>
      <c r="J5" s="61" t="s">
        <v>73</v>
      </c>
      <c r="K5" s="55"/>
    </row>
    <row r="6" spans="1:11" ht="12.75" customHeight="1" thickBot="1" x14ac:dyDescent="0.25">
      <c r="A6" s="60">
        <f t="shared" si="0"/>
        <v>1018</v>
      </c>
      <c r="B6" s="60">
        <f t="shared" si="0"/>
        <v>0</v>
      </c>
      <c r="C6" s="60">
        <f t="shared" si="0"/>
        <v>1018</v>
      </c>
      <c r="D6" s="60">
        <f t="shared" si="1"/>
        <v>14</v>
      </c>
      <c r="E6" s="60">
        <v>0</v>
      </c>
      <c r="F6" s="60">
        <v>14</v>
      </c>
      <c r="G6" s="60">
        <f t="shared" ref="G6:G10" si="2">I6+H6</f>
        <v>1004</v>
      </c>
      <c r="H6" s="60">
        <v>0</v>
      </c>
      <c r="I6" s="60">
        <v>1004</v>
      </c>
      <c r="J6" s="61" t="s">
        <v>87</v>
      </c>
      <c r="K6" s="55"/>
    </row>
    <row r="7" spans="1:11" ht="12.75" customHeight="1" thickBot="1" x14ac:dyDescent="0.25">
      <c r="A7" s="60">
        <f t="shared" si="0"/>
        <v>336</v>
      </c>
      <c r="B7" s="60">
        <f t="shared" si="0"/>
        <v>59</v>
      </c>
      <c r="C7" s="60">
        <f t="shared" si="0"/>
        <v>277</v>
      </c>
      <c r="D7" s="60">
        <f t="shared" si="1"/>
        <v>336</v>
      </c>
      <c r="E7" s="60">
        <v>59</v>
      </c>
      <c r="F7" s="60">
        <v>277</v>
      </c>
      <c r="G7" s="60">
        <f t="shared" si="2"/>
        <v>0</v>
      </c>
      <c r="H7" s="60">
        <v>0</v>
      </c>
      <c r="I7" s="60">
        <v>0</v>
      </c>
      <c r="J7" s="61" t="s">
        <v>238</v>
      </c>
      <c r="K7" s="55"/>
    </row>
    <row r="8" spans="1:11" ht="12.75" customHeight="1" thickBot="1" x14ac:dyDescent="0.25">
      <c r="A8" s="60">
        <f t="shared" si="0"/>
        <v>87</v>
      </c>
      <c r="B8" s="60">
        <f t="shared" si="0"/>
        <v>0</v>
      </c>
      <c r="C8" s="60">
        <f t="shared" si="0"/>
        <v>87</v>
      </c>
      <c r="D8" s="60">
        <f t="shared" si="1"/>
        <v>0</v>
      </c>
      <c r="E8" s="60">
        <v>0</v>
      </c>
      <c r="F8" s="60">
        <v>0</v>
      </c>
      <c r="G8" s="60">
        <f t="shared" si="2"/>
        <v>87</v>
      </c>
      <c r="H8" s="60">
        <v>0</v>
      </c>
      <c r="I8" s="60">
        <v>87</v>
      </c>
      <c r="J8" s="61" t="s">
        <v>239</v>
      </c>
      <c r="K8" s="55"/>
    </row>
    <row r="9" spans="1:11" ht="12.75" customHeight="1" thickBot="1" x14ac:dyDescent="0.25">
      <c r="A9" s="60">
        <f t="shared" si="0"/>
        <v>469</v>
      </c>
      <c r="B9" s="60">
        <f>H9+E9</f>
        <v>469</v>
      </c>
      <c r="C9" s="60">
        <f t="shared" si="0"/>
        <v>0</v>
      </c>
      <c r="D9" s="60">
        <f t="shared" si="1"/>
        <v>0</v>
      </c>
      <c r="E9" s="60">
        <v>0</v>
      </c>
      <c r="F9" s="60">
        <v>0</v>
      </c>
      <c r="G9" s="60">
        <f t="shared" si="2"/>
        <v>469</v>
      </c>
      <c r="H9" s="60">
        <v>469</v>
      </c>
      <c r="I9" s="60">
        <v>0</v>
      </c>
      <c r="J9" s="61" t="s">
        <v>240</v>
      </c>
      <c r="K9" s="55"/>
    </row>
    <row r="10" spans="1:11" ht="12.75" customHeight="1" thickBot="1" x14ac:dyDescent="0.25">
      <c r="A10" s="60">
        <f t="shared" si="0"/>
        <v>348</v>
      </c>
      <c r="B10" s="60">
        <f t="shared" si="0"/>
        <v>0</v>
      </c>
      <c r="C10" s="60">
        <f t="shared" si="0"/>
        <v>348</v>
      </c>
      <c r="D10" s="60">
        <f t="shared" si="1"/>
        <v>0</v>
      </c>
      <c r="E10" s="60">
        <v>0</v>
      </c>
      <c r="F10" s="60">
        <v>0</v>
      </c>
      <c r="G10" s="60">
        <f t="shared" si="2"/>
        <v>348</v>
      </c>
      <c r="H10" s="60">
        <v>0</v>
      </c>
      <c r="I10" s="60">
        <v>348</v>
      </c>
      <c r="J10" s="61" t="s">
        <v>241</v>
      </c>
      <c r="K10" s="55"/>
    </row>
    <row r="11" spans="1:11" ht="12.75" customHeight="1" thickBot="1" x14ac:dyDescent="0.25">
      <c r="A11" s="60">
        <f t="shared" ref="A11:I11" si="3">SUM(A5:A10)</f>
        <v>2396</v>
      </c>
      <c r="B11" s="60">
        <f t="shared" si="3"/>
        <v>652</v>
      </c>
      <c r="C11" s="60">
        <f t="shared" si="3"/>
        <v>1744</v>
      </c>
      <c r="D11" s="60">
        <f t="shared" si="3"/>
        <v>380</v>
      </c>
      <c r="E11" s="60">
        <f t="shared" si="3"/>
        <v>82</v>
      </c>
      <c r="F11" s="60">
        <f t="shared" si="3"/>
        <v>298</v>
      </c>
      <c r="G11" s="60">
        <f t="shared" si="3"/>
        <v>2016</v>
      </c>
      <c r="H11" s="60">
        <f t="shared" si="3"/>
        <v>570</v>
      </c>
      <c r="I11" s="60">
        <f t="shared" si="3"/>
        <v>1446</v>
      </c>
      <c r="J11" s="59" t="s">
        <v>211</v>
      </c>
      <c r="K11" s="55"/>
    </row>
    <row r="12" spans="1:11" ht="12.75" customHeight="1" x14ac:dyDescent="0.2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55"/>
    </row>
    <row r="13" spans="1:11" ht="12.75" customHeight="1" x14ac:dyDescent="0.2">
      <c r="A13" s="177" t="s">
        <v>556</v>
      </c>
      <c r="B13" s="177"/>
      <c r="C13" s="177"/>
      <c r="D13" s="177"/>
      <c r="E13" s="177"/>
      <c r="F13" s="177"/>
      <c r="G13" s="177"/>
      <c r="H13" s="177"/>
      <c r="I13" s="177"/>
      <c r="J13" s="177"/>
      <c r="K13" s="55"/>
    </row>
    <row r="14" spans="1:11" ht="12.75" customHeight="1" thickBot="1" x14ac:dyDescent="0.25">
      <c r="A14" s="178" t="s">
        <v>557</v>
      </c>
      <c r="B14" s="178"/>
      <c r="C14" s="178"/>
      <c r="D14" s="178"/>
      <c r="E14" s="178"/>
      <c r="F14" s="178"/>
      <c r="G14" s="178"/>
      <c r="H14" s="178"/>
      <c r="I14" s="178"/>
      <c r="J14" s="178"/>
      <c r="K14" s="55"/>
    </row>
    <row r="15" spans="1:11" ht="12.75" customHeight="1" thickBot="1" x14ac:dyDescent="0.25">
      <c r="A15" s="179" t="s">
        <v>5</v>
      </c>
      <c r="B15" s="179"/>
      <c r="C15" s="179"/>
      <c r="D15" s="179" t="s">
        <v>162</v>
      </c>
      <c r="E15" s="179"/>
      <c r="F15" s="179"/>
      <c r="G15" s="179" t="s">
        <v>163</v>
      </c>
      <c r="H15" s="179"/>
      <c r="I15" s="179"/>
      <c r="J15" s="58" t="s">
        <v>72</v>
      </c>
      <c r="K15" s="55"/>
    </row>
    <row r="16" spans="1:11" ht="12.75" customHeight="1" thickBot="1" x14ac:dyDescent="0.25">
      <c r="A16" s="58" t="s">
        <v>216</v>
      </c>
      <c r="B16" s="58" t="s">
        <v>11</v>
      </c>
      <c r="C16" s="58" t="s">
        <v>10</v>
      </c>
      <c r="D16" s="58" t="s">
        <v>216</v>
      </c>
      <c r="E16" s="58" t="s">
        <v>11</v>
      </c>
      <c r="F16" s="58" t="s">
        <v>10</v>
      </c>
      <c r="G16" s="58" t="s">
        <v>216</v>
      </c>
      <c r="H16" s="58" t="s">
        <v>11</v>
      </c>
      <c r="I16" s="58" t="s">
        <v>10</v>
      </c>
      <c r="J16" s="59" t="s">
        <v>164</v>
      </c>
      <c r="K16" s="55"/>
    </row>
    <row r="17" spans="1:11" ht="12.75" customHeight="1" thickBot="1" x14ac:dyDescent="0.25">
      <c r="A17" s="60">
        <f>SUM(B17:C17)</f>
        <v>621</v>
      </c>
      <c r="B17" s="60">
        <f>H17+E17</f>
        <v>0</v>
      </c>
      <c r="C17" s="60">
        <f>I17+F17</f>
        <v>621</v>
      </c>
      <c r="D17" s="60">
        <f>SUM(E17:F17)</f>
        <v>621</v>
      </c>
      <c r="E17" s="60">
        <v>0</v>
      </c>
      <c r="F17" s="60">
        <f>691-70</f>
        <v>621</v>
      </c>
      <c r="G17" s="60">
        <f>SUM(H17:I17)</f>
        <v>0</v>
      </c>
      <c r="H17" s="60">
        <v>0</v>
      </c>
      <c r="I17" s="60">
        <v>0</v>
      </c>
      <c r="J17" s="61" t="s">
        <v>238</v>
      </c>
      <c r="K17" s="55"/>
    </row>
    <row r="18" spans="1:11" ht="12.75" customHeight="1" thickBot="1" x14ac:dyDescent="0.25">
      <c r="A18" s="60">
        <f t="shared" ref="A18:H18" si="4">SUM(A17)</f>
        <v>621</v>
      </c>
      <c r="B18" s="60">
        <f t="shared" si="4"/>
        <v>0</v>
      </c>
      <c r="C18" s="60">
        <f t="shared" si="4"/>
        <v>621</v>
      </c>
      <c r="D18" s="60">
        <f t="shared" si="4"/>
        <v>621</v>
      </c>
      <c r="E18" s="60">
        <f t="shared" si="4"/>
        <v>0</v>
      </c>
      <c r="F18" s="60">
        <f t="shared" si="4"/>
        <v>621</v>
      </c>
      <c r="G18" s="60">
        <f t="shared" si="4"/>
        <v>0</v>
      </c>
      <c r="H18" s="60">
        <f t="shared" si="4"/>
        <v>0</v>
      </c>
      <c r="I18" s="60">
        <f>SUM(I17)</f>
        <v>0</v>
      </c>
      <c r="J18" s="59" t="s">
        <v>211</v>
      </c>
      <c r="K18" s="55"/>
    </row>
    <row r="19" spans="1:11" ht="12.75" customHeight="1" x14ac:dyDescent="0.2">
      <c r="A19" s="177"/>
      <c r="B19" s="177"/>
      <c r="C19" s="177"/>
      <c r="D19" s="177"/>
      <c r="E19" s="177"/>
      <c r="F19" s="177"/>
      <c r="G19" s="177"/>
      <c r="H19" s="177"/>
      <c r="I19" s="177"/>
      <c r="J19" s="177"/>
      <c r="K19" s="55"/>
    </row>
    <row r="20" spans="1:11" ht="12.75" customHeight="1" x14ac:dyDescent="0.2">
      <c r="A20" s="177" t="s">
        <v>556</v>
      </c>
      <c r="B20" s="177"/>
      <c r="C20" s="177"/>
      <c r="D20" s="177"/>
      <c r="E20" s="177"/>
      <c r="F20" s="177"/>
      <c r="G20" s="177"/>
      <c r="H20" s="177"/>
      <c r="I20" s="177"/>
      <c r="J20" s="177"/>
      <c r="K20" s="55"/>
    </row>
    <row r="21" spans="1:11" ht="12.75" customHeight="1" thickBot="1" x14ac:dyDescent="0.25">
      <c r="A21" s="178" t="s">
        <v>557</v>
      </c>
      <c r="B21" s="178"/>
      <c r="C21" s="178"/>
      <c r="D21" s="178"/>
      <c r="E21" s="178"/>
      <c r="F21" s="178"/>
      <c r="G21" s="178"/>
      <c r="H21" s="178"/>
      <c r="I21" s="178"/>
      <c r="J21" s="178"/>
      <c r="K21" s="55"/>
    </row>
    <row r="22" spans="1:11" ht="12.75" customHeight="1" thickBot="1" x14ac:dyDescent="0.25">
      <c r="A22" s="179" t="s">
        <v>5</v>
      </c>
      <c r="B22" s="179"/>
      <c r="C22" s="179"/>
      <c r="D22" s="179" t="s">
        <v>162</v>
      </c>
      <c r="E22" s="179"/>
      <c r="F22" s="179"/>
      <c r="G22" s="179" t="s">
        <v>163</v>
      </c>
      <c r="H22" s="179"/>
      <c r="I22" s="179"/>
      <c r="J22" s="58" t="s">
        <v>72</v>
      </c>
      <c r="K22" s="55"/>
    </row>
    <row r="23" spans="1:11" ht="12.75" customHeight="1" thickBot="1" x14ac:dyDescent="0.25">
      <c r="A23" s="58" t="s">
        <v>216</v>
      </c>
      <c r="B23" s="58" t="s">
        <v>11</v>
      </c>
      <c r="C23" s="58" t="s">
        <v>10</v>
      </c>
      <c r="D23" s="58" t="s">
        <v>216</v>
      </c>
      <c r="E23" s="58" t="s">
        <v>11</v>
      </c>
      <c r="F23" s="58" t="s">
        <v>10</v>
      </c>
      <c r="G23" s="58" t="s">
        <v>216</v>
      </c>
      <c r="H23" s="58" t="s">
        <v>11</v>
      </c>
      <c r="I23" s="58" t="s">
        <v>10</v>
      </c>
      <c r="J23" s="59" t="s">
        <v>76</v>
      </c>
      <c r="K23" s="55"/>
    </row>
    <row r="24" spans="1:11" ht="12.75" customHeight="1" thickBot="1" x14ac:dyDescent="0.25">
      <c r="A24" s="60">
        <f>SUM(B24:C24)</f>
        <v>165</v>
      </c>
      <c r="B24" s="60">
        <f>H24+E24</f>
        <v>0</v>
      </c>
      <c r="C24" s="60">
        <f>I24+F24</f>
        <v>165</v>
      </c>
      <c r="D24" s="60">
        <f>SUM(E24:F24)</f>
        <v>0</v>
      </c>
      <c r="E24" s="60">
        <v>0</v>
      </c>
      <c r="F24" s="60">
        <v>0</v>
      </c>
      <c r="G24" s="60">
        <f>SUM(H24:I24)</f>
        <v>165</v>
      </c>
      <c r="H24" s="60">
        <v>0</v>
      </c>
      <c r="I24" s="60">
        <v>165</v>
      </c>
      <c r="J24" s="61" t="s">
        <v>88</v>
      </c>
      <c r="K24" s="55"/>
    </row>
    <row r="25" spans="1:11" ht="12.75" customHeight="1" thickBot="1" x14ac:dyDescent="0.25">
      <c r="A25" s="60">
        <f t="shared" ref="A25:A27" si="5">SUM(B25:C25)</f>
        <v>162</v>
      </c>
      <c r="B25" s="60">
        <f t="shared" ref="B25:C27" si="6">H25+E25</f>
        <v>0</v>
      </c>
      <c r="C25" s="60">
        <f t="shared" si="6"/>
        <v>162</v>
      </c>
      <c r="D25" s="60">
        <f t="shared" ref="D25:D27" si="7">SUM(E25:F25)</f>
        <v>162</v>
      </c>
      <c r="E25" s="60">
        <v>0</v>
      </c>
      <c r="F25" s="60">
        <v>162</v>
      </c>
      <c r="G25" s="60">
        <f t="shared" ref="G25:G27" si="8">SUM(H25:I25)</f>
        <v>0</v>
      </c>
      <c r="H25" s="60">
        <v>0</v>
      </c>
      <c r="I25" s="60">
        <v>0</v>
      </c>
      <c r="J25" s="61" t="s">
        <v>242</v>
      </c>
      <c r="K25" s="55"/>
    </row>
    <row r="26" spans="1:11" ht="12.75" customHeight="1" thickBot="1" x14ac:dyDescent="0.25">
      <c r="A26" s="60">
        <f t="shared" si="5"/>
        <v>166</v>
      </c>
      <c r="B26" s="60">
        <f t="shared" si="6"/>
        <v>1</v>
      </c>
      <c r="C26" s="60">
        <f t="shared" si="6"/>
        <v>165</v>
      </c>
      <c r="D26" s="60">
        <f t="shared" si="7"/>
        <v>5</v>
      </c>
      <c r="E26" s="60">
        <v>0</v>
      </c>
      <c r="F26" s="60">
        <v>5</v>
      </c>
      <c r="G26" s="60">
        <f t="shared" si="8"/>
        <v>161</v>
      </c>
      <c r="H26" s="60">
        <v>1</v>
      </c>
      <c r="I26" s="60">
        <v>160</v>
      </c>
      <c r="J26" s="61" t="s">
        <v>75</v>
      </c>
      <c r="K26" s="55"/>
    </row>
    <row r="27" spans="1:11" ht="12.75" customHeight="1" thickBot="1" x14ac:dyDescent="0.25">
      <c r="A27" s="60">
        <f t="shared" si="5"/>
        <v>169</v>
      </c>
      <c r="B27" s="60">
        <f t="shared" si="6"/>
        <v>0</v>
      </c>
      <c r="C27" s="60">
        <f t="shared" si="6"/>
        <v>169</v>
      </c>
      <c r="D27" s="60">
        <f t="shared" si="7"/>
        <v>0</v>
      </c>
      <c r="E27" s="60">
        <v>0</v>
      </c>
      <c r="F27" s="60">
        <v>0</v>
      </c>
      <c r="G27" s="60">
        <f t="shared" si="8"/>
        <v>169</v>
      </c>
      <c r="H27" s="60">
        <v>0</v>
      </c>
      <c r="I27" s="60">
        <v>169</v>
      </c>
      <c r="J27" s="61" t="s">
        <v>89</v>
      </c>
      <c r="K27" s="55"/>
    </row>
    <row r="28" spans="1:11" ht="12.75" customHeight="1" thickBot="1" x14ac:dyDescent="0.25">
      <c r="A28" s="60">
        <f t="shared" ref="A28:H28" si="9">SUM(A24:A27)</f>
        <v>662</v>
      </c>
      <c r="B28" s="60">
        <f t="shared" si="9"/>
        <v>1</v>
      </c>
      <c r="C28" s="60">
        <f t="shared" si="9"/>
        <v>661</v>
      </c>
      <c r="D28" s="60">
        <f t="shared" si="9"/>
        <v>167</v>
      </c>
      <c r="E28" s="60">
        <f t="shared" si="9"/>
        <v>0</v>
      </c>
      <c r="F28" s="60">
        <f t="shared" si="9"/>
        <v>167</v>
      </c>
      <c r="G28" s="60">
        <f t="shared" si="9"/>
        <v>495</v>
      </c>
      <c r="H28" s="60">
        <f t="shared" si="9"/>
        <v>1</v>
      </c>
      <c r="I28" s="60">
        <f>SUM(I24:I27)</f>
        <v>494</v>
      </c>
      <c r="J28" s="59" t="s">
        <v>211</v>
      </c>
      <c r="K28" s="55"/>
    </row>
    <row r="29" spans="1:11" ht="12.75" customHeight="1" x14ac:dyDescent="0.2">
      <c r="A29" s="177"/>
      <c r="B29" s="177"/>
      <c r="C29" s="177"/>
      <c r="D29" s="177"/>
      <c r="E29" s="177"/>
      <c r="F29" s="177"/>
      <c r="G29" s="177"/>
      <c r="H29" s="177"/>
      <c r="I29" s="177"/>
      <c r="J29" s="177"/>
      <c r="K29" s="55"/>
    </row>
    <row r="30" spans="1:11" ht="12.75" customHeight="1" x14ac:dyDescent="0.2">
      <c r="A30" s="177" t="s">
        <v>556</v>
      </c>
      <c r="B30" s="177"/>
      <c r="C30" s="177"/>
      <c r="D30" s="177"/>
      <c r="E30" s="177"/>
      <c r="F30" s="177"/>
      <c r="G30" s="177"/>
      <c r="H30" s="177"/>
      <c r="I30" s="177"/>
      <c r="J30" s="177"/>
      <c r="K30" s="55"/>
    </row>
    <row r="31" spans="1:11" ht="12.75" customHeight="1" thickBot="1" x14ac:dyDescent="0.25">
      <c r="A31" s="178" t="s">
        <v>557</v>
      </c>
      <c r="B31" s="178"/>
      <c r="C31" s="178"/>
      <c r="D31" s="178"/>
      <c r="E31" s="178"/>
      <c r="F31" s="178"/>
      <c r="G31" s="178"/>
      <c r="H31" s="178"/>
      <c r="I31" s="178"/>
      <c r="J31" s="178"/>
      <c r="K31" s="55"/>
    </row>
    <row r="32" spans="1:11" ht="12.75" customHeight="1" thickBot="1" x14ac:dyDescent="0.25">
      <c r="A32" s="179" t="s">
        <v>5</v>
      </c>
      <c r="B32" s="179"/>
      <c r="C32" s="179"/>
      <c r="D32" s="179" t="s">
        <v>162</v>
      </c>
      <c r="E32" s="179"/>
      <c r="F32" s="179"/>
      <c r="G32" s="179" t="s">
        <v>163</v>
      </c>
      <c r="H32" s="179"/>
      <c r="I32" s="179"/>
      <c r="J32" s="58" t="s">
        <v>72</v>
      </c>
      <c r="K32" s="55"/>
    </row>
    <row r="33" spans="1:11" ht="12.75" customHeight="1" thickBot="1" x14ac:dyDescent="0.25">
      <c r="A33" s="58" t="s">
        <v>216</v>
      </c>
      <c r="B33" s="58" t="s">
        <v>11</v>
      </c>
      <c r="C33" s="58" t="s">
        <v>10</v>
      </c>
      <c r="D33" s="58" t="s">
        <v>216</v>
      </c>
      <c r="E33" s="58" t="s">
        <v>11</v>
      </c>
      <c r="F33" s="58" t="s">
        <v>10</v>
      </c>
      <c r="G33" s="58" t="s">
        <v>216</v>
      </c>
      <c r="H33" s="58" t="s">
        <v>11</v>
      </c>
      <c r="I33" s="58" t="s">
        <v>10</v>
      </c>
      <c r="J33" s="59" t="s">
        <v>78</v>
      </c>
      <c r="K33" s="55"/>
    </row>
    <row r="34" spans="1:11" ht="12.75" customHeight="1" thickBot="1" x14ac:dyDescent="0.25">
      <c r="A34" s="60">
        <f t="shared" ref="A34:C45" si="10">G34+D34</f>
        <v>163</v>
      </c>
      <c r="B34" s="60">
        <f t="shared" si="10"/>
        <v>48</v>
      </c>
      <c r="C34" s="60">
        <f t="shared" si="10"/>
        <v>115</v>
      </c>
      <c r="D34" s="60">
        <f t="shared" ref="D34:D45" si="11">F34+E34</f>
        <v>2</v>
      </c>
      <c r="E34" s="60">
        <v>1</v>
      </c>
      <c r="F34" s="60">
        <v>1</v>
      </c>
      <c r="G34" s="60">
        <f>I34+H34</f>
        <v>161</v>
      </c>
      <c r="H34" s="60">
        <v>47</v>
      </c>
      <c r="I34" s="60">
        <v>114</v>
      </c>
      <c r="J34" s="61" t="s">
        <v>354</v>
      </c>
      <c r="K34" s="55"/>
    </row>
    <row r="35" spans="1:11" ht="12.75" customHeight="1" thickBot="1" x14ac:dyDescent="0.25">
      <c r="A35" s="60">
        <f t="shared" si="10"/>
        <v>113</v>
      </c>
      <c r="B35" s="60">
        <f t="shared" si="10"/>
        <v>0</v>
      </c>
      <c r="C35" s="60">
        <f t="shared" si="10"/>
        <v>113</v>
      </c>
      <c r="D35" s="60">
        <f t="shared" si="11"/>
        <v>0</v>
      </c>
      <c r="E35" s="60">
        <v>0</v>
      </c>
      <c r="F35" s="60">
        <v>0</v>
      </c>
      <c r="G35" s="60">
        <f t="shared" ref="G35:G45" si="12">I35+H35</f>
        <v>113</v>
      </c>
      <c r="H35" s="60">
        <v>0</v>
      </c>
      <c r="I35" s="60">
        <v>113</v>
      </c>
      <c r="J35" s="61" t="s">
        <v>362</v>
      </c>
      <c r="K35" s="55"/>
    </row>
    <row r="36" spans="1:11" ht="12.75" customHeight="1" thickBot="1" x14ac:dyDescent="0.25">
      <c r="A36" s="60">
        <f t="shared" si="10"/>
        <v>80</v>
      </c>
      <c r="B36" s="60">
        <f t="shared" si="10"/>
        <v>0</v>
      </c>
      <c r="C36" s="60">
        <f t="shared" si="10"/>
        <v>80</v>
      </c>
      <c r="D36" s="60">
        <f t="shared" si="11"/>
        <v>0</v>
      </c>
      <c r="E36" s="60">
        <v>0</v>
      </c>
      <c r="F36" s="60">
        <v>0</v>
      </c>
      <c r="G36" s="60">
        <f t="shared" si="12"/>
        <v>80</v>
      </c>
      <c r="H36" s="60">
        <v>0</v>
      </c>
      <c r="I36" s="60">
        <v>80</v>
      </c>
      <c r="J36" s="61" t="s">
        <v>243</v>
      </c>
      <c r="K36" s="55"/>
    </row>
    <row r="37" spans="1:11" ht="12.75" customHeight="1" thickBot="1" x14ac:dyDescent="0.25">
      <c r="A37" s="60">
        <f t="shared" si="10"/>
        <v>99</v>
      </c>
      <c r="B37" s="60">
        <f t="shared" si="10"/>
        <v>58</v>
      </c>
      <c r="C37" s="60">
        <f t="shared" si="10"/>
        <v>41</v>
      </c>
      <c r="D37" s="60">
        <f t="shared" si="11"/>
        <v>0</v>
      </c>
      <c r="E37" s="60">
        <v>0</v>
      </c>
      <c r="F37" s="60">
        <v>0</v>
      </c>
      <c r="G37" s="60">
        <f t="shared" si="12"/>
        <v>99</v>
      </c>
      <c r="H37" s="60">
        <v>58</v>
      </c>
      <c r="I37" s="60">
        <v>41</v>
      </c>
      <c r="J37" s="61" t="s">
        <v>244</v>
      </c>
      <c r="K37" s="55"/>
    </row>
    <row r="38" spans="1:11" ht="12.75" customHeight="1" thickBot="1" x14ac:dyDescent="0.25">
      <c r="A38" s="60">
        <f t="shared" si="10"/>
        <v>210</v>
      </c>
      <c r="B38" s="60">
        <f t="shared" si="10"/>
        <v>0</v>
      </c>
      <c r="C38" s="60">
        <f t="shared" si="10"/>
        <v>210</v>
      </c>
      <c r="D38" s="60">
        <f t="shared" si="11"/>
        <v>210</v>
      </c>
      <c r="E38" s="60">
        <v>0</v>
      </c>
      <c r="F38" s="60">
        <v>210</v>
      </c>
      <c r="G38" s="60">
        <f t="shared" si="12"/>
        <v>0</v>
      </c>
      <c r="H38" s="60">
        <v>0</v>
      </c>
      <c r="I38" s="60">
        <v>0</v>
      </c>
      <c r="J38" s="61" t="s">
        <v>245</v>
      </c>
      <c r="K38" s="55"/>
    </row>
    <row r="39" spans="1:11" ht="12.75" customHeight="1" thickBot="1" x14ac:dyDescent="0.25">
      <c r="A39" s="60">
        <f t="shared" si="10"/>
        <v>5168</v>
      </c>
      <c r="B39" s="60">
        <f t="shared" si="10"/>
        <v>4321</v>
      </c>
      <c r="C39" s="60">
        <f t="shared" si="10"/>
        <v>847</v>
      </c>
      <c r="D39" s="60">
        <f t="shared" si="11"/>
        <v>428</v>
      </c>
      <c r="E39" s="60">
        <f>295+30</f>
        <v>325</v>
      </c>
      <c r="F39" s="60">
        <f>126-23</f>
        <v>103</v>
      </c>
      <c r="G39" s="60">
        <f t="shared" si="12"/>
        <v>4740</v>
      </c>
      <c r="H39" s="60">
        <v>3996</v>
      </c>
      <c r="I39" s="60">
        <v>744</v>
      </c>
      <c r="J39" s="61" t="s">
        <v>77</v>
      </c>
      <c r="K39" s="55"/>
    </row>
    <row r="40" spans="1:11" ht="12.75" customHeight="1" thickBot="1" x14ac:dyDescent="0.25">
      <c r="A40" s="60">
        <f t="shared" si="10"/>
        <v>2535</v>
      </c>
      <c r="B40" s="60">
        <f t="shared" si="10"/>
        <v>0</v>
      </c>
      <c r="C40" s="60">
        <f t="shared" si="10"/>
        <v>2535</v>
      </c>
      <c r="D40" s="60">
        <f t="shared" si="11"/>
        <v>43</v>
      </c>
      <c r="E40" s="60">
        <v>0</v>
      </c>
      <c r="F40" s="60">
        <v>43</v>
      </c>
      <c r="G40" s="60">
        <f t="shared" si="12"/>
        <v>2492</v>
      </c>
      <c r="H40" s="60">
        <v>0</v>
      </c>
      <c r="I40" s="60">
        <f>2992-500</f>
        <v>2492</v>
      </c>
      <c r="J40" s="61" t="s">
        <v>90</v>
      </c>
      <c r="K40" s="55"/>
    </row>
    <row r="41" spans="1:11" ht="12.75" customHeight="1" thickBot="1" x14ac:dyDescent="0.25">
      <c r="A41" s="60">
        <f t="shared" si="10"/>
        <v>687</v>
      </c>
      <c r="B41" s="60">
        <f t="shared" si="10"/>
        <v>0</v>
      </c>
      <c r="C41" s="60">
        <f t="shared" si="10"/>
        <v>687</v>
      </c>
      <c r="D41" s="60">
        <f t="shared" si="11"/>
        <v>0</v>
      </c>
      <c r="E41" s="60">
        <v>0</v>
      </c>
      <c r="F41" s="60">
        <v>0</v>
      </c>
      <c r="G41" s="60">
        <f t="shared" si="12"/>
        <v>687</v>
      </c>
      <c r="H41" s="60">
        <v>0</v>
      </c>
      <c r="I41" s="60">
        <v>687</v>
      </c>
      <c r="J41" s="61" t="s">
        <v>91</v>
      </c>
      <c r="K41" s="55"/>
    </row>
    <row r="42" spans="1:11" ht="12.75" customHeight="1" thickBot="1" x14ac:dyDescent="0.25">
      <c r="A42" s="60">
        <f t="shared" si="10"/>
        <v>633</v>
      </c>
      <c r="B42" s="60">
        <f t="shared" si="10"/>
        <v>0</v>
      </c>
      <c r="C42" s="60">
        <f t="shared" si="10"/>
        <v>633</v>
      </c>
      <c r="D42" s="60">
        <f t="shared" si="11"/>
        <v>0</v>
      </c>
      <c r="E42" s="60">
        <v>0</v>
      </c>
      <c r="F42" s="60">
        <v>0</v>
      </c>
      <c r="G42" s="60">
        <f t="shared" si="12"/>
        <v>633</v>
      </c>
      <c r="H42" s="60">
        <v>0</v>
      </c>
      <c r="I42" s="60">
        <f>662-29</f>
        <v>633</v>
      </c>
      <c r="J42" s="61" t="s">
        <v>92</v>
      </c>
      <c r="K42" s="55"/>
    </row>
    <row r="43" spans="1:11" ht="12.75" customHeight="1" thickBot="1" x14ac:dyDescent="0.25">
      <c r="A43" s="60">
        <f t="shared" si="10"/>
        <v>519</v>
      </c>
      <c r="B43" s="60">
        <f t="shared" si="10"/>
        <v>0</v>
      </c>
      <c r="C43" s="60">
        <f t="shared" si="10"/>
        <v>519</v>
      </c>
      <c r="D43" s="60">
        <f t="shared" si="11"/>
        <v>1</v>
      </c>
      <c r="E43" s="60">
        <v>0</v>
      </c>
      <c r="F43" s="60">
        <v>1</v>
      </c>
      <c r="G43" s="60">
        <f t="shared" si="12"/>
        <v>518</v>
      </c>
      <c r="H43" s="60">
        <v>0</v>
      </c>
      <c r="I43" s="60">
        <f>568-50</f>
        <v>518</v>
      </c>
      <c r="J43" s="61" t="s">
        <v>93</v>
      </c>
      <c r="K43" s="55"/>
    </row>
    <row r="44" spans="1:11" ht="12.75" customHeight="1" thickBot="1" x14ac:dyDescent="0.25">
      <c r="A44" s="60">
        <f t="shared" si="10"/>
        <v>273</v>
      </c>
      <c r="B44" s="60">
        <f t="shared" si="10"/>
        <v>0</v>
      </c>
      <c r="C44" s="60">
        <f t="shared" si="10"/>
        <v>273</v>
      </c>
      <c r="D44" s="60">
        <f t="shared" si="11"/>
        <v>0</v>
      </c>
      <c r="E44" s="60">
        <v>0</v>
      </c>
      <c r="F44" s="60">
        <v>0</v>
      </c>
      <c r="G44" s="60">
        <f t="shared" si="12"/>
        <v>273</v>
      </c>
      <c r="H44" s="60">
        <v>0</v>
      </c>
      <c r="I44" s="60">
        <v>273</v>
      </c>
      <c r="J44" s="61" t="s">
        <v>94</v>
      </c>
      <c r="K44" s="55"/>
    </row>
    <row r="45" spans="1:11" ht="12.75" customHeight="1" thickBot="1" x14ac:dyDescent="0.25">
      <c r="A45" s="60">
        <f t="shared" si="10"/>
        <v>1419</v>
      </c>
      <c r="B45" s="60">
        <f t="shared" si="10"/>
        <v>0</v>
      </c>
      <c r="C45" s="60">
        <f t="shared" si="10"/>
        <v>1419</v>
      </c>
      <c r="D45" s="60">
        <f t="shared" si="11"/>
        <v>17</v>
      </c>
      <c r="E45" s="60">
        <v>0</v>
      </c>
      <c r="F45" s="60">
        <v>17</v>
      </c>
      <c r="G45" s="60">
        <f t="shared" si="12"/>
        <v>1402</v>
      </c>
      <c r="H45" s="60">
        <v>0</v>
      </c>
      <c r="I45" s="60">
        <f>1452-50</f>
        <v>1402</v>
      </c>
      <c r="J45" s="61" t="s">
        <v>246</v>
      </c>
      <c r="K45" s="55"/>
    </row>
    <row r="46" spans="1:11" ht="12.75" customHeight="1" thickBot="1" x14ac:dyDescent="0.25">
      <c r="A46" s="60">
        <f t="shared" ref="A46:H46" si="13">SUM(A34:A45)</f>
        <v>11899</v>
      </c>
      <c r="B46" s="60">
        <f t="shared" si="13"/>
        <v>4427</v>
      </c>
      <c r="C46" s="60">
        <f t="shared" si="13"/>
        <v>7472</v>
      </c>
      <c r="D46" s="60">
        <f t="shared" si="13"/>
        <v>701</v>
      </c>
      <c r="E46" s="60">
        <f t="shared" si="13"/>
        <v>326</v>
      </c>
      <c r="F46" s="60">
        <f t="shared" si="13"/>
        <v>375</v>
      </c>
      <c r="G46" s="60">
        <f t="shared" si="13"/>
        <v>11198</v>
      </c>
      <c r="H46" s="60">
        <f t="shared" si="13"/>
        <v>4101</v>
      </c>
      <c r="I46" s="60">
        <f>SUM(I34:I45)</f>
        <v>7097</v>
      </c>
      <c r="J46" s="59" t="s">
        <v>211</v>
      </c>
      <c r="K46" s="55"/>
    </row>
    <row r="47" spans="1:11" ht="12.75" customHeight="1" x14ac:dyDescent="0.2">
      <c r="A47" s="177"/>
      <c r="B47" s="177"/>
      <c r="C47" s="177"/>
      <c r="D47" s="177"/>
      <c r="E47" s="177"/>
      <c r="F47" s="177"/>
      <c r="G47" s="177"/>
      <c r="H47" s="177"/>
      <c r="I47" s="177"/>
      <c r="J47" s="177"/>
      <c r="K47" s="55"/>
    </row>
    <row r="48" spans="1:11" ht="12.75" customHeight="1" x14ac:dyDescent="0.2">
      <c r="A48" s="177" t="s">
        <v>556</v>
      </c>
      <c r="B48" s="177"/>
      <c r="C48" s="177"/>
      <c r="D48" s="177"/>
      <c r="E48" s="177"/>
      <c r="F48" s="177"/>
      <c r="G48" s="177"/>
      <c r="H48" s="177"/>
      <c r="I48" s="177"/>
      <c r="J48" s="177"/>
      <c r="K48" s="55"/>
    </row>
    <row r="49" spans="1:11" ht="12.75" customHeight="1" thickBot="1" x14ac:dyDescent="0.25">
      <c r="A49" s="178" t="s">
        <v>557</v>
      </c>
      <c r="B49" s="178"/>
      <c r="C49" s="178"/>
      <c r="D49" s="178"/>
      <c r="E49" s="178"/>
      <c r="F49" s="178"/>
      <c r="G49" s="178"/>
      <c r="H49" s="178"/>
      <c r="I49" s="178"/>
      <c r="J49" s="178"/>
      <c r="K49" s="55"/>
    </row>
    <row r="50" spans="1:11" ht="12.75" customHeight="1" thickBot="1" x14ac:dyDescent="0.25">
      <c r="A50" s="179" t="s">
        <v>5</v>
      </c>
      <c r="B50" s="179"/>
      <c r="C50" s="179"/>
      <c r="D50" s="179" t="s">
        <v>162</v>
      </c>
      <c r="E50" s="179"/>
      <c r="F50" s="179"/>
      <c r="G50" s="179" t="s">
        <v>163</v>
      </c>
      <c r="H50" s="179"/>
      <c r="I50" s="179"/>
      <c r="J50" s="58" t="s">
        <v>72</v>
      </c>
      <c r="K50" s="55"/>
    </row>
    <row r="51" spans="1:11" ht="12.75" customHeight="1" thickBot="1" x14ac:dyDescent="0.25">
      <c r="A51" s="58" t="s">
        <v>216</v>
      </c>
      <c r="B51" s="58" t="s">
        <v>11</v>
      </c>
      <c r="C51" s="58" t="s">
        <v>10</v>
      </c>
      <c r="D51" s="58" t="s">
        <v>216</v>
      </c>
      <c r="E51" s="58" t="s">
        <v>11</v>
      </c>
      <c r="F51" s="58" t="s">
        <v>10</v>
      </c>
      <c r="G51" s="58" t="s">
        <v>216</v>
      </c>
      <c r="H51" s="58" t="s">
        <v>11</v>
      </c>
      <c r="I51" s="58" t="s">
        <v>10</v>
      </c>
      <c r="J51" s="59" t="s">
        <v>79</v>
      </c>
      <c r="K51" s="55"/>
    </row>
    <row r="52" spans="1:11" ht="12.75" customHeight="1" thickBot="1" x14ac:dyDescent="0.25">
      <c r="A52" s="60">
        <f t="shared" ref="A52:C55" si="14">G52+D52</f>
        <v>1065</v>
      </c>
      <c r="B52" s="60">
        <f t="shared" si="14"/>
        <v>0</v>
      </c>
      <c r="C52" s="60">
        <f t="shared" si="14"/>
        <v>1065</v>
      </c>
      <c r="D52" s="60">
        <f>F52+E52</f>
        <v>27</v>
      </c>
      <c r="E52" s="60">
        <v>0</v>
      </c>
      <c r="F52" s="60">
        <v>27</v>
      </c>
      <c r="G52" s="60">
        <f>I52+H52</f>
        <v>1038</v>
      </c>
      <c r="H52" s="60">
        <v>0</v>
      </c>
      <c r="I52" s="60">
        <v>1038</v>
      </c>
      <c r="J52" s="61" t="s">
        <v>95</v>
      </c>
      <c r="K52" s="55"/>
    </row>
    <row r="53" spans="1:11" ht="12.75" customHeight="1" thickBot="1" x14ac:dyDescent="0.25">
      <c r="A53" s="60">
        <f t="shared" si="14"/>
        <v>172</v>
      </c>
      <c r="B53" s="60">
        <f t="shared" si="14"/>
        <v>172</v>
      </c>
      <c r="C53" s="60">
        <f t="shared" si="14"/>
        <v>0</v>
      </c>
      <c r="D53" s="60">
        <f>F53+E53</f>
        <v>0</v>
      </c>
      <c r="E53" s="60">
        <v>0</v>
      </c>
      <c r="F53" s="60">
        <v>0</v>
      </c>
      <c r="G53" s="60">
        <f>I53+H53</f>
        <v>172</v>
      </c>
      <c r="H53" s="60">
        <v>172</v>
      </c>
      <c r="I53" s="60">
        <v>0</v>
      </c>
      <c r="J53" s="61" t="s">
        <v>96</v>
      </c>
      <c r="K53" s="55"/>
    </row>
    <row r="54" spans="1:11" ht="12.75" customHeight="1" thickBot="1" x14ac:dyDescent="0.25">
      <c r="A54" s="60">
        <f t="shared" si="14"/>
        <v>32</v>
      </c>
      <c r="B54" s="60">
        <f t="shared" si="14"/>
        <v>0</v>
      </c>
      <c r="C54" s="60">
        <f t="shared" si="14"/>
        <v>32</v>
      </c>
      <c r="D54" s="60">
        <f>F54+E54</f>
        <v>0</v>
      </c>
      <c r="E54" s="60">
        <v>0</v>
      </c>
      <c r="F54" s="60">
        <v>0</v>
      </c>
      <c r="G54" s="60">
        <f>I54+H54</f>
        <v>32</v>
      </c>
      <c r="H54" s="60">
        <v>0</v>
      </c>
      <c r="I54" s="60">
        <v>32</v>
      </c>
      <c r="J54" s="61" t="s">
        <v>248</v>
      </c>
      <c r="K54" s="55"/>
    </row>
    <row r="55" spans="1:11" ht="12.75" customHeight="1" thickBot="1" x14ac:dyDescent="0.25">
      <c r="A55" s="60">
        <f t="shared" si="14"/>
        <v>902</v>
      </c>
      <c r="B55" s="60">
        <f t="shared" si="14"/>
        <v>244</v>
      </c>
      <c r="C55" s="60">
        <f t="shared" si="14"/>
        <v>658</v>
      </c>
      <c r="D55" s="60">
        <f>F55+E55</f>
        <v>4</v>
      </c>
      <c r="E55" s="60">
        <v>4</v>
      </c>
      <c r="F55" s="60">
        <v>0</v>
      </c>
      <c r="G55" s="60">
        <f>I55+H55</f>
        <v>898</v>
      </c>
      <c r="H55" s="60">
        <v>240</v>
      </c>
      <c r="I55" s="60">
        <v>658</v>
      </c>
      <c r="J55" s="61" t="s">
        <v>249</v>
      </c>
      <c r="K55" s="55"/>
    </row>
    <row r="56" spans="1:11" ht="12.75" customHeight="1" thickBot="1" x14ac:dyDescent="0.25">
      <c r="A56" s="60">
        <f t="shared" ref="A56:I56" si="15">SUM(A52:A55)</f>
        <v>2171</v>
      </c>
      <c r="B56" s="60">
        <f t="shared" si="15"/>
        <v>416</v>
      </c>
      <c r="C56" s="60">
        <f t="shared" si="15"/>
        <v>1755</v>
      </c>
      <c r="D56" s="60">
        <f t="shared" si="15"/>
        <v>31</v>
      </c>
      <c r="E56" s="60">
        <f t="shared" si="15"/>
        <v>4</v>
      </c>
      <c r="F56" s="60">
        <f t="shared" si="15"/>
        <v>27</v>
      </c>
      <c r="G56" s="60">
        <f t="shared" si="15"/>
        <v>2140</v>
      </c>
      <c r="H56" s="60">
        <f t="shared" si="15"/>
        <v>412</v>
      </c>
      <c r="I56" s="60">
        <f t="shared" si="15"/>
        <v>1728</v>
      </c>
      <c r="J56" s="59" t="s">
        <v>211</v>
      </c>
      <c r="K56" s="55"/>
    </row>
    <row r="57" spans="1:11" ht="12.75" customHeight="1" x14ac:dyDescent="0.2">
      <c r="A57" s="177"/>
      <c r="B57" s="177"/>
      <c r="C57" s="177"/>
      <c r="D57" s="177"/>
      <c r="E57" s="177"/>
      <c r="F57" s="177"/>
      <c r="G57" s="177"/>
      <c r="H57" s="177"/>
      <c r="I57" s="177"/>
      <c r="J57" s="177"/>
      <c r="K57" s="55"/>
    </row>
    <row r="58" spans="1:11" ht="12.75" customHeight="1" x14ac:dyDescent="0.2">
      <c r="A58" s="177" t="s">
        <v>556</v>
      </c>
      <c r="B58" s="177"/>
      <c r="C58" s="177"/>
      <c r="D58" s="177"/>
      <c r="E58" s="177"/>
      <c r="F58" s="177"/>
      <c r="G58" s="177"/>
      <c r="H58" s="177"/>
      <c r="I58" s="177"/>
      <c r="J58" s="177"/>
      <c r="K58" s="55"/>
    </row>
    <row r="59" spans="1:11" ht="12.75" customHeight="1" thickBot="1" x14ac:dyDescent="0.25">
      <c r="A59" s="178" t="s">
        <v>557</v>
      </c>
      <c r="B59" s="178"/>
      <c r="C59" s="178"/>
      <c r="D59" s="178"/>
      <c r="E59" s="178"/>
      <c r="F59" s="178"/>
      <c r="G59" s="178"/>
      <c r="H59" s="178"/>
      <c r="I59" s="178"/>
      <c r="J59" s="178"/>
      <c r="K59" s="55"/>
    </row>
    <row r="60" spans="1:11" ht="12.75" customHeight="1" thickBot="1" x14ac:dyDescent="0.25">
      <c r="A60" s="179" t="s">
        <v>5</v>
      </c>
      <c r="B60" s="179"/>
      <c r="C60" s="179"/>
      <c r="D60" s="179" t="s">
        <v>162</v>
      </c>
      <c r="E60" s="179"/>
      <c r="F60" s="179"/>
      <c r="G60" s="179" t="s">
        <v>163</v>
      </c>
      <c r="H60" s="179"/>
      <c r="I60" s="179"/>
      <c r="J60" s="58" t="s">
        <v>72</v>
      </c>
      <c r="K60" s="55"/>
    </row>
    <row r="61" spans="1:11" ht="12.75" customHeight="1" thickBot="1" x14ac:dyDescent="0.25">
      <c r="A61" s="58" t="s">
        <v>216</v>
      </c>
      <c r="B61" s="58" t="s">
        <v>11</v>
      </c>
      <c r="C61" s="58" t="s">
        <v>10</v>
      </c>
      <c r="D61" s="58" t="s">
        <v>216</v>
      </c>
      <c r="E61" s="58" t="s">
        <v>11</v>
      </c>
      <c r="F61" s="58" t="s">
        <v>10</v>
      </c>
      <c r="G61" s="58" t="s">
        <v>216</v>
      </c>
      <c r="H61" s="58" t="s">
        <v>11</v>
      </c>
      <c r="I61" s="58" t="s">
        <v>10</v>
      </c>
      <c r="J61" s="59" t="s">
        <v>98</v>
      </c>
      <c r="K61" s="55"/>
    </row>
    <row r="62" spans="1:11" ht="12.75" customHeight="1" thickBot="1" x14ac:dyDescent="0.25">
      <c r="A62" s="60">
        <f t="shared" ref="A62:C63" si="16">G62+D62</f>
        <v>416</v>
      </c>
      <c r="B62" s="60">
        <f t="shared" si="16"/>
        <v>0</v>
      </c>
      <c r="C62" s="60">
        <f t="shared" si="16"/>
        <v>416</v>
      </c>
      <c r="D62" s="60">
        <f>F62+E62</f>
        <v>22</v>
      </c>
      <c r="E62" s="60">
        <v>0</v>
      </c>
      <c r="F62" s="60">
        <v>22</v>
      </c>
      <c r="G62" s="60">
        <f>I62+H62</f>
        <v>394</v>
      </c>
      <c r="H62" s="60">
        <v>0</v>
      </c>
      <c r="I62" s="60">
        <v>394</v>
      </c>
      <c r="J62" s="61" t="s">
        <v>97</v>
      </c>
      <c r="K62" s="55"/>
    </row>
    <row r="63" spans="1:11" ht="12.75" customHeight="1" thickBot="1" x14ac:dyDescent="0.25">
      <c r="A63" s="60">
        <f t="shared" si="16"/>
        <v>995</v>
      </c>
      <c r="B63" s="60">
        <f t="shared" si="16"/>
        <v>0</v>
      </c>
      <c r="C63" s="60">
        <f t="shared" si="16"/>
        <v>995</v>
      </c>
      <c r="D63" s="60">
        <f>F63+E63</f>
        <v>32</v>
      </c>
      <c r="E63" s="60">
        <v>0</v>
      </c>
      <c r="F63" s="60">
        <v>32</v>
      </c>
      <c r="G63" s="60">
        <f>I63+H63</f>
        <v>963</v>
      </c>
      <c r="H63" s="60">
        <v>0</v>
      </c>
      <c r="I63" s="60">
        <v>963</v>
      </c>
      <c r="J63" s="61" t="s">
        <v>99</v>
      </c>
      <c r="K63" s="55"/>
    </row>
    <row r="64" spans="1:11" ht="12.75" customHeight="1" thickBot="1" x14ac:dyDescent="0.25">
      <c r="A64" s="60">
        <f t="shared" ref="A64:I64" si="17">SUM(A62:A63)</f>
        <v>1411</v>
      </c>
      <c r="B64" s="60">
        <f t="shared" si="17"/>
        <v>0</v>
      </c>
      <c r="C64" s="60">
        <f t="shared" si="17"/>
        <v>1411</v>
      </c>
      <c r="D64" s="60">
        <f t="shared" si="17"/>
        <v>54</v>
      </c>
      <c r="E64" s="60">
        <f t="shared" si="17"/>
        <v>0</v>
      </c>
      <c r="F64" s="60">
        <f t="shared" si="17"/>
        <v>54</v>
      </c>
      <c r="G64" s="60">
        <f>SUM(G62:G63)</f>
        <v>1357</v>
      </c>
      <c r="H64" s="60">
        <f t="shared" si="17"/>
        <v>0</v>
      </c>
      <c r="I64" s="60">
        <f t="shared" si="17"/>
        <v>1357</v>
      </c>
      <c r="J64" s="59" t="s">
        <v>211</v>
      </c>
      <c r="K64" s="55"/>
    </row>
    <row r="65" spans="1:11" ht="12.75" customHeight="1" x14ac:dyDescent="0.2">
      <c r="A65" s="177"/>
      <c r="B65" s="177"/>
      <c r="C65" s="177"/>
      <c r="D65" s="177"/>
      <c r="E65" s="177"/>
      <c r="F65" s="177"/>
      <c r="G65" s="177"/>
      <c r="H65" s="177"/>
      <c r="I65" s="177"/>
      <c r="J65" s="177"/>
      <c r="K65" s="55"/>
    </row>
    <row r="66" spans="1:11" ht="12.75" customHeight="1" x14ac:dyDescent="0.2">
      <c r="A66" s="177" t="s">
        <v>556</v>
      </c>
      <c r="B66" s="177"/>
      <c r="C66" s="177"/>
      <c r="D66" s="177"/>
      <c r="E66" s="177"/>
      <c r="F66" s="177"/>
      <c r="G66" s="177"/>
      <c r="H66" s="177"/>
      <c r="I66" s="177"/>
      <c r="J66" s="177"/>
      <c r="K66" s="55"/>
    </row>
    <row r="67" spans="1:11" ht="12.75" customHeight="1" thickBot="1" x14ac:dyDescent="0.25">
      <c r="A67" s="178" t="s">
        <v>557</v>
      </c>
      <c r="B67" s="178"/>
      <c r="C67" s="178"/>
      <c r="D67" s="178"/>
      <c r="E67" s="178"/>
      <c r="F67" s="178"/>
      <c r="G67" s="178"/>
      <c r="H67" s="178"/>
      <c r="I67" s="178"/>
      <c r="J67" s="178"/>
      <c r="K67" s="55"/>
    </row>
    <row r="68" spans="1:11" ht="12.75" customHeight="1" thickBot="1" x14ac:dyDescent="0.25">
      <c r="A68" s="179" t="s">
        <v>5</v>
      </c>
      <c r="B68" s="179"/>
      <c r="C68" s="179"/>
      <c r="D68" s="179" t="s">
        <v>162</v>
      </c>
      <c r="E68" s="179"/>
      <c r="F68" s="179"/>
      <c r="G68" s="179" t="s">
        <v>163</v>
      </c>
      <c r="H68" s="179"/>
      <c r="I68" s="179"/>
      <c r="J68" s="58" t="s">
        <v>72</v>
      </c>
      <c r="K68" s="55"/>
    </row>
    <row r="69" spans="1:11" ht="12.75" customHeight="1" thickBot="1" x14ac:dyDescent="0.25">
      <c r="A69" s="58" t="s">
        <v>216</v>
      </c>
      <c r="B69" s="58" t="s">
        <v>11</v>
      </c>
      <c r="C69" s="58" t="s">
        <v>10</v>
      </c>
      <c r="D69" s="58" t="s">
        <v>216</v>
      </c>
      <c r="E69" s="58" t="s">
        <v>11</v>
      </c>
      <c r="F69" s="58" t="s">
        <v>10</v>
      </c>
      <c r="G69" s="58" t="s">
        <v>216</v>
      </c>
      <c r="H69" s="58" t="s">
        <v>11</v>
      </c>
      <c r="I69" s="58" t="s">
        <v>10</v>
      </c>
      <c r="J69" s="59" t="s">
        <v>80</v>
      </c>
      <c r="K69" s="55"/>
    </row>
    <row r="70" spans="1:11" ht="12.75" customHeight="1" thickBot="1" x14ac:dyDescent="0.25">
      <c r="A70" s="58">
        <f>SUM(B70:C70)</f>
        <v>33</v>
      </c>
      <c r="B70" s="58">
        <f>H70+E70</f>
        <v>0</v>
      </c>
      <c r="C70" s="58">
        <f>I70+F70</f>
        <v>33</v>
      </c>
      <c r="D70" s="58">
        <f>SUM(E70:F70)</f>
        <v>0</v>
      </c>
      <c r="E70" s="58">
        <v>0</v>
      </c>
      <c r="F70" s="58">
        <v>0</v>
      </c>
      <c r="G70" s="58">
        <f>SUM(H70:I70)</f>
        <v>33</v>
      </c>
      <c r="H70" s="58">
        <v>0</v>
      </c>
      <c r="I70" s="58">
        <v>33</v>
      </c>
      <c r="J70" s="113" t="s">
        <v>558</v>
      </c>
      <c r="K70" s="55"/>
    </row>
    <row r="71" spans="1:11" ht="12.75" customHeight="1" thickBot="1" x14ac:dyDescent="0.25">
      <c r="A71" s="60">
        <f>SUM(B71:C71)</f>
        <v>2346</v>
      </c>
      <c r="B71" s="60">
        <f>H71+E71</f>
        <v>1861</v>
      </c>
      <c r="C71" s="60">
        <f>I71+F71</f>
        <v>485</v>
      </c>
      <c r="D71" s="60">
        <f>SUM(E71:F71)</f>
        <v>32</v>
      </c>
      <c r="E71" s="60">
        <v>21</v>
      </c>
      <c r="F71" s="60">
        <v>11</v>
      </c>
      <c r="G71" s="60">
        <f>SUM(H71:I71)</f>
        <v>2314</v>
      </c>
      <c r="H71" s="60">
        <v>1840</v>
      </c>
      <c r="I71" s="60">
        <f>640-166</f>
        <v>474</v>
      </c>
      <c r="J71" s="61" t="s">
        <v>77</v>
      </c>
      <c r="K71" s="55"/>
    </row>
    <row r="72" spans="1:11" ht="12.75" customHeight="1" thickBot="1" x14ac:dyDescent="0.25">
      <c r="A72" s="60">
        <f t="shared" ref="A72:A79" si="18">SUM(B72:C72)</f>
        <v>549</v>
      </c>
      <c r="B72" s="60">
        <f t="shared" ref="B72:C79" si="19">H72+E72</f>
        <v>549</v>
      </c>
      <c r="C72" s="60">
        <f t="shared" si="19"/>
        <v>0</v>
      </c>
      <c r="D72" s="60">
        <f t="shared" ref="D72:D79" si="20">SUM(E72:F72)</f>
        <v>0</v>
      </c>
      <c r="E72" s="60">
        <v>0</v>
      </c>
      <c r="F72" s="60">
        <v>0</v>
      </c>
      <c r="G72" s="60">
        <f t="shared" ref="G72:G79" si="21">SUM(H72:I72)</f>
        <v>549</v>
      </c>
      <c r="H72" s="60">
        <v>549</v>
      </c>
      <c r="I72" s="60">
        <v>0</v>
      </c>
      <c r="J72" s="61" t="s">
        <v>100</v>
      </c>
      <c r="K72" s="55"/>
    </row>
    <row r="73" spans="1:11" ht="12.75" customHeight="1" thickBot="1" x14ac:dyDescent="0.25">
      <c r="A73" s="60">
        <f t="shared" si="18"/>
        <v>800</v>
      </c>
      <c r="B73" s="60">
        <f t="shared" si="19"/>
        <v>800</v>
      </c>
      <c r="C73" s="60">
        <f t="shared" si="19"/>
        <v>0</v>
      </c>
      <c r="D73" s="60">
        <f t="shared" si="20"/>
        <v>0</v>
      </c>
      <c r="E73" s="60">
        <v>0</v>
      </c>
      <c r="F73" s="60">
        <v>0</v>
      </c>
      <c r="G73" s="60">
        <f t="shared" si="21"/>
        <v>800</v>
      </c>
      <c r="H73" s="60">
        <v>800</v>
      </c>
      <c r="I73" s="60">
        <v>0</v>
      </c>
      <c r="J73" s="61" t="s">
        <v>101</v>
      </c>
      <c r="K73" s="55"/>
    </row>
    <row r="74" spans="1:11" ht="12.75" customHeight="1" thickBot="1" x14ac:dyDescent="0.25">
      <c r="A74" s="60">
        <f t="shared" si="18"/>
        <v>322</v>
      </c>
      <c r="B74" s="60">
        <f t="shared" si="19"/>
        <v>322</v>
      </c>
      <c r="C74" s="60">
        <f t="shared" si="19"/>
        <v>0</v>
      </c>
      <c r="D74" s="60">
        <f t="shared" si="20"/>
        <v>1</v>
      </c>
      <c r="E74" s="60">
        <v>1</v>
      </c>
      <c r="F74" s="60">
        <v>0</v>
      </c>
      <c r="G74" s="60">
        <f t="shared" si="21"/>
        <v>321</v>
      </c>
      <c r="H74" s="60">
        <v>321</v>
      </c>
      <c r="I74" s="60">
        <v>0</v>
      </c>
      <c r="J74" s="61" t="s">
        <v>251</v>
      </c>
      <c r="K74" s="55"/>
    </row>
    <row r="75" spans="1:11" ht="12.75" customHeight="1" thickBot="1" x14ac:dyDescent="0.25">
      <c r="A75" s="60">
        <f t="shared" si="18"/>
        <v>167</v>
      </c>
      <c r="B75" s="60">
        <f t="shared" si="19"/>
        <v>167</v>
      </c>
      <c r="C75" s="60">
        <f t="shared" si="19"/>
        <v>0</v>
      </c>
      <c r="D75" s="60">
        <f t="shared" si="20"/>
        <v>2</v>
      </c>
      <c r="E75" s="60">
        <v>2</v>
      </c>
      <c r="F75" s="60">
        <v>0</v>
      </c>
      <c r="G75" s="60">
        <f t="shared" si="21"/>
        <v>165</v>
      </c>
      <c r="H75" s="60">
        <v>165</v>
      </c>
      <c r="I75" s="60">
        <v>0</v>
      </c>
      <c r="J75" s="61" t="s">
        <v>252</v>
      </c>
      <c r="K75" s="55"/>
    </row>
    <row r="76" spans="1:11" ht="12.75" customHeight="1" thickBot="1" x14ac:dyDescent="0.25">
      <c r="A76" s="60">
        <f t="shared" si="18"/>
        <v>208</v>
      </c>
      <c r="B76" s="60">
        <f t="shared" si="19"/>
        <v>208</v>
      </c>
      <c r="C76" s="60">
        <f t="shared" si="19"/>
        <v>0</v>
      </c>
      <c r="D76" s="60">
        <f t="shared" si="20"/>
        <v>0</v>
      </c>
      <c r="E76" s="60">
        <v>0</v>
      </c>
      <c r="F76" s="60">
        <v>0</v>
      </c>
      <c r="G76" s="60">
        <f t="shared" si="21"/>
        <v>208</v>
      </c>
      <c r="H76" s="60">
        <v>208</v>
      </c>
      <c r="I76" s="60">
        <v>0</v>
      </c>
      <c r="J76" s="61" t="s">
        <v>253</v>
      </c>
      <c r="K76" s="55"/>
    </row>
    <row r="77" spans="1:11" ht="12.75" customHeight="1" thickBot="1" x14ac:dyDescent="0.25">
      <c r="A77" s="60">
        <f t="shared" si="18"/>
        <v>279</v>
      </c>
      <c r="B77" s="60">
        <f t="shared" si="19"/>
        <v>279</v>
      </c>
      <c r="C77" s="60">
        <f t="shared" si="19"/>
        <v>0</v>
      </c>
      <c r="D77" s="60">
        <f t="shared" si="20"/>
        <v>0</v>
      </c>
      <c r="E77" s="60">
        <v>0</v>
      </c>
      <c r="F77" s="60">
        <v>0</v>
      </c>
      <c r="G77" s="60">
        <f t="shared" si="21"/>
        <v>279</v>
      </c>
      <c r="H77" s="60">
        <v>279</v>
      </c>
      <c r="I77" s="60">
        <v>0</v>
      </c>
      <c r="J77" s="61" t="s">
        <v>254</v>
      </c>
      <c r="K77" s="55"/>
    </row>
    <row r="78" spans="1:11" ht="12.75" customHeight="1" thickBot="1" x14ac:dyDescent="0.25">
      <c r="A78" s="60">
        <f t="shared" si="18"/>
        <v>282</v>
      </c>
      <c r="B78" s="60">
        <f t="shared" si="19"/>
        <v>0</v>
      </c>
      <c r="C78" s="60">
        <f t="shared" si="19"/>
        <v>282</v>
      </c>
      <c r="D78" s="60">
        <f t="shared" si="20"/>
        <v>0</v>
      </c>
      <c r="E78" s="60">
        <v>0</v>
      </c>
      <c r="F78" s="60">
        <v>0</v>
      </c>
      <c r="G78" s="60">
        <f t="shared" si="21"/>
        <v>282</v>
      </c>
      <c r="H78" s="60">
        <v>0</v>
      </c>
      <c r="I78" s="60">
        <f>365-83</f>
        <v>282</v>
      </c>
      <c r="J78" s="61" t="s">
        <v>255</v>
      </c>
      <c r="K78" s="55"/>
    </row>
    <row r="79" spans="1:11" ht="12.75" customHeight="1" thickBot="1" x14ac:dyDescent="0.25">
      <c r="A79" s="60">
        <f t="shared" si="18"/>
        <v>582</v>
      </c>
      <c r="B79" s="60">
        <f t="shared" si="19"/>
        <v>0</v>
      </c>
      <c r="C79" s="60">
        <f t="shared" si="19"/>
        <v>582</v>
      </c>
      <c r="D79" s="60">
        <f t="shared" si="20"/>
        <v>0</v>
      </c>
      <c r="E79" s="60">
        <v>0</v>
      </c>
      <c r="F79" s="60">
        <v>0</v>
      </c>
      <c r="G79" s="60">
        <f t="shared" si="21"/>
        <v>582</v>
      </c>
      <c r="H79" s="60">
        <v>0</v>
      </c>
      <c r="I79" s="60">
        <f>750-168</f>
        <v>582</v>
      </c>
      <c r="J79" s="61" t="s">
        <v>256</v>
      </c>
      <c r="K79" s="55"/>
    </row>
    <row r="80" spans="1:11" ht="12.75" customHeight="1" thickBot="1" x14ac:dyDescent="0.25">
      <c r="A80" s="60">
        <f t="shared" ref="A80:H80" si="22">SUM(A70:A79)</f>
        <v>5568</v>
      </c>
      <c r="B80" s="60">
        <f t="shared" si="22"/>
        <v>4186</v>
      </c>
      <c r="C80" s="60">
        <f t="shared" si="22"/>
        <v>1382</v>
      </c>
      <c r="D80" s="60">
        <f t="shared" si="22"/>
        <v>35</v>
      </c>
      <c r="E80" s="60">
        <f t="shared" si="22"/>
        <v>24</v>
      </c>
      <c r="F80" s="60">
        <f t="shared" si="22"/>
        <v>11</v>
      </c>
      <c r="G80" s="60">
        <f t="shared" si="22"/>
        <v>5533</v>
      </c>
      <c r="H80" s="60">
        <f t="shared" si="22"/>
        <v>4162</v>
      </c>
      <c r="I80" s="60">
        <f>SUM(I70:I79)</f>
        <v>1371</v>
      </c>
      <c r="J80" s="59" t="s">
        <v>211</v>
      </c>
      <c r="K80" s="55"/>
    </row>
    <row r="81" spans="1:11" ht="12.75" customHeight="1" x14ac:dyDescent="0.2">
      <c r="A81" s="177"/>
      <c r="B81" s="177"/>
      <c r="C81" s="177"/>
      <c r="D81" s="177"/>
      <c r="E81" s="177"/>
      <c r="F81" s="177"/>
      <c r="G81" s="177"/>
      <c r="H81" s="177"/>
      <c r="I81" s="177"/>
      <c r="J81" s="177"/>
      <c r="K81" s="55"/>
    </row>
    <row r="82" spans="1:11" ht="12.75" customHeight="1" x14ac:dyDescent="0.2">
      <c r="A82" s="177" t="s">
        <v>556</v>
      </c>
      <c r="B82" s="177"/>
      <c r="C82" s="177"/>
      <c r="D82" s="177"/>
      <c r="E82" s="177"/>
      <c r="F82" s="177"/>
      <c r="G82" s="177"/>
      <c r="H82" s="177"/>
      <c r="I82" s="177"/>
      <c r="J82" s="177"/>
      <c r="K82" s="55"/>
    </row>
    <row r="83" spans="1:11" ht="12.75" customHeight="1" thickBot="1" x14ac:dyDescent="0.25">
      <c r="A83" s="178" t="s">
        <v>557</v>
      </c>
      <c r="B83" s="178"/>
      <c r="C83" s="178"/>
      <c r="D83" s="178"/>
      <c r="E83" s="178"/>
      <c r="F83" s="178"/>
      <c r="G83" s="178"/>
      <c r="H83" s="178"/>
      <c r="I83" s="178"/>
      <c r="J83" s="178"/>
      <c r="K83" s="55"/>
    </row>
    <row r="84" spans="1:11" ht="12.75" customHeight="1" thickBot="1" x14ac:dyDescent="0.25">
      <c r="A84" s="179" t="s">
        <v>5</v>
      </c>
      <c r="B84" s="179"/>
      <c r="C84" s="179"/>
      <c r="D84" s="179" t="s">
        <v>162</v>
      </c>
      <c r="E84" s="179"/>
      <c r="F84" s="179"/>
      <c r="G84" s="179" t="s">
        <v>163</v>
      </c>
      <c r="H84" s="179"/>
      <c r="I84" s="179"/>
      <c r="J84" s="58" t="s">
        <v>72</v>
      </c>
      <c r="K84" s="55"/>
    </row>
    <row r="85" spans="1:11" ht="12.75" customHeight="1" thickBot="1" x14ac:dyDescent="0.25">
      <c r="A85" s="58" t="s">
        <v>216</v>
      </c>
      <c r="B85" s="58" t="s">
        <v>11</v>
      </c>
      <c r="C85" s="58" t="s">
        <v>10</v>
      </c>
      <c r="D85" s="58" t="s">
        <v>216</v>
      </c>
      <c r="E85" s="58" t="s">
        <v>11</v>
      </c>
      <c r="F85" s="58" t="s">
        <v>10</v>
      </c>
      <c r="G85" s="58" t="s">
        <v>216</v>
      </c>
      <c r="H85" s="58" t="s">
        <v>11</v>
      </c>
      <c r="I85" s="58" t="s">
        <v>10</v>
      </c>
      <c r="J85" s="59" t="s">
        <v>81</v>
      </c>
      <c r="K85" s="55"/>
    </row>
    <row r="86" spans="1:11" ht="12.75" customHeight="1" thickBot="1" x14ac:dyDescent="0.25">
      <c r="A86" s="60">
        <f t="shared" ref="A86:C93" si="23">G86+D86</f>
        <v>31</v>
      </c>
      <c r="B86" s="60">
        <f t="shared" si="23"/>
        <v>0</v>
      </c>
      <c r="C86" s="60">
        <f t="shared" si="23"/>
        <v>31</v>
      </c>
      <c r="D86" s="60">
        <f t="shared" ref="D86:D93" si="24">F86+E86</f>
        <v>0</v>
      </c>
      <c r="E86" s="60">
        <v>0</v>
      </c>
      <c r="F86" s="60">
        <v>0</v>
      </c>
      <c r="G86" s="60">
        <f t="shared" ref="G86:G91" si="25">I86+H86</f>
        <v>31</v>
      </c>
      <c r="H86" s="60">
        <v>0</v>
      </c>
      <c r="I86" s="60">
        <v>31</v>
      </c>
      <c r="J86" s="61" t="s">
        <v>257</v>
      </c>
      <c r="K86" s="55"/>
    </row>
    <row r="87" spans="1:11" ht="12.75" customHeight="1" thickBot="1" x14ac:dyDescent="0.25">
      <c r="A87" s="60">
        <f t="shared" si="23"/>
        <v>122</v>
      </c>
      <c r="B87" s="60">
        <f t="shared" si="23"/>
        <v>0</v>
      </c>
      <c r="C87" s="60">
        <f t="shared" si="23"/>
        <v>122</v>
      </c>
      <c r="D87" s="60">
        <f t="shared" si="24"/>
        <v>0</v>
      </c>
      <c r="E87" s="60">
        <v>0</v>
      </c>
      <c r="F87" s="60">
        <v>0</v>
      </c>
      <c r="G87" s="60">
        <f t="shared" si="25"/>
        <v>122</v>
      </c>
      <c r="H87" s="60">
        <v>0</v>
      </c>
      <c r="I87" s="60">
        <f>205-83</f>
        <v>122</v>
      </c>
      <c r="J87" s="61" t="s">
        <v>102</v>
      </c>
      <c r="K87" s="55"/>
    </row>
    <row r="88" spans="1:11" ht="12.75" customHeight="1" thickBot="1" x14ac:dyDescent="0.25">
      <c r="A88" s="60">
        <f t="shared" si="23"/>
        <v>766</v>
      </c>
      <c r="B88" s="60">
        <f t="shared" si="23"/>
        <v>0</v>
      </c>
      <c r="C88" s="60">
        <f t="shared" si="23"/>
        <v>766</v>
      </c>
      <c r="D88" s="60">
        <f t="shared" si="24"/>
        <v>3</v>
      </c>
      <c r="E88" s="60">
        <v>0</v>
      </c>
      <c r="F88" s="60">
        <v>3</v>
      </c>
      <c r="G88" s="60">
        <f t="shared" si="25"/>
        <v>763</v>
      </c>
      <c r="H88" s="60">
        <v>0</v>
      </c>
      <c r="I88" s="60">
        <f>954-191</f>
        <v>763</v>
      </c>
      <c r="J88" s="61" t="s">
        <v>103</v>
      </c>
      <c r="K88" s="55"/>
    </row>
    <row r="89" spans="1:11" ht="12.75" customHeight="1" thickBot="1" x14ac:dyDescent="0.25">
      <c r="A89" s="60">
        <f t="shared" si="23"/>
        <v>853</v>
      </c>
      <c r="B89" s="60">
        <f t="shared" si="23"/>
        <v>853</v>
      </c>
      <c r="C89" s="60">
        <f t="shared" si="23"/>
        <v>0</v>
      </c>
      <c r="D89" s="60">
        <f t="shared" si="24"/>
        <v>0</v>
      </c>
      <c r="E89" s="60">
        <v>0</v>
      </c>
      <c r="F89" s="60">
        <v>0</v>
      </c>
      <c r="G89" s="60">
        <f t="shared" si="25"/>
        <v>853</v>
      </c>
      <c r="H89" s="60">
        <v>853</v>
      </c>
      <c r="I89" s="60">
        <v>0</v>
      </c>
      <c r="J89" s="61" t="s">
        <v>104</v>
      </c>
      <c r="K89" s="55"/>
    </row>
    <row r="90" spans="1:11" ht="12.75" customHeight="1" thickBot="1" x14ac:dyDescent="0.25">
      <c r="A90" s="60">
        <f t="shared" si="23"/>
        <v>1477</v>
      </c>
      <c r="B90" s="60">
        <f t="shared" si="23"/>
        <v>1477</v>
      </c>
      <c r="C90" s="60">
        <f t="shared" si="23"/>
        <v>0</v>
      </c>
      <c r="D90" s="60">
        <f t="shared" si="24"/>
        <v>0</v>
      </c>
      <c r="E90" s="60">
        <v>0</v>
      </c>
      <c r="F90" s="60">
        <v>0</v>
      </c>
      <c r="G90" s="60">
        <f t="shared" si="25"/>
        <v>1477</v>
      </c>
      <c r="H90" s="60">
        <v>1477</v>
      </c>
      <c r="I90" s="60">
        <v>0</v>
      </c>
      <c r="J90" s="61" t="s">
        <v>258</v>
      </c>
      <c r="K90" s="55"/>
    </row>
    <row r="91" spans="1:11" ht="12.75" customHeight="1" thickBot="1" x14ac:dyDescent="0.25">
      <c r="A91" s="60">
        <f>G91+D91</f>
        <v>249</v>
      </c>
      <c r="B91" s="60">
        <f t="shared" si="23"/>
        <v>0</v>
      </c>
      <c r="C91" s="60">
        <f t="shared" si="23"/>
        <v>249</v>
      </c>
      <c r="D91" s="60">
        <f>F91+E91</f>
        <v>0</v>
      </c>
      <c r="E91" s="60">
        <v>0</v>
      </c>
      <c r="F91" s="60">
        <v>0</v>
      </c>
      <c r="G91" s="60">
        <f t="shared" si="25"/>
        <v>249</v>
      </c>
      <c r="H91" s="60">
        <v>0</v>
      </c>
      <c r="I91" s="60">
        <f>315-66</f>
        <v>249</v>
      </c>
      <c r="J91" s="61" t="s">
        <v>259</v>
      </c>
      <c r="K91" s="55"/>
    </row>
    <row r="92" spans="1:11" ht="12.75" customHeight="1" thickBot="1" x14ac:dyDescent="0.25">
      <c r="A92" s="60">
        <f t="shared" si="23"/>
        <v>256</v>
      </c>
      <c r="B92" s="60">
        <f t="shared" si="23"/>
        <v>0</v>
      </c>
      <c r="C92" s="60">
        <f t="shared" si="23"/>
        <v>256</v>
      </c>
      <c r="D92" s="60">
        <f t="shared" si="24"/>
        <v>0</v>
      </c>
      <c r="E92" s="60">
        <v>0</v>
      </c>
      <c r="F92" s="60">
        <v>0</v>
      </c>
      <c r="G92" s="60">
        <f>I92+H92</f>
        <v>256</v>
      </c>
      <c r="H92" s="60">
        <v>0</v>
      </c>
      <c r="I92" s="60">
        <f>333-77</f>
        <v>256</v>
      </c>
      <c r="J92" s="61" t="s">
        <v>260</v>
      </c>
      <c r="K92" s="55"/>
    </row>
    <row r="93" spans="1:11" ht="12.75" customHeight="1" thickBot="1" x14ac:dyDescent="0.25">
      <c r="A93" s="60">
        <f t="shared" si="23"/>
        <v>38</v>
      </c>
      <c r="B93" s="60">
        <f t="shared" si="23"/>
        <v>0</v>
      </c>
      <c r="C93" s="60">
        <f t="shared" si="23"/>
        <v>38</v>
      </c>
      <c r="D93" s="60">
        <f t="shared" si="24"/>
        <v>0</v>
      </c>
      <c r="E93" s="60">
        <v>0</v>
      </c>
      <c r="F93" s="60">
        <v>0</v>
      </c>
      <c r="G93" s="60">
        <f>I93+H93</f>
        <v>38</v>
      </c>
      <c r="H93" s="60">
        <v>0</v>
      </c>
      <c r="I93" s="60">
        <v>38</v>
      </c>
      <c r="J93" s="61" t="s">
        <v>106</v>
      </c>
      <c r="K93" s="55"/>
    </row>
    <row r="94" spans="1:11" ht="12.75" customHeight="1" thickBot="1" x14ac:dyDescent="0.25">
      <c r="A94" s="60">
        <f t="shared" ref="A94:I94" si="26">SUM(A86:A93)</f>
        <v>3792</v>
      </c>
      <c r="B94" s="60">
        <f t="shared" si="26"/>
        <v>2330</v>
      </c>
      <c r="C94" s="60">
        <f t="shared" si="26"/>
        <v>1462</v>
      </c>
      <c r="D94" s="60">
        <f t="shared" si="26"/>
        <v>3</v>
      </c>
      <c r="E94" s="60">
        <f t="shared" si="26"/>
        <v>0</v>
      </c>
      <c r="F94" s="60">
        <f t="shared" si="26"/>
        <v>3</v>
      </c>
      <c r="G94" s="60">
        <f t="shared" si="26"/>
        <v>3789</v>
      </c>
      <c r="H94" s="60">
        <f t="shared" si="26"/>
        <v>2330</v>
      </c>
      <c r="I94" s="60">
        <f t="shared" si="26"/>
        <v>1459</v>
      </c>
      <c r="J94" s="59" t="s">
        <v>211</v>
      </c>
      <c r="K94" s="55"/>
    </row>
    <row r="95" spans="1:11" ht="12.75" customHeight="1" x14ac:dyDescent="0.2">
      <c r="A95" s="177"/>
      <c r="B95" s="177"/>
      <c r="C95" s="177"/>
      <c r="D95" s="177"/>
      <c r="E95" s="177"/>
      <c r="F95" s="177"/>
      <c r="G95" s="177"/>
      <c r="H95" s="177"/>
      <c r="I95" s="177"/>
      <c r="J95" s="177"/>
      <c r="K95" s="55"/>
    </row>
    <row r="96" spans="1:11" ht="12.75" customHeight="1" x14ac:dyDescent="0.2">
      <c r="A96" s="177" t="s">
        <v>556</v>
      </c>
      <c r="B96" s="177"/>
      <c r="C96" s="177"/>
      <c r="D96" s="177"/>
      <c r="E96" s="177"/>
      <c r="F96" s="177"/>
      <c r="G96" s="177"/>
      <c r="H96" s="177"/>
      <c r="I96" s="177"/>
      <c r="J96" s="177"/>
      <c r="K96" s="55"/>
    </row>
    <row r="97" spans="1:11" ht="12.75" customHeight="1" thickBot="1" x14ac:dyDescent="0.25">
      <c r="A97" s="178" t="s">
        <v>557</v>
      </c>
      <c r="B97" s="178"/>
      <c r="C97" s="178"/>
      <c r="D97" s="178"/>
      <c r="E97" s="178"/>
      <c r="F97" s="178"/>
      <c r="G97" s="178"/>
      <c r="H97" s="178"/>
      <c r="I97" s="178"/>
      <c r="J97" s="178"/>
      <c r="K97" s="55"/>
    </row>
    <row r="98" spans="1:11" ht="12.75" customHeight="1" thickBot="1" x14ac:dyDescent="0.25">
      <c r="A98" s="179" t="s">
        <v>5</v>
      </c>
      <c r="B98" s="179"/>
      <c r="C98" s="179"/>
      <c r="D98" s="179" t="s">
        <v>162</v>
      </c>
      <c r="E98" s="179"/>
      <c r="F98" s="179"/>
      <c r="G98" s="179" t="s">
        <v>163</v>
      </c>
      <c r="H98" s="179"/>
      <c r="I98" s="179"/>
      <c r="J98" s="58" t="s">
        <v>72</v>
      </c>
      <c r="K98" s="55"/>
    </row>
    <row r="99" spans="1:11" ht="12.75" customHeight="1" thickBot="1" x14ac:dyDescent="0.25">
      <c r="A99" s="58" t="s">
        <v>216</v>
      </c>
      <c r="B99" s="58" t="s">
        <v>11</v>
      </c>
      <c r="C99" s="58" t="s">
        <v>10</v>
      </c>
      <c r="D99" s="58" t="s">
        <v>216</v>
      </c>
      <c r="E99" s="58" t="s">
        <v>11</v>
      </c>
      <c r="F99" s="58" t="s">
        <v>10</v>
      </c>
      <c r="G99" s="58" t="s">
        <v>216</v>
      </c>
      <c r="H99" s="58" t="s">
        <v>11</v>
      </c>
      <c r="I99" s="58" t="s">
        <v>10</v>
      </c>
      <c r="J99" s="59" t="s">
        <v>108</v>
      </c>
      <c r="K99" s="55"/>
    </row>
    <row r="100" spans="1:11" ht="12.75" customHeight="1" thickBot="1" x14ac:dyDescent="0.25">
      <c r="A100" s="60">
        <f>SUM(B100:C100)</f>
        <v>110</v>
      </c>
      <c r="B100" s="60">
        <f>H100+E100</f>
        <v>0</v>
      </c>
      <c r="C100" s="60">
        <f>I100+F100</f>
        <v>110</v>
      </c>
      <c r="D100" s="60">
        <f>SUM(E100:F100)</f>
        <v>0</v>
      </c>
      <c r="E100" s="60">
        <v>0</v>
      </c>
      <c r="F100" s="60">
        <v>0</v>
      </c>
      <c r="G100" s="60">
        <f>SUM(H100:I100)</f>
        <v>110</v>
      </c>
      <c r="H100" s="60">
        <v>0</v>
      </c>
      <c r="I100" s="60">
        <v>110</v>
      </c>
      <c r="J100" s="61" t="s">
        <v>437</v>
      </c>
      <c r="K100" s="55"/>
    </row>
    <row r="101" spans="1:11" ht="12.75" customHeight="1" thickBot="1" x14ac:dyDescent="0.25">
      <c r="A101" s="60">
        <f t="shared" ref="A101:A103" si="27">SUM(B101:C101)</f>
        <v>638</v>
      </c>
      <c r="B101" s="60">
        <f t="shared" ref="B101:C103" si="28">H101+E101</f>
        <v>0</v>
      </c>
      <c r="C101" s="60">
        <f t="shared" si="28"/>
        <v>638</v>
      </c>
      <c r="D101" s="60">
        <f t="shared" ref="D101:D103" si="29">SUM(E101:F101)</f>
        <v>0</v>
      </c>
      <c r="E101" s="60">
        <v>0</v>
      </c>
      <c r="F101" s="60">
        <v>0</v>
      </c>
      <c r="G101" s="60">
        <f t="shared" ref="G101:G103" si="30">SUM(H101:I101)</f>
        <v>638</v>
      </c>
      <c r="H101" s="60">
        <v>0</v>
      </c>
      <c r="I101" s="60">
        <v>638</v>
      </c>
      <c r="J101" s="61" t="s">
        <v>107</v>
      </c>
      <c r="K101" s="55"/>
    </row>
    <row r="102" spans="1:11" ht="12.75" customHeight="1" thickBot="1" x14ac:dyDescent="0.25">
      <c r="A102" s="60">
        <f t="shared" si="27"/>
        <v>156</v>
      </c>
      <c r="B102" s="60">
        <f t="shared" si="28"/>
        <v>156</v>
      </c>
      <c r="C102" s="60">
        <f t="shared" si="28"/>
        <v>0</v>
      </c>
      <c r="D102" s="60">
        <f t="shared" si="29"/>
        <v>0</v>
      </c>
      <c r="E102" s="60">
        <v>0</v>
      </c>
      <c r="F102" s="60">
        <v>0</v>
      </c>
      <c r="G102" s="60">
        <f t="shared" si="30"/>
        <v>156</v>
      </c>
      <c r="H102" s="60">
        <v>156</v>
      </c>
      <c r="I102" s="60">
        <v>0</v>
      </c>
      <c r="J102" s="61" t="s">
        <v>559</v>
      </c>
      <c r="K102" s="55"/>
    </row>
    <row r="103" spans="1:11" ht="12.75" customHeight="1" thickBot="1" x14ac:dyDescent="0.25">
      <c r="A103" s="60">
        <f t="shared" si="27"/>
        <v>205</v>
      </c>
      <c r="B103" s="60">
        <f t="shared" si="28"/>
        <v>0</v>
      </c>
      <c r="C103" s="60">
        <f t="shared" si="28"/>
        <v>205</v>
      </c>
      <c r="D103" s="60">
        <f t="shared" si="29"/>
        <v>0</v>
      </c>
      <c r="E103" s="60">
        <v>0</v>
      </c>
      <c r="F103" s="60">
        <v>0</v>
      </c>
      <c r="G103" s="60">
        <f t="shared" si="30"/>
        <v>205</v>
      </c>
      <c r="H103" s="60">
        <v>0</v>
      </c>
      <c r="I103" s="60">
        <v>205</v>
      </c>
      <c r="J103" s="61" t="s">
        <v>109</v>
      </c>
      <c r="K103" s="55"/>
    </row>
    <row r="104" spans="1:11" ht="12.75" customHeight="1" thickBot="1" x14ac:dyDescent="0.25">
      <c r="A104" s="60">
        <f t="shared" ref="A104:H104" si="31">SUM(A100:A103)</f>
        <v>1109</v>
      </c>
      <c r="B104" s="60">
        <f t="shared" si="31"/>
        <v>156</v>
      </c>
      <c r="C104" s="60">
        <f t="shared" si="31"/>
        <v>953</v>
      </c>
      <c r="D104" s="60">
        <f t="shared" si="31"/>
        <v>0</v>
      </c>
      <c r="E104" s="60">
        <f t="shared" si="31"/>
        <v>0</v>
      </c>
      <c r="F104" s="60">
        <f t="shared" si="31"/>
        <v>0</v>
      </c>
      <c r="G104" s="60">
        <f t="shared" si="31"/>
        <v>1109</v>
      </c>
      <c r="H104" s="60">
        <f t="shared" si="31"/>
        <v>156</v>
      </c>
      <c r="I104" s="60">
        <f>SUM(I100:I103)</f>
        <v>953</v>
      </c>
      <c r="J104" s="59" t="s">
        <v>211</v>
      </c>
      <c r="K104" s="55"/>
    </row>
    <row r="105" spans="1:11" ht="12.75" customHeight="1" x14ac:dyDescent="0.2">
      <c r="A105" s="177"/>
      <c r="B105" s="177"/>
      <c r="C105" s="177"/>
      <c r="D105" s="177"/>
      <c r="E105" s="177"/>
      <c r="F105" s="177"/>
      <c r="G105" s="177"/>
      <c r="H105" s="177"/>
      <c r="I105" s="177"/>
      <c r="J105" s="177"/>
      <c r="K105" s="55"/>
    </row>
    <row r="106" spans="1:11" ht="12.75" customHeight="1" x14ac:dyDescent="0.2">
      <c r="A106" s="177" t="s">
        <v>556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55"/>
    </row>
    <row r="107" spans="1:11" ht="12.75" customHeight="1" thickBot="1" x14ac:dyDescent="0.25">
      <c r="A107" s="178" t="s">
        <v>557</v>
      </c>
      <c r="B107" s="178"/>
      <c r="C107" s="178"/>
      <c r="D107" s="178"/>
      <c r="E107" s="178"/>
      <c r="F107" s="178"/>
      <c r="G107" s="178"/>
      <c r="H107" s="178"/>
      <c r="I107" s="178"/>
      <c r="J107" s="178"/>
      <c r="K107" s="55"/>
    </row>
    <row r="108" spans="1:11" ht="12.75" customHeight="1" thickBot="1" x14ac:dyDescent="0.25">
      <c r="A108" s="179" t="s">
        <v>5</v>
      </c>
      <c r="B108" s="179"/>
      <c r="C108" s="179"/>
      <c r="D108" s="179" t="s">
        <v>162</v>
      </c>
      <c r="E108" s="179"/>
      <c r="F108" s="179"/>
      <c r="G108" s="179" t="s">
        <v>163</v>
      </c>
      <c r="H108" s="179"/>
      <c r="I108" s="179"/>
      <c r="J108" s="58" t="s">
        <v>72</v>
      </c>
      <c r="K108" s="55"/>
    </row>
    <row r="109" spans="1:11" ht="12.75" customHeight="1" thickBot="1" x14ac:dyDescent="0.25">
      <c r="A109" s="58" t="s">
        <v>216</v>
      </c>
      <c r="B109" s="58" t="s">
        <v>11</v>
      </c>
      <c r="C109" s="58" t="s">
        <v>10</v>
      </c>
      <c r="D109" s="58" t="s">
        <v>216</v>
      </c>
      <c r="E109" s="58" t="s">
        <v>11</v>
      </c>
      <c r="F109" s="58" t="s">
        <v>10</v>
      </c>
      <c r="G109" s="58" t="s">
        <v>216</v>
      </c>
      <c r="H109" s="58" t="s">
        <v>11</v>
      </c>
      <c r="I109" s="58" t="s">
        <v>10</v>
      </c>
      <c r="J109" s="59" t="s">
        <v>82</v>
      </c>
      <c r="K109" s="55"/>
    </row>
    <row r="110" spans="1:11" ht="12.75" customHeight="1" thickBot="1" x14ac:dyDescent="0.25">
      <c r="A110" s="60">
        <f>SUM(B110:C110)</f>
        <v>553</v>
      </c>
      <c r="B110" s="60">
        <f>H110+E110</f>
        <v>553</v>
      </c>
      <c r="C110" s="60">
        <f>I110+F110</f>
        <v>0</v>
      </c>
      <c r="D110" s="60">
        <f>SUM(E110:F110)</f>
        <v>0</v>
      </c>
      <c r="E110" s="60">
        <v>0</v>
      </c>
      <c r="F110" s="60">
        <v>0</v>
      </c>
      <c r="G110" s="60">
        <f>SUM(H110:I110)</f>
        <v>553</v>
      </c>
      <c r="H110" s="60">
        <v>553</v>
      </c>
      <c r="I110" s="60">
        <v>0</v>
      </c>
      <c r="J110" s="61" t="s">
        <v>111</v>
      </c>
      <c r="K110" s="55"/>
    </row>
    <row r="111" spans="1:11" ht="12.75" customHeight="1" thickBot="1" x14ac:dyDescent="0.25">
      <c r="A111" s="60">
        <f t="shared" ref="A111:A112" si="32">SUM(B111:C111)</f>
        <v>1252</v>
      </c>
      <c r="B111" s="60">
        <f t="shared" ref="B111:C112" si="33">H111+E111</f>
        <v>602</v>
      </c>
      <c r="C111" s="60">
        <f t="shared" si="33"/>
        <v>650</v>
      </c>
      <c r="D111" s="60">
        <f t="shared" ref="D111:D112" si="34">SUM(E111:F111)</f>
        <v>20</v>
      </c>
      <c r="E111" s="60">
        <v>12</v>
      </c>
      <c r="F111" s="60">
        <v>8</v>
      </c>
      <c r="G111" s="60">
        <f t="shared" ref="G111:G112" si="35">SUM(H111:I111)</f>
        <v>1232</v>
      </c>
      <c r="H111" s="60">
        <v>590</v>
      </c>
      <c r="I111" s="60">
        <v>642</v>
      </c>
      <c r="J111" s="61" t="s">
        <v>112</v>
      </c>
      <c r="K111" s="55"/>
    </row>
    <row r="112" spans="1:11" ht="12.75" customHeight="1" thickBot="1" x14ac:dyDescent="0.25">
      <c r="A112" s="60">
        <f t="shared" si="32"/>
        <v>908</v>
      </c>
      <c r="B112" s="60">
        <f t="shared" si="33"/>
        <v>567</v>
      </c>
      <c r="C112" s="60">
        <f t="shared" si="33"/>
        <v>341</v>
      </c>
      <c r="D112" s="60">
        <f t="shared" si="34"/>
        <v>14</v>
      </c>
      <c r="E112" s="60">
        <v>11</v>
      </c>
      <c r="F112" s="60">
        <v>3</v>
      </c>
      <c r="G112" s="60">
        <f t="shared" si="35"/>
        <v>894</v>
      </c>
      <c r="H112" s="60">
        <v>556</v>
      </c>
      <c r="I112" s="60">
        <v>338</v>
      </c>
      <c r="J112" s="61" t="s">
        <v>213</v>
      </c>
      <c r="K112" s="55"/>
    </row>
    <row r="113" spans="1:11" ht="12.75" customHeight="1" thickBot="1" x14ac:dyDescent="0.25">
      <c r="A113" s="60">
        <f t="shared" ref="A113:H113" si="36">SUM(A110:A112)</f>
        <v>2713</v>
      </c>
      <c r="B113" s="60">
        <f t="shared" si="36"/>
        <v>1722</v>
      </c>
      <c r="C113" s="60">
        <f t="shared" si="36"/>
        <v>991</v>
      </c>
      <c r="D113" s="60">
        <f t="shared" si="36"/>
        <v>34</v>
      </c>
      <c r="E113" s="60">
        <f t="shared" si="36"/>
        <v>23</v>
      </c>
      <c r="F113" s="60">
        <f t="shared" si="36"/>
        <v>11</v>
      </c>
      <c r="G113" s="60">
        <f t="shared" si="36"/>
        <v>2679</v>
      </c>
      <c r="H113" s="60">
        <f t="shared" si="36"/>
        <v>1699</v>
      </c>
      <c r="I113" s="60">
        <f>SUM(I110:I112)</f>
        <v>980</v>
      </c>
      <c r="J113" s="59" t="s">
        <v>211</v>
      </c>
      <c r="K113" s="55"/>
    </row>
    <row r="114" spans="1:11" ht="12.75" customHeight="1" x14ac:dyDescent="0.2">
      <c r="A114" s="177"/>
      <c r="B114" s="177"/>
      <c r="C114" s="177"/>
      <c r="D114" s="177"/>
      <c r="E114" s="177"/>
      <c r="F114" s="177"/>
      <c r="G114" s="177"/>
      <c r="H114" s="177"/>
      <c r="I114" s="177"/>
      <c r="J114" s="177"/>
      <c r="K114" s="55"/>
    </row>
    <row r="115" spans="1:11" ht="12.75" customHeight="1" x14ac:dyDescent="0.2">
      <c r="A115" s="177" t="s">
        <v>556</v>
      </c>
      <c r="B115" s="177"/>
      <c r="C115" s="177"/>
      <c r="D115" s="177"/>
      <c r="E115" s="177"/>
      <c r="F115" s="177"/>
      <c r="G115" s="177"/>
      <c r="H115" s="177"/>
      <c r="I115" s="177"/>
      <c r="J115" s="177"/>
      <c r="K115" s="55"/>
    </row>
    <row r="116" spans="1:11" ht="12.75" customHeight="1" thickBot="1" x14ac:dyDescent="0.25">
      <c r="A116" s="178" t="s">
        <v>557</v>
      </c>
      <c r="B116" s="178"/>
      <c r="C116" s="178"/>
      <c r="D116" s="178"/>
      <c r="E116" s="178"/>
      <c r="F116" s="178"/>
      <c r="G116" s="178"/>
      <c r="H116" s="178"/>
      <c r="I116" s="178"/>
      <c r="J116" s="178"/>
      <c r="K116" s="55"/>
    </row>
    <row r="117" spans="1:11" ht="12.75" customHeight="1" thickBot="1" x14ac:dyDescent="0.25">
      <c r="A117" s="179" t="s">
        <v>5</v>
      </c>
      <c r="B117" s="179"/>
      <c r="C117" s="179"/>
      <c r="D117" s="179" t="s">
        <v>162</v>
      </c>
      <c r="E117" s="179"/>
      <c r="F117" s="179"/>
      <c r="G117" s="179" t="s">
        <v>163</v>
      </c>
      <c r="H117" s="179"/>
      <c r="I117" s="179"/>
      <c r="J117" s="58" t="s">
        <v>72</v>
      </c>
      <c r="K117" s="55"/>
    </row>
    <row r="118" spans="1:11" ht="12.75" customHeight="1" thickBot="1" x14ac:dyDescent="0.25">
      <c r="A118" s="58" t="s">
        <v>216</v>
      </c>
      <c r="B118" s="58" t="s">
        <v>11</v>
      </c>
      <c r="C118" s="58" t="s">
        <v>10</v>
      </c>
      <c r="D118" s="58" t="s">
        <v>216</v>
      </c>
      <c r="E118" s="58" t="s">
        <v>11</v>
      </c>
      <c r="F118" s="58" t="s">
        <v>10</v>
      </c>
      <c r="G118" s="58" t="s">
        <v>216</v>
      </c>
      <c r="H118" s="58" t="s">
        <v>11</v>
      </c>
      <c r="I118" s="58" t="s">
        <v>10</v>
      </c>
      <c r="J118" s="59" t="s">
        <v>83</v>
      </c>
      <c r="K118" s="55"/>
    </row>
    <row r="119" spans="1:11" ht="12.75" customHeight="1" thickBot="1" x14ac:dyDescent="0.25">
      <c r="A119" s="60">
        <f>SUM(B119:C119)</f>
        <v>83</v>
      </c>
      <c r="B119" s="60">
        <f>H119+E119</f>
        <v>0</v>
      </c>
      <c r="C119" s="60">
        <f>I119+F119</f>
        <v>83</v>
      </c>
      <c r="D119" s="60">
        <f>SUM(E119:F119)</f>
        <v>0</v>
      </c>
      <c r="E119" s="60">
        <v>0</v>
      </c>
      <c r="F119" s="60">
        <v>0</v>
      </c>
      <c r="G119" s="60">
        <f>SUM(H119:I119)</f>
        <v>83</v>
      </c>
      <c r="H119" s="60">
        <v>0</v>
      </c>
      <c r="I119" s="60">
        <v>83</v>
      </c>
      <c r="J119" s="61" t="s">
        <v>261</v>
      </c>
      <c r="K119" s="55"/>
    </row>
    <row r="120" spans="1:11" ht="12.75" customHeight="1" thickBot="1" x14ac:dyDescent="0.25">
      <c r="A120" s="60">
        <f t="shared" ref="A120:A122" si="37">SUM(B120:C120)</f>
        <v>557</v>
      </c>
      <c r="B120" s="60">
        <f t="shared" ref="B120:C122" si="38">H120+E120</f>
        <v>307</v>
      </c>
      <c r="C120" s="60">
        <f t="shared" si="38"/>
        <v>250</v>
      </c>
      <c r="D120" s="60">
        <f t="shared" ref="D120:D122" si="39">SUM(E120:F120)</f>
        <v>0</v>
      </c>
      <c r="E120" s="60">
        <v>0</v>
      </c>
      <c r="F120" s="60">
        <v>0</v>
      </c>
      <c r="G120" s="60">
        <f t="shared" ref="G120:G122" si="40">SUM(H120:I120)</f>
        <v>557</v>
      </c>
      <c r="H120" s="60">
        <v>307</v>
      </c>
      <c r="I120" s="60">
        <v>250</v>
      </c>
      <c r="J120" s="61" t="s">
        <v>73</v>
      </c>
      <c r="K120" s="55"/>
    </row>
    <row r="121" spans="1:11" ht="12.75" customHeight="1" thickBot="1" x14ac:dyDescent="0.25">
      <c r="A121" s="60">
        <f t="shared" si="37"/>
        <v>137</v>
      </c>
      <c r="B121" s="60">
        <f t="shared" si="38"/>
        <v>137</v>
      </c>
      <c r="C121" s="60">
        <f t="shared" si="38"/>
        <v>0</v>
      </c>
      <c r="D121" s="60">
        <f t="shared" si="39"/>
        <v>0</v>
      </c>
      <c r="E121" s="60">
        <v>0</v>
      </c>
      <c r="F121" s="60">
        <v>0</v>
      </c>
      <c r="G121" s="60">
        <f t="shared" si="40"/>
        <v>137</v>
      </c>
      <c r="H121" s="60">
        <v>137</v>
      </c>
      <c r="I121" s="60">
        <v>0</v>
      </c>
      <c r="J121" s="61" t="s">
        <v>113</v>
      </c>
      <c r="K121" s="55"/>
    </row>
    <row r="122" spans="1:11" ht="12.75" customHeight="1" thickBot="1" x14ac:dyDescent="0.25">
      <c r="A122" s="60">
        <f t="shared" si="37"/>
        <v>689</v>
      </c>
      <c r="B122" s="60">
        <f t="shared" si="38"/>
        <v>345</v>
      </c>
      <c r="C122" s="60">
        <f t="shared" si="38"/>
        <v>344</v>
      </c>
      <c r="D122" s="60">
        <f t="shared" si="39"/>
        <v>0</v>
      </c>
      <c r="E122" s="60">
        <v>0</v>
      </c>
      <c r="F122" s="60">
        <v>0</v>
      </c>
      <c r="G122" s="60">
        <f t="shared" si="40"/>
        <v>689</v>
      </c>
      <c r="H122" s="60">
        <v>345</v>
      </c>
      <c r="I122" s="60">
        <v>344</v>
      </c>
      <c r="J122" s="61" t="s">
        <v>262</v>
      </c>
      <c r="K122" s="55"/>
    </row>
    <row r="123" spans="1:11" ht="12.75" customHeight="1" thickBot="1" x14ac:dyDescent="0.25">
      <c r="A123" s="60">
        <f t="shared" ref="A123:H123" si="41">SUM(A119:A122)</f>
        <v>1466</v>
      </c>
      <c r="B123" s="60">
        <f t="shared" si="41"/>
        <v>789</v>
      </c>
      <c r="C123" s="60">
        <f t="shared" si="41"/>
        <v>677</v>
      </c>
      <c r="D123" s="60">
        <f t="shared" si="41"/>
        <v>0</v>
      </c>
      <c r="E123" s="60">
        <f t="shared" si="41"/>
        <v>0</v>
      </c>
      <c r="F123" s="60">
        <f t="shared" si="41"/>
        <v>0</v>
      </c>
      <c r="G123" s="60">
        <f t="shared" si="41"/>
        <v>1466</v>
      </c>
      <c r="H123" s="60">
        <f t="shared" si="41"/>
        <v>789</v>
      </c>
      <c r="I123" s="60">
        <f>SUM(I119:I122)</f>
        <v>677</v>
      </c>
      <c r="J123" s="59" t="s">
        <v>211</v>
      </c>
      <c r="K123" s="55"/>
    </row>
    <row r="124" spans="1:11" ht="12.75" customHeight="1" x14ac:dyDescent="0.2">
      <c r="A124" s="177"/>
      <c r="B124" s="177"/>
      <c r="C124" s="177"/>
      <c r="D124" s="177"/>
      <c r="E124" s="177"/>
      <c r="F124" s="177"/>
      <c r="G124" s="177"/>
      <c r="H124" s="177"/>
      <c r="I124" s="177"/>
      <c r="J124" s="177"/>
      <c r="K124" s="55"/>
    </row>
    <row r="125" spans="1:11" ht="12.75" customHeight="1" x14ac:dyDescent="0.2">
      <c r="A125" s="177" t="s">
        <v>556</v>
      </c>
      <c r="B125" s="177"/>
      <c r="C125" s="177"/>
      <c r="D125" s="177"/>
      <c r="E125" s="177"/>
      <c r="F125" s="177"/>
      <c r="G125" s="177"/>
      <c r="H125" s="177"/>
      <c r="I125" s="177"/>
      <c r="J125" s="177"/>
      <c r="K125" s="55"/>
    </row>
    <row r="126" spans="1:11" ht="12.75" customHeight="1" thickBot="1" x14ac:dyDescent="0.25">
      <c r="A126" s="178" t="s">
        <v>557</v>
      </c>
      <c r="B126" s="178"/>
      <c r="C126" s="178"/>
      <c r="D126" s="178"/>
      <c r="E126" s="178"/>
      <c r="F126" s="178"/>
      <c r="G126" s="178"/>
      <c r="H126" s="178"/>
      <c r="I126" s="178"/>
      <c r="J126" s="178"/>
      <c r="K126" s="55"/>
    </row>
    <row r="127" spans="1:11" ht="12.75" customHeight="1" thickBot="1" x14ac:dyDescent="0.25">
      <c r="A127" s="179" t="s">
        <v>5</v>
      </c>
      <c r="B127" s="179"/>
      <c r="C127" s="179"/>
      <c r="D127" s="179" t="s">
        <v>162</v>
      </c>
      <c r="E127" s="179"/>
      <c r="F127" s="179"/>
      <c r="G127" s="179" t="s">
        <v>163</v>
      </c>
      <c r="H127" s="179"/>
      <c r="I127" s="179"/>
      <c r="J127" s="58" t="s">
        <v>72</v>
      </c>
      <c r="K127" s="55"/>
    </row>
    <row r="128" spans="1:11" ht="12.75" customHeight="1" thickBot="1" x14ac:dyDescent="0.25">
      <c r="A128" s="58" t="s">
        <v>216</v>
      </c>
      <c r="B128" s="58" t="s">
        <v>11</v>
      </c>
      <c r="C128" s="58" t="s">
        <v>10</v>
      </c>
      <c r="D128" s="58" t="s">
        <v>216</v>
      </c>
      <c r="E128" s="58" t="s">
        <v>11</v>
      </c>
      <c r="F128" s="58" t="s">
        <v>10</v>
      </c>
      <c r="G128" s="58" t="s">
        <v>216</v>
      </c>
      <c r="H128" s="58" t="s">
        <v>11</v>
      </c>
      <c r="I128" s="58" t="s">
        <v>10</v>
      </c>
      <c r="J128" s="59" t="s">
        <v>165</v>
      </c>
      <c r="K128" s="55"/>
    </row>
    <row r="129" spans="1:11" ht="12.75" customHeight="1" thickBot="1" x14ac:dyDescent="0.25">
      <c r="A129" s="60">
        <f>SUM(B129:C129)</f>
        <v>42</v>
      </c>
      <c r="B129" s="60">
        <v>0</v>
      </c>
      <c r="C129" s="60">
        <v>42</v>
      </c>
      <c r="D129" s="60">
        <f>SUM(E129:F129)</f>
        <v>0</v>
      </c>
      <c r="E129" s="60">
        <v>0</v>
      </c>
      <c r="F129" s="60">
        <v>0</v>
      </c>
      <c r="G129" s="60">
        <f>SUM(H129:I129)</f>
        <v>42</v>
      </c>
      <c r="H129" s="60">
        <v>0</v>
      </c>
      <c r="I129" s="60">
        <v>42</v>
      </c>
      <c r="J129" s="61" t="s">
        <v>263</v>
      </c>
      <c r="K129" s="55"/>
    </row>
    <row r="130" spans="1:11" ht="12.75" customHeight="1" thickBot="1" x14ac:dyDescent="0.25">
      <c r="A130" s="60">
        <f>SUM(B130:C130)</f>
        <v>60</v>
      </c>
      <c r="B130" s="60">
        <v>0</v>
      </c>
      <c r="C130" s="60">
        <v>60</v>
      </c>
      <c r="D130" s="60">
        <f>SUM(E130:F130)</f>
        <v>0</v>
      </c>
      <c r="E130" s="60">
        <v>0</v>
      </c>
      <c r="F130" s="60">
        <v>0</v>
      </c>
      <c r="G130" s="60">
        <f>SUM(H130:I130)</f>
        <v>60</v>
      </c>
      <c r="H130" s="60">
        <v>0</v>
      </c>
      <c r="I130" s="60">
        <v>60</v>
      </c>
      <c r="J130" s="61" t="s">
        <v>264</v>
      </c>
      <c r="K130" s="55"/>
    </row>
    <row r="131" spans="1:11" ht="12.75" customHeight="1" thickBot="1" x14ac:dyDescent="0.25">
      <c r="A131" s="60">
        <f t="shared" ref="A131:H131" si="42">SUM(A129:A130)</f>
        <v>102</v>
      </c>
      <c r="B131" s="60">
        <f t="shared" si="42"/>
        <v>0</v>
      </c>
      <c r="C131" s="60">
        <f t="shared" si="42"/>
        <v>102</v>
      </c>
      <c r="D131" s="60">
        <f t="shared" si="42"/>
        <v>0</v>
      </c>
      <c r="E131" s="60">
        <f t="shared" si="42"/>
        <v>0</v>
      </c>
      <c r="F131" s="60">
        <f t="shared" si="42"/>
        <v>0</v>
      </c>
      <c r="G131" s="60">
        <f t="shared" si="42"/>
        <v>102</v>
      </c>
      <c r="H131" s="60">
        <f t="shared" si="42"/>
        <v>0</v>
      </c>
      <c r="I131" s="60">
        <f>SUM(I129:I130)</f>
        <v>102</v>
      </c>
      <c r="J131" s="59" t="s">
        <v>211</v>
      </c>
      <c r="K131" s="55"/>
    </row>
    <row r="132" spans="1:11" ht="12.75" customHeight="1" x14ac:dyDescent="0.2">
      <c r="A132" s="177"/>
      <c r="B132" s="177"/>
      <c r="C132" s="177"/>
      <c r="D132" s="177"/>
      <c r="E132" s="177"/>
      <c r="F132" s="177"/>
      <c r="G132" s="177"/>
      <c r="H132" s="177"/>
      <c r="I132" s="177"/>
      <c r="J132" s="177"/>
      <c r="K132" s="55"/>
    </row>
    <row r="133" spans="1:11" ht="12.75" customHeight="1" x14ac:dyDescent="0.2">
      <c r="A133" s="177" t="s">
        <v>556</v>
      </c>
      <c r="B133" s="177"/>
      <c r="C133" s="177"/>
      <c r="D133" s="177"/>
      <c r="E133" s="177"/>
      <c r="F133" s="177"/>
      <c r="G133" s="177"/>
      <c r="H133" s="177"/>
      <c r="I133" s="177"/>
      <c r="J133" s="177"/>
      <c r="K133" s="55"/>
    </row>
    <row r="134" spans="1:11" ht="12.75" customHeight="1" thickBot="1" x14ac:dyDescent="0.25">
      <c r="A134" s="178" t="s">
        <v>557</v>
      </c>
      <c r="B134" s="178"/>
      <c r="C134" s="178"/>
      <c r="D134" s="178"/>
      <c r="E134" s="178"/>
      <c r="F134" s="178"/>
      <c r="G134" s="178"/>
      <c r="H134" s="178"/>
      <c r="I134" s="178"/>
      <c r="J134" s="178"/>
      <c r="K134" s="55"/>
    </row>
    <row r="135" spans="1:11" ht="12.75" customHeight="1" thickBot="1" x14ac:dyDescent="0.25">
      <c r="A135" s="179" t="s">
        <v>5</v>
      </c>
      <c r="B135" s="179"/>
      <c r="C135" s="179"/>
      <c r="D135" s="179" t="s">
        <v>162</v>
      </c>
      <c r="E135" s="179"/>
      <c r="F135" s="179"/>
      <c r="G135" s="179" t="s">
        <v>163</v>
      </c>
      <c r="H135" s="179"/>
      <c r="I135" s="179"/>
      <c r="J135" s="58" t="s">
        <v>72</v>
      </c>
      <c r="K135" s="55"/>
    </row>
    <row r="136" spans="1:11" ht="12.75" customHeight="1" thickBot="1" x14ac:dyDescent="0.25">
      <c r="A136" s="58" t="s">
        <v>216</v>
      </c>
      <c r="B136" s="58" t="s">
        <v>11</v>
      </c>
      <c r="C136" s="58" t="s">
        <v>10</v>
      </c>
      <c r="D136" s="58" t="s">
        <v>216</v>
      </c>
      <c r="E136" s="58" t="s">
        <v>11</v>
      </c>
      <c r="F136" s="58" t="s">
        <v>10</v>
      </c>
      <c r="G136" s="58" t="s">
        <v>216</v>
      </c>
      <c r="H136" s="58" t="s">
        <v>11</v>
      </c>
      <c r="I136" s="58" t="s">
        <v>10</v>
      </c>
      <c r="J136" s="59" t="s">
        <v>115</v>
      </c>
      <c r="K136" s="55"/>
    </row>
    <row r="137" spans="1:11" ht="12.75" customHeight="1" thickBot="1" x14ac:dyDescent="0.25">
      <c r="A137" s="60">
        <f>SUM(B137:C137)</f>
        <v>59</v>
      </c>
      <c r="B137" s="60">
        <f>H137+E137</f>
        <v>0</v>
      </c>
      <c r="C137" s="60">
        <f>I137+F137</f>
        <v>59</v>
      </c>
      <c r="D137" s="60">
        <f>SUM(E137:F137)</f>
        <v>0</v>
      </c>
      <c r="E137" s="60">
        <v>0</v>
      </c>
      <c r="F137" s="60">
        <v>0</v>
      </c>
      <c r="G137" s="60">
        <f>SUM(H137:I137)</f>
        <v>59</v>
      </c>
      <c r="H137" s="60">
        <v>0</v>
      </c>
      <c r="I137" s="60">
        <f>53+70-64</f>
        <v>59</v>
      </c>
      <c r="J137" s="61" t="s">
        <v>265</v>
      </c>
      <c r="K137" s="55"/>
    </row>
    <row r="138" spans="1:11" ht="12.75" customHeight="1" thickBot="1" x14ac:dyDescent="0.25">
      <c r="A138" s="60">
        <f t="shared" ref="A138:A141" si="43">SUM(B138:C138)</f>
        <v>829</v>
      </c>
      <c r="B138" s="60">
        <f t="shared" ref="B138:C141" si="44">H138+E138</f>
        <v>0</v>
      </c>
      <c r="C138" s="60">
        <f t="shared" si="44"/>
        <v>829</v>
      </c>
      <c r="D138" s="60">
        <f t="shared" ref="D138:D141" si="45">SUM(E138:F138)</f>
        <v>0</v>
      </c>
      <c r="E138" s="60">
        <v>0</v>
      </c>
      <c r="F138" s="60">
        <v>0</v>
      </c>
      <c r="G138" s="60">
        <f t="shared" ref="G138:G141" si="46">SUM(H138:I138)</f>
        <v>829</v>
      </c>
      <c r="H138" s="60">
        <v>0</v>
      </c>
      <c r="I138" s="60">
        <f>1399-570</f>
        <v>829</v>
      </c>
      <c r="J138" s="61" t="s">
        <v>114</v>
      </c>
      <c r="K138" s="55"/>
    </row>
    <row r="139" spans="1:11" ht="12.75" customHeight="1" thickBot="1" x14ac:dyDescent="0.25">
      <c r="A139" s="60">
        <f t="shared" si="43"/>
        <v>566</v>
      </c>
      <c r="B139" s="60">
        <f t="shared" si="44"/>
        <v>0</v>
      </c>
      <c r="C139" s="60">
        <f t="shared" si="44"/>
        <v>566</v>
      </c>
      <c r="D139" s="60">
        <f t="shared" si="45"/>
        <v>0</v>
      </c>
      <c r="E139" s="60">
        <v>0</v>
      </c>
      <c r="F139" s="60">
        <v>0</v>
      </c>
      <c r="G139" s="60">
        <f t="shared" si="46"/>
        <v>566</v>
      </c>
      <c r="H139" s="60">
        <v>0</v>
      </c>
      <c r="I139" s="60">
        <f>704+62-200</f>
        <v>566</v>
      </c>
      <c r="J139" s="61" t="s">
        <v>266</v>
      </c>
      <c r="K139" s="55"/>
    </row>
    <row r="140" spans="1:11" ht="12.75" customHeight="1" thickBot="1" x14ac:dyDescent="0.25">
      <c r="A140" s="60">
        <f t="shared" si="43"/>
        <v>304</v>
      </c>
      <c r="B140" s="60">
        <f t="shared" si="44"/>
        <v>304</v>
      </c>
      <c r="C140" s="60">
        <f t="shared" si="44"/>
        <v>0</v>
      </c>
      <c r="D140" s="60">
        <f t="shared" si="45"/>
        <v>0</v>
      </c>
      <c r="E140" s="60">
        <v>0</v>
      </c>
      <c r="F140" s="60">
        <v>0</v>
      </c>
      <c r="G140" s="60">
        <f t="shared" si="46"/>
        <v>304</v>
      </c>
      <c r="H140" s="60">
        <f>349-45</f>
        <v>304</v>
      </c>
      <c r="I140" s="60">
        <v>0</v>
      </c>
      <c r="J140" s="61" t="s">
        <v>267</v>
      </c>
      <c r="K140" s="55"/>
    </row>
    <row r="141" spans="1:11" ht="12.75" customHeight="1" thickBot="1" x14ac:dyDescent="0.25">
      <c r="A141" s="60">
        <f t="shared" si="43"/>
        <v>853</v>
      </c>
      <c r="B141" s="60">
        <f t="shared" si="44"/>
        <v>853</v>
      </c>
      <c r="C141" s="60">
        <f t="shared" si="44"/>
        <v>0</v>
      </c>
      <c r="D141" s="60">
        <f t="shared" si="45"/>
        <v>0</v>
      </c>
      <c r="E141" s="60">
        <v>0</v>
      </c>
      <c r="F141" s="60">
        <v>0</v>
      </c>
      <c r="G141" s="60">
        <f t="shared" si="46"/>
        <v>853</v>
      </c>
      <c r="H141" s="60">
        <f>1156-1-302</f>
        <v>853</v>
      </c>
      <c r="I141" s="60">
        <v>0</v>
      </c>
      <c r="J141" s="61" t="s">
        <v>116</v>
      </c>
      <c r="K141" s="55"/>
    </row>
    <row r="142" spans="1:11" ht="12.75" customHeight="1" thickBot="1" x14ac:dyDescent="0.25">
      <c r="A142" s="60">
        <f t="shared" ref="A142:H142" si="47">SUM(A137:A141)</f>
        <v>2611</v>
      </c>
      <c r="B142" s="60">
        <f t="shared" si="47"/>
        <v>1157</v>
      </c>
      <c r="C142" s="60">
        <f t="shared" si="47"/>
        <v>1454</v>
      </c>
      <c r="D142" s="60">
        <f t="shared" si="47"/>
        <v>0</v>
      </c>
      <c r="E142" s="60">
        <f t="shared" si="47"/>
        <v>0</v>
      </c>
      <c r="F142" s="60">
        <f t="shared" si="47"/>
        <v>0</v>
      </c>
      <c r="G142" s="60">
        <f t="shared" si="47"/>
        <v>2611</v>
      </c>
      <c r="H142" s="60">
        <f t="shared" si="47"/>
        <v>1157</v>
      </c>
      <c r="I142" s="60">
        <f>SUM(I137:I141)</f>
        <v>1454</v>
      </c>
      <c r="J142" s="59" t="s">
        <v>211</v>
      </c>
      <c r="K142" s="55"/>
    </row>
    <row r="143" spans="1:11" ht="12.75" customHeight="1" x14ac:dyDescent="0.2">
      <c r="A143" s="177"/>
      <c r="B143" s="177"/>
      <c r="C143" s="177"/>
      <c r="D143" s="177"/>
      <c r="E143" s="177"/>
      <c r="F143" s="177"/>
      <c r="G143" s="177"/>
      <c r="H143" s="177"/>
      <c r="I143" s="177"/>
      <c r="J143" s="177"/>
      <c r="K143" s="55"/>
    </row>
    <row r="144" spans="1:11" ht="12.75" customHeight="1" x14ac:dyDescent="0.2">
      <c r="A144" s="177" t="s">
        <v>556</v>
      </c>
      <c r="B144" s="177"/>
      <c r="C144" s="177"/>
      <c r="D144" s="177"/>
      <c r="E144" s="177"/>
      <c r="F144" s="177"/>
      <c r="G144" s="177"/>
      <c r="H144" s="177"/>
      <c r="I144" s="177"/>
      <c r="J144" s="177"/>
      <c r="K144" s="55"/>
    </row>
    <row r="145" spans="1:11" ht="12.75" customHeight="1" thickBot="1" x14ac:dyDescent="0.25">
      <c r="A145" s="178" t="s">
        <v>557</v>
      </c>
      <c r="B145" s="178"/>
      <c r="C145" s="178"/>
      <c r="D145" s="178"/>
      <c r="E145" s="178"/>
      <c r="F145" s="178"/>
      <c r="G145" s="178"/>
      <c r="H145" s="178"/>
      <c r="I145" s="178"/>
      <c r="J145" s="178"/>
      <c r="K145" s="55"/>
    </row>
    <row r="146" spans="1:11" ht="12.75" customHeight="1" thickBot="1" x14ac:dyDescent="0.25">
      <c r="A146" s="179" t="s">
        <v>5</v>
      </c>
      <c r="B146" s="179"/>
      <c r="C146" s="179"/>
      <c r="D146" s="179" t="s">
        <v>162</v>
      </c>
      <c r="E146" s="179"/>
      <c r="F146" s="179"/>
      <c r="G146" s="179" t="s">
        <v>163</v>
      </c>
      <c r="H146" s="179"/>
      <c r="I146" s="179"/>
      <c r="J146" s="58" t="s">
        <v>72</v>
      </c>
      <c r="K146" s="55"/>
    </row>
    <row r="147" spans="1:11" ht="12.75" customHeight="1" thickBot="1" x14ac:dyDescent="0.25">
      <c r="A147" s="58" t="s">
        <v>216</v>
      </c>
      <c r="B147" s="58" t="s">
        <v>11</v>
      </c>
      <c r="C147" s="58" t="s">
        <v>10</v>
      </c>
      <c r="D147" s="58" t="s">
        <v>216</v>
      </c>
      <c r="E147" s="58" t="s">
        <v>11</v>
      </c>
      <c r="F147" s="58" t="s">
        <v>10</v>
      </c>
      <c r="G147" s="58" t="s">
        <v>216</v>
      </c>
      <c r="H147" s="58" t="s">
        <v>11</v>
      </c>
      <c r="I147" s="58" t="s">
        <v>10</v>
      </c>
      <c r="J147" s="59" t="s">
        <v>118</v>
      </c>
      <c r="K147" s="55"/>
    </row>
    <row r="148" spans="1:11" ht="12.75" customHeight="1" thickBot="1" x14ac:dyDescent="0.25">
      <c r="A148" s="60">
        <f>SUM(B148:C148)</f>
        <v>150</v>
      </c>
      <c r="B148" s="60">
        <f>H148+E148</f>
        <v>0</v>
      </c>
      <c r="C148" s="60">
        <f>I148+F148</f>
        <v>150</v>
      </c>
      <c r="D148" s="60">
        <f>SUM(E148:F148)</f>
        <v>0</v>
      </c>
      <c r="E148" s="60">
        <v>0</v>
      </c>
      <c r="F148" s="60">
        <v>0</v>
      </c>
      <c r="G148" s="60">
        <f>SUM(H148:I148)</f>
        <v>150</v>
      </c>
      <c r="H148" s="60">
        <v>0</v>
      </c>
      <c r="I148" s="60">
        <f>250-100</f>
        <v>150</v>
      </c>
      <c r="J148" s="61" t="s">
        <v>377</v>
      </c>
      <c r="K148" s="55"/>
    </row>
    <row r="149" spans="1:11" ht="12.75" customHeight="1" thickBot="1" x14ac:dyDescent="0.25">
      <c r="A149" s="60">
        <f t="shared" ref="A149:A150" si="48">SUM(B149:C149)</f>
        <v>784</v>
      </c>
      <c r="B149" s="60">
        <f t="shared" ref="B149:C150" si="49">H149+E149</f>
        <v>665</v>
      </c>
      <c r="C149" s="60">
        <f t="shared" si="49"/>
        <v>119</v>
      </c>
      <c r="D149" s="60">
        <f t="shared" ref="D149:D150" si="50">SUM(E149:F149)</f>
        <v>0</v>
      </c>
      <c r="E149" s="60">
        <v>0</v>
      </c>
      <c r="F149" s="60">
        <v>0</v>
      </c>
      <c r="G149" s="60">
        <f t="shared" ref="G149:G150" si="51">SUM(H149:I149)</f>
        <v>784</v>
      </c>
      <c r="H149" s="60">
        <v>665</v>
      </c>
      <c r="I149" s="60">
        <f>139+80-100</f>
        <v>119</v>
      </c>
      <c r="J149" s="61" t="s">
        <v>117</v>
      </c>
      <c r="K149" s="55"/>
    </row>
    <row r="150" spans="1:11" ht="12.75" customHeight="1" thickBot="1" x14ac:dyDescent="0.25">
      <c r="A150" s="60">
        <f t="shared" si="48"/>
        <v>469</v>
      </c>
      <c r="B150" s="60">
        <f t="shared" si="49"/>
        <v>220</v>
      </c>
      <c r="C150" s="60">
        <f t="shared" si="49"/>
        <v>249</v>
      </c>
      <c r="D150" s="60">
        <f t="shared" si="50"/>
        <v>0</v>
      </c>
      <c r="E150" s="60">
        <v>0</v>
      </c>
      <c r="F150" s="60">
        <v>0</v>
      </c>
      <c r="G150" s="60">
        <f t="shared" si="51"/>
        <v>469</v>
      </c>
      <c r="H150" s="60">
        <v>220</v>
      </c>
      <c r="I150" s="60">
        <f>415+51-217</f>
        <v>249</v>
      </c>
      <c r="J150" s="61" t="s">
        <v>269</v>
      </c>
      <c r="K150" s="55"/>
    </row>
    <row r="151" spans="1:11" ht="12.75" customHeight="1" thickBot="1" x14ac:dyDescent="0.25">
      <c r="A151" s="60">
        <f t="shared" ref="A151:H151" si="52">SUM(A148:A150)</f>
        <v>1403</v>
      </c>
      <c r="B151" s="60">
        <f t="shared" si="52"/>
        <v>885</v>
      </c>
      <c r="C151" s="60">
        <f t="shared" si="52"/>
        <v>518</v>
      </c>
      <c r="D151" s="60">
        <f t="shared" si="52"/>
        <v>0</v>
      </c>
      <c r="E151" s="60">
        <f t="shared" si="52"/>
        <v>0</v>
      </c>
      <c r="F151" s="60">
        <f t="shared" si="52"/>
        <v>0</v>
      </c>
      <c r="G151" s="60">
        <f t="shared" si="52"/>
        <v>1403</v>
      </c>
      <c r="H151" s="60">
        <f t="shared" si="52"/>
        <v>885</v>
      </c>
      <c r="I151" s="60">
        <f>SUM(I148:I150)</f>
        <v>518</v>
      </c>
      <c r="J151" s="59" t="s">
        <v>211</v>
      </c>
      <c r="K151" s="55"/>
    </row>
    <row r="152" spans="1:11" ht="12.75" customHeight="1" x14ac:dyDescent="0.2">
      <c r="A152" s="177"/>
      <c r="B152" s="177"/>
      <c r="C152" s="177"/>
      <c r="D152" s="177"/>
      <c r="E152" s="177"/>
      <c r="F152" s="177"/>
      <c r="G152" s="177"/>
      <c r="H152" s="177"/>
      <c r="I152" s="177"/>
      <c r="J152" s="177"/>
      <c r="K152" s="55"/>
    </row>
    <row r="153" spans="1:11" ht="12.75" customHeight="1" x14ac:dyDescent="0.2">
      <c r="A153" s="177" t="s">
        <v>556</v>
      </c>
      <c r="B153" s="177"/>
      <c r="C153" s="177"/>
      <c r="D153" s="177"/>
      <c r="E153" s="177"/>
      <c r="F153" s="177"/>
      <c r="G153" s="177"/>
      <c r="H153" s="177"/>
      <c r="I153" s="177"/>
      <c r="J153" s="177"/>
      <c r="K153" s="55"/>
    </row>
    <row r="154" spans="1:11" ht="12.75" customHeight="1" thickBot="1" x14ac:dyDescent="0.25">
      <c r="A154" s="178" t="s">
        <v>557</v>
      </c>
      <c r="B154" s="178"/>
      <c r="C154" s="178"/>
      <c r="D154" s="178"/>
      <c r="E154" s="178"/>
      <c r="F154" s="178"/>
      <c r="G154" s="178"/>
      <c r="H154" s="178"/>
      <c r="I154" s="178"/>
      <c r="J154" s="178"/>
      <c r="K154" s="55"/>
    </row>
    <row r="155" spans="1:11" ht="12.75" customHeight="1" thickBot="1" x14ac:dyDescent="0.25">
      <c r="A155" s="179" t="s">
        <v>5</v>
      </c>
      <c r="B155" s="179"/>
      <c r="C155" s="179"/>
      <c r="D155" s="179" t="s">
        <v>162</v>
      </c>
      <c r="E155" s="179"/>
      <c r="F155" s="179"/>
      <c r="G155" s="179" t="s">
        <v>163</v>
      </c>
      <c r="H155" s="179"/>
      <c r="I155" s="179"/>
      <c r="J155" s="58" t="s">
        <v>72</v>
      </c>
      <c r="K155" s="55"/>
    </row>
    <row r="156" spans="1:11" ht="12.75" customHeight="1" thickBot="1" x14ac:dyDescent="0.25">
      <c r="A156" s="58" t="s">
        <v>216</v>
      </c>
      <c r="B156" s="58" t="s">
        <v>11</v>
      </c>
      <c r="C156" s="58" t="s">
        <v>10</v>
      </c>
      <c r="D156" s="58" t="s">
        <v>216</v>
      </c>
      <c r="E156" s="58" t="s">
        <v>11</v>
      </c>
      <c r="F156" s="58" t="s">
        <v>10</v>
      </c>
      <c r="G156" s="58" t="s">
        <v>216</v>
      </c>
      <c r="H156" s="58" t="s">
        <v>11</v>
      </c>
      <c r="I156" s="58" t="s">
        <v>10</v>
      </c>
      <c r="J156" s="59" t="s">
        <v>120</v>
      </c>
      <c r="K156" s="55"/>
    </row>
    <row r="157" spans="1:11" ht="12.75" customHeight="1" thickBot="1" x14ac:dyDescent="0.25">
      <c r="A157" s="60">
        <f>SUM(B157:C157)</f>
        <v>3138</v>
      </c>
      <c r="B157" s="60">
        <f>H157+E157</f>
        <v>0</v>
      </c>
      <c r="C157" s="60">
        <f>I157+F157</f>
        <v>3138</v>
      </c>
      <c r="D157" s="60">
        <f>SUM(E157:F157)</f>
        <v>0</v>
      </c>
      <c r="E157" s="60">
        <v>0</v>
      </c>
      <c r="F157" s="60">
        <v>0</v>
      </c>
      <c r="G157" s="60">
        <f>SUM(H157:I157)</f>
        <v>3138</v>
      </c>
      <c r="H157" s="60">
        <v>0</v>
      </c>
      <c r="I157" s="60">
        <f>3138</f>
        <v>3138</v>
      </c>
      <c r="J157" s="61" t="s">
        <v>119</v>
      </c>
      <c r="K157" s="55"/>
    </row>
    <row r="158" spans="1:11" ht="12.75" customHeight="1" thickBot="1" x14ac:dyDescent="0.25">
      <c r="A158" s="60">
        <f t="shared" ref="A158:A162" si="53">SUM(B158:C158)</f>
        <v>280</v>
      </c>
      <c r="B158" s="60">
        <f t="shared" ref="B158:C162" si="54">H158+E158</f>
        <v>280</v>
      </c>
      <c r="C158" s="60">
        <f t="shared" si="54"/>
        <v>0</v>
      </c>
      <c r="D158" s="60">
        <f t="shared" ref="D158:D162" si="55">SUM(E158:F158)</f>
        <v>0</v>
      </c>
      <c r="E158" s="60">
        <v>0</v>
      </c>
      <c r="F158" s="60">
        <v>0</v>
      </c>
      <c r="G158" s="60">
        <f t="shared" ref="G158:G162" si="56">SUM(H158:I158)</f>
        <v>280</v>
      </c>
      <c r="H158" s="60">
        <v>280</v>
      </c>
      <c r="I158" s="60">
        <v>0</v>
      </c>
      <c r="J158" s="61" t="s">
        <v>121</v>
      </c>
      <c r="K158" s="55"/>
    </row>
    <row r="159" spans="1:11" ht="12.75" customHeight="1" thickBot="1" x14ac:dyDescent="0.25">
      <c r="A159" s="60">
        <f t="shared" si="53"/>
        <v>280</v>
      </c>
      <c r="B159" s="60">
        <f t="shared" si="54"/>
        <v>280</v>
      </c>
      <c r="C159" s="60">
        <f t="shared" si="54"/>
        <v>0</v>
      </c>
      <c r="D159" s="60">
        <f t="shared" si="55"/>
        <v>0</v>
      </c>
      <c r="E159" s="60">
        <v>0</v>
      </c>
      <c r="F159" s="60">
        <v>0</v>
      </c>
      <c r="G159" s="60">
        <f t="shared" si="56"/>
        <v>280</v>
      </c>
      <c r="H159" s="60">
        <v>280</v>
      </c>
      <c r="I159" s="60">
        <v>0</v>
      </c>
      <c r="J159" s="61" t="s">
        <v>122</v>
      </c>
      <c r="K159" s="55"/>
    </row>
    <row r="160" spans="1:11" ht="12.75" customHeight="1" thickBot="1" x14ac:dyDescent="0.25">
      <c r="A160" s="60">
        <f t="shared" si="53"/>
        <v>134</v>
      </c>
      <c r="B160" s="60">
        <f t="shared" si="54"/>
        <v>134</v>
      </c>
      <c r="C160" s="60">
        <f t="shared" si="54"/>
        <v>0</v>
      </c>
      <c r="D160" s="60">
        <f t="shared" si="55"/>
        <v>0</v>
      </c>
      <c r="E160" s="60">
        <v>0</v>
      </c>
      <c r="F160" s="60">
        <v>0</v>
      </c>
      <c r="G160" s="60">
        <f t="shared" si="56"/>
        <v>134</v>
      </c>
      <c r="H160" s="60">
        <v>134</v>
      </c>
      <c r="I160" s="60">
        <v>0</v>
      </c>
      <c r="J160" s="61" t="s">
        <v>271</v>
      </c>
      <c r="K160" s="55"/>
    </row>
    <row r="161" spans="1:11" ht="12.75" customHeight="1" thickBot="1" x14ac:dyDescent="0.25">
      <c r="A161" s="60">
        <f t="shared" si="53"/>
        <v>338</v>
      </c>
      <c r="B161" s="60">
        <f t="shared" si="54"/>
        <v>0</v>
      </c>
      <c r="C161" s="60">
        <f t="shared" si="54"/>
        <v>338</v>
      </c>
      <c r="D161" s="60">
        <f t="shared" si="55"/>
        <v>0</v>
      </c>
      <c r="E161" s="60">
        <v>0</v>
      </c>
      <c r="F161" s="60">
        <v>0</v>
      </c>
      <c r="G161" s="60">
        <f t="shared" si="56"/>
        <v>338</v>
      </c>
      <c r="H161" s="60">
        <v>0</v>
      </c>
      <c r="I161" s="60">
        <v>338</v>
      </c>
      <c r="J161" s="61" t="s">
        <v>272</v>
      </c>
      <c r="K161" s="55"/>
    </row>
    <row r="162" spans="1:11" ht="12.75" customHeight="1" thickBot="1" x14ac:dyDescent="0.25">
      <c r="A162" s="60">
        <f t="shared" si="53"/>
        <v>86</v>
      </c>
      <c r="B162" s="60">
        <f t="shared" si="54"/>
        <v>86</v>
      </c>
      <c r="C162" s="60">
        <f t="shared" si="54"/>
        <v>0</v>
      </c>
      <c r="D162" s="60">
        <f t="shared" si="55"/>
        <v>0</v>
      </c>
      <c r="E162" s="60">
        <v>0</v>
      </c>
      <c r="F162" s="60">
        <v>0</v>
      </c>
      <c r="G162" s="60">
        <f t="shared" si="56"/>
        <v>86</v>
      </c>
      <c r="H162" s="60">
        <v>86</v>
      </c>
      <c r="I162" s="60">
        <v>0</v>
      </c>
      <c r="J162" s="61" t="s">
        <v>273</v>
      </c>
      <c r="K162" s="55"/>
    </row>
    <row r="163" spans="1:11" ht="12.75" customHeight="1" thickBot="1" x14ac:dyDescent="0.25">
      <c r="A163" s="60">
        <f t="shared" ref="A163:H163" si="57">SUM(A157:A162)</f>
        <v>4256</v>
      </c>
      <c r="B163" s="60">
        <f t="shared" si="57"/>
        <v>780</v>
      </c>
      <c r="C163" s="60">
        <f t="shared" si="57"/>
        <v>3476</v>
      </c>
      <c r="D163" s="60">
        <f t="shared" si="57"/>
        <v>0</v>
      </c>
      <c r="E163" s="60">
        <f t="shared" si="57"/>
        <v>0</v>
      </c>
      <c r="F163" s="60">
        <f t="shared" si="57"/>
        <v>0</v>
      </c>
      <c r="G163" s="60">
        <f t="shared" si="57"/>
        <v>4256</v>
      </c>
      <c r="H163" s="60">
        <f t="shared" si="57"/>
        <v>780</v>
      </c>
      <c r="I163" s="60">
        <f>SUM(I157:I162)</f>
        <v>3476</v>
      </c>
      <c r="J163" s="59" t="s">
        <v>211</v>
      </c>
      <c r="K163" s="55"/>
    </row>
    <row r="164" spans="1:11" ht="12.75" customHeight="1" x14ac:dyDescent="0.2">
      <c r="A164" s="177"/>
      <c r="B164" s="177"/>
      <c r="C164" s="177"/>
      <c r="D164" s="177"/>
      <c r="E164" s="177"/>
      <c r="F164" s="177"/>
      <c r="G164" s="177"/>
      <c r="H164" s="177"/>
      <c r="I164" s="177"/>
      <c r="J164" s="177"/>
      <c r="K164" s="55"/>
    </row>
    <row r="165" spans="1:11" ht="12.75" customHeight="1" x14ac:dyDescent="0.2">
      <c r="A165" s="177" t="s">
        <v>556</v>
      </c>
      <c r="B165" s="177"/>
      <c r="C165" s="177"/>
      <c r="D165" s="177"/>
      <c r="E165" s="177"/>
      <c r="F165" s="177"/>
      <c r="G165" s="177"/>
      <c r="H165" s="177"/>
      <c r="I165" s="177"/>
      <c r="J165" s="177"/>
      <c r="K165" s="55"/>
    </row>
    <row r="166" spans="1:11" ht="12.75" customHeight="1" thickBot="1" x14ac:dyDescent="0.25">
      <c r="A166" s="178" t="s">
        <v>557</v>
      </c>
      <c r="B166" s="178"/>
      <c r="C166" s="178"/>
      <c r="D166" s="178"/>
      <c r="E166" s="178"/>
      <c r="F166" s="178"/>
      <c r="G166" s="178"/>
      <c r="H166" s="178"/>
      <c r="I166" s="178"/>
      <c r="J166" s="178"/>
      <c r="K166" s="55"/>
    </row>
    <row r="167" spans="1:11" ht="12.75" customHeight="1" thickBot="1" x14ac:dyDescent="0.25">
      <c r="A167" s="179" t="s">
        <v>5</v>
      </c>
      <c r="B167" s="179"/>
      <c r="C167" s="179"/>
      <c r="D167" s="179" t="s">
        <v>162</v>
      </c>
      <c r="E167" s="179"/>
      <c r="F167" s="179"/>
      <c r="G167" s="179" t="s">
        <v>163</v>
      </c>
      <c r="H167" s="179"/>
      <c r="I167" s="179"/>
      <c r="J167" s="58" t="s">
        <v>72</v>
      </c>
      <c r="K167" s="55"/>
    </row>
    <row r="168" spans="1:11" ht="12.75" customHeight="1" thickBot="1" x14ac:dyDescent="0.25">
      <c r="A168" s="58" t="s">
        <v>216</v>
      </c>
      <c r="B168" s="58" t="s">
        <v>11</v>
      </c>
      <c r="C168" s="58" t="s">
        <v>10</v>
      </c>
      <c r="D168" s="58" t="s">
        <v>216</v>
      </c>
      <c r="E168" s="58" t="s">
        <v>11</v>
      </c>
      <c r="F168" s="58" t="s">
        <v>10</v>
      </c>
      <c r="G168" s="58" t="s">
        <v>216</v>
      </c>
      <c r="H168" s="58" t="s">
        <v>11</v>
      </c>
      <c r="I168" s="58" t="s">
        <v>10</v>
      </c>
      <c r="J168" s="59" t="s">
        <v>124</v>
      </c>
      <c r="K168" s="55"/>
    </row>
    <row r="169" spans="1:11" ht="12.75" customHeight="1" thickBot="1" x14ac:dyDescent="0.25">
      <c r="A169" s="60">
        <f>SUM(B169:C169)</f>
        <v>1487</v>
      </c>
      <c r="B169" s="60">
        <f>H169+E169</f>
        <v>1111</v>
      </c>
      <c r="C169" s="60">
        <f>I169+F169</f>
        <v>376</v>
      </c>
      <c r="D169" s="60">
        <f>SUM(E169:F169)</f>
        <v>0</v>
      </c>
      <c r="E169" s="60">
        <v>0</v>
      </c>
      <c r="F169" s="60">
        <v>0</v>
      </c>
      <c r="G169" s="60">
        <f>SUM(H169:I169)</f>
        <v>1487</v>
      </c>
      <c r="H169" s="60">
        <v>1111</v>
      </c>
      <c r="I169" s="60">
        <f>485-109</f>
        <v>376</v>
      </c>
      <c r="J169" s="61" t="s">
        <v>123</v>
      </c>
      <c r="K169" s="55"/>
    </row>
    <row r="170" spans="1:11" ht="12.75" customHeight="1" thickBot="1" x14ac:dyDescent="0.25">
      <c r="A170" s="60">
        <f t="shared" ref="A170:A172" si="58">SUM(B170:C170)</f>
        <v>291</v>
      </c>
      <c r="B170" s="60">
        <f t="shared" ref="B170:C172" si="59">H170+E170</f>
        <v>0</v>
      </c>
      <c r="C170" s="60">
        <f t="shared" si="59"/>
        <v>291</v>
      </c>
      <c r="D170" s="60">
        <f t="shared" ref="D170:D172" si="60">SUM(E170:F170)</f>
        <v>0</v>
      </c>
      <c r="E170" s="60">
        <v>0</v>
      </c>
      <c r="F170" s="60">
        <v>0</v>
      </c>
      <c r="G170" s="60">
        <f t="shared" ref="G170:G172" si="61">SUM(H170:I170)</f>
        <v>291</v>
      </c>
      <c r="H170" s="60">
        <v>0</v>
      </c>
      <c r="I170" s="60">
        <f>391-100</f>
        <v>291</v>
      </c>
      <c r="J170" s="61" t="s">
        <v>274</v>
      </c>
      <c r="K170" s="55"/>
    </row>
    <row r="171" spans="1:11" ht="12.75" customHeight="1" thickBot="1" x14ac:dyDescent="0.25">
      <c r="A171" s="60">
        <f t="shared" si="58"/>
        <v>58</v>
      </c>
      <c r="B171" s="60">
        <f t="shared" si="59"/>
        <v>58</v>
      </c>
      <c r="C171" s="60">
        <f t="shared" si="59"/>
        <v>0</v>
      </c>
      <c r="D171" s="60">
        <f t="shared" si="60"/>
        <v>0</v>
      </c>
      <c r="E171" s="60">
        <v>0</v>
      </c>
      <c r="F171" s="60">
        <v>0</v>
      </c>
      <c r="G171" s="60">
        <f t="shared" si="61"/>
        <v>58</v>
      </c>
      <c r="H171" s="60">
        <v>58</v>
      </c>
      <c r="I171" s="60">
        <v>0</v>
      </c>
      <c r="J171" s="61" t="s">
        <v>275</v>
      </c>
      <c r="K171" s="55"/>
    </row>
    <row r="172" spans="1:11" ht="12.75" customHeight="1" thickBot="1" x14ac:dyDescent="0.25">
      <c r="A172" s="60">
        <f t="shared" si="58"/>
        <v>83</v>
      </c>
      <c r="B172" s="60">
        <f t="shared" si="59"/>
        <v>83</v>
      </c>
      <c r="C172" s="60">
        <f t="shared" si="59"/>
        <v>0</v>
      </c>
      <c r="D172" s="60">
        <f t="shared" si="60"/>
        <v>0</v>
      </c>
      <c r="E172" s="60">
        <v>0</v>
      </c>
      <c r="F172" s="60">
        <v>0</v>
      </c>
      <c r="G172" s="60">
        <f t="shared" si="61"/>
        <v>83</v>
      </c>
      <c r="H172" s="60">
        <v>83</v>
      </c>
      <c r="I172" s="60">
        <v>0</v>
      </c>
      <c r="J172" s="61" t="s">
        <v>276</v>
      </c>
      <c r="K172" s="55"/>
    </row>
    <row r="173" spans="1:11" ht="12.75" customHeight="1" thickBot="1" x14ac:dyDescent="0.25">
      <c r="A173" s="60">
        <f t="shared" ref="A173:H173" si="62">SUM(A169:A172)</f>
        <v>1919</v>
      </c>
      <c r="B173" s="60">
        <f t="shared" si="62"/>
        <v>1252</v>
      </c>
      <c r="C173" s="60">
        <f t="shared" si="62"/>
        <v>667</v>
      </c>
      <c r="D173" s="60">
        <f t="shared" si="62"/>
        <v>0</v>
      </c>
      <c r="E173" s="60">
        <f t="shared" si="62"/>
        <v>0</v>
      </c>
      <c r="F173" s="60">
        <f t="shared" si="62"/>
        <v>0</v>
      </c>
      <c r="G173" s="60">
        <f t="shared" si="62"/>
        <v>1919</v>
      </c>
      <c r="H173" s="60">
        <f t="shared" si="62"/>
        <v>1252</v>
      </c>
      <c r="I173" s="60">
        <f>SUM(I169:I172)</f>
        <v>667</v>
      </c>
      <c r="J173" s="59" t="s">
        <v>211</v>
      </c>
      <c r="K173" s="55"/>
    </row>
    <row r="174" spans="1:11" ht="12.75" customHeight="1" x14ac:dyDescent="0.2">
      <c r="A174" s="177"/>
      <c r="B174" s="177"/>
      <c r="C174" s="177"/>
      <c r="D174" s="177"/>
      <c r="E174" s="177"/>
      <c r="F174" s="177"/>
      <c r="G174" s="177"/>
      <c r="H174" s="177"/>
      <c r="I174" s="177"/>
      <c r="J174" s="177"/>
      <c r="K174" s="55"/>
    </row>
    <row r="175" spans="1:11" ht="12.75" customHeight="1" x14ac:dyDescent="0.2">
      <c r="A175" s="177" t="s">
        <v>556</v>
      </c>
      <c r="B175" s="177"/>
      <c r="C175" s="177"/>
      <c r="D175" s="177"/>
      <c r="E175" s="177"/>
      <c r="F175" s="177"/>
      <c r="G175" s="177"/>
      <c r="H175" s="177"/>
      <c r="I175" s="177"/>
      <c r="J175" s="177"/>
      <c r="K175" s="55"/>
    </row>
    <row r="176" spans="1:11" ht="12.75" customHeight="1" thickBot="1" x14ac:dyDescent="0.25">
      <c r="A176" s="178" t="s">
        <v>557</v>
      </c>
      <c r="B176" s="178"/>
      <c r="C176" s="178"/>
      <c r="D176" s="178"/>
      <c r="E176" s="178"/>
      <c r="F176" s="178"/>
      <c r="G176" s="178"/>
      <c r="H176" s="178"/>
      <c r="I176" s="178"/>
      <c r="J176" s="178"/>
      <c r="K176" s="55"/>
    </row>
    <row r="177" spans="1:11" ht="12.75" customHeight="1" thickBot="1" x14ac:dyDescent="0.25">
      <c r="A177" s="179" t="s">
        <v>5</v>
      </c>
      <c r="B177" s="179"/>
      <c r="C177" s="179"/>
      <c r="D177" s="179" t="s">
        <v>162</v>
      </c>
      <c r="E177" s="179"/>
      <c r="F177" s="179"/>
      <c r="G177" s="179" t="s">
        <v>163</v>
      </c>
      <c r="H177" s="179"/>
      <c r="I177" s="179"/>
      <c r="J177" s="58" t="s">
        <v>72</v>
      </c>
      <c r="K177" s="55"/>
    </row>
    <row r="178" spans="1:11" ht="12.75" customHeight="1" thickBot="1" x14ac:dyDescent="0.25">
      <c r="A178" s="58" t="s">
        <v>216</v>
      </c>
      <c r="B178" s="58" t="s">
        <v>11</v>
      </c>
      <c r="C178" s="58" t="s">
        <v>10</v>
      </c>
      <c r="D178" s="58" t="s">
        <v>216</v>
      </c>
      <c r="E178" s="58" t="s">
        <v>11</v>
      </c>
      <c r="F178" s="58" t="s">
        <v>10</v>
      </c>
      <c r="G178" s="58" t="s">
        <v>216</v>
      </c>
      <c r="H178" s="58" t="s">
        <v>11</v>
      </c>
      <c r="I178" s="58" t="s">
        <v>10</v>
      </c>
      <c r="J178" s="59" t="s">
        <v>126</v>
      </c>
      <c r="K178" s="55"/>
    </row>
    <row r="179" spans="1:11" ht="12.75" customHeight="1" thickBot="1" x14ac:dyDescent="0.25">
      <c r="A179" s="60">
        <f>SUM(B179:C179)</f>
        <v>11</v>
      </c>
      <c r="B179" s="60">
        <v>0</v>
      </c>
      <c r="C179" s="60">
        <v>11</v>
      </c>
      <c r="D179" s="60">
        <f>SUM(E179:F179)</f>
        <v>0</v>
      </c>
      <c r="E179" s="60">
        <v>0</v>
      </c>
      <c r="F179" s="60">
        <v>0</v>
      </c>
      <c r="G179" s="60">
        <f>SUM(H179:I179)</f>
        <v>11</v>
      </c>
      <c r="H179" s="60">
        <v>0</v>
      </c>
      <c r="I179" s="60">
        <v>11</v>
      </c>
      <c r="J179" s="61" t="s">
        <v>264</v>
      </c>
      <c r="K179" s="55"/>
    </row>
    <row r="180" spans="1:11" ht="12.75" customHeight="1" thickBot="1" x14ac:dyDescent="0.25">
      <c r="A180" s="60">
        <f t="shared" ref="A180:A181" si="63">SUM(B180:C180)</f>
        <v>656</v>
      </c>
      <c r="B180" s="60">
        <v>0</v>
      </c>
      <c r="C180" s="60">
        <v>656</v>
      </c>
      <c r="D180" s="60">
        <f t="shared" ref="D180:D181" si="64">SUM(E180:F180)</f>
        <v>0</v>
      </c>
      <c r="E180" s="60">
        <v>0</v>
      </c>
      <c r="F180" s="60">
        <v>0</v>
      </c>
      <c r="G180" s="60">
        <f t="shared" ref="G180:G181" si="65">SUM(H180:I180)</f>
        <v>656</v>
      </c>
      <c r="H180" s="60">
        <v>0</v>
      </c>
      <c r="I180" s="60">
        <v>656</v>
      </c>
      <c r="J180" s="61" t="s">
        <v>125</v>
      </c>
      <c r="K180" s="55"/>
    </row>
    <row r="181" spans="1:11" ht="12.75" customHeight="1" thickBot="1" x14ac:dyDescent="0.25">
      <c r="A181" s="60">
        <f t="shared" si="63"/>
        <v>67</v>
      </c>
      <c r="B181" s="60">
        <v>67</v>
      </c>
      <c r="C181" s="60">
        <v>0</v>
      </c>
      <c r="D181" s="60">
        <f t="shared" si="64"/>
        <v>0</v>
      </c>
      <c r="E181" s="60">
        <v>0</v>
      </c>
      <c r="F181" s="60">
        <v>0</v>
      </c>
      <c r="G181" s="60">
        <f t="shared" si="65"/>
        <v>67</v>
      </c>
      <c r="H181" s="60">
        <v>67</v>
      </c>
      <c r="I181" s="60">
        <v>0</v>
      </c>
      <c r="J181" s="61" t="s">
        <v>127</v>
      </c>
      <c r="K181" s="55"/>
    </row>
    <row r="182" spans="1:11" ht="12.75" customHeight="1" thickBot="1" x14ac:dyDescent="0.25">
      <c r="A182" s="60">
        <f t="shared" ref="A182:H182" si="66">SUM(A179:A181)</f>
        <v>734</v>
      </c>
      <c r="B182" s="60">
        <f t="shared" si="66"/>
        <v>67</v>
      </c>
      <c r="C182" s="60">
        <f t="shared" si="66"/>
        <v>667</v>
      </c>
      <c r="D182" s="60">
        <f t="shared" si="66"/>
        <v>0</v>
      </c>
      <c r="E182" s="60">
        <f t="shared" si="66"/>
        <v>0</v>
      </c>
      <c r="F182" s="60">
        <f t="shared" si="66"/>
        <v>0</v>
      </c>
      <c r="G182" s="60">
        <f t="shared" si="66"/>
        <v>734</v>
      </c>
      <c r="H182" s="60">
        <f t="shared" si="66"/>
        <v>67</v>
      </c>
      <c r="I182" s="60">
        <f>SUM(I179:I181)</f>
        <v>667</v>
      </c>
      <c r="J182" s="59" t="s">
        <v>211</v>
      </c>
      <c r="K182" s="55"/>
    </row>
    <row r="183" spans="1:11" ht="12.75" customHeight="1" x14ac:dyDescent="0.2">
      <c r="A183" s="177"/>
      <c r="B183" s="177"/>
      <c r="C183" s="177"/>
      <c r="D183" s="177"/>
      <c r="E183" s="177"/>
      <c r="F183" s="177"/>
      <c r="G183" s="177"/>
      <c r="H183" s="177"/>
      <c r="I183" s="177"/>
      <c r="J183" s="177"/>
      <c r="K183" s="55"/>
    </row>
    <row r="184" spans="1:11" ht="12.75" customHeight="1" x14ac:dyDescent="0.2">
      <c r="A184" s="177" t="s">
        <v>556</v>
      </c>
      <c r="B184" s="177"/>
      <c r="C184" s="177"/>
      <c r="D184" s="177"/>
      <c r="E184" s="177"/>
      <c r="F184" s="177"/>
      <c r="G184" s="177"/>
      <c r="H184" s="177"/>
      <c r="I184" s="177"/>
      <c r="J184" s="177"/>
      <c r="K184" s="55"/>
    </row>
    <row r="185" spans="1:11" ht="12.75" customHeight="1" thickBot="1" x14ac:dyDescent="0.25">
      <c r="A185" s="178" t="s">
        <v>557</v>
      </c>
      <c r="B185" s="178"/>
      <c r="C185" s="178"/>
      <c r="D185" s="178"/>
      <c r="E185" s="178"/>
      <c r="F185" s="178"/>
      <c r="G185" s="178"/>
      <c r="H185" s="178"/>
      <c r="I185" s="178"/>
      <c r="J185" s="178"/>
      <c r="K185" s="55"/>
    </row>
    <row r="186" spans="1:11" ht="12.75" customHeight="1" thickBot="1" x14ac:dyDescent="0.25">
      <c r="A186" s="179" t="s">
        <v>5</v>
      </c>
      <c r="B186" s="179"/>
      <c r="C186" s="179"/>
      <c r="D186" s="179" t="s">
        <v>162</v>
      </c>
      <c r="E186" s="179"/>
      <c r="F186" s="179"/>
      <c r="G186" s="179" t="s">
        <v>163</v>
      </c>
      <c r="H186" s="179"/>
      <c r="I186" s="179"/>
      <c r="J186" s="58" t="s">
        <v>72</v>
      </c>
      <c r="K186" s="55"/>
    </row>
    <row r="187" spans="1:11" ht="12.75" customHeight="1" thickBot="1" x14ac:dyDescent="0.25">
      <c r="A187" s="58" t="s">
        <v>216</v>
      </c>
      <c r="B187" s="58" t="s">
        <v>11</v>
      </c>
      <c r="C187" s="58" t="s">
        <v>10</v>
      </c>
      <c r="D187" s="58" t="s">
        <v>216</v>
      </c>
      <c r="E187" s="58" t="s">
        <v>11</v>
      </c>
      <c r="F187" s="58" t="s">
        <v>10</v>
      </c>
      <c r="G187" s="58" t="s">
        <v>216</v>
      </c>
      <c r="H187" s="58" t="s">
        <v>11</v>
      </c>
      <c r="I187" s="58" t="s">
        <v>10</v>
      </c>
      <c r="J187" s="59" t="s">
        <v>129</v>
      </c>
      <c r="K187" s="55"/>
    </row>
    <row r="188" spans="1:11" ht="12.75" customHeight="1" thickBot="1" x14ac:dyDescent="0.25">
      <c r="A188" s="60">
        <f>SUM(B188:C188)</f>
        <v>796</v>
      </c>
      <c r="B188" s="60">
        <f>H188+E188</f>
        <v>796</v>
      </c>
      <c r="C188" s="60">
        <f>I188+F188</f>
        <v>0</v>
      </c>
      <c r="D188" s="60">
        <f>SUM(E188:F188)</f>
        <v>1</v>
      </c>
      <c r="E188" s="60">
        <v>1</v>
      </c>
      <c r="F188" s="60">
        <v>0</v>
      </c>
      <c r="G188" s="60">
        <f>SUM(H188:I188)</f>
        <v>795</v>
      </c>
      <c r="H188" s="60">
        <f>942-147</f>
        <v>795</v>
      </c>
      <c r="I188" s="60">
        <v>0</v>
      </c>
      <c r="J188" s="61" t="s">
        <v>128</v>
      </c>
      <c r="K188" s="55"/>
    </row>
    <row r="189" spans="1:11" ht="12.75" customHeight="1" thickBot="1" x14ac:dyDescent="0.25">
      <c r="A189" s="60">
        <f>SUM(B189:C189)</f>
        <v>679</v>
      </c>
      <c r="B189" s="60">
        <f>H189+E189</f>
        <v>0</v>
      </c>
      <c r="C189" s="60">
        <f>I189+F189</f>
        <v>679</v>
      </c>
      <c r="D189" s="60">
        <f>SUM(E189:F189)</f>
        <v>4</v>
      </c>
      <c r="E189" s="60">
        <v>0</v>
      </c>
      <c r="F189" s="60">
        <v>4</v>
      </c>
      <c r="G189" s="60">
        <f>SUM(H189:I189)</f>
        <v>675</v>
      </c>
      <c r="H189" s="60">
        <v>0</v>
      </c>
      <c r="I189" s="60">
        <v>675</v>
      </c>
      <c r="J189" s="61" t="s">
        <v>212</v>
      </c>
      <c r="K189" s="55"/>
    </row>
    <row r="190" spans="1:11" ht="12.75" customHeight="1" thickBot="1" x14ac:dyDescent="0.25">
      <c r="A190" s="60">
        <f t="shared" ref="A190:H190" si="67">SUM(A188:A189)</f>
        <v>1475</v>
      </c>
      <c r="B190" s="60">
        <f t="shared" si="67"/>
        <v>796</v>
      </c>
      <c r="C190" s="60">
        <f t="shared" si="67"/>
        <v>679</v>
      </c>
      <c r="D190" s="60">
        <f t="shared" si="67"/>
        <v>5</v>
      </c>
      <c r="E190" s="60">
        <f t="shared" si="67"/>
        <v>1</v>
      </c>
      <c r="F190" s="60">
        <f t="shared" si="67"/>
        <v>4</v>
      </c>
      <c r="G190" s="60">
        <f t="shared" si="67"/>
        <v>1470</v>
      </c>
      <c r="H190" s="60">
        <f t="shared" si="67"/>
        <v>795</v>
      </c>
      <c r="I190" s="60">
        <f>SUM(I188:I189)</f>
        <v>675</v>
      </c>
      <c r="J190" s="59" t="s">
        <v>211</v>
      </c>
      <c r="K190" s="55"/>
    </row>
    <row r="191" spans="1:11" ht="12.75" customHeight="1" x14ac:dyDescent="0.2">
      <c r="A191" s="177"/>
      <c r="B191" s="177"/>
      <c r="C191" s="177"/>
      <c r="D191" s="177"/>
      <c r="E191" s="177"/>
      <c r="F191" s="177"/>
      <c r="G191" s="177"/>
      <c r="H191" s="177"/>
      <c r="I191" s="177"/>
      <c r="J191" s="177"/>
      <c r="K191" s="55"/>
    </row>
    <row r="192" spans="1:11" ht="12.75" customHeight="1" x14ac:dyDescent="0.2">
      <c r="A192" s="177" t="s">
        <v>556</v>
      </c>
      <c r="B192" s="177"/>
      <c r="C192" s="177"/>
      <c r="D192" s="177"/>
      <c r="E192" s="177"/>
      <c r="F192" s="177"/>
      <c r="G192" s="177"/>
      <c r="H192" s="177"/>
      <c r="I192" s="177"/>
      <c r="J192" s="177"/>
      <c r="K192" s="55"/>
    </row>
    <row r="193" spans="1:11" ht="12.75" customHeight="1" thickBot="1" x14ac:dyDescent="0.25">
      <c r="A193" s="178" t="s">
        <v>557</v>
      </c>
      <c r="B193" s="178"/>
      <c r="C193" s="178"/>
      <c r="D193" s="178"/>
      <c r="E193" s="178"/>
      <c r="F193" s="178"/>
      <c r="G193" s="178"/>
      <c r="H193" s="178"/>
      <c r="I193" s="178"/>
      <c r="J193" s="178"/>
      <c r="K193" s="55"/>
    </row>
    <row r="194" spans="1:11" ht="12.75" customHeight="1" thickBot="1" x14ac:dyDescent="0.25">
      <c r="A194" s="179" t="s">
        <v>5</v>
      </c>
      <c r="B194" s="179"/>
      <c r="C194" s="179"/>
      <c r="D194" s="179" t="s">
        <v>162</v>
      </c>
      <c r="E194" s="179"/>
      <c r="F194" s="179"/>
      <c r="G194" s="179" t="s">
        <v>163</v>
      </c>
      <c r="H194" s="179"/>
      <c r="I194" s="179"/>
      <c r="J194" s="58" t="s">
        <v>72</v>
      </c>
      <c r="K194" s="55"/>
    </row>
    <row r="195" spans="1:11" ht="12.75" customHeight="1" thickBot="1" x14ac:dyDescent="0.25">
      <c r="A195" s="58" t="s">
        <v>216</v>
      </c>
      <c r="B195" s="58" t="s">
        <v>11</v>
      </c>
      <c r="C195" s="58" t="s">
        <v>10</v>
      </c>
      <c r="D195" s="58" t="s">
        <v>216</v>
      </c>
      <c r="E195" s="58" t="s">
        <v>11</v>
      </c>
      <c r="F195" s="58" t="s">
        <v>10</v>
      </c>
      <c r="G195" s="58" t="s">
        <v>216</v>
      </c>
      <c r="H195" s="58" t="s">
        <v>11</v>
      </c>
      <c r="I195" s="58" t="s">
        <v>10</v>
      </c>
      <c r="J195" s="59" t="s">
        <v>131</v>
      </c>
      <c r="K195" s="55"/>
    </row>
    <row r="196" spans="1:11" ht="12.75" customHeight="1" thickBot="1" x14ac:dyDescent="0.25">
      <c r="A196" s="60">
        <v>1971</v>
      </c>
      <c r="B196" s="60">
        <v>1971</v>
      </c>
      <c r="C196" s="60">
        <v>0</v>
      </c>
      <c r="D196" s="60">
        <v>0</v>
      </c>
      <c r="E196" s="60">
        <v>0</v>
      </c>
      <c r="F196" s="60">
        <v>0</v>
      </c>
      <c r="G196" s="60">
        <v>1971</v>
      </c>
      <c r="H196" s="60">
        <v>1971</v>
      </c>
      <c r="I196" s="60">
        <v>0</v>
      </c>
      <c r="J196" s="61" t="s">
        <v>130</v>
      </c>
      <c r="K196" s="55"/>
    </row>
    <row r="197" spans="1:11" ht="12.75" customHeight="1" thickBot="1" x14ac:dyDescent="0.25">
      <c r="A197" s="60">
        <v>1971</v>
      </c>
      <c r="B197" s="60">
        <v>1971</v>
      </c>
      <c r="C197" s="60">
        <v>0</v>
      </c>
      <c r="D197" s="60">
        <v>0</v>
      </c>
      <c r="E197" s="60">
        <v>0</v>
      </c>
      <c r="F197" s="60">
        <v>0</v>
      </c>
      <c r="G197" s="60">
        <v>1971</v>
      </c>
      <c r="H197" s="60">
        <v>1971</v>
      </c>
      <c r="I197" s="60">
        <v>0</v>
      </c>
      <c r="J197" s="59" t="s">
        <v>211</v>
      </c>
      <c r="K197" s="55"/>
    </row>
    <row r="198" spans="1:11" ht="12.75" customHeight="1" x14ac:dyDescent="0.2">
      <c r="A198" s="177"/>
      <c r="B198" s="177"/>
      <c r="C198" s="177"/>
      <c r="D198" s="177"/>
      <c r="E198" s="177"/>
      <c r="F198" s="177"/>
      <c r="G198" s="177"/>
      <c r="H198" s="177"/>
      <c r="I198" s="177"/>
      <c r="J198" s="177"/>
      <c r="K198" s="55"/>
    </row>
    <row r="199" spans="1:11" ht="12.75" customHeight="1" x14ac:dyDescent="0.2">
      <c r="A199" s="177" t="s">
        <v>556</v>
      </c>
      <c r="B199" s="177"/>
      <c r="C199" s="177"/>
      <c r="D199" s="177"/>
      <c r="E199" s="177"/>
      <c r="F199" s="177"/>
      <c r="G199" s="177"/>
      <c r="H199" s="177"/>
      <c r="I199" s="177"/>
      <c r="J199" s="177"/>
      <c r="K199" s="55"/>
    </row>
    <row r="200" spans="1:11" ht="12.75" customHeight="1" thickBot="1" x14ac:dyDescent="0.25">
      <c r="A200" s="178" t="s">
        <v>557</v>
      </c>
      <c r="B200" s="178"/>
      <c r="C200" s="178"/>
      <c r="D200" s="178"/>
      <c r="E200" s="178"/>
      <c r="F200" s="178"/>
      <c r="G200" s="178"/>
      <c r="H200" s="178"/>
      <c r="I200" s="178"/>
      <c r="J200" s="178"/>
      <c r="K200" s="55"/>
    </row>
    <row r="201" spans="1:11" ht="12.75" customHeight="1" thickBot="1" x14ac:dyDescent="0.25">
      <c r="A201" s="179" t="s">
        <v>5</v>
      </c>
      <c r="B201" s="179"/>
      <c r="C201" s="179"/>
      <c r="D201" s="179" t="s">
        <v>162</v>
      </c>
      <c r="E201" s="179"/>
      <c r="F201" s="179"/>
      <c r="G201" s="179" t="s">
        <v>163</v>
      </c>
      <c r="H201" s="179"/>
      <c r="I201" s="179"/>
      <c r="J201" s="58" t="s">
        <v>72</v>
      </c>
      <c r="K201" s="55"/>
    </row>
    <row r="202" spans="1:11" ht="12.75" customHeight="1" thickBot="1" x14ac:dyDescent="0.25">
      <c r="A202" s="58" t="s">
        <v>216</v>
      </c>
      <c r="B202" s="58" t="s">
        <v>11</v>
      </c>
      <c r="C202" s="58" t="s">
        <v>10</v>
      </c>
      <c r="D202" s="58" t="s">
        <v>216</v>
      </c>
      <c r="E202" s="58" t="s">
        <v>11</v>
      </c>
      <c r="F202" s="58" t="s">
        <v>10</v>
      </c>
      <c r="G202" s="58" t="s">
        <v>216</v>
      </c>
      <c r="H202" s="58" t="s">
        <v>11</v>
      </c>
      <c r="I202" s="58" t="s">
        <v>10</v>
      </c>
      <c r="J202" s="59" t="s">
        <v>133</v>
      </c>
      <c r="K202" s="55"/>
    </row>
    <row r="203" spans="1:11" ht="12.75" customHeight="1" thickBot="1" x14ac:dyDescent="0.25">
      <c r="A203" s="60">
        <f>SUM(B203:C203)</f>
        <v>16</v>
      </c>
      <c r="B203" s="60">
        <f>H203+E203</f>
        <v>0</v>
      </c>
      <c r="C203" s="60">
        <f>I203+F203</f>
        <v>16</v>
      </c>
      <c r="D203" s="60">
        <f>SUM(E203:F203)</f>
        <v>0</v>
      </c>
      <c r="E203" s="60">
        <v>0</v>
      </c>
      <c r="F203" s="60">
        <v>0</v>
      </c>
      <c r="G203" s="60">
        <f>SUM(H203:I203)</f>
        <v>16</v>
      </c>
      <c r="H203" s="60">
        <v>0</v>
      </c>
      <c r="I203" s="60">
        <v>16</v>
      </c>
      <c r="J203" s="61" t="s">
        <v>278</v>
      </c>
      <c r="K203" s="55"/>
    </row>
    <row r="204" spans="1:11" ht="12.75" customHeight="1" thickBot="1" x14ac:dyDescent="0.25">
      <c r="A204" s="60">
        <f t="shared" ref="A204:A206" si="68">SUM(B204:C204)</f>
        <v>109</v>
      </c>
      <c r="B204" s="60">
        <f t="shared" ref="B204:C206" si="69">H204+E204</f>
        <v>109</v>
      </c>
      <c r="C204" s="60">
        <f t="shared" si="69"/>
        <v>0</v>
      </c>
      <c r="D204" s="60">
        <f t="shared" ref="D204:D206" si="70">SUM(E204:F204)</f>
        <v>0</v>
      </c>
      <c r="E204" s="60">
        <v>0</v>
      </c>
      <c r="F204" s="60">
        <v>0</v>
      </c>
      <c r="G204" s="60">
        <f t="shared" ref="G204:G206" si="71">SUM(H204:I204)</f>
        <v>109</v>
      </c>
      <c r="H204" s="60">
        <v>109</v>
      </c>
      <c r="I204" s="60">
        <v>0</v>
      </c>
      <c r="J204" s="61" t="s">
        <v>279</v>
      </c>
      <c r="K204" s="55"/>
    </row>
    <row r="205" spans="1:11" ht="12.75" customHeight="1" thickBot="1" x14ac:dyDescent="0.25">
      <c r="A205" s="60">
        <f t="shared" si="68"/>
        <v>170</v>
      </c>
      <c r="B205" s="60">
        <f t="shared" si="69"/>
        <v>170</v>
      </c>
      <c r="C205" s="60">
        <f t="shared" si="69"/>
        <v>0</v>
      </c>
      <c r="D205" s="60">
        <f t="shared" si="70"/>
        <v>0</v>
      </c>
      <c r="E205" s="60">
        <v>0</v>
      </c>
      <c r="F205" s="60">
        <v>0</v>
      </c>
      <c r="G205" s="60">
        <f t="shared" si="71"/>
        <v>170</v>
      </c>
      <c r="H205" s="60">
        <v>170</v>
      </c>
      <c r="I205" s="60">
        <v>0</v>
      </c>
      <c r="J205" s="61" t="s">
        <v>132</v>
      </c>
      <c r="K205" s="55"/>
    </row>
    <row r="206" spans="1:11" ht="12.75" customHeight="1" thickBot="1" x14ac:dyDescent="0.25">
      <c r="A206" s="60">
        <f t="shared" si="68"/>
        <v>169</v>
      </c>
      <c r="B206" s="60">
        <f t="shared" si="69"/>
        <v>0</v>
      </c>
      <c r="C206" s="60">
        <f t="shared" si="69"/>
        <v>169</v>
      </c>
      <c r="D206" s="60">
        <f t="shared" si="70"/>
        <v>0</v>
      </c>
      <c r="E206" s="60">
        <v>0</v>
      </c>
      <c r="F206" s="60">
        <v>0</v>
      </c>
      <c r="G206" s="60">
        <f t="shared" si="71"/>
        <v>169</v>
      </c>
      <c r="H206" s="60">
        <v>0</v>
      </c>
      <c r="I206" s="60">
        <v>169</v>
      </c>
      <c r="J206" s="61" t="s">
        <v>134</v>
      </c>
      <c r="K206" s="55"/>
    </row>
    <row r="207" spans="1:11" ht="12.75" customHeight="1" thickBot="1" x14ac:dyDescent="0.25">
      <c r="A207" s="60">
        <f t="shared" ref="A207:H207" si="72">SUM(A203:A206)</f>
        <v>464</v>
      </c>
      <c r="B207" s="60">
        <f t="shared" si="72"/>
        <v>279</v>
      </c>
      <c r="C207" s="60">
        <f t="shared" si="72"/>
        <v>185</v>
      </c>
      <c r="D207" s="60">
        <f t="shared" si="72"/>
        <v>0</v>
      </c>
      <c r="E207" s="60">
        <f t="shared" si="72"/>
        <v>0</v>
      </c>
      <c r="F207" s="60">
        <f t="shared" si="72"/>
        <v>0</v>
      </c>
      <c r="G207" s="60">
        <f t="shared" si="72"/>
        <v>464</v>
      </c>
      <c r="H207" s="60">
        <f t="shared" si="72"/>
        <v>279</v>
      </c>
      <c r="I207" s="60">
        <f>SUM(I203:I206)</f>
        <v>185</v>
      </c>
      <c r="J207" s="59" t="s">
        <v>211</v>
      </c>
      <c r="K207" s="55"/>
    </row>
    <row r="208" spans="1:11" ht="12.75" customHeight="1" x14ac:dyDescent="0.2">
      <c r="A208" s="177"/>
      <c r="B208" s="177"/>
      <c r="C208" s="177"/>
      <c r="D208" s="177"/>
      <c r="E208" s="177"/>
      <c r="F208" s="177"/>
      <c r="G208" s="177"/>
      <c r="H208" s="177"/>
      <c r="I208" s="177"/>
      <c r="J208" s="177"/>
      <c r="K208" s="55"/>
    </row>
    <row r="209" spans="1:11" ht="12.75" customHeight="1" x14ac:dyDescent="0.2">
      <c r="A209" s="177" t="s">
        <v>556</v>
      </c>
      <c r="B209" s="177"/>
      <c r="C209" s="177"/>
      <c r="D209" s="177"/>
      <c r="E209" s="177"/>
      <c r="F209" s="177"/>
      <c r="G209" s="177"/>
      <c r="H209" s="177"/>
      <c r="I209" s="177"/>
      <c r="J209" s="177"/>
      <c r="K209" s="55"/>
    </row>
    <row r="210" spans="1:11" ht="12.75" customHeight="1" thickBot="1" x14ac:dyDescent="0.25">
      <c r="A210" s="178" t="s">
        <v>557</v>
      </c>
      <c r="B210" s="178"/>
      <c r="C210" s="178"/>
      <c r="D210" s="178"/>
      <c r="E210" s="178"/>
      <c r="F210" s="178"/>
      <c r="G210" s="178"/>
      <c r="H210" s="178"/>
      <c r="I210" s="178"/>
      <c r="J210" s="178"/>
      <c r="K210" s="55"/>
    </row>
    <row r="211" spans="1:11" ht="12.75" customHeight="1" thickBot="1" x14ac:dyDescent="0.25">
      <c r="A211" s="179" t="s">
        <v>5</v>
      </c>
      <c r="B211" s="179"/>
      <c r="C211" s="179"/>
      <c r="D211" s="179" t="s">
        <v>162</v>
      </c>
      <c r="E211" s="179"/>
      <c r="F211" s="179"/>
      <c r="G211" s="179" t="s">
        <v>163</v>
      </c>
      <c r="H211" s="179"/>
      <c r="I211" s="179"/>
      <c r="J211" s="58" t="s">
        <v>72</v>
      </c>
      <c r="K211" s="55"/>
    </row>
    <row r="212" spans="1:11" ht="12.75" customHeight="1" thickBot="1" x14ac:dyDescent="0.25">
      <c r="A212" s="58" t="s">
        <v>216</v>
      </c>
      <c r="B212" s="58" t="s">
        <v>11</v>
      </c>
      <c r="C212" s="58" t="s">
        <v>10</v>
      </c>
      <c r="D212" s="58" t="s">
        <v>216</v>
      </c>
      <c r="E212" s="58" t="s">
        <v>11</v>
      </c>
      <c r="F212" s="58" t="s">
        <v>10</v>
      </c>
      <c r="G212" s="58" t="s">
        <v>216</v>
      </c>
      <c r="H212" s="58" t="s">
        <v>11</v>
      </c>
      <c r="I212" s="58" t="s">
        <v>10</v>
      </c>
      <c r="J212" s="59" t="s">
        <v>168</v>
      </c>
      <c r="K212" s="55"/>
    </row>
    <row r="213" spans="1:11" ht="12.75" customHeight="1" thickBot="1" x14ac:dyDescent="0.25">
      <c r="A213" s="60">
        <f>SUM(B213:C213)</f>
        <v>7876</v>
      </c>
      <c r="B213" s="60">
        <f>H213+E213</f>
        <v>0</v>
      </c>
      <c r="C213" s="60">
        <f>I213+F213</f>
        <v>7876</v>
      </c>
      <c r="D213" s="60">
        <f>SUM(E213:F213)</f>
        <v>65</v>
      </c>
      <c r="E213" s="60">
        <v>0</v>
      </c>
      <c r="F213" s="60">
        <f>100-35</f>
        <v>65</v>
      </c>
      <c r="G213" s="60">
        <f>SUM(H213:I213)</f>
        <v>7811</v>
      </c>
      <c r="H213" s="60">
        <v>0</v>
      </c>
      <c r="I213" s="60">
        <f>7829-18</f>
        <v>7811</v>
      </c>
      <c r="J213" s="61" t="s">
        <v>280</v>
      </c>
      <c r="K213" s="55"/>
    </row>
    <row r="214" spans="1:11" ht="12.75" customHeight="1" thickBot="1" x14ac:dyDescent="0.25">
      <c r="A214" s="60">
        <f t="shared" ref="A214:A256" si="73">SUM(B214:C214)</f>
        <v>1936</v>
      </c>
      <c r="B214" s="60">
        <f t="shared" ref="B214:C256" si="74">H214+E214</f>
        <v>0</v>
      </c>
      <c r="C214" s="60">
        <f t="shared" si="74"/>
        <v>1936</v>
      </c>
      <c r="D214" s="60">
        <f t="shared" ref="D214:D256" si="75">SUM(E214:F214)</f>
        <v>74</v>
      </c>
      <c r="E214" s="60">
        <v>0</v>
      </c>
      <c r="F214" s="60">
        <v>74</v>
      </c>
      <c r="G214" s="60">
        <f t="shared" ref="G214:G256" si="76">SUM(H214:I214)</f>
        <v>1862</v>
      </c>
      <c r="H214" s="60">
        <v>0</v>
      </c>
      <c r="I214" s="60">
        <v>1862</v>
      </c>
      <c r="J214" s="61" t="s">
        <v>281</v>
      </c>
      <c r="K214" s="55"/>
    </row>
    <row r="215" spans="1:11" ht="12.75" customHeight="1" thickBot="1" x14ac:dyDescent="0.25">
      <c r="A215" s="60">
        <f t="shared" si="73"/>
        <v>2745</v>
      </c>
      <c r="B215" s="60">
        <f t="shared" si="74"/>
        <v>0</v>
      </c>
      <c r="C215" s="60">
        <f t="shared" si="74"/>
        <v>2745</v>
      </c>
      <c r="D215" s="60">
        <f t="shared" si="75"/>
        <v>15</v>
      </c>
      <c r="E215" s="60">
        <v>0</v>
      </c>
      <c r="F215" s="60">
        <v>15</v>
      </c>
      <c r="G215" s="60">
        <f t="shared" si="76"/>
        <v>2730</v>
      </c>
      <c r="H215" s="60">
        <v>0</v>
      </c>
      <c r="I215" s="60">
        <v>2730</v>
      </c>
      <c r="J215" s="61" t="s">
        <v>282</v>
      </c>
      <c r="K215" s="55"/>
    </row>
    <row r="216" spans="1:11" ht="12.75" customHeight="1" thickBot="1" x14ac:dyDescent="0.25">
      <c r="A216" s="60">
        <f t="shared" si="73"/>
        <v>890</v>
      </c>
      <c r="B216" s="60">
        <f t="shared" si="74"/>
        <v>0</v>
      </c>
      <c r="C216" s="60">
        <f t="shared" si="74"/>
        <v>890</v>
      </c>
      <c r="D216" s="60">
        <f t="shared" si="75"/>
        <v>6</v>
      </c>
      <c r="E216" s="60">
        <v>0</v>
      </c>
      <c r="F216" s="60">
        <v>6</v>
      </c>
      <c r="G216" s="60">
        <f t="shared" si="76"/>
        <v>884</v>
      </c>
      <c r="H216" s="60">
        <v>0</v>
      </c>
      <c r="I216" s="60">
        <v>884</v>
      </c>
      <c r="J216" s="61" t="s">
        <v>283</v>
      </c>
      <c r="K216" s="55"/>
    </row>
    <row r="217" spans="1:11" ht="12.75" customHeight="1" thickBot="1" x14ac:dyDescent="0.25">
      <c r="A217" s="60">
        <f t="shared" si="73"/>
        <v>5398</v>
      </c>
      <c r="B217" s="60">
        <f t="shared" si="74"/>
        <v>0</v>
      </c>
      <c r="C217" s="60">
        <f t="shared" si="74"/>
        <v>5398</v>
      </c>
      <c r="D217" s="60">
        <f t="shared" si="75"/>
        <v>7</v>
      </c>
      <c r="E217" s="60">
        <v>0</v>
      </c>
      <c r="F217" s="60">
        <v>7</v>
      </c>
      <c r="G217" s="60">
        <f t="shared" si="76"/>
        <v>5391</v>
      </c>
      <c r="H217" s="60">
        <v>0</v>
      </c>
      <c r="I217" s="60">
        <v>5391</v>
      </c>
      <c r="J217" s="61" t="s">
        <v>284</v>
      </c>
      <c r="K217" s="55"/>
    </row>
    <row r="218" spans="1:11" ht="12.75" customHeight="1" thickBot="1" x14ac:dyDescent="0.25">
      <c r="A218" s="60">
        <f t="shared" si="73"/>
        <v>4213</v>
      </c>
      <c r="B218" s="60">
        <f t="shared" si="74"/>
        <v>0</v>
      </c>
      <c r="C218" s="60">
        <f t="shared" si="74"/>
        <v>4213</v>
      </c>
      <c r="D218" s="60">
        <f t="shared" si="75"/>
        <v>39</v>
      </c>
      <c r="E218" s="60">
        <v>0</v>
      </c>
      <c r="F218" s="60">
        <v>39</v>
      </c>
      <c r="G218" s="60">
        <f t="shared" si="76"/>
        <v>4174</v>
      </c>
      <c r="H218" s="60">
        <v>0</v>
      </c>
      <c r="I218" s="60">
        <v>4174</v>
      </c>
      <c r="J218" s="61" t="s">
        <v>285</v>
      </c>
      <c r="K218" s="55"/>
    </row>
    <row r="219" spans="1:11" ht="12.75" customHeight="1" thickBot="1" x14ac:dyDescent="0.25">
      <c r="A219" s="60">
        <f t="shared" si="73"/>
        <v>1917</v>
      </c>
      <c r="B219" s="60">
        <f t="shared" si="74"/>
        <v>0</v>
      </c>
      <c r="C219" s="60">
        <f t="shared" si="74"/>
        <v>1917</v>
      </c>
      <c r="D219" s="60">
        <f t="shared" si="75"/>
        <v>2</v>
      </c>
      <c r="E219" s="60">
        <v>0</v>
      </c>
      <c r="F219" s="60">
        <v>2</v>
      </c>
      <c r="G219" s="60">
        <f t="shared" si="76"/>
        <v>1915</v>
      </c>
      <c r="H219" s="60">
        <v>0</v>
      </c>
      <c r="I219" s="60">
        <v>1915</v>
      </c>
      <c r="J219" s="61" t="s">
        <v>286</v>
      </c>
      <c r="K219" s="55"/>
    </row>
    <row r="220" spans="1:11" ht="12.75" customHeight="1" thickBot="1" x14ac:dyDescent="0.25">
      <c r="A220" s="60">
        <f t="shared" si="73"/>
        <v>4159</v>
      </c>
      <c r="B220" s="60">
        <f t="shared" si="74"/>
        <v>0</v>
      </c>
      <c r="C220" s="60">
        <f t="shared" si="74"/>
        <v>4159</v>
      </c>
      <c r="D220" s="60">
        <f t="shared" si="75"/>
        <v>66</v>
      </c>
      <c r="E220" s="60">
        <v>0</v>
      </c>
      <c r="F220" s="60">
        <v>66</v>
      </c>
      <c r="G220" s="60">
        <f t="shared" si="76"/>
        <v>4093</v>
      </c>
      <c r="H220" s="60">
        <v>0</v>
      </c>
      <c r="I220" s="60">
        <v>4093</v>
      </c>
      <c r="J220" s="61" t="s">
        <v>287</v>
      </c>
      <c r="K220" s="55"/>
    </row>
    <row r="221" spans="1:11" ht="12.75" customHeight="1" thickBot="1" x14ac:dyDescent="0.25">
      <c r="A221" s="60">
        <f t="shared" si="73"/>
        <v>3572</v>
      </c>
      <c r="B221" s="60">
        <f t="shared" si="74"/>
        <v>0</v>
      </c>
      <c r="C221" s="60">
        <f t="shared" si="74"/>
        <v>3572</v>
      </c>
      <c r="D221" s="60">
        <f t="shared" si="75"/>
        <v>10</v>
      </c>
      <c r="E221" s="60">
        <v>0</v>
      </c>
      <c r="F221" s="60">
        <v>10</v>
      </c>
      <c r="G221" s="60">
        <f t="shared" si="76"/>
        <v>3562</v>
      </c>
      <c r="H221" s="60">
        <v>0</v>
      </c>
      <c r="I221" s="60">
        <v>3562</v>
      </c>
      <c r="J221" s="61" t="s">
        <v>288</v>
      </c>
      <c r="K221" s="55"/>
    </row>
    <row r="222" spans="1:11" ht="12.75" customHeight="1" thickBot="1" x14ac:dyDescent="0.25">
      <c r="A222" s="60">
        <f t="shared" si="73"/>
        <v>2407</v>
      </c>
      <c r="B222" s="60">
        <f t="shared" si="74"/>
        <v>0</v>
      </c>
      <c r="C222" s="60">
        <f t="shared" si="74"/>
        <v>2407</v>
      </c>
      <c r="D222" s="60">
        <f t="shared" si="75"/>
        <v>53</v>
      </c>
      <c r="E222" s="60">
        <v>0</v>
      </c>
      <c r="F222" s="60">
        <f>83-30</f>
        <v>53</v>
      </c>
      <c r="G222" s="60">
        <f t="shared" si="76"/>
        <v>2354</v>
      </c>
      <c r="H222" s="60">
        <v>0</v>
      </c>
      <c r="I222" s="60">
        <v>2354</v>
      </c>
      <c r="J222" s="61" t="s">
        <v>289</v>
      </c>
      <c r="K222" s="55"/>
    </row>
    <row r="223" spans="1:11" ht="12.75" customHeight="1" thickBot="1" x14ac:dyDescent="0.25">
      <c r="A223" s="60">
        <f t="shared" si="73"/>
        <v>2080</v>
      </c>
      <c r="B223" s="60">
        <f t="shared" si="74"/>
        <v>0</v>
      </c>
      <c r="C223" s="60">
        <f t="shared" si="74"/>
        <v>2080</v>
      </c>
      <c r="D223" s="60">
        <f t="shared" si="75"/>
        <v>70</v>
      </c>
      <c r="E223" s="60">
        <v>0</v>
      </c>
      <c r="F223" s="60">
        <v>70</v>
      </c>
      <c r="G223" s="60">
        <f t="shared" si="76"/>
        <v>2010</v>
      </c>
      <c r="H223" s="60">
        <v>0</v>
      </c>
      <c r="I223" s="60">
        <v>2010</v>
      </c>
      <c r="J223" s="61" t="s">
        <v>290</v>
      </c>
      <c r="K223" s="55"/>
    </row>
    <row r="224" spans="1:11" ht="12.75" customHeight="1" thickBot="1" x14ac:dyDescent="0.25">
      <c r="A224" s="60">
        <f t="shared" si="73"/>
        <v>1190</v>
      </c>
      <c r="B224" s="60">
        <f t="shared" si="74"/>
        <v>0</v>
      </c>
      <c r="C224" s="60">
        <f t="shared" si="74"/>
        <v>1190</v>
      </c>
      <c r="D224" s="60">
        <f t="shared" si="75"/>
        <v>9</v>
      </c>
      <c r="E224" s="60">
        <v>0</v>
      </c>
      <c r="F224" s="60">
        <v>9</v>
      </c>
      <c r="G224" s="60">
        <f t="shared" si="76"/>
        <v>1181</v>
      </c>
      <c r="H224" s="60">
        <v>0</v>
      </c>
      <c r="I224" s="60">
        <v>1181</v>
      </c>
      <c r="J224" s="61" t="s">
        <v>291</v>
      </c>
      <c r="K224" s="55"/>
    </row>
    <row r="225" spans="1:11" ht="12.75" customHeight="1" thickBot="1" x14ac:dyDescent="0.25">
      <c r="A225" s="60">
        <f t="shared" si="73"/>
        <v>1194</v>
      </c>
      <c r="B225" s="60">
        <f t="shared" si="74"/>
        <v>0</v>
      </c>
      <c r="C225" s="60">
        <f t="shared" si="74"/>
        <v>1194</v>
      </c>
      <c r="D225" s="60">
        <f t="shared" si="75"/>
        <v>5</v>
      </c>
      <c r="E225" s="60">
        <v>0</v>
      </c>
      <c r="F225" s="60">
        <v>5</v>
      </c>
      <c r="G225" s="60">
        <f t="shared" si="76"/>
        <v>1189</v>
      </c>
      <c r="H225" s="60">
        <v>0</v>
      </c>
      <c r="I225" s="60">
        <v>1189</v>
      </c>
      <c r="J225" s="61" t="s">
        <v>292</v>
      </c>
      <c r="K225" s="55"/>
    </row>
    <row r="226" spans="1:11" ht="12.75" customHeight="1" thickBot="1" x14ac:dyDescent="0.25">
      <c r="A226" s="60">
        <f t="shared" si="73"/>
        <v>1739</v>
      </c>
      <c r="B226" s="60">
        <f t="shared" si="74"/>
        <v>0</v>
      </c>
      <c r="C226" s="60">
        <f t="shared" si="74"/>
        <v>1739</v>
      </c>
      <c r="D226" s="60">
        <f t="shared" si="75"/>
        <v>7</v>
      </c>
      <c r="E226" s="60">
        <v>0</v>
      </c>
      <c r="F226" s="60">
        <v>7</v>
      </c>
      <c r="G226" s="60">
        <f t="shared" si="76"/>
        <v>1732</v>
      </c>
      <c r="H226" s="60">
        <v>0</v>
      </c>
      <c r="I226" s="60">
        <v>1732</v>
      </c>
      <c r="J226" s="61" t="s">
        <v>293</v>
      </c>
      <c r="K226" s="55"/>
    </row>
    <row r="227" spans="1:11" ht="12.75" customHeight="1" thickBot="1" x14ac:dyDescent="0.25">
      <c r="A227" s="60">
        <f t="shared" si="73"/>
        <v>1415</v>
      </c>
      <c r="B227" s="60">
        <f t="shared" si="74"/>
        <v>0</v>
      </c>
      <c r="C227" s="60">
        <f t="shared" si="74"/>
        <v>1415</v>
      </c>
      <c r="D227" s="60">
        <f t="shared" si="75"/>
        <v>39</v>
      </c>
      <c r="E227" s="60">
        <v>0</v>
      </c>
      <c r="F227" s="60">
        <v>39</v>
      </c>
      <c r="G227" s="60">
        <f t="shared" si="76"/>
        <v>1376</v>
      </c>
      <c r="H227" s="60">
        <v>0</v>
      </c>
      <c r="I227" s="60">
        <v>1376</v>
      </c>
      <c r="J227" s="61" t="s">
        <v>294</v>
      </c>
      <c r="K227" s="55"/>
    </row>
    <row r="228" spans="1:11" ht="12.75" customHeight="1" thickBot="1" x14ac:dyDescent="0.25">
      <c r="A228" s="60">
        <f t="shared" si="73"/>
        <v>1538</v>
      </c>
      <c r="B228" s="60">
        <f t="shared" si="74"/>
        <v>0</v>
      </c>
      <c r="C228" s="60">
        <f t="shared" si="74"/>
        <v>1538</v>
      </c>
      <c r="D228" s="60">
        <f t="shared" si="75"/>
        <v>60</v>
      </c>
      <c r="E228" s="60">
        <v>0</v>
      </c>
      <c r="F228" s="60">
        <f>86-26</f>
        <v>60</v>
      </c>
      <c r="G228" s="60">
        <f t="shared" si="76"/>
        <v>1478</v>
      </c>
      <c r="H228" s="60">
        <v>0</v>
      </c>
      <c r="I228" s="60">
        <v>1478</v>
      </c>
      <c r="J228" s="61" t="s">
        <v>295</v>
      </c>
      <c r="K228" s="55"/>
    </row>
    <row r="229" spans="1:11" ht="12.75" customHeight="1" thickBot="1" x14ac:dyDescent="0.25">
      <c r="A229" s="60">
        <f t="shared" si="73"/>
        <v>349</v>
      </c>
      <c r="B229" s="60">
        <f t="shared" si="74"/>
        <v>0</v>
      </c>
      <c r="C229" s="60">
        <f t="shared" si="74"/>
        <v>349</v>
      </c>
      <c r="D229" s="60">
        <f t="shared" si="75"/>
        <v>0</v>
      </c>
      <c r="E229" s="60">
        <v>0</v>
      </c>
      <c r="F229" s="60">
        <v>0</v>
      </c>
      <c r="G229" s="60">
        <f t="shared" si="76"/>
        <v>349</v>
      </c>
      <c r="H229" s="60">
        <v>0</v>
      </c>
      <c r="I229" s="60">
        <v>349</v>
      </c>
      <c r="J229" s="61" t="s">
        <v>296</v>
      </c>
      <c r="K229" s="55"/>
    </row>
    <row r="230" spans="1:11" ht="12.75" customHeight="1" thickBot="1" x14ac:dyDescent="0.25">
      <c r="A230" s="60">
        <f t="shared" si="73"/>
        <v>842</v>
      </c>
      <c r="B230" s="60">
        <f t="shared" si="74"/>
        <v>0</v>
      </c>
      <c r="C230" s="60">
        <f t="shared" si="74"/>
        <v>842</v>
      </c>
      <c r="D230" s="60">
        <f t="shared" si="75"/>
        <v>20</v>
      </c>
      <c r="E230" s="60">
        <v>0</v>
      </c>
      <c r="F230" s="60">
        <v>20</v>
      </c>
      <c r="G230" s="60">
        <f t="shared" si="76"/>
        <v>822</v>
      </c>
      <c r="H230" s="60">
        <v>0</v>
      </c>
      <c r="I230" s="60">
        <v>822</v>
      </c>
      <c r="J230" s="61" t="s">
        <v>297</v>
      </c>
      <c r="K230" s="55"/>
    </row>
    <row r="231" spans="1:11" ht="12.75" customHeight="1" thickBot="1" x14ac:dyDescent="0.25">
      <c r="A231" s="60">
        <f t="shared" si="73"/>
        <v>1131</v>
      </c>
      <c r="B231" s="60">
        <f t="shared" si="74"/>
        <v>0</v>
      </c>
      <c r="C231" s="60">
        <f t="shared" si="74"/>
        <v>1131</v>
      </c>
      <c r="D231" s="60">
        <f t="shared" si="75"/>
        <v>9</v>
      </c>
      <c r="E231" s="60">
        <v>0</v>
      </c>
      <c r="F231" s="60">
        <v>9</v>
      </c>
      <c r="G231" s="60">
        <f t="shared" si="76"/>
        <v>1122</v>
      </c>
      <c r="H231" s="60">
        <v>0</v>
      </c>
      <c r="I231" s="60">
        <v>1122</v>
      </c>
      <c r="J231" s="61" t="s">
        <v>298</v>
      </c>
      <c r="K231" s="55"/>
    </row>
    <row r="232" spans="1:11" ht="12.75" customHeight="1" thickBot="1" x14ac:dyDescent="0.25">
      <c r="A232" s="60">
        <f t="shared" si="73"/>
        <v>1795</v>
      </c>
      <c r="B232" s="60">
        <f t="shared" si="74"/>
        <v>0</v>
      </c>
      <c r="C232" s="60">
        <f t="shared" si="74"/>
        <v>1795</v>
      </c>
      <c r="D232" s="60">
        <f t="shared" si="75"/>
        <v>56</v>
      </c>
      <c r="E232" s="60">
        <v>0</v>
      </c>
      <c r="F232" s="60">
        <v>56</v>
      </c>
      <c r="G232" s="60">
        <f t="shared" si="76"/>
        <v>1739</v>
      </c>
      <c r="H232" s="60">
        <v>0</v>
      </c>
      <c r="I232" s="60">
        <v>1739</v>
      </c>
      <c r="J232" s="61" t="s">
        <v>299</v>
      </c>
      <c r="K232" s="55"/>
    </row>
    <row r="233" spans="1:11" ht="12.75" customHeight="1" thickBot="1" x14ac:dyDescent="0.25">
      <c r="A233" s="60">
        <f t="shared" si="73"/>
        <v>343</v>
      </c>
      <c r="B233" s="60">
        <f t="shared" si="74"/>
        <v>0</v>
      </c>
      <c r="C233" s="60">
        <f t="shared" si="74"/>
        <v>343</v>
      </c>
      <c r="D233" s="60">
        <f t="shared" si="75"/>
        <v>11</v>
      </c>
      <c r="E233" s="60">
        <v>0</v>
      </c>
      <c r="F233" s="60">
        <v>11</v>
      </c>
      <c r="G233" s="60">
        <f t="shared" si="76"/>
        <v>332</v>
      </c>
      <c r="H233" s="60">
        <v>0</v>
      </c>
      <c r="I233" s="60">
        <v>332</v>
      </c>
      <c r="J233" s="61" t="s">
        <v>300</v>
      </c>
      <c r="K233" s="55"/>
    </row>
    <row r="234" spans="1:11" ht="12.75" customHeight="1" thickBot="1" x14ac:dyDescent="0.25">
      <c r="A234" s="60">
        <f t="shared" si="73"/>
        <v>2819</v>
      </c>
      <c r="B234" s="60">
        <f t="shared" si="74"/>
        <v>0</v>
      </c>
      <c r="C234" s="60">
        <f t="shared" si="74"/>
        <v>2819</v>
      </c>
      <c r="D234" s="60">
        <f t="shared" si="75"/>
        <v>55</v>
      </c>
      <c r="E234" s="60">
        <v>0</v>
      </c>
      <c r="F234" s="60">
        <f>89-34</f>
        <v>55</v>
      </c>
      <c r="G234" s="60">
        <f t="shared" si="76"/>
        <v>2764</v>
      </c>
      <c r="H234" s="60">
        <v>0</v>
      </c>
      <c r="I234" s="60">
        <v>2764</v>
      </c>
      <c r="J234" s="61" t="s">
        <v>301</v>
      </c>
      <c r="K234" s="55"/>
    </row>
    <row r="235" spans="1:11" ht="12.75" customHeight="1" thickBot="1" x14ac:dyDescent="0.25">
      <c r="A235" s="60">
        <f t="shared" si="73"/>
        <v>662</v>
      </c>
      <c r="B235" s="60">
        <f t="shared" si="74"/>
        <v>0</v>
      </c>
      <c r="C235" s="60">
        <f t="shared" si="74"/>
        <v>662</v>
      </c>
      <c r="D235" s="60">
        <f t="shared" si="75"/>
        <v>1</v>
      </c>
      <c r="E235" s="60">
        <v>0</v>
      </c>
      <c r="F235" s="60">
        <v>1</v>
      </c>
      <c r="G235" s="60">
        <f t="shared" si="76"/>
        <v>661</v>
      </c>
      <c r="H235" s="60">
        <v>0</v>
      </c>
      <c r="I235" s="60">
        <v>661</v>
      </c>
      <c r="J235" s="61" t="s">
        <v>302</v>
      </c>
      <c r="K235" s="55"/>
    </row>
    <row r="236" spans="1:11" ht="12.75" customHeight="1" thickBot="1" x14ac:dyDescent="0.25">
      <c r="A236" s="60">
        <f t="shared" si="73"/>
        <v>1076</v>
      </c>
      <c r="B236" s="60">
        <f t="shared" si="74"/>
        <v>0</v>
      </c>
      <c r="C236" s="60">
        <f t="shared" si="74"/>
        <v>1076</v>
      </c>
      <c r="D236" s="60">
        <f t="shared" si="75"/>
        <v>21</v>
      </c>
      <c r="E236" s="60">
        <v>0</v>
      </c>
      <c r="F236" s="60">
        <v>21</v>
      </c>
      <c r="G236" s="60">
        <f t="shared" si="76"/>
        <v>1055</v>
      </c>
      <c r="H236" s="60">
        <v>0</v>
      </c>
      <c r="I236" s="60">
        <v>1055</v>
      </c>
      <c r="J236" s="61" t="s">
        <v>303</v>
      </c>
      <c r="K236" s="55"/>
    </row>
    <row r="237" spans="1:11" ht="12.75" customHeight="1" thickBot="1" x14ac:dyDescent="0.25">
      <c r="A237" s="60">
        <f t="shared" si="73"/>
        <v>580</v>
      </c>
      <c r="B237" s="60">
        <f t="shared" si="74"/>
        <v>0</v>
      </c>
      <c r="C237" s="60">
        <f t="shared" si="74"/>
        <v>580</v>
      </c>
      <c r="D237" s="60">
        <f t="shared" si="75"/>
        <v>6</v>
      </c>
      <c r="E237" s="60">
        <v>0</v>
      </c>
      <c r="F237" s="60">
        <v>6</v>
      </c>
      <c r="G237" s="60">
        <f t="shared" si="76"/>
        <v>574</v>
      </c>
      <c r="H237" s="60">
        <v>0</v>
      </c>
      <c r="I237" s="60">
        <v>574</v>
      </c>
      <c r="J237" s="61" t="s">
        <v>304</v>
      </c>
      <c r="K237" s="55"/>
    </row>
    <row r="238" spans="1:11" ht="12.75" customHeight="1" thickBot="1" x14ac:dyDescent="0.25">
      <c r="A238" s="60">
        <f t="shared" si="73"/>
        <v>454</v>
      </c>
      <c r="B238" s="60">
        <f t="shared" si="74"/>
        <v>0</v>
      </c>
      <c r="C238" s="60">
        <f t="shared" si="74"/>
        <v>454</v>
      </c>
      <c r="D238" s="60">
        <f t="shared" si="75"/>
        <v>5</v>
      </c>
      <c r="E238" s="60">
        <v>0</v>
      </c>
      <c r="F238" s="60">
        <v>5</v>
      </c>
      <c r="G238" s="60">
        <f t="shared" si="76"/>
        <v>449</v>
      </c>
      <c r="H238" s="60">
        <v>0</v>
      </c>
      <c r="I238" s="60">
        <v>449</v>
      </c>
      <c r="J238" s="61" t="s">
        <v>305</v>
      </c>
      <c r="K238" s="55"/>
    </row>
    <row r="239" spans="1:11" ht="12.75" customHeight="1" thickBot="1" x14ac:dyDescent="0.25">
      <c r="A239" s="60">
        <f t="shared" si="73"/>
        <v>842</v>
      </c>
      <c r="B239" s="60">
        <f t="shared" si="74"/>
        <v>0</v>
      </c>
      <c r="C239" s="60">
        <f t="shared" si="74"/>
        <v>842</v>
      </c>
      <c r="D239" s="60">
        <f t="shared" si="75"/>
        <v>1</v>
      </c>
      <c r="E239" s="60">
        <v>0</v>
      </c>
      <c r="F239" s="60">
        <v>1</v>
      </c>
      <c r="G239" s="60">
        <f t="shared" si="76"/>
        <v>841</v>
      </c>
      <c r="H239" s="60">
        <v>0</v>
      </c>
      <c r="I239" s="60">
        <v>841</v>
      </c>
      <c r="J239" s="61" t="s">
        <v>306</v>
      </c>
      <c r="K239" s="55"/>
    </row>
    <row r="240" spans="1:11" ht="12.75" customHeight="1" thickBot="1" x14ac:dyDescent="0.25">
      <c r="A240" s="60">
        <f t="shared" si="73"/>
        <v>1019</v>
      </c>
      <c r="B240" s="60">
        <f t="shared" si="74"/>
        <v>0</v>
      </c>
      <c r="C240" s="60">
        <f t="shared" si="74"/>
        <v>1019</v>
      </c>
      <c r="D240" s="60">
        <f t="shared" si="75"/>
        <v>47</v>
      </c>
      <c r="E240" s="60">
        <v>0</v>
      </c>
      <c r="F240" s="60">
        <v>47</v>
      </c>
      <c r="G240" s="60">
        <f t="shared" si="76"/>
        <v>972</v>
      </c>
      <c r="H240" s="60">
        <v>0</v>
      </c>
      <c r="I240" s="60">
        <v>972</v>
      </c>
      <c r="J240" s="61" t="s">
        <v>307</v>
      </c>
      <c r="K240" s="55"/>
    </row>
    <row r="241" spans="1:11" ht="12.75" customHeight="1" thickBot="1" x14ac:dyDescent="0.25">
      <c r="A241" s="60">
        <f t="shared" si="73"/>
        <v>822</v>
      </c>
      <c r="B241" s="60">
        <f t="shared" si="74"/>
        <v>0</v>
      </c>
      <c r="C241" s="60">
        <f t="shared" si="74"/>
        <v>822</v>
      </c>
      <c r="D241" s="60">
        <f t="shared" si="75"/>
        <v>1</v>
      </c>
      <c r="E241" s="60">
        <v>0</v>
      </c>
      <c r="F241" s="60">
        <v>1</v>
      </c>
      <c r="G241" s="60">
        <f t="shared" si="76"/>
        <v>821</v>
      </c>
      <c r="H241" s="60">
        <v>0</v>
      </c>
      <c r="I241" s="60">
        <v>821</v>
      </c>
      <c r="J241" s="61" t="s">
        <v>308</v>
      </c>
      <c r="K241" s="55"/>
    </row>
    <row r="242" spans="1:11" ht="12.75" customHeight="1" thickBot="1" x14ac:dyDescent="0.25">
      <c r="A242" s="60">
        <f t="shared" si="73"/>
        <v>749</v>
      </c>
      <c r="B242" s="60">
        <f t="shared" si="74"/>
        <v>0</v>
      </c>
      <c r="C242" s="60">
        <f t="shared" si="74"/>
        <v>749</v>
      </c>
      <c r="D242" s="60">
        <f t="shared" si="75"/>
        <v>10</v>
      </c>
      <c r="E242" s="60">
        <v>0</v>
      </c>
      <c r="F242" s="60">
        <v>10</v>
      </c>
      <c r="G242" s="60">
        <f t="shared" si="76"/>
        <v>739</v>
      </c>
      <c r="H242" s="60">
        <v>0</v>
      </c>
      <c r="I242" s="60">
        <v>739</v>
      </c>
      <c r="J242" s="61" t="s">
        <v>309</v>
      </c>
      <c r="K242" s="55"/>
    </row>
    <row r="243" spans="1:11" ht="12.75" customHeight="1" thickBot="1" x14ac:dyDescent="0.25">
      <c r="A243" s="60">
        <f t="shared" si="73"/>
        <v>586</v>
      </c>
      <c r="B243" s="60">
        <f t="shared" si="74"/>
        <v>0</v>
      </c>
      <c r="C243" s="60">
        <f t="shared" si="74"/>
        <v>586</v>
      </c>
      <c r="D243" s="60">
        <f t="shared" si="75"/>
        <v>4</v>
      </c>
      <c r="E243" s="60">
        <v>0</v>
      </c>
      <c r="F243" s="60">
        <v>4</v>
      </c>
      <c r="G243" s="60">
        <f t="shared" si="76"/>
        <v>582</v>
      </c>
      <c r="H243" s="60">
        <v>0</v>
      </c>
      <c r="I243" s="60">
        <v>582</v>
      </c>
      <c r="J243" s="61" t="s">
        <v>310</v>
      </c>
      <c r="K243" s="55"/>
    </row>
    <row r="244" spans="1:11" ht="12.75" customHeight="1" thickBot="1" x14ac:dyDescent="0.25">
      <c r="A244" s="60">
        <f t="shared" si="73"/>
        <v>486</v>
      </c>
      <c r="B244" s="60">
        <f t="shared" si="74"/>
        <v>0</v>
      </c>
      <c r="C244" s="60">
        <f t="shared" si="74"/>
        <v>486</v>
      </c>
      <c r="D244" s="60">
        <f t="shared" si="75"/>
        <v>0</v>
      </c>
      <c r="E244" s="60">
        <v>0</v>
      </c>
      <c r="F244" s="60">
        <v>0</v>
      </c>
      <c r="G244" s="60">
        <f t="shared" si="76"/>
        <v>486</v>
      </c>
      <c r="H244" s="60">
        <v>0</v>
      </c>
      <c r="I244" s="60">
        <v>486</v>
      </c>
      <c r="J244" s="61" t="s">
        <v>311</v>
      </c>
      <c r="K244" s="55"/>
    </row>
    <row r="245" spans="1:11" ht="12.75" customHeight="1" thickBot="1" x14ac:dyDescent="0.25">
      <c r="A245" s="60">
        <f t="shared" si="73"/>
        <v>1026</v>
      </c>
      <c r="B245" s="60">
        <f t="shared" si="74"/>
        <v>0</v>
      </c>
      <c r="C245" s="60">
        <f t="shared" si="74"/>
        <v>1026</v>
      </c>
      <c r="D245" s="60">
        <f t="shared" si="75"/>
        <v>20</v>
      </c>
      <c r="E245" s="60">
        <v>0</v>
      </c>
      <c r="F245" s="60">
        <v>20</v>
      </c>
      <c r="G245" s="60">
        <f t="shared" si="76"/>
        <v>1006</v>
      </c>
      <c r="H245" s="60">
        <v>0</v>
      </c>
      <c r="I245" s="60">
        <v>1006</v>
      </c>
      <c r="J245" s="61" t="s">
        <v>312</v>
      </c>
      <c r="K245" s="55"/>
    </row>
    <row r="246" spans="1:11" ht="12.75" customHeight="1" thickBot="1" x14ac:dyDescent="0.25">
      <c r="A246" s="60">
        <f t="shared" si="73"/>
        <v>382</v>
      </c>
      <c r="B246" s="60">
        <f t="shared" si="74"/>
        <v>0</v>
      </c>
      <c r="C246" s="60">
        <f t="shared" si="74"/>
        <v>382</v>
      </c>
      <c r="D246" s="60">
        <f t="shared" si="75"/>
        <v>2</v>
      </c>
      <c r="E246" s="60">
        <v>0</v>
      </c>
      <c r="F246" s="60">
        <v>2</v>
      </c>
      <c r="G246" s="60">
        <f t="shared" si="76"/>
        <v>380</v>
      </c>
      <c r="H246" s="60">
        <v>0</v>
      </c>
      <c r="I246" s="60">
        <v>380</v>
      </c>
      <c r="J246" s="61" t="s">
        <v>313</v>
      </c>
      <c r="K246" s="55"/>
    </row>
    <row r="247" spans="1:11" ht="12.75" customHeight="1" thickBot="1" x14ac:dyDescent="0.25">
      <c r="A247" s="60">
        <f t="shared" si="73"/>
        <v>274</v>
      </c>
      <c r="B247" s="60">
        <f t="shared" si="74"/>
        <v>0</v>
      </c>
      <c r="C247" s="60">
        <f t="shared" si="74"/>
        <v>274</v>
      </c>
      <c r="D247" s="60">
        <f t="shared" si="75"/>
        <v>0</v>
      </c>
      <c r="E247" s="60">
        <v>0</v>
      </c>
      <c r="F247" s="60">
        <v>0</v>
      </c>
      <c r="G247" s="60">
        <f t="shared" si="76"/>
        <v>274</v>
      </c>
      <c r="H247" s="60">
        <v>0</v>
      </c>
      <c r="I247" s="60">
        <v>274</v>
      </c>
      <c r="J247" s="61" t="s">
        <v>314</v>
      </c>
      <c r="K247" s="55"/>
    </row>
    <row r="248" spans="1:11" ht="12.75" customHeight="1" thickBot="1" x14ac:dyDescent="0.25">
      <c r="A248" s="60">
        <f t="shared" si="73"/>
        <v>470</v>
      </c>
      <c r="B248" s="60">
        <f t="shared" si="74"/>
        <v>470</v>
      </c>
      <c r="C248" s="60">
        <f t="shared" si="74"/>
        <v>0</v>
      </c>
      <c r="D248" s="60">
        <f t="shared" si="75"/>
        <v>0</v>
      </c>
      <c r="E248" s="60">
        <v>0</v>
      </c>
      <c r="F248" s="60">
        <v>0</v>
      </c>
      <c r="G248" s="60">
        <f t="shared" si="76"/>
        <v>470</v>
      </c>
      <c r="H248" s="60">
        <v>470</v>
      </c>
      <c r="I248" s="60">
        <v>0</v>
      </c>
      <c r="J248" s="61" t="s">
        <v>315</v>
      </c>
      <c r="K248" s="55"/>
    </row>
    <row r="249" spans="1:11" ht="12.75" customHeight="1" thickBot="1" x14ac:dyDescent="0.25">
      <c r="A249" s="60">
        <f t="shared" si="73"/>
        <v>464</v>
      </c>
      <c r="B249" s="60">
        <f t="shared" si="74"/>
        <v>464</v>
      </c>
      <c r="C249" s="60">
        <f t="shared" si="74"/>
        <v>0</v>
      </c>
      <c r="D249" s="60">
        <f t="shared" si="75"/>
        <v>0</v>
      </c>
      <c r="E249" s="60">
        <v>0</v>
      </c>
      <c r="F249" s="60">
        <v>0</v>
      </c>
      <c r="G249" s="60">
        <f t="shared" si="76"/>
        <v>464</v>
      </c>
      <c r="H249" s="60">
        <v>464</v>
      </c>
      <c r="I249" s="60">
        <v>0</v>
      </c>
      <c r="J249" s="61" t="s">
        <v>316</v>
      </c>
      <c r="K249" s="55"/>
    </row>
    <row r="250" spans="1:11" ht="12.75" customHeight="1" thickBot="1" x14ac:dyDescent="0.25">
      <c r="A250" s="60">
        <f t="shared" si="73"/>
        <v>85</v>
      </c>
      <c r="B250" s="60">
        <f t="shared" si="74"/>
        <v>85</v>
      </c>
      <c r="C250" s="60">
        <f t="shared" si="74"/>
        <v>0</v>
      </c>
      <c r="D250" s="60">
        <f t="shared" si="75"/>
        <v>0</v>
      </c>
      <c r="E250" s="60">
        <v>0</v>
      </c>
      <c r="F250" s="60">
        <v>0</v>
      </c>
      <c r="G250" s="60">
        <f t="shared" si="76"/>
        <v>85</v>
      </c>
      <c r="H250" s="60">
        <v>85</v>
      </c>
      <c r="I250" s="60">
        <v>0</v>
      </c>
      <c r="J250" s="61" t="s">
        <v>317</v>
      </c>
      <c r="K250" s="55"/>
    </row>
    <row r="251" spans="1:11" ht="12.75" customHeight="1" thickBot="1" x14ac:dyDescent="0.25">
      <c r="A251" s="60">
        <f t="shared" si="73"/>
        <v>886</v>
      </c>
      <c r="B251" s="60">
        <f t="shared" si="74"/>
        <v>886</v>
      </c>
      <c r="C251" s="60">
        <f t="shared" si="74"/>
        <v>0</v>
      </c>
      <c r="D251" s="60">
        <f t="shared" si="75"/>
        <v>0</v>
      </c>
      <c r="E251" s="60">
        <v>0</v>
      </c>
      <c r="F251" s="60">
        <v>0</v>
      </c>
      <c r="G251" s="60">
        <f t="shared" si="76"/>
        <v>886</v>
      </c>
      <c r="H251" s="60">
        <v>886</v>
      </c>
      <c r="I251" s="60">
        <v>0</v>
      </c>
      <c r="J251" s="61" t="s">
        <v>318</v>
      </c>
      <c r="K251" s="55"/>
    </row>
    <row r="252" spans="1:11" ht="12.75" customHeight="1" thickBot="1" x14ac:dyDescent="0.25">
      <c r="A252" s="60">
        <f t="shared" si="73"/>
        <v>182</v>
      </c>
      <c r="B252" s="60">
        <f t="shared" si="74"/>
        <v>182</v>
      </c>
      <c r="C252" s="60">
        <f t="shared" si="74"/>
        <v>0</v>
      </c>
      <c r="D252" s="60">
        <f t="shared" si="75"/>
        <v>0</v>
      </c>
      <c r="E252" s="60">
        <v>0</v>
      </c>
      <c r="F252" s="60">
        <v>0</v>
      </c>
      <c r="G252" s="60">
        <f t="shared" si="76"/>
        <v>182</v>
      </c>
      <c r="H252" s="60">
        <v>182</v>
      </c>
      <c r="I252" s="60">
        <v>0</v>
      </c>
      <c r="J252" s="61" t="s">
        <v>319</v>
      </c>
      <c r="K252" s="55"/>
    </row>
    <row r="253" spans="1:11" ht="12.75" customHeight="1" thickBot="1" x14ac:dyDescent="0.25">
      <c r="A253" s="60">
        <f t="shared" si="73"/>
        <v>562</v>
      </c>
      <c r="B253" s="60">
        <f t="shared" si="74"/>
        <v>562</v>
      </c>
      <c r="C253" s="60">
        <f t="shared" si="74"/>
        <v>0</v>
      </c>
      <c r="D253" s="60">
        <f t="shared" si="75"/>
        <v>0</v>
      </c>
      <c r="E253" s="60">
        <v>0</v>
      </c>
      <c r="F253" s="60">
        <v>0</v>
      </c>
      <c r="G253" s="60">
        <f t="shared" si="76"/>
        <v>562</v>
      </c>
      <c r="H253" s="60">
        <v>562</v>
      </c>
      <c r="I253" s="60">
        <v>0</v>
      </c>
      <c r="J253" s="61" t="s">
        <v>320</v>
      </c>
      <c r="K253" s="55"/>
    </row>
    <row r="254" spans="1:11" ht="12.75" customHeight="1" thickBot="1" x14ac:dyDescent="0.25">
      <c r="A254" s="60">
        <f t="shared" si="73"/>
        <v>176</v>
      </c>
      <c r="B254" s="60">
        <f t="shared" si="74"/>
        <v>176</v>
      </c>
      <c r="C254" s="60">
        <f t="shared" si="74"/>
        <v>0</v>
      </c>
      <c r="D254" s="60">
        <f t="shared" si="75"/>
        <v>4</v>
      </c>
      <c r="E254" s="60">
        <v>4</v>
      </c>
      <c r="F254" s="60">
        <v>0</v>
      </c>
      <c r="G254" s="60">
        <f t="shared" si="76"/>
        <v>172</v>
      </c>
      <c r="H254" s="60">
        <v>172</v>
      </c>
      <c r="I254" s="60">
        <v>0</v>
      </c>
      <c r="J254" s="61" t="s">
        <v>321</v>
      </c>
      <c r="K254" s="55"/>
    </row>
    <row r="255" spans="1:11" ht="12.75" customHeight="1" thickBot="1" x14ac:dyDescent="0.25">
      <c r="A255" s="60">
        <f t="shared" si="73"/>
        <v>110</v>
      </c>
      <c r="B255" s="60">
        <f t="shared" si="74"/>
        <v>110</v>
      </c>
      <c r="C255" s="60">
        <f t="shared" si="74"/>
        <v>0</v>
      </c>
      <c r="D255" s="60">
        <f t="shared" si="75"/>
        <v>0</v>
      </c>
      <c r="E255" s="60">
        <v>0</v>
      </c>
      <c r="F255" s="60">
        <v>0</v>
      </c>
      <c r="G255" s="60">
        <f t="shared" si="76"/>
        <v>110</v>
      </c>
      <c r="H255" s="60">
        <v>110</v>
      </c>
      <c r="I255" s="60">
        <v>0</v>
      </c>
      <c r="J255" s="61" t="s">
        <v>322</v>
      </c>
      <c r="K255" s="55"/>
    </row>
    <row r="256" spans="1:11" ht="12.75" customHeight="1" thickBot="1" x14ac:dyDescent="0.25">
      <c r="A256" s="60">
        <f t="shared" si="73"/>
        <v>96</v>
      </c>
      <c r="B256" s="60">
        <f t="shared" si="74"/>
        <v>96</v>
      </c>
      <c r="C256" s="60">
        <f t="shared" si="74"/>
        <v>0</v>
      </c>
      <c r="D256" s="60">
        <f t="shared" si="75"/>
        <v>0</v>
      </c>
      <c r="E256" s="60">
        <v>0</v>
      </c>
      <c r="F256" s="60">
        <v>0</v>
      </c>
      <c r="G256" s="60">
        <f t="shared" si="76"/>
        <v>96</v>
      </c>
      <c r="H256" s="60">
        <v>96</v>
      </c>
      <c r="I256" s="60">
        <v>0</v>
      </c>
      <c r="J256" s="61" t="s">
        <v>323</v>
      </c>
      <c r="K256" s="55"/>
    </row>
    <row r="257" spans="1:11" ht="12.75" customHeight="1" thickBot="1" x14ac:dyDescent="0.25">
      <c r="A257" s="60">
        <f t="shared" ref="A257:H257" si="77">SUM(A213:A256)</f>
        <v>63537</v>
      </c>
      <c r="B257" s="60">
        <f t="shared" si="77"/>
        <v>3031</v>
      </c>
      <c r="C257" s="60">
        <f t="shared" si="77"/>
        <v>60506</v>
      </c>
      <c r="D257" s="60">
        <f t="shared" si="77"/>
        <v>800</v>
      </c>
      <c r="E257" s="60">
        <f t="shared" si="77"/>
        <v>4</v>
      </c>
      <c r="F257" s="60">
        <f t="shared" si="77"/>
        <v>796</v>
      </c>
      <c r="G257" s="60">
        <f t="shared" si="77"/>
        <v>62737</v>
      </c>
      <c r="H257" s="60">
        <f t="shared" si="77"/>
        <v>3027</v>
      </c>
      <c r="I257" s="60">
        <f>SUM(I213:I256)</f>
        <v>59710</v>
      </c>
      <c r="J257" s="59" t="s">
        <v>211</v>
      </c>
      <c r="K257" s="55"/>
    </row>
    <row r="258" spans="1:11" ht="12.75" customHeight="1" x14ac:dyDescent="0.2">
      <c r="A258" s="177"/>
      <c r="B258" s="177"/>
      <c r="C258" s="177"/>
      <c r="D258" s="177"/>
      <c r="E258" s="177"/>
      <c r="F258" s="177"/>
      <c r="G258" s="177"/>
      <c r="H258" s="177"/>
      <c r="I258" s="177"/>
      <c r="J258" s="177"/>
      <c r="K258" s="55"/>
    </row>
    <row r="259" spans="1:11" ht="12.75" customHeight="1" x14ac:dyDescent="0.2">
      <c r="A259" s="177" t="s">
        <v>556</v>
      </c>
      <c r="B259" s="177"/>
      <c r="C259" s="177"/>
      <c r="D259" s="177"/>
      <c r="E259" s="177"/>
      <c r="F259" s="177"/>
      <c r="G259" s="177"/>
      <c r="H259" s="177"/>
      <c r="I259" s="177"/>
      <c r="J259" s="177"/>
      <c r="K259" s="55"/>
    </row>
    <row r="260" spans="1:11" ht="12.75" customHeight="1" thickBot="1" x14ac:dyDescent="0.25">
      <c r="A260" s="178" t="s">
        <v>557</v>
      </c>
      <c r="B260" s="178"/>
      <c r="C260" s="178"/>
      <c r="D260" s="178"/>
      <c r="E260" s="178"/>
      <c r="F260" s="178"/>
      <c r="G260" s="178"/>
      <c r="H260" s="178"/>
      <c r="I260" s="178"/>
      <c r="J260" s="178"/>
      <c r="K260" s="55"/>
    </row>
    <row r="261" spans="1:11" ht="12.75" customHeight="1" thickBot="1" x14ac:dyDescent="0.25">
      <c r="A261" s="179" t="s">
        <v>5</v>
      </c>
      <c r="B261" s="179"/>
      <c r="C261" s="179"/>
      <c r="D261" s="179" t="s">
        <v>162</v>
      </c>
      <c r="E261" s="179"/>
      <c r="F261" s="179"/>
      <c r="G261" s="179" t="s">
        <v>163</v>
      </c>
      <c r="H261" s="179"/>
      <c r="I261" s="179"/>
      <c r="J261" s="58" t="s">
        <v>72</v>
      </c>
      <c r="K261" s="55"/>
    </row>
    <row r="262" spans="1:11" ht="12.75" customHeight="1" thickBot="1" x14ac:dyDescent="0.25">
      <c r="A262" s="58" t="s">
        <v>216</v>
      </c>
      <c r="B262" s="58" t="s">
        <v>11</v>
      </c>
      <c r="C262" s="58" t="s">
        <v>10</v>
      </c>
      <c r="D262" s="58" t="s">
        <v>216</v>
      </c>
      <c r="E262" s="58" t="s">
        <v>11</v>
      </c>
      <c r="F262" s="58" t="s">
        <v>10</v>
      </c>
      <c r="G262" s="58" t="s">
        <v>216</v>
      </c>
      <c r="H262" s="58" t="s">
        <v>11</v>
      </c>
      <c r="I262" s="58" t="s">
        <v>10</v>
      </c>
      <c r="J262" s="59" t="s">
        <v>169</v>
      </c>
      <c r="K262" s="55"/>
    </row>
    <row r="263" spans="1:11" ht="12.75" customHeight="1" thickBot="1" x14ac:dyDescent="0.25">
      <c r="A263" s="60">
        <f>G263+D263</f>
        <v>203</v>
      </c>
      <c r="B263" s="60">
        <f>H263+E263</f>
        <v>93</v>
      </c>
      <c r="C263" s="60">
        <f>I263+F263</f>
        <v>110</v>
      </c>
      <c r="D263" s="60">
        <f>F263+E263</f>
        <v>0</v>
      </c>
      <c r="E263" s="60">
        <v>0</v>
      </c>
      <c r="F263" s="60">
        <v>0</v>
      </c>
      <c r="G263" s="60">
        <f>I263+H263</f>
        <v>203</v>
      </c>
      <c r="H263" s="60">
        <v>93</v>
      </c>
      <c r="I263" s="60">
        <v>110</v>
      </c>
      <c r="J263" s="61" t="s">
        <v>324</v>
      </c>
      <c r="K263" s="55"/>
    </row>
    <row r="264" spans="1:11" ht="12.75" customHeight="1" thickBot="1" x14ac:dyDescent="0.25">
      <c r="A264" s="60">
        <f t="shared" ref="A264:I264" si="78">SUM(A263)</f>
        <v>203</v>
      </c>
      <c r="B264" s="60">
        <f t="shared" si="78"/>
        <v>93</v>
      </c>
      <c r="C264" s="60">
        <f t="shared" si="78"/>
        <v>110</v>
      </c>
      <c r="D264" s="60">
        <f t="shared" si="78"/>
        <v>0</v>
      </c>
      <c r="E264" s="60">
        <f t="shared" si="78"/>
        <v>0</v>
      </c>
      <c r="F264" s="60">
        <f t="shared" si="78"/>
        <v>0</v>
      </c>
      <c r="G264" s="60">
        <f t="shared" si="78"/>
        <v>203</v>
      </c>
      <c r="H264" s="60">
        <f t="shared" si="78"/>
        <v>93</v>
      </c>
      <c r="I264" s="60">
        <f t="shared" si="78"/>
        <v>110</v>
      </c>
      <c r="J264" s="59" t="s">
        <v>211</v>
      </c>
      <c r="K264" s="55"/>
    </row>
    <row r="265" spans="1:11" ht="12.75" customHeight="1" x14ac:dyDescent="0.2">
      <c r="A265" s="177"/>
      <c r="B265" s="177"/>
      <c r="C265" s="177"/>
      <c r="D265" s="177"/>
      <c r="E265" s="177"/>
      <c r="F265" s="177"/>
      <c r="G265" s="177"/>
      <c r="H265" s="177"/>
      <c r="I265" s="177"/>
      <c r="J265" s="177"/>
      <c r="K265" s="55"/>
    </row>
    <row r="266" spans="1:11" ht="12.75" customHeight="1" x14ac:dyDescent="0.2">
      <c r="A266" s="177" t="s">
        <v>556</v>
      </c>
      <c r="B266" s="177"/>
      <c r="C266" s="177"/>
      <c r="D266" s="177"/>
      <c r="E266" s="177"/>
      <c r="F266" s="177"/>
      <c r="G266" s="177"/>
      <c r="H266" s="177"/>
      <c r="I266" s="177"/>
      <c r="J266" s="177"/>
      <c r="K266" s="55"/>
    </row>
    <row r="267" spans="1:11" ht="12.75" customHeight="1" thickBot="1" x14ac:dyDescent="0.25">
      <c r="A267" s="178" t="s">
        <v>557</v>
      </c>
      <c r="B267" s="178"/>
      <c r="C267" s="178"/>
      <c r="D267" s="178"/>
      <c r="E267" s="178"/>
      <c r="F267" s="178"/>
      <c r="G267" s="178"/>
      <c r="H267" s="178"/>
      <c r="I267" s="178"/>
      <c r="J267" s="178"/>
      <c r="K267" s="55"/>
    </row>
    <row r="268" spans="1:11" ht="12.75" customHeight="1" thickBot="1" x14ac:dyDescent="0.25">
      <c r="A268" s="179" t="s">
        <v>5</v>
      </c>
      <c r="B268" s="179"/>
      <c r="C268" s="179"/>
      <c r="D268" s="179" t="s">
        <v>162</v>
      </c>
      <c r="E268" s="179"/>
      <c r="F268" s="179"/>
      <c r="G268" s="179" t="s">
        <v>163</v>
      </c>
      <c r="H268" s="179"/>
      <c r="I268" s="179"/>
      <c r="J268" s="58" t="s">
        <v>72</v>
      </c>
      <c r="K268" s="55"/>
    </row>
    <row r="269" spans="1:11" ht="12.75" customHeight="1" thickBot="1" x14ac:dyDescent="0.25">
      <c r="A269" s="58" t="s">
        <v>216</v>
      </c>
      <c r="B269" s="58" t="s">
        <v>11</v>
      </c>
      <c r="C269" s="58" t="s">
        <v>10</v>
      </c>
      <c r="D269" s="58" t="s">
        <v>216</v>
      </c>
      <c r="E269" s="58" t="s">
        <v>11</v>
      </c>
      <c r="F269" s="58" t="s">
        <v>10</v>
      </c>
      <c r="G269" s="58" t="s">
        <v>216</v>
      </c>
      <c r="H269" s="58" t="s">
        <v>11</v>
      </c>
      <c r="I269" s="58" t="s">
        <v>10</v>
      </c>
      <c r="J269" s="59" t="s">
        <v>170</v>
      </c>
      <c r="K269" s="55"/>
    </row>
    <row r="270" spans="1:11" ht="12.75" customHeight="1" thickBot="1" x14ac:dyDescent="0.25">
      <c r="A270" s="60">
        <f>SUM(B270:C270)</f>
        <v>3737</v>
      </c>
      <c r="B270" s="60">
        <f>H270+E270</f>
        <v>0</v>
      </c>
      <c r="C270" s="60">
        <f>I270+F270</f>
        <v>3737</v>
      </c>
      <c r="D270" s="60">
        <f>SUM(E270:F270)</f>
        <v>14</v>
      </c>
      <c r="E270" s="60">
        <v>0</v>
      </c>
      <c r="F270" s="60">
        <v>14</v>
      </c>
      <c r="G270" s="60">
        <f>SUM(H270:I270)</f>
        <v>3723</v>
      </c>
      <c r="H270" s="60">
        <v>0</v>
      </c>
      <c r="I270" s="60">
        <v>3723</v>
      </c>
      <c r="J270" s="61" t="s">
        <v>325</v>
      </c>
      <c r="K270" s="55"/>
    </row>
    <row r="271" spans="1:11" ht="12.75" customHeight="1" thickBot="1" x14ac:dyDescent="0.25">
      <c r="A271" s="60">
        <f>SUM(B271:C271)</f>
        <v>1015</v>
      </c>
      <c r="B271" s="60">
        <f>H271+E271</f>
        <v>0</v>
      </c>
      <c r="C271" s="60">
        <f>I271+F271</f>
        <v>1015</v>
      </c>
      <c r="D271" s="60">
        <f>SUM(E271:F271)</f>
        <v>0</v>
      </c>
      <c r="E271" s="60">
        <v>0</v>
      </c>
      <c r="F271" s="60">
        <v>0</v>
      </c>
      <c r="G271" s="60">
        <f>SUM(H271:I271)</f>
        <v>1015</v>
      </c>
      <c r="H271" s="60">
        <v>0</v>
      </c>
      <c r="I271" s="60">
        <v>1015</v>
      </c>
      <c r="J271" s="61" t="s">
        <v>326</v>
      </c>
      <c r="K271" s="55"/>
    </row>
    <row r="272" spans="1:11" ht="12.75" customHeight="1" thickBot="1" x14ac:dyDescent="0.25">
      <c r="A272" s="60">
        <f t="shared" ref="A272:H272" si="79">SUM(A270:A271)</f>
        <v>4752</v>
      </c>
      <c r="B272" s="60">
        <f t="shared" si="79"/>
        <v>0</v>
      </c>
      <c r="C272" s="60">
        <f t="shared" si="79"/>
        <v>4752</v>
      </c>
      <c r="D272" s="60">
        <f t="shared" si="79"/>
        <v>14</v>
      </c>
      <c r="E272" s="60">
        <f t="shared" si="79"/>
        <v>0</v>
      </c>
      <c r="F272" s="60">
        <f t="shared" si="79"/>
        <v>14</v>
      </c>
      <c r="G272" s="60">
        <f t="shared" si="79"/>
        <v>4738</v>
      </c>
      <c r="H272" s="60">
        <f t="shared" si="79"/>
        <v>0</v>
      </c>
      <c r="I272" s="60">
        <f>SUM(I270:I271)</f>
        <v>4738</v>
      </c>
      <c r="J272" s="59" t="s">
        <v>211</v>
      </c>
      <c r="K272" s="55"/>
    </row>
    <row r="273" spans="1:11" ht="12.75" customHeight="1" x14ac:dyDescent="0.2">
      <c r="A273" s="177"/>
      <c r="B273" s="177"/>
      <c r="C273" s="177"/>
      <c r="D273" s="177"/>
      <c r="E273" s="177"/>
      <c r="F273" s="177"/>
      <c r="G273" s="177"/>
      <c r="H273" s="177"/>
      <c r="I273" s="177"/>
      <c r="J273" s="177"/>
      <c r="K273" s="55"/>
    </row>
    <row r="274" spans="1:11" ht="12.75" customHeight="1" x14ac:dyDescent="0.2">
      <c r="A274" s="177" t="s">
        <v>556</v>
      </c>
      <c r="B274" s="177"/>
      <c r="C274" s="177"/>
      <c r="D274" s="177"/>
      <c r="E274" s="177"/>
      <c r="F274" s="177"/>
      <c r="G274" s="177"/>
      <c r="H274" s="177"/>
      <c r="I274" s="177"/>
      <c r="J274" s="177"/>
      <c r="K274" s="55"/>
    </row>
    <row r="275" spans="1:11" ht="12.75" customHeight="1" thickBot="1" x14ac:dyDescent="0.25">
      <c r="A275" s="178" t="s">
        <v>557</v>
      </c>
      <c r="B275" s="178"/>
      <c r="C275" s="178"/>
      <c r="D275" s="178"/>
      <c r="E275" s="178"/>
      <c r="F275" s="178"/>
      <c r="G275" s="178"/>
      <c r="H275" s="178"/>
      <c r="I275" s="178"/>
      <c r="J275" s="178"/>
      <c r="K275" s="55"/>
    </row>
    <row r="276" spans="1:11" ht="12.75" customHeight="1" thickBot="1" x14ac:dyDescent="0.25">
      <c r="A276" s="179" t="s">
        <v>5</v>
      </c>
      <c r="B276" s="179"/>
      <c r="C276" s="179"/>
      <c r="D276" s="179" t="s">
        <v>162</v>
      </c>
      <c r="E276" s="179"/>
      <c r="F276" s="179"/>
      <c r="G276" s="179" t="s">
        <v>163</v>
      </c>
      <c r="H276" s="179"/>
      <c r="I276" s="179"/>
      <c r="J276" s="58" t="s">
        <v>72</v>
      </c>
      <c r="K276" s="55"/>
    </row>
    <row r="277" spans="1:11" ht="12.75" customHeight="1" thickBot="1" x14ac:dyDescent="0.25">
      <c r="A277" s="58" t="s">
        <v>216</v>
      </c>
      <c r="B277" s="58" t="s">
        <v>11</v>
      </c>
      <c r="C277" s="58" t="s">
        <v>10</v>
      </c>
      <c r="D277" s="58" t="s">
        <v>216</v>
      </c>
      <c r="E277" s="58" t="s">
        <v>11</v>
      </c>
      <c r="F277" s="58" t="s">
        <v>10</v>
      </c>
      <c r="G277" s="58" t="s">
        <v>216</v>
      </c>
      <c r="H277" s="58" t="s">
        <v>11</v>
      </c>
      <c r="I277" s="58" t="s">
        <v>10</v>
      </c>
      <c r="J277" s="59" t="s">
        <v>171</v>
      </c>
      <c r="K277" s="55"/>
    </row>
    <row r="278" spans="1:11" ht="12.75" customHeight="1" thickBot="1" x14ac:dyDescent="0.25">
      <c r="A278" s="60">
        <f>G278+D278</f>
        <v>2515</v>
      </c>
      <c r="B278" s="60">
        <f>H278+E278</f>
        <v>336</v>
      </c>
      <c r="C278" s="60">
        <f>I278+F278</f>
        <v>2179</v>
      </c>
      <c r="D278" s="60">
        <v>0</v>
      </c>
      <c r="E278" s="60">
        <v>0</v>
      </c>
      <c r="F278" s="60">
        <v>0</v>
      </c>
      <c r="G278" s="60">
        <f>I278+H278</f>
        <v>2515</v>
      </c>
      <c r="H278" s="60">
        <v>336</v>
      </c>
      <c r="I278" s="60">
        <v>2179</v>
      </c>
      <c r="J278" s="61" t="s">
        <v>171</v>
      </c>
      <c r="K278" s="55"/>
    </row>
    <row r="279" spans="1:11" ht="12.75" customHeight="1" thickBot="1" x14ac:dyDescent="0.25">
      <c r="A279" s="60">
        <f t="shared" ref="A279:H279" si="80">SUM(A278)</f>
        <v>2515</v>
      </c>
      <c r="B279" s="60">
        <f t="shared" si="80"/>
        <v>336</v>
      </c>
      <c r="C279" s="60">
        <f t="shared" si="80"/>
        <v>2179</v>
      </c>
      <c r="D279" s="60">
        <f t="shared" si="80"/>
        <v>0</v>
      </c>
      <c r="E279" s="60">
        <f t="shared" si="80"/>
        <v>0</v>
      </c>
      <c r="F279" s="60">
        <f t="shared" si="80"/>
        <v>0</v>
      </c>
      <c r="G279" s="60">
        <f t="shared" si="80"/>
        <v>2515</v>
      </c>
      <c r="H279" s="60">
        <f t="shared" si="80"/>
        <v>336</v>
      </c>
      <c r="I279" s="60">
        <f>SUM(I278)</f>
        <v>2179</v>
      </c>
      <c r="J279" s="59" t="s">
        <v>211</v>
      </c>
      <c r="K279" s="55"/>
    </row>
    <row r="280" spans="1:11" ht="12.75" customHeight="1" x14ac:dyDescent="0.2">
      <c r="A280" s="177"/>
      <c r="B280" s="177"/>
      <c r="C280" s="177"/>
      <c r="D280" s="177"/>
      <c r="E280" s="177"/>
      <c r="F280" s="177"/>
      <c r="G280" s="177"/>
      <c r="H280" s="177"/>
      <c r="I280" s="177"/>
      <c r="J280" s="177"/>
      <c r="K280" s="55"/>
    </row>
    <row r="281" spans="1:11" ht="12.75" customHeight="1" x14ac:dyDescent="0.2">
      <c r="A281" s="177" t="s">
        <v>556</v>
      </c>
      <c r="B281" s="177"/>
      <c r="C281" s="177"/>
      <c r="D281" s="177"/>
      <c r="E281" s="177"/>
      <c r="F281" s="177"/>
      <c r="G281" s="177"/>
      <c r="H281" s="177"/>
      <c r="I281" s="177"/>
      <c r="J281" s="177"/>
      <c r="K281" s="55"/>
    </row>
    <row r="282" spans="1:11" ht="12.75" customHeight="1" thickBot="1" x14ac:dyDescent="0.25">
      <c r="A282" s="178" t="s">
        <v>557</v>
      </c>
      <c r="B282" s="178"/>
      <c r="C282" s="178"/>
      <c r="D282" s="178"/>
      <c r="E282" s="178"/>
      <c r="F282" s="178"/>
      <c r="G282" s="178"/>
      <c r="H282" s="178"/>
      <c r="I282" s="178"/>
      <c r="J282" s="178"/>
      <c r="K282" s="55"/>
    </row>
    <row r="283" spans="1:11" ht="12.75" customHeight="1" thickBot="1" x14ac:dyDescent="0.25">
      <c r="A283" s="179" t="s">
        <v>5</v>
      </c>
      <c r="B283" s="179"/>
      <c r="C283" s="179"/>
      <c r="D283" s="179" t="s">
        <v>162</v>
      </c>
      <c r="E283" s="179"/>
      <c r="F283" s="179"/>
      <c r="G283" s="179" t="s">
        <v>163</v>
      </c>
      <c r="H283" s="179"/>
      <c r="I283" s="179"/>
      <c r="J283" s="58" t="s">
        <v>72</v>
      </c>
      <c r="K283" s="55"/>
    </row>
    <row r="284" spans="1:11" ht="12.75" customHeight="1" thickBot="1" x14ac:dyDescent="0.25">
      <c r="A284" s="58" t="s">
        <v>216</v>
      </c>
      <c r="B284" s="58" t="s">
        <v>11</v>
      </c>
      <c r="C284" s="58" t="s">
        <v>10</v>
      </c>
      <c r="D284" s="58" t="s">
        <v>216</v>
      </c>
      <c r="E284" s="58" t="s">
        <v>11</v>
      </c>
      <c r="F284" s="58" t="s">
        <v>10</v>
      </c>
      <c r="G284" s="58" t="s">
        <v>216</v>
      </c>
      <c r="H284" s="58" t="s">
        <v>11</v>
      </c>
      <c r="I284" s="58" t="s">
        <v>10</v>
      </c>
      <c r="J284" s="59" t="s">
        <v>173</v>
      </c>
      <c r="K284" s="55"/>
    </row>
    <row r="285" spans="1:11" ht="12.75" customHeight="1" thickBot="1" x14ac:dyDescent="0.25">
      <c r="A285" s="60">
        <f>SUM(B285:C285)</f>
        <v>278</v>
      </c>
      <c r="B285" s="60">
        <f>H285+E285</f>
        <v>67</v>
      </c>
      <c r="C285" s="60">
        <f>I285+F285</f>
        <v>211</v>
      </c>
      <c r="D285" s="60">
        <f>SUM(E285:F285)</f>
        <v>13</v>
      </c>
      <c r="E285" s="60">
        <v>11</v>
      </c>
      <c r="F285" s="60">
        <v>2</v>
      </c>
      <c r="G285" s="60">
        <f>SUM(H285:I285)</f>
        <v>265</v>
      </c>
      <c r="H285" s="60">
        <v>56</v>
      </c>
      <c r="I285" s="60">
        <v>209</v>
      </c>
      <c r="J285" s="61" t="s">
        <v>139</v>
      </c>
      <c r="K285" s="55"/>
    </row>
    <row r="286" spans="1:11" ht="12.75" customHeight="1" thickBot="1" x14ac:dyDescent="0.25">
      <c r="A286" s="60">
        <f>SUM(B286:C286)</f>
        <v>147</v>
      </c>
      <c r="B286" s="60">
        <f>H286+E286</f>
        <v>116</v>
      </c>
      <c r="C286" s="60">
        <f>I286+F286</f>
        <v>31</v>
      </c>
      <c r="D286" s="60">
        <f>SUM(E286:F286)</f>
        <v>4</v>
      </c>
      <c r="E286" s="60">
        <v>4</v>
      </c>
      <c r="F286" s="60">
        <v>0</v>
      </c>
      <c r="G286" s="60">
        <f>SUM(H286:I286)</f>
        <v>143</v>
      </c>
      <c r="H286" s="60">
        <v>112</v>
      </c>
      <c r="I286" s="60">
        <v>31</v>
      </c>
      <c r="J286" s="61" t="s">
        <v>157</v>
      </c>
      <c r="K286" s="55"/>
    </row>
    <row r="287" spans="1:11" ht="12.75" customHeight="1" thickBot="1" x14ac:dyDescent="0.25">
      <c r="A287" s="60">
        <f t="shared" ref="A287:H287" si="81">SUM(A285:A286)</f>
        <v>425</v>
      </c>
      <c r="B287" s="60">
        <f t="shared" si="81"/>
        <v>183</v>
      </c>
      <c r="C287" s="60">
        <f t="shared" si="81"/>
        <v>242</v>
      </c>
      <c r="D287" s="60">
        <f t="shared" si="81"/>
        <v>17</v>
      </c>
      <c r="E287" s="60">
        <f t="shared" si="81"/>
        <v>15</v>
      </c>
      <c r="F287" s="60">
        <f t="shared" si="81"/>
        <v>2</v>
      </c>
      <c r="G287" s="60">
        <f t="shared" si="81"/>
        <v>408</v>
      </c>
      <c r="H287" s="60">
        <f t="shared" si="81"/>
        <v>168</v>
      </c>
      <c r="I287" s="60">
        <f>SUM(I285:I286)</f>
        <v>240</v>
      </c>
      <c r="J287" s="59" t="s">
        <v>211</v>
      </c>
      <c r="K287" s="55"/>
    </row>
    <row r="288" spans="1:11" ht="12.75" customHeight="1" x14ac:dyDescent="0.2">
      <c r="A288" s="177"/>
      <c r="B288" s="177"/>
      <c r="C288" s="177"/>
      <c r="D288" s="177"/>
      <c r="E288" s="177"/>
      <c r="F288" s="177"/>
      <c r="G288" s="177"/>
      <c r="H288" s="177"/>
      <c r="I288" s="177"/>
      <c r="J288" s="177"/>
      <c r="K288" s="55"/>
    </row>
    <row r="289" spans="11:11" ht="12.75" customHeight="1" x14ac:dyDescent="0.2">
      <c r="K289" s="55"/>
    </row>
  </sheetData>
  <mergeCells count="150">
    <mergeCell ref="A1:J1"/>
    <mergeCell ref="A2:J2"/>
    <mergeCell ref="A3:C3"/>
    <mergeCell ref="D3:F3"/>
    <mergeCell ref="G3:I3"/>
    <mergeCell ref="A12:J12"/>
    <mergeCell ref="A20:J20"/>
    <mergeCell ref="A21:J21"/>
    <mergeCell ref="A22:C22"/>
    <mergeCell ref="D22:F22"/>
    <mergeCell ref="G22:I22"/>
    <mergeCell ref="A29:J29"/>
    <mergeCell ref="A13:J13"/>
    <mergeCell ref="A14:J14"/>
    <mergeCell ref="A15:C15"/>
    <mergeCell ref="D15:F15"/>
    <mergeCell ref="G15:I15"/>
    <mergeCell ref="A19:J19"/>
    <mergeCell ref="A48:J48"/>
    <mergeCell ref="A49:J49"/>
    <mergeCell ref="A50:C50"/>
    <mergeCell ref="D50:F50"/>
    <mergeCell ref="G50:I50"/>
    <mergeCell ref="A57:J57"/>
    <mergeCell ref="A30:J30"/>
    <mergeCell ref="A31:J31"/>
    <mergeCell ref="A32:C32"/>
    <mergeCell ref="D32:F32"/>
    <mergeCell ref="G32:I32"/>
    <mergeCell ref="A47:J47"/>
    <mergeCell ref="A66:J66"/>
    <mergeCell ref="A67:J67"/>
    <mergeCell ref="A68:C68"/>
    <mergeCell ref="D68:F68"/>
    <mergeCell ref="G68:I68"/>
    <mergeCell ref="A81:J81"/>
    <mergeCell ref="A58:J58"/>
    <mergeCell ref="A59:J59"/>
    <mergeCell ref="A60:C60"/>
    <mergeCell ref="D60:F60"/>
    <mergeCell ref="G60:I60"/>
    <mergeCell ref="A65:J65"/>
    <mergeCell ref="A96:J96"/>
    <mergeCell ref="A97:J97"/>
    <mergeCell ref="A98:C98"/>
    <mergeCell ref="D98:F98"/>
    <mergeCell ref="G98:I98"/>
    <mergeCell ref="A105:J105"/>
    <mergeCell ref="A82:J82"/>
    <mergeCell ref="A83:J83"/>
    <mergeCell ref="A84:C84"/>
    <mergeCell ref="D84:F84"/>
    <mergeCell ref="G84:I84"/>
    <mergeCell ref="A95:J95"/>
    <mergeCell ref="A115:J115"/>
    <mergeCell ref="A116:J116"/>
    <mergeCell ref="A117:C117"/>
    <mergeCell ref="D117:F117"/>
    <mergeCell ref="G117:I117"/>
    <mergeCell ref="A124:J124"/>
    <mergeCell ref="A106:J106"/>
    <mergeCell ref="A107:J107"/>
    <mergeCell ref="A108:C108"/>
    <mergeCell ref="D108:F108"/>
    <mergeCell ref="G108:I108"/>
    <mergeCell ref="A114:J114"/>
    <mergeCell ref="A133:J133"/>
    <mergeCell ref="A134:J134"/>
    <mergeCell ref="A135:C135"/>
    <mergeCell ref="D135:F135"/>
    <mergeCell ref="G135:I135"/>
    <mergeCell ref="A143:J143"/>
    <mergeCell ref="A125:J125"/>
    <mergeCell ref="A126:J126"/>
    <mergeCell ref="A127:C127"/>
    <mergeCell ref="D127:F127"/>
    <mergeCell ref="G127:I127"/>
    <mergeCell ref="A132:J132"/>
    <mergeCell ref="A153:J153"/>
    <mergeCell ref="A154:J154"/>
    <mergeCell ref="A155:C155"/>
    <mergeCell ref="D155:F155"/>
    <mergeCell ref="G155:I155"/>
    <mergeCell ref="A164:J164"/>
    <mergeCell ref="A144:J144"/>
    <mergeCell ref="A145:J145"/>
    <mergeCell ref="A146:C146"/>
    <mergeCell ref="D146:F146"/>
    <mergeCell ref="G146:I146"/>
    <mergeCell ref="A152:J152"/>
    <mergeCell ref="A175:J175"/>
    <mergeCell ref="A176:J176"/>
    <mergeCell ref="A177:C177"/>
    <mergeCell ref="D177:F177"/>
    <mergeCell ref="G177:I177"/>
    <mergeCell ref="A183:J183"/>
    <mergeCell ref="A165:J165"/>
    <mergeCell ref="A166:J166"/>
    <mergeCell ref="A167:C167"/>
    <mergeCell ref="D167:F167"/>
    <mergeCell ref="G167:I167"/>
    <mergeCell ref="A174:J174"/>
    <mergeCell ref="A192:J192"/>
    <mergeCell ref="A193:J193"/>
    <mergeCell ref="A194:C194"/>
    <mergeCell ref="D194:F194"/>
    <mergeCell ref="G194:I194"/>
    <mergeCell ref="A198:J198"/>
    <mergeCell ref="A184:J184"/>
    <mergeCell ref="A185:J185"/>
    <mergeCell ref="A186:C186"/>
    <mergeCell ref="D186:F186"/>
    <mergeCell ref="G186:I186"/>
    <mergeCell ref="A191:J191"/>
    <mergeCell ref="A209:J209"/>
    <mergeCell ref="A210:J210"/>
    <mergeCell ref="A211:C211"/>
    <mergeCell ref="D211:F211"/>
    <mergeCell ref="G211:I211"/>
    <mergeCell ref="A258:J258"/>
    <mergeCell ref="A199:J199"/>
    <mergeCell ref="A200:J200"/>
    <mergeCell ref="A201:C201"/>
    <mergeCell ref="D201:F201"/>
    <mergeCell ref="G201:I201"/>
    <mergeCell ref="A208:J208"/>
    <mergeCell ref="A266:J266"/>
    <mergeCell ref="A267:J267"/>
    <mergeCell ref="A268:C268"/>
    <mergeCell ref="D268:F268"/>
    <mergeCell ref="G268:I268"/>
    <mergeCell ref="A273:J273"/>
    <mergeCell ref="A259:J259"/>
    <mergeCell ref="A260:J260"/>
    <mergeCell ref="A261:C261"/>
    <mergeCell ref="D261:F261"/>
    <mergeCell ref="G261:I261"/>
    <mergeCell ref="A265:J265"/>
    <mergeCell ref="A281:J281"/>
    <mergeCell ref="A282:J282"/>
    <mergeCell ref="A283:C283"/>
    <mergeCell ref="D283:F283"/>
    <mergeCell ref="G283:I283"/>
    <mergeCell ref="A288:J288"/>
    <mergeCell ref="A274:J274"/>
    <mergeCell ref="A275:J275"/>
    <mergeCell ref="A276:C276"/>
    <mergeCell ref="D276:F276"/>
    <mergeCell ref="G276:I276"/>
    <mergeCell ref="A280:J280"/>
  </mergeCells>
  <pageMargins left="0.4" right="0.4" top="0.25" bottom="0.25" header="0.25" footer="0.25"/>
  <pageSetup paperSize="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80"/>
  <sheetViews>
    <sheetView showGridLines="0" zoomScale="93" zoomScaleNormal="93" workbookViewId="0">
      <selection activeCell="M6" sqref="M6"/>
    </sheetView>
  </sheetViews>
  <sheetFormatPr defaultRowHeight="12.75" customHeight="1" x14ac:dyDescent="0.2"/>
  <cols>
    <col min="1" max="9" width="5.75" style="56" customWidth="1"/>
    <col min="10" max="10" width="9.625" style="56" customWidth="1"/>
    <col min="11" max="11" width="33.375" style="56" bestFit="1" customWidth="1"/>
    <col min="12" max="247" width="9" style="56"/>
    <col min="248" max="256" width="5.75" style="56" customWidth="1"/>
    <col min="257" max="257" width="9.625" style="56" customWidth="1"/>
    <col min="258" max="258" width="33.375" style="56" bestFit="1" customWidth="1"/>
    <col min="259" max="260" width="6" style="56" bestFit="1" customWidth="1"/>
    <col min="261" max="262" width="5" style="56" bestFit="1" customWidth="1"/>
    <col min="263" max="503" width="9" style="56"/>
    <col min="504" max="512" width="5.75" style="56" customWidth="1"/>
    <col min="513" max="513" width="9.625" style="56" customWidth="1"/>
    <col min="514" max="514" width="33.375" style="56" bestFit="1" customWidth="1"/>
    <col min="515" max="516" width="6" style="56" bestFit="1" customWidth="1"/>
    <col min="517" max="518" width="5" style="56" bestFit="1" customWidth="1"/>
    <col min="519" max="759" width="9" style="56"/>
    <col min="760" max="768" width="5.75" style="56" customWidth="1"/>
    <col min="769" max="769" width="9.625" style="56" customWidth="1"/>
    <col min="770" max="770" width="33.375" style="56" bestFit="1" customWidth="1"/>
    <col min="771" max="772" width="6" style="56" bestFit="1" customWidth="1"/>
    <col min="773" max="774" width="5" style="56" bestFit="1" customWidth="1"/>
    <col min="775" max="1015" width="9" style="56"/>
    <col min="1016" max="1024" width="5.75" style="56" customWidth="1"/>
    <col min="1025" max="1025" width="9.625" style="56" customWidth="1"/>
    <col min="1026" max="1026" width="33.375" style="56" bestFit="1" customWidth="1"/>
    <col min="1027" max="1028" width="6" style="56" bestFit="1" customWidth="1"/>
    <col min="1029" max="1030" width="5" style="56" bestFit="1" customWidth="1"/>
    <col min="1031" max="1271" width="9" style="56"/>
    <col min="1272" max="1280" width="5.75" style="56" customWidth="1"/>
    <col min="1281" max="1281" width="9.625" style="56" customWidth="1"/>
    <col min="1282" max="1282" width="33.375" style="56" bestFit="1" customWidth="1"/>
    <col min="1283" max="1284" width="6" style="56" bestFit="1" customWidth="1"/>
    <col min="1285" max="1286" width="5" style="56" bestFit="1" customWidth="1"/>
    <col min="1287" max="1527" width="9" style="56"/>
    <col min="1528" max="1536" width="5.75" style="56" customWidth="1"/>
    <col min="1537" max="1537" width="9.625" style="56" customWidth="1"/>
    <col min="1538" max="1538" width="33.375" style="56" bestFit="1" customWidth="1"/>
    <col min="1539" max="1540" width="6" style="56" bestFit="1" customWidth="1"/>
    <col min="1541" max="1542" width="5" style="56" bestFit="1" customWidth="1"/>
    <col min="1543" max="1783" width="9" style="56"/>
    <col min="1784" max="1792" width="5.75" style="56" customWidth="1"/>
    <col min="1793" max="1793" width="9.625" style="56" customWidth="1"/>
    <col min="1794" max="1794" width="33.375" style="56" bestFit="1" customWidth="1"/>
    <col min="1795" max="1796" width="6" style="56" bestFit="1" customWidth="1"/>
    <col min="1797" max="1798" width="5" style="56" bestFit="1" customWidth="1"/>
    <col min="1799" max="2039" width="9" style="56"/>
    <col min="2040" max="2048" width="5.75" style="56" customWidth="1"/>
    <col min="2049" max="2049" width="9.625" style="56" customWidth="1"/>
    <col min="2050" max="2050" width="33.375" style="56" bestFit="1" customWidth="1"/>
    <col min="2051" max="2052" width="6" style="56" bestFit="1" customWidth="1"/>
    <col min="2053" max="2054" width="5" style="56" bestFit="1" customWidth="1"/>
    <col min="2055" max="2295" width="9" style="56"/>
    <col min="2296" max="2304" width="5.75" style="56" customWidth="1"/>
    <col min="2305" max="2305" width="9.625" style="56" customWidth="1"/>
    <col min="2306" max="2306" width="33.375" style="56" bestFit="1" customWidth="1"/>
    <col min="2307" max="2308" width="6" style="56" bestFit="1" customWidth="1"/>
    <col min="2309" max="2310" width="5" style="56" bestFit="1" customWidth="1"/>
    <col min="2311" max="2551" width="9" style="56"/>
    <col min="2552" max="2560" width="5.75" style="56" customWidth="1"/>
    <col min="2561" max="2561" width="9.625" style="56" customWidth="1"/>
    <col min="2562" max="2562" width="33.375" style="56" bestFit="1" customWidth="1"/>
    <col min="2563" max="2564" width="6" style="56" bestFit="1" customWidth="1"/>
    <col min="2565" max="2566" width="5" style="56" bestFit="1" customWidth="1"/>
    <col min="2567" max="2807" width="9" style="56"/>
    <col min="2808" max="2816" width="5.75" style="56" customWidth="1"/>
    <col min="2817" max="2817" width="9.625" style="56" customWidth="1"/>
    <col min="2818" max="2818" width="33.375" style="56" bestFit="1" customWidth="1"/>
    <col min="2819" max="2820" width="6" style="56" bestFit="1" customWidth="1"/>
    <col min="2821" max="2822" width="5" style="56" bestFit="1" customWidth="1"/>
    <col min="2823" max="3063" width="9" style="56"/>
    <col min="3064" max="3072" width="5.75" style="56" customWidth="1"/>
    <col min="3073" max="3073" width="9.625" style="56" customWidth="1"/>
    <col min="3074" max="3074" width="33.375" style="56" bestFit="1" customWidth="1"/>
    <col min="3075" max="3076" width="6" style="56" bestFit="1" customWidth="1"/>
    <col min="3077" max="3078" width="5" style="56" bestFit="1" customWidth="1"/>
    <col min="3079" max="3319" width="9" style="56"/>
    <col min="3320" max="3328" width="5.75" style="56" customWidth="1"/>
    <col min="3329" max="3329" width="9.625" style="56" customWidth="1"/>
    <col min="3330" max="3330" width="33.375" style="56" bestFit="1" customWidth="1"/>
    <col min="3331" max="3332" width="6" style="56" bestFit="1" customWidth="1"/>
    <col min="3333" max="3334" width="5" style="56" bestFit="1" customWidth="1"/>
    <col min="3335" max="3575" width="9" style="56"/>
    <col min="3576" max="3584" width="5.75" style="56" customWidth="1"/>
    <col min="3585" max="3585" width="9.625" style="56" customWidth="1"/>
    <col min="3586" max="3586" width="33.375" style="56" bestFit="1" customWidth="1"/>
    <col min="3587" max="3588" width="6" style="56" bestFit="1" customWidth="1"/>
    <col min="3589" max="3590" width="5" style="56" bestFit="1" customWidth="1"/>
    <col min="3591" max="3831" width="9" style="56"/>
    <col min="3832" max="3840" width="5.75" style="56" customWidth="1"/>
    <col min="3841" max="3841" width="9.625" style="56" customWidth="1"/>
    <col min="3842" max="3842" width="33.375" style="56" bestFit="1" customWidth="1"/>
    <col min="3843" max="3844" width="6" style="56" bestFit="1" customWidth="1"/>
    <col min="3845" max="3846" width="5" style="56" bestFit="1" customWidth="1"/>
    <col min="3847" max="4087" width="9" style="56"/>
    <col min="4088" max="4096" width="5.75" style="56" customWidth="1"/>
    <col min="4097" max="4097" width="9.625" style="56" customWidth="1"/>
    <col min="4098" max="4098" width="33.375" style="56" bestFit="1" customWidth="1"/>
    <col min="4099" max="4100" width="6" style="56" bestFit="1" customWidth="1"/>
    <col min="4101" max="4102" width="5" style="56" bestFit="1" customWidth="1"/>
    <col min="4103" max="4343" width="9" style="56"/>
    <col min="4344" max="4352" width="5.75" style="56" customWidth="1"/>
    <col min="4353" max="4353" width="9.625" style="56" customWidth="1"/>
    <col min="4354" max="4354" width="33.375" style="56" bestFit="1" customWidth="1"/>
    <col min="4355" max="4356" width="6" style="56" bestFit="1" customWidth="1"/>
    <col min="4357" max="4358" width="5" style="56" bestFit="1" customWidth="1"/>
    <col min="4359" max="4599" width="9" style="56"/>
    <col min="4600" max="4608" width="5.75" style="56" customWidth="1"/>
    <col min="4609" max="4609" width="9.625" style="56" customWidth="1"/>
    <col min="4610" max="4610" width="33.375" style="56" bestFit="1" customWidth="1"/>
    <col min="4611" max="4612" width="6" style="56" bestFit="1" customWidth="1"/>
    <col min="4613" max="4614" width="5" style="56" bestFit="1" customWidth="1"/>
    <col min="4615" max="4855" width="9" style="56"/>
    <col min="4856" max="4864" width="5.75" style="56" customWidth="1"/>
    <col min="4865" max="4865" width="9.625" style="56" customWidth="1"/>
    <col min="4866" max="4866" width="33.375" style="56" bestFit="1" customWidth="1"/>
    <col min="4867" max="4868" width="6" style="56" bestFit="1" customWidth="1"/>
    <col min="4869" max="4870" width="5" style="56" bestFit="1" customWidth="1"/>
    <col min="4871" max="5111" width="9" style="56"/>
    <col min="5112" max="5120" width="5.75" style="56" customWidth="1"/>
    <col min="5121" max="5121" width="9.625" style="56" customWidth="1"/>
    <col min="5122" max="5122" width="33.375" style="56" bestFit="1" customWidth="1"/>
    <col min="5123" max="5124" width="6" style="56" bestFit="1" customWidth="1"/>
    <col min="5125" max="5126" width="5" style="56" bestFit="1" customWidth="1"/>
    <col min="5127" max="5367" width="9" style="56"/>
    <col min="5368" max="5376" width="5.75" style="56" customWidth="1"/>
    <col min="5377" max="5377" width="9.625" style="56" customWidth="1"/>
    <col min="5378" max="5378" width="33.375" style="56" bestFit="1" customWidth="1"/>
    <col min="5379" max="5380" width="6" style="56" bestFit="1" customWidth="1"/>
    <col min="5381" max="5382" width="5" style="56" bestFit="1" customWidth="1"/>
    <col min="5383" max="5623" width="9" style="56"/>
    <col min="5624" max="5632" width="5.75" style="56" customWidth="1"/>
    <col min="5633" max="5633" width="9.625" style="56" customWidth="1"/>
    <col min="5634" max="5634" width="33.375" style="56" bestFit="1" customWidth="1"/>
    <col min="5635" max="5636" width="6" style="56" bestFit="1" customWidth="1"/>
    <col min="5637" max="5638" width="5" style="56" bestFit="1" customWidth="1"/>
    <col min="5639" max="5879" width="9" style="56"/>
    <col min="5880" max="5888" width="5.75" style="56" customWidth="1"/>
    <col min="5889" max="5889" width="9.625" style="56" customWidth="1"/>
    <col min="5890" max="5890" width="33.375" style="56" bestFit="1" customWidth="1"/>
    <col min="5891" max="5892" width="6" style="56" bestFit="1" customWidth="1"/>
    <col min="5893" max="5894" width="5" style="56" bestFit="1" customWidth="1"/>
    <col min="5895" max="6135" width="9" style="56"/>
    <col min="6136" max="6144" width="5.75" style="56" customWidth="1"/>
    <col min="6145" max="6145" width="9.625" style="56" customWidth="1"/>
    <col min="6146" max="6146" width="33.375" style="56" bestFit="1" customWidth="1"/>
    <col min="6147" max="6148" width="6" style="56" bestFit="1" customWidth="1"/>
    <col min="6149" max="6150" width="5" style="56" bestFit="1" customWidth="1"/>
    <col min="6151" max="6391" width="9" style="56"/>
    <col min="6392" max="6400" width="5.75" style="56" customWidth="1"/>
    <col min="6401" max="6401" width="9.625" style="56" customWidth="1"/>
    <col min="6402" max="6402" width="33.375" style="56" bestFit="1" customWidth="1"/>
    <col min="6403" max="6404" width="6" style="56" bestFit="1" customWidth="1"/>
    <col min="6405" max="6406" width="5" style="56" bestFit="1" customWidth="1"/>
    <col min="6407" max="6647" width="9" style="56"/>
    <col min="6648" max="6656" width="5.75" style="56" customWidth="1"/>
    <col min="6657" max="6657" width="9.625" style="56" customWidth="1"/>
    <col min="6658" max="6658" width="33.375" style="56" bestFit="1" customWidth="1"/>
    <col min="6659" max="6660" width="6" style="56" bestFit="1" customWidth="1"/>
    <col min="6661" max="6662" width="5" style="56" bestFit="1" customWidth="1"/>
    <col min="6663" max="6903" width="9" style="56"/>
    <col min="6904" max="6912" width="5.75" style="56" customWidth="1"/>
    <col min="6913" max="6913" width="9.625" style="56" customWidth="1"/>
    <col min="6914" max="6914" width="33.375" style="56" bestFit="1" customWidth="1"/>
    <col min="6915" max="6916" width="6" style="56" bestFit="1" customWidth="1"/>
    <col min="6917" max="6918" width="5" style="56" bestFit="1" customWidth="1"/>
    <col min="6919" max="7159" width="9" style="56"/>
    <col min="7160" max="7168" width="5.75" style="56" customWidth="1"/>
    <col min="7169" max="7169" width="9.625" style="56" customWidth="1"/>
    <col min="7170" max="7170" width="33.375" style="56" bestFit="1" customWidth="1"/>
    <col min="7171" max="7172" width="6" style="56" bestFit="1" customWidth="1"/>
    <col min="7173" max="7174" width="5" style="56" bestFit="1" customWidth="1"/>
    <col min="7175" max="7415" width="9" style="56"/>
    <col min="7416" max="7424" width="5.75" style="56" customWidth="1"/>
    <col min="7425" max="7425" width="9.625" style="56" customWidth="1"/>
    <col min="7426" max="7426" width="33.375" style="56" bestFit="1" customWidth="1"/>
    <col min="7427" max="7428" width="6" style="56" bestFit="1" customWidth="1"/>
    <col min="7429" max="7430" width="5" style="56" bestFit="1" customWidth="1"/>
    <col min="7431" max="7671" width="9" style="56"/>
    <col min="7672" max="7680" width="5.75" style="56" customWidth="1"/>
    <col min="7681" max="7681" width="9.625" style="56" customWidth="1"/>
    <col min="7682" max="7682" width="33.375" style="56" bestFit="1" customWidth="1"/>
    <col min="7683" max="7684" width="6" style="56" bestFit="1" customWidth="1"/>
    <col min="7685" max="7686" width="5" style="56" bestFit="1" customWidth="1"/>
    <col min="7687" max="7927" width="9" style="56"/>
    <col min="7928" max="7936" width="5.75" style="56" customWidth="1"/>
    <col min="7937" max="7937" width="9.625" style="56" customWidth="1"/>
    <col min="7938" max="7938" width="33.375" style="56" bestFit="1" customWidth="1"/>
    <col min="7939" max="7940" width="6" style="56" bestFit="1" customWidth="1"/>
    <col min="7941" max="7942" width="5" style="56" bestFit="1" customWidth="1"/>
    <col min="7943" max="8183" width="9" style="56"/>
    <col min="8184" max="8192" width="5.75" style="56" customWidth="1"/>
    <col min="8193" max="8193" width="9.625" style="56" customWidth="1"/>
    <col min="8194" max="8194" width="33.375" style="56" bestFit="1" customWidth="1"/>
    <col min="8195" max="8196" width="6" style="56" bestFit="1" customWidth="1"/>
    <col min="8197" max="8198" width="5" style="56" bestFit="1" customWidth="1"/>
    <col min="8199" max="8439" width="9" style="56"/>
    <col min="8440" max="8448" width="5.75" style="56" customWidth="1"/>
    <col min="8449" max="8449" width="9.625" style="56" customWidth="1"/>
    <col min="8450" max="8450" width="33.375" style="56" bestFit="1" customWidth="1"/>
    <col min="8451" max="8452" width="6" style="56" bestFit="1" customWidth="1"/>
    <col min="8453" max="8454" width="5" style="56" bestFit="1" customWidth="1"/>
    <col min="8455" max="8695" width="9" style="56"/>
    <col min="8696" max="8704" width="5.75" style="56" customWidth="1"/>
    <col min="8705" max="8705" width="9.625" style="56" customWidth="1"/>
    <col min="8706" max="8706" width="33.375" style="56" bestFit="1" customWidth="1"/>
    <col min="8707" max="8708" width="6" style="56" bestFit="1" customWidth="1"/>
    <col min="8709" max="8710" width="5" style="56" bestFit="1" customWidth="1"/>
    <col min="8711" max="8951" width="9" style="56"/>
    <col min="8952" max="8960" width="5.75" style="56" customWidth="1"/>
    <col min="8961" max="8961" width="9.625" style="56" customWidth="1"/>
    <col min="8962" max="8962" width="33.375" style="56" bestFit="1" customWidth="1"/>
    <col min="8963" max="8964" width="6" style="56" bestFit="1" customWidth="1"/>
    <col min="8965" max="8966" width="5" style="56" bestFit="1" customWidth="1"/>
    <col min="8967" max="9207" width="9" style="56"/>
    <col min="9208" max="9216" width="5.75" style="56" customWidth="1"/>
    <col min="9217" max="9217" width="9.625" style="56" customWidth="1"/>
    <col min="9218" max="9218" width="33.375" style="56" bestFit="1" customWidth="1"/>
    <col min="9219" max="9220" width="6" style="56" bestFit="1" customWidth="1"/>
    <col min="9221" max="9222" width="5" style="56" bestFit="1" customWidth="1"/>
    <col min="9223" max="9463" width="9" style="56"/>
    <col min="9464" max="9472" width="5.75" style="56" customWidth="1"/>
    <col min="9473" max="9473" width="9.625" style="56" customWidth="1"/>
    <col min="9474" max="9474" width="33.375" style="56" bestFit="1" customWidth="1"/>
    <col min="9475" max="9476" width="6" style="56" bestFit="1" customWidth="1"/>
    <col min="9477" max="9478" width="5" style="56" bestFit="1" customWidth="1"/>
    <col min="9479" max="9719" width="9" style="56"/>
    <col min="9720" max="9728" width="5.75" style="56" customWidth="1"/>
    <col min="9729" max="9729" width="9.625" style="56" customWidth="1"/>
    <col min="9730" max="9730" width="33.375" style="56" bestFit="1" customWidth="1"/>
    <col min="9731" max="9732" width="6" style="56" bestFit="1" customWidth="1"/>
    <col min="9733" max="9734" width="5" style="56" bestFit="1" customWidth="1"/>
    <col min="9735" max="9975" width="9" style="56"/>
    <col min="9976" max="9984" width="5.75" style="56" customWidth="1"/>
    <col min="9985" max="9985" width="9.625" style="56" customWidth="1"/>
    <col min="9986" max="9986" width="33.375" style="56" bestFit="1" customWidth="1"/>
    <col min="9987" max="9988" width="6" style="56" bestFit="1" customWidth="1"/>
    <col min="9989" max="9990" width="5" style="56" bestFit="1" customWidth="1"/>
    <col min="9991" max="10231" width="9" style="56"/>
    <col min="10232" max="10240" width="5.75" style="56" customWidth="1"/>
    <col min="10241" max="10241" width="9.625" style="56" customWidth="1"/>
    <col min="10242" max="10242" width="33.375" style="56" bestFit="1" customWidth="1"/>
    <col min="10243" max="10244" width="6" style="56" bestFit="1" customWidth="1"/>
    <col min="10245" max="10246" width="5" style="56" bestFit="1" customWidth="1"/>
    <col min="10247" max="10487" width="9" style="56"/>
    <col min="10488" max="10496" width="5.75" style="56" customWidth="1"/>
    <col min="10497" max="10497" width="9.625" style="56" customWidth="1"/>
    <col min="10498" max="10498" width="33.375" style="56" bestFit="1" customWidth="1"/>
    <col min="10499" max="10500" width="6" style="56" bestFit="1" customWidth="1"/>
    <col min="10501" max="10502" width="5" style="56" bestFit="1" customWidth="1"/>
    <col min="10503" max="10743" width="9" style="56"/>
    <col min="10744" max="10752" width="5.75" style="56" customWidth="1"/>
    <col min="10753" max="10753" width="9.625" style="56" customWidth="1"/>
    <col min="10754" max="10754" width="33.375" style="56" bestFit="1" customWidth="1"/>
    <col min="10755" max="10756" width="6" style="56" bestFit="1" customWidth="1"/>
    <col min="10757" max="10758" width="5" style="56" bestFit="1" customWidth="1"/>
    <col min="10759" max="10999" width="9" style="56"/>
    <col min="11000" max="11008" width="5.75" style="56" customWidth="1"/>
    <col min="11009" max="11009" width="9.625" style="56" customWidth="1"/>
    <col min="11010" max="11010" width="33.375" style="56" bestFit="1" customWidth="1"/>
    <col min="11011" max="11012" width="6" style="56" bestFit="1" customWidth="1"/>
    <col min="11013" max="11014" width="5" style="56" bestFit="1" customWidth="1"/>
    <col min="11015" max="11255" width="9" style="56"/>
    <col min="11256" max="11264" width="5.75" style="56" customWidth="1"/>
    <col min="11265" max="11265" width="9.625" style="56" customWidth="1"/>
    <col min="11266" max="11266" width="33.375" style="56" bestFit="1" customWidth="1"/>
    <col min="11267" max="11268" width="6" style="56" bestFit="1" customWidth="1"/>
    <col min="11269" max="11270" width="5" style="56" bestFit="1" customWidth="1"/>
    <col min="11271" max="11511" width="9" style="56"/>
    <col min="11512" max="11520" width="5.75" style="56" customWidth="1"/>
    <col min="11521" max="11521" width="9.625" style="56" customWidth="1"/>
    <col min="11522" max="11522" width="33.375" style="56" bestFit="1" customWidth="1"/>
    <col min="11523" max="11524" width="6" style="56" bestFit="1" customWidth="1"/>
    <col min="11525" max="11526" width="5" style="56" bestFit="1" customWidth="1"/>
    <col min="11527" max="11767" width="9" style="56"/>
    <col min="11768" max="11776" width="5.75" style="56" customWidth="1"/>
    <col min="11777" max="11777" width="9.625" style="56" customWidth="1"/>
    <col min="11778" max="11778" width="33.375" style="56" bestFit="1" customWidth="1"/>
    <col min="11779" max="11780" width="6" style="56" bestFit="1" customWidth="1"/>
    <col min="11781" max="11782" width="5" style="56" bestFit="1" customWidth="1"/>
    <col min="11783" max="12023" width="9" style="56"/>
    <col min="12024" max="12032" width="5.75" style="56" customWidth="1"/>
    <col min="12033" max="12033" width="9.625" style="56" customWidth="1"/>
    <col min="12034" max="12034" width="33.375" style="56" bestFit="1" customWidth="1"/>
    <col min="12035" max="12036" width="6" style="56" bestFit="1" customWidth="1"/>
    <col min="12037" max="12038" width="5" style="56" bestFit="1" customWidth="1"/>
    <col min="12039" max="12279" width="9" style="56"/>
    <col min="12280" max="12288" width="5.75" style="56" customWidth="1"/>
    <col min="12289" max="12289" width="9.625" style="56" customWidth="1"/>
    <col min="12290" max="12290" width="33.375" style="56" bestFit="1" customWidth="1"/>
    <col min="12291" max="12292" width="6" style="56" bestFit="1" customWidth="1"/>
    <col min="12293" max="12294" width="5" style="56" bestFit="1" customWidth="1"/>
    <col min="12295" max="12535" width="9" style="56"/>
    <col min="12536" max="12544" width="5.75" style="56" customWidth="1"/>
    <col min="12545" max="12545" width="9.625" style="56" customWidth="1"/>
    <col min="12546" max="12546" width="33.375" style="56" bestFit="1" customWidth="1"/>
    <col min="12547" max="12548" width="6" style="56" bestFit="1" customWidth="1"/>
    <col min="12549" max="12550" width="5" style="56" bestFit="1" customWidth="1"/>
    <col min="12551" max="12791" width="9" style="56"/>
    <col min="12792" max="12800" width="5.75" style="56" customWidth="1"/>
    <col min="12801" max="12801" width="9.625" style="56" customWidth="1"/>
    <col min="12802" max="12802" width="33.375" style="56" bestFit="1" customWidth="1"/>
    <col min="12803" max="12804" width="6" style="56" bestFit="1" customWidth="1"/>
    <col min="12805" max="12806" width="5" style="56" bestFit="1" customWidth="1"/>
    <col min="12807" max="13047" width="9" style="56"/>
    <col min="13048" max="13056" width="5.75" style="56" customWidth="1"/>
    <col min="13057" max="13057" width="9.625" style="56" customWidth="1"/>
    <col min="13058" max="13058" width="33.375" style="56" bestFit="1" customWidth="1"/>
    <col min="13059" max="13060" width="6" style="56" bestFit="1" customWidth="1"/>
    <col min="13061" max="13062" width="5" style="56" bestFit="1" customWidth="1"/>
    <col min="13063" max="13303" width="9" style="56"/>
    <col min="13304" max="13312" width="5.75" style="56" customWidth="1"/>
    <col min="13313" max="13313" width="9.625" style="56" customWidth="1"/>
    <col min="13314" max="13314" width="33.375" style="56" bestFit="1" customWidth="1"/>
    <col min="13315" max="13316" width="6" style="56" bestFit="1" customWidth="1"/>
    <col min="13317" max="13318" width="5" style="56" bestFit="1" customWidth="1"/>
    <col min="13319" max="13559" width="9" style="56"/>
    <col min="13560" max="13568" width="5.75" style="56" customWidth="1"/>
    <col min="13569" max="13569" width="9.625" style="56" customWidth="1"/>
    <col min="13570" max="13570" width="33.375" style="56" bestFit="1" customWidth="1"/>
    <col min="13571" max="13572" width="6" style="56" bestFit="1" customWidth="1"/>
    <col min="13573" max="13574" width="5" style="56" bestFit="1" customWidth="1"/>
    <col min="13575" max="13815" width="9" style="56"/>
    <col min="13816" max="13824" width="5.75" style="56" customWidth="1"/>
    <col min="13825" max="13825" width="9.625" style="56" customWidth="1"/>
    <col min="13826" max="13826" width="33.375" style="56" bestFit="1" customWidth="1"/>
    <col min="13827" max="13828" width="6" style="56" bestFit="1" customWidth="1"/>
    <col min="13829" max="13830" width="5" style="56" bestFit="1" customWidth="1"/>
    <col min="13831" max="14071" width="9" style="56"/>
    <col min="14072" max="14080" width="5.75" style="56" customWidth="1"/>
    <col min="14081" max="14081" width="9.625" style="56" customWidth="1"/>
    <col min="14082" max="14082" width="33.375" style="56" bestFit="1" customWidth="1"/>
    <col min="14083" max="14084" width="6" style="56" bestFit="1" customWidth="1"/>
    <col min="14085" max="14086" width="5" style="56" bestFit="1" customWidth="1"/>
    <col min="14087" max="14327" width="9" style="56"/>
    <col min="14328" max="14336" width="5.75" style="56" customWidth="1"/>
    <col min="14337" max="14337" width="9.625" style="56" customWidth="1"/>
    <col min="14338" max="14338" width="33.375" style="56" bestFit="1" customWidth="1"/>
    <col min="14339" max="14340" width="6" style="56" bestFit="1" customWidth="1"/>
    <col min="14341" max="14342" width="5" style="56" bestFit="1" customWidth="1"/>
    <col min="14343" max="14583" width="9" style="56"/>
    <col min="14584" max="14592" width="5.75" style="56" customWidth="1"/>
    <col min="14593" max="14593" width="9.625" style="56" customWidth="1"/>
    <col min="14594" max="14594" width="33.375" style="56" bestFit="1" customWidth="1"/>
    <col min="14595" max="14596" width="6" style="56" bestFit="1" customWidth="1"/>
    <col min="14597" max="14598" width="5" style="56" bestFit="1" customWidth="1"/>
    <col min="14599" max="14839" width="9" style="56"/>
    <col min="14840" max="14848" width="5.75" style="56" customWidth="1"/>
    <col min="14849" max="14849" width="9.625" style="56" customWidth="1"/>
    <col min="14850" max="14850" width="33.375" style="56" bestFit="1" customWidth="1"/>
    <col min="14851" max="14852" width="6" style="56" bestFit="1" customWidth="1"/>
    <col min="14853" max="14854" width="5" style="56" bestFit="1" customWidth="1"/>
    <col min="14855" max="15095" width="9" style="56"/>
    <col min="15096" max="15104" width="5.75" style="56" customWidth="1"/>
    <col min="15105" max="15105" width="9.625" style="56" customWidth="1"/>
    <col min="15106" max="15106" width="33.375" style="56" bestFit="1" customWidth="1"/>
    <col min="15107" max="15108" width="6" style="56" bestFit="1" customWidth="1"/>
    <col min="15109" max="15110" width="5" style="56" bestFit="1" customWidth="1"/>
    <col min="15111" max="15351" width="9" style="56"/>
    <col min="15352" max="15360" width="5.75" style="56" customWidth="1"/>
    <col min="15361" max="15361" width="9.625" style="56" customWidth="1"/>
    <col min="15362" max="15362" width="33.375" style="56" bestFit="1" customWidth="1"/>
    <col min="15363" max="15364" width="6" style="56" bestFit="1" customWidth="1"/>
    <col min="15365" max="15366" width="5" style="56" bestFit="1" customWidth="1"/>
    <col min="15367" max="15607" width="9" style="56"/>
    <col min="15608" max="15616" width="5.75" style="56" customWidth="1"/>
    <col min="15617" max="15617" width="9.625" style="56" customWidth="1"/>
    <col min="15618" max="15618" width="33.375" style="56" bestFit="1" customWidth="1"/>
    <col min="15619" max="15620" width="6" style="56" bestFit="1" customWidth="1"/>
    <col min="15621" max="15622" width="5" style="56" bestFit="1" customWidth="1"/>
    <col min="15623" max="15863" width="9" style="56"/>
    <col min="15864" max="15872" width="5.75" style="56" customWidth="1"/>
    <col min="15873" max="15873" width="9.625" style="56" customWidth="1"/>
    <col min="15874" max="15874" width="33.375" style="56" bestFit="1" customWidth="1"/>
    <col min="15875" max="15876" width="6" style="56" bestFit="1" customWidth="1"/>
    <col min="15877" max="15878" width="5" style="56" bestFit="1" customWidth="1"/>
    <col min="15879" max="16119" width="9" style="56"/>
    <col min="16120" max="16128" width="5.75" style="56" customWidth="1"/>
    <col min="16129" max="16129" width="9.625" style="56" customWidth="1"/>
    <col min="16130" max="16130" width="33.375" style="56" bestFit="1" customWidth="1"/>
    <col min="16131" max="16132" width="6" style="56" bestFit="1" customWidth="1"/>
    <col min="16133" max="16134" width="5" style="56" bestFit="1" customWidth="1"/>
    <col min="16135" max="16375" width="9" style="56"/>
    <col min="16376" max="16384" width="9.125" style="56" customWidth="1"/>
  </cols>
  <sheetData>
    <row r="1" spans="1:11" ht="12.75" customHeight="1" x14ac:dyDescent="0.2">
      <c r="A1" s="177" t="s">
        <v>576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</row>
    <row r="2" spans="1:11" ht="12.75" customHeight="1" thickBot="1" x14ac:dyDescent="0.25">
      <c r="A2" s="178" t="s">
        <v>577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</row>
    <row r="3" spans="1:11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</row>
    <row r="4" spans="1:11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</row>
    <row r="5" spans="1:11" ht="12.75" customHeight="1" thickBot="1" x14ac:dyDescent="0.25">
      <c r="A5" s="60">
        <v>31</v>
      </c>
      <c r="B5" s="60">
        <v>6</v>
      </c>
      <c r="C5" s="60">
        <v>25</v>
      </c>
      <c r="D5" s="60">
        <v>0</v>
      </c>
      <c r="E5" s="60">
        <v>0</v>
      </c>
      <c r="F5" s="60">
        <v>0</v>
      </c>
      <c r="G5" s="60">
        <v>31</v>
      </c>
      <c r="H5" s="60">
        <v>6</v>
      </c>
      <c r="I5" s="60">
        <v>25</v>
      </c>
      <c r="J5" s="65" t="s">
        <v>61</v>
      </c>
      <c r="K5" s="66"/>
    </row>
    <row r="6" spans="1:11" ht="12.75" customHeight="1" thickBot="1" x14ac:dyDescent="0.25">
      <c r="A6" s="60">
        <v>68</v>
      </c>
      <c r="B6" s="60">
        <v>1</v>
      </c>
      <c r="C6" s="60">
        <v>67</v>
      </c>
      <c r="D6" s="60">
        <v>3</v>
      </c>
      <c r="E6" s="60">
        <v>1</v>
      </c>
      <c r="F6" s="60">
        <v>2</v>
      </c>
      <c r="G6" s="60">
        <v>65</v>
      </c>
      <c r="H6" s="60">
        <v>0</v>
      </c>
      <c r="I6" s="60">
        <v>65</v>
      </c>
      <c r="J6" s="65" t="s">
        <v>62</v>
      </c>
      <c r="K6" s="66" t="s">
        <v>330</v>
      </c>
    </row>
    <row r="7" spans="1:11" ht="12.75" customHeight="1" thickBot="1" x14ac:dyDescent="0.25">
      <c r="A7" s="60">
        <v>35</v>
      </c>
      <c r="B7" s="60">
        <v>0</v>
      </c>
      <c r="C7" s="60">
        <v>35</v>
      </c>
      <c r="D7" s="60">
        <v>3</v>
      </c>
      <c r="E7" s="60">
        <v>0</v>
      </c>
      <c r="F7" s="60">
        <v>3</v>
      </c>
      <c r="G7" s="60">
        <v>32</v>
      </c>
      <c r="H7" s="60">
        <v>0</v>
      </c>
      <c r="I7" s="60">
        <v>32</v>
      </c>
      <c r="J7" s="65" t="s">
        <v>64</v>
      </c>
      <c r="K7" s="74"/>
    </row>
    <row r="8" spans="1:11" ht="12.75" customHeight="1" thickBot="1" x14ac:dyDescent="0.25">
      <c r="A8" s="60">
        <v>153</v>
      </c>
      <c r="B8" s="60">
        <v>47</v>
      </c>
      <c r="C8" s="60">
        <v>106</v>
      </c>
      <c r="D8" s="60">
        <v>6</v>
      </c>
      <c r="E8" s="60">
        <v>3</v>
      </c>
      <c r="F8" s="60">
        <v>3</v>
      </c>
      <c r="G8" s="60">
        <v>147</v>
      </c>
      <c r="H8" s="60">
        <v>44</v>
      </c>
      <c r="I8" s="60">
        <v>103</v>
      </c>
      <c r="J8" s="65" t="s">
        <v>61</v>
      </c>
      <c r="K8" s="66"/>
    </row>
    <row r="9" spans="1:11" ht="12.75" customHeight="1" thickBot="1" x14ac:dyDescent="0.25">
      <c r="A9" s="60">
        <v>544</v>
      </c>
      <c r="B9" s="60">
        <v>187</v>
      </c>
      <c r="C9" s="60">
        <v>357</v>
      </c>
      <c r="D9" s="60">
        <v>5</v>
      </c>
      <c r="E9" s="60">
        <v>4</v>
      </c>
      <c r="F9" s="60">
        <v>1</v>
      </c>
      <c r="G9" s="60">
        <v>539</v>
      </c>
      <c r="H9" s="60">
        <v>183</v>
      </c>
      <c r="I9" s="60">
        <v>356</v>
      </c>
      <c r="J9" s="65" t="s">
        <v>62</v>
      </c>
      <c r="K9" s="66" t="s">
        <v>331</v>
      </c>
    </row>
    <row r="10" spans="1:11" ht="12.75" customHeight="1" thickBot="1" x14ac:dyDescent="0.25">
      <c r="A10" s="60">
        <f>G10+D10</f>
        <v>519</v>
      </c>
      <c r="B10" s="60">
        <f>H10+E10</f>
        <v>148</v>
      </c>
      <c r="C10" s="60">
        <f>I10+F10</f>
        <v>371</v>
      </c>
      <c r="D10" s="60">
        <v>0</v>
      </c>
      <c r="E10" s="60">
        <v>0</v>
      </c>
      <c r="F10" s="60">
        <v>0</v>
      </c>
      <c r="G10" s="60">
        <f>I10+H10</f>
        <v>519</v>
      </c>
      <c r="H10" s="60">
        <v>148</v>
      </c>
      <c r="I10" s="60">
        <v>371</v>
      </c>
      <c r="J10" s="65" t="s">
        <v>64</v>
      </c>
      <c r="K10" s="74"/>
    </row>
    <row r="11" spans="1:11" ht="12.75" customHeight="1" thickBot="1" x14ac:dyDescent="0.25">
      <c r="A11" s="60">
        <v>4</v>
      </c>
      <c r="B11" s="60">
        <v>1</v>
      </c>
      <c r="C11" s="60">
        <v>3</v>
      </c>
      <c r="D11" s="60">
        <v>4</v>
      </c>
      <c r="E11" s="60">
        <v>1</v>
      </c>
      <c r="F11" s="60">
        <v>3</v>
      </c>
      <c r="G11" s="60">
        <v>0</v>
      </c>
      <c r="H11" s="60">
        <v>0</v>
      </c>
      <c r="I11" s="60">
        <v>0</v>
      </c>
      <c r="J11" s="65" t="s">
        <v>61</v>
      </c>
      <c r="K11" s="66"/>
    </row>
    <row r="12" spans="1:11" ht="12.75" customHeight="1" thickBot="1" x14ac:dyDescent="0.25">
      <c r="A12" s="60">
        <v>3</v>
      </c>
      <c r="B12" s="60">
        <v>1</v>
      </c>
      <c r="C12" s="60">
        <v>2</v>
      </c>
      <c r="D12" s="60">
        <v>3</v>
      </c>
      <c r="E12" s="60">
        <v>1</v>
      </c>
      <c r="F12" s="60">
        <v>2</v>
      </c>
      <c r="G12" s="60">
        <v>0</v>
      </c>
      <c r="H12" s="60">
        <v>0</v>
      </c>
      <c r="I12" s="60">
        <v>0</v>
      </c>
      <c r="J12" s="65" t="s">
        <v>62</v>
      </c>
      <c r="K12" s="66" t="s">
        <v>332</v>
      </c>
    </row>
    <row r="13" spans="1:11" ht="12.75" customHeight="1" thickBot="1" x14ac:dyDescent="0.25">
      <c r="A13" s="60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5" t="s">
        <v>64</v>
      </c>
      <c r="K13" s="74"/>
    </row>
    <row r="14" spans="1:11" ht="12.75" customHeight="1" thickBot="1" x14ac:dyDescent="0.25">
      <c r="A14" s="60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5" t="s">
        <v>61</v>
      </c>
      <c r="K14" s="66"/>
    </row>
    <row r="15" spans="1:11" ht="12.75" customHeight="1" thickBot="1" x14ac:dyDescent="0.25">
      <c r="A15" s="60">
        <v>43</v>
      </c>
      <c r="B15" s="60">
        <v>39</v>
      </c>
      <c r="C15" s="60">
        <v>4</v>
      </c>
      <c r="D15" s="60">
        <v>0</v>
      </c>
      <c r="E15" s="60">
        <v>0</v>
      </c>
      <c r="F15" s="60">
        <v>0</v>
      </c>
      <c r="G15" s="60">
        <v>43</v>
      </c>
      <c r="H15" s="60">
        <v>39</v>
      </c>
      <c r="I15" s="60">
        <v>4</v>
      </c>
      <c r="J15" s="65" t="s">
        <v>62</v>
      </c>
      <c r="K15" s="66" t="s">
        <v>333</v>
      </c>
    </row>
    <row r="16" spans="1:11" ht="12.75" customHeight="1" thickBot="1" x14ac:dyDescent="0.25">
      <c r="A16" s="60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5" t="s">
        <v>64</v>
      </c>
      <c r="K16" s="74"/>
    </row>
    <row r="17" spans="1:11" ht="12.75" customHeight="1" thickBot="1" x14ac:dyDescent="0.25">
      <c r="A17" s="60">
        <v>0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5" t="s">
        <v>61</v>
      </c>
      <c r="K17" s="66"/>
    </row>
    <row r="18" spans="1:11" ht="12.75" customHeight="1" thickBot="1" x14ac:dyDescent="0.25">
      <c r="A18" s="60">
        <v>9</v>
      </c>
      <c r="B18" s="60">
        <v>0</v>
      </c>
      <c r="C18" s="60">
        <v>9</v>
      </c>
      <c r="D18" s="60">
        <v>0</v>
      </c>
      <c r="E18" s="60">
        <v>0</v>
      </c>
      <c r="F18" s="60">
        <v>0</v>
      </c>
      <c r="G18" s="60">
        <v>9</v>
      </c>
      <c r="H18" s="60">
        <v>0</v>
      </c>
      <c r="I18" s="60">
        <v>9</v>
      </c>
      <c r="J18" s="65" t="s">
        <v>62</v>
      </c>
      <c r="K18" s="66" t="s">
        <v>334</v>
      </c>
    </row>
    <row r="19" spans="1:11" ht="12.75" customHeight="1" thickBot="1" x14ac:dyDescent="0.25">
      <c r="A19" s="60">
        <v>0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5" t="s">
        <v>64</v>
      </c>
      <c r="K19" s="74"/>
    </row>
    <row r="20" spans="1:11" ht="12.75" customHeight="1" thickBot="1" x14ac:dyDescent="0.25">
      <c r="A20" s="60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5" t="s">
        <v>61</v>
      </c>
      <c r="K20" s="66"/>
    </row>
    <row r="21" spans="1:11" ht="12.75" customHeight="1" thickBot="1" x14ac:dyDescent="0.25">
      <c r="A21" s="60">
        <v>21</v>
      </c>
      <c r="B21" s="60">
        <v>17</v>
      </c>
      <c r="C21" s="60">
        <v>4</v>
      </c>
      <c r="D21" s="60">
        <v>0</v>
      </c>
      <c r="E21" s="60">
        <v>0</v>
      </c>
      <c r="F21" s="60">
        <v>0</v>
      </c>
      <c r="G21" s="60">
        <v>21</v>
      </c>
      <c r="H21" s="60">
        <v>17</v>
      </c>
      <c r="I21" s="60">
        <v>4</v>
      </c>
      <c r="J21" s="65" t="s">
        <v>62</v>
      </c>
      <c r="K21" s="66" t="s">
        <v>335</v>
      </c>
    </row>
    <row r="22" spans="1:11" ht="12.75" customHeight="1" thickBot="1" x14ac:dyDescent="0.25">
      <c r="A22" s="60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5" t="s">
        <v>64</v>
      </c>
      <c r="K22" s="74"/>
    </row>
    <row r="23" spans="1:11" ht="12.75" customHeight="1" thickBot="1" x14ac:dyDescent="0.25">
      <c r="A23" s="60">
        <v>12</v>
      </c>
      <c r="B23" s="60">
        <v>3</v>
      </c>
      <c r="C23" s="60">
        <v>9</v>
      </c>
      <c r="D23" s="60">
        <v>0</v>
      </c>
      <c r="E23" s="60">
        <v>0</v>
      </c>
      <c r="F23" s="60">
        <v>0</v>
      </c>
      <c r="G23" s="60">
        <v>12</v>
      </c>
      <c r="H23" s="60">
        <v>3</v>
      </c>
      <c r="I23" s="60">
        <v>9</v>
      </c>
      <c r="J23" s="65" t="s">
        <v>61</v>
      </c>
      <c r="K23" s="66"/>
    </row>
    <row r="24" spans="1:11" ht="12.75" customHeight="1" thickBot="1" x14ac:dyDescent="0.25">
      <c r="A24" s="60">
        <v>168</v>
      </c>
      <c r="B24" s="60">
        <v>38</v>
      </c>
      <c r="C24" s="60">
        <v>130</v>
      </c>
      <c r="D24" s="60">
        <v>20</v>
      </c>
      <c r="E24" s="60">
        <v>1</v>
      </c>
      <c r="F24" s="60">
        <v>19</v>
      </c>
      <c r="G24" s="60">
        <v>148</v>
      </c>
      <c r="H24" s="60">
        <v>37</v>
      </c>
      <c r="I24" s="60">
        <v>111</v>
      </c>
      <c r="J24" s="65" t="s">
        <v>62</v>
      </c>
      <c r="K24" s="66" t="s">
        <v>336</v>
      </c>
    </row>
    <row r="25" spans="1:11" ht="12.75" customHeight="1" thickBot="1" x14ac:dyDescent="0.25">
      <c r="A25" s="60">
        <v>0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5" t="s">
        <v>64</v>
      </c>
      <c r="K25" s="74"/>
    </row>
    <row r="26" spans="1:11" ht="12.75" customHeight="1" thickBot="1" x14ac:dyDescent="0.25">
      <c r="A26" s="60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5" t="s">
        <v>61</v>
      </c>
      <c r="K26" s="66"/>
    </row>
    <row r="27" spans="1:11" ht="12.75" customHeight="1" thickBot="1" x14ac:dyDescent="0.25">
      <c r="A27" s="60">
        <v>92</v>
      </c>
      <c r="B27" s="60">
        <v>0</v>
      </c>
      <c r="C27" s="60">
        <v>92</v>
      </c>
      <c r="D27" s="60">
        <v>0</v>
      </c>
      <c r="E27" s="60">
        <v>0</v>
      </c>
      <c r="F27" s="60">
        <v>0</v>
      </c>
      <c r="G27" s="60">
        <v>92</v>
      </c>
      <c r="H27" s="60">
        <v>0</v>
      </c>
      <c r="I27" s="60">
        <v>92</v>
      </c>
      <c r="J27" s="65" t="s">
        <v>62</v>
      </c>
      <c r="K27" s="66" t="s">
        <v>531</v>
      </c>
    </row>
    <row r="28" spans="1:11" ht="12.75" customHeight="1" thickBot="1" x14ac:dyDescent="0.25">
      <c r="A28" s="60">
        <v>0</v>
      </c>
      <c r="B28" s="60">
        <v>0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5" t="s">
        <v>64</v>
      </c>
      <c r="K28" s="74"/>
    </row>
    <row r="29" spans="1:11" ht="12.75" customHeight="1" thickBot="1" x14ac:dyDescent="0.25">
      <c r="A29" s="60">
        <v>11</v>
      </c>
      <c r="B29" s="60">
        <v>11</v>
      </c>
      <c r="C29" s="60">
        <v>0</v>
      </c>
      <c r="D29" s="60">
        <v>0</v>
      </c>
      <c r="E29" s="60">
        <v>0</v>
      </c>
      <c r="F29" s="60">
        <v>0</v>
      </c>
      <c r="G29" s="60">
        <v>11</v>
      </c>
      <c r="H29" s="60">
        <v>11</v>
      </c>
      <c r="I29" s="60">
        <v>0</v>
      </c>
      <c r="J29" s="65" t="s">
        <v>61</v>
      </c>
      <c r="K29" s="66"/>
    </row>
    <row r="30" spans="1:11" ht="12.75" customHeight="1" thickBot="1" x14ac:dyDescent="0.25">
      <c r="A30" s="60">
        <v>101</v>
      </c>
      <c r="B30" s="60">
        <v>101</v>
      </c>
      <c r="C30" s="60">
        <v>0</v>
      </c>
      <c r="D30" s="60">
        <v>0</v>
      </c>
      <c r="E30" s="60">
        <v>0</v>
      </c>
      <c r="F30" s="60">
        <v>0</v>
      </c>
      <c r="G30" s="60">
        <v>101</v>
      </c>
      <c r="H30" s="60">
        <v>101</v>
      </c>
      <c r="I30" s="60">
        <v>0</v>
      </c>
      <c r="J30" s="65" t="s">
        <v>62</v>
      </c>
      <c r="K30" s="66" t="s">
        <v>578</v>
      </c>
    </row>
    <row r="31" spans="1:11" ht="12.75" customHeight="1" thickBot="1" x14ac:dyDescent="0.25">
      <c r="A31" s="60">
        <v>0</v>
      </c>
      <c r="B31" s="60">
        <v>0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5" t="s">
        <v>64</v>
      </c>
      <c r="K31" s="74"/>
    </row>
    <row r="32" spans="1:11" ht="12.75" customHeight="1" thickBot="1" x14ac:dyDescent="0.25">
      <c r="A32" s="60">
        <v>8</v>
      </c>
      <c r="B32" s="60">
        <v>8</v>
      </c>
      <c r="C32" s="60">
        <v>0</v>
      </c>
      <c r="D32" s="60">
        <v>0</v>
      </c>
      <c r="E32" s="60">
        <v>0</v>
      </c>
      <c r="F32" s="60">
        <v>0</v>
      </c>
      <c r="G32" s="60">
        <v>8</v>
      </c>
      <c r="H32" s="60">
        <v>8</v>
      </c>
      <c r="I32" s="60">
        <v>0</v>
      </c>
      <c r="J32" s="65" t="s">
        <v>61</v>
      </c>
      <c r="K32" s="66"/>
    </row>
    <row r="33" spans="1:11" ht="12.75" customHeight="1" thickBot="1" x14ac:dyDescent="0.25">
      <c r="A33" s="60">
        <v>2</v>
      </c>
      <c r="B33" s="60">
        <v>2</v>
      </c>
      <c r="C33" s="60">
        <v>0</v>
      </c>
      <c r="D33" s="60">
        <v>0</v>
      </c>
      <c r="E33" s="60">
        <v>0</v>
      </c>
      <c r="F33" s="60">
        <v>0</v>
      </c>
      <c r="G33" s="60">
        <v>2</v>
      </c>
      <c r="H33" s="60">
        <v>2</v>
      </c>
      <c r="I33" s="60">
        <v>0</v>
      </c>
      <c r="J33" s="65" t="s">
        <v>62</v>
      </c>
      <c r="K33" s="66" t="s">
        <v>340</v>
      </c>
    </row>
    <row r="34" spans="1:11" ht="12.75" customHeight="1" thickBot="1" x14ac:dyDescent="0.25">
      <c r="A34" s="60">
        <v>0</v>
      </c>
      <c r="B34" s="60">
        <v>0</v>
      </c>
      <c r="C34" s="60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5" t="s">
        <v>64</v>
      </c>
      <c r="K34" s="74"/>
    </row>
    <row r="35" spans="1:11" ht="12.75" customHeight="1" thickBot="1" x14ac:dyDescent="0.25">
      <c r="A35" s="60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5" t="s">
        <v>61</v>
      </c>
      <c r="K35" s="66"/>
    </row>
    <row r="36" spans="1:11" ht="12.75" customHeight="1" thickBot="1" x14ac:dyDescent="0.25">
      <c r="A36" s="60">
        <v>0</v>
      </c>
      <c r="B36" s="60">
        <v>0</v>
      </c>
      <c r="C36" s="60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5" t="s">
        <v>62</v>
      </c>
      <c r="K36" s="66" t="s">
        <v>239</v>
      </c>
    </row>
    <row r="37" spans="1:11" ht="12.75" customHeight="1" thickBot="1" x14ac:dyDescent="0.25">
      <c r="A37" s="60">
        <v>11</v>
      </c>
      <c r="B37" s="60">
        <v>0</v>
      </c>
      <c r="C37" s="60">
        <v>11</v>
      </c>
      <c r="D37" s="60">
        <v>0</v>
      </c>
      <c r="E37" s="60">
        <v>0</v>
      </c>
      <c r="F37" s="60">
        <v>0</v>
      </c>
      <c r="G37" s="60">
        <v>11</v>
      </c>
      <c r="H37" s="60">
        <v>0</v>
      </c>
      <c r="I37" s="60">
        <v>11</v>
      </c>
      <c r="J37" s="65" t="s">
        <v>64</v>
      </c>
      <c r="K37" s="74"/>
    </row>
    <row r="38" spans="1:11" ht="12.75" customHeight="1" thickBot="1" x14ac:dyDescent="0.25">
      <c r="A38" s="60">
        <v>179</v>
      </c>
      <c r="B38" s="60">
        <v>179</v>
      </c>
      <c r="C38" s="60">
        <v>0</v>
      </c>
      <c r="D38" s="60">
        <v>0</v>
      </c>
      <c r="E38" s="60">
        <v>0</v>
      </c>
      <c r="F38" s="60">
        <v>0</v>
      </c>
      <c r="G38" s="60">
        <v>179</v>
      </c>
      <c r="H38" s="60">
        <v>179</v>
      </c>
      <c r="I38" s="60">
        <v>0</v>
      </c>
      <c r="J38" s="65" t="s">
        <v>61</v>
      </c>
      <c r="K38" s="66"/>
    </row>
    <row r="39" spans="1:11" ht="12.75" customHeight="1" thickBot="1" x14ac:dyDescent="0.25">
      <c r="A39" s="60">
        <v>163</v>
      </c>
      <c r="B39" s="60">
        <v>163</v>
      </c>
      <c r="C39" s="60">
        <v>0</v>
      </c>
      <c r="D39" s="60">
        <v>2</v>
      </c>
      <c r="E39" s="60">
        <v>2</v>
      </c>
      <c r="F39" s="60">
        <v>0</v>
      </c>
      <c r="G39" s="60">
        <v>161</v>
      </c>
      <c r="H39" s="60">
        <v>161</v>
      </c>
      <c r="I39" s="60">
        <v>0</v>
      </c>
      <c r="J39" s="65" t="s">
        <v>62</v>
      </c>
      <c r="K39" s="66" t="s">
        <v>345</v>
      </c>
    </row>
    <row r="40" spans="1:11" ht="12.75" customHeight="1" thickBot="1" x14ac:dyDescent="0.25">
      <c r="A40" s="60">
        <v>0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5" t="s">
        <v>64</v>
      </c>
      <c r="K40" s="74"/>
    </row>
    <row r="41" spans="1:11" ht="12.75" customHeight="1" thickBot="1" x14ac:dyDescent="0.25">
      <c r="A41" s="60">
        <f t="shared" ref="A41:H43" si="0">A5+A8+A11+A14+A17+A20+A23+A26+A29+A32+A35+A38</f>
        <v>398</v>
      </c>
      <c r="B41" s="60">
        <f t="shared" si="0"/>
        <v>255</v>
      </c>
      <c r="C41" s="60">
        <f t="shared" si="0"/>
        <v>143</v>
      </c>
      <c r="D41" s="60">
        <f t="shared" si="0"/>
        <v>10</v>
      </c>
      <c r="E41" s="60">
        <f t="shared" si="0"/>
        <v>4</v>
      </c>
      <c r="F41" s="60">
        <f t="shared" si="0"/>
        <v>6</v>
      </c>
      <c r="G41" s="60">
        <f t="shared" si="0"/>
        <v>388</v>
      </c>
      <c r="H41" s="60">
        <f t="shared" si="0"/>
        <v>251</v>
      </c>
      <c r="I41" s="60">
        <f>I5+I8+I11+I14+I17+I20+I23+I26+I29+I32+I35+I38</f>
        <v>137</v>
      </c>
      <c r="J41" s="65" t="s">
        <v>231</v>
      </c>
      <c r="K41" s="57"/>
    </row>
    <row r="42" spans="1:11" ht="12.75" customHeight="1" thickBot="1" x14ac:dyDescent="0.25">
      <c r="A42" s="60">
        <f t="shared" si="0"/>
        <v>1214</v>
      </c>
      <c r="B42" s="60">
        <f t="shared" si="0"/>
        <v>549</v>
      </c>
      <c r="C42" s="60">
        <f t="shared" si="0"/>
        <v>665</v>
      </c>
      <c r="D42" s="60">
        <f t="shared" si="0"/>
        <v>33</v>
      </c>
      <c r="E42" s="60">
        <f t="shared" si="0"/>
        <v>9</v>
      </c>
      <c r="F42" s="60">
        <f t="shared" si="0"/>
        <v>24</v>
      </c>
      <c r="G42" s="60">
        <f t="shared" si="0"/>
        <v>1181</v>
      </c>
      <c r="H42" s="60">
        <f t="shared" si="0"/>
        <v>540</v>
      </c>
      <c r="I42" s="60">
        <f>I6+I9+I12+I15+I18+I21+I24+I27+I30+I33+I36+I39</f>
        <v>641</v>
      </c>
      <c r="J42" s="65" t="s">
        <v>62</v>
      </c>
      <c r="K42" s="68" t="s">
        <v>232</v>
      </c>
    </row>
    <row r="43" spans="1:11" ht="12.75" customHeight="1" thickBot="1" x14ac:dyDescent="0.25">
      <c r="A43" s="60">
        <f t="shared" si="0"/>
        <v>565</v>
      </c>
      <c r="B43" s="60">
        <f t="shared" si="0"/>
        <v>148</v>
      </c>
      <c r="C43" s="60">
        <f t="shared" si="0"/>
        <v>417</v>
      </c>
      <c r="D43" s="60">
        <f t="shared" si="0"/>
        <v>3</v>
      </c>
      <c r="E43" s="60">
        <f t="shared" si="0"/>
        <v>0</v>
      </c>
      <c r="F43" s="60">
        <f t="shared" si="0"/>
        <v>3</v>
      </c>
      <c r="G43" s="60">
        <f t="shared" si="0"/>
        <v>562</v>
      </c>
      <c r="H43" s="60">
        <f t="shared" si="0"/>
        <v>148</v>
      </c>
      <c r="I43" s="60">
        <f>I7+I10+I13+I16+I19+I22+I25+I28+I31+I34+I37+I40</f>
        <v>414</v>
      </c>
      <c r="J43" s="65" t="s">
        <v>64</v>
      </c>
      <c r="K43" s="59"/>
    </row>
    <row r="44" spans="1:11" ht="12.75" customHeight="1" thickBot="1" x14ac:dyDescent="0.25">
      <c r="A44" s="60">
        <f t="shared" ref="A44:H44" si="1">SUM(A41:A43)</f>
        <v>2177</v>
      </c>
      <c r="B44" s="60">
        <f t="shared" si="1"/>
        <v>952</v>
      </c>
      <c r="C44" s="60">
        <f t="shared" si="1"/>
        <v>1225</v>
      </c>
      <c r="D44" s="60">
        <f t="shared" si="1"/>
        <v>46</v>
      </c>
      <c r="E44" s="60">
        <f t="shared" si="1"/>
        <v>13</v>
      </c>
      <c r="F44" s="60">
        <f t="shared" si="1"/>
        <v>33</v>
      </c>
      <c r="G44" s="60">
        <f t="shared" si="1"/>
        <v>2131</v>
      </c>
      <c r="H44" s="60">
        <f t="shared" si="1"/>
        <v>939</v>
      </c>
      <c r="I44" s="60">
        <f>SUM(I41:I43)</f>
        <v>1192</v>
      </c>
      <c r="J44" s="184" t="s">
        <v>233</v>
      </c>
      <c r="K44" s="184"/>
    </row>
    <row r="46" spans="1:11" ht="12.75" customHeight="1" x14ac:dyDescent="0.2">
      <c r="A46" s="177" t="s">
        <v>576</v>
      </c>
      <c r="B46" s="177"/>
      <c r="C46" s="177"/>
      <c r="D46" s="177"/>
      <c r="E46" s="177"/>
      <c r="F46" s="177"/>
      <c r="G46" s="177"/>
      <c r="H46" s="177"/>
      <c r="I46" s="177"/>
      <c r="J46" s="177"/>
      <c r="K46" s="177"/>
    </row>
    <row r="47" spans="1:11" ht="12.75" customHeight="1" thickBot="1" x14ac:dyDescent="0.25">
      <c r="A47" s="178" t="s">
        <v>577</v>
      </c>
      <c r="B47" s="178"/>
      <c r="C47" s="178"/>
      <c r="D47" s="178"/>
      <c r="E47" s="178"/>
      <c r="F47" s="178"/>
      <c r="G47" s="178"/>
      <c r="H47" s="178"/>
      <c r="I47" s="178"/>
      <c r="J47" s="178"/>
      <c r="K47" s="178"/>
    </row>
    <row r="48" spans="1:11" ht="12.75" customHeight="1" thickBot="1" x14ac:dyDescent="0.25">
      <c r="A48" s="179" t="s">
        <v>5</v>
      </c>
      <c r="B48" s="179"/>
      <c r="C48" s="179"/>
      <c r="D48" s="179" t="s">
        <v>162</v>
      </c>
      <c r="E48" s="179"/>
      <c r="F48" s="179"/>
      <c r="G48" s="179" t="s">
        <v>163</v>
      </c>
      <c r="H48" s="179"/>
      <c r="I48" s="179"/>
      <c r="J48" s="179" t="s">
        <v>72</v>
      </c>
      <c r="K48" s="179"/>
    </row>
    <row r="49" spans="1:11" ht="12.75" customHeight="1" thickBot="1" x14ac:dyDescent="0.25">
      <c r="A49" s="58" t="s">
        <v>216</v>
      </c>
      <c r="B49" s="58" t="s">
        <v>11</v>
      </c>
      <c r="C49" s="58" t="s">
        <v>10</v>
      </c>
      <c r="D49" s="58" t="s">
        <v>216</v>
      </c>
      <c r="E49" s="58" t="s">
        <v>11</v>
      </c>
      <c r="F49" s="58" t="s">
        <v>10</v>
      </c>
      <c r="G49" s="58" t="s">
        <v>216</v>
      </c>
      <c r="H49" s="58" t="s">
        <v>11</v>
      </c>
      <c r="I49" s="58" t="s">
        <v>10</v>
      </c>
      <c r="J49" s="180" t="s">
        <v>164</v>
      </c>
      <c r="K49" s="180"/>
    </row>
    <row r="50" spans="1:11" ht="12.75" customHeight="1" thickBot="1" x14ac:dyDescent="0.25">
      <c r="A50" s="60">
        <f t="shared" ref="A50:C64" si="2">G50+D50</f>
        <v>29</v>
      </c>
      <c r="B50" s="60">
        <f t="shared" si="2"/>
        <v>0</v>
      </c>
      <c r="C50" s="60">
        <f>I50+F50</f>
        <v>29</v>
      </c>
      <c r="D50" s="60">
        <f>F50+E50</f>
        <v>18</v>
      </c>
      <c r="E50" s="60">
        <v>0</v>
      </c>
      <c r="F50" s="60">
        <v>18</v>
      </c>
      <c r="G50" s="60">
        <f>I50+H50</f>
        <v>11</v>
      </c>
      <c r="H50" s="60">
        <v>0</v>
      </c>
      <c r="I50" s="60">
        <f>11</f>
        <v>11</v>
      </c>
      <c r="J50" s="65" t="s">
        <v>61</v>
      </c>
      <c r="K50" s="66"/>
    </row>
    <row r="51" spans="1:11" ht="12.75" customHeight="1" thickBot="1" x14ac:dyDescent="0.25">
      <c r="A51" s="60">
        <f t="shared" si="2"/>
        <v>39</v>
      </c>
      <c r="B51" s="60">
        <f t="shared" si="2"/>
        <v>0</v>
      </c>
      <c r="C51" s="60">
        <f t="shared" si="2"/>
        <v>39</v>
      </c>
      <c r="D51" s="60">
        <f t="shared" ref="D51:D64" si="3">F51+E51</f>
        <v>26</v>
      </c>
      <c r="E51" s="60">
        <v>0</v>
      </c>
      <c r="F51" s="60">
        <v>26</v>
      </c>
      <c r="G51" s="60">
        <f t="shared" ref="G51:G64" si="4">I51+H51</f>
        <v>13</v>
      </c>
      <c r="H51" s="60">
        <v>0</v>
      </c>
      <c r="I51" s="60">
        <v>13</v>
      </c>
      <c r="J51" s="65" t="s">
        <v>62</v>
      </c>
      <c r="K51" s="66" t="s">
        <v>346</v>
      </c>
    </row>
    <row r="52" spans="1:11" ht="12.75" customHeight="1" thickBot="1" x14ac:dyDescent="0.25">
      <c r="A52" s="60">
        <f t="shared" si="2"/>
        <v>0</v>
      </c>
      <c r="B52" s="60">
        <f t="shared" si="2"/>
        <v>0</v>
      </c>
      <c r="C52" s="60">
        <f t="shared" si="2"/>
        <v>0</v>
      </c>
      <c r="D52" s="60">
        <f t="shared" si="3"/>
        <v>0</v>
      </c>
      <c r="E52" s="60">
        <v>0</v>
      </c>
      <c r="F52" s="60">
        <v>0</v>
      </c>
      <c r="G52" s="60">
        <f t="shared" si="4"/>
        <v>0</v>
      </c>
      <c r="H52" s="60">
        <v>0</v>
      </c>
      <c r="I52" s="60">
        <v>0</v>
      </c>
      <c r="J52" s="65" t="s">
        <v>64</v>
      </c>
      <c r="K52" s="74"/>
    </row>
    <row r="53" spans="1:11" ht="12.75" customHeight="1" thickBot="1" x14ac:dyDescent="0.25">
      <c r="A53" s="60">
        <f t="shared" si="2"/>
        <v>30</v>
      </c>
      <c r="B53" s="60">
        <f t="shared" si="2"/>
        <v>0</v>
      </c>
      <c r="C53" s="60">
        <f t="shared" si="2"/>
        <v>30</v>
      </c>
      <c r="D53" s="60">
        <f t="shared" si="3"/>
        <v>16</v>
      </c>
      <c r="E53" s="60">
        <v>0</v>
      </c>
      <c r="F53" s="60">
        <v>16</v>
      </c>
      <c r="G53" s="60">
        <f t="shared" si="4"/>
        <v>14</v>
      </c>
      <c r="H53" s="60">
        <v>0</v>
      </c>
      <c r="I53" s="60">
        <v>14</v>
      </c>
      <c r="J53" s="65" t="s">
        <v>61</v>
      </c>
      <c r="K53" s="66"/>
    </row>
    <row r="54" spans="1:11" ht="12.75" customHeight="1" thickBot="1" x14ac:dyDescent="0.25">
      <c r="A54" s="60">
        <f t="shared" si="2"/>
        <v>67</v>
      </c>
      <c r="B54" s="60">
        <f t="shared" si="2"/>
        <v>0</v>
      </c>
      <c r="C54" s="60">
        <f t="shared" si="2"/>
        <v>67</v>
      </c>
      <c r="D54" s="60">
        <f t="shared" si="3"/>
        <v>35</v>
      </c>
      <c r="E54" s="60">
        <v>0</v>
      </c>
      <c r="F54" s="60">
        <v>35</v>
      </c>
      <c r="G54" s="60">
        <f t="shared" si="4"/>
        <v>32</v>
      </c>
      <c r="H54" s="60">
        <v>0</v>
      </c>
      <c r="I54" s="60">
        <f>22+10</f>
        <v>32</v>
      </c>
      <c r="J54" s="65" t="s">
        <v>62</v>
      </c>
      <c r="K54" s="66" t="s">
        <v>347</v>
      </c>
    </row>
    <row r="55" spans="1:11" ht="12.75" customHeight="1" thickBot="1" x14ac:dyDescent="0.25">
      <c r="A55" s="60">
        <f t="shared" si="2"/>
        <v>0</v>
      </c>
      <c r="B55" s="60">
        <f t="shared" si="2"/>
        <v>0</v>
      </c>
      <c r="C55" s="60">
        <f t="shared" si="2"/>
        <v>0</v>
      </c>
      <c r="D55" s="60">
        <f t="shared" si="3"/>
        <v>0</v>
      </c>
      <c r="E55" s="60">
        <v>0</v>
      </c>
      <c r="F55" s="60">
        <v>0</v>
      </c>
      <c r="G55" s="60">
        <f t="shared" si="4"/>
        <v>0</v>
      </c>
      <c r="H55" s="60">
        <v>0</v>
      </c>
      <c r="I55" s="60">
        <v>0</v>
      </c>
      <c r="J55" s="65" t="s">
        <v>64</v>
      </c>
      <c r="K55" s="74"/>
    </row>
    <row r="56" spans="1:11" ht="12.75" customHeight="1" thickBot="1" x14ac:dyDescent="0.25">
      <c r="A56" s="60">
        <f t="shared" si="2"/>
        <v>39</v>
      </c>
      <c r="B56" s="60">
        <f t="shared" si="2"/>
        <v>0</v>
      </c>
      <c r="C56" s="60">
        <f t="shared" si="2"/>
        <v>39</v>
      </c>
      <c r="D56" s="60">
        <f t="shared" si="3"/>
        <v>12</v>
      </c>
      <c r="E56" s="60">
        <v>0</v>
      </c>
      <c r="F56" s="60">
        <v>12</v>
      </c>
      <c r="G56" s="60">
        <f t="shared" si="4"/>
        <v>27</v>
      </c>
      <c r="H56" s="60">
        <v>0</v>
      </c>
      <c r="I56" s="60">
        <v>27</v>
      </c>
      <c r="J56" s="65" t="s">
        <v>61</v>
      </c>
      <c r="K56" s="66"/>
    </row>
    <row r="57" spans="1:11" ht="12.75" customHeight="1" thickBot="1" x14ac:dyDescent="0.25">
      <c r="A57" s="60">
        <f t="shared" si="2"/>
        <v>116</v>
      </c>
      <c r="B57" s="60">
        <f t="shared" si="2"/>
        <v>0</v>
      </c>
      <c r="C57" s="60">
        <f t="shared" si="2"/>
        <v>116</v>
      </c>
      <c r="D57" s="60">
        <f t="shared" si="3"/>
        <v>31</v>
      </c>
      <c r="E57" s="60">
        <v>0</v>
      </c>
      <c r="F57" s="60">
        <v>31</v>
      </c>
      <c r="G57" s="60">
        <f t="shared" si="4"/>
        <v>85</v>
      </c>
      <c r="H57" s="60">
        <v>0</v>
      </c>
      <c r="I57" s="60">
        <f>65+20</f>
        <v>85</v>
      </c>
      <c r="J57" s="65" t="s">
        <v>62</v>
      </c>
      <c r="K57" s="66" t="s">
        <v>348</v>
      </c>
    </row>
    <row r="58" spans="1:11" ht="12.75" customHeight="1" thickBot="1" x14ac:dyDescent="0.25">
      <c r="A58" s="60">
        <f t="shared" si="2"/>
        <v>22</v>
      </c>
      <c r="B58" s="60">
        <f t="shared" si="2"/>
        <v>0</v>
      </c>
      <c r="C58" s="60">
        <f t="shared" si="2"/>
        <v>22</v>
      </c>
      <c r="D58" s="60">
        <f t="shared" si="3"/>
        <v>22</v>
      </c>
      <c r="E58" s="60">
        <v>0</v>
      </c>
      <c r="F58" s="60">
        <v>22</v>
      </c>
      <c r="G58" s="60">
        <f t="shared" si="4"/>
        <v>0</v>
      </c>
      <c r="H58" s="60">
        <v>0</v>
      </c>
      <c r="I58" s="60">
        <v>0</v>
      </c>
      <c r="J58" s="65" t="s">
        <v>64</v>
      </c>
      <c r="K58" s="74"/>
    </row>
    <row r="59" spans="1:11" ht="12.75" customHeight="1" thickBot="1" x14ac:dyDescent="0.25">
      <c r="A59" s="60">
        <f t="shared" si="2"/>
        <v>29</v>
      </c>
      <c r="B59" s="60">
        <f t="shared" si="2"/>
        <v>0</v>
      </c>
      <c r="C59" s="60">
        <f t="shared" si="2"/>
        <v>29</v>
      </c>
      <c r="D59" s="60">
        <f t="shared" si="3"/>
        <v>9</v>
      </c>
      <c r="E59" s="60">
        <v>0</v>
      </c>
      <c r="F59" s="60">
        <v>9</v>
      </c>
      <c r="G59" s="60">
        <f t="shared" si="4"/>
        <v>20</v>
      </c>
      <c r="H59" s="60">
        <v>0</v>
      </c>
      <c r="I59" s="60">
        <v>20</v>
      </c>
      <c r="J59" s="65" t="s">
        <v>61</v>
      </c>
      <c r="K59" s="66"/>
    </row>
    <row r="60" spans="1:11" ht="12.75" customHeight="1" thickBot="1" x14ac:dyDescent="0.25">
      <c r="A60" s="60">
        <f t="shared" si="2"/>
        <v>60</v>
      </c>
      <c r="B60" s="60">
        <f t="shared" si="2"/>
        <v>0</v>
      </c>
      <c r="C60" s="60">
        <f t="shared" si="2"/>
        <v>60</v>
      </c>
      <c r="D60" s="60">
        <f t="shared" si="3"/>
        <v>19</v>
      </c>
      <c r="E60" s="60">
        <v>0</v>
      </c>
      <c r="F60" s="60">
        <v>19</v>
      </c>
      <c r="G60" s="60">
        <f t="shared" si="4"/>
        <v>41</v>
      </c>
      <c r="H60" s="60">
        <v>0</v>
      </c>
      <c r="I60" s="60">
        <f>31+10</f>
        <v>41</v>
      </c>
      <c r="J60" s="65" t="s">
        <v>62</v>
      </c>
      <c r="K60" s="66" t="s">
        <v>349</v>
      </c>
    </row>
    <row r="61" spans="1:11" ht="12.75" customHeight="1" thickBot="1" x14ac:dyDescent="0.25">
      <c r="A61" s="60">
        <f t="shared" si="2"/>
        <v>26</v>
      </c>
      <c r="B61" s="60">
        <f t="shared" si="2"/>
        <v>0</v>
      </c>
      <c r="C61" s="60">
        <f t="shared" si="2"/>
        <v>26</v>
      </c>
      <c r="D61" s="60">
        <f t="shared" si="3"/>
        <v>26</v>
      </c>
      <c r="E61" s="60">
        <v>0</v>
      </c>
      <c r="F61" s="60">
        <v>26</v>
      </c>
      <c r="G61" s="60">
        <f t="shared" si="4"/>
        <v>0</v>
      </c>
      <c r="H61" s="60">
        <v>0</v>
      </c>
      <c r="I61" s="60">
        <v>0</v>
      </c>
      <c r="J61" s="65" t="s">
        <v>64</v>
      </c>
      <c r="K61" s="74"/>
    </row>
    <row r="62" spans="1:11" ht="12.75" customHeight="1" thickBot="1" x14ac:dyDescent="0.25">
      <c r="A62" s="60">
        <f t="shared" si="2"/>
        <v>37</v>
      </c>
      <c r="B62" s="60">
        <f t="shared" si="2"/>
        <v>0</v>
      </c>
      <c r="C62" s="60">
        <f t="shared" si="2"/>
        <v>37</v>
      </c>
      <c r="D62" s="60">
        <f t="shared" si="3"/>
        <v>15</v>
      </c>
      <c r="E62" s="60">
        <v>0</v>
      </c>
      <c r="F62" s="60">
        <v>15</v>
      </c>
      <c r="G62" s="60">
        <f t="shared" si="4"/>
        <v>22</v>
      </c>
      <c r="H62" s="60">
        <v>0</v>
      </c>
      <c r="I62" s="60">
        <v>22</v>
      </c>
      <c r="J62" s="65" t="s">
        <v>61</v>
      </c>
      <c r="K62" s="66"/>
    </row>
    <row r="63" spans="1:11" ht="12.75" customHeight="1" thickBot="1" x14ac:dyDescent="0.25">
      <c r="A63" s="60">
        <f t="shared" si="2"/>
        <v>50</v>
      </c>
      <c r="B63" s="60">
        <f t="shared" si="2"/>
        <v>0</v>
      </c>
      <c r="C63" s="60">
        <f t="shared" si="2"/>
        <v>50</v>
      </c>
      <c r="D63" s="60">
        <f t="shared" si="3"/>
        <v>24</v>
      </c>
      <c r="E63" s="60">
        <v>0</v>
      </c>
      <c r="F63" s="60">
        <v>24</v>
      </c>
      <c r="G63" s="60">
        <f t="shared" si="4"/>
        <v>26</v>
      </c>
      <c r="H63" s="60">
        <v>0</v>
      </c>
      <c r="I63" s="60">
        <v>26</v>
      </c>
      <c r="J63" s="65" t="s">
        <v>62</v>
      </c>
      <c r="K63" s="66" t="s">
        <v>350</v>
      </c>
    </row>
    <row r="64" spans="1:11" ht="12.75" customHeight="1" thickBot="1" x14ac:dyDescent="0.25">
      <c r="A64" s="60">
        <f t="shared" si="2"/>
        <v>25</v>
      </c>
      <c r="B64" s="60">
        <f t="shared" si="2"/>
        <v>0</v>
      </c>
      <c r="C64" s="60">
        <f t="shared" si="2"/>
        <v>25</v>
      </c>
      <c r="D64" s="60">
        <f t="shared" si="3"/>
        <v>25</v>
      </c>
      <c r="E64" s="60">
        <v>0</v>
      </c>
      <c r="F64" s="60">
        <v>25</v>
      </c>
      <c r="G64" s="60">
        <f t="shared" si="4"/>
        <v>0</v>
      </c>
      <c r="H64" s="60">
        <v>0</v>
      </c>
      <c r="I64" s="60">
        <v>0</v>
      </c>
      <c r="J64" s="65" t="s">
        <v>64</v>
      </c>
      <c r="K64" s="74"/>
    </row>
    <row r="65" spans="1:11" ht="12.75" customHeight="1" thickBot="1" x14ac:dyDescent="0.25">
      <c r="A65" s="60">
        <f t="shared" ref="A65:H67" si="5">A50+A53+A56+A59+A62</f>
        <v>164</v>
      </c>
      <c r="B65" s="60">
        <f t="shared" si="5"/>
        <v>0</v>
      </c>
      <c r="C65" s="60">
        <f t="shared" si="5"/>
        <v>164</v>
      </c>
      <c r="D65" s="60">
        <f t="shared" si="5"/>
        <v>70</v>
      </c>
      <c r="E65" s="60">
        <f t="shared" si="5"/>
        <v>0</v>
      </c>
      <c r="F65" s="60">
        <f t="shared" si="5"/>
        <v>70</v>
      </c>
      <c r="G65" s="60">
        <f t="shared" si="5"/>
        <v>94</v>
      </c>
      <c r="H65" s="60">
        <f t="shared" si="5"/>
        <v>0</v>
      </c>
      <c r="I65" s="60">
        <f>I50+I53+I56+I59+I62</f>
        <v>94</v>
      </c>
      <c r="J65" s="65" t="s">
        <v>231</v>
      </c>
      <c r="K65" s="57"/>
    </row>
    <row r="66" spans="1:11" ht="12.75" customHeight="1" thickBot="1" x14ac:dyDescent="0.25">
      <c r="A66" s="60">
        <f t="shared" si="5"/>
        <v>332</v>
      </c>
      <c r="B66" s="60">
        <f t="shared" si="5"/>
        <v>0</v>
      </c>
      <c r="C66" s="60">
        <f t="shared" si="5"/>
        <v>332</v>
      </c>
      <c r="D66" s="60">
        <f t="shared" si="5"/>
        <v>135</v>
      </c>
      <c r="E66" s="60">
        <f t="shared" si="5"/>
        <v>0</v>
      </c>
      <c r="F66" s="60">
        <f t="shared" si="5"/>
        <v>135</v>
      </c>
      <c r="G66" s="60">
        <f t="shared" si="5"/>
        <v>197</v>
      </c>
      <c r="H66" s="60">
        <f t="shared" si="5"/>
        <v>0</v>
      </c>
      <c r="I66" s="60">
        <f>I51+I54+I57+I60+I63</f>
        <v>197</v>
      </c>
      <c r="J66" s="65" t="s">
        <v>62</v>
      </c>
      <c r="K66" s="68" t="s">
        <v>232</v>
      </c>
    </row>
    <row r="67" spans="1:11" ht="12.75" customHeight="1" thickBot="1" x14ac:dyDescent="0.25">
      <c r="A67" s="60">
        <f t="shared" si="5"/>
        <v>73</v>
      </c>
      <c r="B67" s="60">
        <f t="shared" si="5"/>
        <v>0</v>
      </c>
      <c r="C67" s="60">
        <f t="shared" si="5"/>
        <v>73</v>
      </c>
      <c r="D67" s="60">
        <f t="shared" si="5"/>
        <v>73</v>
      </c>
      <c r="E67" s="60">
        <f t="shared" si="5"/>
        <v>0</v>
      </c>
      <c r="F67" s="60">
        <f t="shared" si="5"/>
        <v>73</v>
      </c>
      <c r="G67" s="60">
        <f t="shared" si="5"/>
        <v>0</v>
      </c>
      <c r="H67" s="60">
        <f t="shared" si="5"/>
        <v>0</v>
      </c>
      <c r="I67" s="60">
        <f>I52+I55+I58+I61+I64</f>
        <v>0</v>
      </c>
      <c r="J67" s="65" t="s">
        <v>64</v>
      </c>
      <c r="K67" s="59"/>
    </row>
    <row r="68" spans="1:11" ht="12.75" customHeight="1" thickBot="1" x14ac:dyDescent="0.25">
      <c r="A68" s="60">
        <f t="shared" ref="A68:I68" si="6">SUM(A65:A67)</f>
        <v>569</v>
      </c>
      <c r="B68" s="60">
        <f t="shared" si="6"/>
        <v>0</v>
      </c>
      <c r="C68" s="60">
        <f t="shared" si="6"/>
        <v>569</v>
      </c>
      <c r="D68" s="60">
        <f t="shared" si="6"/>
        <v>278</v>
      </c>
      <c r="E68" s="60">
        <f t="shared" si="6"/>
        <v>0</v>
      </c>
      <c r="F68" s="60">
        <f t="shared" si="6"/>
        <v>278</v>
      </c>
      <c r="G68" s="60">
        <f t="shared" si="6"/>
        <v>291</v>
      </c>
      <c r="H68" s="60">
        <f t="shared" si="6"/>
        <v>0</v>
      </c>
      <c r="I68" s="60">
        <f t="shared" si="6"/>
        <v>291</v>
      </c>
      <c r="J68" s="184" t="s">
        <v>233</v>
      </c>
      <c r="K68" s="184"/>
    </row>
    <row r="70" spans="1:11" ht="12.75" customHeight="1" x14ac:dyDescent="0.2">
      <c r="A70" s="177" t="s">
        <v>576</v>
      </c>
      <c r="B70" s="177"/>
      <c r="C70" s="177"/>
      <c r="D70" s="177"/>
      <c r="E70" s="177"/>
      <c r="F70" s="177"/>
      <c r="G70" s="177"/>
      <c r="H70" s="177"/>
      <c r="I70" s="177"/>
      <c r="J70" s="177"/>
      <c r="K70" s="177"/>
    </row>
    <row r="71" spans="1:11" ht="12.75" customHeight="1" thickBot="1" x14ac:dyDescent="0.25">
      <c r="A71" s="178" t="s">
        <v>577</v>
      </c>
      <c r="B71" s="178"/>
      <c r="C71" s="178"/>
      <c r="D71" s="178"/>
      <c r="E71" s="178"/>
      <c r="F71" s="178"/>
      <c r="G71" s="178"/>
      <c r="H71" s="178"/>
      <c r="I71" s="178"/>
      <c r="J71" s="178"/>
      <c r="K71" s="178"/>
    </row>
    <row r="72" spans="1:11" ht="12.75" customHeight="1" thickBot="1" x14ac:dyDescent="0.25">
      <c r="A72" s="179" t="s">
        <v>5</v>
      </c>
      <c r="B72" s="179"/>
      <c r="C72" s="179"/>
      <c r="D72" s="179" t="s">
        <v>162</v>
      </c>
      <c r="E72" s="179"/>
      <c r="F72" s="179"/>
      <c r="G72" s="179" t="s">
        <v>163</v>
      </c>
      <c r="H72" s="179"/>
      <c r="I72" s="179"/>
      <c r="J72" s="179" t="s">
        <v>72</v>
      </c>
      <c r="K72" s="179"/>
    </row>
    <row r="73" spans="1:11" ht="12.75" customHeight="1" thickBot="1" x14ac:dyDescent="0.25">
      <c r="A73" s="58" t="s">
        <v>216</v>
      </c>
      <c r="B73" s="58" t="s">
        <v>11</v>
      </c>
      <c r="C73" s="58" t="s">
        <v>10</v>
      </c>
      <c r="D73" s="58" t="s">
        <v>216</v>
      </c>
      <c r="E73" s="58" t="s">
        <v>11</v>
      </c>
      <c r="F73" s="58" t="s">
        <v>10</v>
      </c>
      <c r="G73" s="58" t="s">
        <v>216</v>
      </c>
      <c r="H73" s="58" t="s">
        <v>11</v>
      </c>
      <c r="I73" s="58" t="s">
        <v>10</v>
      </c>
      <c r="J73" s="180" t="s">
        <v>76</v>
      </c>
      <c r="K73" s="180"/>
    </row>
    <row r="74" spans="1:11" ht="12.75" customHeight="1" thickBot="1" x14ac:dyDescent="0.25">
      <c r="A74" s="60">
        <f t="shared" ref="A74:C89" si="7">G74+D74</f>
        <v>5</v>
      </c>
      <c r="B74" s="60">
        <f t="shared" si="7"/>
        <v>4</v>
      </c>
      <c r="C74" s="60">
        <f>I74+F74</f>
        <v>1</v>
      </c>
      <c r="D74" s="60">
        <f>F74+E74</f>
        <v>0</v>
      </c>
      <c r="E74" s="60">
        <v>0</v>
      </c>
      <c r="F74" s="60">
        <v>0</v>
      </c>
      <c r="G74" s="60">
        <f>I74+H74</f>
        <v>5</v>
      </c>
      <c r="H74" s="60">
        <v>4</v>
      </c>
      <c r="I74" s="60">
        <v>1</v>
      </c>
      <c r="J74" s="65" t="s">
        <v>61</v>
      </c>
      <c r="K74" s="66"/>
    </row>
    <row r="75" spans="1:11" ht="12.75" customHeight="1" thickBot="1" x14ac:dyDescent="0.25">
      <c r="A75" s="60">
        <f t="shared" si="7"/>
        <v>108</v>
      </c>
      <c r="B75" s="60">
        <f t="shared" si="7"/>
        <v>79</v>
      </c>
      <c r="C75" s="60">
        <f t="shared" si="7"/>
        <v>29</v>
      </c>
      <c r="D75" s="60">
        <f t="shared" ref="D75:D100" si="8">F75+E75</f>
        <v>2</v>
      </c>
      <c r="E75" s="60">
        <v>0</v>
      </c>
      <c r="F75" s="60">
        <v>2</v>
      </c>
      <c r="G75" s="60">
        <f t="shared" ref="G75:G100" si="9">I75+H75</f>
        <v>106</v>
      </c>
      <c r="H75" s="60">
        <v>79</v>
      </c>
      <c r="I75" s="60">
        <v>27</v>
      </c>
      <c r="J75" s="65" t="s">
        <v>62</v>
      </c>
      <c r="K75" s="66" t="s">
        <v>352</v>
      </c>
    </row>
    <row r="76" spans="1:11" ht="12.75" customHeight="1" thickBot="1" x14ac:dyDescent="0.25">
      <c r="A76" s="60">
        <f t="shared" si="7"/>
        <v>0</v>
      </c>
      <c r="B76" s="60">
        <f t="shared" si="7"/>
        <v>0</v>
      </c>
      <c r="C76" s="60">
        <f t="shared" si="7"/>
        <v>0</v>
      </c>
      <c r="D76" s="60">
        <f t="shared" si="8"/>
        <v>0</v>
      </c>
      <c r="E76" s="60">
        <v>0</v>
      </c>
      <c r="F76" s="60">
        <v>0</v>
      </c>
      <c r="G76" s="60">
        <f t="shared" si="9"/>
        <v>0</v>
      </c>
      <c r="H76" s="60">
        <v>0</v>
      </c>
      <c r="I76" s="60">
        <v>0</v>
      </c>
      <c r="J76" s="65" t="s">
        <v>64</v>
      </c>
      <c r="K76" s="74"/>
    </row>
    <row r="77" spans="1:11" ht="12.75" customHeight="1" thickBot="1" x14ac:dyDescent="0.25">
      <c r="A77" s="60">
        <f t="shared" si="7"/>
        <v>24</v>
      </c>
      <c r="B77" s="60">
        <f t="shared" si="7"/>
        <v>5</v>
      </c>
      <c r="C77" s="60">
        <f t="shared" si="7"/>
        <v>19</v>
      </c>
      <c r="D77" s="60">
        <f t="shared" si="8"/>
        <v>6</v>
      </c>
      <c r="E77" s="60">
        <v>0</v>
      </c>
      <c r="F77" s="60">
        <v>6</v>
      </c>
      <c r="G77" s="60">
        <f t="shared" si="9"/>
        <v>18</v>
      </c>
      <c r="H77" s="60">
        <v>5</v>
      </c>
      <c r="I77" s="60">
        <v>13</v>
      </c>
      <c r="J77" s="65" t="s">
        <v>61</v>
      </c>
      <c r="K77" s="66"/>
    </row>
    <row r="78" spans="1:11" ht="12.75" customHeight="1" thickBot="1" x14ac:dyDescent="0.25">
      <c r="A78" s="60">
        <f t="shared" si="7"/>
        <v>113</v>
      </c>
      <c r="B78" s="60">
        <f t="shared" si="7"/>
        <v>60</v>
      </c>
      <c r="C78" s="60">
        <f t="shared" si="7"/>
        <v>53</v>
      </c>
      <c r="D78" s="60">
        <f t="shared" si="8"/>
        <v>8</v>
      </c>
      <c r="E78" s="60">
        <v>0</v>
      </c>
      <c r="F78" s="60">
        <v>8</v>
      </c>
      <c r="G78" s="60">
        <f t="shared" si="9"/>
        <v>105</v>
      </c>
      <c r="H78" s="60">
        <v>60</v>
      </c>
      <c r="I78" s="60">
        <v>45</v>
      </c>
      <c r="J78" s="65" t="s">
        <v>62</v>
      </c>
      <c r="K78" s="66" t="s">
        <v>353</v>
      </c>
    </row>
    <row r="79" spans="1:11" ht="12.75" customHeight="1" thickBot="1" x14ac:dyDescent="0.25">
      <c r="A79" s="60">
        <f t="shared" si="7"/>
        <v>0</v>
      </c>
      <c r="B79" s="60">
        <f t="shared" si="7"/>
        <v>0</v>
      </c>
      <c r="C79" s="60">
        <f t="shared" si="7"/>
        <v>0</v>
      </c>
      <c r="D79" s="60">
        <f t="shared" si="8"/>
        <v>0</v>
      </c>
      <c r="E79" s="60">
        <v>0</v>
      </c>
      <c r="F79" s="60">
        <v>0</v>
      </c>
      <c r="G79" s="60">
        <f t="shared" si="9"/>
        <v>0</v>
      </c>
      <c r="H79" s="60">
        <v>0</v>
      </c>
      <c r="I79" s="60">
        <v>0</v>
      </c>
      <c r="J79" s="65" t="s">
        <v>64</v>
      </c>
      <c r="K79" s="74"/>
    </row>
    <row r="80" spans="1:11" ht="12.75" customHeight="1" thickBot="1" x14ac:dyDescent="0.25">
      <c r="A80" s="60">
        <f t="shared" si="7"/>
        <v>105</v>
      </c>
      <c r="B80" s="60">
        <f t="shared" si="7"/>
        <v>0</v>
      </c>
      <c r="C80" s="60">
        <f t="shared" si="7"/>
        <v>105</v>
      </c>
      <c r="D80" s="60">
        <f t="shared" si="8"/>
        <v>1</v>
      </c>
      <c r="E80" s="60">
        <v>0</v>
      </c>
      <c r="F80" s="60">
        <v>1</v>
      </c>
      <c r="G80" s="60">
        <f t="shared" si="9"/>
        <v>104</v>
      </c>
      <c r="H80" s="60">
        <v>0</v>
      </c>
      <c r="I80" s="60">
        <v>104</v>
      </c>
      <c r="J80" s="65" t="s">
        <v>61</v>
      </c>
      <c r="K80" s="66"/>
    </row>
    <row r="81" spans="1:11" ht="12.75" customHeight="1" thickBot="1" x14ac:dyDescent="0.25">
      <c r="A81" s="60">
        <f t="shared" si="7"/>
        <v>250</v>
      </c>
      <c r="B81" s="60">
        <f t="shared" si="7"/>
        <v>0</v>
      </c>
      <c r="C81" s="60">
        <f t="shared" si="7"/>
        <v>250</v>
      </c>
      <c r="D81" s="60">
        <f t="shared" si="8"/>
        <v>3</v>
      </c>
      <c r="E81" s="60">
        <v>0</v>
      </c>
      <c r="F81" s="60">
        <v>3</v>
      </c>
      <c r="G81" s="60">
        <f t="shared" si="9"/>
        <v>247</v>
      </c>
      <c r="H81" s="60">
        <v>0</v>
      </c>
      <c r="I81" s="60">
        <v>247</v>
      </c>
      <c r="J81" s="65" t="s">
        <v>62</v>
      </c>
      <c r="K81" s="66" t="s">
        <v>534</v>
      </c>
    </row>
    <row r="82" spans="1:11" ht="12.75" customHeight="1" thickBot="1" x14ac:dyDescent="0.25">
      <c r="A82" s="60">
        <f t="shared" si="7"/>
        <v>0</v>
      </c>
      <c r="B82" s="60">
        <f t="shared" si="7"/>
        <v>0</v>
      </c>
      <c r="C82" s="60">
        <f t="shared" si="7"/>
        <v>0</v>
      </c>
      <c r="D82" s="60">
        <f t="shared" si="8"/>
        <v>0</v>
      </c>
      <c r="E82" s="60">
        <v>0</v>
      </c>
      <c r="F82" s="60">
        <v>0</v>
      </c>
      <c r="G82" s="60">
        <f t="shared" si="9"/>
        <v>0</v>
      </c>
      <c r="H82" s="60">
        <v>0</v>
      </c>
      <c r="I82" s="60">
        <v>0</v>
      </c>
      <c r="J82" s="65" t="s">
        <v>64</v>
      </c>
      <c r="K82" s="74"/>
    </row>
    <row r="83" spans="1:11" ht="12.75" customHeight="1" thickBot="1" x14ac:dyDescent="0.25">
      <c r="A83" s="60">
        <f t="shared" si="7"/>
        <v>0</v>
      </c>
      <c r="B83" s="60">
        <f t="shared" si="7"/>
        <v>0</v>
      </c>
      <c r="C83" s="60">
        <f t="shared" si="7"/>
        <v>0</v>
      </c>
      <c r="D83" s="60">
        <f t="shared" si="8"/>
        <v>0</v>
      </c>
      <c r="E83" s="60">
        <v>0</v>
      </c>
      <c r="F83" s="60">
        <v>0</v>
      </c>
      <c r="G83" s="60">
        <f t="shared" si="9"/>
        <v>0</v>
      </c>
      <c r="H83" s="60">
        <v>0</v>
      </c>
      <c r="I83" s="60">
        <v>0</v>
      </c>
      <c r="J83" s="65" t="s">
        <v>61</v>
      </c>
      <c r="K83" s="66"/>
    </row>
    <row r="84" spans="1:11" ht="12.75" customHeight="1" thickBot="1" x14ac:dyDescent="0.25">
      <c r="A84" s="60">
        <f t="shared" si="7"/>
        <v>75</v>
      </c>
      <c r="B84" s="60">
        <f t="shared" si="7"/>
        <v>55</v>
      </c>
      <c r="C84" s="60">
        <f t="shared" si="7"/>
        <v>20</v>
      </c>
      <c r="D84" s="60">
        <f t="shared" si="8"/>
        <v>0</v>
      </c>
      <c r="E84" s="60">
        <v>0</v>
      </c>
      <c r="F84" s="60">
        <v>0</v>
      </c>
      <c r="G84" s="60">
        <f t="shared" si="9"/>
        <v>75</v>
      </c>
      <c r="H84" s="60">
        <f>75-20</f>
        <v>55</v>
      </c>
      <c r="I84" s="60">
        <v>20</v>
      </c>
      <c r="J84" s="65" t="s">
        <v>62</v>
      </c>
      <c r="K84" s="66" t="s">
        <v>354</v>
      </c>
    </row>
    <row r="85" spans="1:11" ht="12.75" customHeight="1" thickBot="1" x14ac:dyDescent="0.25">
      <c r="A85" s="60">
        <f t="shared" si="7"/>
        <v>0</v>
      </c>
      <c r="B85" s="60">
        <f t="shared" si="7"/>
        <v>0</v>
      </c>
      <c r="C85" s="60">
        <f t="shared" si="7"/>
        <v>0</v>
      </c>
      <c r="D85" s="60">
        <f t="shared" si="8"/>
        <v>0</v>
      </c>
      <c r="E85" s="60">
        <v>0</v>
      </c>
      <c r="F85" s="60">
        <v>0</v>
      </c>
      <c r="G85" s="60">
        <f t="shared" si="9"/>
        <v>0</v>
      </c>
      <c r="H85" s="60">
        <v>0</v>
      </c>
      <c r="I85" s="60">
        <v>0</v>
      </c>
      <c r="J85" s="65" t="s">
        <v>64</v>
      </c>
      <c r="K85" s="74"/>
    </row>
    <row r="86" spans="1:11" ht="12.75" customHeight="1" thickBot="1" x14ac:dyDescent="0.25">
      <c r="A86" s="60">
        <f t="shared" si="7"/>
        <v>0</v>
      </c>
      <c r="B86" s="60">
        <f t="shared" si="7"/>
        <v>0</v>
      </c>
      <c r="C86" s="60">
        <f t="shared" si="7"/>
        <v>0</v>
      </c>
      <c r="D86" s="60">
        <f t="shared" si="8"/>
        <v>0</v>
      </c>
      <c r="E86" s="60">
        <v>0</v>
      </c>
      <c r="F86" s="60">
        <v>0</v>
      </c>
      <c r="G86" s="60">
        <f t="shared" si="9"/>
        <v>0</v>
      </c>
      <c r="H86" s="60">
        <v>0</v>
      </c>
      <c r="I86" s="60">
        <v>0</v>
      </c>
      <c r="J86" s="65" t="s">
        <v>61</v>
      </c>
      <c r="K86" s="66"/>
    </row>
    <row r="87" spans="1:11" ht="12.75" customHeight="1" thickBot="1" x14ac:dyDescent="0.25">
      <c r="A87" s="60">
        <f t="shared" si="7"/>
        <v>64</v>
      </c>
      <c r="B87" s="60">
        <f t="shared" si="7"/>
        <v>26</v>
      </c>
      <c r="C87" s="60">
        <f t="shared" si="7"/>
        <v>38</v>
      </c>
      <c r="D87" s="60">
        <f t="shared" si="8"/>
        <v>0</v>
      </c>
      <c r="E87" s="60">
        <v>0</v>
      </c>
      <c r="F87" s="60">
        <v>0</v>
      </c>
      <c r="G87" s="60">
        <f t="shared" si="9"/>
        <v>64</v>
      </c>
      <c r="H87" s="60">
        <f>31-5</f>
        <v>26</v>
      </c>
      <c r="I87" s="60">
        <v>38</v>
      </c>
      <c r="J87" s="65" t="s">
        <v>62</v>
      </c>
      <c r="K87" s="66" t="s">
        <v>242</v>
      </c>
    </row>
    <row r="88" spans="1:11" ht="12.75" customHeight="1" thickBot="1" x14ac:dyDescent="0.25">
      <c r="A88" s="60">
        <f t="shared" si="7"/>
        <v>69</v>
      </c>
      <c r="B88" s="60">
        <f t="shared" si="7"/>
        <v>0</v>
      </c>
      <c r="C88" s="60">
        <f t="shared" si="7"/>
        <v>69</v>
      </c>
      <c r="D88" s="60">
        <f t="shared" si="8"/>
        <v>69</v>
      </c>
      <c r="E88" s="60">
        <v>0</v>
      </c>
      <c r="F88" s="60">
        <v>69</v>
      </c>
      <c r="G88" s="60">
        <f t="shared" si="9"/>
        <v>0</v>
      </c>
      <c r="H88" s="60">
        <v>0</v>
      </c>
      <c r="I88" s="60">
        <v>0</v>
      </c>
      <c r="J88" s="65" t="s">
        <v>64</v>
      </c>
      <c r="K88" s="74"/>
    </row>
    <row r="89" spans="1:11" ht="12.75" customHeight="1" thickBot="1" x14ac:dyDescent="0.25">
      <c r="A89" s="60">
        <f t="shared" si="7"/>
        <v>13</v>
      </c>
      <c r="B89" s="60">
        <f t="shared" si="7"/>
        <v>9</v>
      </c>
      <c r="C89" s="60">
        <f t="shared" si="7"/>
        <v>4</v>
      </c>
      <c r="D89" s="60">
        <f t="shared" si="8"/>
        <v>0</v>
      </c>
      <c r="E89" s="60">
        <v>0</v>
      </c>
      <c r="F89" s="60">
        <v>0</v>
      </c>
      <c r="G89" s="60">
        <f t="shared" si="9"/>
        <v>13</v>
      </c>
      <c r="H89" s="60">
        <v>9</v>
      </c>
      <c r="I89" s="60">
        <v>4</v>
      </c>
      <c r="J89" s="65" t="s">
        <v>61</v>
      </c>
      <c r="K89" s="66"/>
    </row>
    <row r="90" spans="1:11" ht="12.75" customHeight="1" thickBot="1" x14ac:dyDescent="0.25">
      <c r="A90" s="60">
        <f t="shared" ref="A90:C100" si="10">G90+D90</f>
        <v>104</v>
      </c>
      <c r="B90" s="60">
        <f t="shared" si="10"/>
        <v>46</v>
      </c>
      <c r="C90" s="60">
        <f t="shared" si="10"/>
        <v>58</v>
      </c>
      <c r="D90" s="60">
        <f t="shared" si="8"/>
        <v>4</v>
      </c>
      <c r="E90" s="60">
        <v>2</v>
      </c>
      <c r="F90" s="60">
        <v>2</v>
      </c>
      <c r="G90" s="60">
        <f t="shared" si="9"/>
        <v>100</v>
      </c>
      <c r="H90" s="60">
        <f>64-20</f>
        <v>44</v>
      </c>
      <c r="I90" s="60">
        <v>56</v>
      </c>
      <c r="J90" s="65" t="s">
        <v>62</v>
      </c>
      <c r="K90" s="66" t="s">
        <v>356</v>
      </c>
    </row>
    <row r="91" spans="1:11" ht="12.75" customHeight="1" thickBot="1" x14ac:dyDescent="0.25">
      <c r="A91" s="60">
        <f t="shared" si="10"/>
        <v>0</v>
      </c>
      <c r="B91" s="60">
        <f t="shared" si="10"/>
        <v>0</v>
      </c>
      <c r="C91" s="60">
        <f t="shared" si="10"/>
        <v>0</v>
      </c>
      <c r="D91" s="60">
        <f t="shared" si="8"/>
        <v>0</v>
      </c>
      <c r="E91" s="60">
        <v>0</v>
      </c>
      <c r="F91" s="60">
        <v>0</v>
      </c>
      <c r="G91" s="60">
        <f t="shared" si="9"/>
        <v>0</v>
      </c>
      <c r="H91" s="60">
        <v>0</v>
      </c>
      <c r="I91" s="60">
        <v>0</v>
      </c>
      <c r="J91" s="65" t="s">
        <v>64</v>
      </c>
      <c r="K91" s="74"/>
    </row>
    <row r="92" spans="1:11" ht="12.75" customHeight="1" thickBot="1" x14ac:dyDescent="0.25">
      <c r="A92" s="60">
        <f t="shared" si="10"/>
        <v>45</v>
      </c>
      <c r="B92" s="60">
        <f t="shared" si="10"/>
        <v>15</v>
      </c>
      <c r="C92" s="60">
        <f t="shared" si="10"/>
        <v>30</v>
      </c>
      <c r="D92" s="60">
        <f t="shared" si="8"/>
        <v>3</v>
      </c>
      <c r="E92" s="60">
        <v>0</v>
      </c>
      <c r="F92" s="60">
        <v>3</v>
      </c>
      <c r="G92" s="60">
        <f t="shared" si="9"/>
        <v>42</v>
      </c>
      <c r="H92" s="60">
        <v>15</v>
      </c>
      <c r="I92" s="60">
        <v>27</v>
      </c>
      <c r="J92" s="65" t="s">
        <v>61</v>
      </c>
      <c r="K92" s="66"/>
    </row>
    <row r="93" spans="1:11" ht="12.75" customHeight="1" thickBot="1" x14ac:dyDescent="0.25">
      <c r="A93" s="60">
        <f t="shared" si="10"/>
        <v>99</v>
      </c>
      <c r="B93" s="60">
        <f t="shared" si="10"/>
        <v>51</v>
      </c>
      <c r="C93" s="60">
        <f t="shared" si="10"/>
        <v>48</v>
      </c>
      <c r="D93" s="60">
        <f t="shared" si="8"/>
        <v>7</v>
      </c>
      <c r="E93" s="60">
        <v>0</v>
      </c>
      <c r="F93" s="60">
        <v>7</v>
      </c>
      <c r="G93" s="60">
        <f t="shared" si="9"/>
        <v>92</v>
      </c>
      <c r="H93" s="60">
        <v>51</v>
      </c>
      <c r="I93" s="60">
        <v>41</v>
      </c>
      <c r="J93" s="65" t="s">
        <v>62</v>
      </c>
      <c r="K93" s="66" t="s">
        <v>348</v>
      </c>
    </row>
    <row r="94" spans="1:11" ht="12.75" customHeight="1" thickBot="1" x14ac:dyDescent="0.25">
      <c r="A94" s="60">
        <f t="shared" si="10"/>
        <v>0</v>
      </c>
      <c r="B94" s="60">
        <f t="shared" si="10"/>
        <v>0</v>
      </c>
      <c r="C94" s="60">
        <f t="shared" si="10"/>
        <v>0</v>
      </c>
      <c r="D94" s="60">
        <f t="shared" si="8"/>
        <v>0</v>
      </c>
      <c r="E94" s="60">
        <v>0</v>
      </c>
      <c r="F94" s="60">
        <v>0</v>
      </c>
      <c r="G94" s="60">
        <f t="shared" si="9"/>
        <v>0</v>
      </c>
      <c r="H94" s="60">
        <v>0</v>
      </c>
      <c r="I94" s="60">
        <v>0</v>
      </c>
      <c r="J94" s="65" t="s">
        <v>64</v>
      </c>
      <c r="K94" s="74"/>
    </row>
    <row r="95" spans="1:11" ht="12.75" customHeight="1" thickBot="1" x14ac:dyDescent="0.25">
      <c r="A95" s="60">
        <f t="shared" si="10"/>
        <v>57</v>
      </c>
      <c r="B95" s="60">
        <f t="shared" si="10"/>
        <v>28</v>
      </c>
      <c r="C95" s="60">
        <f t="shared" si="10"/>
        <v>29</v>
      </c>
      <c r="D95" s="60">
        <f t="shared" si="8"/>
        <v>0</v>
      </c>
      <c r="E95" s="60">
        <v>0</v>
      </c>
      <c r="F95" s="60">
        <v>0</v>
      </c>
      <c r="G95" s="60">
        <f t="shared" si="9"/>
        <v>57</v>
      </c>
      <c r="H95" s="60">
        <v>28</v>
      </c>
      <c r="I95" s="60">
        <v>29</v>
      </c>
      <c r="J95" s="65" t="s">
        <v>61</v>
      </c>
      <c r="K95" s="66"/>
    </row>
    <row r="96" spans="1:11" ht="12.75" customHeight="1" thickBot="1" x14ac:dyDescent="0.25">
      <c r="A96" s="60">
        <f t="shared" si="10"/>
        <v>47</v>
      </c>
      <c r="B96" s="60">
        <f t="shared" si="10"/>
        <v>23</v>
      </c>
      <c r="C96" s="60">
        <f t="shared" si="10"/>
        <v>24</v>
      </c>
      <c r="D96" s="60">
        <f t="shared" si="8"/>
        <v>0</v>
      </c>
      <c r="E96" s="60">
        <v>0</v>
      </c>
      <c r="F96" s="60">
        <v>0</v>
      </c>
      <c r="G96" s="60">
        <f t="shared" si="9"/>
        <v>47</v>
      </c>
      <c r="H96" s="60">
        <v>23</v>
      </c>
      <c r="I96" s="60">
        <v>24</v>
      </c>
      <c r="J96" s="65" t="s">
        <v>62</v>
      </c>
      <c r="K96" s="66" t="s">
        <v>357</v>
      </c>
    </row>
    <row r="97" spans="1:11" ht="12.75" customHeight="1" thickBot="1" x14ac:dyDescent="0.25">
      <c r="A97" s="60">
        <f t="shared" si="10"/>
        <v>59</v>
      </c>
      <c r="B97" s="60">
        <f t="shared" si="10"/>
        <v>0</v>
      </c>
      <c r="C97" s="60">
        <f t="shared" si="10"/>
        <v>59</v>
      </c>
      <c r="D97" s="60">
        <f t="shared" si="8"/>
        <v>0</v>
      </c>
      <c r="E97" s="60">
        <v>0</v>
      </c>
      <c r="F97" s="60">
        <v>0</v>
      </c>
      <c r="G97" s="60">
        <f t="shared" si="9"/>
        <v>59</v>
      </c>
      <c r="H97" s="60">
        <v>0</v>
      </c>
      <c r="I97" s="60">
        <v>59</v>
      </c>
      <c r="J97" s="65" t="s">
        <v>64</v>
      </c>
      <c r="K97" s="74"/>
    </row>
    <row r="98" spans="1:11" ht="12.75" customHeight="1" thickBot="1" x14ac:dyDescent="0.25">
      <c r="A98" s="60">
        <f t="shared" si="10"/>
        <v>42</v>
      </c>
      <c r="B98" s="60">
        <f>H98+E98</f>
        <v>6</v>
      </c>
      <c r="C98" s="60">
        <f t="shared" si="10"/>
        <v>36</v>
      </c>
      <c r="D98" s="60">
        <f t="shared" si="8"/>
        <v>0</v>
      </c>
      <c r="E98" s="60">
        <v>0</v>
      </c>
      <c r="F98" s="60">
        <v>0</v>
      </c>
      <c r="G98" s="60">
        <f t="shared" si="9"/>
        <v>42</v>
      </c>
      <c r="H98" s="60">
        <v>6</v>
      </c>
      <c r="I98" s="60">
        <v>36</v>
      </c>
      <c r="J98" s="65" t="s">
        <v>61</v>
      </c>
      <c r="K98" s="66"/>
    </row>
    <row r="99" spans="1:11" ht="12.75" customHeight="1" thickBot="1" x14ac:dyDescent="0.25">
      <c r="A99" s="60">
        <f t="shared" si="10"/>
        <v>1032</v>
      </c>
      <c r="B99" s="60">
        <f t="shared" si="10"/>
        <v>359</v>
      </c>
      <c r="C99" s="60">
        <f t="shared" si="10"/>
        <v>673</v>
      </c>
      <c r="D99" s="60">
        <f t="shared" si="8"/>
        <v>0</v>
      </c>
      <c r="E99" s="60">
        <v>0</v>
      </c>
      <c r="F99" s="60">
        <v>0</v>
      </c>
      <c r="G99" s="60">
        <f t="shared" si="9"/>
        <v>1032</v>
      </c>
      <c r="H99" s="60">
        <f>438-79</f>
        <v>359</v>
      </c>
      <c r="I99" s="60">
        <v>673</v>
      </c>
      <c r="J99" s="65" t="s">
        <v>62</v>
      </c>
      <c r="K99" s="66" t="s">
        <v>75</v>
      </c>
    </row>
    <row r="100" spans="1:11" ht="12.75" customHeight="1" thickBot="1" x14ac:dyDescent="0.25">
      <c r="A100" s="60">
        <f t="shared" si="10"/>
        <v>170</v>
      </c>
      <c r="B100" s="60">
        <f t="shared" si="10"/>
        <v>34</v>
      </c>
      <c r="C100" s="60">
        <f t="shared" si="10"/>
        <v>136</v>
      </c>
      <c r="D100" s="60">
        <f t="shared" si="8"/>
        <v>2</v>
      </c>
      <c r="E100" s="60">
        <v>1</v>
      </c>
      <c r="F100" s="60">
        <v>1</v>
      </c>
      <c r="G100" s="60">
        <f t="shared" si="9"/>
        <v>168</v>
      </c>
      <c r="H100" s="60">
        <v>33</v>
      </c>
      <c r="I100" s="60">
        <v>135</v>
      </c>
      <c r="J100" s="65" t="s">
        <v>64</v>
      </c>
      <c r="K100" s="74"/>
    </row>
    <row r="101" spans="1:11" ht="12.75" customHeight="1" thickBot="1" x14ac:dyDescent="0.25">
      <c r="A101" s="60">
        <f t="shared" ref="A101:H103" si="11">A74+A77+A80+A83+A86+A89+A92+A95+A98</f>
        <v>291</v>
      </c>
      <c r="B101" s="60">
        <f t="shared" si="11"/>
        <v>67</v>
      </c>
      <c r="C101" s="60">
        <f t="shared" si="11"/>
        <v>224</v>
      </c>
      <c r="D101" s="60">
        <f t="shared" si="11"/>
        <v>10</v>
      </c>
      <c r="E101" s="60">
        <f t="shared" si="11"/>
        <v>0</v>
      </c>
      <c r="F101" s="60">
        <f t="shared" si="11"/>
        <v>10</v>
      </c>
      <c r="G101" s="60">
        <f t="shared" si="11"/>
        <v>281</v>
      </c>
      <c r="H101" s="60">
        <f t="shared" si="11"/>
        <v>67</v>
      </c>
      <c r="I101" s="60">
        <f>I74+I77+I80+I83+I86+I89+I92+I95+I98</f>
        <v>214</v>
      </c>
      <c r="J101" s="65" t="s">
        <v>231</v>
      </c>
      <c r="K101" s="57"/>
    </row>
    <row r="102" spans="1:11" ht="12.75" customHeight="1" thickBot="1" x14ac:dyDescent="0.25">
      <c r="A102" s="60">
        <f t="shared" si="11"/>
        <v>1892</v>
      </c>
      <c r="B102" s="60">
        <f t="shared" si="11"/>
        <v>699</v>
      </c>
      <c r="C102" s="60">
        <f t="shared" si="11"/>
        <v>1193</v>
      </c>
      <c r="D102" s="60">
        <f t="shared" si="11"/>
        <v>24</v>
      </c>
      <c r="E102" s="60">
        <f t="shared" si="11"/>
        <v>2</v>
      </c>
      <c r="F102" s="60">
        <f t="shared" si="11"/>
        <v>22</v>
      </c>
      <c r="G102" s="60">
        <f t="shared" si="11"/>
        <v>1868</v>
      </c>
      <c r="H102" s="60">
        <f t="shared" si="11"/>
        <v>697</v>
      </c>
      <c r="I102" s="60">
        <f>I75+I78+I81+I84+I87+I90+I93+I96+I99</f>
        <v>1171</v>
      </c>
      <c r="J102" s="65" t="s">
        <v>62</v>
      </c>
      <c r="K102" s="68" t="s">
        <v>232</v>
      </c>
    </row>
    <row r="103" spans="1:11" ht="12.75" customHeight="1" thickBot="1" x14ac:dyDescent="0.25">
      <c r="A103" s="60">
        <f t="shared" si="11"/>
        <v>298</v>
      </c>
      <c r="B103" s="60">
        <f t="shared" si="11"/>
        <v>34</v>
      </c>
      <c r="C103" s="60">
        <f t="shared" si="11"/>
        <v>264</v>
      </c>
      <c r="D103" s="60">
        <f t="shared" si="11"/>
        <v>71</v>
      </c>
      <c r="E103" s="60">
        <f t="shared" si="11"/>
        <v>1</v>
      </c>
      <c r="F103" s="60">
        <f t="shared" si="11"/>
        <v>70</v>
      </c>
      <c r="G103" s="60">
        <f t="shared" si="11"/>
        <v>227</v>
      </c>
      <c r="H103" s="60">
        <f t="shared" si="11"/>
        <v>33</v>
      </c>
      <c r="I103" s="60">
        <f>I76+I79+I82+I85+I88+I91+I94+I97+I100</f>
        <v>194</v>
      </c>
      <c r="J103" s="65" t="s">
        <v>64</v>
      </c>
      <c r="K103" s="59"/>
    </row>
    <row r="104" spans="1:11" ht="12.75" customHeight="1" thickBot="1" x14ac:dyDescent="0.25">
      <c r="A104" s="60">
        <f t="shared" ref="A104:H104" si="12">SUM(A101:A103)</f>
        <v>2481</v>
      </c>
      <c r="B104" s="60">
        <f t="shared" si="12"/>
        <v>800</v>
      </c>
      <c r="C104" s="60">
        <f t="shared" si="12"/>
        <v>1681</v>
      </c>
      <c r="D104" s="60">
        <f t="shared" si="12"/>
        <v>105</v>
      </c>
      <c r="E104" s="60">
        <f t="shared" si="12"/>
        <v>3</v>
      </c>
      <c r="F104" s="60">
        <f t="shared" si="12"/>
        <v>102</v>
      </c>
      <c r="G104" s="60">
        <f t="shared" si="12"/>
        <v>2376</v>
      </c>
      <c r="H104" s="60">
        <f t="shared" si="12"/>
        <v>797</v>
      </c>
      <c r="I104" s="60">
        <f>SUM(I101:I103)</f>
        <v>1579</v>
      </c>
      <c r="J104" s="184" t="s">
        <v>233</v>
      </c>
      <c r="K104" s="184"/>
    </row>
    <row r="106" spans="1:11" ht="12.75" customHeight="1" x14ac:dyDescent="0.2">
      <c r="A106" s="177" t="s">
        <v>576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177"/>
    </row>
    <row r="107" spans="1:11" ht="12.75" customHeight="1" thickBot="1" x14ac:dyDescent="0.25">
      <c r="A107" s="178" t="s">
        <v>577</v>
      </c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</row>
    <row r="108" spans="1:11" ht="12.75" customHeight="1" thickBot="1" x14ac:dyDescent="0.25">
      <c r="A108" s="179" t="s">
        <v>5</v>
      </c>
      <c r="B108" s="179"/>
      <c r="C108" s="179"/>
      <c r="D108" s="179" t="s">
        <v>162</v>
      </c>
      <c r="E108" s="179"/>
      <c r="F108" s="179"/>
      <c r="G108" s="179" t="s">
        <v>163</v>
      </c>
      <c r="H108" s="179"/>
      <c r="I108" s="179"/>
      <c r="J108" s="179" t="s">
        <v>72</v>
      </c>
      <c r="K108" s="179"/>
    </row>
    <row r="109" spans="1:11" ht="12.75" customHeight="1" thickBot="1" x14ac:dyDescent="0.25">
      <c r="A109" s="58" t="s">
        <v>216</v>
      </c>
      <c r="B109" s="58" t="s">
        <v>11</v>
      </c>
      <c r="C109" s="58" t="s">
        <v>10</v>
      </c>
      <c r="D109" s="58" t="s">
        <v>216</v>
      </c>
      <c r="E109" s="58" t="s">
        <v>11</v>
      </c>
      <c r="F109" s="58" t="s">
        <v>10</v>
      </c>
      <c r="G109" s="58" t="s">
        <v>216</v>
      </c>
      <c r="H109" s="58" t="s">
        <v>11</v>
      </c>
      <c r="I109" s="58" t="s">
        <v>10</v>
      </c>
      <c r="J109" s="180" t="s">
        <v>78</v>
      </c>
      <c r="K109" s="180"/>
    </row>
    <row r="110" spans="1:11" ht="12.75" customHeight="1" thickBot="1" x14ac:dyDescent="0.25">
      <c r="A110" s="60">
        <f t="shared" ref="A110:C125" si="13">G110+D110</f>
        <v>20</v>
      </c>
      <c r="B110" s="60">
        <f t="shared" si="13"/>
        <v>8</v>
      </c>
      <c r="C110" s="60">
        <f>I110+F110</f>
        <v>12</v>
      </c>
      <c r="D110" s="60">
        <f>F110+E110</f>
        <v>3</v>
      </c>
      <c r="E110" s="60">
        <v>1</v>
      </c>
      <c r="F110" s="60">
        <v>2</v>
      </c>
      <c r="G110" s="60">
        <f>I110+H110</f>
        <v>17</v>
      </c>
      <c r="H110" s="60">
        <v>7</v>
      </c>
      <c r="I110" s="60">
        <v>10</v>
      </c>
      <c r="J110" s="65" t="s">
        <v>61</v>
      </c>
      <c r="K110" s="66"/>
    </row>
    <row r="111" spans="1:11" ht="12.75" customHeight="1" thickBot="1" x14ac:dyDescent="0.25">
      <c r="A111" s="60">
        <f t="shared" si="13"/>
        <v>267</v>
      </c>
      <c r="B111" s="60">
        <f t="shared" si="13"/>
        <v>30</v>
      </c>
      <c r="C111" s="60">
        <f t="shared" si="13"/>
        <v>237</v>
      </c>
      <c r="D111" s="60">
        <f t="shared" ref="D111:D157" si="14">F111+E111</f>
        <v>17</v>
      </c>
      <c r="E111" s="60">
        <v>0</v>
      </c>
      <c r="F111" s="60">
        <v>17</v>
      </c>
      <c r="G111" s="60">
        <f t="shared" ref="G111:G157" si="15">I111+H111</f>
        <v>250</v>
      </c>
      <c r="H111" s="60">
        <v>30</v>
      </c>
      <c r="I111" s="60">
        <v>220</v>
      </c>
      <c r="J111" s="65" t="s">
        <v>62</v>
      </c>
      <c r="K111" s="66" t="s">
        <v>360</v>
      </c>
    </row>
    <row r="112" spans="1:11" ht="12.75" customHeight="1" thickBot="1" x14ac:dyDescent="0.25">
      <c r="A112" s="60">
        <f t="shared" si="13"/>
        <v>0</v>
      </c>
      <c r="B112" s="60">
        <f t="shared" si="13"/>
        <v>0</v>
      </c>
      <c r="C112" s="60">
        <f t="shared" si="13"/>
        <v>0</v>
      </c>
      <c r="D112" s="60">
        <f t="shared" si="14"/>
        <v>0</v>
      </c>
      <c r="E112" s="60">
        <v>0</v>
      </c>
      <c r="F112" s="60">
        <v>0</v>
      </c>
      <c r="G112" s="60">
        <f t="shared" si="15"/>
        <v>0</v>
      </c>
      <c r="H112" s="60">
        <v>0</v>
      </c>
      <c r="I112" s="60">
        <v>0</v>
      </c>
      <c r="J112" s="65" t="s">
        <v>64</v>
      </c>
      <c r="K112" s="74"/>
    </row>
    <row r="113" spans="1:11" ht="12.75" customHeight="1" thickBot="1" x14ac:dyDescent="0.25">
      <c r="A113" s="60">
        <f t="shared" si="13"/>
        <v>21</v>
      </c>
      <c r="B113" s="60">
        <f t="shared" si="13"/>
        <v>11</v>
      </c>
      <c r="C113" s="60">
        <f t="shared" si="13"/>
        <v>10</v>
      </c>
      <c r="D113" s="60">
        <f t="shared" si="14"/>
        <v>0</v>
      </c>
      <c r="E113" s="60">
        <v>0</v>
      </c>
      <c r="F113" s="60">
        <v>0</v>
      </c>
      <c r="G113" s="60">
        <f t="shared" si="15"/>
        <v>21</v>
      </c>
      <c r="H113" s="60">
        <v>11</v>
      </c>
      <c r="I113" s="60">
        <v>10</v>
      </c>
      <c r="J113" s="65" t="s">
        <v>61</v>
      </c>
      <c r="K113" s="66"/>
    </row>
    <row r="114" spans="1:11" ht="12.75" customHeight="1" thickBot="1" x14ac:dyDescent="0.25">
      <c r="A114" s="60">
        <f t="shared" si="13"/>
        <v>96</v>
      </c>
      <c r="B114" s="60">
        <f t="shared" si="13"/>
        <v>38</v>
      </c>
      <c r="C114" s="60">
        <f t="shared" si="13"/>
        <v>58</v>
      </c>
      <c r="D114" s="60">
        <f t="shared" si="14"/>
        <v>4</v>
      </c>
      <c r="E114" s="60">
        <v>3</v>
      </c>
      <c r="F114" s="60">
        <v>1</v>
      </c>
      <c r="G114" s="60">
        <f t="shared" si="15"/>
        <v>92</v>
      </c>
      <c r="H114" s="60">
        <v>35</v>
      </c>
      <c r="I114" s="60">
        <v>57</v>
      </c>
      <c r="J114" s="65" t="s">
        <v>62</v>
      </c>
      <c r="K114" s="66" t="s">
        <v>337</v>
      </c>
    </row>
    <row r="115" spans="1:11" ht="12.75" customHeight="1" thickBot="1" x14ac:dyDescent="0.25">
      <c r="A115" s="60">
        <f t="shared" si="13"/>
        <v>0</v>
      </c>
      <c r="B115" s="60">
        <f t="shared" si="13"/>
        <v>0</v>
      </c>
      <c r="C115" s="60">
        <f t="shared" si="13"/>
        <v>0</v>
      </c>
      <c r="D115" s="60">
        <f t="shared" si="14"/>
        <v>0</v>
      </c>
      <c r="E115" s="60">
        <v>0</v>
      </c>
      <c r="F115" s="60">
        <v>0</v>
      </c>
      <c r="G115" s="60">
        <f t="shared" si="15"/>
        <v>0</v>
      </c>
      <c r="H115" s="60">
        <v>0</v>
      </c>
      <c r="I115" s="60">
        <v>0</v>
      </c>
      <c r="J115" s="65" t="s">
        <v>64</v>
      </c>
      <c r="K115" s="74"/>
    </row>
    <row r="116" spans="1:11" ht="12.75" customHeight="1" thickBot="1" x14ac:dyDescent="0.25">
      <c r="A116" s="60">
        <f t="shared" si="13"/>
        <v>141</v>
      </c>
      <c r="B116" s="60">
        <f t="shared" si="13"/>
        <v>55</v>
      </c>
      <c r="C116" s="60">
        <f t="shared" si="13"/>
        <v>86</v>
      </c>
      <c r="D116" s="60">
        <f t="shared" si="14"/>
        <v>5</v>
      </c>
      <c r="E116" s="60">
        <v>1</v>
      </c>
      <c r="F116" s="60">
        <v>4</v>
      </c>
      <c r="G116" s="60">
        <f t="shared" si="15"/>
        <v>136</v>
      </c>
      <c r="H116" s="60">
        <v>54</v>
      </c>
      <c r="I116" s="60">
        <v>82</v>
      </c>
      <c r="J116" s="65" t="s">
        <v>61</v>
      </c>
      <c r="K116" s="66"/>
    </row>
    <row r="117" spans="1:11" ht="12.75" customHeight="1" thickBot="1" x14ac:dyDescent="0.25">
      <c r="A117" s="60">
        <f t="shared" si="13"/>
        <v>634</v>
      </c>
      <c r="B117" s="60">
        <f t="shared" si="13"/>
        <v>300</v>
      </c>
      <c r="C117" s="60">
        <f t="shared" si="13"/>
        <v>334</v>
      </c>
      <c r="D117" s="60">
        <f t="shared" si="14"/>
        <v>20</v>
      </c>
      <c r="E117" s="60">
        <v>5</v>
      </c>
      <c r="F117" s="60">
        <v>15</v>
      </c>
      <c r="G117" s="60">
        <f t="shared" si="15"/>
        <v>614</v>
      </c>
      <c r="H117" s="60">
        <f>375-80</f>
        <v>295</v>
      </c>
      <c r="I117" s="60">
        <v>319</v>
      </c>
      <c r="J117" s="65" t="s">
        <v>62</v>
      </c>
      <c r="K117" s="66" t="s">
        <v>363</v>
      </c>
    </row>
    <row r="118" spans="1:11" ht="12.75" customHeight="1" thickBot="1" x14ac:dyDescent="0.25">
      <c r="A118" s="60">
        <f t="shared" si="13"/>
        <v>0</v>
      </c>
      <c r="B118" s="60">
        <f t="shared" si="13"/>
        <v>0</v>
      </c>
      <c r="C118" s="60">
        <f t="shared" si="13"/>
        <v>0</v>
      </c>
      <c r="D118" s="60">
        <f t="shared" si="14"/>
        <v>0</v>
      </c>
      <c r="E118" s="60">
        <v>0</v>
      </c>
      <c r="F118" s="60">
        <v>0</v>
      </c>
      <c r="G118" s="60">
        <f t="shared" si="15"/>
        <v>0</v>
      </c>
      <c r="H118" s="60">
        <v>0</v>
      </c>
      <c r="I118" s="60">
        <v>0</v>
      </c>
      <c r="J118" s="65" t="s">
        <v>64</v>
      </c>
      <c r="K118" s="74"/>
    </row>
    <row r="119" spans="1:11" ht="12.75" customHeight="1" thickBot="1" x14ac:dyDescent="0.25">
      <c r="A119" s="60">
        <f t="shared" si="13"/>
        <v>271</v>
      </c>
      <c r="B119" s="60">
        <f t="shared" si="13"/>
        <v>66</v>
      </c>
      <c r="C119" s="60">
        <f t="shared" si="13"/>
        <v>205</v>
      </c>
      <c r="D119" s="60">
        <f t="shared" si="14"/>
        <v>6</v>
      </c>
      <c r="E119" s="60">
        <v>0</v>
      </c>
      <c r="F119" s="60">
        <v>6</v>
      </c>
      <c r="G119" s="60">
        <f t="shared" si="15"/>
        <v>265</v>
      </c>
      <c r="H119" s="60">
        <f>77-11</f>
        <v>66</v>
      </c>
      <c r="I119" s="60">
        <v>199</v>
      </c>
      <c r="J119" s="65" t="s">
        <v>61</v>
      </c>
      <c r="K119" s="66"/>
    </row>
    <row r="120" spans="1:11" ht="12.75" customHeight="1" thickBot="1" x14ac:dyDescent="0.25">
      <c r="A120" s="60">
        <f t="shared" si="13"/>
        <v>1152</v>
      </c>
      <c r="B120" s="60">
        <f t="shared" si="13"/>
        <v>480</v>
      </c>
      <c r="C120" s="60">
        <f t="shared" si="13"/>
        <v>672</v>
      </c>
      <c r="D120" s="60">
        <f t="shared" si="14"/>
        <v>41</v>
      </c>
      <c r="E120" s="60">
        <v>9</v>
      </c>
      <c r="F120" s="60">
        <v>32</v>
      </c>
      <c r="G120" s="60">
        <f t="shared" si="15"/>
        <v>1111</v>
      </c>
      <c r="H120" s="60">
        <f>571-100</f>
        <v>471</v>
      </c>
      <c r="I120" s="60">
        <v>640</v>
      </c>
      <c r="J120" s="65" t="s">
        <v>62</v>
      </c>
      <c r="K120" s="66" t="s">
        <v>364</v>
      </c>
    </row>
    <row r="121" spans="1:11" ht="12.75" customHeight="1" thickBot="1" x14ac:dyDescent="0.25">
      <c r="A121" s="60">
        <f t="shared" si="13"/>
        <v>0</v>
      </c>
      <c r="B121" s="60">
        <f t="shared" si="13"/>
        <v>0</v>
      </c>
      <c r="C121" s="60">
        <f t="shared" si="13"/>
        <v>0</v>
      </c>
      <c r="D121" s="60">
        <f t="shared" si="14"/>
        <v>0</v>
      </c>
      <c r="E121" s="60">
        <v>0</v>
      </c>
      <c r="F121" s="60">
        <v>0</v>
      </c>
      <c r="G121" s="60">
        <f t="shared" si="15"/>
        <v>0</v>
      </c>
      <c r="H121" s="60">
        <v>0</v>
      </c>
      <c r="I121" s="60">
        <v>0</v>
      </c>
      <c r="J121" s="65" t="s">
        <v>64</v>
      </c>
      <c r="K121" s="74"/>
    </row>
    <row r="122" spans="1:11" ht="12.75" customHeight="1" thickBot="1" x14ac:dyDescent="0.25">
      <c r="A122" s="60">
        <f t="shared" si="13"/>
        <v>6</v>
      </c>
      <c r="B122" s="60">
        <f t="shared" si="13"/>
        <v>2</v>
      </c>
      <c r="C122" s="60">
        <f t="shared" si="13"/>
        <v>4</v>
      </c>
      <c r="D122" s="60">
        <f t="shared" si="14"/>
        <v>0</v>
      </c>
      <c r="E122" s="60">
        <v>0</v>
      </c>
      <c r="F122" s="60">
        <v>0</v>
      </c>
      <c r="G122" s="60">
        <f t="shared" si="15"/>
        <v>6</v>
      </c>
      <c r="H122" s="60">
        <v>2</v>
      </c>
      <c r="I122" s="60">
        <v>4</v>
      </c>
      <c r="J122" s="65" t="s">
        <v>61</v>
      </c>
      <c r="K122" s="66"/>
    </row>
    <row r="123" spans="1:11" ht="12.75" customHeight="1" thickBot="1" x14ac:dyDescent="0.25">
      <c r="A123" s="60">
        <f t="shared" si="13"/>
        <v>229</v>
      </c>
      <c r="B123" s="60">
        <f t="shared" si="13"/>
        <v>70</v>
      </c>
      <c r="C123" s="60">
        <f t="shared" si="13"/>
        <v>159</v>
      </c>
      <c r="D123" s="60">
        <f t="shared" si="14"/>
        <v>30</v>
      </c>
      <c r="E123" s="60">
        <v>10</v>
      </c>
      <c r="F123" s="60">
        <v>20</v>
      </c>
      <c r="G123" s="60">
        <f t="shared" si="15"/>
        <v>199</v>
      </c>
      <c r="H123" s="60">
        <v>60</v>
      </c>
      <c r="I123" s="60">
        <v>139</v>
      </c>
      <c r="J123" s="65" t="s">
        <v>62</v>
      </c>
      <c r="K123" s="66" t="s">
        <v>263</v>
      </c>
    </row>
    <row r="124" spans="1:11" ht="12.75" customHeight="1" thickBot="1" x14ac:dyDescent="0.25">
      <c r="A124" s="60">
        <f t="shared" si="13"/>
        <v>13</v>
      </c>
      <c r="B124" s="60">
        <f t="shared" si="13"/>
        <v>9</v>
      </c>
      <c r="C124" s="60">
        <f t="shared" si="13"/>
        <v>4</v>
      </c>
      <c r="D124" s="60">
        <f t="shared" si="14"/>
        <v>0</v>
      </c>
      <c r="E124" s="60">
        <v>0</v>
      </c>
      <c r="F124" s="60">
        <v>0</v>
      </c>
      <c r="G124" s="60">
        <f t="shared" si="15"/>
        <v>13</v>
      </c>
      <c r="H124" s="60">
        <v>9</v>
      </c>
      <c r="I124" s="60">
        <v>4</v>
      </c>
      <c r="J124" s="65" t="s">
        <v>64</v>
      </c>
      <c r="K124" s="74"/>
    </row>
    <row r="125" spans="1:11" ht="12.75" customHeight="1" thickBot="1" x14ac:dyDescent="0.25">
      <c r="A125" s="60">
        <f t="shared" si="13"/>
        <v>0</v>
      </c>
      <c r="B125" s="60">
        <f t="shared" si="13"/>
        <v>0</v>
      </c>
      <c r="C125" s="60">
        <f t="shared" si="13"/>
        <v>0</v>
      </c>
      <c r="D125" s="60">
        <f t="shared" si="14"/>
        <v>0</v>
      </c>
      <c r="E125" s="60">
        <v>0</v>
      </c>
      <c r="F125" s="60">
        <v>0</v>
      </c>
      <c r="G125" s="60">
        <f t="shared" si="15"/>
        <v>0</v>
      </c>
      <c r="H125" s="60">
        <v>0</v>
      </c>
      <c r="I125" s="60">
        <v>0</v>
      </c>
      <c r="J125" s="65" t="s">
        <v>61</v>
      </c>
      <c r="K125" s="66"/>
    </row>
    <row r="126" spans="1:11" ht="12.75" customHeight="1" thickBot="1" x14ac:dyDescent="0.25">
      <c r="A126" s="60">
        <f t="shared" ref="A126:C154" si="16">G126+D126</f>
        <v>51</v>
      </c>
      <c r="B126" s="60">
        <f t="shared" si="16"/>
        <v>44</v>
      </c>
      <c r="C126" s="60">
        <f t="shared" si="16"/>
        <v>7</v>
      </c>
      <c r="D126" s="60">
        <f t="shared" si="14"/>
        <v>1</v>
      </c>
      <c r="E126" s="60">
        <v>1</v>
      </c>
      <c r="F126" s="60">
        <v>0</v>
      </c>
      <c r="G126" s="60">
        <f t="shared" si="15"/>
        <v>50</v>
      </c>
      <c r="H126" s="60">
        <v>43</v>
      </c>
      <c r="I126" s="60">
        <v>7</v>
      </c>
      <c r="J126" s="65" t="s">
        <v>62</v>
      </c>
      <c r="K126" s="66" t="s">
        <v>244</v>
      </c>
    </row>
    <row r="127" spans="1:11" ht="12.75" customHeight="1" thickBot="1" x14ac:dyDescent="0.25">
      <c r="A127" s="60">
        <f t="shared" si="16"/>
        <v>0</v>
      </c>
      <c r="B127" s="60">
        <f t="shared" si="16"/>
        <v>0</v>
      </c>
      <c r="C127" s="60">
        <f t="shared" si="16"/>
        <v>0</v>
      </c>
      <c r="D127" s="60">
        <f t="shared" si="14"/>
        <v>0</v>
      </c>
      <c r="E127" s="60">
        <v>0</v>
      </c>
      <c r="F127" s="60">
        <v>0</v>
      </c>
      <c r="G127" s="60">
        <f t="shared" si="15"/>
        <v>0</v>
      </c>
      <c r="H127" s="60">
        <v>0</v>
      </c>
      <c r="I127" s="60">
        <v>0</v>
      </c>
      <c r="J127" s="65" t="s">
        <v>64</v>
      </c>
      <c r="K127" s="74"/>
    </row>
    <row r="128" spans="1:11" ht="12.75" customHeight="1" thickBot="1" x14ac:dyDescent="0.25">
      <c r="A128" s="60">
        <f t="shared" si="16"/>
        <v>108</v>
      </c>
      <c r="B128" s="60">
        <f t="shared" si="16"/>
        <v>50</v>
      </c>
      <c r="C128" s="60">
        <f t="shared" si="16"/>
        <v>58</v>
      </c>
      <c r="D128" s="60">
        <f t="shared" si="14"/>
        <v>19</v>
      </c>
      <c r="E128" s="60">
        <v>7</v>
      </c>
      <c r="F128" s="60">
        <v>12</v>
      </c>
      <c r="G128" s="60">
        <f t="shared" si="15"/>
        <v>89</v>
      </c>
      <c r="H128" s="60">
        <v>43</v>
      </c>
      <c r="I128" s="60">
        <v>46</v>
      </c>
      <c r="J128" s="65" t="s">
        <v>61</v>
      </c>
      <c r="K128" s="66"/>
    </row>
    <row r="129" spans="1:11" ht="12.75" customHeight="1" thickBot="1" x14ac:dyDescent="0.25">
      <c r="A129" s="60">
        <f t="shared" si="16"/>
        <v>748</v>
      </c>
      <c r="B129" s="60">
        <f t="shared" si="16"/>
        <v>312</v>
      </c>
      <c r="C129" s="60">
        <f t="shared" si="16"/>
        <v>436</v>
      </c>
      <c r="D129" s="60">
        <f t="shared" si="14"/>
        <v>62</v>
      </c>
      <c r="E129" s="60">
        <v>34</v>
      </c>
      <c r="F129" s="60">
        <v>28</v>
      </c>
      <c r="G129" s="60">
        <f t="shared" si="15"/>
        <v>686</v>
      </c>
      <c r="H129" s="60">
        <f>298-20</f>
        <v>278</v>
      </c>
      <c r="I129" s="60">
        <v>408</v>
      </c>
      <c r="J129" s="65" t="s">
        <v>62</v>
      </c>
      <c r="K129" s="66" t="s">
        <v>365</v>
      </c>
    </row>
    <row r="130" spans="1:11" ht="12.75" customHeight="1" thickBot="1" x14ac:dyDescent="0.25">
      <c r="A130" s="60">
        <f t="shared" si="16"/>
        <v>0</v>
      </c>
      <c r="B130" s="60">
        <f t="shared" si="16"/>
        <v>0</v>
      </c>
      <c r="C130" s="60">
        <f t="shared" si="16"/>
        <v>0</v>
      </c>
      <c r="D130" s="60">
        <f t="shared" si="14"/>
        <v>0</v>
      </c>
      <c r="E130" s="60">
        <v>0</v>
      </c>
      <c r="F130" s="60">
        <v>0</v>
      </c>
      <c r="G130" s="60">
        <f t="shared" si="15"/>
        <v>0</v>
      </c>
      <c r="H130" s="60">
        <v>0</v>
      </c>
      <c r="I130" s="60">
        <v>0</v>
      </c>
      <c r="J130" s="65" t="s">
        <v>64</v>
      </c>
      <c r="K130" s="74"/>
    </row>
    <row r="131" spans="1:11" ht="12.75" customHeight="1" thickBot="1" x14ac:dyDescent="0.25">
      <c r="A131" s="60">
        <f t="shared" si="16"/>
        <v>9</v>
      </c>
      <c r="B131" s="60">
        <f t="shared" si="16"/>
        <v>0</v>
      </c>
      <c r="C131" s="60">
        <f t="shared" si="16"/>
        <v>9</v>
      </c>
      <c r="D131" s="60">
        <f t="shared" si="14"/>
        <v>0</v>
      </c>
      <c r="E131" s="60">
        <v>0</v>
      </c>
      <c r="F131" s="60">
        <v>0</v>
      </c>
      <c r="G131" s="60">
        <f t="shared" si="15"/>
        <v>9</v>
      </c>
      <c r="H131" s="60">
        <v>0</v>
      </c>
      <c r="I131" s="60">
        <v>9</v>
      </c>
      <c r="J131" s="65" t="s">
        <v>61</v>
      </c>
      <c r="K131" s="66"/>
    </row>
    <row r="132" spans="1:11" ht="12.75" customHeight="1" thickBot="1" x14ac:dyDescent="0.25">
      <c r="A132" s="60">
        <f t="shared" si="16"/>
        <v>695</v>
      </c>
      <c r="B132" s="60">
        <f t="shared" si="16"/>
        <v>312</v>
      </c>
      <c r="C132" s="60">
        <f t="shared" si="16"/>
        <v>383</v>
      </c>
      <c r="D132" s="60">
        <f t="shared" si="14"/>
        <v>19</v>
      </c>
      <c r="E132" s="60">
        <v>11</v>
      </c>
      <c r="F132" s="60">
        <v>8</v>
      </c>
      <c r="G132" s="60">
        <f t="shared" si="15"/>
        <v>676</v>
      </c>
      <c r="H132" s="60">
        <v>301</v>
      </c>
      <c r="I132" s="60">
        <v>375</v>
      </c>
      <c r="J132" s="65" t="s">
        <v>62</v>
      </c>
      <c r="K132" s="66" t="s">
        <v>366</v>
      </c>
    </row>
    <row r="133" spans="1:11" ht="12.75" customHeight="1" thickBot="1" x14ac:dyDescent="0.25">
      <c r="A133" s="60">
        <f t="shared" si="16"/>
        <v>0</v>
      </c>
      <c r="B133" s="60">
        <f t="shared" si="16"/>
        <v>0</v>
      </c>
      <c r="C133" s="60">
        <f t="shared" si="16"/>
        <v>0</v>
      </c>
      <c r="D133" s="60">
        <f t="shared" si="14"/>
        <v>0</v>
      </c>
      <c r="E133" s="60">
        <v>0</v>
      </c>
      <c r="F133" s="60">
        <v>0</v>
      </c>
      <c r="G133" s="60">
        <f t="shared" si="15"/>
        <v>0</v>
      </c>
      <c r="H133" s="60">
        <v>0</v>
      </c>
      <c r="I133" s="60">
        <v>0</v>
      </c>
      <c r="J133" s="65" t="s">
        <v>64</v>
      </c>
      <c r="K133" s="74"/>
    </row>
    <row r="134" spans="1:11" ht="12.75" customHeight="1" thickBot="1" x14ac:dyDescent="0.25">
      <c r="A134" s="60">
        <f t="shared" si="16"/>
        <v>0</v>
      </c>
      <c r="B134" s="60">
        <f t="shared" si="16"/>
        <v>0</v>
      </c>
      <c r="C134" s="60">
        <f t="shared" si="16"/>
        <v>0</v>
      </c>
      <c r="D134" s="60">
        <f t="shared" si="14"/>
        <v>0</v>
      </c>
      <c r="E134" s="60">
        <v>0</v>
      </c>
      <c r="F134" s="60">
        <v>0</v>
      </c>
      <c r="G134" s="60">
        <f t="shared" si="15"/>
        <v>0</v>
      </c>
      <c r="H134" s="60">
        <v>0</v>
      </c>
      <c r="I134" s="60">
        <v>0</v>
      </c>
      <c r="J134" s="65" t="s">
        <v>61</v>
      </c>
      <c r="K134" s="66"/>
    </row>
    <row r="135" spans="1:11" ht="12.75" customHeight="1" thickBot="1" x14ac:dyDescent="0.25">
      <c r="A135" s="60">
        <f t="shared" si="16"/>
        <v>231</v>
      </c>
      <c r="B135" s="60">
        <f t="shared" si="16"/>
        <v>96</v>
      </c>
      <c r="C135" s="60">
        <f t="shared" si="16"/>
        <v>135</v>
      </c>
      <c r="D135" s="60">
        <f t="shared" si="14"/>
        <v>19</v>
      </c>
      <c r="E135" s="60">
        <v>6</v>
      </c>
      <c r="F135" s="60">
        <v>13</v>
      </c>
      <c r="G135" s="60">
        <f t="shared" si="15"/>
        <v>212</v>
      </c>
      <c r="H135" s="60">
        <v>90</v>
      </c>
      <c r="I135" s="60">
        <v>122</v>
      </c>
      <c r="J135" s="65" t="s">
        <v>62</v>
      </c>
      <c r="K135" s="66" t="s">
        <v>355</v>
      </c>
    </row>
    <row r="136" spans="1:11" ht="12.75" customHeight="1" thickBot="1" x14ac:dyDescent="0.25">
      <c r="A136" s="60">
        <f t="shared" si="16"/>
        <v>0</v>
      </c>
      <c r="B136" s="60">
        <f t="shared" si="16"/>
        <v>0</v>
      </c>
      <c r="C136" s="60">
        <f t="shared" si="16"/>
        <v>0</v>
      </c>
      <c r="D136" s="60">
        <f t="shared" si="14"/>
        <v>0</v>
      </c>
      <c r="E136" s="60">
        <v>0</v>
      </c>
      <c r="F136" s="60">
        <v>0</v>
      </c>
      <c r="G136" s="60">
        <f t="shared" si="15"/>
        <v>0</v>
      </c>
      <c r="H136" s="60">
        <v>0</v>
      </c>
      <c r="I136" s="60">
        <v>0</v>
      </c>
      <c r="J136" s="65" t="s">
        <v>64</v>
      </c>
      <c r="K136" s="74"/>
    </row>
    <row r="137" spans="1:11" ht="12.75" customHeight="1" thickBot="1" x14ac:dyDescent="0.25">
      <c r="A137" s="60">
        <f t="shared" si="16"/>
        <v>8</v>
      </c>
      <c r="B137" s="60">
        <f t="shared" si="16"/>
        <v>0</v>
      </c>
      <c r="C137" s="60">
        <f t="shared" si="16"/>
        <v>8</v>
      </c>
      <c r="D137" s="60">
        <f t="shared" si="14"/>
        <v>1</v>
      </c>
      <c r="E137" s="60">
        <v>0</v>
      </c>
      <c r="F137" s="60">
        <v>1</v>
      </c>
      <c r="G137" s="60">
        <f t="shared" si="15"/>
        <v>7</v>
      </c>
      <c r="H137" s="60">
        <v>0</v>
      </c>
      <c r="I137" s="60">
        <v>7</v>
      </c>
      <c r="J137" s="65" t="s">
        <v>61</v>
      </c>
      <c r="K137" s="66"/>
    </row>
    <row r="138" spans="1:11" ht="12.75" customHeight="1" thickBot="1" x14ac:dyDescent="0.25">
      <c r="A138" s="60">
        <f t="shared" si="16"/>
        <v>122</v>
      </c>
      <c r="B138" s="60">
        <f t="shared" si="16"/>
        <v>0</v>
      </c>
      <c r="C138" s="60">
        <f t="shared" si="16"/>
        <v>122</v>
      </c>
      <c r="D138" s="60">
        <f t="shared" si="14"/>
        <v>4</v>
      </c>
      <c r="E138" s="60">
        <v>0</v>
      </c>
      <c r="F138" s="60">
        <v>4</v>
      </c>
      <c r="G138" s="60">
        <f t="shared" si="15"/>
        <v>118</v>
      </c>
      <c r="H138" s="60">
        <v>0</v>
      </c>
      <c r="I138" s="60">
        <v>118</v>
      </c>
      <c r="J138" s="65" t="s">
        <v>62</v>
      </c>
      <c r="K138" s="66" t="s">
        <v>535</v>
      </c>
    </row>
    <row r="139" spans="1:11" ht="12.75" customHeight="1" thickBot="1" x14ac:dyDescent="0.25">
      <c r="A139" s="60">
        <f t="shared" si="16"/>
        <v>0</v>
      </c>
      <c r="B139" s="60">
        <f t="shared" si="16"/>
        <v>0</v>
      </c>
      <c r="C139" s="60">
        <f t="shared" si="16"/>
        <v>0</v>
      </c>
      <c r="D139" s="60">
        <f t="shared" si="14"/>
        <v>0</v>
      </c>
      <c r="E139" s="60">
        <v>0</v>
      </c>
      <c r="F139" s="60">
        <v>0</v>
      </c>
      <c r="G139" s="60">
        <f t="shared" si="15"/>
        <v>0</v>
      </c>
      <c r="H139" s="60">
        <v>0</v>
      </c>
      <c r="I139" s="60">
        <v>0</v>
      </c>
      <c r="J139" s="65" t="s">
        <v>64</v>
      </c>
      <c r="K139" s="74"/>
    </row>
    <row r="140" spans="1:11" ht="12.75" customHeight="1" thickBot="1" x14ac:dyDescent="0.25">
      <c r="A140" s="60">
        <f t="shared" si="16"/>
        <v>31</v>
      </c>
      <c r="B140" s="60">
        <f t="shared" si="16"/>
        <v>0</v>
      </c>
      <c r="C140" s="60">
        <f t="shared" si="16"/>
        <v>31</v>
      </c>
      <c r="D140" s="60">
        <f t="shared" si="14"/>
        <v>7</v>
      </c>
      <c r="E140" s="60">
        <v>0</v>
      </c>
      <c r="F140" s="60">
        <v>7</v>
      </c>
      <c r="G140" s="60">
        <f t="shared" si="15"/>
        <v>24</v>
      </c>
      <c r="H140" s="60">
        <v>0</v>
      </c>
      <c r="I140" s="60">
        <v>24</v>
      </c>
      <c r="J140" s="65" t="s">
        <v>61</v>
      </c>
      <c r="K140" s="66"/>
    </row>
    <row r="141" spans="1:11" ht="12.75" customHeight="1" thickBot="1" x14ac:dyDescent="0.25">
      <c r="A141" s="60">
        <f t="shared" si="16"/>
        <v>327</v>
      </c>
      <c r="B141" s="60">
        <f t="shared" si="16"/>
        <v>0</v>
      </c>
      <c r="C141" s="60">
        <f t="shared" si="16"/>
        <v>327</v>
      </c>
      <c r="D141" s="60">
        <f t="shared" si="14"/>
        <v>20</v>
      </c>
      <c r="E141" s="60">
        <v>0</v>
      </c>
      <c r="F141" s="60">
        <v>20</v>
      </c>
      <c r="G141" s="60">
        <f t="shared" si="15"/>
        <v>307</v>
      </c>
      <c r="H141" s="60">
        <v>0</v>
      </c>
      <c r="I141" s="60">
        <v>307</v>
      </c>
      <c r="J141" s="65" t="s">
        <v>62</v>
      </c>
      <c r="K141" s="66" t="s">
        <v>377</v>
      </c>
    </row>
    <row r="142" spans="1:11" ht="12.75" customHeight="1" thickBot="1" x14ac:dyDescent="0.25">
      <c r="A142" s="60">
        <f t="shared" si="16"/>
        <v>0</v>
      </c>
      <c r="B142" s="60">
        <f t="shared" si="16"/>
        <v>0</v>
      </c>
      <c r="C142" s="60">
        <f t="shared" si="16"/>
        <v>0</v>
      </c>
      <c r="D142" s="60">
        <f t="shared" si="14"/>
        <v>0</v>
      </c>
      <c r="E142" s="60">
        <v>0</v>
      </c>
      <c r="F142" s="60">
        <v>0</v>
      </c>
      <c r="G142" s="60">
        <f t="shared" si="15"/>
        <v>0</v>
      </c>
      <c r="H142" s="60">
        <v>0</v>
      </c>
      <c r="I142" s="60">
        <v>0</v>
      </c>
      <c r="J142" s="65" t="s">
        <v>64</v>
      </c>
      <c r="K142" s="74"/>
    </row>
    <row r="143" spans="1:11" ht="12.75" customHeight="1" thickBot="1" x14ac:dyDescent="0.25">
      <c r="A143" s="60">
        <f t="shared" si="16"/>
        <v>0</v>
      </c>
      <c r="B143" s="60">
        <f t="shared" si="16"/>
        <v>0</v>
      </c>
      <c r="C143" s="60">
        <f t="shared" si="16"/>
        <v>0</v>
      </c>
      <c r="D143" s="60">
        <f t="shared" si="14"/>
        <v>0</v>
      </c>
      <c r="E143" s="60">
        <v>0</v>
      </c>
      <c r="F143" s="60">
        <v>0</v>
      </c>
      <c r="G143" s="60">
        <f t="shared" si="15"/>
        <v>0</v>
      </c>
      <c r="H143" s="60">
        <v>0</v>
      </c>
      <c r="I143" s="60">
        <v>0</v>
      </c>
      <c r="J143" s="65" t="s">
        <v>61</v>
      </c>
      <c r="K143" s="66"/>
    </row>
    <row r="144" spans="1:11" ht="12.75" customHeight="1" thickBot="1" x14ac:dyDescent="0.25">
      <c r="A144" s="60">
        <f t="shared" si="16"/>
        <v>57</v>
      </c>
      <c r="B144" s="60">
        <f t="shared" si="16"/>
        <v>45</v>
      </c>
      <c r="C144" s="60">
        <f t="shared" si="16"/>
        <v>12</v>
      </c>
      <c r="D144" s="60">
        <f t="shared" si="14"/>
        <v>2</v>
      </c>
      <c r="E144" s="60">
        <v>2</v>
      </c>
      <c r="F144" s="60">
        <v>0</v>
      </c>
      <c r="G144" s="60">
        <f t="shared" si="15"/>
        <v>55</v>
      </c>
      <c r="H144" s="60">
        <v>43</v>
      </c>
      <c r="I144" s="60">
        <v>12</v>
      </c>
      <c r="J144" s="65" t="s">
        <v>62</v>
      </c>
      <c r="K144" s="66" t="s">
        <v>536</v>
      </c>
    </row>
    <row r="145" spans="1:11" ht="12.75" customHeight="1" thickBot="1" x14ac:dyDescent="0.25">
      <c r="A145" s="60">
        <f t="shared" si="16"/>
        <v>0</v>
      </c>
      <c r="B145" s="60">
        <f t="shared" si="16"/>
        <v>0</v>
      </c>
      <c r="C145" s="60">
        <f t="shared" si="16"/>
        <v>0</v>
      </c>
      <c r="D145" s="60">
        <f t="shared" si="14"/>
        <v>0</v>
      </c>
      <c r="E145" s="60">
        <v>0</v>
      </c>
      <c r="F145" s="60">
        <v>0</v>
      </c>
      <c r="G145" s="60">
        <f t="shared" si="15"/>
        <v>0</v>
      </c>
      <c r="H145" s="60">
        <v>0</v>
      </c>
      <c r="I145" s="60">
        <v>0</v>
      </c>
      <c r="J145" s="65" t="s">
        <v>64</v>
      </c>
      <c r="K145" s="74"/>
    </row>
    <row r="146" spans="1:11" ht="12.75" customHeight="1" thickBot="1" x14ac:dyDescent="0.25">
      <c r="A146" s="60">
        <f t="shared" si="16"/>
        <v>0</v>
      </c>
      <c r="B146" s="60">
        <f t="shared" si="16"/>
        <v>0</v>
      </c>
      <c r="C146" s="60">
        <f t="shared" si="16"/>
        <v>0</v>
      </c>
      <c r="D146" s="60">
        <f t="shared" si="14"/>
        <v>0</v>
      </c>
      <c r="E146" s="60">
        <v>0</v>
      </c>
      <c r="F146" s="60">
        <v>0</v>
      </c>
      <c r="G146" s="60">
        <f t="shared" si="15"/>
        <v>0</v>
      </c>
      <c r="H146" s="60">
        <v>0</v>
      </c>
      <c r="I146" s="60">
        <v>0</v>
      </c>
      <c r="J146" s="65" t="s">
        <v>61</v>
      </c>
      <c r="K146" s="66"/>
    </row>
    <row r="147" spans="1:11" ht="12.75" customHeight="1" thickBot="1" x14ac:dyDescent="0.25">
      <c r="A147" s="60">
        <f t="shared" si="16"/>
        <v>0</v>
      </c>
      <c r="B147" s="60">
        <f t="shared" si="16"/>
        <v>0</v>
      </c>
      <c r="C147" s="60">
        <f t="shared" si="16"/>
        <v>0</v>
      </c>
      <c r="D147" s="60">
        <f t="shared" si="14"/>
        <v>0</v>
      </c>
      <c r="E147" s="60">
        <v>0</v>
      </c>
      <c r="F147" s="60">
        <v>0</v>
      </c>
      <c r="G147" s="60">
        <f t="shared" si="15"/>
        <v>0</v>
      </c>
      <c r="H147" s="60">
        <v>0</v>
      </c>
      <c r="I147" s="60">
        <v>0</v>
      </c>
      <c r="J147" s="65" t="s">
        <v>62</v>
      </c>
      <c r="K147" s="66" t="s">
        <v>77</v>
      </c>
    </row>
    <row r="148" spans="1:11" ht="12.75" customHeight="1" thickBot="1" x14ac:dyDescent="0.25">
      <c r="A148" s="60">
        <f t="shared" si="16"/>
        <v>153</v>
      </c>
      <c r="B148" s="60">
        <f t="shared" si="16"/>
        <v>48</v>
      </c>
      <c r="C148" s="60">
        <f t="shared" si="16"/>
        <v>105</v>
      </c>
      <c r="D148" s="60">
        <f t="shared" si="14"/>
        <v>0</v>
      </c>
      <c r="E148" s="60">
        <v>0</v>
      </c>
      <c r="F148" s="60">
        <v>0</v>
      </c>
      <c r="G148" s="60">
        <f t="shared" si="15"/>
        <v>153</v>
      </c>
      <c r="H148" s="60">
        <v>48</v>
      </c>
      <c r="I148" s="60">
        <v>105</v>
      </c>
      <c r="J148" s="65" t="s">
        <v>64</v>
      </c>
      <c r="K148" s="74"/>
    </row>
    <row r="149" spans="1:11" ht="12.75" customHeight="1" thickBot="1" x14ac:dyDescent="0.25">
      <c r="A149" s="60">
        <f t="shared" si="16"/>
        <v>0</v>
      </c>
      <c r="B149" s="60">
        <f t="shared" si="16"/>
        <v>0</v>
      </c>
      <c r="C149" s="60">
        <f t="shared" si="16"/>
        <v>0</v>
      </c>
      <c r="D149" s="60">
        <f t="shared" si="14"/>
        <v>0</v>
      </c>
      <c r="E149" s="60">
        <v>0</v>
      </c>
      <c r="F149" s="60">
        <v>0</v>
      </c>
      <c r="G149" s="60">
        <f t="shared" si="15"/>
        <v>0</v>
      </c>
      <c r="H149" s="60">
        <v>0</v>
      </c>
      <c r="I149" s="60">
        <v>0</v>
      </c>
      <c r="J149" s="65" t="s">
        <v>61</v>
      </c>
      <c r="K149" s="66"/>
    </row>
    <row r="150" spans="1:11" ht="12.75" customHeight="1" thickBot="1" x14ac:dyDescent="0.25">
      <c r="A150" s="60">
        <f t="shared" si="16"/>
        <v>23</v>
      </c>
      <c r="B150" s="60">
        <f t="shared" si="16"/>
        <v>23</v>
      </c>
      <c r="C150" s="60">
        <f t="shared" si="16"/>
        <v>0</v>
      </c>
      <c r="D150" s="60">
        <f t="shared" si="14"/>
        <v>1</v>
      </c>
      <c r="E150" s="60">
        <v>1</v>
      </c>
      <c r="F150" s="60">
        <v>0</v>
      </c>
      <c r="G150" s="60">
        <f t="shared" si="15"/>
        <v>22</v>
      </c>
      <c r="H150" s="60">
        <v>22</v>
      </c>
      <c r="I150" s="60">
        <v>0</v>
      </c>
      <c r="J150" s="65" t="s">
        <v>62</v>
      </c>
      <c r="K150" s="66" t="s">
        <v>367</v>
      </c>
    </row>
    <row r="151" spans="1:11" ht="12.75" customHeight="1" thickBot="1" x14ac:dyDescent="0.25">
      <c r="A151" s="60">
        <f t="shared" si="16"/>
        <v>0</v>
      </c>
      <c r="B151" s="60">
        <f t="shared" si="16"/>
        <v>0</v>
      </c>
      <c r="C151" s="60">
        <f t="shared" si="16"/>
        <v>0</v>
      </c>
      <c r="D151" s="60">
        <f t="shared" si="14"/>
        <v>0</v>
      </c>
      <c r="E151" s="60">
        <v>0</v>
      </c>
      <c r="F151" s="60">
        <v>0</v>
      </c>
      <c r="G151" s="60">
        <f t="shared" si="15"/>
        <v>0</v>
      </c>
      <c r="H151" s="60">
        <v>0</v>
      </c>
      <c r="I151" s="60">
        <v>0</v>
      </c>
      <c r="J151" s="65" t="s">
        <v>64</v>
      </c>
      <c r="K151" s="74"/>
    </row>
    <row r="152" spans="1:11" ht="12.75" customHeight="1" thickBot="1" x14ac:dyDescent="0.25">
      <c r="A152" s="60">
        <f t="shared" si="16"/>
        <v>14</v>
      </c>
      <c r="B152" s="60">
        <f t="shared" si="16"/>
        <v>4</v>
      </c>
      <c r="C152" s="60">
        <f t="shared" si="16"/>
        <v>10</v>
      </c>
      <c r="D152" s="60">
        <f t="shared" si="14"/>
        <v>0</v>
      </c>
      <c r="E152" s="60">
        <v>0</v>
      </c>
      <c r="F152" s="60">
        <v>0</v>
      </c>
      <c r="G152" s="60">
        <f t="shared" si="15"/>
        <v>14</v>
      </c>
      <c r="H152" s="60">
        <v>4</v>
      </c>
      <c r="I152" s="60">
        <v>10</v>
      </c>
      <c r="J152" s="65" t="s">
        <v>61</v>
      </c>
      <c r="K152" s="66"/>
    </row>
    <row r="153" spans="1:11" ht="12.75" customHeight="1" thickBot="1" x14ac:dyDescent="0.25">
      <c r="A153" s="60">
        <f t="shared" si="16"/>
        <v>70</v>
      </c>
      <c r="B153" s="60">
        <f t="shared" si="16"/>
        <v>38</v>
      </c>
      <c r="C153" s="60">
        <f t="shared" si="16"/>
        <v>32</v>
      </c>
      <c r="D153" s="60">
        <f t="shared" si="14"/>
        <v>2</v>
      </c>
      <c r="E153" s="60">
        <v>0</v>
      </c>
      <c r="F153" s="60">
        <v>2</v>
      </c>
      <c r="G153" s="60">
        <f t="shared" si="15"/>
        <v>68</v>
      </c>
      <c r="H153" s="60">
        <v>38</v>
      </c>
      <c r="I153" s="60">
        <v>30</v>
      </c>
      <c r="J153" s="65" t="s">
        <v>62</v>
      </c>
      <c r="K153" s="66" t="s">
        <v>368</v>
      </c>
    </row>
    <row r="154" spans="1:11" ht="12.75" customHeight="1" thickBot="1" x14ac:dyDescent="0.25">
      <c r="A154" s="60">
        <f t="shared" si="16"/>
        <v>0</v>
      </c>
      <c r="B154" s="60">
        <f t="shared" si="16"/>
        <v>0</v>
      </c>
      <c r="C154" s="60">
        <f t="shared" si="16"/>
        <v>0</v>
      </c>
      <c r="D154" s="60">
        <f t="shared" si="14"/>
        <v>0</v>
      </c>
      <c r="E154" s="60">
        <v>0</v>
      </c>
      <c r="F154" s="60">
        <v>0</v>
      </c>
      <c r="G154" s="60">
        <f t="shared" si="15"/>
        <v>0</v>
      </c>
      <c r="H154" s="60">
        <v>0</v>
      </c>
      <c r="I154" s="60">
        <v>0</v>
      </c>
      <c r="J154" s="65" t="s">
        <v>64</v>
      </c>
      <c r="K154" s="74"/>
    </row>
    <row r="155" spans="1:11" ht="12.75" customHeight="1" thickBot="1" x14ac:dyDescent="0.25">
      <c r="A155" s="60">
        <f t="shared" ref="A155:C157" si="17">G155+D155</f>
        <v>0</v>
      </c>
      <c r="B155" s="60">
        <f t="shared" si="17"/>
        <v>0</v>
      </c>
      <c r="C155" s="60">
        <f t="shared" si="17"/>
        <v>0</v>
      </c>
      <c r="D155" s="60">
        <f t="shared" si="14"/>
        <v>0</v>
      </c>
      <c r="E155" s="60">
        <v>0</v>
      </c>
      <c r="F155" s="60">
        <v>0</v>
      </c>
      <c r="G155" s="60">
        <f t="shared" si="15"/>
        <v>0</v>
      </c>
      <c r="H155" s="60">
        <v>0</v>
      </c>
      <c r="I155" s="60">
        <v>0</v>
      </c>
      <c r="J155" s="65" t="s">
        <v>61</v>
      </c>
      <c r="K155" s="66"/>
    </row>
    <row r="156" spans="1:11" ht="12.75" customHeight="1" thickBot="1" x14ac:dyDescent="0.25">
      <c r="A156" s="60">
        <f t="shared" si="17"/>
        <v>24</v>
      </c>
      <c r="B156" s="60">
        <f t="shared" si="17"/>
        <v>0</v>
      </c>
      <c r="C156" s="60">
        <f t="shared" si="17"/>
        <v>24</v>
      </c>
      <c r="D156" s="60">
        <f t="shared" si="14"/>
        <v>1</v>
      </c>
      <c r="E156" s="60">
        <v>0</v>
      </c>
      <c r="F156" s="60">
        <v>1</v>
      </c>
      <c r="G156" s="60">
        <f t="shared" si="15"/>
        <v>23</v>
      </c>
      <c r="H156" s="60">
        <v>0</v>
      </c>
      <c r="I156" s="60">
        <v>23</v>
      </c>
      <c r="J156" s="65" t="s">
        <v>62</v>
      </c>
      <c r="K156" s="66" t="s">
        <v>537</v>
      </c>
    </row>
    <row r="157" spans="1:11" ht="12.75" customHeight="1" thickBot="1" x14ac:dyDescent="0.25">
      <c r="A157" s="60">
        <f t="shared" si="17"/>
        <v>0</v>
      </c>
      <c r="B157" s="60">
        <f t="shared" si="17"/>
        <v>0</v>
      </c>
      <c r="C157" s="60">
        <f t="shared" si="17"/>
        <v>0</v>
      </c>
      <c r="D157" s="60">
        <f t="shared" si="14"/>
        <v>0</v>
      </c>
      <c r="E157" s="60">
        <v>0</v>
      </c>
      <c r="F157" s="60">
        <v>0</v>
      </c>
      <c r="G157" s="60">
        <f t="shared" si="15"/>
        <v>0</v>
      </c>
      <c r="H157" s="60">
        <v>0</v>
      </c>
      <c r="I157" s="60">
        <v>0</v>
      </c>
      <c r="J157" s="65" t="s">
        <v>64</v>
      </c>
      <c r="K157" s="74"/>
    </row>
    <row r="158" spans="1:11" ht="12.75" customHeight="1" thickBot="1" x14ac:dyDescent="0.25">
      <c r="A158" s="60">
        <f t="shared" ref="A158:I160" si="18">A110+A113+A116+A119+A122+A125+A128+A131+A134+A137+A140+A143+A146+A149+A152+A155</f>
        <v>629</v>
      </c>
      <c r="B158" s="60">
        <f t="shared" si="18"/>
        <v>196</v>
      </c>
      <c r="C158" s="60">
        <f t="shared" si="18"/>
        <v>433</v>
      </c>
      <c r="D158" s="60">
        <f t="shared" si="18"/>
        <v>41</v>
      </c>
      <c r="E158" s="60">
        <f t="shared" si="18"/>
        <v>9</v>
      </c>
      <c r="F158" s="60">
        <f t="shared" si="18"/>
        <v>32</v>
      </c>
      <c r="G158" s="60">
        <f t="shared" si="18"/>
        <v>588</v>
      </c>
      <c r="H158" s="60">
        <f t="shared" si="18"/>
        <v>187</v>
      </c>
      <c r="I158" s="60">
        <f>I110+I113+I116+I119+I122+I125+I128+I131+I134+I137+I140+I143+I146+I149+I152+I155</f>
        <v>401</v>
      </c>
      <c r="J158" s="65" t="s">
        <v>231</v>
      </c>
      <c r="K158" s="57"/>
    </row>
    <row r="159" spans="1:11" ht="12.75" customHeight="1" thickBot="1" x14ac:dyDescent="0.25">
      <c r="A159" s="60">
        <f t="shared" si="18"/>
        <v>4726</v>
      </c>
      <c r="B159" s="60">
        <f t="shared" si="18"/>
        <v>1788</v>
      </c>
      <c r="C159" s="60">
        <f t="shared" si="18"/>
        <v>2938</v>
      </c>
      <c r="D159" s="60">
        <f t="shared" si="18"/>
        <v>243</v>
      </c>
      <c r="E159" s="60">
        <f t="shared" si="18"/>
        <v>82</v>
      </c>
      <c r="F159" s="60">
        <f t="shared" si="18"/>
        <v>161</v>
      </c>
      <c r="G159" s="60">
        <f t="shared" si="18"/>
        <v>4483</v>
      </c>
      <c r="H159" s="60">
        <f t="shared" si="18"/>
        <v>1706</v>
      </c>
      <c r="I159" s="60">
        <f t="shared" si="18"/>
        <v>2777</v>
      </c>
      <c r="J159" s="65" t="s">
        <v>62</v>
      </c>
      <c r="K159" s="68" t="s">
        <v>232</v>
      </c>
    </row>
    <row r="160" spans="1:11" ht="12.75" customHeight="1" thickBot="1" x14ac:dyDescent="0.25">
      <c r="A160" s="60">
        <f t="shared" si="18"/>
        <v>166</v>
      </c>
      <c r="B160" s="60">
        <f t="shared" si="18"/>
        <v>57</v>
      </c>
      <c r="C160" s="60">
        <f t="shared" si="18"/>
        <v>109</v>
      </c>
      <c r="D160" s="60">
        <f t="shared" si="18"/>
        <v>0</v>
      </c>
      <c r="E160" s="60">
        <f t="shared" si="18"/>
        <v>0</v>
      </c>
      <c r="F160" s="60">
        <f t="shared" si="18"/>
        <v>0</v>
      </c>
      <c r="G160" s="60">
        <f t="shared" si="18"/>
        <v>166</v>
      </c>
      <c r="H160" s="60">
        <f t="shared" si="18"/>
        <v>57</v>
      </c>
      <c r="I160" s="60">
        <f t="shared" si="18"/>
        <v>109</v>
      </c>
      <c r="J160" s="65" t="s">
        <v>64</v>
      </c>
      <c r="K160" s="59"/>
    </row>
    <row r="161" spans="1:11" ht="12.75" customHeight="1" thickBot="1" x14ac:dyDescent="0.25">
      <c r="A161" s="60">
        <f t="shared" ref="A161:H161" si="19">SUM(A158:A160)</f>
        <v>5521</v>
      </c>
      <c r="B161" s="60">
        <f t="shared" si="19"/>
        <v>2041</v>
      </c>
      <c r="C161" s="60">
        <f t="shared" si="19"/>
        <v>3480</v>
      </c>
      <c r="D161" s="60">
        <f t="shared" si="19"/>
        <v>284</v>
      </c>
      <c r="E161" s="60">
        <f t="shared" si="19"/>
        <v>91</v>
      </c>
      <c r="F161" s="60">
        <f t="shared" si="19"/>
        <v>193</v>
      </c>
      <c r="G161" s="60">
        <f t="shared" si="19"/>
        <v>5237</v>
      </c>
      <c r="H161" s="60">
        <f t="shared" si="19"/>
        <v>1950</v>
      </c>
      <c r="I161" s="60">
        <f>SUM(I158:I160)</f>
        <v>3287</v>
      </c>
      <c r="J161" s="184" t="s">
        <v>233</v>
      </c>
      <c r="K161" s="184"/>
    </row>
    <row r="163" spans="1:11" ht="12.75" customHeight="1" x14ac:dyDescent="0.2">
      <c r="A163" s="177" t="s">
        <v>576</v>
      </c>
      <c r="B163" s="177"/>
      <c r="C163" s="177"/>
      <c r="D163" s="177"/>
      <c r="E163" s="177"/>
      <c r="F163" s="177"/>
      <c r="G163" s="177"/>
      <c r="H163" s="177"/>
      <c r="I163" s="177"/>
      <c r="J163" s="177"/>
      <c r="K163" s="177"/>
    </row>
    <row r="164" spans="1:11" ht="12.75" customHeight="1" thickBot="1" x14ac:dyDescent="0.25">
      <c r="A164" s="178" t="s">
        <v>577</v>
      </c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</row>
    <row r="165" spans="1:11" ht="12.75" customHeight="1" thickBot="1" x14ac:dyDescent="0.25">
      <c r="A165" s="179" t="s">
        <v>5</v>
      </c>
      <c r="B165" s="179"/>
      <c r="C165" s="179"/>
      <c r="D165" s="179" t="s">
        <v>162</v>
      </c>
      <c r="E165" s="179"/>
      <c r="F165" s="179"/>
      <c r="G165" s="179" t="s">
        <v>163</v>
      </c>
      <c r="H165" s="179"/>
      <c r="I165" s="179"/>
      <c r="J165" s="179" t="s">
        <v>72</v>
      </c>
      <c r="K165" s="179"/>
    </row>
    <row r="166" spans="1:11" ht="12.75" customHeight="1" thickBot="1" x14ac:dyDescent="0.25">
      <c r="A166" s="58" t="s">
        <v>216</v>
      </c>
      <c r="B166" s="58" t="s">
        <v>11</v>
      </c>
      <c r="C166" s="58" t="s">
        <v>10</v>
      </c>
      <c r="D166" s="58" t="s">
        <v>216</v>
      </c>
      <c r="E166" s="58" t="s">
        <v>11</v>
      </c>
      <c r="F166" s="58" t="s">
        <v>10</v>
      </c>
      <c r="G166" s="58" t="s">
        <v>216</v>
      </c>
      <c r="H166" s="58" t="s">
        <v>11</v>
      </c>
      <c r="I166" s="58" t="s">
        <v>10</v>
      </c>
      <c r="J166" s="180" t="s">
        <v>79</v>
      </c>
      <c r="K166" s="180"/>
    </row>
    <row r="167" spans="1:11" ht="12.75" customHeight="1" thickBot="1" x14ac:dyDescent="0.25">
      <c r="A167" s="60">
        <f t="shared" ref="A167:C182" si="20">G167+D167</f>
        <v>36</v>
      </c>
      <c r="B167" s="60">
        <f t="shared" si="20"/>
        <v>20</v>
      </c>
      <c r="C167" s="60">
        <f>I167+F167</f>
        <v>16</v>
      </c>
      <c r="D167" s="60">
        <f t="shared" ref="D167:D173" si="21">F167+E167</f>
        <v>0</v>
      </c>
      <c r="E167" s="60">
        <v>0</v>
      </c>
      <c r="F167" s="60">
        <v>0</v>
      </c>
      <c r="G167" s="60">
        <f t="shared" ref="G167:G173" si="22">I167+H167</f>
        <v>36</v>
      </c>
      <c r="H167" s="60">
        <v>20</v>
      </c>
      <c r="I167" s="60">
        <v>16</v>
      </c>
      <c r="J167" s="65" t="s">
        <v>61</v>
      </c>
      <c r="K167" s="66"/>
    </row>
    <row r="168" spans="1:11" ht="12.75" customHeight="1" thickBot="1" x14ac:dyDescent="0.25">
      <c r="A168" s="60">
        <f t="shared" si="20"/>
        <v>235</v>
      </c>
      <c r="B168" s="60">
        <f t="shared" si="20"/>
        <v>164</v>
      </c>
      <c r="C168" s="60">
        <f t="shared" si="20"/>
        <v>71</v>
      </c>
      <c r="D168" s="60">
        <f t="shared" si="21"/>
        <v>8</v>
      </c>
      <c r="E168" s="60">
        <v>6</v>
      </c>
      <c r="F168" s="60">
        <v>2</v>
      </c>
      <c r="G168" s="60">
        <f t="shared" si="22"/>
        <v>227</v>
      </c>
      <c r="H168" s="60">
        <v>158</v>
      </c>
      <c r="I168" s="60">
        <v>69</v>
      </c>
      <c r="J168" s="65" t="s">
        <v>62</v>
      </c>
      <c r="K168" s="66" t="s">
        <v>375</v>
      </c>
    </row>
    <row r="169" spans="1:11" ht="12.75" customHeight="1" thickBot="1" x14ac:dyDescent="0.25">
      <c r="A169" s="60">
        <f t="shared" si="20"/>
        <v>0</v>
      </c>
      <c r="B169" s="60">
        <f t="shared" si="20"/>
        <v>0</v>
      </c>
      <c r="C169" s="60">
        <f t="shared" si="20"/>
        <v>0</v>
      </c>
      <c r="D169" s="60">
        <f t="shared" si="21"/>
        <v>0</v>
      </c>
      <c r="E169" s="60">
        <v>0</v>
      </c>
      <c r="F169" s="60">
        <v>0</v>
      </c>
      <c r="G169" s="60">
        <f t="shared" si="22"/>
        <v>0</v>
      </c>
      <c r="H169" s="60">
        <v>0</v>
      </c>
      <c r="I169" s="60">
        <v>0</v>
      </c>
      <c r="J169" s="65" t="s">
        <v>64</v>
      </c>
      <c r="K169" s="74"/>
    </row>
    <row r="170" spans="1:11" ht="12.75" customHeight="1" thickBot="1" x14ac:dyDescent="0.25">
      <c r="A170" s="60">
        <f t="shared" si="20"/>
        <v>0</v>
      </c>
      <c r="B170" s="60">
        <f t="shared" si="20"/>
        <v>0</v>
      </c>
      <c r="C170" s="60">
        <f t="shared" si="20"/>
        <v>0</v>
      </c>
      <c r="D170" s="60">
        <f t="shared" si="21"/>
        <v>0</v>
      </c>
      <c r="E170" s="60">
        <v>0</v>
      </c>
      <c r="F170" s="60">
        <v>0</v>
      </c>
      <c r="G170" s="60">
        <f t="shared" si="22"/>
        <v>0</v>
      </c>
      <c r="H170" s="60">
        <v>0</v>
      </c>
      <c r="I170" s="60">
        <v>0</v>
      </c>
      <c r="J170" s="65" t="s">
        <v>61</v>
      </c>
      <c r="K170" s="66"/>
    </row>
    <row r="171" spans="1:11" ht="12.75" customHeight="1" thickBot="1" x14ac:dyDescent="0.25">
      <c r="A171" s="60">
        <f t="shared" si="20"/>
        <v>23</v>
      </c>
      <c r="B171" s="60">
        <f t="shared" si="20"/>
        <v>17</v>
      </c>
      <c r="C171" s="60">
        <f t="shared" si="20"/>
        <v>6</v>
      </c>
      <c r="D171" s="60">
        <f t="shared" si="21"/>
        <v>3</v>
      </c>
      <c r="E171" s="60">
        <v>1</v>
      </c>
      <c r="F171" s="60">
        <v>2</v>
      </c>
      <c r="G171" s="60">
        <f t="shared" si="22"/>
        <v>20</v>
      </c>
      <c r="H171" s="60">
        <v>16</v>
      </c>
      <c r="I171" s="60">
        <v>4</v>
      </c>
      <c r="J171" s="65" t="s">
        <v>62</v>
      </c>
      <c r="K171" s="66" t="s">
        <v>263</v>
      </c>
    </row>
    <row r="172" spans="1:11" ht="12.75" customHeight="1" thickBot="1" x14ac:dyDescent="0.25">
      <c r="A172" s="60">
        <f t="shared" si="20"/>
        <v>0</v>
      </c>
      <c r="B172" s="60">
        <f t="shared" si="20"/>
        <v>0</v>
      </c>
      <c r="C172" s="60">
        <f t="shared" si="20"/>
        <v>0</v>
      </c>
      <c r="D172" s="60">
        <f t="shared" si="21"/>
        <v>0</v>
      </c>
      <c r="E172" s="60">
        <v>0</v>
      </c>
      <c r="F172" s="60">
        <v>0</v>
      </c>
      <c r="G172" s="60">
        <f t="shared" si="22"/>
        <v>0</v>
      </c>
      <c r="H172" s="60">
        <v>0</v>
      </c>
      <c r="I172" s="60">
        <v>0</v>
      </c>
      <c r="J172" s="65" t="s">
        <v>64</v>
      </c>
      <c r="K172" s="74"/>
    </row>
    <row r="173" spans="1:11" ht="12.75" customHeight="1" thickBot="1" x14ac:dyDescent="0.25">
      <c r="A173" s="60">
        <f t="shared" si="20"/>
        <v>0</v>
      </c>
      <c r="B173" s="60">
        <f t="shared" si="20"/>
        <v>0</v>
      </c>
      <c r="C173" s="60">
        <f t="shared" si="20"/>
        <v>0</v>
      </c>
      <c r="D173" s="60">
        <f t="shared" si="21"/>
        <v>0</v>
      </c>
      <c r="E173" s="60">
        <v>0</v>
      </c>
      <c r="F173" s="60">
        <v>0</v>
      </c>
      <c r="G173" s="60">
        <f t="shared" si="22"/>
        <v>0</v>
      </c>
      <c r="H173" s="60">
        <v>0</v>
      </c>
      <c r="I173" s="60">
        <v>0</v>
      </c>
      <c r="J173" s="65" t="s">
        <v>61</v>
      </c>
      <c r="K173" s="66"/>
    </row>
    <row r="174" spans="1:11" ht="12.75" customHeight="1" thickBot="1" x14ac:dyDescent="0.25">
      <c r="A174" s="60">
        <f t="shared" si="20"/>
        <v>9</v>
      </c>
      <c r="B174" s="60">
        <f t="shared" si="20"/>
        <v>8</v>
      </c>
      <c r="C174" s="60">
        <f t="shared" si="20"/>
        <v>1</v>
      </c>
      <c r="D174" s="60">
        <f>F174+E174</f>
        <v>0</v>
      </c>
      <c r="E174" s="60">
        <v>0</v>
      </c>
      <c r="F174" s="60">
        <v>0</v>
      </c>
      <c r="G174" s="60">
        <f>I174+H174</f>
        <v>9</v>
      </c>
      <c r="H174" s="60">
        <v>8</v>
      </c>
      <c r="I174" s="60">
        <v>1</v>
      </c>
      <c r="J174" s="65" t="s">
        <v>62</v>
      </c>
      <c r="K174" s="66" t="s">
        <v>376</v>
      </c>
    </row>
    <row r="175" spans="1:11" ht="12.75" customHeight="1" thickBot="1" x14ac:dyDescent="0.25">
      <c r="A175" s="60">
        <f t="shared" si="20"/>
        <v>0</v>
      </c>
      <c r="B175" s="60">
        <f t="shared" si="20"/>
        <v>0</v>
      </c>
      <c r="C175" s="60">
        <f t="shared" si="20"/>
        <v>0</v>
      </c>
      <c r="D175" s="60">
        <f t="shared" ref="D175:D211" si="23">F175+E175</f>
        <v>0</v>
      </c>
      <c r="E175" s="60">
        <v>0</v>
      </c>
      <c r="F175" s="60">
        <v>0</v>
      </c>
      <c r="G175" s="60">
        <f t="shared" ref="G175:G211" si="24">I175+H175</f>
        <v>0</v>
      </c>
      <c r="H175" s="60">
        <v>0</v>
      </c>
      <c r="I175" s="60">
        <v>0</v>
      </c>
      <c r="J175" s="65" t="s">
        <v>64</v>
      </c>
      <c r="K175" s="74"/>
    </row>
    <row r="176" spans="1:11" ht="12.75" customHeight="1" thickBot="1" x14ac:dyDescent="0.25">
      <c r="A176" s="60">
        <f t="shared" si="20"/>
        <v>34</v>
      </c>
      <c r="B176" s="60">
        <f t="shared" si="20"/>
        <v>15</v>
      </c>
      <c r="C176" s="60">
        <f t="shared" si="20"/>
        <v>19</v>
      </c>
      <c r="D176" s="60">
        <f t="shared" si="23"/>
        <v>0</v>
      </c>
      <c r="E176" s="60">
        <v>0</v>
      </c>
      <c r="F176" s="60">
        <v>0</v>
      </c>
      <c r="G176" s="60">
        <f t="shared" si="24"/>
        <v>34</v>
      </c>
      <c r="H176" s="60">
        <v>15</v>
      </c>
      <c r="I176" s="60">
        <v>19</v>
      </c>
      <c r="J176" s="65" t="s">
        <v>61</v>
      </c>
      <c r="K176" s="66"/>
    </row>
    <row r="177" spans="1:11" ht="12.75" customHeight="1" thickBot="1" x14ac:dyDescent="0.25">
      <c r="A177" s="60">
        <f t="shared" si="20"/>
        <v>305</v>
      </c>
      <c r="B177" s="60">
        <f t="shared" si="20"/>
        <v>232</v>
      </c>
      <c r="C177" s="60">
        <f t="shared" si="20"/>
        <v>73</v>
      </c>
      <c r="D177" s="60">
        <f t="shared" si="23"/>
        <v>40</v>
      </c>
      <c r="E177" s="60">
        <v>20</v>
      </c>
      <c r="F177" s="60">
        <v>20</v>
      </c>
      <c r="G177" s="60">
        <f t="shared" si="24"/>
        <v>265</v>
      </c>
      <c r="H177" s="60">
        <v>212</v>
      </c>
      <c r="I177" s="60">
        <v>53</v>
      </c>
      <c r="J177" s="65" t="s">
        <v>62</v>
      </c>
      <c r="K177" s="66" t="s">
        <v>359</v>
      </c>
    </row>
    <row r="178" spans="1:11" ht="12.75" customHeight="1" thickBot="1" x14ac:dyDescent="0.25">
      <c r="A178" s="60">
        <f t="shared" si="20"/>
        <v>0</v>
      </c>
      <c r="B178" s="60">
        <f t="shared" si="20"/>
        <v>0</v>
      </c>
      <c r="C178" s="60">
        <f t="shared" si="20"/>
        <v>0</v>
      </c>
      <c r="D178" s="60">
        <f t="shared" si="23"/>
        <v>0</v>
      </c>
      <c r="E178" s="60">
        <v>0</v>
      </c>
      <c r="F178" s="60">
        <v>0</v>
      </c>
      <c r="G178" s="60">
        <f t="shared" si="24"/>
        <v>0</v>
      </c>
      <c r="H178" s="60">
        <v>0</v>
      </c>
      <c r="I178" s="60">
        <v>0</v>
      </c>
      <c r="J178" s="65" t="s">
        <v>64</v>
      </c>
      <c r="K178" s="74"/>
    </row>
    <row r="179" spans="1:11" ht="12.75" customHeight="1" thickBot="1" x14ac:dyDescent="0.25">
      <c r="A179" s="60">
        <f t="shared" si="20"/>
        <v>11</v>
      </c>
      <c r="B179" s="60">
        <f t="shared" si="20"/>
        <v>0</v>
      </c>
      <c r="C179" s="60">
        <f t="shared" si="20"/>
        <v>11</v>
      </c>
      <c r="D179" s="60">
        <f t="shared" si="23"/>
        <v>0</v>
      </c>
      <c r="E179" s="60">
        <v>0</v>
      </c>
      <c r="F179" s="60">
        <v>0</v>
      </c>
      <c r="G179" s="60">
        <f t="shared" si="24"/>
        <v>11</v>
      </c>
      <c r="H179" s="60">
        <v>0</v>
      </c>
      <c r="I179" s="60">
        <v>11</v>
      </c>
      <c r="J179" s="65" t="s">
        <v>61</v>
      </c>
      <c r="K179" s="66"/>
    </row>
    <row r="180" spans="1:11" ht="12.75" customHeight="1" thickBot="1" x14ac:dyDescent="0.25">
      <c r="A180" s="60">
        <f t="shared" si="20"/>
        <v>199</v>
      </c>
      <c r="B180" s="60">
        <f t="shared" si="20"/>
        <v>0</v>
      </c>
      <c r="C180" s="60">
        <f t="shared" si="20"/>
        <v>199</v>
      </c>
      <c r="D180" s="60">
        <f t="shared" si="23"/>
        <v>6</v>
      </c>
      <c r="E180" s="60">
        <v>0</v>
      </c>
      <c r="F180" s="60">
        <v>6</v>
      </c>
      <c r="G180" s="60">
        <f t="shared" si="24"/>
        <v>193</v>
      </c>
      <c r="H180" s="60">
        <v>0</v>
      </c>
      <c r="I180" s="60">
        <v>193</v>
      </c>
      <c r="J180" s="65" t="s">
        <v>62</v>
      </c>
      <c r="K180" s="66" t="s">
        <v>377</v>
      </c>
    </row>
    <row r="181" spans="1:11" ht="12.75" customHeight="1" thickBot="1" x14ac:dyDescent="0.25">
      <c r="A181" s="60">
        <f t="shared" si="20"/>
        <v>0</v>
      </c>
      <c r="B181" s="60">
        <f t="shared" si="20"/>
        <v>0</v>
      </c>
      <c r="C181" s="60">
        <f t="shared" si="20"/>
        <v>0</v>
      </c>
      <c r="D181" s="60">
        <f t="shared" si="23"/>
        <v>0</v>
      </c>
      <c r="E181" s="60">
        <v>0</v>
      </c>
      <c r="F181" s="60">
        <v>0</v>
      </c>
      <c r="G181" s="60">
        <f t="shared" si="24"/>
        <v>0</v>
      </c>
      <c r="H181" s="60">
        <v>0</v>
      </c>
      <c r="I181" s="60">
        <v>0</v>
      </c>
      <c r="J181" s="65" t="s">
        <v>64</v>
      </c>
      <c r="K181" s="74"/>
    </row>
    <row r="182" spans="1:11" ht="12.75" customHeight="1" thickBot="1" x14ac:dyDescent="0.25">
      <c r="A182" s="60">
        <f t="shared" si="20"/>
        <v>0</v>
      </c>
      <c r="B182" s="60">
        <f t="shared" si="20"/>
        <v>0</v>
      </c>
      <c r="C182" s="60">
        <f t="shared" si="20"/>
        <v>0</v>
      </c>
      <c r="D182" s="60">
        <f t="shared" si="23"/>
        <v>0</v>
      </c>
      <c r="E182" s="60">
        <v>0</v>
      </c>
      <c r="F182" s="60">
        <v>0</v>
      </c>
      <c r="G182" s="60">
        <f t="shared" si="24"/>
        <v>0</v>
      </c>
      <c r="H182" s="60">
        <v>0</v>
      </c>
      <c r="I182" s="60">
        <v>0</v>
      </c>
      <c r="J182" s="65" t="s">
        <v>61</v>
      </c>
      <c r="K182" s="66"/>
    </row>
    <row r="183" spans="1:11" ht="12.75" customHeight="1" thickBot="1" x14ac:dyDescent="0.25">
      <c r="A183" s="60">
        <f t="shared" ref="A183:C208" si="25">G183+D183</f>
        <v>705</v>
      </c>
      <c r="B183" s="60">
        <f t="shared" si="25"/>
        <v>249</v>
      </c>
      <c r="C183" s="60">
        <f t="shared" si="25"/>
        <v>456</v>
      </c>
      <c r="D183" s="60">
        <f t="shared" si="23"/>
        <v>31</v>
      </c>
      <c r="E183" s="60">
        <v>10</v>
      </c>
      <c r="F183" s="60">
        <v>21</v>
      </c>
      <c r="G183" s="60">
        <f t="shared" si="24"/>
        <v>674</v>
      </c>
      <c r="H183" s="60">
        <v>239</v>
      </c>
      <c r="I183" s="60">
        <v>435</v>
      </c>
      <c r="J183" s="65" t="s">
        <v>62</v>
      </c>
      <c r="K183" s="66" t="s">
        <v>378</v>
      </c>
    </row>
    <row r="184" spans="1:11" ht="12.75" customHeight="1" thickBot="1" x14ac:dyDescent="0.25">
      <c r="A184" s="60">
        <f t="shared" si="25"/>
        <v>0</v>
      </c>
      <c r="B184" s="60">
        <f t="shared" si="25"/>
        <v>0</v>
      </c>
      <c r="C184" s="60">
        <f t="shared" si="25"/>
        <v>0</v>
      </c>
      <c r="D184" s="60">
        <f t="shared" si="23"/>
        <v>0</v>
      </c>
      <c r="E184" s="60">
        <v>0</v>
      </c>
      <c r="F184" s="60">
        <v>0</v>
      </c>
      <c r="G184" s="60">
        <f t="shared" si="24"/>
        <v>0</v>
      </c>
      <c r="H184" s="60">
        <v>0</v>
      </c>
      <c r="I184" s="60">
        <v>0</v>
      </c>
      <c r="J184" s="65" t="s">
        <v>64</v>
      </c>
      <c r="K184" s="74"/>
    </row>
    <row r="185" spans="1:11" ht="12.75" customHeight="1" thickBot="1" x14ac:dyDescent="0.25">
      <c r="A185" s="60">
        <f t="shared" si="25"/>
        <v>0</v>
      </c>
      <c r="B185" s="60">
        <f t="shared" si="25"/>
        <v>0</v>
      </c>
      <c r="C185" s="60">
        <f t="shared" si="25"/>
        <v>0</v>
      </c>
      <c r="D185" s="60">
        <f t="shared" si="23"/>
        <v>0</v>
      </c>
      <c r="E185" s="60">
        <v>0</v>
      </c>
      <c r="F185" s="60">
        <v>0</v>
      </c>
      <c r="G185" s="60">
        <f t="shared" si="24"/>
        <v>0</v>
      </c>
      <c r="H185" s="60">
        <v>0</v>
      </c>
      <c r="I185" s="60">
        <v>0</v>
      </c>
      <c r="J185" s="65" t="s">
        <v>61</v>
      </c>
      <c r="K185" s="66"/>
    </row>
    <row r="186" spans="1:11" ht="12.75" customHeight="1" thickBot="1" x14ac:dyDescent="0.25">
      <c r="A186" s="60">
        <f t="shared" si="25"/>
        <v>6</v>
      </c>
      <c r="B186" s="60">
        <f t="shared" si="25"/>
        <v>0</v>
      </c>
      <c r="C186" s="60">
        <f t="shared" si="25"/>
        <v>6</v>
      </c>
      <c r="D186" s="60">
        <f t="shared" si="23"/>
        <v>1</v>
      </c>
      <c r="E186" s="60">
        <v>0</v>
      </c>
      <c r="F186" s="60">
        <v>1</v>
      </c>
      <c r="G186" s="60">
        <f t="shared" si="24"/>
        <v>5</v>
      </c>
      <c r="H186" s="60">
        <v>0</v>
      </c>
      <c r="I186" s="60">
        <v>5</v>
      </c>
      <c r="J186" s="65" t="s">
        <v>62</v>
      </c>
      <c r="K186" s="66" t="s">
        <v>539</v>
      </c>
    </row>
    <row r="187" spans="1:11" ht="12.75" customHeight="1" thickBot="1" x14ac:dyDescent="0.25">
      <c r="A187" s="60">
        <f t="shared" si="25"/>
        <v>0</v>
      </c>
      <c r="B187" s="60">
        <f t="shared" si="25"/>
        <v>0</v>
      </c>
      <c r="C187" s="60">
        <f t="shared" si="25"/>
        <v>0</v>
      </c>
      <c r="D187" s="60">
        <f t="shared" si="23"/>
        <v>0</v>
      </c>
      <c r="E187" s="60">
        <v>0</v>
      </c>
      <c r="F187" s="60">
        <v>0</v>
      </c>
      <c r="G187" s="60">
        <f t="shared" si="24"/>
        <v>0</v>
      </c>
      <c r="H187" s="60">
        <v>0</v>
      </c>
      <c r="I187" s="60">
        <v>0</v>
      </c>
      <c r="J187" s="65" t="s">
        <v>64</v>
      </c>
      <c r="K187" s="74"/>
    </row>
    <row r="188" spans="1:11" ht="12.75" customHeight="1" thickBot="1" x14ac:dyDescent="0.25">
      <c r="A188" s="60">
        <f t="shared" si="25"/>
        <v>7</v>
      </c>
      <c r="B188" s="60">
        <f t="shared" si="25"/>
        <v>0</v>
      </c>
      <c r="C188" s="60">
        <f t="shared" si="25"/>
        <v>7</v>
      </c>
      <c r="D188" s="60">
        <f t="shared" si="23"/>
        <v>0</v>
      </c>
      <c r="E188" s="60">
        <v>0</v>
      </c>
      <c r="F188" s="60">
        <v>0</v>
      </c>
      <c r="G188" s="60">
        <f t="shared" si="24"/>
        <v>7</v>
      </c>
      <c r="H188" s="60">
        <v>0</v>
      </c>
      <c r="I188" s="60">
        <v>7</v>
      </c>
      <c r="J188" s="65" t="s">
        <v>61</v>
      </c>
      <c r="K188" s="66"/>
    </row>
    <row r="189" spans="1:11" ht="12.75" customHeight="1" thickBot="1" x14ac:dyDescent="0.25">
      <c r="A189" s="60">
        <f t="shared" si="25"/>
        <v>47</v>
      </c>
      <c r="B189" s="60">
        <f t="shared" si="25"/>
        <v>0</v>
      </c>
      <c r="C189" s="60">
        <f t="shared" si="25"/>
        <v>47</v>
      </c>
      <c r="D189" s="60">
        <f t="shared" si="23"/>
        <v>0</v>
      </c>
      <c r="E189" s="60">
        <v>0</v>
      </c>
      <c r="F189" s="60">
        <v>0</v>
      </c>
      <c r="G189" s="60">
        <f t="shared" si="24"/>
        <v>47</v>
      </c>
      <c r="H189" s="60">
        <v>0</v>
      </c>
      <c r="I189" s="60">
        <v>47</v>
      </c>
      <c r="J189" s="65" t="s">
        <v>62</v>
      </c>
      <c r="K189" s="66" t="s">
        <v>379</v>
      </c>
    </row>
    <row r="190" spans="1:11" ht="12.75" customHeight="1" thickBot="1" x14ac:dyDescent="0.25">
      <c r="A190" s="60">
        <f t="shared" si="25"/>
        <v>0</v>
      </c>
      <c r="B190" s="60">
        <f t="shared" si="25"/>
        <v>0</v>
      </c>
      <c r="C190" s="60">
        <f t="shared" si="25"/>
        <v>0</v>
      </c>
      <c r="D190" s="60">
        <f t="shared" si="23"/>
        <v>0</v>
      </c>
      <c r="E190" s="60">
        <v>0</v>
      </c>
      <c r="F190" s="60">
        <v>0</v>
      </c>
      <c r="G190" s="60">
        <f t="shared" si="24"/>
        <v>0</v>
      </c>
      <c r="H190" s="60">
        <v>0</v>
      </c>
      <c r="I190" s="60">
        <v>0</v>
      </c>
      <c r="J190" s="65" t="s">
        <v>64</v>
      </c>
      <c r="K190" s="74"/>
    </row>
    <row r="191" spans="1:11" ht="12.75" customHeight="1" thickBot="1" x14ac:dyDescent="0.25">
      <c r="A191" s="60">
        <f t="shared" si="25"/>
        <v>0</v>
      </c>
      <c r="B191" s="60">
        <f t="shared" si="25"/>
        <v>0</v>
      </c>
      <c r="C191" s="60">
        <f t="shared" si="25"/>
        <v>0</v>
      </c>
      <c r="D191" s="60">
        <f t="shared" si="23"/>
        <v>0</v>
      </c>
      <c r="E191" s="60">
        <v>0</v>
      </c>
      <c r="F191" s="60">
        <v>0</v>
      </c>
      <c r="G191" s="60">
        <f t="shared" si="24"/>
        <v>0</v>
      </c>
      <c r="H191" s="60">
        <v>0</v>
      </c>
      <c r="I191" s="60">
        <v>0</v>
      </c>
      <c r="J191" s="65" t="s">
        <v>61</v>
      </c>
      <c r="K191" s="66"/>
    </row>
    <row r="192" spans="1:11" ht="12.75" customHeight="1" thickBot="1" x14ac:dyDescent="0.25">
      <c r="A192" s="60">
        <f t="shared" si="25"/>
        <v>7</v>
      </c>
      <c r="B192" s="60">
        <f t="shared" si="25"/>
        <v>0</v>
      </c>
      <c r="C192" s="60">
        <f t="shared" si="25"/>
        <v>7</v>
      </c>
      <c r="D192" s="60">
        <f t="shared" si="23"/>
        <v>1</v>
      </c>
      <c r="E192" s="60">
        <v>0</v>
      </c>
      <c r="F192" s="60">
        <v>1</v>
      </c>
      <c r="G192" s="60">
        <f t="shared" si="24"/>
        <v>6</v>
      </c>
      <c r="H192" s="60">
        <v>0</v>
      </c>
      <c r="I192" s="60">
        <v>6</v>
      </c>
      <c r="J192" s="65" t="s">
        <v>62</v>
      </c>
      <c r="K192" s="66" t="s">
        <v>566</v>
      </c>
    </row>
    <row r="193" spans="1:11" ht="12.75" customHeight="1" thickBot="1" x14ac:dyDescent="0.25">
      <c r="A193" s="60">
        <f t="shared" si="25"/>
        <v>0</v>
      </c>
      <c r="B193" s="60">
        <f t="shared" si="25"/>
        <v>0</v>
      </c>
      <c r="C193" s="60">
        <f t="shared" si="25"/>
        <v>0</v>
      </c>
      <c r="D193" s="60">
        <f t="shared" si="23"/>
        <v>0</v>
      </c>
      <c r="E193" s="60">
        <v>0</v>
      </c>
      <c r="F193" s="60">
        <v>0</v>
      </c>
      <c r="G193" s="60">
        <f t="shared" si="24"/>
        <v>0</v>
      </c>
      <c r="H193" s="60">
        <v>0</v>
      </c>
      <c r="I193" s="60">
        <v>0</v>
      </c>
      <c r="J193" s="65" t="s">
        <v>64</v>
      </c>
      <c r="K193" s="74"/>
    </row>
    <row r="194" spans="1:11" ht="12.75" customHeight="1" thickBot="1" x14ac:dyDescent="0.25">
      <c r="A194" s="60">
        <f t="shared" si="25"/>
        <v>0</v>
      </c>
      <c r="B194" s="60">
        <f t="shared" si="25"/>
        <v>0</v>
      </c>
      <c r="C194" s="60">
        <f t="shared" si="25"/>
        <v>0</v>
      </c>
      <c r="D194" s="60">
        <f t="shared" si="23"/>
        <v>0</v>
      </c>
      <c r="E194" s="60">
        <v>0</v>
      </c>
      <c r="F194" s="60">
        <v>0</v>
      </c>
      <c r="G194" s="60">
        <f t="shared" si="24"/>
        <v>0</v>
      </c>
      <c r="H194" s="60">
        <v>0</v>
      </c>
      <c r="I194" s="60">
        <v>0</v>
      </c>
      <c r="J194" s="65" t="s">
        <v>61</v>
      </c>
      <c r="K194" s="66"/>
    </row>
    <row r="195" spans="1:11" ht="12.75" customHeight="1" thickBot="1" x14ac:dyDescent="0.25">
      <c r="A195" s="60">
        <f t="shared" si="25"/>
        <v>18</v>
      </c>
      <c r="B195" s="60">
        <f t="shared" si="25"/>
        <v>0</v>
      </c>
      <c r="C195" s="60">
        <f t="shared" si="25"/>
        <v>18</v>
      </c>
      <c r="D195" s="60">
        <f t="shared" si="23"/>
        <v>4</v>
      </c>
      <c r="E195" s="60">
        <v>0</v>
      </c>
      <c r="F195" s="60">
        <v>4</v>
      </c>
      <c r="G195" s="60">
        <f t="shared" si="24"/>
        <v>14</v>
      </c>
      <c r="H195" s="60">
        <v>0</v>
      </c>
      <c r="I195" s="60">
        <v>14</v>
      </c>
      <c r="J195" s="65" t="s">
        <v>62</v>
      </c>
      <c r="K195" s="66" t="s">
        <v>538</v>
      </c>
    </row>
    <row r="196" spans="1:11" ht="12.75" customHeight="1" thickBot="1" x14ac:dyDescent="0.25">
      <c r="A196" s="60">
        <f t="shared" si="25"/>
        <v>0</v>
      </c>
      <c r="B196" s="60">
        <f t="shared" si="25"/>
        <v>0</v>
      </c>
      <c r="C196" s="60">
        <f t="shared" si="25"/>
        <v>0</v>
      </c>
      <c r="D196" s="60">
        <f t="shared" si="23"/>
        <v>0</v>
      </c>
      <c r="E196" s="60">
        <v>0</v>
      </c>
      <c r="F196" s="60">
        <v>0</v>
      </c>
      <c r="G196" s="60">
        <f t="shared" si="24"/>
        <v>0</v>
      </c>
      <c r="H196" s="60">
        <v>0</v>
      </c>
      <c r="I196" s="60">
        <v>0</v>
      </c>
      <c r="J196" s="65" t="s">
        <v>64</v>
      </c>
      <c r="K196" s="74"/>
    </row>
    <row r="197" spans="1:11" ht="12.75" customHeight="1" thickBot="1" x14ac:dyDescent="0.25">
      <c r="A197" s="60">
        <f t="shared" si="25"/>
        <v>0</v>
      </c>
      <c r="B197" s="60">
        <f t="shared" si="25"/>
        <v>0</v>
      </c>
      <c r="C197" s="60">
        <f t="shared" si="25"/>
        <v>0</v>
      </c>
      <c r="D197" s="60">
        <f t="shared" si="23"/>
        <v>0</v>
      </c>
      <c r="E197" s="60">
        <v>0</v>
      </c>
      <c r="F197" s="60">
        <v>0</v>
      </c>
      <c r="G197" s="60">
        <f t="shared" si="24"/>
        <v>0</v>
      </c>
      <c r="H197" s="60">
        <v>0</v>
      </c>
      <c r="I197" s="60">
        <v>0</v>
      </c>
      <c r="J197" s="65" t="s">
        <v>61</v>
      </c>
      <c r="K197" s="66"/>
    </row>
    <row r="198" spans="1:11" ht="12.75" customHeight="1" thickBot="1" x14ac:dyDescent="0.25">
      <c r="A198" s="60">
        <f t="shared" si="25"/>
        <v>69</v>
      </c>
      <c r="B198" s="60">
        <f t="shared" si="25"/>
        <v>69</v>
      </c>
      <c r="C198" s="60">
        <f t="shared" si="25"/>
        <v>0</v>
      </c>
      <c r="D198" s="60">
        <f t="shared" si="23"/>
        <v>6</v>
      </c>
      <c r="E198" s="60">
        <v>6</v>
      </c>
      <c r="F198" s="60">
        <v>0</v>
      </c>
      <c r="G198" s="60">
        <f t="shared" si="24"/>
        <v>63</v>
      </c>
      <c r="H198" s="60">
        <v>63</v>
      </c>
      <c r="I198" s="60">
        <v>0</v>
      </c>
      <c r="J198" s="65" t="s">
        <v>62</v>
      </c>
      <c r="K198" s="66" t="s">
        <v>380</v>
      </c>
    </row>
    <row r="199" spans="1:11" ht="12.75" customHeight="1" thickBot="1" x14ac:dyDescent="0.25">
      <c r="A199" s="60">
        <f t="shared" si="25"/>
        <v>0</v>
      </c>
      <c r="B199" s="60">
        <f t="shared" si="25"/>
        <v>0</v>
      </c>
      <c r="C199" s="60">
        <f t="shared" si="25"/>
        <v>0</v>
      </c>
      <c r="D199" s="60">
        <f t="shared" si="23"/>
        <v>0</v>
      </c>
      <c r="E199" s="60">
        <v>0</v>
      </c>
      <c r="F199" s="60">
        <v>0</v>
      </c>
      <c r="G199" s="60">
        <f t="shared" si="24"/>
        <v>0</v>
      </c>
      <c r="H199" s="60">
        <v>0</v>
      </c>
      <c r="I199" s="60">
        <v>0</v>
      </c>
      <c r="J199" s="65" t="s">
        <v>64</v>
      </c>
      <c r="K199" s="74"/>
    </row>
    <row r="200" spans="1:11" ht="12.75" customHeight="1" thickBot="1" x14ac:dyDescent="0.25">
      <c r="A200" s="60">
        <f t="shared" si="25"/>
        <v>0</v>
      </c>
      <c r="B200" s="60">
        <f t="shared" si="25"/>
        <v>0</v>
      </c>
      <c r="C200" s="60">
        <f t="shared" si="25"/>
        <v>0</v>
      </c>
      <c r="D200" s="60">
        <f t="shared" si="23"/>
        <v>0</v>
      </c>
      <c r="E200" s="60">
        <v>0</v>
      </c>
      <c r="F200" s="60">
        <v>0</v>
      </c>
      <c r="G200" s="60">
        <f t="shared" si="24"/>
        <v>0</v>
      </c>
      <c r="H200" s="60">
        <v>0</v>
      </c>
      <c r="I200" s="60">
        <v>0</v>
      </c>
      <c r="J200" s="65" t="s">
        <v>61</v>
      </c>
      <c r="K200" s="66"/>
    </row>
    <row r="201" spans="1:11" ht="12.75" customHeight="1" thickBot="1" x14ac:dyDescent="0.25">
      <c r="A201" s="60">
        <f t="shared" si="25"/>
        <v>85</v>
      </c>
      <c r="B201" s="60">
        <f t="shared" si="25"/>
        <v>52</v>
      </c>
      <c r="C201" s="60">
        <f t="shared" si="25"/>
        <v>33</v>
      </c>
      <c r="D201" s="60">
        <f t="shared" si="23"/>
        <v>11</v>
      </c>
      <c r="E201" s="60">
        <v>6</v>
      </c>
      <c r="F201" s="60">
        <v>5</v>
      </c>
      <c r="G201" s="60">
        <f t="shared" si="24"/>
        <v>74</v>
      </c>
      <c r="H201" s="60">
        <v>46</v>
      </c>
      <c r="I201" s="60">
        <v>28</v>
      </c>
      <c r="J201" s="65" t="s">
        <v>62</v>
      </c>
      <c r="K201" s="66" t="s">
        <v>381</v>
      </c>
    </row>
    <row r="202" spans="1:11" ht="12.75" customHeight="1" thickBot="1" x14ac:dyDescent="0.25">
      <c r="A202" s="60">
        <f t="shared" si="25"/>
        <v>0</v>
      </c>
      <c r="B202" s="60">
        <f t="shared" si="25"/>
        <v>0</v>
      </c>
      <c r="C202" s="60">
        <f t="shared" si="25"/>
        <v>0</v>
      </c>
      <c r="D202" s="60">
        <f t="shared" si="23"/>
        <v>0</v>
      </c>
      <c r="E202" s="60">
        <v>0</v>
      </c>
      <c r="F202" s="60">
        <v>0</v>
      </c>
      <c r="G202" s="60">
        <f t="shared" si="24"/>
        <v>0</v>
      </c>
      <c r="H202" s="60">
        <v>0</v>
      </c>
      <c r="I202" s="60">
        <v>0</v>
      </c>
      <c r="J202" s="65" t="s">
        <v>64</v>
      </c>
      <c r="K202" s="74"/>
    </row>
    <row r="203" spans="1:11" ht="12.75" customHeight="1" thickBot="1" x14ac:dyDescent="0.25">
      <c r="A203" s="60">
        <f t="shared" si="25"/>
        <v>26</v>
      </c>
      <c r="B203" s="60">
        <f t="shared" si="25"/>
        <v>26</v>
      </c>
      <c r="C203" s="60">
        <f t="shared" si="25"/>
        <v>0</v>
      </c>
      <c r="D203" s="60">
        <f t="shared" si="23"/>
        <v>0</v>
      </c>
      <c r="E203" s="60">
        <v>0</v>
      </c>
      <c r="F203" s="60">
        <v>0</v>
      </c>
      <c r="G203" s="60">
        <f t="shared" si="24"/>
        <v>26</v>
      </c>
      <c r="H203" s="60">
        <v>26</v>
      </c>
      <c r="I203" s="60">
        <v>0</v>
      </c>
      <c r="J203" s="65" t="s">
        <v>61</v>
      </c>
      <c r="K203" s="66"/>
    </row>
    <row r="204" spans="1:11" ht="12.75" customHeight="1" thickBot="1" x14ac:dyDescent="0.25">
      <c r="A204" s="60">
        <f t="shared" si="25"/>
        <v>51</v>
      </c>
      <c r="B204" s="60">
        <f t="shared" si="25"/>
        <v>51</v>
      </c>
      <c r="C204" s="60">
        <f t="shared" si="25"/>
        <v>0</v>
      </c>
      <c r="D204" s="60">
        <f t="shared" si="23"/>
        <v>0</v>
      </c>
      <c r="E204" s="60">
        <v>0</v>
      </c>
      <c r="F204" s="60">
        <v>0</v>
      </c>
      <c r="G204" s="60">
        <f t="shared" si="24"/>
        <v>51</v>
      </c>
      <c r="H204" s="60">
        <v>51</v>
      </c>
      <c r="I204" s="60">
        <v>0</v>
      </c>
      <c r="J204" s="65" t="s">
        <v>62</v>
      </c>
      <c r="K204" s="66" t="s">
        <v>384</v>
      </c>
    </row>
    <row r="205" spans="1:11" ht="12.75" customHeight="1" thickBot="1" x14ac:dyDescent="0.25">
      <c r="A205" s="60">
        <f t="shared" si="25"/>
        <v>0</v>
      </c>
      <c r="B205" s="60">
        <f t="shared" si="25"/>
        <v>0</v>
      </c>
      <c r="C205" s="60">
        <f t="shared" si="25"/>
        <v>0</v>
      </c>
      <c r="D205" s="60">
        <f t="shared" si="23"/>
        <v>0</v>
      </c>
      <c r="E205" s="60">
        <v>0</v>
      </c>
      <c r="F205" s="60">
        <v>0</v>
      </c>
      <c r="G205" s="60">
        <f t="shared" si="24"/>
        <v>0</v>
      </c>
      <c r="H205" s="60">
        <v>0</v>
      </c>
      <c r="I205" s="60">
        <v>0</v>
      </c>
      <c r="J205" s="65" t="s">
        <v>64</v>
      </c>
      <c r="K205" s="74"/>
    </row>
    <row r="206" spans="1:11" ht="12.75" customHeight="1" thickBot="1" x14ac:dyDescent="0.25">
      <c r="A206" s="60">
        <f t="shared" si="25"/>
        <v>44</v>
      </c>
      <c r="B206" s="60">
        <f t="shared" si="25"/>
        <v>44</v>
      </c>
      <c r="C206" s="60">
        <f t="shared" si="25"/>
        <v>0</v>
      </c>
      <c r="D206" s="60">
        <f t="shared" si="23"/>
        <v>0</v>
      </c>
      <c r="E206" s="60">
        <v>0</v>
      </c>
      <c r="F206" s="60">
        <v>0</v>
      </c>
      <c r="G206" s="60">
        <f t="shared" si="24"/>
        <v>44</v>
      </c>
      <c r="H206" s="60">
        <v>44</v>
      </c>
      <c r="I206" s="60">
        <v>0</v>
      </c>
      <c r="J206" s="65" t="s">
        <v>61</v>
      </c>
      <c r="K206" s="66"/>
    </row>
    <row r="207" spans="1:11" ht="12.75" customHeight="1" thickBot="1" x14ac:dyDescent="0.25">
      <c r="A207" s="60">
        <f t="shared" si="25"/>
        <v>79</v>
      </c>
      <c r="B207" s="60">
        <f t="shared" si="25"/>
        <v>79</v>
      </c>
      <c r="C207" s="60">
        <f t="shared" si="25"/>
        <v>0</v>
      </c>
      <c r="D207" s="60">
        <f t="shared" si="23"/>
        <v>0</v>
      </c>
      <c r="E207" s="60">
        <v>0</v>
      </c>
      <c r="F207" s="60">
        <v>0</v>
      </c>
      <c r="G207" s="60">
        <f t="shared" si="24"/>
        <v>79</v>
      </c>
      <c r="H207" s="60">
        <v>79</v>
      </c>
      <c r="I207" s="60">
        <v>0</v>
      </c>
      <c r="J207" s="65" t="s">
        <v>62</v>
      </c>
      <c r="K207" s="66" t="s">
        <v>386</v>
      </c>
    </row>
    <row r="208" spans="1:11" ht="12.75" customHeight="1" thickBot="1" x14ac:dyDescent="0.25">
      <c r="A208" s="60">
        <f t="shared" si="25"/>
        <v>0</v>
      </c>
      <c r="B208" s="60">
        <f t="shared" si="25"/>
        <v>0</v>
      </c>
      <c r="C208" s="60">
        <f t="shared" si="25"/>
        <v>0</v>
      </c>
      <c r="D208" s="60">
        <f t="shared" si="23"/>
        <v>0</v>
      </c>
      <c r="E208" s="60">
        <v>0</v>
      </c>
      <c r="F208" s="60">
        <v>0</v>
      </c>
      <c r="G208" s="60">
        <f t="shared" si="24"/>
        <v>0</v>
      </c>
      <c r="H208" s="60">
        <v>0</v>
      </c>
      <c r="I208" s="60">
        <v>0</v>
      </c>
      <c r="J208" s="65" t="s">
        <v>64</v>
      </c>
      <c r="K208" s="74"/>
    </row>
    <row r="209" spans="1:11" ht="12.75" customHeight="1" thickBot="1" x14ac:dyDescent="0.25">
      <c r="A209" s="60">
        <f t="shared" ref="A209:C211" si="26">G209+D209</f>
        <v>0</v>
      </c>
      <c r="B209" s="60">
        <f t="shared" si="26"/>
        <v>0</v>
      </c>
      <c r="C209" s="60">
        <f t="shared" si="26"/>
        <v>0</v>
      </c>
      <c r="D209" s="60">
        <f t="shared" si="23"/>
        <v>0</v>
      </c>
      <c r="E209" s="60">
        <v>0</v>
      </c>
      <c r="F209" s="60">
        <v>0</v>
      </c>
      <c r="G209" s="60">
        <f t="shared" si="24"/>
        <v>0</v>
      </c>
      <c r="H209" s="60">
        <v>0</v>
      </c>
      <c r="I209" s="60">
        <v>0</v>
      </c>
      <c r="J209" s="65" t="s">
        <v>61</v>
      </c>
      <c r="K209" s="66"/>
    </row>
    <row r="210" spans="1:11" ht="12.75" customHeight="1" thickBot="1" x14ac:dyDescent="0.25">
      <c r="A210" s="60">
        <f t="shared" si="26"/>
        <v>148</v>
      </c>
      <c r="B210" s="60">
        <f t="shared" si="26"/>
        <v>53</v>
      </c>
      <c r="C210" s="60">
        <f t="shared" si="26"/>
        <v>95</v>
      </c>
      <c r="D210" s="60">
        <f t="shared" si="23"/>
        <v>0</v>
      </c>
      <c r="E210" s="60">
        <v>0</v>
      </c>
      <c r="F210" s="60">
        <v>0</v>
      </c>
      <c r="G210" s="60">
        <f t="shared" si="24"/>
        <v>148</v>
      </c>
      <c r="H210" s="60">
        <v>53</v>
      </c>
      <c r="I210" s="60">
        <v>95</v>
      </c>
      <c r="J210" s="65" t="s">
        <v>62</v>
      </c>
      <c r="K210" s="66" t="s">
        <v>579</v>
      </c>
    </row>
    <row r="211" spans="1:11" ht="12.75" customHeight="1" thickBot="1" x14ac:dyDescent="0.25">
      <c r="A211" s="60">
        <f t="shared" si="26"/>
        <v>278</v>
      </c>
      <c r="B211" s="60">
        <f t="shared" si="26"/>
        <v>105</v>
      </c>
      <c r="C211" s="60">
        <f t="shared" si="26"/>
        <v>173</v>
      </c>
      <c r="D211" s="60">
        <f t="shared" si="23"/>
        <v>0</v>
      </c>
      <c r="E211" s="60">
        <v>0</v>
      </c>
      <c r="F211" s="60">
        <v>0</v>
      </c>
      <c r="G211" s="60">
        <f t="shared" si="24"/>
        <v>278</v>
      </c>
      <c r="H211" s="60">
        <v>105</v>
      </c>
      <c r="I211" s="60">
        <v>173</v>
      </c>
      <c r="J211" s="65" t="s">
        <v>64</v>
      </c>
      <c r="K211" s="74"/>
    </row>
    <row r="212" spans="1:11" ht="12.75" customHeight="1" thickBot="1" x14ac:dyDescent="0.25">
      <c r="A212" s="60">
        <f t="shared" ref="A212:H214" si="27">A167+A170+A173+A176+A179+A182+A185+A188+A191+A194+A197+A200+A203+A206</f>
        <v>158</v>
      </c>
      <c r="B212" s="60">
        <f t="shared" si="27"/>
        <v>105</v>
      </c>
      <c r="C212" s="60">
        <f t="shared" si="27"/>
        <v>53</v>
      </c>
      <c r="D212" s="60">
        <f t="shared" si="27"/>
        <v>0</v>
      </c>
      <c r="E212" s="60">
        <f t="shared" si="27"/>
        <v>0</v>
      </c>
      <c r="F212" s="60">
        <f t="shared" si="27"/>
        <v>0</v>
      </c>
      <c r="G212" s="60">
        <f t="shared" si="27"/>
        <v>158</v>
      </c>
      <c r="H212" s="60">
        <f t="shared" si="27"/>
        <v>105</v>
      </c>
      <c r="I212" s="60">
        <f>I167+I170+I173+I176+I179+I182+I185+I188+I191+I194+I197+I200+I203+I206</f>
        <v>53</v>
      </c>
      <c r="J212" s="65" t="s">
        <v>231</v>
      </c>
      <c r="K212" s="57"/>
    </row>
    <row r="213" spans="1:11" ht="12.75" customHeight="1" thickBot="1" x14ac:dyDescent="0.25">
      <c r="A213" s="60">
        <f t="shared" si="27"/>
        <v>1838</v>
      </c>
      <c r="B213" s="60">
        <f t="shared" si="27"/>
        <v>921</v>
      </c>
      <c r="C213" s="60">
        <f t="shared" si="27"/>
        <v>917</v>
      </c>
      <c r="D213" s="60">
        <f t="shared" si="27"/>
        <v>111</v>
      </c>
      <c r="E213" s="60">
        <f t="shared" si="27"/>
        <v>49</v>
      </c>
      <c r="F213" s="60">
        <f t="shared" si="27"/>
        <v>62</v>
      </c>
      <c r="G213" s="60">
        <f t="shared" si="27"/>
        <v>1727</v>
      </c>
      <c r="H213" s="60">
        <f t="shared" si="27"/>
        <v>872</v>
      </c>
      <c r="I213" s="60">
        <f>I168+I171+I174+I177+I180+I183+I186+I189+I192+I195+I198+I201+I204+I207</f>
        <v>855</v>
      </c>
      <c r="J213" s="65" t="s">
        <v>62</v>
      </c>
      <c r="K213" s="68" t="s">
        <v>232</v>
      </c>
    </row>
    <row r="214" spans="1:11" ht="12.75" customHeight="1" thickBot="1" x14ac:dyDescent="0.25">
      <c r="A214" s="60">
        <f t="shared" si="27"/>
        <v>0</v>
      </c>
      <c r="B214" s="60">
        <f t="shared" si="27"/>
        <v>0</v>
      </c>
      <c r="C214" s="60">
        <f t="shared" si="27"/>
        <v>0</v>
      </c>
      <c r="D214" s="60">
        <f t="shared" si="27"/>
        <v>0</v>
      </c>
      <c r="E214" s="60">
        <f t="shared" si="27"/>
        <v>0</v>
      </c>
      <c r="F214" s="60">
        <f t="shared" si="27"/>
        <v>0</v>
      </c>
      <c r="G214" s="60">
        <f t="shared" si="27"/>
        <v>0</v>
      </c>
      <c r="H214" s="60">
        <f t="shared" si="27"/>
        <v>0</v>
      </c>
      <c r="I214" s="60">
        <f>I169+I172+I175+I178+I181+I184+I187+I190+I193+I196+I199+I202+I205+I208</f>
        <v>0</v>
      </c>
      <c r="J214" s="65" t="s">
        <v>64</v>
      </c>
      <c r="K214" s="59"/>
    </row>
    <row r="215" spans="1:11" ht="12.75" customHeight="1" thickBot="1" x14ac:dyDescent="0.25">
      <c r="A215" s="60">
        <f t="shared" ref="A215:H215" si="28">SUM(A212:A214)</f>
        <v>1996</v>
      </c>
      <c r="B215" s="60">
        <f t="shared" si="28"/>
        <v>1026</v>
      </c>
      <c r="C215" s="60">
        <f t="shared" si="28"/>
        <v>970</v>
      </c>
      <c r="D215" s="60">
        <f t="shared" si="28"/>
        <v>111</v>
      </c>
      <c r="E215" s="60">
        <f t="shared" si="28"/>
        <v>49</v>
      </c>
      <c r="F215" s="60">
        <f t="shared" si="28"/>
        <v>62</v>
      </c>
      <c r="G215" s="60">
        <f t="shared" si="28"/>
        <v>1885</v>
      </c>
      <c r="H215" s="60">
        <f t="shared" si="28"/>
        <v>977</v>
      </c>
      <c r="I215" s="60">
        <f>SUM(I212:I214)</f>
        <v>908</v>
      </c>
      <c r="J215" s="184" t="s">
        <v>233</v>
      </c>
      <c r="K215" s="184"/>
    </row>
    <row r="217" spans="1:11" ht="12.75" customHeight="1" x14ac:dyDescent="0.2">
      <c r="A217" s="177" t="s">
        <v>576</v>
      </c>
      <c r="B217" s="177"/>
      <c r="C217" s="177"/>
      <c r="D217" s="177"/>
      <c r="E217" s="177"/>
      <c r="F217" s="177"/>
      <c r="G217" s="177"/>
      <c r="H217" s="177"/>
      <c r="I217" s="177"/>
      <c r="J217" s="177"/>
      <c r="K217" s="177"/>
    </row>
    <row r="218" spans="1:11" ht="12.75" customHeight="1" thickBot="1" x14ac:dyDescent="0.25">
      <c r="A218" s="178" t="s">
        <v>577</v>
      </c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</row>
    <row r="219" spans="1:11" ht="12.75" customHeight="1" thickBot="1" x14ac:dyDescent="0.25">
      <c r="A219" s="179" t="s">
        <v>5</v>
      </c>
      <c r="B219" s="179"/>
      <c r="C219" s="179"/>
      <c r="D219" s="179" t="s">
        <v>162</v>
      </c>
      <c r="E219" s="179"/>
      <c r="F219" s="179"/>
      <c r="G219" s="179" t="s">
        <v>163</v>
      </c>
      <c r="H219" s="179"/>
      <c r="I219" s="179"/>
      <c r="J219" s="179" t="s">
        <v>72</v>
      </c>
      <c r="K219" s="179"/>
    </row>
    <row r="220" spans="1:11" ht="12.75" customHeight="1" thickBot="1" x14ac:dyDescent="0.25">
      <c r="A220" s="58" t="s">
        <v>216</v>
      </c>
      <c r="B220" s="58" t="s">
        <v>11</v>
      </c>
      <c r="C220" s="58" t="s">
        <v>10</v>
      </c>
      <c r="D220" s="58" t="s">
        <v>216</v>
      </c>
      <c r="E220" s="58" t="s">
        <v>11</v>
      </c>
      <c r="F220" s="58" t="s">
        <v>10</v>
      </c>
      <c r="G220" s="58" t="s">
        <v>216</v>
      </c>
      <c r="H220" s="58" t="s">
        <v>11</v>
      </c>
      <c r="I220" s="58" t="s">
        <v>10</v>
      </c>
      <c r="J220" s="180" t="s">
        <v>98</v>
      </c>
      <c r="K220" s="180"/>
    </row>
    <row r="221" spans="1:11" ht="12.75" customHeight="1" thickBot="1" x14ac:dyDescent="0.25">
      <c r="A221" s="60">
        <v>53</v>
      </c>
      <c r="B221" s="60">
        <v>0</v>
      </c>
      <c r="C221" s="60">
        <v>53</v>
      </c>
      <c r="D221" s="60">
        <v>39</v>
      </c>
      <c r="E221" s="60">
        <v>0</v>
      </c>
      <c r="F221" s="60">
        <v>39</v>
      </c>
      <c r="G221" s="60">
        <v>14</v>
      </c>
      <c r="H221" s="60">
        <v>0</v>
      </c>
      <c r="I221" s="60">
        <v>14</v>
      </c>
      <c r="J221" s="65" t="s">
        <v>61</v>
      </c>
      <c r="K221" s="66"/>
    </row>
    <row r="222" spans="1:11" ht="12.75" customHeight="1" thickBot="1" x14ac:dyDescent="0.25">
      <c r="A222" s="60">
        <v>229</v>
      </c>
      <c r="B222" s="60">
        <v>0</v>
      </c>
      <c r="C222" s="60">
        <v>229</v>
      </c>
      <c r="D222" s="60">
        <v>115</v>
      </c>
      <c r="E222" s="60">
        <v>0</v>
      </c>
      <c r="F222" s="60">
        <v>115</v>
      </c>
      <c r="G222" s="60">
        <v>114</v>
      </c>
      <c r="H222" s="60">
        <v>0</v>
      </c>
      <c r="I222" s="60">
        <v>114</v>
      </c>
      <c r="J222" s="65" t="s">
        <v>62</v>
      </c>
      <c r="K222" s="66" t="s">
        <v>388</v>
      </c>
    </row>
    <row r="223" spans="1:11" ht="12.75" customHeight="1" thickBot="1" x14ac:dyDescent="0.25">
      <c r="A223" s="60">
        <v>0</v>
      </c>
      <c r="B223" s="60">
        <v>0</v>
      </c>
      <c r="C223" s="60">
        <v>0</v>
      </c>
      <c r="D223" s="60">
        <v>0</v>
      </c>
      <c r="E223" s="60">
        <v>0</v>
      </c>
      <c r="F223" s="60">
        <v>0</v>
      </c>
      <c r="G223" s="60">
        <v>0</v>
      </c>
      <c r="H223" s="60">
        <v>0</v>
      </c>
      <c r="I223" s="60">
        <v>0</v>
      </c>
      <c r="J223" s="65" t="s">
        <v>64</v>
      </c>
      <c r="K223" s="74"/>
    </row>
    <row r="224" spans="1:11" ht="12.75" customHeight="1" thickBot="1" x14ac:dyDescent="0.25">
      <c r="A224" s="60">
        <v>0</v>
      </c>
      <c r="B224" s="60">
        <v>0</v>
      </c>
      <c r="C224" s="60">
        <v>0</v>
      </c>
      <c r="D224" s="60">
        <v>0</v>
      </c>
      <c r="E224" s="60">
        <v>0</v>
      </c>
      <c r="F224" s="60">
        <v>0</v>
      </c>
      <c r="G224" s="60">
        <v>0</v>
      </c>
      <c r="H224" s="60">
        <v>0</v>
      </c>
      <c r="I224" s="60">
        <v>0</v>
      </c>
      <c r="J224" s="65" t="s">
        <v>61</v>
      </c>
      <c r="K224" s="66"/>
    </row>
    <row r="225" spans="1:11" ht="12.75" customHeight="1" thickBot="1" x14ac:dyDescent="0.25">
      <c r="A225" s="60">
        <v>154</v>
      </c>
      <c r="B225" s="60">
        <v>0</v>
      </c>
      <c r="C225" s="60">
        <v>154</v>
      </c>
      <c r="D225" s="60">
        <v>35</v>
      </c>
      <c r="E225" s="60">
        <v>0</v>
      </c>
      <c r="F225" s="60">
        <v>35</v>
      </c>
      <c r="G225" s="60">
        <v>119</v>
      </c>
      <c r="H225" s="60">
        <v>0</v>
      </c>
      <c r="I225" s="60">
        <v>119</v>
      </c>
      <c r="J225" s="65" t="s">
        <v>62</v>
      </c>
      <c r="K225" s="66" t="s">
        <v>390</v>
      </c>
    </row>
    <row r="226" spans="1:11" ht="12.75" customHeight="1" thickBot="1" x14ac:dyDescent="0.25">
      <c r="A226" s="60">
        <v>0</v>
      </c>
      <c r="B226" s="60">
        <v>0</v>
      </c>
      <c r="C226" s="60">
        <v>0</v>
      </c>
      <c r="D226" s="60">
        <v>0</v>
      </c>
      <c r="E226" s="60">
        <v>0</v>
      </c>
      <c r="F226" s="60">
        <v>0</v>
      </c>
      <c r="G226" s="60">
        <v>0</v>
      </c>
      <c r="H226" s="60">
        <v>0</v>
      </c>
      <c r="I226" s="60">
        <v>0</v>
      </c>
      <c r="J226" s="65" t="s">
        <v>64</v>
      </c>
      <c r="K226" s="74"/>
    </row>
    <row r="227" spans="1:11" ht="12.75" customHeight="1" thickBot="1" x14ac:dyDescent="0.25">
      <c r="A227" s="60">
        <v>17</v>
      </c>
      <c r="B227" s="60">
        <v>0</v>
      </c>
      <c r="C227" s="60">
        <v>17</v>
      </c>
      <c r="D227" s="60">
        <v>11</v>
      </c>
      <c r="E227" s="60">
        <v>0</v>
      </c>
      <c r="F227" s="60">
        <v>11</v>
      </c>
      <c r="G227" s="60">
        <v>6</v>
      </c>
      <c r="H227" s="60">
        <v>0</v>
      </c>
      <c r="I227" s="60">
        <v>6</v>
      </c>
      <c r="J227" s="65" t="s">
        <v>61</v>
      </c>
      <c r="K227" s="66"/>
    </row>
    <row r="228" spans="1:11" ht="12.75" customHeight="1" thickBot="1" x14ac:dyDescent="0.25">
      <c r="A228" s="60">
        <v>128</v>
      </c>
      <c r="B228" s="60">
        <v>0</v>
      </c>
      <c r="C228" s="60">
        <v>128</v>
      </c>
      <c r="D228" s="60">
        <v>81</v>
      </c>
      <c r="E228" s="60">
        <v>0</v>
      </c>
      <c r="F228" s="60">
        <v>81</v>
      </c>
      <c r="G228" s="60">
        <v>47</v>
      </c>
      <c r="H228" s="60">
        <v>0</v>
      </c>
      <c r="I228" s="60">
        <v>47</v>
      </c>
      <c r="J228" s="65" t="s">
        <v>62</v>
      </c>
      <c r="K228" s="66" t="s">
        <v>391</v>
      </c>
    </row>
    <row r="229" spans="1:11" ht="12.75" customHeight="1" thickBot="1" x14ac:dyDescent="0.25">
      <c r="A229" s="60">
        <v>0</v>
      </c>
      <c r="B229" s="60">
        <v>0</v>
      </c>
      <c r="C229" s="60">
        <v>0</v>
      </c>
      <c r="D229" s="60">
        <v>0</v>
      </c>
      <c r="E229" s="60">
        <v>0</v>
      </c>
      <c r="F229" s="60">
        <v>0</v>
      </c>
      <c r="G229" s="60">
        <v>0</v>
      </c>
      <c r="H229" s="60">
        <v>0</v>
      </c>
      <c r="I229" s="60">
        <v>0</v>
      </c>
      <c r="J229" s="65" t="s">
        <v>64</v>
      </c>
      <c r="K229" s="74"/>
    </row>
    <row r="230" spans="1:11" ht="12.75" customHeight="1" thickBot="1" x14ac:dyDescent="0.25">
      <c r="A230" s="60">
        <v>27</v>
      </c>
      <c r="B230" s="60">
        <v>0</v>
      </c>
      <c r="C230" s="60">
        <v>27</v>
      </c>
      <c r="D230" s="60">
        <v>16</v>
      </c>
      <c r="E230" s="60">
        <v>0</v>
      </c>
      <c r="F230" s="60">
        <v>16</v>
      </c>
      <c r="G230" s="60">
        <v>11</v>
      </c>
      <c r="H230" s="60">
        <v>0</v>
      </c>
      <c r="I230" s="60">
        <v>11</v>
      </c>
      <c r="J230" s="65" t="s">
        <v>61</v>
      </c>
      <c r="K230" s="66"/>
    </row>
    <row r="231" spans="1:11" ht="12.75" customHeight="1" thickBot="1" x14ac:dyDescent="0.25">
      <c r="A231" s="60">
        <v>77</v>
      </c>
      <c r="B231" s="60">
        <v>0</v>
      </c>
      <c r="C231" s="60">
        <v>77</v>
      </c>
      <c r="D231" s="60">
        <v>39</v>
      </c>
      <c r="E231" s="60">
        <v>0</v>
      </c>
      <c r="F231" s="60">
        <v>39</v>
      </c>
      <c r="G231" s="60">
        <v>38</v>
      </c>
      <c r="H231" s="60">
        <v>0</v>
      </c>
      <c r="I231" s="60">
        <v>38</v>
      </c>
      <c r="J231" s="65" t="s">
        <v>62</v>
      </c>
      <c r="K231" s="66" t="s">
        <v>359</v>
      </c>
    </row>
    <row r="232" spans="1:11" ht="12.75" customHeight="1" thickBot="1" x14ac:dyDescent="0.25">
      <c r="A232" s="60">
        <v>0</v>
      </c>
      <c r="B232" s="60">
        <v>0</v>
      </c>
      <c r="C232" s="60">
        <v>0</v>
      </c>
      <c r="D232" s="60">
        <v>0</v>
      </c>
      <c r="E232" s="60">
        <v>0</v>
      </c>
      <c r="F232" s="60">
        <v>0</v>
      </c>
      <c r="G232" s="60">
        <v>0</v>
      </c>
      <c r="H232" s="60">
        <v>0</v>
      </c>
      <c r="I232" s="60">
        <v>0</v>
      </c>
      <c r="J232" s="65" t="s">
        <v>64</v>
      </c>
      <c r="K232" s="74"/>
    </row>
    <row r="233" spans="1:11" ht="12.75" customHeight="1" thickBot="1" x14ac:dyDescent="0.25">
      <c r="A233" s="60">
        <v>0</v>
      </c>
      <c r="B233" s="60">
        <v>0</v>
      </c>
      <c r="C233" s="60">
        <v>0</v>
      </c>
      <c r="D233" s="60">
        <v>0</v>
      </c>
      <c r="E233" s="60">
        <v>0</v>
      </c>
      <c r="F233" s="60">
        <v>0</v>
      </c>
      <c r="G233" s="60">
        <v>0</v>
      </c>
      <c r="H233" s="60">
        <v>0</v>
      </c>
      <c r="I233" s="60">
        <v>0</v>
      </c>
      <c r="J233" s="65" t="s">
        <v>61</v>
      </c>
      <c r="K233" s="66"/>
    </row>
    <row r="234" spans="1:11" ht="12.75" customHeight="1" thickBot="1" x14ac:dyDescent="0.25">
      <c r="A234" s="60">
        <v>93</v>
      </c>
      <c r="B234" s="60">
        <v>0</v>
      </c>
      <c r="C234" s="60">
        <v>93</v>
      </c>
      <c r="D234" s="60">
        <v>27</v>
      </c>
      <c r="E234" s="60">
        <v>0</v>
      </c>
      <c r="F234" s="60">
        <v>27</v>
      </c>
      <c r="G234" s="60">
        <v>66</v>
      </c>
      <c r="H234" s="60">
        <v>0</v>
      </c>
      <c r="I234" s="60">
        <v>66</v>
      </c>
      <c r="J234" s="65" t="s">
        <v>62</v>
      </c>
      <c r="K234" s="66" t="s">
        <v>539</v>
      </c>
    </row>
    <row r="235" spans="1:11" ht="12.75" customHeight="1" thickBot="1" x14ac:dyDescent="0.25">
      <c r="A235" s="60">
        <v>0</v>
      </c>
      <c r="B235" s="60">
        <v>0</v>
      </c>
      <c r="C235" s="60">
        <v>0</v>
      </c>
      <c r="D235" s="60">
        <v>0</v>
      </c>
      <c r="E235" s="60">
        <v>0</v>
      </c>
      <c r="F235" s="60">
        <v>0</v>
      </c>
      <c r="G235" s="60">
        <v>0</v>
      </c>
      <c r="H235" s="60">
        <v>0</v>
      </c>
      <c r="I235" s="60">
        <v>0</v>
      </c>
      <c r="J235" s="65" t="s">
        <v>64</v>
      </c>
      <c r="K235" s="74"/>
    </row>
    <row r="236" spans="1:11" ht="12.75" customHeight="1" thickBot="1" x14ac:dyDescent="0.25">
      <c r="A236" s="60">
        <v>0</v>
      </c>
      <c r="B236" s="60">
        <v>0</v>
      </c>
      <c r="C236" s="60">
        <v>0</v>
      </c>
      <c r="D236" s="60">
        <v>0</v>
      </c>
      <c r="E236" s="60">
        <v>0</v>
      </c>
      <c r="F236" s="60">
        <v>0</v>
      </c>
      <c r="G236" s="60">
        <v>0</v>
      </c>
      <c r="H236" s="60">
        <v>0</v>
      </c>
      <c r="I236" s="60">
        <v>0</v>
      </c>
      <c r="J236" s="65" t="s">
        <v>61</v>
      </c>
      <c r="K236" s="66"/>
    </row>
    <row r="237" spans="1:11" ht="12.75" customHeight="1" thickBot="1" x14ac:dyDescent="0.25">
      <c r="A237" s="60">
        <v>26</v>
      </c>
      <c r="B237" s="60">
        <v>0</v>
      </c>
      <c r="C237" s="60">
        <v>26</v>
      </c>
      <c r="D237" s="60">
        <v>5</v>
      </c>
      <c r="E237" s="60">
        <v>0</v>
      </c>
      <c r="F237" s="60">
        <v>5</v>
      </c>
      <c r="G237" s="60">
        <v>21</v>
      </c>
      <c r="H237" s="60">
        <v>0</v>
      </c>
      <c r="I237" s="60">
        <v>21</v>
      </c>
      <c r="J237" s="65" t="s">
        <v>62</v>
      </c>
      <c r="K237" s="66" t="s">
        <v>392</v>
      </c>
    </row>
    <row r="238" spans="1:11" ht="12.75" customHeight="1" thickBot="1" x14ac:dyDescent="0.25">
      <c r="A238" s="60">
        <v>0</v>
      </c>
      <c r="B238" s="60">
        <v>0</v>
      </c>
      <c r="C238" s="60">
        <v>0</v>
      </c>
      <c r="D238" s="60">
        <v>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5" t="s">
        <v>64</v>
      </c>
      <c r="K238" s="74"/>
    </row>
    <row r="239" spans="1:11" ht="12.75" customHeight="1" thickBot="1" x14ac:dyDescent="0.25">
      <c r="A239" s="60">
        <v>97</v>
      </c>
      <c r="B239" s="60">
        <v>0</v>
      </c>
      <c r="C239" s="60">
        <v>97</v>
      </c>
      <c r="D239" s="60">
        <v>66</v>
      </c>
      <c r="E239" s="60">
        <v>0</v>
      </c>
      <c r="F239" s="60">
        <v>66</v>
      </c>
      <c r="G239" s="60">
        <v>31</v>
      </c>
      <c r="H239" s="60">
        <v>0</v>
      </c>
      <c r="I239" s="60">
        <v>31</v>
      </c>
      <c r="J239" s="65" t="s">
        <v>231</v>
      </c>
      <c r="K239" s="57"/>
    </row>
    <row r="240" spans="1:11" ht="12.75" customHeight="1" thickBot="1" x14ac:dyDescent="0.25">
      <c r="A240" s="60">
        <v>707</v>
      </c>
      <c r="B240" s="60">
        <v>0</v>
      </c>
      <c r="C240" s="60">
        <v>707</v>
      </c>
      <c r="D240" s="60">
        <v>302</v>
      </c>
      <c r="E240" s="60">
        <v>0</v>
      </c>
      <c r="F240" s="60">
        <v>302</v>
      </c>
      <c r="G240" s="60">
        <v>405</v>
      </c>
      <c r="H240" s="60">
        <v>0</v>
      </c>
      <c r="I240" s="60">
        <v>405</v>
      </c>
      <c r="J240" s="65" t="s">
        <v>62</v>
      </c>
      <c r="K240" s="68" t="s">
        <v>232</v>
      </c>
    </row>
    <row r="241" spans="1:11" ht="12.75" customHeight="1" thickBot="1" x14ac:dyDescent="0.25">
      <c r="A241" s="60">
        <v>0</v>
      </c>
      <c r="B241" s="60">
        <v>0</v>
      </c>
      <c r="C241" s="60">
        <v>0</v>
      </c>
      <c r="D241" s="60">
        <v>0</v>
      </c>
      <c r="E241" s="60">
        <v>0</v>
      </c>
      <c r="F241" s="60">
        <v>0</v>
      </c>
      <c r="G241" s="60">
        <v>0</v>
      </c>
      <c r="H241" s="60">
        <v>0</v>
      </c>
      <c r="I241" s="60">
        <v>0</v>
      </c>
      <c r="J241" s="65" t="s">
        <v>64</v>
      </c>
      <c r="K241" s="59"/>
    </row>
    <row r="242" spans="1:11" ht="12.75" customHeight="1" thickBot="1" x14ac:dyDescent="0.25">
      <c r="A242" s="60">
        <v>804</v>
      </c>
      <c r="B242" s="60">
        <v>0</v>
      </c>
      <c r="C242" s="60">
        <v>804</v>
      </c>
      <c r="D242" s="60">
        <v>368</v>
      </c>
      <c r="E242" s="60">
        <v>0</v>
      </c>
      <c r="F242" s="60">
        <v>368</v>
      </c>
      <c r="G242" s="60">
        <v>436</v>
      </c>
      <c r="H242" s="60">
        <v>0</v>
      </c>
      <c r="I242" s="60">
        <v>436</v>
      </c>
      <c r="J242" s="184" t="s">
        <v>233</v>
      </c>
      <c r="K242" s="184"/>
    </row>
    <row r="244" spans="1:11" ht="12.75" customHeight="1" x14ac:dyDescent="0.2">
      <c r="A244" s="177" t="s">
        <v>576</v>
      </c>
      <c r="B244" s="177"/>
      <c r="C244" s="177"/>
      <c r="D244" s="177"/>
      <c r="E244" s="177"/>
      <c r="F244" s="177"/>
      <c r="G244" s="177"/>
      <c r="H244" s="177"/>
      <c r="I244" s="177"/>
      <c r="J244" s="177"/>
      <c r="K244" s="177"/>
    </row>
    <row r="245" spans="1:11" ht="12.75" customHeight="1" thickBot="1" x14ac:dyDescent="0.25">
      <c r="A245" s="178" t="s">
        <v>577</v>
      </c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</row>
    <row r="246" spans="1:11" ht="12.75" customHeight="1" thickBot="1" x14ac:dyDescent="0.25">
      <c r="A246" s="179" t="s">
        <v>5</v>
      </c>
      <c r="B246" s="179"/>
      <c r="C246" s="179"/>
      <c r="D246" s="179" t="s">
        <v>162</v>
      </c>
      <c r="E246" s="179"/>
      <c r="F246" s="179"/>
      <c r="G246" s="179" t="s">
        <v>163</v>
      </c>
      <c r="H246" s="179"/>
      <c r="I246" s="179"/>
      <c r="J246" s="179" t="s">
        <v>72</v>
      </c>
      <c r="K246" s="179"/>
    </row>
    <row r="247" spans="1:11" ht="12.75" customHeight="1" thickBot="1" x14ac:dyDescent="0.25">
      <c r="A247" s="58" t="s">
        <v>216</v>
      </c>
      <c r="B247" s="58" t="s">
        <v>11</v>
      </c>
      <c r="C247" s="58" t="s">
        <v>10</v>
      </c>
      <c r="D247" s="58" t="s">
        <v>216</v>
      </c>
      <c r="E247" s="58" t="s">
        <v>11</v>
      </c>
      <c r="F247" s="58" t="s">
        <v>10</v>
      </c>
      <c r="G247" s="58" t="s">
        <v>216</v>
      </c>
      <c r="H247" s="58" t="s">
        <v>11</v>
      </c>
      <c r="I247" s="58" t="s">
        <v>10</v>
      </c>
      <c r="J247" s="180" t="s">
        <v>80</v>
      </c>
      <c r="K247" s="180"/>
    </row>
    <row r="248" spans="1:11" ht="12.75" customHeight="1" thickBot="1" x14ac:dyDescent="0.25">
      <c r="A248" s="60">
        <f t="shared" ref="A248:C263" si="29">G248+D248</f>
        <v>0</v>
      </c>
      <c r="B248" s="60">
        <f t="shared" si="29"/>
        <v>0</v>
      </c>
      <c r="C248" s="60">
        <f>I248+F248</f>
        <v>0</v>
      </c>
      <c r="D248" s="60">
        <f>F248+E248</f>
        <v>0</v>
      </c>
      <c r="E248" s="60">
        <v>0</v>
      </c>
      <c r="F248" s="60">
        <v>0</v>
      </c>
      <c r="G248" s="60">
        <f>I248+H248</f>
        <v>0</v>
      </c>
      <c r="H248" s="60">
        <v>0</v>
      </c>
      <c r="I248" s="60">
        <v>0</v>
      </c>
      <c r="J248" s="65" t="s">
        <v>61</v>
      </c>
      <c r="K248" s="66"/>
    </row>
    <row r="249" spans="1:11" ht="12.75" customHeight="1" thickBot="1" x14ac:dyDescent="0.25">
      <c r="A249" s="60">
        <f t="shared" si="29"/>
        <v>30</v>
      </c>
      <c r="B249" s="60">
        <f t="shared" si="29"/>
        <v>0</v>
      </c>
      <c r="C249" s="60">
        <f t="shared" si="29"/>
        <v>30</v>
      </c>
      <c r="D249" s="60">
        <f t="shared" ref="D249:D277" si="30">F249+E249</f>
        <v>0</v>
      </c>
      <c r="E249" s="60">
        <v>0</v>
      </c>
      <c r="F249" s="60">
        <v>0</v>
      </c>
      <c r="G249" s="60">
        <f t="shared" ref="G249:G277" si="31">I249+H249</f>
        <v>30</v>
      </c>
      <c r="H249" s="60">
        <v>0</v>
      </c>
      <c r="I249" s="60">
        <v>30</v>
      </c>
      <c r="J249" s="65" t="s">
        <v>62</v>
      </c>
      <c r="K249" s="66" t="s">
        <v>393</v>
      </c>
    </row>
    <row r="250" spans="1:11" ht="12.75" customHeight="1" thickBot="1" x14ac:dyDescent="0.25">
      <c r="A250" s="60">
        <f t="shared" si="29"/>
        <v>0</v>
      </c>
      <c r="B250" s="60">
        <f t="shared" si="29"/>
        <v>0</v>
      </c>
      <c r="C250" s="60">
        <f t="shared" si="29"/>
        <v>0</v>
      </c>
      <c r="D250" s="60">
        <f t="shared" si="30"/>
        <v>0</v>
      </c>
      <c r="E250" s="60">
        <v>0</v>
      </c>
      <c r="F250" s="60">
        <v>0</v>
      </c>
      <c r="G250" s="60">
        <f t="shared" si="31"/>
        <v>0</v>
      </c>
      <c r="H250" s="60">
        <v>0</v>
      </c>
      <c r="I250" s="60">
        <v>0</v>
      </c>
      <c r="J250" s="65" t="s">
        <v>64</v>
      </c>
      <c r="K250" s="74"/>
    </row>
    <row r="251" spans="1:11" ht="12.75" customHeight="1" thickBot="1" x14ac:dyDescent="0.25">
      <c r="A251" s="60">
        <f t="shared" si="29"/>
        <v>0</v>
      </c>
      <c r="B251" s="60">
        <f t="shared" si="29"/>
        <v>0</v>
      </c>
      <c r="C251" s="60">
        <f t="shared" si="29"/>
        <v>0</v>
      </c>
      <c r="D251" s="60">
        <f t="shared" si="30"/>
        <v>0</v>
      </c>
      <c r="E251" s="60">
        <v>0</v>
      </c>
      <c r="F251" s="60">
        <v>0</v>
      </c>
      <c r="G251" s="60">
        <f t="shared" si="31"/>
        <v>0</v>
      </c>
      <c r="H251" s="60">
        <v>0</v>
      </c>
      <c r="I251" s="60">
        <v>0</v>
      </c>
      <c r="J251" s="65" t="s">
        <v>61</v>
      </c>
      <c r="K251" s="66"/>
    </row>
    <row r="252" spans="1:11" ht="12.75" customHeight="1" thickBot="1" x14ac:dyDescent="0.25">
      <c r="A252" s="60">
        <f t="shared" si="29"/>
        <v>38</v>
      </c>
      <c r="B252" s="60">
        <f t="shared" si="29"/>
        <v>8</v>
      </c>
      <c r="C252" s="60">
        <f t="shared" si="29"/>
        <v>30</v>
      </c>
      <c r="D252" s="60">
        <f t="shared" si="30"/>
        <v>0</v>
      </c>
      <c r="E252" s="60">
        <v>0</v>
      </c>
      <c r="F252" s="60">
        <v>0</v>
      </c>
      <c r="G252" s="60">
        <f t="shared" si="31"/>
        <v>38</v>
      </c>
      <c r="H252" s="60">
        <v>8</v>
      </c>
      <c r="I252" s="60">
        <v>30</v>
      </c>
      <c r="J252" s="65" t="s">
        <v>62</v>
      </c>
      <c r="K252" s="66" t="s">
        <v>394</v>
      </c>
    </row>
    <row r="253" spans="1:11" ht="12.75" customHeight="1" thickBot="1" x14ac:dyDescent="0.25">
      <c r="A253" s="60">
        <f t="shared" si="29"/>
        <v>0</v>
      </c>
      <c r="B253" s="60">
        <f t="shared" si="29"/>
        <v>0</v>
      </c>
      <c r="C253" s="60">
        <f t="shared" si="29"/>
        <v>0</v>
      </c>
      <c r="D253" s="60">
        <f t="shared" si="30"/>
        <v>0</v>
      </c>
      <c r="E253" s="60">
        <v>0</v>
      </c>
      <c r="F253" s="60">
        <v>0</v>
      </c>
      <c r="G253" s="60">
        <f t="shared" si="31"/>
        <v>0</v>
      </c>
      <c r="H253" s="60">
        <v>0</v>
      </c>
      <c r="I253" s="60">
        <v>0</v>
      </c>
      <c r="J253" s="65" t="s">
        <v>64</v>
      </c>
      <c r="K253" s="74"/>
    </row>
    <row r="254" spans="1:11" ht="12.75" customHeight="1" thickBot="1" x14ac:dyDescent="0.25">
      <c r="A254" s="60">
        <f t="shared" si="29"/>
        <v>0</v>
      </c>
      <c r="B254" s="60">
        <f t="shared" si="29"/>
        <v>0</v>
      </c>
      <c r="C254" s="60">
        <f t="shared" si="29"/>
        <v>0</v>
      </c>
      <c r="D254" s="60">
        <f t="shared" si="30"/>
        <v>0</v>
      </c>
      <c r="E254" s="60">
        <v>0</v>
      </c>
      <c r="F254" s="60">
        <v>0</v>
      </c>
      <c r="G254" s="60">
        <f t="shared" si="31"/>
        <v>0</v>
      </c>
      <c r="H254" s="60">
        <v>0</v>
      </c>
      <c r="I254" s="60">
        <v>0</v>
      </c>
      <c r="J254" s="65" t="s">
        <v>61</v>
      </c>
      <c r="K254" s="66"/>
    </row>
    <row r="255" spans="1:11" ht="12.75" customHeight="1" thickBot="1" x14ac:dyDescent="0.25">
      <c r="A255" s="60">
        <f t="shared" si="29"/>
        <v>67</v>
      </c>
      <c r="B255" s="60">
        <f t="shared" si="29"/>
        <v>31</v>
      </c>
      <c r="C255" s="60">
        <f t="shared" si="29"/>
        <v>36</v>
      </c>
      <c r="D255" s="60">
        <f t="shared" si="30"/>
        <v>0</v>
      </c>
      <c r="E255" s="60">
        <v>0</v>
      </c>
      <c r="F255" s="60">
        <v>0</v>
      </c>
      <c r="G255" s="60">
        <f t="shared" si="31"/>
        <v>67</v>
      </c>
      <c r="H255" s="60">
        <f>37-6</f>
        <v>31</v>
      </c>
      <c r="I255" s="60">
        <v>36</v>
      </c>
      <c r="J255" s="65" t="s">
        <v>62</v>
      </c>
      <c r="K255" s="66" t="s">
        <v>396</v>
      </c>
    </row>
    <row r="256" spans="1:11" ht="12.75" customHeight="1" thickBot="1" x14ac:dyDescent="0.25">
      <c r="A256" s="60">
        <f t="shared" si="29"/>
        <v>0</v>
      </c>
      <c r="B256" s="60">
        <f t="shared" si="29"/>
        <v>0</v>
      </c>
      <c r="C256" s="60">
        <f t="shared" si="29"/>
        <v>0</v>
      </c>
      <c r="D256" s="60">
        <f t="shared" si="30"/>
        <v>0</v>
      </c>
      <c r="E256" s="60">
        <v>0</v>
      </c>
      <c r="F256" s="60">
        <v>0</v>
      </c>
      <c r="G256" s="60">
        <f t="shared" si="31"/>
        <v>0</v>
      </c>
      <c r="H256" s="60">
        <v>0</v>
      </c>
      <c r="I256" s="60">
        <v>0</v>
      </c>
      <c r="J256" s="65" t="s">
        <v>64</v>
      </c>
      <c r="K256" s="74"/>
    </row>
    <row r="257" spans="1:11" ht="12.75" customHeight="1" thickBot="1" x14ac:dyDescent="0.25">
      <c r="A257" s="60">
        <f t="shared" si="29"/>
        <v>6</v>
      </c>
      <c r="B257" s="60">
        <f t="shared" si="29"/>
        <v>3</v>
      </c>
      <c r="C257" s="60">
        <f t="shared" si="29"/>
        <v>3</v>
      </c>
      <c r="D257" s="60">
        <f t="shared" si="30"/>
        <v>0</v>
      </c>
      <c r="E257" s="60">
        <v>0</v>
      </c>
      <c r="F257" s="60">
        <v>0</v>
      </c>
      <c r="G257" s="60">
        <f t="shared" si="31"/>
        <v>6</v>
      </c>
      <c r="H257" s="60">
        <v>3</v>
      </c>
      <c r="I257" s="60">
        <v>3</v>
      </c>
      <c r="J257" s="65" t="s">
        <v>61</v>
      </c>
      <c r="K257" s="66"/>
    </row>
    <row r="258" spans="1:11" ht="12.75" customHeight="1" thickBot="1" x14ac:dyDescent="0.25">
      <c r="A258" s="60">
        <f t="shared" si="29"/>
        <v>65</v>
      </c>
      <c r="B258" s="60">
        <f t="shared" si="29"/>
        <v>11</v>
      </c>
      <c r="C258" s="60">
        <f t="shared" si="29"/>
        <v>54</v>
      </c>
      <c r="D258" s="60">
        <f t="shared" si="30"/>
        <v>0</v>
      </c>
      <c r="E258" s="60">
        <v>0</v>
      </c>
      <c r="F258" s="60">
        <v>0</v>
      </c>
      <c r="G258" s="60">
        <f t="shared" si="31"/>
        <v>65</v>
      </c>
      <c r="H258" s="60">
        <f>15-4</f>
        <v>11</v>
      </c>
      <c r="I258" s="60">
        <v>54</v>
      </c>
      <c r="J258" s="65" t="s">
        <v>62</v>
      </c>
      <c r="K258" s="66" t="s">
        <v>401</v>
      </c>
    </row>
    <row r="259" spans="1:11" ht="12.75" customHeight="1" thickBot="1" x14ac:dyDescent="0.25">
      <c r="A259" s="60">
        <f t="shared" si="29"/>
        <v>0</v>
      </c>
      <c r="B259" s="60">
        <f t="shared" si="29"/>
        <v>0</v>
      </c>
      <c r="C259" s="60">
        <f t="shared" si="29"/>
        <v>0</v>
      </c>
      <c r="D259" s="60">
        <f t="shared" si="30"/>
        <v>0</v>
      </c>
      <c r="E259" s="60">
        <v>0</v>
      </c>
      <c r="F259" s="60">
        <v>0</v>
      </c>
      <c r="G259" s="60">
        <f t="shared" si="31"/>
        <v>0</v>
      </c>
      <c r="H259" s="60">
        <v>0</v>
      </c>
      <c r="I259" s="60">
        <v>0</v>
      </c>
      <c r="J259" s="65" t="s">
        <v>64</v>
      </c>
      <c r="K259" s="74"/>
    </row>
    <row r="260" spans="1:11" ht="12.75" customHeight="1" thickBot="1" x14ac:dyDescent="0.25">
      <c r="A260" s="60">
        <f t="shared" si="29"/>
        <v>152</v>
      </c>
      <c r="B260" s="60">
        <f t="shared" si="29"/>
        <v>42</v>
      </c>
      <c r="C260" s="60">
        <f t="shared" si="29"/>
        <v>110</v>
      </c>
      <c r="D260" s="60">
        <f t="shared" si="30"/>
        <v>0</v>
      </c>
      <c r="E260" s="60">
        <v>0</v>
      </c>
      <c r="F260" s="60">
        <v>0</v>
      </c>
      <c r="G260" s="60">
        <f t="shared" si="31"/>
        <v>152</v>
      </c>
      <c r="H260" s="60">
        <f>57-15</f>
        <v>42</v>
      </c>
      <c r="I260" s="60">
        <v>110</v>
      </c>
      <c r="J260" s="65" t="s">
        <v>61</v>
      </c>
      <c r="K260" s="66"/>
    </row>
    <row r="261" spans="1:11" ht="12.75" customHeight="1" thickBot="1" x14ac:dyDescent="0.25">
      <c r="A261" s="60">
        <f t="shared" si="29"/>
        <v>1</v>
      </c>
      <c r="B261" s="60">
        <f t="shared" si="29"/>
        <v>0</v>
      </c>
      <c r="C261" s="60">
        <f t="shared" si="29"/>
        <v>1</v>
      </c>
      <c r="D261" s="60">
        <f t="shared" si="30"/>
        <v>0</v>
      </c>
      <c r="E261" s="60">
        <v>0</v>
      </c>
      <c r="F261" s="60">
        <v>0</v>
      </c>
      <c r="G261" s="60">
        <f t="shared" si="31"/>
        <v>1</v>
      </c>
      <c r="H261" s="60">
        <v>0</v>
      </c>
      <c r="I261" s="60">
        <v>1</v>
      </c>
      <c r="J261" s="65" t="s">
        <v>62</v>
      </c>
      <c r="K261" s="66" t="s">
        <v>402</v>
      </c>
    </row>
    <row r="262" spans="1:11" ht="12.75" customHeight="1" thickBot="1" x14ac:dyDescent="0.25">
      <c r="A262" s="60">
        <f t="shared" si="29"/>
        <v>0</v>
      </c>
      <c r="B262" s="60">
        <f t="shared" si="29"/>
        <v>0</v>
      </c>
      <c r="C262" s="60">
        <f t="shared" si="29"/>
        <v>0</v>
      </c>
      <c r="D262" s="60">
        <f t="shared" si="30"/>
        <v>0</v>
      </c>
      <c r="E262" s="60">
        <v>0</v>
      </c>
      <c r="F262" s="60">
        <v>0</v>
      </c>
      <c r="G262" s="60">
        <f t="shared" si="31"/>
        <v>0</v>
      </c>
      <c r="H262" s="60">
        <v>0</v>
      </c>
      <c r="I262" s="60">
        <v>0</v>
      </c>
      <c r="J262" s="65" t="s">
        <v>64</v>
      </c>
      <c r="K262" s="74"/>
    </row>
    <row r="263" spans="1:11" ht="12.75" customHeight="1" thickBot="1" x14ac:dyDescent="0.25">
      <c r="A263" s="60">
        <f t="shared" si="29"/>
        <v>0</v>
      </c>
      <c r="B263" s="60">
        <f t="shared" si="29"/>
        <v>0</v>
      </c>
      <c r="C263" s="60">
        <f t="shared" si="29"/>
        <v>0</v>
      </c>
      <c r="D263" s="60">
        <f t="shared" si="30"/>
        <v>0</v>
      </c>
      <c r="E263" s="60">
        <v>0</v>
      </c>
      <c r="F263" s="60">
        <v>0</v>
      </c>
      <c r="G263" s="60">
        <f t="shared" si="31"/>
        <v>0</v>
      </c>
      <c r="H263" s="60">
        <v>0</v>
      </c>
      <c r="I263" s="60">
        <v>0</v>
      </c>
      <c r="J263" s="65" t="s">
        <v>61</v>
      </c>
      <c r="K263" s="66"/>
    </row>
    <row r="264" spans="1:11" ht="12.75" customHeight="1" thickBot="1" x14ac:dyDescent="0.25">
      <c r="A264" s="60">
        <f t="shared" ref="A264:C277" si="32">G264+D264</f>
        <v>11</v>
      </c>
      <c r="B264" s="60">
        <f t="shared" si="32"/>
        <v>11</v>
      </c>
      <c r="C264" s="60">
        <f t="shared" si="32"/>
        <v>0</v>
      </c>
      <c r="D264" s="60">
        <f t="shared" si="30"/>
        <v>0</v>
      </c>
      <c r="E264" s="60">
        <v>0</v>
      </c>
      <c r="F264" s="60">
        <v>0</v>
      </c>
      <c r="G264" s="60">
        <f t="shared" si="31"/>
        <v>11</v>
      </c>
      <c r="H264" s="60">
        <v>11</v>
      </c>
      <c r="I264" s="60">
        <v>0</v>
      </c>
      <c r="J264" s="65" t="s">
        <v>62</v>
      </c>
      <c r="K264" s="66" t="s">
        <v>404</v>
      </c>
    </row>
    <row r="265" spans="1:11" ht="12.75" customHeight="1" thickBot="1" x14ac:dyDescent="0.25">
      <c r="A265" s="60">
        <f t="shared" si="32"/>
        <v>0</v>
      </c>
      <c r="B265" s="60">
        <f t="shared" si="32"/>
        <v>0</v>
      </c>
      <c r="C265" s="60">
        <f t="shared" si="32"/>
        <v>0</v>
      </c>
      <c r="D265" s="60">
        <f t="shared" si="30"/>
        <v>0</v>
      </c>
      <c r="E265" s="60">
        <v>0</v>
      </c>
      <c r="F265" s="60">
        <v>0</v>
      </c>
      <c r="G265" s="60">
        <f t="shared" si="31"/>
        <v>0</v>
      </c>
      <c r="H265" s="60">
        <v>0</v>
      </c>
      <c r="I265" s="60">
        <v>0</v>
      </c>
      <c r="J265" s="65" t="s">
        <v>64</v>
      </c>
      <c r="K265" s="74"/>
    </row>
    <row r="266" spans="1:11" ht="12.75" customHeight="1" thickBot="1" x14ac:dyDescent="0.25">
      <c r="A266" s="60">
        <f t="shared" si="32"/>
        <v>0</v>
      </c>
      <c r="B266" s="60">
        <f t="shared" si="32"/>
        <v>0</v>
      </c>
      <c r="C266" s="60">
        <f t="shared" si="32"/>
        <v>0</v>
      </c>
      <c r="D266" s="60">
        <f t="shared" si="30"/>
        <v>0</v>
      </c>
      <c r="E266" s="60">
        <v>0</v>
      </c>
      <c r="F266" s="60">
        <v>0</v>
      </c>
      <c r="G266" s="60">
        <f t="shared" si="31"/>
        <v>0</v>
      </c>
      <c r="H266" s="60">
        <v>0</v>
      </c>
      <c r="I266" s="60">
        <v>0</v>
      </c>
      <c r="J266" s="65" t="s">
        <v>61</v>
      </c>
      <c r="K266" s="66"/>
    </row>
    <row r="267" spans="1:11" ht="12.75" customHeight="1" thickBot="1" x14ac:dyDescent="0.25">
      <c r="A267" s="60">
        <f t="shared" si="32"/>
        <v>11</v>
      </c>
      <c r="B267" s="60">
        <f t="shared" si="32"/>
        <v>11</v>
      </c>
      <c r="C267" s="60">
        <f t="shared" si="32"/>
        <v>0</v>
      </c>
      <c r="D267" s="60">
        <f t="shared" si="30"/>
        <v>0</v>
      </c>
      <c r="E267" s="60">
        <v>0</v>
      </c>
      <c r="F267" s="60">
        <v>0</v>
      </c>
      <c r="G267" s="60">
        <f t="shared" si="31"/>
        <v>11</v>
      </c>
      <c r="H267" s="60">
        <f>17-6</f>
        <v>11</v>
      </c>
      <c r="I267" s="60">
        <v>0</v>
      </c>
      <c r="J267" s="65" t="s">
        <v>62</v>
      </c>
      <c r="K267" s="66" t="s">
        <v>405</v>
      </c>
    </row>
    <row r="268" spans="1:11" ht="12.75" customHeight="1" thickBot="1" x14ac:dyDescent="0.25">
      <c r="A268" s="60">
        <f t="shared" si="32"/>
        <v>6</v>
      </c>
      <c r="B268" s="60">
        <f t="shared" si="32"/>
        <v>6</v>
      </c>
      <c r="C268" s="60">
        <f t="shared" si="32"/>
        <v>0</v>
      </c>
      <c r="D268" s="60">
        <f t="shared" si="30"/>
        <v>0</v>
      </c>
      <c r="E268" s="60">
        <v>0</v>
      </c>
      <c r="F268" s="60">
        <v>0</v>
      </c>
      <c r="G268" s="60">
        <f t="shared" si="31"/>
        <v>6</v>
      </c>
      <c r="H268" s="60">
        <v>6</v>
      </c>
      <c r="I268" s="60">
        <v>0</v>
      </c>
      <c r="J268" s="65" t="s">
        <v>64</v>
      </c>
      <c r="K268" s="74"/>
    </row>
    <row r="269" spans="1:11" ht="12.75" customHeight="1" thickBot="1" x14ac:dyDescent="0.25">
      <c r="A269" s="60">
        <f t="shared" si="32"/>
        <v>37</v>
      </c>
      <c r="B269" s="60">
        <f t="shared" si="32"/>
        <v>37</v>
      </c>
      <c r="C269" s="60">
        <f t="shared" si="32"/>
        <v>0</v>
      </c>
      <c r="D269" s="60">
        <f t="shared" si="30"/>
        <v>0</v>
      </c>
      <c r="E269" s="60">
        <v>0</v>
      </c>
      <c r="F269" s="60">
        <v>0</v>
      </c>
      <c r="G269" s="60">
        <f t="shared" si="31"/>
        <v>37</v>
      </c>
      <c r="H269" s="60">
        <f>52-15</f>
        <v>37</v>
      </c>
      <c r="I269" s="60">
        <v>0</v>
      </c>
      <c r="J269" s="65" t="s">
        <v>61</v>
      </c>
      <c r="K269" s="66"/>
    </row>
    <row r="270" spans="1:11" ht="12.75" customHeight="1" thickBot="1" x14ac:dyDescent="0.25">
      <c r="A270" s="60">
        <f t="shared" si="32"/>
        <v>41</v>
      </c>
      <c r="B270" s="60">
        <f t="shared" si="32"/>
        <v>41</v>
      </c>
      <c r="C270" s="60">
        <f t="shared" si="32"/>
        <v>0</v>
      </c>
      <c r="D270" s="60">
        <f t="shared" si="30"/>
        <v>0</v>
      </c>
      <c r="E270" s="60">
        <v>0</v>
      </c>
      <c r="F270" s="60">
        <v>0</v>
      </c>
      <c r="G270" s="60">
        <f t="shared" si="31"/>
        <v>41</v>
      </c>
      <c r="H270" s="60">
        <f>56-15</f>
        <v>41</v>
      </c>
      <c r="I270" s="60">
        <v>0</v>
      </c>
      <c r="J270" s="65" t="s">
        <v>62</v>
      </c>
      <c r="K270" s="66" t="s">
        <v>411</v>
      </c>
    </row>
    <row r="271" spans="1:11" ht="12.75" customHeight="1" thickBot="1" x14ac:dyDescent="0.25">
      <c r="A271" s="60">
        <f t="shared" si="32"/>
        <v>0</v>
      </c>
      <c r="B271" s="60">
        <f t="shared" si="32"/>
        <v>0</v>
      </c>
      <c r="C271" s="60">
        <f t="shared" si="32"/>
        <v>0</v>
      </c>
      <c r="D271" s="60">
        <f t="shared" si="30"/>
        <v>0</v>
      </c>
      <c r="E271" s="60">
        <v>0</v>
      </c>
      <c r="F271" s="60">
        <v>0</v>
      </c>
      <c r="G271" s="60">
        <f t="shared" si="31"/>
        <v>0</v>
      </c>
      <c r="H271" s="60">
        <v>0</v>
      </c>
      <c r="I271" s="60">
        <v>0</v>
      </c>
      <c r="J271" s="65" t="s">
        <v>64</v>
      </c>
      <c r="K271" s="74"/>
    </row>
    <row r="272" spans="1:11" ht="13.5" customHeight="1" thickBot="1" x14ac:dyDescent="0.25">
      <c r="A272" s="60">
        <f t="shared" si="32"/>
        <v>22</v>
      </c>
      <c r="B272" s="60">
        <f t="shared" si="32"/>
        <v>22</v>
      </c>
      <c r="C272" s="60">
        <f t="shared" si="32"/>
        <v>0</v>
      </c>
      <c r="D272" s="60">
        <f t="shared" si="30"/>
        <v>0</v>
      </c>
      <c r="E272" s="60">
        <v>0</v>
      </c>
      <c r="F272" s="60">
        <v>0</v>
      </c>
      <c r="G272" s="60">
        <f t="shared" si="31"/>
        <v>22</v>
      </c>
      <c r="H272" s="60">
        <f>27-5</f>
        <v>22</v>
      </c>
      <c r="I272" s="60">
        <v>0</v>
      </c>
      <c r="J272" s="65" t="s">
        <v>61</v>
      </c>
      <c r="K272" s="66"/>
    </row>
    <row r="273" spans="1:11" ht="12.75" customHeight="1" thickBot="1" x14ac:dyDescent="0.25">
      <c r="A273" s="60">
        <f t="shared" si="32"/>
        <v>29</v>
      </c>
      <c r="B273" s="60">
        <f t="shared" si="32"/>
        <v>29</v>
      </c>
      <c r="C273" s="60">
        <f t="shared" si="32"/>
        <v>0</v>
      </c>
      <c r="D273" s="60">
        <f t="shared" si="30"/>
        <v>0</v>
      </c>
      <c r="E273" s="60">
        <v>0</v>
      </c>
      <c r="F273" s="60">
        <v>0</v>
      </c>
      <c r="G273" s="60">
        <f t="shared" si="31"/>
        <v>29</v>
      </c>
      <c r="H273" s="60">
        <f>34-5</f>
        <v>29</v>
      </c>
      <c r="I273" s="60">
        <v>0</v>
      </c>
      <c r="J273" s="65" t="s">
        <v>62</v>
      </c>
      <c r="K273" s="66" t="s">
        <v>413</v>
      </c>
    </row>
    <row r="274" spans="1:11" ht="12.75" customHeight="1" thickBot="1" x14ac:dyDescent="0.25">
      <c r="A274" s="60">
        <f t="shared" si="32"/>
        <v>0</v>
      </c>
      <c r="B274" s="60">
        <f t="shared" si="32"/>
        <v>0</v>
      </c>
      <c r="C274" s="60">
        <f t="shared" si="32"/>
        <v>0</v>
      </c>
      <c r="D274" s="60">
        <f t="shared" si="30"/>
        <v>0</v>
      </c>
      <c r="E274" s="60">
        <v>0</v>
      </c>
      <c r="F274" s="60">
        <v>0</v>
      </c>
      <c r="G274" s="60">
        <f t="shared" si="31"/>
        <v>0</v>
      </c>
      <c r="H274" s="60">
        <v>0</v>
      </c>
      <c r="I274" s="60">
        <v>0</v>
      </c>
      <c r="J274" s="65" t="s">
        <v>64</v>
      </c>
      <c r="K274" s="74"/>
    </row>
    <row r="275" spans="1:11" ht="13.5" customHeight="1" thickBot="1" x14ac:dyDescent="0.25">
      <c r="A275" s="60">
        <f t="shared" si="32"/>
        <v>0</v>
      </c>
      <c r="B275" s="60">
        <f t="shared" si="32"/>
        <v>0</v>
      </c>
      <c r="C275" s="60">
        <f t="shared" si="32"/>
        <v>0</v>
      </c>
      <c r="D275" s="60">
        <f t="shared" si="30"/>
        <v>0</v>
      </c>
      <c r="E275" s="60">
        <v>0</v>
      </c>
      <c r="F275" s="60">
        <v>0</v>
      </c>
      <c r="G275" s="60">
        <f t="shared" si="31"/>
        <v>0</v>
      </c>
      <c r="H275" s="60">
        <v>0</v>
      </c>
      <c r="I275" s="60">
        <v>0</v>
      </c>
      <c r="J275" s="65" t="s">
        <v>61</v>
      </c>
      <c r="K275" s="66"/>
    </row>
    <row r="276" spans="1:11" ht="12.75" customHeight="1" thickBot="1" x14ac:dyDescent="0.25">
      <c r="A276" s="60">
        <f t="shared" si="32"/>
        <v>36</v>
      </c>
      <c r="B276" s="60">
        <f t="shared" si="32"/>
        <v>27</v>
      </c>
      <c r="C276" s="60">
        <f t="shared" si="32"/>
        <v>9</v>
      </c>
      <c r="D276" s="60">
        <f t="shared" si="30"/>
        <v>0</v>
      </c>
      <c r="E276" s="60">
        <v>0</v>
      </c>
      <c r="F276" s="60">
        <v>0</v>
      </c>
      <c r="G276" s="60">
        <f t="shared" si="31"/>
        <v>36</v>
      </c>
      <c r="H276" s="60">
        <f>32-5</f>
        <v>27</v>
      </c>
      <c r="I276" s="60">
        <v>9</v>
      </c>
      <c r="J276" s="65" t="s">
        <v>62</v>
      </c>
      <c r="K276" s="66" t="s">
        <v>399</v>
      </c>
    </row>
    <row r="277" spans="1:11" ht="12.75" customHeight="1" thickBot="1" x14ac:dyDescent="0.25">
      <c r="A277" s="60">
        <f t="shared" si="32"/>
        <v>0</v>
      </c>
      <c r="B277" s="60">
        <f t="shared" si="32"/>
        <v>0</v>
      </c>
      <c r="C277" s="60">
        <f t="shared" si="32"/>
        <v>0</v>
      </c>
      <c r="D277" s="60">
        <f t="shared" si="30"/>
        <v>0</v>
      </c>
      <c r="E277" s="60">
        <v>0</v>
      </c>
      <c r="F277" s="60">
        <v>0</v>
      </c>
      <c r="G277" s="60">
        <f t="shared" si="31"/>
        <v>0</v>
      </c>
      <c r="H277" s="60">
        <v>0</v>
      </c>
      <c r="I277" s="60">
        <v>0</v>
      </c>
      <c r="J277" s="65" t="s">
        <v>64</v>
      </c>
      <c r="K277" s="74"/>
    </row>
    <row r="278" spans="1:11" ht="12.75" customHeight="1" thickBot="1" x14ac:dyDescent="0.25">
      <c r="A278" s="60">
        <f t="shared" ref="A278:I280" si="33">A248+A251+A254+A257+A260+A263+A266+A269+A272+A275</f>
        <v>217</v>
      </c>
      <c r="B278" s="60">
        <f t="shared" si="33"/>
        <v>104</v>
      </c>
      <c r="C278" s="60">
        <f t="shared" si="33"/>
        <v>113</v>
      </c>
      <c r="D278" s="60">
        <f t="shared" si="33"/>
        <v>0</v>
      </c>
      <c r="E278" s="60">
        <f t="shared" si="33"/>
        <v>0</v>
      </c>
      <c r="F278" s="60">
        <f t="shared" si="33"/>
        <v>0</v>
      </c>
      <c r="G278" s="60">
        <f t="shared" si="33"/>
        <v>217</v>
      </c>
      <c r="H278" s="60">
        <f t="shared" si="33"/>
        <v>104</v>
      </c>
      <c r="I278" s="60">
        <f>I248+I251+I254+I257+I260+I263+I266+I269+I272+I275</f>
        <v>113</v>
      </c>
      <c r="J278" s="65" t="s">
        <v>231</v>
      </c>
      <c r="K278" s="57"/>
    </row>
    <row r="279" spans="1:11" ht="12.75" customHeight="1" thickBot="1" x14ac:dyDescent="0.25">
      <c r="A279" s="60">
        <f t="shared" si="33"/>
        <v>329</v>
      </c>
      <c r="B279" s="60">
        <f t="shared" si="33"/>
        <v>169</v>
      </c>
      <c r="C279" s="60">
        <f t="shared" si="33"/>
        <v>160</v>
      </c>
      <c r="D279" s="60">
        <f t="shared" si="33"/>
        <v>0</v>
      </c>
      <c r="E279" s="60">
        <f t="shared" si="33"/>
        <v>0</v>
      </c>
      <c r="F279" s="60">
        <f t="shared" si="33"/>
        <v>0</v>
      </c>
      <c r="G279" s="60">
        <f t="shared" si="33"/>
        <v>329</v>
      </c>
      <c r="H279" s="60">
        <f t="shared" si="33"/>
        <v>169</v>
      </c>
      <c r="I279" s="60">
        <f t="shared" si="33"/>
        <v>160</v>
      </c>
      <c r="J279" s="65" t="s">
        <v>62</v>
      </c>
      <c r="K279" s="68" t="s">
        <v>232</v>
      </c>
    </row>
    <row r="280" spans="1:11" ht="12.75" customHeight="1" thickBot="1" x14ac:dyDescent="0.25">
      <c r="A280" s="60">
        <f t="shared" si="33"/>
        <v>6</v>
      </c>
      <c r="B280" s="60">
        <f t="shared" si="33"/>
        <v>6</v>
      </c>
      <c r="C280" s="60">
        <f t="shared" si="33"/>
        <v>0</v>
      </c>
      <c r="D280" s="60">
        <f t="shared" si="33"/>
        <v>0</v>
      </c>
      <c r="E280" s="60">
        <f t="shared" si="33"/>
        <v>0</v>
      </c>
      <c r="F280" s="60">
        <f t="shared" si="33"/>
        <v>0</v>
      </c>
      <c r="G280" s="60">
        <f t="shared" si="33"/>
        <v>6</v>
      </c>
      <c r="H280" s="60">
        <f t="shared" si="33"/>
        <v>6</v>
      </c>
      <c r="I280" s="60">
        <f t="shared" si="33"/>
        <v>0</v>
      </c>
      <c r="J280" s="65" t="s">
        <v>64</v>
      </c>
      <c r="K280" s="59"/>
    </row>
    <row r="281" spans="1:11" ht="12.75" customHeight="1" thickBot="1" x14ac:dyDescent="0.25">
      <c r="A281" s="60">
        <f t="shared" ref="A281:I281" si="34">SUM(A278:A280)</f>
        <v>552</v>
      </c>
      <c r="B281" s="60">
        <f t="shared" si="34"/>
        <v>279</v>
      </c>
      <c r="C281" s="60">
        <f t="shared" si="34"/>
        <v>273</v>
      </c>
      <c r="D281" s="60">
        <f t="shared" si="34"/>
        <v>0</v>
      </c>
      <c r="E281" s="60">
        <f t="shared" si="34"/>
        <v>0</v>
      </c>
      <c r="F281" s="60">
        <f t="shared" si="34"/>
        <v>0</v>
      </c>
      <c r="G281" s="60">
        <f t="shared" si="34"/>
        <v>552</v>
      </c>
      <c r="H281" s="60">
        <f t="shared" si="34"/>
        <v>279</v>
      </c>
      <c r="I281" s="60">
        <f t="shared" si="34"/>
        <v>273</v>
      </c>
      <c r="J281" s="184" t="s">
        <v>233</v>
      </c>
      <c r="K281" s="184"/>
    </row>
    <row r="283" spans="1:11" ht="12.75" customHeight="1" x14ac:dyDescent="0.2">
      <c r="A283" s="177" t="s">
        <v>576</v>
      </c>
      <c r="B283" s="177"/>
      <c r="C283" s="177"/>
      <c r="D283" s="177"/>
      <c r="E283" s="177"/>
      <c r="F283" s="177"/>
      <c r="G283" s="177"/>
      <c r="H283" s="177"/>
      <c r="I283" s="177"/>
      <c r="J283" s="177"/>
      <c r="K283" s="177"/>
    </row>
    <row r="284" spans="1:11" ht="12.75" customHeight="1" thickBot="1" x14ac:dyDescent="0.25">
      <c r="A284" s="178" t="s">
        <v>577</v>
      </c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</row>
    <row r="285" spans="1:11" ht="12.75" customHeight="1" thickBot="1" x14ac:dyDescent="0.25">
      <c r="A285" s="179" t="s">
        <v>5</v>
      </c>
      <c r="B285" s="179"/>
      <c r="C285" s="179"/>
      <c r="D285" s="179" t="s">
        <v>162</v>
      </c>
      <c r="E285" s="179"/>
      <c r="F285" s="179"/>
      <c r="G285" s="179" t="s">
        <v>163</v>
      </c>
      <c r="H285" s="179"/>
      <c r="I285" s="179"/>
      <c r="J285" s="179" t="s">
        <v>72</v>
      </c>
      <c r="K285" s="179"/>
    </row>
    <row r="286" spans="1:11" ht="12.75" customHeight="1" thickBot="1" x14ac:dyDescent="0.25">
      <c r="A286" s="58" t="s">
        <v>216</v>
      </c>
      <c r="B286" s="58" t="s">
        <v>11</v>
      </c>
      <c r="C286" s="58" t="s">
        <v>10</v>
      </c>
      <c r="D286" s="58" t="s">
        <v>216</v>
      </c>
      <c r="E286" s="58" t="s">
        <v>11</v>
      </c>
      <c r="F286" s="58" t="s">
        <v>10</v>
      </c>
      <c r="G286" s="58" t="s">
        <v>216</v>
      </c>
      <c r="H286" s="58" t="s">
        <v>11</v>
      </c>
      <c r="I286" s="58" t="s">
        <v>10</v>
      </c>
      <c r="J286" s="180" t="s">
        <v>81</v>
      </c>
      <c r="K286" s="180"/>
    </row>
    <row r="287" spans="1:11" ht="12.75" customHeight="1" thickBot="1" x14ac:dyDescent="0.25">
      <c r="A287" s="60">
        <v>0</v>
      </c>
      <c r="B287" s="60">
        <v>0</v>
      </c>
      <c r="C287" s="60">
        <v>0</v>
      </c>
      <c r="D287" s="60">
        <v>0</v>
      </c>
      <c r="E287" s="60">
        <v>0</v>
      </c>
      <c r="F287" s="60">
        <v>0</v>
      </c>
      <c r="G287" s="60">
        <v>0</v>
      </c>
      <c r="H287" s="60">
        <v>0</v>
      </c>
      <c r="I287" s="60">
        <v>0</v>
      </c>
      <c r="J287" s="65" t="s">
        <v>61</v>
      </c>
      <c r="K287" s="66"/>
    </row>
    <row r="288" spans="1:11" ht="12.75" customHeight="1" thickBot="1" x14ac:dyDescent="0.25">
      <c r="A288" s="60">
        <v>32</v>
      </c>
      <c r="B288" s="60">
        <v>2</v>
      </c>
      <c r="C288" s="60">
        <v>30</v>
      </c>
      <c r="D288" s="60">
        <v>0</v>
      </c>
      <c r="E288" s="60">
        <v>0</v>
      </c>
      <c r="F288" s="60">
        <v>0</v>
      </c>
      <c r="G288" s="60">
        <v>32</v>
      </c>
      <c r="H288" s="60">
        <v>2</v>
      </c>
      <c r="I288" s="60">
        <v>30</v>
      </c>
      <c r="J288" s="65" t="s">
        <v>62</v>
      </c>
      <c r="K288" s="66" t="s">
        <v>432</v>
      </c>
    </row>
    <row r="289" spans="1:11" ht="12.75" customHeight="1" thickBot="1" x14ac:dyDescent="0.25">
      <c r="A289" s="60">
        <v>0</v>
      </c>
      <c r="B289" s="60">
        <v>0</v>
      </c>
      <c r="C289" s="60">
        <v>0</v>
      </c>
      <c r="D289" s="60">
        <v>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5" t="s">
        <v>64</v>
      </c>
      <c r="K289" s="74"/>
    </row>
    <row r="290" spans="1:11" ht="12.75" customHeight="1" thickBot="1" x14ac:dyDescent="0.25">
      <c r="A290" s="60">
        <v>0</v>
      </c>
      <c r="B290" s="60">
        <v>0</v>
      </c>
      <c r="C290" s="60">
        <v>0</v>
      </c>
      <c r="D290" s="60">
        <v>0</v>
      </c>
      <c r="E290" s="60">
        <v>0</v>
      </c>
      <c r="F290" s="60">
        <v>0</v>
      </c>
      <c r="G290" s="60">
        <v>0</v>
      </c>
      <c r="H290" s="60">
        <v>0</v>
      </c>
      <c r="I290" s="60">
        <v>0</v>
      </c>
      <c r="J290" s="65" t="s">
        <v>61</v>
      </c>
      <c r="K290" s="66"/>
    </row>
    <row r="291" spans="1:11" ht="12.75" customHeight="1" thickBot="1" x14ac:dyDescent="0.25">
      <c r="A291" s="60">
        <v>0</v>
      </c>
      <c r="B291" s="60">
        <v>0</v>
      </c>
      <c r="C291" s="60">
        <v>0</v>
      </c>
      <c r="D291" s="60">
        <v>0</v>
      </c>
      <c r="E291" s="60">
        <v>0</v>
      </c>
      <c r="F291" s="60">
        <v>0</v>
      </c>
      <c r="G291" s="60">
        <v>0</v>
      </c>
      <c r="H291" s="60">
        <v>0</v>
      </c>
      <c r="I291" s="60">
        <v>0</v>
      </c>
      <c r="J291" s="65" t="s">
        <v>62</v>
      </c>
      <c r="K291" s="66" t="s">
        <v>541</v>
      </c>
    </row>
    <row r="292" spans="1:11" ht="12.75" customHeight="1" thickBot="1" x14ac:dyDescent="0.25">
      <c r="A292" s="60">
        <v>118</v>
      </c>
      <c r="B292" s="60">
        <v>118</v>
      </c>
      <c r="C292" s="60">
        <v>0</v>
      </c>
      <c r="D292" s="60">
        <v>0</v>
      </c>
      <c r="E292" s="60">
        <v>0</v>
      </c>
      <c r="F292" s="60">
        <v>0</v>
      </c>
      <c r="G292" s="60">
        <v>118</v>
      </c>
      <c r="H292" s="60">
        <v>118</v>
      </c>
      <c r="I292" s="60">
        <v>0</v>
      </c>
      <c r="J292" s="65" t="s">
        <v>64</v>
      </c>
      <c r="K292" s="74"/>
    </row>
    <row r="293" spans="1:11" ht="12.75" customHeight="1" thickBot="1" x14ac:dyDescent="0.25">
      <c r="A293" s="60">
        <v>0</v>
      </c>
      <c r="B293" s="60">
        <v>0</v>
      </c>
      <c r="C293" s="60">
        <v>0</v>
      </c>
      <c r="D293" s="60">
        <v>0</v>
      </c>
      <c r="E293" s="60">
        <v>0</v>
      </c>
      <c r="F293" s="60">
        <v>0</v>
      </c>
      <c r="G293" s="60">
        <v>0</v>
      </c>
      <c r="H293" s="60">
        <v>0</v>
      </c>
      <c r="I293" s="60">
        <v>0</v>
      </c>
      <c r="J293" s="65" t="s">
        <v>231</v>
      </c>
      <c r="K293" s="57"/>
    </row>
    <row r="294" spans="1:11" ht="12.75" customHeight="1" thickBot="1" x14ac:dyDescent="0.25">
      <c r="A294" s="60">
        <v>32</v>
      </c>
      <c r="B294" s="60">
        <v>2</v>
      </c>
      <c r="C294" s="60">
        <v>30</v>
      </c>
      <c r="D294" s="60">
        <v>0</v>
      </c>
      <c r="E294" s="60">
        <v>0</v>
      </c>
      <c r="F294" s="60">
        <v>0</v>
      </c>
      <c r="G294" s="60">
        <v>32</v>
      </c>
      <c r="H294" s="60">
        <v>2</v>
      </c>
      <c r="I294" s="60">
        <v>30</v>
      </c>
      <c r="J294" s="65" t="s">
        <v>62</v>
      </c>
      <c r="K294" s="68" t="s">
        <v>232</v>
      </c>
    </row>
    <row r="295" spans="1:11" ht="12.75" customHeight="1" thickBot="1" x14ac:dyDescent="0.25">
      <c r="A295" s="60">
        <v>118</v>
      </c>
      <c r="B295" s="60">
        <v>118</v>
      </c>
      <c r="C295" s="60">
        <v>0</v>
      </c>
      <c r="D295" s="60">
        <v>0</v>
      </c>
      <c r="E295" s="60">
        <v>0</v>
      </c>
      <c r="F295" s="60">
        <v>0</v>
      </c>
      <c r="G295" s="60">
        <v>118</v>
      </c>
      <c r="H295" s="60">
        <v>118</v>
      </c>
      <c r="I295" s="60">
        <v>0</v>
      </c>
      <c r="J295" s="65" t="s">
        <v>64</v>
      </c>
      <c r="K295" s="59"/>
    </row>
    <row r="296" spans="1:11" ht="12.75" customHeight="1" thickBot="1" x14ac:dyDescent="0.25">
      <c r="A296" s="60">
        <v>150</v>
      </c>
      <c r="B296" s="60">
        <v>120</v>
      </c>
      <c r="C296" s="60">
        <v>30</v>
      </c>
      <c r="D296" s="60">
        <v>0</v>
      </c>
      <c r="E296" s="60">
        <v>0</v>
      </c>
      <c r="F296" s="60">
        <v>0</v>
      </c>
      <c r="G296" s="60">
        <v>150</v>
      </c>
      <c r="H296" s="60">
        <v>120</v>
      </c>
      <c r="I296" s="60">
        <v>30</v>
      </c>
      <c r="J296" s="184" t="s">
        <v>233</v>
      </c>
      <c r="K296" s="184"/>
    </row>
    <row r="298" spans="1:11" ht="12.75" customHeight="1" x14ac:dyDescent="0.2">
      <c r="A298" s="177" t="s">
        <v>576</v>
      </c>
      <c r="B298" s="177"/>
      <c r="C298" s="177"/>
      <c r="D298" s="177"/>
      <c r="E298" s="177"/>
      <c r="F298" s="177"/>
      <c r="G298" s="177"/>
      <c r="H298" s="177"/>
      <c r="I298" s="177"/>
      <c r="J298" s="177"/>
      <c r="K298" s="177"/>
    </row>
    <row r="299" spans="1:11" ht="12.75" customHeight="1" thickBot="1" x14ac:dyDescent="0.25">
      <c r="A299" s="178" t="s">
        <v>577</v>
      </c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</row>
    <row r="300" spans="1:11" ht="12.75" customHeight="1" thickBot="1" x14ac:dyDescent="0.25">
      <c r="A300" s="179" t="s">
        <v>5</v>
      </c>
      <c r="B300" s="179"/>
      <c r="C300" s="179"/>
      <c r="D300" s="179" t="s">
        <v>162</v>
      </c>
      <c r="E300" s="179"/>
      <c r="F300" s="179"/>
      <c r="G300" s="179" t="s">
        <v>163</v>
      </c>
      <c r="H300" s="179"/>
      <c r="I300" s="179"/>
      <c r="J300" s="179" t="s">
        <v>72</v>
      </c>
      <c r="K300" s="179"/>
    </row>
    <row r="301" spans="1:11" ht="12.75" customHeight="1" thickBot="1" x14ac:dyDescent="0.25">
      <c r="A301" s="58" t="s">
        <v>216</v>
      </c>
      <c r="B301" s="58" t="s">
        <v>11</v>
      </c>
      <c r="C301" s="58" t="s">
        <v>10</v>
      </c>
      <c r="D301" s="58" t="s">
        <v>216</v>
      </c>
      <c r="E301" s="58" t="s">
        <v>11</v>
      </c>
      <c r="F301" s="58" t="s">
        <v>10</v>
      </c>
      <c r="G301" s="58" t="s">
        <v>216</v>
      </c>
      <c r="H301" s="58" t="s">
        <v>11</v>
      </c>
      <c r="I301" s="58" t="s">
        <v>10</v>
      </c>
      <c r="J301" s="180" t="s">
        <v>108</v>
      </c>
      <c r="K301" s="180"/>
    </row>
    <row r="302" spans="1:11" ht="12.75" customHeight="1" thickBot="1" x14ac:dyDescent="0.25">
      <c r="A302" s="60">
        <f t="shared" ref="A302:C316" si="35">G302+D302</f>
        <v>31</v>
      </c>
      <c r="B302" s="60">
        <f t="shared" si="35"/>
        <v>0</v>
      </c>
      <c r="C302" s="60">
        <f>I302+F302</f>
        <v>31</v>
      </c>
      <c r="D302" s="60">
        <f>F302+E302</f>
        <v>0</v>
      </c>
      <c r="E302" s="60">
        <v>0</v>
      </c>
      <c r="F302" s="60">
        <v>0</v>
      </c>
      <c r="G302" s="60">
        <f>I302+H302</f>
        <v>31</v>
      </c>
      <c r="H302" s="60">
        <v>0</v>
      </c>
      <c r="I302" s="60">
        <f>20+11</f>
        <v>31</v>
      </c>
      <c r="J302" s="65" t="s">
        <v>61</v>
      </c>
      <c r="K302" s="66"/>
    </row>
    <row r="303" spans="1:11" ht="12.75" customHeight="1" thickBot="1" x14ac:dyDescent="0.25">
      <c r="A303" s="60">
        <f t="shared" si="35"/>
        <v>50</v>
      </c>
      <c r="B303" s="60">
        <f t="shared" si="35"/>
        <v>0</v>
      </c>
      <c r="C303" s="60">
        <f t="shared" si="35"/>
        <v>50</v>
      </c>
      <c r="D303" s="60">
        <f t="shared" ref="D303:D316" si="36">F303+E303</f>
        <v>5</v>
      </c>
      <c r="E303" s="60">
        <v>0</v>
      </c>
      <c r="F303" s="60">
        <v>5</v>
      </c>
      <c r="G303" s="60">
        <f t="shared" ref="G303:G316" si="37">I303+H303</f>
        <v>45</v>
      </c>
      <c r="H303" s="60">
        <v>0</v>
      </c>
      <c r="I303" s="60">
        <f>35+10</f>
        <v>45</v>
      </c>
      <c r="J303" s="65" t="s">
        <v>62</v>
      </c>
      <c r="K303" s="66" t="s">
        <v>419</v>
      </c>
    </row>
    <row r="304" spans="1:11" ht="12.75" customHeight="1" thickBot="1" x14ac:dyDescent="0.25">
      <c r="A304" s="60">
        <f t="shared" si="35"/>
        <v>0</v>
      </c>
      <c r="B304" s="60">
        <f t="shared" si="35"/>
        <v>0</v>
      </c>
      <c r="C304" s="60">
        <f t="shared" si="35"/>
        <v>0</v>
      </c>
      <c r="D304" s="60">
        <f t="shared" si="36"/>
        <v>0</v>
      </c>
      <c r="E304" s="60">
        <v>0</v>
      </c>
      <c r="F304" s="60">
        <v>0</v>
      </c>
      <c r="G304" s="60">
        <f t="shared" si="37"/>
        <v>0</v>
      </c>
      <c r="H304" s="60">
        <v>0</v>
      </c>
      <c r="I304" s="60">
        <v>0</v>
      </c>
      <c r="J304" s="65" t="s">
        <v>64</v>
      </c>
      <c r="K304" s="74"/>
    </row>
    <row r="305" spans="1:11" ht="12.75" customHeight="1" thickBot="1" x14ac:dyDescent="0.25">
      <c r="A305" s="60">
        <f t="shared" si="35"/>
        <v>32</v>
      </c>
      <c r="B305" s="60">
        <f t="shared" si="35"/>
        <v>0</v>
      </c>
      <c r="C305" s="60">
        <f t="shared" si="35"/>
        <v>32</v>
      </c>
      <c r="D305" s="60">
        <f t="shared" si="36"/>
        <v>0</v>
      </c>
      <c r="E305" s="60">
        <v>0</v>
      </c>
      <c r="F305" s="60">
        <v>0</v>
      </c>
      <c r="G305" s="60">
        <f t="shared" si="37"/>
        <v>32</v>
      </c>
      <c r="H305" s="60">
        <v>0</v>
      </c>
      <c r="I305" s="60">
        <f>22+10</f>
        <v>32</v>
      </c>
      <c r="J305" s="65" t="s">
        <v>61</v>
      </c>
      <c r="K305" s="66"/>
    </row>
    <row r="306" spans="1:11" ht="12.75" customHeight="1" thickBot="1" x14ac:dyDescent="0.25">
      <c r="A306" s="60">
        <f t="shared" si="35"/>
        <v>84</v>
      </c>
      <c r="B306" s="60">
        <f t="shared" si="35"/>
        <v>34</v>
      </c>
      <c r="C306" s="60">
        <f t="shared" si="35"/>
        <v>50</v>
      </c>
      <c r="D306" s="60">
        <f t="shared" si="36"/>
        <v>0</v>
      </c>
      <c r="E306" s="60">
        <v>0</v>
      </c>
      <c r="F306" s="60">
        <v>0</v>
      </c>
      <c r="G306" s="60">
        <f t="shared" si="37"/>
        <v>84</v>
      </c>
      <c r="H306" s="60">
        <v>34</v>
      </c>
      <c r="I306" s="60">
        <f>39+11</f>
        <v>50</v>
      </c>
      <c r="J306" s="65" t="s">
        <v>62</v>
      </c>
      <c r="K306" s="66" t="s">
        <v>438</v>
      </c>
    </row>
    <row r="307" spans="1:11" ht="12.75" customHeight="1" thickBot="1" x14ac:dyDescent="0.25">
      <c r="A307" s="60">
        <f t="shared" si="35"/>
        <v>0</v>
      </c>
      <c r="B307" s="60">
        <f t="shared" si="35"/>
        <v>0</v>
      </c>
      <c r="C307" s="60">
        <f t="shared" si="35"/>
        <v>0</v>
      </c>
      <c r="D307" s="60">
        <f t="shared" si="36"/>
        <v>0</v>
      </c>
      <c r="E307" s="60">
        <v>0</v>
      </c>
      <c r="F307" s="60">
        <v>0</v>
      </c>
      <c r="G307" s="60">
        <f t="shared" si="37"/>
        <v>0</v>
      </c>
      <c r="H307" s="60">
        <v>0</v>
      </c>
      <c r="I307" s="60">
        <v>0</v>
      </c>
      <c r="J307" s="65" t="s">
        <v>64</v>
      </c>
      <c r="K307" s="74"/>
    </row>
    <row r="308" spans="1:11" ht="12.75" customHeight="1" thickBot="1" x14ac:dyDescent="0.25">
      <c r="A308" s="60">
        <f t="shared" si="35"/>
        <v>18</v>
      </c>
      <c r="B308" s="60">
        <f t="shared" si="35"/>
        <v>0</v>
      </c>
      <c r="C308" s="60">
        <f t="shared" si="35"/>
        <v>18</v>
      </c>
      <c r="D308" s="60">
        <f t="shared" si="36"/>
        <v>0</v>
      </c>
      <c r="E308" s="60">
        <v>0</v>
      </c>
      <c r="F308" s="60">
        <v>0</v>
      </c>
      <c r="G308" s="60">
        <f t="shared" si="37"/>
        <v>18</v>
      </c>
      <c r="H308" s="60">
        <v>0</v>
      </c>
      <c r="I308" s="60">
        <v>18</v>
      </c>
      <c r="J308" s="65" t="s">
        <v>61</v>
      </c>
      <c r="K308" s="66"/>
    </row>
    <row r="309" spans="1:11" ht="12.75" customHeight="1" thickBot="1" x14ac:dyDescent="0.25">
      <c r="A309" s="60">
        <f t="shared" si="35"/>
        <v>31</v>
      </c>
      <c r="B309" s="60">
        <f t="shared" si="35"/>
        <v>6</v>
      </c>
      <c r="C309" s="60">
        <f t="shared" si="35"/>
        <v>25</v>
      </c>
      <c r="D309" s="60">
        <f t="shared" si="36"/>
        <v>0</v>
      </c>
      <c r="E309" s="60">
        <v>0</v>
      </c>
      <c r="F309" s="60">
        <v>0</v>
      </c>
      <c r="G309" s="60">
        <f t="shared" si="37"/>
        <v>31</v>
      </c>
      <c r="H309" s="60">
        <v>6</v>
      </c>
      <c r="I309" s="60">
        <v>25</v>
      </c>
      <c r="J309" s="65" t="s">
        <v>62</v>
      </c>
      <c r="K309" s="66" t="s">
        <v>439</v>
      </c>
    </row>
    <row r="310" spans="1:11" ht="12.75" customHeight="1" thickBot="1" x14ac:dyDescent="0.25">
      <c r="A310" s="60">
        <f t="shared" si="35"/>
        <v>0</v>
      </c>
      <c r="B310" s="60">
        <f t="shared" si="35"/>
        <v>0</v>
      </c>
      <c r="C310" s="60">
        <f t="shared" si="35"/>
        <v>0</v>
      </c>
      <c r="D310" s="60">
        <f t="shared" si="36"/>
        <v>0</v>
      </c>
      <c r="E310" s="60">
        <v>0</v>
      </c>
      <c r="F310" s="60">
        <v>0</v>
      </c>
      <c r="G310" s="60">
        <f t="shared" si="37"/>
        <v>0</v>
      </c>
      <c r="H310" s="60">
        <v>0</v>
      </c>
      <c r="I310" s="60">
        <v>0</v>
      </c>
      <c r="J310" s="65" t="s">
        <v>64</v>
      </c>
      <c r="K310" s="74"/>
    </row>
    <row r="311" spans="1:11" ht="12.75" customHeight="1" thickBot="1" x14ac:dyDescent="0.25">
      <c r="A311" s="60">
        <f t="shared" si="35"/>
        <v>0</v>
      </c>
      <c r="B311" s="60">
        <f t="shared" si="35"/>
        <v>0</v>
      </c>
      <c r="C311" s="60">
        <f t="shared" si="35"/>
        <v>0</v>
      </c>
      <c r="D311" s="60">
        <f t="shared" si="36"/>
        <v>0</v>
      </c>
      <c r="E311" s="60">
        <v>0</v>
      </c>
      <c r="F311" s="60">
        <v>0</v>
      </c>
      <c r="G311" s="60">
        <f t="shared" si="37"/>
        <v>0</v>
      </c>
      <c r="H311" s="60">
        <v>0</v>
      </c>
      <c r="I311" s="60">
        <v>0</v>
      </c>
      <c r="J311" s="65" t="s">
        <v>61</v>
      </c>
      <c r="K311" s="66"/>
    </row>
    <row r="312" spans="1:11" ht="12.75" customHeight="1" thickBot="1" x14ac:dyDescent="0.25">
      <c r="A312" s="60">
        <f t="shared" si="35"/>
        <v>22</v>
      </c>
      <c r="B312" s="60">
        <f t="shared" si="35"/>
        <v>0</v>
      </c>
      <c r="C312" s="60">
        <f t="shared" si="35"/>
        <v>22</v>
      </c>
      <c r="D312" s="60">
        <f t="shared" si="36"/>
        <v>0</v>
      </c>
      <c r="E312" s="60">
        <v>0</v>
      </c>
      <c r="F312" s="60">
        <v>0</v>
      </c>
      <c r="G312" s="60">
        <f t="shared" si="37"/>
        <v>22</v>
      </c>
      <c r="H312" s="60">
        <v>0</v>
      </c>
      <c r="I312" s="60">
        <v>22</v>
      </c>
      <c r="J312" s="65" t="s">
        <v>62</v>
      </c>
      <c r="K312" s="66" t="s">
        <v>440</v>
      </c>
    </row>
    <row r="313" spans="1:11" ht="12.75" customHeight="1" thickBot="1" x14ac:dyDescent="0.25">
      <c r="A313" s="60">
        <f t="shared" si="35"/>
        <v>0</v>
      </c>
      <c r="B313" s="60">
        <f t="shared" si="35"/>
        <v>0</v>
      </c>
      <c r="C313" s="60">
        <f t="shared" si="35"/>
        <v>0</v>
      </c>
      <c r="D313" s="60">
        <f t="shared" si="36"/>
        <v>0</v>
      </c>
      <c r="E313" s="60">
        <v>0</v>
      </c>
      <c r="F313" s="60">
        <v>0</v>
      </c>
      <c r="G313" s="60">
        <f t="shared" si="37"/>
        <v>0</v>
      </c>
      <c r="H313" s="60">
        <v>0</v>
      </c>
      <c r="I313" s="60">
        <v>0</v>
      </c>
      <c r="J313" s="65" t="s">
        <v>64</v>
      </c>
      <c r="K313" s="74"/>
    </row>
    <row r="314" spans="1:11" ht="12.75" customHeight="1" thickBot="1" x14ac:dyDescent="0.25">
      <c r="A314" s="60">
        <f t="shared" si="35"/>
        <v>31</v>
      </c>
      <c r="B314" s="60">
        <f t="shared" si="35"/>
        <v>0</v>
      </c>
      <c r="C314" s="60">
        <f t="shared" si="35"/>
        <v>31</v>
      </c>
      <c r="D314" s="60">
        <f t="shared" si="36"/>
        <v>0</v>
      </c>
      <c r="E314" s="60">
        <v>0</v>
      </c>
      <c r="F314" s="60">
        <v>0</v>
      </c>
      <c r="G314" s="60">
        <f t="shared" si="37"/>
        <v>31</v>
      </c>
      <c r="H314" s="60">
        <v>0</v>
      </c>
      <c r="I314" s="60">
        <v>31</v>
      </c>
      <c r="J314" s="65" t="s">
        <v>61</v>
      </c>
      <c r="K314" s="66"/>
    </row>
    <row r="315" spans="1:11" ht="12.75" customHeight="1" thickBot="1" x14ac:dyDescent="0.25">
      <c r="A315" s="60">
        <f t="shared" si="35"/>
        <v>71</v>
      </c>
      <c r="B315" s="60">
        <f t="shared" si="35"/>
        <v>4</v>
      </c>
      <c r="C315" s="60">
        <f t="shared" si="35"/>
        <v>67</v>
      </c>
      <c r="D315" s="60">
        <f t="shared" si="36"/>
        <v>0</v>
      </c>
      <c r="E315" s="60">
        <v>0</v>
      </c>
      <c r="F315" s="60">
        <v>0</v>
      </c>
      <c r="G315" s="60">
        <f t="shared" si="37"/>
        <v>71</v>
      </c>
      <c r="H315" s="60">
        <v>4</v>
      </c>
      <c r="I315" s="60">
        <f>46+21</f>
        <v>67</v>
      </c>
      <c r="J315" s="65" t="s">
        <v>62</v>
      </c>
      <c r="K315" s="66" t="s">
        <v>359</v>
      </c>
    </row>
    <row r="316" spans="1:11" ht="12.75" customHeight="1" thickBot="1" x14ac:dyDescent="0.25">
      <c r="A316" s="60">
        <f t="shared" si="35"/>
        <v>0</v>
      </c>
      <c r="B316" s="60">
        <f t="shared" si="35"/>
        <v>0</v>
      </c>
      <c r="C316" s="60">
        <f t="shared" si="35"/>
        <v>0</v>
      </c>
      <c r="D316" s="60">
        <f t="shared" si="36"/>
        <v>0</v>
      </c>
      <c r="E316" s="60">
        <v>0</v>
      </c>
      <c r="F316" s="60">
        <v>0</v>
      </c>
      <c r="G316" s="60">
        <f t="shared" si="37"/>
        <v>0</v>
      </c>
      <c r="H316" s="60">
        <v>0</v>
      </c>
      <c r="I316" s="60">
        <v>0</v>
      </c>
      <c r="J316" s="65" t="s">
        <v>64</v>
      </c>
      <c r="K316" s="74"/>
    </row>
    <row r="317" spans="1:11" ht="12.75" customHeight="1" thickBot="1" x14ac:dyDescent="0.25">
      <c r="A317" s="60">
        <f t="shared" ref="A317:H319" si="38">A302+A305+A308+A311+A314</f>
        <v>112</v>
      </c>
      <c r="B317" s="60">
        <f t="shared" si="38"/>
        <v>0</v>
      </c>
      <c r="C317" s="60">
        <f t="shared" si="38"/>
        <v>112</v>
      </c>
      <c r="D317" s="60">
        <f t="shared" si="38"/>
        <v>0</v>
      </c>
      <c r="E317" s="60">
        <f t="shared" si="38"/>
        <v>0</v>
      </c>
      <c r="F317" s="60">
        <f t="shared" si="38"/>
        <v>0</v>
      </c>
      <c r="G317" s="60">
        <f t="shared" si="38"/>
        <v>112</v>
      </c>
      <c r="H317" s="60">
        <f t="shared" si="38"/>
        <v>0</v>
      </c>
      <c r="I317" s="60">
        <f>I302+I305+I308+I311+I314</f>
        <v>112</v>
      </c>
      <c r="J317" s="65" t="s">
        <v>231</v>
      </c>
      <c r="K317" s="57"/>
    </row>
    <row r="318" spans="1:11" ht="12.75" customHeight="1" thickBot="1" x14ac:dyDescent="0.25">
      <c r="A318" s="60">
        <f t="shared" si="38"/>
        <v>258</v>
      </c>
      <c r="B318" s="60">
        <f t="shared" si="38"/>
        <v>44</v>
      </c>
      <c r="C318" s="60">
        <f t="shared" si="38"/>
        <v>214</v>
      </c>
      <c r="D318" s="60">
        <f t="shared" si="38"/>
        <v>5</v>
      </c>
      <c r="E318" s="60">
        <f t="shared" si="38"/>
        <v>0</v>
      </c>
      <c r="F318" s="60">
        <f t="shared" si="38"/>
        <v>5</v>
      </c>
      <c r="G318" s="60">
        <f t="shared" si="38"/>
        <v>253</v>
      </c>
      <c r="H318" s="60">
        <f t="shared" si="38"/>
        <v>44</v>
      </c>
      <c r="I318" s="60">
        <f>I303+I306+I309+I312+I315</f>
        <v>209</v>
      </c>
      <c r="J318" s="65" t="s">
        <v>62</v>
      </c>
      <c r="K318" s="68" t="s">
        <v>232</v>
      </c>
    </row>
    <row r="319" spans="1:11" ht="12.75" customHeight="1" thickBot="1" x14ac:dyDescent="0.25">
      <c r="A319" s="60">
        <f t="shared" si="38"/>
        <v>0</v>
      </c>
      <c r="B319" s="60">
        <f t="shared" si="38"/>
        <v>0</v>
      </c>
      <c r="C319" s="60">
        <f t="shared" si="38"/>
        <v>0</v>
      </c>
      <c r="D319" s="60">
        <f t="shared" si="38"/>
        <v>0</v>
      </c>
      <c r="E319" s="60">
        <f t="shared" si="38"/>
        <v>0</v>
      </c>
      <c r="F319" s="60">
        <f t="shared" si="38"/>
        <v>0</v>
      </c>
      <c r="G319" s="60">
        <f t="shared" si="38"/>
        <v>0</v>
      </c>
      <c r="H319" s="60">
        <f t="shared" si="38"/>
        <v>0</v>
      </c>
      <c r="I319" s="60">
        <f>I304+I307+I310+I313+I316</f>
        <v>0</v>
      </c>
      <c r="J319" s="65" t="s">
        <v>64</v>
      </c>
      <c r="K319" s="59"/>
    </row>
    <row r="320" spans="1:11" ht="12.75" customHeight="1" thickBot="1" x14ac:dyDescent="0.25">
      <c r="A320" s="60">
        <f t="shared" ref="A320:H320" si="39">SUM(A317:A319)</f>
        <v>370</v>
      </c>
      <c r="B320" s="60">
        <f t="shared" si="39"/>
        <v>44</v>
      </c>
      <c r="C320" s="60">
        <f t="shared" si="39"/>
        <v>326</v>
      </c>
      <c r="D320" s="60">
        <f t="shared" si="39"/>
        <v>5</v>
      </c>
      <c r="E320" s="60">
        <f t="shared" si="39"/>
        <v>0</v>
      </c>
      <c r="F320" s="60">
        <f t="shared" si="39"/>
        <v>5</v>
      </c>
      <c r="G320" s="60">
        <f t="shared" si="39"/>
        <v>365</v>
      </c>
      <c r="H320" s="60">
        <f t="shared" si="39"/>
        <v>44</v>
      </c>
      <c r="I320" s="60">
        <f>SUM(I317:I319)</f>
        <v>321</v>
      </c>
      <c r="J320" s="184" t="s">
        <v>233</v>
      </c>
      <c r="K320" s="184"/>
    </row>
    <row r="322" spans="1:11" ht="12.75" customHeight="1" x14ac:dyDescent="0.2">
      <c r="A322" s="177" t="s">
        <v>576</v>
      </c>
      <c r="B322" s="177"/>
      <c r="C322" s="177"/>
      <c r="D322" s="177"/>
      <c r="E322" s="177"/>
      <c r="F322" s="177"/>
      <c r="G322" s="177"/>
      <c r="H322" s="177"/>
      <c r="I322" s="177"/>
      <c r="J322" s="177"/>
      <c r="K322" s="177"/>
    </row>
    <row r="323" spans="1:11" ht="12.75" customHeight="1" thickBot="1" x14ac:dyDescent="0.25">
      <c r="A323" s="178" t="s">
        <v>577</v>
      </c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</row>
    <row r="324" spans="1:11" ht="12.75" customHeight="1" thickBot="1" x14ac:dyDescent="0.25">
      <c r="A324" s="179" t="s">
        <v>5</v>
      </c>
      <c r="B324" s="179"/>
      <c r="C324" s="179"/>
      <c r="D324" s="179" t="s">
        <v>162</v>
      </c>
      <c r="E324" s="179"/>
      <c r="F324" s="179"/>
      <c r="G324" s="179" t="s">
        <v>163</v>
      </c>
      <c r="H324" s="179"/>
      <c r="I324" s="179"/>
      <c r="J324" s="179" t="s">
        <v>72</v>
      </c>
      <c r="K324" s="179"/>
    </row>
    <row r="325" spans="1:11" ht="12.75" customHeight="1" thickBot="1" x14ac:dyDescent="0.25">
      <c r="A325" s="58" t="s">
        <v>216</v>
      </c>
      <c r="B325" s="58" t="s">
        <v>11</v>
      </c>
      <c r="C325" s="58" t="s">
        <v>10</v>
      </c>
      <c r="D325" s="58" t="s">
        <v>216</v>
      </c>
      <c r="E325" s="58" t="s">
        <v>11</v>
      </c>
      <c r="F325" s="58" t="s">
        <v>10</v>
      </c>
      <c r="G325" s="58" t="s">
        <v>216</v>
      </c>
      <c r="H325" s="58" t="s">
        <v>11</v>
      </c>
      <c r="I325" s="58" t="s">
        <v>10</v>
      </c>
      <c r="J325" s="180" t="s">
        <v>83</v>
      </c>
      <c r="K325" s="180"/>
    </row>
    <row r="326" spans="1:11" ht="12.75" customHeight="1" thickBot="1" x14ac:dyDescent="0.25">
      <c r="A326" s="60">
        <v>0</v>
      </c>
      <c r="B326" s="60">
        <v>0</v>
      </c>
      <c r="C326" s="60">
        <v>0</v>
      </c>
      <c r="D326" s="60">
        <v>0</v>
      </c>
      <c r="E326" s="60">
        <v>0</v>
      </c>
      <c r="F326" s="60">
        <v>0</v>
      </c>
      <c r="G326" s="60">
        <v>0</v>
      </c>
      <c r="H326" s="60">
        <v>0</v>
      </c>
      <c r="I326" s="60">
        <v>0</v>
      </c>
      <c r="J326" s="65" t="s">
        <v>61</v>
      </c>
      <c r="K326" s="66"/>
    </row>
    <row r="327" spans="1:11" ht="12.75" customHeight="1" thickBot="1" x14ac:dyDescent="0.25">
      <c r="A327" s="60">
        <v>18</v>
      </c>
      <c r="B327" s="60">
        <v>10</v>
      </c>
      <c r="C327" s="60">
        <v>8</v>
      </c>
      <c r="D327" s="60">
        <v>0</v>
      </c>
      <c r="E327" s="60">
        <v>0</v>
      </c>
      <c r="F327" s="60">
        <v>0</v>
      </c>
      <c r="G327" s="60">
        <v>18</v>
      </c>
      <c r="H327" s="60">
        <v>10</v>
      </c>
      <c r="I327" s="60">
        <v>8</v>
      </c>
      <c r="J327" s="65" t="s">
        <v>62</v>
      </c>
      <c r="K327" s="66" t="s">
        <v>359</v>
      </c>
    </row>
    <row r="328" spans="1:11" ht="12.75" customHeight="1" thickBot="1" x14ac:dyDescent="0.25">
      <c r="A328" s="60">
        <v>0</v>
      </c>
      <c r="B328" s="60">
        <v>0</v>
      </c>
      <c r="C328" s="60">
        <v>0</v>
      </c>
      <c r="D328" s="60">
        <v>0</v>
      </c>
      <c r="E328" s="60">
        <v>0</v>
      </c>
      <c r="F328" s="60">
        <v>0</v>
      </c>
      <c r="G328" s="60">
        <v>0</v>
      </c>
      <c r="H328" s="60">
        <v>0</v>
      </c>
      <c r="I328" s="60">
        <v>0</v>
      </c>
      <c r="J328" s="65" t="s">
        <v>64</v>
      </c>
      <c r="K328" s="74"/>
    </row>
    <row r="329" spans="1:11" ht="12.75" customHeight="1" thickBot="1" x14ac:dyDescent="0.25">
      <c r="A329" s="60">
        <v>0</v>
      </c>
      <c r="B329" s="60">
        <v>0</v>
      </c>
      <c r="C329" s="60">
        <v>0</v>
      </c>
      <c r="D329" s="60">
        <v>0</v>
      </c>
      <c r="E329" s="60">
        <v>0</v>
      </c>
      <c r="F329" s="60">
        <v>0</v>
      </c>
      <c r="G329" s="60">
        <v>0</v>
      </c>
      <c r="H329" s="60">
        <v>0</v>
      </c>
      <c r="I329" s="60">
        <v>0</v>
      </c>
      <c r="J329" s="65" t="s">
        <v>61</v>
      </c>
      <c r="K329" s="66"/>
    </row>
    <row r="330" spans="1:11" ht="12.75" customHeight="1" thickBot="1" x14ac:dyDescent="0.25">
      <c r="A330" s="60">
        <v>25</v>
      </c>
      <c r="B330" s="60">
        <v>11</v>
      </c>
      <c r="C330" s="60">
        <v>14</v>
      </c>
      <c r="D330" s="60">
        <v>0</v>
      </c>
      <c r="E330" s="60">
        <v>0</v>
      </c>
      <c r="F330" s="60">
        <v>0</v>
      </c>
      <c r="G330" s="60">
        <v>25</v>
      </c>
      <c r="H330" s="60">
        <v>11</v>
      </c>
      <c r="I330" s="60">
        <v>14</v>
      </c>
      <c r="J330" s="65" t="s">
        <v>62</v>
      </c>
      <c r="K330" s="66" t="s">
        <v>363</v>
      </c>
    </row>
    <row r="331" spans="1:11" ht="12.75" customHeight="1" thickBot="1" x14ac:dyDescent="0.25">
      <c r="A331" s="60">
        <v>0</v>
      </c>
      <c r="B331" s="60">
        <v>0</v>
      </c>
      <c r="C331" s="60">
        <v>0</v>
      </c>
      <c r="D331" s="60">
        <v>0</v>
      </c>
      <c r="E331" s="60">
        <v>0</v>
      </c>
      <c r="F331" s="60">
        <v>0</v>
      </c>
      <c r="G331" s="60">
        <v>0</v>
      </c>
      <c r="H331" s="60">
        <v>0</v>
      </c>
      <c r="I331" s="60">
        <v>0</v>
      </c>
      <c r="J331" s="65" t="s">
        <v>64</v>
      </c>
      <c r="K331" s="74"/>
    </row>
    <row r="332" spans="1:11" ht="12.75" customHeight="1" thickBot="1" x14ac:dyDescent="0.25">
      <c r="A332" s="60">
        <v>0</v>
      </c>
      <c r="B332" s="60">
        <v>0</v>
      </c>
      <c r="C332" s="60">
        <v>0</v>
      </c>
      <c r="D332" s="60">
        <v>0</v>
      </c>
      <c r="E332" s="60">
        <v>0</v>
      </c>
      <c r="F332" s="60">
        <v>0</v>
      </c>
      <c r="G332" s="60">
        <v>0</v>
      </c>
      <c r="H332" s="60">
        <v>0</v>
      </c>
      <c r="I332" s="60">
        <v>0</v>
      </c>
      <c r="J332" s="65" t="s">
        <v>231</v>
      </c>
      <c r="K332" s="57"/>
    </row>
    <row r="333" spans="1:11" ht="12.75" customHeight="1" thickBot="1" x14ac:dyDescent="0.25">
      <c r="A333" s="60">
        <v>43</v>
      </c>
      <c r="B333" s="60">
        <v>21</v>
      </c>
      <c r="C333" s="60">
        <v>22</v>
      </c>
      <c r="D333" s="60">
        <v>0</v>
      </c>
      <c r="E333" s="60">
        <v>0</v>
      </c>
      <c r="F333" s="60">
        <v>0</v>
      </c>
      <c r="G333" s="60">
        <v>43</v>
      </c>
      <c r="H333" s="60">
        <v>21</v>
      </c>
      <c r="I333" s="60">
        <v>22</v>
      </c>
      <c r="J333" s="65" t="s">
        <v>62</v>
      </c>
      <c r="K333" s="68" t="s">
        <v>232</v>
      </c>
    </row>
    <row r="334" spans="1:11" ht="12.75" customHeight="1" thickBot="1" x14ac:dyDescent="0.25">
      <c r="A334" s="60">
        <v>0</v>
      </c>
      <c r="B334" s="60">
        <v>0</v>
      </c>
      <c r="C334" s="60">
        <v>0</v>
      </c>
      <c r="D334" s="60">
        <v>0</v>
      </c>
      <c r="E334" s="60">
        <v>0</v>
      </c>
      <c r="F334" s="60">
        <v>0</v>
      </c>
      <c r="G334" s="60">
        <v>0</v>
      </c>
      <c r="H334" s="60">
        <v>0</v>
      </c>
      <c r="I334" s="60">
        <v>0</v>
      </c>
      <c r="J334" s="65" t="s">
        <v>64</v>
      </c>
      <c r="K334" s="59"/>
    </row>
    <row r="335" spans="1:11" ht="12.75" customHeight="1" thickBot="1" x14ac:dyDescent="0.25">
      <c r="A335" s="60">
        <v>43</v>
      </c>
      <c r="B335" s="60">
        <v>21</v>
      </c>
      <c r="C335" s="60">
        <v>22</v>
      </c>
      <c r="D335" s="60">
        <v>0</v>
      </c>
      <c r="E335" s="60">
        <v>0</v>
      </c>
      <c r="F335" s="60">
        <v>0</v>
      </c>
      <c r="G335" s="60">
        <v>43</v>
      </c>
      <c r="H335" s="60">
        <v>21</v>
      </c>
      <c r="I335" s="60">
        <v>22</v>
      </c>
      <c r="J335" s="184" t="s">
        <v>233</v>
      </c>
      <c r="K335" s="184"/>
    </row>
    <row r="337" spans="1:11" ht="12.75" customHeight="1" x14ac:dyDescent="0.2">
      <c r="A337" s="177" t="s">
        <v>576</v>
      </c>
      <c r="B337" s="177"/>
      <c r="C337" s="177"/>
      <c r="D337" s="177"/>
      <c r="E337" s="177"/>
      <c r="F337" s="177"/>
      <c r="G337" s="177"/>
      <c r="H337" s="177"/>
      <c r="I337" s="177"/>
      <c r="J337" s="177"/>
      <c r="K337" s="177"/>
    </row>
    <row r="338" spans="1:11" ht="12.75" customHeight="1" thickBot="1" x14ac:dyDescent="0.25">
      <c r="A338" s="178" t="s">
        <v>577</v>
      </c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</row>
    <row r="339" spans="1:11" ht="12.75" customHeight="1" thickBot="1" x14ac:dyDescent="0.25">
      <c r="A339" s="179" t="s">
        <v>5</v>
      </c>
      <c r="B339" s="179"/>
      <c r="C339" s="179"/>
      <c r="D339" s="179" t="s">
        <v>162</v>
      </c>
      <c r="E339" s="179"/>
      <c r="F339" s="179"/>
      <c r="G339" s="179" t="s">
        <v>163</v>
      </c>
      <c r="H339" s="179"/>
      <c r="I339" s="179"/>
      <c r="J339" s="179" t="s">
        <v>72</v>
      </c>
      <c r="K339" s="179"/>
    </row>
    <row r="340" spans="1:11" ht="12.75" customHeight="1" thickBot="1" x14ac:dyDescent="0.25">
      <c r="A340" s="58" t="s">
        <v>216</v>
      </c>
      <c r="B340" s="58" t="s">
        <v>11</v>
      </c>
      <c r="C340" s="58" t="s">
        <v>10</v>
      </c>
      <c r="D340" s="58" t="s">
        <v>216</v>
      </c>
      <c r="E340" s="58" t="s">
        <v>11</v>
      </c>
      <c r="F340" s="58" t="s">
        <v>10</v>
      </c>
      <c r="G340" s="58" t="s">
        <v>216</v>
      </c>
      <c r="H340" s="58" t="s">
        <v>11</v>
      </c>
      <c r="I340" s="58" t="s">
        <v>10</v>
      </c>
      <c r="J340" s="180" t="s">
        <v>165</v>
      </c>
      <c r="K340" s="180"/>
    </row>
    <row r="341" spans="1:11" ht="12.75" customHeight="1" thickBot="1" x14ac:dyDescent="0.25">
      <c r="A341" s="60">
        <v>0</v>
      </c>
      <c r="B341" s="60">
        <v>0</v>
      </c>
      <c r="C341" s="60">
        <v>0</v>
      </c>
      <c r="D341" s="60">
        <v>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5" t="s">
        <v>61</v>
      </c>
      <c r="K341" s="66"/>
    </row>
    <row r="342" spans="1:11" ht="12.75" customHeight="1" thickBot="1" x14ac:dyDescent="0.25">
      <c r="A342" s="60">
        <v>45</v>
      </c>
      <c r="B342" s="60">
        <v>20</v>
      </c>
      <c r="C342" s="60">
        <v>25</v>
      </c>
      <c r="D342" s="60">
        <v>0</v>
      </c>
      <c r="E342" s="60">
        <v>0</v>
      </c>
      <c r="F342" s="60">
        <v>0</v>
      </c>
      <c r="G342" s="60">
        <v>45</v>
      </c>
      <c r="H342" s="60">
        <v>20</v>
      </c>
      <c r="I342" s="60">
        <v>25</v>
      </c>
      <c r="J342" s="65" t="s">
        <v>62</v>
      </c>
      <c r="K342" s="66" t="s">
        <v>542</v>
      </c>
    </row>
    <row r="343" spans="1:11" ht="12.75" customHeight="1" thickBot="1" x14ac:dyDescent="0.25">
      <c r="A343" s="60">
        <v>0</v>
      </c>
      <c r="B343" s="60">
        <v>0</v>
      </c>
      <c r="C343" s="60">
        <v>0</v>
      </c>
      <c r="D343" s="60">
        <v>0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5" t="s">
        <v>64</v>
      </c>
      <c r="K343" s="74"/>
    </row>
    <row r="344" spans="1:11" ht="12.75" customHeight="1" thickBot="1" x14ac:dyDescent="0.25">
      <c r="A344" s="60">
        <v>0</v>
      </c>
      <c r="B344" s="60">
        <v>0</v>
      </c>
      <c r="C344" s="60">
        <v>0</v>
      </c>
      <c r="D344" s="60">
        <v>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5" t="s">
        <v>61</v>
      </c>
      <c r="K344" s="66"/>
    </row>
    <row r="345" spans="1:11" ht="12.75" customHeight="1" thickBot="1" x14ac:dyDescent="0.25">
      <c r="A345" s="60">
        <v>7</v>
      </c>
      <c r="B345" s="60">
        <v>2</v>
      </c>
      <c r="C345" s="60">
        <v>5</v>
      </c>
      <c r="D345" s="60">
        <v>1</v>
      </c>
      <c r="E345" s="60">
        <v>0</v>
      </c>
      <c r="F345" s="60">
        <v>1</v>
      </c>
      <c r="G345" s="60">
        <v>6</v>
      </c>
      <c r="H345" s="60">
        <v>2</v>
      </c>
      <c r="I345" s="60">
        <v>4</v>
      </c>
      <c r="J345" s="65" t="s">
        <v>62</v>
      </c>
      <c r="K345" s="66" t="s">
        <v>543</v>
      </c>
    </row>
    <row r="346" spans="1:11" ht="12.75" customHeight="1" thickBot="1" x14ac:dyDescent="0.25">
      <c r="A346" s="60">
        <v>0</v>
      </c>
      <c r="B346" s="60">
        <v>0</v>
      </c>
      <c r="C346" s="60">
        <v>0</v>
      </c>
      <c r="D346" s="60">
        <v>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5" t="s">
        <v>64</v>
      </c>
      <c r="K346" s="74"/>
    </row>
    <row r="347" spans="1:11" ht="12.75" customHeight="1" thickBot="1" x14ac:dyDescent="0.25">
      <c r="A347" s="60">
        <v>0</v>
      </c>
      <c r="B347" s="60">
        <v>0</v>
      </c>
      <c r="C347" s="60">
        <v>0</v>
      </c>
      <c r="D347" s="60">
        <v>0</v>
      </c>
      <c r="E347" s="60">
        <v>0</v>
      </c>
      <c r="F347" s="60">
        <v>0</v>
      </c>
      <c r="G347" s="60">
        <v>0</v>
      </c>
      <c r="H347" s="60">
        <v>0</v>
      </c>
      <c r="I347" s="60">
        <v>0</v>
      </c>
      <c r="J347" s="65" t="s">
        <v>231</v>
      </c>
      <c r="K347" s="57"/>
    </row>
    <row r="348" spans="1:11" ht="12.75" customHeight="1" thickBot="1" x14ac:dyDescent="0.25">
      <c r="A348" s="60">
        <v>52</v>
      </c>
      <c r="B348" s="60">
        <v>22</v>
      </c>
      <c r="C348" s="60">
        <v>30</v>
      </c>
      <c r="D348" s="60">
        <v>1</v>
      </c>
      <c r="E348" s="60">
        <v>0</v>
      </c>
      <c r="F348" s="60">
        <v>1</v>
      </c>
      <c r="G348" s="60">
        <v>51</v>
      </c>
      <c r="H348" s="60">
        <v>22</v>
      </c>
      <c r="I348" s="60">
        <v>29</v>
      </c>
      <c r="J348" s="65" t="s">
        <v>62</v>
      </c>
      <c r="K348" s="68" t="s">
        <v>232</v>
      </c>
    </row>
    <row r="349" spans="1:11" ht="12.75" customHeight="1" thickBot="1" x14ac:dyDescent="0.25">
      <c r="A349" s="60">
        <v>0</v>
      </c>
      <c r="B349" s="60">
        <v>0</v>
      </c>
      <c r="C349" s="60">
        <v>0</v>
      </c>
      <c r="D349" s="60">
        <v>0</v>
      </c>
      <c r="E349" s="60">
        <v>0</v>
      </c>
      <c r="F349" s="60">
        <v>0</v>
      </c>
      <c r="G349" s="60">
        <v>0</v>
      </c>
      <c r="H349" s="60">
        <v>0</v>
      </c>
      <c r="I349" s="60">
        <v>0</v>
      </c>
      <c r="J349" s="65" t="s">
        <v>64</v>
      </c>
      <c r="K349" s="59"/>
    </row>
    <row r="350" spans="1:11" ht="12.75" customHeight="1" thickBot="1" x14ac:dyDescent="0.25">
      <c r="A350" s="60">
        <v>52</v>
      </c>
      <c r="B350" s="60">
        <v>22</v>
      </c>
      <c r="C350" s="60">
        <v>30</v>
      </c>
      <c r="D350" s="60">
        <v>1</v>
      </c>
      <c r="E350" s="60">
        <v>0</v>
      </c>
      <c r="F350" s="60">
        <v>1</v>
      </c>
      <c r="G350" s="60">
        <v>51</v>
      </c>
      <c r="H350" s="60">
        <v>22</v>
      </c>
      <c r="I350" s="60">
        <v>29</v>
      </c>
      <c r="J350" s="184" t="s">
        <v>233</v>
      </c>
      <c r="K350" s="184"/>
    </row>
    <row r="352" spans="1:11" ht="12.75" customHeight="1" x14ac:dyDescent="0.2">
      <c r="A352" s="177" t="s">
        <v>576</v>
      </c>
      <c r="B352" s="177"/>
      <c r="C352" s="177"/>
      <c r="D352" s="177"/>
      <c r="E352" s="177"/>
      <c r="F352" s="177"/>
      <c r="G352" s="177"/>
      <c r="H352" s="177"/>
      <c r="I352" s="177"/>
      <c r="J352" s="177"/>
      <c r="K352" s="177"/>
    </row>
    <row r="353" spans="1:11" ht="12.75" customHeight="1" thickBot="1" x14ac:dyDescent="0.25">
      <c r="A353" s="178" t="s">
        <v>577</v>
      </c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</row>
    <row r="354" spans="1:11" ht="12.75" customHeight="1" thickBot="1" x14ac:dyDescent="0.25">
      <c r="A354" s="179" t="s">
        <v>5</v>
      </c>
      <c r="B354" s="179"/>
      <c r="C354" s="179"/>
      <c r="D354" s="179" t="s">
        <v>162</v>
      </c>
      <c r="E354" s="179"/>
      <c r="F354" s="179"/>
      <c r="G354" s="179" t="s">
        <v>163</v>
      </c>
      <c r="H354" s="179"/>
      <c r="I354" s="179"/>
      <c r="J354" s="179" t="s">
        <v>72</v>
      </c>
      <c r="K354" s="179"/>
    </row>
    <row r="355" spans="1:11" ht="12.75" customHeight="1" thickBot="1" x14ac:dyDescent="0.25">
      <c r="A355" s="58" t="s">
        <v>216</v>
      </c>
      <c r="B355" s="58" t="s">
        <v>11</v>
      </c>
      <c r="C355" s="58" t="s">
        <v>10</v>
      </c>
      <c r="D355" s="58" t="s">
        <v>216</v>
      </c>
      <c r="E355" s="58" t="s">
        <v>11</v>
      </c>
      <c r="F355" s="58" t="s">
        <v>10</v>
      </c>
      <c r="G355" s="58" t="s">
        <v>216</v>
      </c>
      <c r="H355" s="58" t="s">
        <v>11</v>
      </c>
      <c r="I355" s="58" t="s">
        <v>10</v>
      </c>
      <c r="J355" s="180" t="s">
        <v>171</v>
      </c>
      <c r="K355" s="180"/>
    </row>
    <row r="356" spans="1:11" ht="12.75" customHeight="1" thickBot="1" x14ac:dyDescent="0.25">
      <c r="A356" s="60">
        <v>0</v>
      </c>
      <c r="B356" s="60">
        <v>0</v>
      </c>
      <c r="C356" s="60">
        <v>0</v>
      </c>
      <c r="D356" s="60">
        <v>0</v>
      </c>
      <c r="E356" s="60">
        <v>0</v>
      </c>
      <c r="F356" s="60">
        <v>0</v>
      </c>
      <c r="G356" s="60">
        <v>0</v>
      </c>
      <c r="H356" s="60">
        <v>0</v>
      </c>
      <c r="I356" s="60">
        <v>0</v>
      </c>
      <c r="J356" s="65" t="s">
        <v>61</v>
      </c>
      <c r="K356" s="66"/>
    </row>
    <row r="357" spans="1:11" ht="12.75" customHeight="1" thickBot="1" x14ac:dyDescent="0.25">
      <c r="A357" s="60">
        <v>0</v>
      </c>
      <c r="B357" s="60">
        <v>0</v>
      </c>
      <c r="C357" s="60">
        <v>0</v>
      </c>
      <c r="D357" s="60">
        <v>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5" t="s">
        <v>62</v>
      </c>
      <c r="K357" s="66" t="s">
        <v>171</v>
      </c>
    </row>
    <row r="358" spans="1:11" ht="12.75" customHeight="1" thickBot="1" x14ac:dyDescent="0.25">
      <c r="A358" s="60">
        <v>397</v>
      </c>
      <c r="B358" s="60">
        <v>0</v>
      </c>
      <c r="C358" s="60">
        <v>397</v>
      </c>
      <c r="D358" s="60">
        <v>0</v>
      </c>
      <c r="E358" s="60">
        <v>0</v>
      </c>
      <c r="F358" s="60">
        <v>0</v>
      </c>
      <c r="G358" s="60">
        <v>397</v>
      </c>
      <c r="H358" s="60">
        <v>0</v>
      </c>
      <c r="I358" s="60">
        <v>397</v>
      </c>
      <c r="J358" s="65" t="s">
        <v>64</v>
      </c>
      <c r="K358" s="74"/>
    </row>
    <row r="359" spans="1:11" ht="12.75" customHeight="1" thickBot="1" x14ac:dyDescent="0.25">
      <c r="A359" s="60">
        <v>0</v>
      </c>
      <c r="B359" s="60">
        <v>0</v>
      </c>
      <c r="C359" s="60">
        <v>0</v>
      </c>
      <c r="D359" s="60">
        <v>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5" t="s">
        <v>231</v>
      </c>
      <c r="K359" s="57"/>
    </row>
    <row r="360" spans="1:11" ht="12.75" customHeight="1" thickBot="1" x14ac:dyDescent="0.25">
      <c r="A360" s="60">
        <v>0</v>
      </c>
      <c r="B360" s="60">
        <v>0</v>
      </c>
      <c r="C360" s="60">
        <v>0</v>
      </c>
      <c r="D360" s="60">
        <v>0</v>
      </c>
      <c r="E360" s="60">
        <v>0</v>
      </c>
      <c r="F360" s="60">
        <v>0</v>
      </c>
      <c r="G360" s="60">
        <v>0</v>
      </c>
      <c r="H360" s="60">
        <v>0</v>
      </c>
      <c r="I360" s="60">
        <v>0</v>
      </c>
      <c r="J360" s="65" t="s">
        <v>62</v>
      </c>
      <c r="K360" s="68" t="s">
        <v>232</v>
      </c>
    </row>
    <row r="361" spans="1:11" ht="12.75" customHeight="1" thickBot="1" x14ac:dyDescent="0.25">
      <c r="A361" s="60">
        <v>397</v>
      </c>
      <c r="B361" s="60">
        <v>0</v>
      </c>
      <c r="C361" s="60">
        <v>397</v>
      </c>
      <c r="D361" s="60">
        <v>0</v>
      </c>
      <c r="E361" s="60">
        <v>0</v>
      </c>
      <c r="F361" s="60">
        <v>0</v>
      </c>
      <c r="G361" s="60">
        <v>397</v>
      </c>
      <c r="H361" s="60">
        <v>0</v>
      </c>
      <c r="I361" s="60">
        <v>397</v>
      </c>
      <c r="J361" s="65" t="s">
        <v>64</v>
      </c>
      <c r="K361" s="59"/>
    </row>
    <row r="362" spans="1:11" ht="12.75" customHeight="1" thickBot="1" x14ac:dyDescent="0.25">
      <c r="A362" s="60">
        <v>397</v>
      </c>
      <c r="B362" s="60">
        <v>0</v>
      </c>
      <c r="C362" s="60">
        <v>397</v>
      </c>
      <c r="D362" s="60">
        <v>0</v>
      </c>
      <c r="E362" s="60">
        <v>0</v>
      </c>
      <c r="F362" s="60">
        <v>0</v>
      </c>
      <c r="G362" s="60">
        <v>397</v>
      </c>
      <c r="H362" s="60">
        <v>0</v>
      </c>
      <c r="I362" s="60">
        <v>397</v>
      </c>
      <c r="J362" s="184" t="s">
        <v>233</v>
      </c>
      <c r="K362" s="184"/>
    </row>
    <row r="364" spans="1:11" ht="12.75" customHeight="1" x14ac:dyDescent="0.2">
      <c r="A364" s="177" t="s">
        <v>576</v>
      </c>
      <c r="B364" s="177"/>
      <c r="C364" s="177"/>
      <c r="D364" s="177"/>
      <c r="E364" s="177"/>
      <c r="F364" s="177"/>
      <c r="G364" s="177"/>
      <c r="H364" s="177"/>
      <c r="I364" s="177"/>
      <c r="J364" s="177"/>
      <c r="K364" s="177"/>
    </row>
    <row r="365" spans="1:11" ht="12.75" customHeight="1" thickBot="1" x14ac:dyDescent="0.25">
      <c r="A365" s="178" t="s">
        <v>577</v>
      </c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</row>
    <row r="366" spans="1:11" ht="12.75" customHeight="1" thickBot="1" x14ac:dyDescent="0.25">
      <c r="A366" s="179" t="s">
        <v>5</v>
      </c>
      <c r="B366" s="179"/>
      <c r="C366" s="179"/>
      <c r="D366" s="179" t="s">
        <v>162</v>
      </c>
      <c r="E366" s="179"/>
      <c r="F366" s="179"/>
      <c r="G366" s="179" t="s">
        <v>163</v>
      </c>
      <c r="H366" s="179"/>
      <c r="I366" s="179"/>
      <c r="J366" s="179" t="s">
        <v>72</v>
      </c>
      <c r="K366" s="179"/>
    </row>
    <row r="367" spans="1:11" ht="12.75" customHeight="1" thickBot="1" x14ac:dyDescent="0.25">
      <c r="A367" s="58" t="s">
        <v>216</v>
      </c>
      <c r="B367" s="58" t="s">
        <v>11</v>
      </c>
      <c r="C367" s="58" t="s">
        <v>10</v>
      </c>
      <c r="D367" s="58" t="s">
        <v>216</v>
      </c>
      <c r="E367" s="58" t="s">
        <v>11</v>
      </c>
      <c r="F367" s="58" t="s">
        <v>10</v>
      </c>
      <c r="G367" s="58" t="s">
        <v>216</v>
      </c>
      <c r="H367" s="58" t="s">
        <v>11</v>
      </c>
      <c r="I367" s="58" t="s">
        <v>10</v>
      </c>
      <c r="J367" s="180" t="s">
        <v>173</v>
      </c>
      <c r="K367" s="180"/>
    </row>
    <row r="368" spans="1:11" ht="12.75" customHeight="1" thickBot="1" x14ac:dyDescent="0.25">
      <c r="A368" s="60">
        <v>0</v>
      </c>
      <c r="B368" s="60">
        <v>0</v>
      </c>
      <c r="C368" s="60">
        <v>0</v>
      </c>
      <c r="D368" s="60">
        <v>0</v>
      </c>
      <c r="E368" s="60">
        <v>0</v>
      </c>
      <c r="F368" s="60">
        <v>0</v>
      </c>
      <c r="G368" s="60">
        <v>0</v>
      </c>
      <c r="H368" s="60">
        <v>0</v>
      </c>
      <c r="I368" s="60">
        <v>0</v>
      </c>
      <c r="J368" s="65" t="s">
        <v>61</v>
      </c>
      <c r="K368" s="66"/>
    </row>
    <row r="369" spans="1:11" ht="12.75" customHeight="1" thickBot="1" x14ac:dyDescent="0.25">
      <c r="A369" s="60">
        <v>29</v>
      </c>
      <c r="B369" s="60">
        <v>9</v>
      </c>
      <c r="C369" s="60">
        <v>20</v>
      </c>
      <c r="D369" s="60">
        <v>2</v>
      </c>
      <c r="E369" s="60">
        <v>0</v>
      </c>
      <c r="F369" s="60">
        <v>2</v>
      </c>
      <c r="G369" s="60">
        <v>27</v>
      </c>
      <c r="H369" s="60">
        <v>9</v>
      </c>
      <c r="I369" s="60">
        <v>18</v>
      </c>
      <c r="J369" s="65" t="s">
        <v>62</v>
      </c>
      <c r="K369" s="66" t="s">
        <v>138</v>
      </c>
    </row>
    <row r="370" spans="1:11" ht="12.75" customHeight="1" thickBot="1" x14ac:dyDescent="0.25">
      <c r="A370" s="60">
        <v>0</v>
      </c>
      <c r="B370" s="60">
        <v>0</v>
      </c>
      <c r="C370" s="60">
        <v>0</v>
      </c>
      <c r="D370" s="60">
        <v>0</v>
      </c>
      <c r="E370" s="60">
        <v>0</v>
      </c>
      <c r="F370" s="60">
        <v>0</v>
      </c>
      <c r="G370" s="60">
        <v>0</v>
      </c>
      <c r="H370" s="60">
        <v>0</v>
      </c>
      <c r="I370" s="60">
        <v>0</v>
      </c>
      <c r="J370" s="65" t="s">
        <v>64</v>
      </c>
      <c r="K370" s="74"/>
    </row>
    <row r="371" spans="1:11" ht="12.75" customHeight="1" thickBot="1" x14ac:dyDescent="0.25">
      <c r="A371" s="60">
        <v>0</v>
      </c>
      <c r="B371" s="60">
        <v>0</v>
      </c>
      <c r="C371" s="60">
        <v>0</v>
      </c>
      <c r="D371" s="60">
        <v>0</v>
      </c>
      <c r="E371" s="60">
        <v>0</v>
      </c>
      <c r="F371" s="60">
        <v>0</v>
      </c>
      <c r="G371" s="60">
        <v>0</v>
      </c>
      <c r="H371" s="60">
        <v>0</v>
      </c>
      <c r="I371" s="60">
        <v>0</v>
      </c>
      <c r="J371" s="65" t="s">
        <v>61</v>
      </c>
      <c r="K371" s="66"/>
    </row>
    <row r="372" spans="1:11" ht="12.75" customHeight="1" thickBot="1" x14ac:dyDescent="0.25">
      <c r="A372" s="60">
        <v>14</v>
      </c>
      <c r="B372" s="60">
        <v>5</v>
      </c>
      <c r="C372" s="60">
        <v>9</v>
      </c>
      <c r="D372" s="60">
        <v>0</v>
      </c>
      <c r="E372" s="60">
        <v>0</v>
      </c>
      <c r="F372" s="60">
        <v>0</v>
      </c>
      <c r="G372" s="60">
        <v>14</v>
      </c>
      <c r="H372" s="60">
        <v>5</v>
      </c>
      <c r="I372" s="60">
        <v>9</v>
      </c>
      <c r="J372" s="65" t="s">
        <v>62</v>
      </c>
      <c r="K372" s="66" t="s">
        <v>140</v>
      </c>
    </row>
    <row r="373" spans="1:11" ht="12.75" customHeight="1" thickBot="1" x14ac:dyDescent="0.25">
      <c r="A373" s="60">
        <v>0</v>
      </c>
      <c r="B373" s="60">
        <v>0</v>
      </c>
      <c r="C373" s="60">
        <v>0</v>
      </c>
      <c r="D373" s="60">
        <v>0</v>
      </c>
      <c r="E373" s="60">
        <v>0</v>
      </c>
      <c r="F373" s="60">
        <v>0</v>
      </c>
      <c r="G373" s="60">
        <v>0</v>
      </c>
      <c r="H373" s="60">
        <v>0</v>
      </c>
      <c r="I373" s="60">
        <v>0</v>
      </c>
      <c r="J373" s="65" t="s">
        <v>64</v>
      </c>
      <c r="K373" s="74"/>
    </row>
    <row r="374" spans="1:11" ht="12.75" customHeight="1" thickBot="1" x14ac:dyDescent="0.25">
      <c r="A374" s="60">
        <v>204</v>
      </c>
      <c r="B374" s="60">
        <v>120</v>
      </c>
      <c r="C374" s="60">
        <v>84</v>
      </c>
      <c r="D374" s="60">
        <v>204</v>
      </c>
      <c r="E374" s="60">
        <v>120</v>
      </c>
      <c r="F374" s="60">
        <v>84</v>
      </c>
      <c r="G374" s="60">
        <v>0</v>
      </c>
      <c r="H374" s="60">
        <v>0</v>
      </c>
      <c r="I374" s="60">
        <v>0</v>
      </c>
      <c r="J374" s="65" t="s">
        <v>61</v>
      </c>
      <c r="K374" s="66"/>
    </row>
    <row r="375" spans="1:11" ht="12.75" customHeight="1" thickBot="1" x14ac:dyDescent="0.25">
      <c r="A375" s="60">
        <v>0</v>
      </c>
      <c r="B375" s="60">
        <v>0</v>
      </c>
      <c r="C375" s="60">
        <v>0</v>
      </c>
      <c r="D375" s="60">
        <v>0</v>
      </c>
      <c r="E375" s="60">
        <v>0</v>
      </c>
      <c r="F375" s="60">
        <v>0</v>
      </c>
      <c r="G375" s="60">
        <v>0</v>
      </c>
      <c r="H375" s="60">
        <v>0</v>
      </c>
      <c r="I375" s="60">
        <v>0</v>
      </c>
      <c r="J375" s="65" t="s">
        <v>62</v>
      </c>
      <c r="K375" s="66" t="s">
        <v>149</v>
      </c>
    </row>
    <row r="376" spans="1:11" ht="12.75" customHeight="1" thickBot="1" x14ac:dyDescent="0.25">
      <c r="A376" s="60">
        <v>0</v>
      </c>
      <c r="B376" s="60">
        <v>0</v>
      </c>
      <c r="C376" s="60">
        <v>0</v>
      </c>
      <c r="D376" s="60">
        <v>0</v>
      </c>
      <c r="E376" s="60">
        <v>0</v>
      </c>
      <c r="F376" s="60">
        <v>0</v>
      </c>
      <c r="G376" s="60">
        <v>0</v>
      </c>
      <c r="H376" s="60">
        <v>0</v>
      </c>
      <c r="I376" s="60">
        <v>0</v>
      </c>
      <c r="J376" s="65" t="s">
        <v>64</v>
      </c>
      <c r="K376" s="74"/>
    </row>
    <row r="377" spans="1:11" ht="12.75" customHeight="1" thickBot="1" x14ac:dyDescent="0.25">
      <c r="A377" s="60">
        <v>204</v>
      </c>
      <c r="B377" s="60">
        <v>120</v>
      </c>
      <c r="C377" s="60">
        <v>84</v>
      </c>
      <c r="D377" s="60">
        <v>204</v>
      </c>
      <c r="E377" s="60">
        <v>120</v>
      </c>
      <c r="F377" s="60">
        <v>84</v>
      </c>
      <c r="G377" s="60">
        <v>0</v>
      </c>
      <c r="H377" s="60">
        <v>0</v>
      </c>
      <c r="I377" s="60">
        <v>0</v>
      </c>
      <c r="J377" s="65" t="s">
        <v>231</v>
      </c>
      <c r="K377" s="57"/>
    </row>
    <row r="378" spans="1:11" ht="12.75" customHeight="1" thickBot="1" x14ac:dyDescent="0.25">
      <c r="A378" s="60">
        <v>43</v>
      </c>
      <c r="B378" s="60">
        <v>14</v>
      </c>
      <c r="C378" s="60">
        <v>29</v>
      </c>
      <c r="D378" s="60">
        <v>2</v>
      </c>
      <c r="E378" s="60">
        <v>0</v>
      </c>
      <c r="F378" s="60">
        <v>2</v>
      </c>
      <c r="G378" s="60">
        <v>41</v>
      </c>
      <c r="H378" s="60">
        <v>14</v>
      </c>
      <c r="I378" s="60">
        <v>27</v>
      </c>
      <c r="J378" s="65" t="s">
        <v>62</v>
      </c>
      <c r="K378" s="68" t="s">
        <v>232</v>
      </c>
    </row>
    <row r="379" spans="1:11" ht="12.75" customHeight="1" thickBot="1" x14ac:dyDescent="0.25">
      <c r="A379" s="60">
        <v>0</v>
      </c>
      <c r="B379" s="60">
        <v>0</v>
      </c>
      <c r="C379" s="60">
        <v>0</v>
      </c>
      <c r="D379" s="60">
        <v>0</v>
      </c>
      <c r="E379" s="60">
        <v>0</v>
      </c>
      <c r="F379" s="60">
        <v>0</v>
      </c>
      <c r="G379" s="60">
        <v>0</v>
      </c>
      <c r="H379" s="60">
        <v>0</v>
      </c>
      <c r="I379" s="60">
        <v>0</v>
      </c>
      <c r="J379" s="65" t="s">
        <v>64</v>
      </c>
      <c r="K379" s="59"/>
    </row>
    <row r="380" spans="1:11" ht="12.75" customHeight="1" thickBot="1" x14ac:dyDescent="0.25">
      <c r="A380" s="60">
        <v>247</v>
      </c>
      <c r="B380" s="60">
        <v>134</v>
      </c>
      <c r="C380" s="60">
        <v>113</v>
      </c>
      <c r="D380" s="60">
        <v>206</v>
      </c>
      <c r="E380" s="60">
        <v>120</v>
      </c>
      <c r="F380" s="60">
        <v>86</v>
      </c>
      <c r="G380" s="60">
        <v>41</v>
      </c>
      <c r="H380" s="60">
        <v>14</v>
      </c>
      <c r="I380" s="60">
        <v>27</v>
      </c>
      <c r="J380" s="184" t="s">
        <v>233</v>
      </c>
      <c r="K380" s="184"/>
    </row>
  </sheetData>
  <mergeCells count="104">
    <mergeCell ref="J4:K4"/>
    <mergeCell ref="J44:K44"/>
    <mergeCell ref="A46:K46"/>
    <mergeCell ref="A47:K47"/>
    <mergeCell ref="A48:C48"/>
    <mergeCell ref="D48:F48"/>
    <mergeCell ref="G48:I48"/>
    <mergeCell ref="J48:K48"/>
    <mergeCell ref="A1:K1"/>
    <mergeCell ref="A2:K2"/>
    <mergeCell ref="A3:C3"/>
    <mergeCell ref="D3:F3"/>
    <mergeCell ref="G3:I3"/>
    <mergeCell ref="J3:K3"/>
    <mergeCell ref="J73:K73"/>
    <mergeCell ref="J104:K104"/>
    <mergeCell ref="A106:K106"/>
    <mergeCell ref="A107:K107"/>
    <mergeCell ref="A108:C108"/>
    <mergeCell ref="D108:F108"/>
    <mergeCell ref="G108:I108"/>
    <mergeCell ref="J108:K108"/>
    <mergeCell ref="J49:K49"/>
    <mergeCell ref="J68:K68"/>
    <mergeCell ref="A70:K70"/>
    <mergeCell ref="A71:K71"/>
    <mergeCell ref="A72:C72"/>
    <mergeCell ref="D72:F72"/>
    <mergeCell ref="G72:I72"/>
    <mergeCell ref="J72:K72"/>
    <mergeCell ref="J166:K166"/>
    <mergeCell ref="J215:K215"/>
    <mergeCell ref="A217:K217"/>
    <mergeCell ref="A218:K218"/>
    <mergeCell ref="A219:C219"/>
    <mergeCell ref="D219:F219"/>
    <mergeCell ref="G219:I219"/>
    <mergeCell ref="J219:K219"/>
    <mergeCell ref="J109:K109"/>
    <mergeCell ref="J161:K161"/>
    <mergeCell ref="A163:K163"/>
    <mergeCell ref="A164:K164"/>
    <mergeCell ref="A165:C165"/>
    <mergeCell ref="D165:F165"/>
    <mergeCell ref="G165:I165"/>
    <mergeCell ref="J165:K165"/>
    <mergeCell ref="J247:K247"/>
    <mergeCell ref="J281:K281"/>
    <mergeCell ref="A283:K283"/>
    <mergeCell ref="A284:K284"/>
    <mergeCell ref="A285:C285"/>
    <mergeCell ref="D285:F285"/>
    <mergeCell ref="G285:I285"/>
    <mergeCell ref="J285:K285"/>
    <mergeCell ref="J220:K220"/>
    <mergeCell ref="J242:K242"/>
    <mergeCell ref="A244:K244"/>
    <mergeCell ref="A245:K245"/>
    <mergeCell ref="A246:C246"/>
    <mergeCell ref="D246:F246"/>
    <mergeCell ref="G246:I246"/>
    <mergeCell ref="J246:K246"/>
    <mergeCell ref="J301:K301"/>
    <mergeCell ref="J320:K320"/>
    <mergeCell ref="A322:K322"/>
    <mergeCell ref="A323:K323"/>
    <mergeCell ref="A324:C324"/>
    <mergeCell ref="D324:F324"/>
    <mergeCell ref="G324:I324"/>
    <mergeCell ref="J324:K324"/>
    <mergeCell ref="J286:K286"/>
    <mergeCell ref="J296:K296"/>
    <mergeCell ref="A298:K298"/>
    <mergeCell ref="A299:K299"/>
    <mergeCell ref="A300:C300"/>
    <mergeCell ref="D300:F300"/>
    <mergeCell ref="G300:I300"/>
    <mergeCell ref="J300:K300"/>
    <mergeCell ref="J340:K340"/>
    <mergeCell ref="J350:K350"/>
    <mergeCell ref="A352:K352"/>
    <mergeCell ref="A353:K353"/>
    <mergeCell ref="A354:C354"/>
    <mergeCell ref="D354:F354"/>
    <mergeCell ref="G354:I354"/>
    <mergeCell ref="J354:K354"/>
    <mergeCell ref="J325:K325"/>
    <mergeCell ref="J335:K335"/>
    <mergeCell ref="A337:K337"/>
    <mergeCell ref="A338:K338"/>
    <mergeCell ref="A339:C339"/>
    <mergeCell ref="D339:F339"/>
    <mergeCell ref="G339:I339"/>
    <mergeCell ref="J339:K339"/>
    <mergeCell ref="J367:K367"/>
    <mergeCell ref="J380:K380"/>
    <mergeCell ref="J355:K355"/>
    <mergeCell ref="J362:K362"/>
    <mergeCell ref="A364:K364"/>
    <mergeCell ref="A365:K365"/>
    <mergeCell ref="A366:C366"/>
    <mergeCell ref="D366:F366"/>
    <mergeCell ref="G366:I366"/>
    <mergeCell ref="J366:K366"/>
  </mergeCells>
  <pageMargins left="0.4" right="0.4" top="0.25" bottom="0.25" header="0.25" footer="0.25"/>
  <pageSetup paperSize="9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8"/>
  <sheetViews>
    <sheetView showGridLines="0" zoomScale="90" zoomScaleNormal="90" zoomScaleSheetLayoutView="90" workbookViewId="0">
      <selection activeCell="G206" sqref="G206"/>
    </sheetView>
  </sheetViews>
  <sheetFormatPr defaultRowHeight="12.75" x14ac:dyDescent="0.2"/>
  <cols>
    <col min="1" max="1" width="6.875" style="56" customWidth="1"/>
    <col min="2" max="10" width="9.625" style="56" customWidth="1"/>
    <col min="11" max="11" width="35.75" style="56" customWidth="1"/>
    <col min="12" max="12" width="8.25" style="56" customWidth="1"/>
    <col min="13" max="256" width="9" style="56"/>
    <col min="257" max="257" width="6.875" style="56" customWidth="1"/>
    <col min="258" max="266" width="9.625" style="56" customWidth="1"/>
    <col min="267" max="267" width="35.75" style="56" customWidth="1"/>
    <col min="268" max="268" width="8.25" style="56" customWidth="1"/>
    <col min="269" max="512" width="9" style="56"/>
    <col min="513" max="513" width="6.875" style="56" customWidth="1"/>
    <col min="514" max="522" width="9.625" style="56" customWidth="1"/>
    <col min="523" max="523" width="35.75" style="56" customWidth="1"/>
    <col min="524" max="524" width="8.25" style="56" customWidth="1"/>
    <col min="525" max="768" width="9" style="56"/>
    <col min="769" max="769" width="6.875" style="56" customWidth="1"/>
    <col min="770" max="778" width="9.625" style="56" customWidth="1"/>
    <col min="779" max="779" width="35.75" style="56" customWidth="1"/>
    <col min="780" max="780" width="8.25" style="56" customWidth="1"/>
    <col min="781" max="1024" width="9" style="56"/>
    <col min="1025" max="1025" width="6.875" style="56" customWidth="1"/>
    <col min="1026" max="1034" width="9.625" style="56" customWidth="1"/>
    <col min="1035" max="1035" width="35.75" style="56" customWidth="1"/>
    <col min="1036" max="1036" width="8.25" style="56" customWidth="1"/>
    <col min="1037" max="1280" width="9" style="56"/>
    <col min="1281" max="1281" width="6.875" style="56" customWidth="1"/>
    <col min="1282" max="1290" width="9.625" style="56" customWidth="1"/>
    <col min="1291" max="1291" width="35.75" style="56" customWidth="1"/>
    <col min="1292" max="1292" width="8.25" style="56" customWidth="1"/>
    <col min="1293" max="1536" width="9" style="56"/>
    <col min="1537" max="1537" width="6.875" style="56" customWidth="1"/>
    <col min="1538" max="1546" width="9.625" style="56" customWidth="1"/>
    <col min="1547" max="1547" width="35.75" style="56" customWidth="1"/>
    <col min="1548" max="1548" width="8.25" style="56" customWidth="1"/>
    <col min="1549" max="1792" width="9" style="56"/>
    <col min="1793" max="1793" width="6.875" style="56" customWidth="1"/>
    <col min="1794" max="1802" width="9.625" style="56" customWidth="1"/>
    <col min="1803" max="1803" width="35.75" style="56" customWidth="1"/>
    <col min="1804" max="1804" width="8.25" style="56" customWidth="1"/>
    <col min="1805" max="2048" width="9" style="56"/>
    <col min="2049" max="2049" width="6.875" style="56" customWidth="1"/>
    <col min="2050" max="2058" width="9.625" style="56" customWidth="1"/>
    <col min="2059" max="2059" width="35.75" style="56" customWidth="1"/>
    <col min="2060" max="2060" width="8.25" style="56" customWidth="1"/>
    <col min="2061" max="2304" width="9" style="56"/>
    <col min="2305" max="2305" width="6.875" style="56" customWidth="1"/>
    <col min="2306" max="2314" width="9.625" style="56" customWidth="1"/>
    <col min="2315" max="2315" width="35.75" style="56" customWidth="1"/>
    <col min="2316" max="2316" width="8.25" style="56" customWidth="1"/>
    <col min="2317" max="2560" width="9" style="56"/>
    <col min="2561" max="2561" width="6.875" style="56" customWidth="1"/>
    <col min="2562" max="2570" width="9.625" style="56" customWidth="1"/>
    <col min="2571" max="2571" width="35.75" style="56" customWidth="1"/>
    <col min="2572" max="2572" width="8.25" style="56" customWidth="1"/>
    <col min="2573" max="2816" width="9" style="56"/>
    <col min="2817" max="2817" width="6.875" style="56" customWidth="1"/>
    <col min="2818" max="2826" width="9.625" style="56" customWidth="1"/>
    <col min="2827" max="2827" width="35.75" style="56" customWidth="1"/>
    <col min="2828" max="2828" width="8.25" style="56" customWidth="1"/>
    <col min="2829" max="3072" width="9" style="56"/>
    <col min="3073" max="3073" width="6.875" style="56" customWidth="1"/>
    <col min="3074" max="3082" width="9.625" style="56" customWidth="1"/>
    <col min="3083" max="3083" width="35.75" style="56" customWidth="1"/>
    <col min="3084" max="3084" width="8.25" style="56" customWidth="1"/>
    <col min="3085" max="3328" width="9" style="56"/>
    <col min="3329" max="3329" width="6.875" style="56" customWidth="1"/>
    <col min="3330" max="3338" width="9.625" style="56" customWidth="1"/>
    <col min="3339" max="3339" width="35.75" style="56" customWidth="1"/>
    <col min="3340" max="3340" width="8.25" style="56" customWidth="1"/>
    <col min="3341" max="3584" width="9" style="56"/>
    <col min="3585" max="3585" width="6.875" style="56" customWidth="1"/>
    <col min="3586" max="3594" width="9.625" style="56" customWidth="1"/>
    <col min="3595" max="3595" width="35.75" style="56" customWidth="1"/>
    <col min="3596" max="3596" width="8.25" style="56" customWidth="1"/>
    <col min="3597" max="3840" width="9" style="56"/>
    <col min="3841" max="3841" width="6.875" style="56" customWidth="1"/>
    <col min="3842" max="3850" width="9.625" style="56" customWidth="1"/>
    <col min="3851" max="3851" width="35.75" style="56" customWidth="1"/>
    <col min="3852" max="3852" width="8.25" style="56" customWidth="1"/>
    <col min="3853" max="4096" width="9" style="56"/>
    <col min="4097" max="4097" width="6.875" style="56" customWidth="1"/>
    <col min="4098" max="4106" width="9.625" style="56" customWidth="1"/>
    <col min="4107" max="4107" width="35.75" style="56" customWidth="1"/>
    <col min="4108" max="4108" width="8.25" style="56" customWidth="1"/>
    <col min="4109" max="4352" width="9" style="56"/>
    <col min="4353" max="4353" width="6.875" style="56" customWidth="1"/>
    <col min="4354" max="4362" width="9.625" style="56" customWidth="1"/>
    <col min="4363" max="4363" width="35.75" style="56" customWidth="1"/>
    <col min="4364" max="4364" width="8.25" style="56" customWidth="1"/>
    <col min="4365" max="4608" width="9" style="56"/>
    <col min="4609" max="4609" width="6.875" style="56" customWidth="1"/>
    <col min="4610" max="4618" width="9.625" style="56" customWidth="1"/>
    <col min="4619" max="4619" width="35.75" style="56" customWidth="1"/>
    <col min="4620" max="4620" width="8.25" style="56" customWidth="1"/>
    <col min="4621" max="4864" width="9" style="56"/>
    <col min="4865" max="4865" width="6.875" style="56" customWidth="1"/>
    <col min="4866" max="4874" width="9.625" style="56" customWidth="1"/>
    <col min="4875" max="4875" width="35.75" style="56" customWidth="1"/>
    <col min="4876" max="4876" width="8.25" style="56" customWidth="1"/>
    <col min="4877" max="5120" width="9" style="56"/>
    <col min="5121" max="5121" width="6.875" style="56" customWidth="1"/>
    <col min="5122" max="5130" width="9.625" style="56" customWidth="1"/>
    <col min="5131" max="5131" width="35.75" style="56" customWidth="1"/>
    <col min="5132" max="5132" width="8.25" style="56" customWidth="1"/>
    <col min="5133" max="5376" width="9" style="56"/>
    <col min="5377" max="5377" width="6.875" style="56" customWidth="1"/>
    <col min="5378" max="5386" width="9.625" style="56" customWidth="1"/>
    <col min="5387" max="5387" width="35.75" style="56" customWidth="1"/>
    <col min="5388" max="5388" width="8.25" style="56" customWidth="1"/>
    <col min="5389" max="5632" width="9" style="56"/>
    <col min="5633" max="5633" width="6.875" style="56" customWidth="1"/>
    <col min="5634" max="5642" width="9.625" style="56" customWidth="1"/>
    <col min="5643" max="5643" width="35.75" style="56" customWidth="1"/>
    <col min="5644" max="5644" width="8.25" style="56" customWidth="1"/>
    <col min="5645" max="5888" width="9" style="56"/>
    <col min="5889" max="5889" width="6.875" style="56" customWidth="1"/>
    <col min="5890" max="5898" width="9.625" style="56" customWidth="1"/>
    <col min="5899" max="5899" width="35.75" style="56" customWidth="1"/>
    <col min="5900" max="5900" width="8.25" style="56" customWidth="1"/>
    <col min="5901" max="6144" width="9" style="56"/>
    <col min="6145" max="6145" width="6.875" style="56" customWidth="1"/>
    <col min="6146" max="6154" width="9.625" style="56" customWidth="1"/>
    <col min="6155" max="6155" width="35.75" style="56" customWidth="1"/>
    <col min="6156" max="6156" width="8.25" style="56" customWidth="1"/>
    <col min="6157" max="6400" width="9" style="56"/>
    <col min="6401" max="6401" width="6.875" style="56" customWidth="1"/>
    <col min="6402" max="6410" width="9.625" style="56" customWidth="1"/>
    <col min="6411" max="6411" width="35.75" style="56" customWidth="1"/>
    <col min="6412" max="6412" width="8.25" style="56" customWidth="1"/>
    <col min="6413" max="6656" width="9" style="56"/>
    <col min="6657" max="6657" width="6.875" style="56" customWidth="1"/>
    <col min="6658" max="6666" width="9.625" style="56" customWidth="1"/>
    <col min="6667" max="6667" width="35.75" style="56" customWidth="1"/>
    <col min="6668" max="6668" width="8.25" style="56" customWidth="1"/>
    <col min="6669" max="6912" width="9" style="56"/>
    <col min="6913" max="6913" width="6.875" style="56" customWidth="1"/>
    <col min="6914" max="6922" width="9.625" style="56" customWidth="1"/>
    <col min="6923" max="6923" width="35.75" style="56" customWidth="1"/>
    <col min="6924" max="6924" width="8.25" style="56" customWidth="1"/>
    <col min="6925" max="7168" width="9" style="56"/>
    <col min="7169" max="7169" width="6.875" style="56" customWidth="1"/>
    <col min="7170" max="7178" width="9.625" style="56" customWidth="1"/>
    <col min="7179" max="7179" width="35.75" style="56" customWidth="1"/>
    <col min="7180" max="7180" width="8.25" style="56" customWidth="1"/>
    <col min="7181" max="7424" width="9" style="56"/>
    <col min="7425" max="7425" width="6.875" style="56" customWidth="1"/>
    <col min="7426" max="7434" width="9.625" style="56" customWidth="1"/>
    <col min="7435" max="7435" width="35.75" style="56" customWidth="1"/>
    <col min="7436" max="7436" width="8.25" style="56" customWidth="1"/>
    <col min="7437" max="7680" width="9" style="56"/>
    <col min="7681" max="7681" width="6.875" style="56" customWidth="1"/>
    <col min="7682" max="7690" width="9.625" style="56" customWidth="1"/>
    <col min="7691" max="7691" width="35.75" style="56" customWidth="1"/>
    <col min="7692" max="7692" width="8.25" style="56" customWidth="1"/>
    <col min="7693" max="7936" width="9" style="56"/>
    <col min="7937" max="7937" width="6.875" style="56" customWidth="1"/>
    <col min="7938" max="7946" width="9.625" style="56" customWidth="1"/>
    <col min="7947" max="7947" width="35.75" style="56" customWidth="1"/>
    <col min="7948" max="7948" width="8.25" style="56" customWidth="1"/>
    <col min="7949" max="8192" width="9" style="56"/>
    <col min="8193" max="8193" width="6.875" style="56" customWidth="1"/>
    <col min="8194" max="8202" width="9.625" style="56" customWidth="1"/>
    <col min="8203" max="8203" width="35.75" style="56" customWidth="1"/>
    <col min="8204" max="8204" width="8.25" style="56" customWidth="1"/>
    <col min="8205" max="8448" width="9" style="56"/>
    <col min="8449" max="8449" width="6.875" style="56" customWidth="1"/>
    <col min="8450" max="8458" width="9.625" style="56" customWidth="1"/>
    <col min="8459" max="8459" width="35.75" style="56" customWidth="1"/>
    <col min="8460" max="8460" width="8.25" style="56" customWidth="1"/>
    <col min="8461" max="8704" width="9" style="56"/>
    <col min="8705" max="8705" width="6.875" style="56" customWidth="1"/>
    <col min="8706" max="8714" width="9.625" style="56" customWidth="1"/>
    <col min="8715" max="8715" width="35.75" style="56" customWidth="1"/>
    <col min="8716" max="8716" width="8.25" style="56" customWidth="1"/>
    <col min="8717" max="8960" width="9" style="56"/>
    <col min="8961" max="8961" width="6.875" style="56" customWidth="1"/>
    <col min="8962" max="8970" width="9.625" style="56" customWidth="1"/>
    <col min="8971" max="8971" width="35.75" style="56" customWidth="1"/>
    <col min="8972" max="8972" width="8.25" style="56" customWidth="1"/>
    <col min="8973" max="9216" width="9" style="56"/>
    <col min="9217" max="9217" width="6.875" style="56" customWidth="1"/>
    <col min="9218" max="9226" width="9.625" style="56" customWidth="1"/>
    <col min="9227" max="9227" width="35.75" style="56" customWidth="1"/>
    <col min="9228" max="9228" width="8.25" style="56" customWidth="1"/>
    <col min="9229" max="9472" width="9" style="56"/>
    <col min="9473" max="9473" width="6.875" style="56" customWidth="1"/>
    <col min="9474" max="9482" width="9.625" style="56" customWidth="1"/>
    <col min="9483" max="9483" width="35.75" style="56" customWidth="1"/>
    <col min="9484" max="9484" width="8.25" style="56" customWidth="1"/>
    <col min="9485" max="9728" width="9" style="56"/>
    <col min="9729" max="9729" width="6.875" style="56" customWidth="1"/>
    <col min="9730" max="9738" width="9.625" style="56" customWidth="1"/>
    <col min="9739" max="9739" width="35.75" style="56" customWidth="1"/>
    <col min="9740" max="9740" width="8.25" style="56" customWidth="1"/>
    <col min="9741" max="9984" width="9" style="56"/>
    <col min="9985" max="9985" width="6.875" style="56" customWidth="1"/>
    <col min="9986" max="9994" width="9.625" style="56" customWidth="1"/>
    <col min="9995" max="9995" width="35.75" style="56" customWidth="1"/>
    <col min="9996" max="9996" width="8.25" style="56" customWidth="1"/>
    <col min="9997" max="10240" width="9" style="56"/>
    <col min="10241" max="10241" width="6.875" style="56" customWidth="1"/>
    <col min="10242" max="10250" width="9.625" style="56" customWidth="1"/>
    <col min="10251" max="10251" width="35.75" style="56" customWidth="1"/>
    <col min="10252" max="10252" width="8.25" style="56" customWidth="1"/>
    <col min="10253" max="10496" width="9" style="56"/>
    <col min="10497" max="10497" width="6.875" style="56" customWidth="1"/>
    <col min="10498" max="10506" width="9.625" style="56" customWidth="1"/>
    <col min="10507" max="10507" width="35.75" style="56" customWidth="1"/>
    <col min="10508" max="10508" width="8.25" style="56" customWidth="1"/>
    <col min="10509" max="10752" width="9" style="56"/>
    <col min="10753" max="10753" width="6.875" style="56" customWidth="1"/>
    <col min="10754" max="10762" width="9.625" style="56" customWidth="1"/>
    <col min="10763" max="10763" width="35.75" style="56" customWidth="1"/>
    <col min="10764" max="10764" width="8.25" style="56" customWidth="1"/>
    <col min="10765" max="11008" width="9" style="56"/>
    <col min="11009" max="11009" width="6.875" style="56" customWidth="1"/>
    <col min="11010" max="11018" width="9.625" style="56" customWidth="1"/>
    <col min="11019" max="11019" width="35.75" style="56" customWidth="1"/>
    <col min="11020" max="11020" width="8.25" style="56" customWidth="1"/>
    <col min="11021" max="11264" width="9" style="56"/>
    <col min="11265" max="11265" width="6.875" style="56" customWidth="1"/>
    <col min="11266" max="11274" width="9.625" style="56" customWidth="1"/>
    <col min="11275" max="11275" width="35.75" style="56" customWidth="1"/>
    <col min="11276" max="11276" width="8.25" style="56" customWidth="1"/>
    <col min="11277" max="11520" width="9" style="56"/>
    <col min="11521" max="11521" width="6.875" style="56" customWidth="1"/>
    <col min="11522" max="11530" width="9.625" style="56" customWidth="1"/>
    <col min="11531" max="11531" width="35.75" style="56" customWidth="1"/>
    <col min="11532" max="11532" width="8.25" style="56" customWidth="1"/>
    <col min="11533" max="11776" width="9" style="56"/>
    <col min="11777" max="11777" width="6.875" style="56" customWidth="1"/>
    <col min="11778" max="11786" width="9.625" style="56" customWidth="1"/>
    <col min="11787" max="11787" width="35.75" style="56" customWidth="1"/>
    <col min="11788" max="11788" width="8.25" style="56" customWidth="1"/>
    <col min="11789" max="12032" width="9" style="56"/>
    <col min="12033" max="12033" width="6.875" style="56" customWidth="1"/>
    <col min="12034" max="12042" width="9.625" style="56" customWidth="1"/>
    <col min="12043" max="12043" width="35.75" style="56" customWidth="1"/>
    <col min="12044" max="12044" width="8.25" style="56" customWidth="1"/>
    <col min="12045" max="12288" width="9" style="56"/>
    <col min="12289" max="12289" width="6.875" style="56" customWidth="1"/>
    <col min="12290" max="12298" width="9.625" style="56" customWidth="1"/>
    <col min="12299" max="12299" width="35.75" style="56" customWidth="1"/>
    <col min="12300" max="12300" width="8.25" style="56" customWidth="1"/>
    <col min="12301" max="12544" width="9" style="56"/>
    <col min="12545" max="12545" width="6.875" style="56" customWidth="1"/>
    <col min="12546" max="12554" width="9.625" style="56" customWidth="1"/>
    <col min="12555" max="12555" width="35.75" style="56" customWidth="1"/>
    <col min="12556" max="12556" width="8.25" style="56" customWidth="1"/>
    <col min="12557" max="12800" width="9" style="56"/>
    <col min="12801" max="12801" width="6.875" style="56" customWidth="1"/>
    <col min="12802" max="12810" width="9.625" style="56" customWidth="1"/>
    <col min="12811" max="12811" width="35.75" style="56" customWidth="1"/>
    <col min="12812" max="12812" width="8.25" style="56" customWidth="1"/>
    <col min="12813" max="13056" width="9" style="56"/>
    <col min="13057" max="13057" width="6.875" style="56" customWidth="1"/>
    <col min="13058" max="13066" width="9.625" style="56" customWidth="1"/>
    <col min="13067" max="13067" width="35.75" style="56" customWidth="1"/>
    <col min="13068" max="13068" width="8.25" style="56" customWidth="1"/>
    <col min="13069" max="13312" width="9" style="56"/>
    <col min="13313" max="13313" width="6.875" style="56" customWidth="1"/>
    <col min="13314" max="13322" width="9.625" style="56" customWidth="1"/>
    <col min="13323" max="13323" width="35.75" style="56" customWidth="1"/>
    <col min="13324" max="13324" width="8.25" style="56" customWidth="1"/>
    <col min="13325" max="13568" width="9" style="56"/>
    <col min="13569" max="13569" width="6.875" style="56" customWidth="1"/>
    <col min="13570" max="13578" width="9.625" style="56" customWidth="1"/>
    <col min="13579" max="13579" width="35.75" style="56" customWidth="1"/>
    <col min="13580" max="13580" width="8.25" style="56" customWidth="1"/>
    <col min="13581" max="13824" width="9" style="56"/>
    <col min="13825" max="13825" width="6.875" style="56" customWidth="1"/>
    <col min="13826" max="13834" width="9.625" style="56" customWidth="1"/>
    <col min="13835" max="13835" width="35.75" style="56" customWidth="1"/>
    <col min="13836" max="13836" width="8.25" style="56" customWidth="1"/>
    <col min="13837" max="14080" width="9" style="56"/>
    <col min="14081" max="14081" width="6.875" style="56" customWidth="1"/>
    <col min="14082" max="14090" width="9.625" style="56" customWidth="1"/>
    <col min="14091" max="14091" width="35.75" style="56" customWidth="1"/>
    <col min="14092" max="14092" width="8.25" style="56" customWidth="1"/>
    <col min="14093" max="14336" width="9" style="56"/>
    <col min="14337" max="14337" width="6.875" style="56" customWidth="1"/>
    <col min="14338" max="14346" width="9.625" style="56" customWidth="1"/>
    <col min="14347" max="14347" width="35.75" style="56" customWidth="1"/>
    <col min="14348" max="14348" width="8.25" style="56" customWidth="1"/>
    <col min="14349" max="14592" width="9" style="56"/>
    <col min="14593" max="14593" width="6.875" style="56" customWidth="1"/>
    <col min="14594" max="14602" width="9.625" style="56" customWidth="1"/>
    <col min="14603" max="14603" width="35.75" style="56" customWidth="1"/>
    <col min="14604" max="14604" width="8.25" style="56" customWidth="1"/>
    <col min="14605" max="14848" width="9" style="56"/>
    <col min="14849" max="14849" width="6.875" style="56" customWidth="1"/>
    <col min="14850" max="14858" width="9.625" style="56" customWidth="1"/>
    <col min="14859" max="14859" width="35.75" style="56" customWidth="1"/>
    <col min="14860" max="14860" width="8.25" style="56" customWidth="1"/>
    <col min="14861" max="15104" width="9" style="56"/>
    <col min="15105" max="15105" width="6.875" style="56" customWidth="1"/>
    <col min="15106" max="15114" width="9.625" style="56" customWidth="1"/>
    <col min="15115" max="15115" width="35.75" style="56" customWidth="1"/>
    <col min="15116" max="15116" width="8.25" style="56" customWidth="1"/>
    <col min="15117" max="15360" width="9" style="56"/>
    <col min="15361" max="15361" width="6.875" style="56" customWidth="1"/>
    <col min="15362" max="15370" width="9.625" style="56" customWidth="1"/>
    <col min="15371" max="15371" width="35.75" style="56" customWidth="1"/>
    <col min="15372" max="15372" width="8.25" style="56" customWidth="1"/>
    <col min="15373" max="15616" width="9" style="56"/>
    <col min="15617" max="15617" width="6.875" style="56" customWidth="1"/>
    <col min="15618" max="15626" width="9.625" style="56" customWidth="1"/>
    <col min="15627" max="15627" width="35.75" style="56" customWidth="1"/>
    <col min="15628" max="15628" width="8.25" style="56" customWidth="1"/>
    <col min="15629" max="15872" width="9" style="56"/>
    <col min="15873" max="15873" width="6.875" style="56" customWidth="1"/>
    <col min="15874" max="15882" width="9.625" style="56" customWidth="1"/>
    <col min="15883" max="15883" width="35.75" style="56" customWidth="1"/>
    <col min="15884" max="15884" width="8.25" style="56" customWidth="1"/>
    <col min="15885" max="16128" width="9" style="56"/>
    <col min="16129" max="16129" width="6.875" style="56" customWidth="1"/>
    <col min="16130" max="16138" width="9.625" style="56" customWidth="1"/>
    <col min="16139" max="16139" width="35.75" style="56" customWidth="1"/>
    <col min="16140" max="16140" width="8.25" style="56" customWidth="1"/>
    <col min="16141" max="16384" width="9" style="56"/>
  </cols>
  <sheetData>
    <row r="1" spans="1:13" ht="20.100000000000001" customHeight="1" x14ac:dyDescent="0.2">
      <c r="A1" s="55"/>
      <c r="B1" s="177" t="s">
        <v>580</v>
      </c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3" ht="20.100000000000001" customHeight="1" thickBot="1" x14ac:dyDescent="0.25">
      <c r="A2" s="55"/>
      <c r="B2" s="178" t="s">
        <v>581</v>
      </c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3" ht="13.5" thickBot="1" x14ac:dyDescent="0.25">
      <c r="A3" s="55"/>
      <c r="B3" s="179" t="s">
        <v>5</v>
      </c>
      <c r="C3" s="179"/>
      <c r="D3" s="179"/>
      <c r="E3" s="179" t="s">
        <v>162</v>
      </c>
      <c r="F3" s="179"/>
      <c r="G3" s="179"/>
      <c r="H3" s="179" t="s">
        <v>163</v>
      </c>
      <c r="I3" s="179"/>
      <c r="J3" s="179"/>
      <c r="K3" s="57"/>
      <c r="L3" s="55"/>
    </row>
    <row r="4" spans="1:13" ht="13.5" thickBot="1" x14ac:dyDescent="0.25">
      <c r="A4" s="55"/>
      <c r="B4" s="58" t="s">
        <v>216</v>
      </c>
      <c r="C4" s="58" t="s">
        <v>11</v>
      </c>
      <c r="D4" s="58" t="s">
        <v>10</v>
      </c>
      <c r="E4" s="58" t="s">
        <v>216</v>
      </c>
      <c r="F4" s="58" t="s">
        <v>11</v>
      </c>
      <c r="G4" s="58" t="s">
        <v>10</v>
      </c>
      <c r="H4" s="58" t="s">
        <v>216</v>
      </c>
      <c r="I4" s="58" t="s">
        <v>11</v>
      </c>
      <c r="J4" s="58" t="s">
        <v>10</v>
      </c>
      <c r="K4" s="59" t="s">
        <v>72</v>
      </c>
      <c r="L4" s="55"/>
    </row>
    <row r="5" spans="1:13" ht="13.5" thickBot="1" x14ac:dyDescent="0.25">
      <c r="A5" s="55"/>
      <c r="B5" s="60">
        <f>SUM(C5:D5)</f>
        <v>776</v>
      </c>
      <c r="C5" s="60">
        <f>I5+F5</f>
        <v>197</v>
      </c>
      <c r="D5" s="60">
        <f>J5+G5</f>
        <v>579</v>
      </c>
      <c r="E5" s="60">
        <f>SUM(F5:G5)</f>
        <v>123</v>
      </c>
      <c r="F5" s="60">
        <v>11</v>
      </c>
      <c r="G5" s="60">
        <v>112</v>
      </c>
      <c r="H5" s="60">
        <f>SUM(I5:J5)</f>
        <v>653</v>
      </c>
      <c r="I5" s="60">
        <v>186</v>
      </c>
      <c r="J5" s="60">
        <v>467</v>
      </c>
      <c r="K5" s="61" t="s">
        <v>74</v>
      </c>
    </row>
    <row r="6" spans="1:13" ht="13.5" thickBot="1" x14ac:dyDescent="0.25">
      <c r="A6" s="55"/>
      <c r="B6" s="60">
        <f t="shared" ref="B6:B27" si="0">SUM(C6:D6)</f>
        <v>548</v>
      </c>
      <c r="C6" s="60">
        <f t="shared" ref="C6:D27" si="1">I6+F6</f>
        <v>19</v>
      </c>
      <c r="D6" s="60">
        <f t="shared" si="1"/>
        <v>529</v>
      </c>
      <c r="E6" s="60">
        <f t="shared" ref="E6:E27" si="2">SUM(F6:G6)</f>
        <v>83</v>
      </c>
      <c r="F6" s="60">
        <v>0</v>
      </c>
      <c r="G6" s="60">
        <v>83</v>
      </c>
      <c r="H6" s="60">
        <f t="shared" ref="H6:H27" si="3">SUM(I6:J6)</f>
        <v>465</v>
      </c>
      <c r="I6" s="60">
        <v>19</v>
      </c>
      <c r="J6" s="60">
        <v>446</v>
      </c>
      <c r="K6" s="61" t="s">
        <v>76</v>
      </c>
      <c r="L6" s="55"/>
      <c r="M6" s="55"/>
    </row>
    <row r="7" spans="1:13" ht="13.5" thickBot="1" x14ac:dyDescent="0.25">
      <c r="A7" s="55"/>
      <c r="B7" s="60">
        <f t="shared" si="0"/>
        <v>1438</v>
      </c>
      <c r="C7" s="60">
        <f t="shared" si="1"/>
        <v>351</v>
      </c>
      <c r="D7" s="60">
        <f t="shared" si="1"/>
        <v>1087</v>
      </c>
      <c r="E7" s="60">
        <f t="shared" si="2"/>
        <v>145</v>
      </c>
      <c r="F7" s="60">
        <v>116</v>
      </c>
      <c r="G7" s="60">
        <v>29</v>
      </c>
      <c r="H7" s="60">
        <f t="shared" si="3"/>
        <v>1293</v>
      </c>
      <c r="I7" s="60">
        <v>235</v>
      </c>
      <c r="J7" s="60">
        <v>1058</v>
      </c>
      <c r="K7" s="61" t="s">
        <v>78</v>
      </c>
      <c r="L7" s="55"/>
    </row>
    <row r="8" spans="1:13" ht="13.5" thickBot="1" x14ac:dyDescent="0.25">
      <c r="A8" s="55"/>
      <c r="B8" s="60">
        <f t="shared" si="0"/>
        <v>524</v>
      </c>
      <c r="C8" s="60">
        <f t="shared" si="1"/>
        <v>186</v>
      </c>
      <c r="D8" s="60">
        <f t="shared" si="1"/>
        <v>338</v>
      </c>
      <c r="E8" s="60">
        <f t="shared" si="2"/>
        <v>0</v>
      </c>
      <c r="F8" s="60">
        <v>0</v>
      </c>
      <c r="G8" s="60">
        <v>0</v>
      </c>
      <c r="H8" s="60">
        <f t="shared" si="3"/>
        <v>524</v>
      </c>
      <c r="I8" s="60">
        <v>186</v>
      </c>
      <c r="J8" s="60">
        <v>338</v>
      </c>
      <c r="K8" s="61" t="s">
        <v>79</v>
      </c>
    </row>
    <row r="9" spans="1:13" ht="13.5" thickBot="1" x14ac:dyDescent="0.25">
      <c r="A9" s="55"/>
      <c r="B9" s="60">
        <f t="shared" si="0"/>
        <v>134</v>
      </c>
      <c r="C9" s="60">
        <f t="shared" si="1"/>
        <v>0</v>
      </c>
      <c r="D9" s="60">
        <f t="shared" si="1"/>
        <v>134</v>
      </c>
      <c r="E9" s="60">
        <f t="shared" si="2"/>
        <v>10</v>
      </c>
      <c r="F9" s="60">
        <v>0</v>
      </c>
      <c r="G9" s="60">
        <v>10</v>
      </c>
      <c r="H9" s="60">
        <f t="shared" si="3"/>
        <v>124</v>
      </c>
      <c r="I9" s="60">
        <v>0</v>
      </c>
      <c r="J9" s="60">
        <v>124</v>
      </c>
      <c r="K9" s="61" t="s">
        <v>98</v>
      </c>
      <c r="L9" s="55"/>
      <c r="M9" s="55"/>
    </row>
    <row r="10" spans="1:13" ht="13.5" thickBot="1" x14ac:dyDescent="0.25">
      <c r="A10" s="55"/>
      <c r="B10" s="60">
        <f t="shared" si="0"/>
        <v>1879</v>
      </c>
      <c r="C10" s="60">
        <f t="shared" si="1"/>
        <v>1371</v>
      </c>
      <c r="D10" s="60">
        <f t="shared" si="1"/>
        <v>508</v>
      </c>
      <c r="E10" s="60">
        <f t="shared" si="2"/>
        <v>12</v>
      </c>
      <c r="F10" s="60">
        <v>7</v>
      </c>
      <c r="G10" s="60">
        <v>5</v>
      </c>
      <c r="H10" s="60">
        <f t="shared" si="3"/>
        <v>1867</v>
      </c>
      <c r="I10" s="60">
        <v>1364</v>
      </c>
      <c r="J10" s="60">
        <v>503</v>
      </c>
      <c r="K10" s="61" t="s">
        <v>80</v>
      </c>
    </row>
    <row r="11" spans="1:13" ht="13.5" thickBot="1" x14ac:dyDescent="0.25">
      <c r="A11" s="55"/>
      <c r="B11" s="60">
        <f t="shared" si="0"/>
        <v>1004</v>
      </c>
      <c r="C11" s="60">
        <f t="shared" si="1"/>
        <v>451</v>
      </c>
      <c r="D11" s="60">
        <f t="shared" si="1"/>
        <v>553</v>
      </c>
      <c r="E11" s="60">
        <f t="shared" si="2"/>
        <v>0</v>
      </c>
      <c r="F11" s="60">
        <v>0</v>
      </c>
      <c r="G11" s="60">
        <v>0</v>
      </c>
      <c r="H11" s="60">
        <f t="shared" si="3"/>
        <v>1004</v>
      </c>
      <c r="I11" s="60">
        <v>451</v>
      </c>
      <c r="J11" s="60">
        <v>553</v>
      </c>
      <c r="K11" s="61" t="s">
        <v>81</v>
      </c>
      <c r="L11" s="55"/>
    </row>
    <row r="12" spans="1:13" ht="13.5" thickBot="1" x14ac:dyDescent="0.25">
      <c r="A12" s="55"/>
      <c r="B12" s="60">
        <f t="shared" si="0"/>
        <v>156</v>
      </c>
      <c r="C12" s="60">
        <f t="shared" si="1"/>
        <v>156</v>
      </c>
      <c r="D12" s="60">
        <f t="shared" si="1"/>
        <v>0</v>
      </c>
      <c r="E12" s="60">
        <f t="shared" si="2"/>
        <v>0</v>
      </c>
      <c r="F12" s="60">
        <v>0</v>
      </c>
      <c r="G12" s="60">
        <v>0</v>
      </c>
      <c r="H12" s="60">
        <f t="shared" si="3"/>
        <v>156</v>
      </c>
      <c r="I12" s="60">
        <v>156</v>
      </c>
      <c r="J12" s="60">
        <v>0</v>
      </c>
      <c r="K12" s="61" t="s">
        <v>108</v>
      </c>
      <c r="L12" s="55"/>
      <c r="M12" s="55"/>
    </row>
    <row r="13" spans="1:13" ht="13.5" thickBot="1" x14ac:dyDescent="0.25">
      <c r="A13" s="55"/>
      <c r="B13" s="60">
        <f t="shared" si="0"/>
        <v>916</v>
      </c>
      <c r="C13" s="60">
        <f t="shared" si="1"/>
        <v>485</v>
      </c>
      <c r="D13" s="60">
        <f t="shared" si="1"/>
        <v>431</v>
      </c>
      <c r="E13" s="60">
        <f t="shared" si="2"/>
        <v>0</v>
      </c>
      <c r="F13" s="60">
        <v>0</v>
      </c>
      <c r="G13" s="60">
        <v>0</v>
      </c>
      <c r="H13" s="60">
        <f t="shared" si="3"/>
        <v>916</v>
      </c>
      <c r="I13" s="60">
        <v>485</v>
      </c>
      <c r="J13" s="60">
        <v>431</v>
      </c>
      <c r="K13" s="61" t="s">
        <v>82</v>
      </c>
      <c r="L13" s="55"/>
    </row>
    <row r="14" spans="1:13" ht="13.5" thickBot="1" x14ac:dyDescent="0.25">
      <c r="A14" s="55"/>
      <c r="B14" s="60">
        <f t="shared" si="0"/>
        <v>263</v>
      </c>
      <c r="C14" s="60">
        <f t="shared" si="1"/>
        <v>157</v>
      </c>
      <c r="D14" s="60">
        <f t="shared" si="1"/>
        <v>106</v>
      </c>
      <c r="E14" s="60">
        <f t="shared" si="2"/>
        <v>0</v>
      </c>
      <c r="F14" s="60">
        <v>0</v>
      </c>
      <c r="G14" s="60">
        <v>0</v>
      </c>
      <c r="H14" s="60">
        <f t="shared" si="3"/>
        <v>263</v>
      </c>
      <c r="I14" s="60">
        <v>157</v>
      </c>
      <c r="J14" s="60">
        <v>106</v>
      </c>
      <c r="K14" s="61" t="s">
        <v>83</v>
      </c>
      <c r="L14" s="55"/>
    </row>
    <row r="15" spans="1:13" ht="13.5" thickBot="1" x14ac:dyDescent="0.25">
      <c r="A15" s="55"/>
      <c r="B15" s="60">
        <f t="shared" si="0"/>
        <v>1259</v>
      </c>
      <c r="C15" s="60">
        <f t="shared" si="1"/>
        <v>749</v>
      </c>
      <c r="D15" s="60">
        <f t="shared" si="1"/>
        <v>510</v>
      </c>
      <c r="E15" s="60">
        <f t="shared" si="2"/>
        <v>1</v>
      </c>
      <c r="F15" s="60">
        <v>1</v>
      </c>
      <c r="G15" s="60">
        <v>0</v>
      </c>
      <c r="H15" s="60">
        <f t="shared" si="3"/>
        <v>1258</v>
      </c>
      <c r="I15" s="60">
        <v>748</v>
      </c>
      <c r="J15" s="60">
        <v>510</v>
      </c>
      <c r="K15" s="61" t="s">
        <v>115</v>
      </c>
      <c r="M15" s="55"/>
    </row>
    <row r="16" spans="1:13" ht="13.5" thickBot="1" x14ac:dyDescent="0.25">
      <c r="A16" s="55"/>
      <c r="B16" s="60">
        <f t="shared" si="0"/>
        <v>280</v>
      </c>
      <c r="C16" s="60">
        <f t="shared" si="1"/>
        <v>162</v>
      </c>
      <c r="D16" s="60">
        <f t="shared" si="1"/>
        <v>118</v>
      </c>
      <c r="E16" s="60">
        <f t="shared" si="2"/>
        <v>0</v>
      </c>
      <c r="F16" s="60">
        <v>0</v>
      </c>
      <c r="G16" s="60">
        <v>0</v>
      </c>
      <c r="H16" s="60">
        <f t="shared" si="3"/>
        <v>280</v>
      </c>
      <c r="I16" s="60">
        <v>162</v>
      </c>
      <c r="J16" s="60">
        <v>118</v>
      </c>
      <c r="K16" s="61" t="s">
        <v>118</v>
      </c>
      <c r="L16" s="55"/>
    </row>
    <row r="17" spans="1:13" ht="13.5" thickBot="1" x14ac:dyDescent="0.25">
      <c r="A17" s="55"/>
      <c r="B17" s="60">
        <f t="shared" si="0"/>
        <v>737</v>
      </c>
      <c r="C17" s="60">
        <f t="shared" si="1"/>
        <v>354</v>
      </c>
      <c r="D17" s="60">
        <f t="shared" si="1"/>
        <v>383</v>
      </c>
      <c r="E17" s="60">
        <f t="shared" si="2"/>
        <v>25</v>
      </c>
      <c r="F17" s="60">
        <v>25</v>
      </c>
      <c r="G17" s="60">
        <v>0</v>
      </c>
      <c r="H17" s="60">
        <f t="shared" si="3"/>
        <v>712</v>
      </c>
      <c r="I17" s="60">
        <v>329</v>
      </c>
      <c r="J17" s="60">
        <v>383</v>
      </c>
      <c r="K17" s="61" t="s">
        <v>120</v>
      </c>
    </row>
    <row r="18" spans="1:13" ht="13.5" thickBot="1" x14ac:dyDescent="0.25">
      <c r="A18" s="55"/>
      <c r="B18" s="60">
        <f t="shared" si="0"/>
        <v>775</v>
      </c>
      <c r="C18" s="60">
        <f t="shared" si="1"/>
        <v>459</v>
      </c>
      <c r="D18" s="60">
        <f t="shared" si="1"/>
        <v>316</v>
      </c>
      <c r="E18" s="60">
        <f t="shared" si="2"/>
        <v>115</v>
      </c>
      <c r="F18" s="60">
        <v>0</v>
      </c>
      <c r="G18" s="60">
        <v>115</v>
      </c>
      <c r="H18" s="60">
        <f t="shared" si="3"/>
        <v>660</v>
      </c>
      <c r="I18" s="60">
        <v>459</v>
      </c>
      <c r="J18" s="60">
        <v>201</v>
      </c>
      <c r="K18" s="61" t="s">
        <v>124</v>
      </c>
      <c r="L18" s="55"/>
      <c r="M18" s="55"/>
    </row>
    <row r="19" spans="1:13" ht="13.5" thickBot="1" x14ac:dyDescent="0.25">
      <c r="A19" s="55"/>
      <c r="B19" s="60">
        <f t="shared" si="0"/>
        <v>260</v>
      </c>
      <c r="C19" s="60">
        <f t="shared" si="1"/>
        <v>134</v>
      </c>
      <c r="D19" s="60">
        <f t="shared" si="1"/>
        <v>126</v>
      </c>
      <c r="E19" s="60">
        <f t="shared" si="2"/>
        <v>0</v>
      </c>
      <c r="F19" s="60">
        <v>0</v>
      </c>
      <c r="G19" s="60">
        <v>0</v>
      </c>
      <c r="H19" s="60">
        <f t="shared" si="3"/>
        <v>260</v>
      </c>
      <c r="I19" s="60">
        <v>134</v>
      </c>
      <c r="J19" s="60">
        <v>126</v>
      </c>
      <c r="K19" s="61" t="s">
        <v>126</v>
      </c>
      <c r="L19" s="55"/>
    </row>
    <row r="20" spans="1:13" ht="13.5" thickBot="1" x14ac:dyDescent="0.25">
      <c r="A20" s="55"/>
      <c r="B20" s="60">
        <f t="shared" si="0"/>
        <v>354</v>
      </c>
      <c r="C20" s="60">
        <f t="shared" si="1"/>
        <v>244</v>
      </c>
      <c r="D20" s="60">
        <f t="shared" si="1"/>
        <v>110</v>
      </c>
      <c r="E20" s="60">
        <f t="shared" si="2"/>
        <v>30</v>
      </c>
      <c r="F20" s="60">
        <v>30</v>
      </c>
      <c r="G20" s="60">
        <v>0</v>
      </c>
      <c r="H20" s="60">
        <f t="shared" si="3"/>
        <v>324</v>
      </c>
      <c r="I20" s="60">
        <v>214</v>
      </c>
      <c r="J20" s="60">
        <v>110</v>
      </c>
      <c r="K20" s="61" t="s">
        <v>129</v>
      </c>
    </row>
    <row r="21" spans="1:13" ht="13.5" thickBot="1" x14ac:dyDescent="0.25">
      <c r="A21" s="55"/>
      <c r="B21" s="60">
        <f t="shared" si="0"/>
        <v>402</v>
      </c>
      <c r="C21" s="60">
        <f t="shared" si="1"/>
        <v>402</v>
      </c>
      <c r="D21" s="60">
        <f t="shared" si="1"/>
        <v>0</v>
      </c>
      <c r="E21" s="60">
        <f t="shared" si="2"/>
        <v>0</v>
      </c>
      <c r="F21" s="60">
        <v>0</v>
      </c>
      <c r="G21" s="60">
        <v>0</v>
      </c>
      <c r="H21" s="60">
        <f t="shared" si="3"/>
        <v>402</v>
      </c>
      <c r="I21" s="60">
        <v>402</v>
      </c>
      <c r="J21" s="60">
        <v>0</v>
      </c>
      <c r="K21" s="61" t="s">
        <v>131</v>
      </c>
      <c r="L21" s="55"/>
      <c r="M21" s="55"/>
    </row>
    <row r="22" spans="1:13" ht="13.5" thickBot="1" x14ac:dyDescent="0.25">
      <c r="A22" s="55"/>
      <c r="B22" s="60">
        <f t="shared" si="0"/>
        <v>200</v>
      </c>
      <c r="C22" s="60">
        <f t="shared" si="1"/>
        <v>94</v>
      </c>
      <c r="D22" s="60">
        <f t="shared" si="1"/>
        <v>106</v>
      </c>
      <c r="E22" s="60">
        <f t="shared" si="2"/>
        <v>0</v>
      </c>
      <c r="F22" s="60">
        <v>0</v>
      </c>
      <c r="G22" s="60">
        <v>0</v>
      </c>
      <c r="H22" s="60">
        <f t="shared" si="3"/>
        <v>200</v>
      </c>
      <c r="I22" s="60">
        <v>94</v>
      </c>
      <c r="J22" s="60">
        <v>106</v>
      </c>
      <c r="K22" s="61" t="s">
        <v>133</v>
      </c>
      <c r="L22" s="55"/>
    </row>
    <row r="23" spans="1:13" ht="13.5" thickBot="1" x14ac:dyDescent="0.25">
      <c r="A23" s="55"/>
      <c r="B23" s="60">
        <f t="shared" si="0"/>
        <v>12121</v>
      </c>
      <c r="C23" s="60">
        <f t="shared" si="1"/>
        <v>0</v>
      </c>
      <c r="D23" s="60">
        <f t="shared" si="1"/>
        <v>12121</v>
      </c>
      <c r="E23" s="60">
        <f t="shared" si="2"/>
        <v>271</v>
      </c>
      <c r="F23" s="60">
        <v>0</v>
      </c>
      <c r="G23" s="60">
        <v>271</v>
      </c>
      <c r="H23" s="60">
        <f t="shared" si="3"/>
        <v>11850</v>
      </c>
      <c r="I23" s="60">
        <v>0</v>
      </c>
      <c r="J23" s="60">
        <v>11850</v>
      </c>
      <c r="K23" s="61" t="s">
        <v>168</v>
      </c>
      <c r="L23" s="55"/>
    </row>
    <row r="24" spans="1:13" ht="13.5" thickBot="1" x14ac:dyDescent="0.25">
      <c r="A24" s="55"/>
      <c r="B24" s="60">
        <f t="shared" si="0"/>
        <v>66</v>
      </c>
      <c r="C24" s="60">
        <f t="shared" si="1"/>
        <v>24</v>
      </c>
      <c r="D24" s="60">
        <f t="shared" si="1"/>
        <v>42</v>
      </c>
      <c r="E24" s="60">
        <f t="shared" si="2"/>
        <v>0</v>
      </c>
      <c r="F24" s="60">
        <v>0</v>
      </c>
      <c r="G24" s="60">
        <v>0</v>
      </c>
      <c r="H24" s="60">
        <f t="shared" si="3"/>
        <v>66</v>
      </c>
      <c r="I24" s="60">
        <v>24</v>
      </c>
      <c r="J24" s="60">
        <v>42</v>
      </c>
      <c r="K24" s="61" t="s">
        <v>169</v>
      </c>
    </row>
    <row r="25" spans="1:13" ht="13.5" thickBot="1" x14ac:dyDescent="0.25">
      <c r="A25" s="55"/>
      <c r="B25" s="60">
        <f t="shared" si="0"/>
        <v>373</v>
      </c>
      <c r="C25" s="60">
        <f t="shared" si="1"/>
        <v>0</v>
      </c>
      <c r="D25" s="60">
        <f t="shared" si="1"/>
        <v>373</v>
      </c>
      <c r="E25" s="60">
        <f t="shared" si="2"/>
        <v>4</v>
      </c>
      <c r="F25" s="60">
        <v>0</v>
      </c>
      <c r="G25" s="60">
        <v>4</v>
      </c>
      <c r="H25" s="60">
        <f t="shared" si="3"/>
        <v>369</v>
      </c>
      <c r="I25" s="60">
        <v>0</v>
      </c>
      <c r="J25" s="60">
        <v>369</v>
      </c>
      <c r="K25" s="61" t="s">
        <v>170</v>
      </c>
      <c r="L25" s="55"/>
      <c r="M25" s="55"/>
    </row>
    <row r="26" spans="1:13" ht="13.5" thickBot="1" x14ac:dyDescent="0.25">
      <c r="A26" s="55"/>
      <c r="B26" s="60">
        <f t="shared" si="0"/>
        <v>976</v>
      </c>
      <c r="C26" s="60">
        <f t="shared" si="1"/>
        <v>147</v>
      </c>
      <c r="D26" s="60">
        <f t="shared" si="1"/>
        <v>829</v>
      </c>
      <c r="E26" s="60">
        <f t="shared" si="2"/>
        <v>0</v>
      </c>
      <c r="F26" s="60">
        <v>0</v>
      </c>
      <c r="G26" s="60">
        <v>0</v>
      </c>
      <c r="H26" s="60">
        <f t="shared" si="3"/>
        <v>976</v>
      </c>
      <c r="I26" s="60">
        <v>147</v>
      </c>
      <c r="J26" s="60">
        <v>829</v>
      </c>
      <c r="K26" s="61" t="s">
        <v>171</v>
      </c>
      <c r="L26" s="55"/>
    </row>
    <row r="27" spans="1:13" ht="13.5" thickBot="1" x14ac:dyDescent="0.25">
      <c r="A27" s="55"/>
      <c r="B27" s="60">
        <f t="shared" si="0"/>
        <v>33</v>
      </c>
      <c r="C27" s="60">
        <f t="shared" si="1"/>
        <v>12</v>
      </c>
      <c r="D27" s="60">
        <f t="shared" si="1"/>
        <v>21</v>
      </c>
      <c r="E27" s="60">
        <f t="shared" si="2"/>
        <v>9</v>
      </c>
      <c r="F27" s="60">
        <v>8</v>
      </c>
      <c r="G27" s="60">
        <v>1</v>
      </c>
      <c r="H27" s="60">
        <f t="shared" si="3"/>
        <v>24</v>
      </c>
      <c r="I27" s="60">
        <v>4</v>
      </c>
      <c r="J27" s="60">
        <v>20</v>
      </c>
      <c r="K27" s="61" t="s">
        <v>173</v>
      </c>
    </row>
    <row r="28" spans="1:13" ht="13.5" thickBot="1" x14ac:dyDescent="0.25">
      <c r="A28" s="55"/>
      <c r="B28" s="60">
        <f t="shared" ref="B28:I28" si="4">SUM(B5:B27)</f>
        <v>25474</v>
      </c>
      <c r="C28" s="60">
        <f t="shared" si="4"/>
        <v>6154</v>
      </c>
      <c r="D28" s="60">
        <f t="shared" si="4"/>
        <v>19320</v>
      </c>
      <c r="E28" s="60">
        <f t="shared" si="4"/>
        <v>828</v>
      </c>
      <c r="F28" s="60">
        <f t="shared" si="4"/>
        <v>198</v>
      </c>
      <c r="G28" s="60">
        <f t="shared" si="4"/>
        <v>630</v>
      </c>
      <c r="H28" s="60">
        <f t="shared" si="4"/>
        <v>24646</v>
      </c>
      <c r="I28" s="60">
        <f t="shared" si="4"/>
        <v>5956</v>
      </c>
      <c r="J28" s="60">
        <f>SUM(J5:J27)</f>
        <v>18690</v>
      </c>
      <c r="K28" s="59" t="s">
        <v>211</v>
      </c>
      <c r="L28" s="55"/>
      <c r="M28" s="55"/>
    </row>
  </sheetData>
  <mergeCells count="5">
    <mergeCell ref="B1:K1"/>
    <mergeCell ref="B2:K2"/>
    <mergeCell ref="B3:D3"/>
    <mergeCell ref="E3:G3"/>
    <mergeCell ref="H3:J3"/>
  </mergeCells>
  <pageMargins left="0.4" right="0.4" top="0.25" bottom="0.25" header="0.25" footer="0.25"/>
  <pageSetup paperSize="9" scale="96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5"/>
  <sheetViews>
    <sheetView showGridLines="0" zoomScale="90" zoomScaleNormal="90" zoomScaleSheetLayoutView="90" workbookViewId="0">
      <selection activeCell="G206" sqref="G206"/>
    </sheetView>
  </sheetViews>
  <sheetFormatPr defaultRowHeight="12.75" x14ac:dyDescent="0.2"/>
  <cols>
    <col min="1" max="1" width="12" style="56" customWidth="1"/>
    <col min="2" max="10" width="9.625" style="56" customWidth="1"/>
    <col min="11" max="11" width="27.375" style="56" customWidth="1"/>
    <col min="12" max="12" width="11.25" style="56" customWidth="1"/>
    <col min="13" max="256" width="9" style="56"/>
    <col min="257" max="257" width="12" style="56" customWidth="1"/>
    <col min="258" max="266" width="9.625" style="56" customWidth="1"/>
    <col min="267" max="267" width="27.375" style="56" customWidth="1"/>
    <col min="268" max="268" width="11.25" style="56" customWidth="1"/>
    <col min="269" max="512" width="9" style="56"/>
    <col min="513" max="513" width="12" style="56" customWidth="1"/>
    <col min="514" max="522" width="9.625" style="56" customWidth="1"/>
    <col min="523" max="523" width="27.375" style="56" customWidth="1"/>
    <col min="524" max="524" width="11.25" style="56" customWidth="1"/>
    <col min="525" max="768" width="9" style="56"/>
    <col min="769" max="769" width="12" style="56" customWidth="1"/>
    <col min="770" max="778" width="9.625" style="56" customWidth="1"/>
    <col min="779" max="779" width="27.375" style="56" customWidth="1"/>
    <col min="780" max="780" width="11.25" style="56" customWidth="1"/>
    <col min="781" max="1024" width="9" style="56"/>
    <col min="1025" max="1025" width="12" style="56" customWidth="1"/>
    <col min="1026" max="1034" width="9.625" style="56" customWidth="1"/>
    <col min="1035" max="1035" width="27.375" style="56" customWidth="1"/>
    <col min="1036" max="1036" width="11.25" style="56" customWidth="1"/>
    <col min="1037" max="1280" width="9" style="56"/>
    <col min="1281" max="1281" width="12" style="56" customWidth="1"/>
    <col min="1282" max="1290" width="9.625" style="56" customWidth="1"/>
    <col min="1291" max="1291" width="27.375" style="56" customWidth="1"/>
    <col min="1292" max="1292" width="11.25" style="56" customWidth="1"/>
    <col min="1293" max="1536" width="9" style="56"/>
    <col min="1537" max="1537" width="12" style="56" customWidth="1"/>
    <col min="1538" max="1546" width="9.625" style="56" customWidth="1"/>
    <col min="1547" max="1547" width="27.375" style="56" customWidth="1"/>
    <col min="1548" max="1548" width="11.25" style="56" customWidth="1"/>
    <col min="1549" max="1792" width="9" style="56"/>
    <col min="1793" max="1793" width="12" style="56" customWidth="1"/>
    <col min="1794" max="1802" width="9.625" style="56" customWidth="1"/>
    <col min="1803" max="1803" width="27.375" style="56" customWidth="1"/>
    <col min="1804" max="1804" width="11.25" style="56" customWidth="1"/>
    <col min="1805" max="2048" width="9" style="56"/>
    <col min="2049" max="2049" width="12" style="56" customWidth="1"/>
    <col min="2050" max="2058" width="9.625" style="56" customWidth="1"/>
    <col min="2059" max="2059" width="27.375" style="56" customWidth="1"/>
    <col min="2060" max="2060" width="11.25" style="56" customWidth="1"/>
    <col min="2061" max="2304" width="9" style="56"/>
    <col min="2305" max="2305" width="12" style="56" customWidth="1"/>
    <col min="2306" max="2314" width="9.625" style="56" customWidth="1"/>
    <col min="2315" max="2315" width="27.375" style="56" customWidth="1"/>
    <col min="2316" max="2316" width="11.25" style="56" customWidth="1"/>
    <col min="2317" max="2560" width="9" style="56"/>
    <col min="2561" max="2561" width="12" style="56" customWidth="1"/>
    <col min="2562" max="2570" width="9.625" style="56" customWidth="1"/>
    <col min="2571" max="2571" width="27.375" style="56" customWidth="1"/>
    <col min="2572" max="2572" width="11.25" style="56" customWidth="1"/>
    <col min="2573" max="2816" width="9" style="56"/>
    <col min="2817" max="2817" width="12" style="56" customWidth="1"/>
    <col min="2818" max="2826" width="9.625" style="56" customWidth="1"/>
    <col min="2827" max="2827" width="27.375" style="56" customWidth="1"/>
    <col min="2828" max="2828" width="11.25" style="56" customWidth="1"/>
    <col min="2829" max="3072" width="9" style="56"/>
    <col min="3073" max="3073" width="12" style="56" customWidth="1"/>
    <col min="3074" max="3082" width="9.625" style="56" customWidth="1"/>
    <col min="3083" max="3083" width="27.375" style="56" customWidth="1"/>
    <col min="3084" max="3084" width="11.25" style="56" customWidth="1"/>
    <col min="3085" max="3328" width="9" style="56"/>
    <col min="3329" max="3329" width="12" style="56" customWidth="1"/>
    <col min="3330" max="3338" width="9.625" style="56" customWidth="1"/>
    <col min="3339" max="3339" width="27.375" style="56" customWidth="1"/>
    <col min="3340" max="3340" width="11.25" style="56" customWidth="1"/>
    <col min="3341" max="3584" width="9" style="56"/>
    <col min="3585" max="3585" width="12" style="56" customWidth="1"/>
    <col min="3586" max="3594" width="9.625" style="56" customWidth="1"/>
    <col min="3595" max="3595" width="27.375" style="56" customWidth="1"/>
    <col min="3596" max="3596" width="11.25" style="56" customWidth="1"/>
    <col min="3597" max="3840" width="9" style="56"/>
    <col min="3841" max="3841" width="12" style="56" customWidth="1"/>
    <col min="3842" max="3850" width="9.625" style="56" customWidth="1"/>
    <col min="3851" max="3851" width="27.375" style="56" customWidth="1"/>
    <col min="3852" max="3852" width="11.25" style="56" customWidth="1"/>
    <col min="3853" max="4096" width="9" style="56"/>
    <col min="4097" max="4097" width="12" style="56" customWidth="1"/>
    <col min="4098" max="4106" width="9.625" style="56" customWidth="1"/>
    <col min="4107" max="4107" width="27.375" style="56" customWidth="1"/>
    <col min="4108" max="4108" width="11.25" style="56" customWidth="1"/>
    <col min="4109" max="4352" width="9" style="56"/>
    <col min="4353" max="4353" width="12" style="56" customWidth="1"/>
    <col min="4354" max="4362" width="9.625" style="56" customWidth="1"/>
    <col min="4363" max="4363" width="27.375" style="56" customWidth="1"/>
    <col min="4364" max="4364" width="11.25" style="56" customWidth="1"/>
    <col min="4365" max="4608" width="9" style="56"/>
    <col min="4609" max="4609" width="12" style="56" customWidth="1"/>
    <col min="4610" max="4618" width="9.625" style="56" customWidth="1"/>
    <col min="4619" max="4619" width="27.375" style="56" customWidth="1"/>
    <col min="4620" max="4620" width="11.25" style="56" customWidth="1"/>
    <col min="4621" max="4864" width="9" style="56"/>
    <col min="4865" max="4865" width="12" style="56" customWidth="1"/>
    <col min="4866" max="4874" width="9.625" style="56" customWidth="1"/>
    <col min="4875" max="4875" width="27.375" style="56" customWidth="1"/>
    <col min="4876" max="4876" width="11.25" style="56" customWidth="1"/>
    <col min="4877" max="5120" width="9" style="56"/>
    <col min="5121" max="5121" width="12" style="56" customWidth="1"/>
    <col min="5122" max="5130" width="9.625" style="56" customWidth="1"/>
    <col min="5131" max="5131" width="27.375" style="56" customWidth="1"/>
    <col min="5132" max="5132" width="11.25" style="56" customWidth="1"/>
    <col min="5133" max="5376" width="9" style="56"/>
    <col min="5377" max="5377" width="12" style="56" customWidth="1"/>
    <col min="5378" max="5386" width="9.625" style="56" customWidth="1"/>
    <col min="5387" max="5387" width="27.375" style="56" customWidth="1"/>
    <col min="5388" max="5388" width="11.25" style="56" customWidth="1"/>
    <col min="5389" max="5632" width="9" style="56"/>
    <col min="5633" max="5633" width="12" style="56" customWidth="1"/>
    <col min="5634" max="5642" width="9.625" style="56" customWidth="1"/>
    <col min="5643" max="5643" width="27.375" style="56" customWidth="1"/>
    <col min="5644" max="5644" width="11.25" style="56" customWidth="1"/>
    <col min="5645" max="5888" width="9" style="56"/>
    <col min="5889" max="5889" width="12" style="56" customWidth="1"/>
    <col min="5890" max="5898" width="9.625" style="56" customWidth="1"/>
    <col min="5899" max="5899" width="27.375" style="56" customWidth="1"/>
    <col min="5900" max="5900" width="11.25" style="56" customWidth="1"/>
    <col min="5901" max="6144" width="9" style="56"/>
    <col min="6145" max="6145" width="12" style="56" customWidth="1"/>
    <col min="6146" max="6154" width="9.625" style="56" customWidth="1"/>
    <col min="6155" max="6155" width="27.375" style="56" customWidth="1"/>
    <col min="6156" max="6156" width="11.25" style="56" customWidth="1"/>
    <col min="6157" max="6400" width="9" style="56"/>
    <col min="6401" max="6401" width="12" style="56" customWidth="1"/>
    <col min="6402" max="6410" width="9.625" style="56" customWidth="1"/>
    <col min="6411" max="6411" width="27.375" style="56" customWidth="1"/>
    <col min="6412" max="6412" width="11.25" style="56" customWidth="1"/>
    <col min="6413" max="6656" width="9" style="56"/>
    <col min="6657" max="6657" width="12" style="56" customWidth="1"/>
    <col min="6658" max="6666" width="9.625" style="56" customWidth="1"/>
    <col min="6667" max="6667" width="27.375" style="56" customWidth="1"/>
    <col min="6668" max="6668" width="11.25" style="56" customWidth="1"/>
    <col min="6669" max="6912" width="9" style="56"/>
    <col min="6913" max="6913" width="12" style="56" customWidth="1"/>
    <col min="6914" max="6922" width="9.625" style="56" customWidth="1"/>
    <col min="6923" max="6923" width="27.375" style="56" customWidth="1"/>
    <col min="6924" max="6924" width="11.25" style="56" customWidth="1"/>
    <col min="6925" max="7168" width="9" style="56"/>
    <col min="7169" max="7169" width="12" style="56" customWidth="1"/>
    <col min="7170" max="7178" width="9.625" style="56" customWidth="1"/>
    <col min="7179" max="7179" width="27.375" style="56" customWidth="1"/>
    <col min="7180" max="7180" width="11.25" style="56" customWidth="1"/>
    <col min="7181" max="7424" width="9" style="56"/>
    <col min="7425" max="7425" width="12" style="56" customWidth="1"/>
    <col min="7426" max="7434" width="9.625" style="56" customWidth="1"/>
    <col min="7435" max="7435" width="27.375" style="56" customWidth="1"/>
    <col min="7436" max="7436" width="11.25" style="56" customWidth="1"/>
    <col min="7437" max="7680" width="9" style="56"/>
    <col min="7681" max="7681" width="12" style="56" customWidth="1"/>
    <col min="7682" max="7690" width="9.625" style="56" customWidth="1"/>
    <col min="7691" max="7691" width="27.375" style="56" customWidth="1"/>
    <col min="7692" max="7692" width="11.25" style="56" customWidth="1"/>
    <col min="7693" max="7936" width="9" style="56"/>
    <col min="7937" max="7937" width="12" style="56" customWidth="1"/>
    <col min="7938" max="7946" width="9.625" style="56" customWidth="1"/>
    <col min="7947" max="7947" width="27.375" style="56" customWidth="1"/>
    <col min="7948" max="7948" width="11.25" style="56" customWidth="1"/>
    <col min="7949" max="8192" width="9" style="56"/>
    <col min="8193" max="8193" width="12" style="56" customWidth="1"/>
    <col min="8194" max="8202" width="9.625" style="56" customWidth="1"/>
    <col min="8203" max="8203" width="27.375" style="56" customWidth="1"/>
    <col min="8204" max="8204" width="11.25" style="56" customWidth="1"/>
    <col min="8205" max="8448" width="9" style="56"/>
    <col min="8449" max="8449" width="12" style="56" customWidth="1"/>
    <col min="8450" max="8458" width="9.625" style="56" customWidth="1"/>
    <col min="8459" max="8459" width="27.375" style="56" customWidth="1"/>
    <col min="8460" max="8460" width="11.25" style="56" customWidth="1"/>
    <col min="8461" max="8704" width="9" style="56"/>
    <col min="8705" max="8705" width="12" style="56" customWidth="1"/>
    <col min="8706" max="8714" width="9.625" style="56" customWidth="1"/>
    <col min="8715" max="8715" width="27.375" style="56" customWidth="1"/>
    <col min="8716" max="8716" width="11.25" style="56" customWidth="1"/>
    <col min="8717" max="8960" width="9" style="56"/>
    <col min="8961" max="8961" width="12" style="56" customWidth="1"/>
    <col min="8962" max="8970" width="9.625" style="56" customWidth="1"/>
    <col min="8971" max="8971" width="27.375" style="56" customWidth="1"/>
    <col min="8972" max="8972" width="11.25" style="56" customWidth="1"/>
    <col min="8973" max="9216" width="9" style="56"/>
    <col min="9217" max="9217" width="12" style="56" customWidth="1"/>
    <col min="9218" max="9226" width="9.625" style="56" customWidth="1"/>
    <col min="9227" max="9227" width="27.375" style="56" customWidth="1"/>
    <col min="9228" max="9228" width="11.25" style="56" customWidth="1"/>
    <col min="9229" max="9472" width="9" style="56"/>
    <col min="9473" max="9473" width="12" style="56" customWidth="1"/>
    <col min="9474" max="9482" width="9.625" style="56" customWidth="1"/>
    <col min="9483" max="9483" width="27.375" style="56" customWidth="1"/>
    <col min="9484" max="9484" width="11.25" style="56" customWidth="1"/>
    <col min="9485" max="9728" width="9" style="56"/>
    <col min="9729" max="9729" width="12" style="56" customWidth="1"/>
    <col min="9730" max="9738" width="9.625" style="56" customWidth="1"/>
    <col min="9739" max="9739" width="27.375" style="56" customWidth="1"/>
    <col min="9740" max="9740" width="11.25" style="56" customWidth="1"/>
    <col min="9741" max="9984" width="9" style="56"/>
    <col min="9985" max="9985" width="12" style="56" customWidth="1"/>
    <col min="9986" max="9994" width="9.625" style="56" customWidth="1"/>
    <col min="9995" max="9995" width="27.375" style="56" customWidth="1"/>
    <col min="9996" max="9996" width="11.25" style="56" customWidth="1"/>
    <col min="9997" max="10240" width="9" style="56"/>
    <col min="10241" max="10241" width="12" style="56" customWidth="1"/>
    <col min="10242" max="10250" width="9.625" style="56" customWidth="1"/>
    <col min="10251" max="10251" width="27.375" style="56" customWidth="1"/>
    <col min="10252" max="10252" width="11.25" style="56" customWidth="1"/>
    <col min="10253" max="10496" width="9" style="56"/>
    <col min="10497" max="10497" width="12" style="56" customWidth="1"/>
    <col min="10498" max="10506" width="9.625" style="56" customWidth="1"/>
    <col min="10507" max="10507" width="27.375" style="56" customWidth="1"/>
    <col min="10508" max="10508" width="11.25" style="56" customWidth="1"/>
    <col min="10509" max="10752" width="9" style="56"/>
    <col min="10753" max="10753" width="12" style="56" customWidth="1"/>
    <col min="10754" max="10762" width="9.625" style="56" customWidth="1"/>
    <col min="10763" max="10763" width="27.375" style="56" customWidth="1"/>
    <col min="10764" max="10764" width="11.25" style="56" customWidth="1"/>
    <col min="10765" max="11008" width="9" style="56"/>
    <col min="11009" max="11009" width="12" style="56" customWidth="1"/>
    <col min="11010" max="11018" width="9.625" style="56" customWidth="1"/>
    <col min="11019" max="11019" width="27.375" style="56" customWidth="1"/>
    <col min="11020" max="11020" width="11.25" style="56" customWidth="1"/>
    <col min="11021" max="11264" width="9" style="56"/>
    <col min="11265" max="11265" width="12" style="56" customWidth="1"/>
    <col min="11266" max="11274" width="9.625" style="56" customWidth="1"/>
    <col min="11275" max="11275" width="27.375" style="56" customWidth="1"/>
    <col min="11276" max="11276" width="11.25" style="56" customWidth="1"/>
    <col min="11277" max="11520" width="9" style="56"/>
    <col min="11521" max="11521" width="12" style="56" customWidth="1"/>
    <col min="11522" max="11530" width="9.625" style="56" customWidth="1"/>
    <col min="11531" max="11531" width="27.375" style="56" customWidth="1"/>
    <col min="11532" max="11532" width="11.25" style="56" customWidth="1"/>
    <col min="11533" max="11776" width="9" style="56"/>
    <col min="11777" max="11777" width="12" style="56" customWidth="1"/>
    <col min="11778" max="11786" width="9.625" style="56" customWidth="1"/>
    <col min="11787" max="11787" width="27.375" style="56" customWidth="1"/>
    <col min="11788" max="11788" width="11.25" style="56" customWidth="1"/>
    <col min="11789" max="12032" width="9" style="56"/>
    <col min="12033" max="12033" width="12" style="56" customWidth="1"/>
    <col min="12034" max="12042" width="9.625" style="56" customWidth="1"/>
    <col min="12043" max="12043" width="27.375" style="56" customWidth="1"/>
    <col min="12044" max="12044" width="11.25" style="56" customWidth="1"/>
    <col min="12045" max="12288" width="9" style="56"/>
    <col min="12289" max="12289" width="12" style="56" customWidth="1"/>
    <col min="12290" max="12298" width="9.625" style="56" customWidth="1"/>
    <col min="12299" max="12299" width="27.375" style="56" customWidth="1"/>
    <col min="12300" max="12300" width="11.25" style="56" customWidth="1"/>
    <col min="12301" max="12544" width="9" style="56"/>
    <col min="12545" max="12545" width="12" style="56" customWidth="1"/>
    <col min="12546" max="12554" width="9.625" style="56" customWidth="1"/>
    <col min="12555" max="12555" width="27.375" style="56" customWidth="1"/>
    <col min="12556" max="12556" width="11.25" style="56" customWidth="1"/>
    <col min="12557" max="12800" width="9" style="56"/>
    <col min="12801" max="12801" width="12" style="56" customWidth="1"/>
    <col min="12802" max="12810" width="9.625" style="56" customWidth="1"/>
    <col min="12811" max="12811" width="27.375" style="56" customWidth="1"/>
    <col min="12812" max="12812" width="11.25" style="56" customWidth="1"/>
    <col min="12813" max="13056" width="9" style="56"/>
    <col min="13057" max="13057" width="12" style="56" customWidth="1"/>
    <col min="13058" max="13066" width="9.625" style="56" customWidth="1"/>
    <col min="13067" max="13067" width="27.375" style="56" customWidth="1"/>
    <col min="13068" max="13068" width="11.25" style="56" customWidth="1"/>
    <col min="13069" max="13312" width="9" style="56"/>
    <col min="13313" max="13313" width="12" style="56" customWidth="1"/>
    <col min="13314" max="13322" width="9.625" style="56" customWidth="1"/>
    <col min="13323" max="13323" width="27.375" style="56" customWidth="1"/>
    <col min="13324" max="13324" width="11.25" style="56" customWidth="1"/>
    <col min="13325" max="13568" width="9" style="56"/>
    <col min="13569" max="13569" width="12" style="56" customWidth="1"/>
    <col min="13570" max="13578" width="9.625" style="56" customWidth="1"/>
    <col min="13579" max="13579" width="27.375" style="56" customWidth="1"/>
    <col min="13580" max="13580" width="11.25" style="56" customWidth="1"/>
    <col min="13581" max="13824" width="9" style="56"/>
    <col min="13825" max="13825" width="12" style="56" customWidth="1"/>
    <col min="13826" max="13834" width="9.625" style="56" customWidth="1"/>
    <col min="13835" max="13835" width="27.375" style="56" customWidth="1"/>
    <col min="13836" max="13836" width="11.25" style="56" customWidth="1"/>
    <col min="13837" max="14080" width="9" style="56"/>
    <col min="14081" max="14081" width="12" style="56" customWidth="1"/>
    <col min="14082" max="14090" width="9.625" style="56" customWidth="1"/>
    <col min="14091" max="14091" width="27.375" style="56" customWidth="1"/>
    <col min="14092" max="14092" width="11.25" style="56" customWidth="1"/>
    <col min="14093" max="14336" width="9" style="56"/>
    <col min="14337" max="14337" width="12" style="56" customWidth="1"/>
    <col min="14338" max="14346" width="9.625" style="56" customWidth="1"/>
    <col min="14347" max="14347" width="27.375" style="56" customWidth="1"/>
    <col min="14348" max="14348" width="11.25" style="56" customWidth="1"/>
    <col min="14349" max="14592" width="9" style="56"/>
    <col min="14593" max="14593" width="12" style="56" customWidth="1"/>
    <col min="14594" max="14602" width="9.625" style="56" customWidth="1"/>
    <col min="14603" max="14603" width="27.375" style="56" customWidth="1"/>
    <col min="14604" max="14604" width="11.25" style="56" customWidth="1"/>
    <col min="14605" max="14848" width="9" style="56"/>
    <col min="14849" max="14849" width="12" style="56" customWidth="1"/>
    <col min="14850" max="14858" width="9.625" style="56" customWidth="1"/>
    <col min="14859" max="14859" width="27.375" style="56" customWidth="1"/>
    <col min="14860" max="14860" width="11.25" style="56" customWidth="1"/>
    <col min="14861" max="15104" width="9" style="56"/>
    <col min="15105" max="15105" width="12" style="56" customWidth="1"/>
    <col min="15106" max="15114" width="9.625" style="56" customWidth="1"/>
    <col min="15115" max="15115" width="27.375" style="56" customWidth="1"/>
    <col min="15116" max="15116" width="11.25" style="56" customWidth="1"/>
    <col min="15117" max="15360" width="9" style="56"/>
    <col min="15361" max="15361" width="12" style="56" customWidth="1"/>
    <col min="15362" max="15370" width="9.625" style="56" customWidth="1"/>
    <col min="15371" max="15371" width="27.375" style="56" customWidth="1"/>
    <col min="15372" max="15372" width="11.25" style="56" customWidth="1"/>
    <col min="15373" max="15616" width="9" style="56"/>
    <col min="15617" max="15617" width="12" style="56" customWidth="1"/>
    <col min="15618" max="15626" width="9.625" style="56" customWidth="1"/>
    <col min="15627" max="15627" width="27.375" style="56" customWidth="1"/>
    <col min="15628" max="15628" width="11.25" style="56" customWidth="1"/>
    <col min="15629" max="15872" width="9" style="56"/>
    <col min="15873" max="15873" width="12" style="56" customWidth="1"/>
    <col min="15874" max="15882" width="9.625" style="56" customWidth="1"/>
    <col min="15883" max="15883" width="27.375" style="56" customWidth="1"/>
    <col min="15884" max="15884" width="11.25" style="56" customWidth="1"/>
    <col min="15885" max="16128" width="9" style="56"/>
    <col min="16129" max="16129" width="12" style="56" customWidth="1"/>
    <col min="16130" max="16138" width="9.625" style="56" customWidth="1"/>
    <col min="16139" max="16139" width="27.375" style="56" customWidth="1"/>
    <col min="16140" max="16140" width="11.25" style="56" customWidth="1"/>
    <col min="16141" max="16384" width="9" style="56"/>
  </cols>
  <sheetData>
    <row r="1" spans="1:12" ht="20.100000000000001" customHeight="1" x14ac:dyDescent="0.2">
      <c r="A1" s="55"/>
      <c r="B1" s="177" t="s">
        <v>582</v>
      </c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2" ht="20.100000000000001" customHeight="1" thickBot="1" x14ac:dyDescent="0.25">
      <c r="A2" s="55"/>
      <c r="B2" s="175" t="s">
        <v>583</v>
      </c>
      <c r="C2" s="175"/>
      <c r="D2" s="175"/>
      <c r="E2" s="175"/>
      <c r="F2" s="175"/>
      <c r="G2" s="175"/>
      <c r="H2" s="175"/>
      <c r="I2" s="175"/>
      <c r="J2" s="175"/>
      <c r="K2" s="175"/>
      <c r="L2" s="55"/>
    </row>
    <row r="3" spans="1:12" ht="13.5" thickBot="1" x14ac:dyDescent="0.25">
      <c r="A3" s="55"/>
      <c r="B3" s="176" t="s">
        <v>5</v>
      </c>
      <c r="C3" s="176"/>
      <c r="D3" s="176"/>
      <c r="E3" s="176" t="s">
        <v>162</v>
      </c>
      <c r="F3" s="176"/>
      <c r="G3" s="176"/>
      <c r="H3" s="176" t="s">
        <v>163</v>
      </c>
      <c r="I3" s="176"/>
      <c r="J3" s="176"/>
      <c r="K3" s="50"/>
      <c r="L3" s="55"/>
    </row>
    <row r="4" spans="1:12" ht="13.5" thickBot="1" x14ac:dyDescent="0.25">
      <c r="A4" s="55"/>
      <c r="B4" s="51" t="s">
        <v>216</v>
      </c>
      <c r="C4" s="51" t="s">
        <v>11</v>
      </c>
      <c r="D4" s="51" t="s">
        <v>10</v>
      </c>
      <c r="E4" s="51" t="s">
        <v>216</v>
      </c>
      <c r="F4" s="51" t="s">
        <v>11</v>
      </c>
      <c r="G4" s="51" t="s">
        <v>10</v>
      </c>
      <c r="H4" s="51" t="s">
        <v>216</v>
      </c>
      <c r="I4" s="51" t="s">
        <v>11</v>
      </c>
      <c r="J4" s="51" t="s">
        <v>10</v>
      </c>
      <c r="K4" s="52" t="s">
        <v>228</v>
      </c>
    </row>
    <row r="5" spans="1:12" ht="13.5" thickBot="1" x14ac:dyDescent="0.25">
      <c r="A5" s="55"/>
      <c r="B5" s="53">
        <f t="shared" ref="B5:D20" si="0">H5+E5</f>
        <v>310</v>
      </c>
      <c r="C5" s="53">
        <f t="shared" si="0"/>
        <v>119</v>
      </c>
      <c r="D5" s="53">
        <f>J5+G5</f>
        <v>191</v>
      </c>
      <c r="E5" s="53">
        <f>G5+F5</f>
        <v>17</v>
      </c>
      <c r="F5" s="53">
        <v>11</v>
      </c>
      <c r="G5" s="53">
        <v>6</v>
      </c>
      <c r="H5" s="53">
        <f>J5+I5</f>
        <v>293</v>
      </c>
      <c r="I5" s="53">
        <v>108</v>
      </c>
      <c r="J5" s="53">
        <v>185</v>
      </c>
      <c r="K5" s="54" t="s">
        <v>182</v>
      </c>
      <c r="L5" s="55"/>
    </row>
    <row r="6" spans="1:12" ht="13.5" thickBot="1" x14ac:dyDescent="0.25">
      <c r="A6" s="55"/>
      <c r="B6" s="53">
        <f t="shared" si="0"/>
        <v>3071</v>
      </c>
      <c r="C6" s="53">
        <f t="shared" si="0"/>
        <v>0</v>
      </c>
      <c r="D6" s="53">
        <f t="shared" si="0"/>
        <v>3071</v>
      </c>
      <c r="E6" s="53">
        <f t="shared" ref="E6:E24" si="1">G6+F6</f>
        <v>50</v>
      </c>
      <c r="F6" s="53">
        <v>0</v>
      </c>
      <c r="G6" s="53">
        <v>50</v>
      </c>
      <c r="H6" s="53">
        <f t="shared" ref="H6:H24" si="2">J6+I6</f>
        <v>3021</v>
      </c>
      <c r="I6" s="53">
        <v>0</v>
      </c>
      <c r="J6" s="53">
        <v>3021</v>
      </c>
      <c r="K6" s="54" t="s">
        <v>183</v>
      </c>
      <c r="L6" s="55"/>
    </row>
    <row r="7" spans="1:12" ht="13.5" thickBot="1" x14ac:dyDescent="0.25">
      <c r="A7" s="55"/>
      <c r="B7" s="53">
        <f t="shared" si="0"/>
        <v>166</v>
      </c>
      <c r="C7" s="53">
        <f t="shared" si="0"/>
        <v>0</v>
      </c>
      <c r="D7" s="53">
        <f t="shared" si="0"/>
        <v>166</v>
      </c>
      <c r="E7" s="53">
        <f t="shared" si="1"/>
        <v>24</v>
      </c>
      <c r="F7" s="53">
        <v>0</v>
      </c>
      <c r="G7" s="53">
        <v>24</v>
      </c>
      <c r="H7" s="53">
        <f t="shared" si="2"/>
        <v>142</v>
      </c>
      <c r="I7" s="53">
        <v>0</v>
      </c>
      <c r="J7" s="53">
        <v>142</v>
      </c>
      <c r="K7" s="54" t="s">
        <v>184</v>
      </c>
      <c r="L7" s="55"/>
    </row>
    <row r="8" spans="1:12" ht="13.5" thickBot="1" x14ac:dyDescent="0.25">
      <c r="A8" s="55"/>
      <c r="B8" s="53">
        <f t="shared" si="0"/>
        <v>1591</v>
      </c>
      <c r="C8" s="53">
        <f t="shared" si="0"/>
        <v>541</v>
      </c>
      <c r="D8" s="53">
        <f t="shared" si="0"/>
        <v>1050</v>
      </c>
      <c r="E8" s="53">
        <f t="shared" si="1"/>
        <v>18</v>
      </c>
      <c r="F8" s="53">
        <v>8</v>
      </c>
      <c r="G8" s="53">
        <v>10</v>
      </c>
      <c r="H8" s="53">
        <f t="shared" si="2"/>
        <v>1573</v>
      </c>
      <c r="I8" s="53">
        <v>533</v>
      </c>
      <c r="J8" s="53">
        <v>1040</v>
      </c>
      <c r="K8" s="54" t="s">
        <v>185</v>
      </c>
      <c r="L8" s="55"/>
    </row>
    <row r="9" spans="1:12" ht="13.5" thickBot="1" x14ac:dyDescent="0.25">
      <c r="A9" s="55"/>
      <c r="B9" s="53">
        <f t="shared" si="0"/>
        <v>143</v>
      </c>
      <c r="C9" s="53">
        <f t="shared" si="0"/>
        <v>0</v>
      </c>
      <c r="D9" s="53">
        <f t="shared" si="0"/>
        <v>143</v>
      </c>
      <c r="E9" s="53">
        <f t="shared" si="1"/>
        <v>1</v>
      </c>
      <c r="F9" s="53">
        <v>0</v>
      </c>
      <c r="G9" s="53">
        <v>1</v>
      </c>
      <c r="H9" s="53">
        <f t="shared" si="2"/>
        <v>142</v>
      </c>
      <c r="I9" s="53">
        <v>0</v>
      </c>
      <c r="J9" s="53">
        <v>142</v>
      </c>
      <c r="K9" s="54" t="s">
        <v>186</v>
      </c>
      <c r="L9" s="55"/>
    </row>
    <row r="10" spans="1:12" ht="13.5" thickBot="1" x14ac:dyDescent="0.25">
      <c r="A10" s="55"/>
      <c r="B10" s="53">
        <f t="shared" si="0"/>
        <v>3409</v>
      </c>
      <c r="C10" s="53">
        <f t="shared" si="0"/>
        <v>1036</v>
      </c>
      <c r="D10" s="53">
        <f t="shared" si="0"/>
        <v>2373</v>
      </c>
      <c r="E10" s="53">
        <f t="shared" si="1"/>
        <v>245</v>
      </c>
      <c r="F10" s="53">
        <v>0</v>
      </c>
      <c r="G10" s="53">
        <f>481-100-136</f>
        <v>245</v>
      </c>
      <c r="H10" s="53">
        <f t="shared" si="2"/>
        <v>3164</v>
      </c>
      <c r="I10" s="53">
        <f>540+496</f>
        <v>1036</v>
      </c>
      <c r="J10" s="53">
        <f>1892+100+136</f>
        <v>2128</v>
      </c>
      <c r="K10" s="54" t="s">
        <v>187</v>
      </c>
      <c r="L10" s="55"/>
    </row>
    <row r="11" spans="1:12" ht="13.5" thickBot="1" x14ac:dyDescent="0.25">
      <c r="A11" s="55"/>
      <c r="B11" s="53">
        <f t="shared" si="0"/>
        <v>808</v>
      </c>
      <c r="C11" s="53">
        <f t="shared" si="0"/>
        <v>92</v>
      </c>
      <c r="D11" s="53">
        <f t="shared" si="0"/>
        <v>716</v>
      </c>
      <c r="E11" s="53">
        <f t="shared" si="1"/>
        <v>13</v>
      </c>
      <c r="F11" s="53">
        <v>7</v>
      </c>
      <c r="G11" s="53">
        <v>6</v>
      </c>
      <c r="H11" s="53">
        <f t="shared" si="2"/>
        <v>795</v>
      </c>
      <c r="I11" s="53">
        <v>85</v>
      </c>
      <c r="J11" s="53">
        <v>710</v>
      </c>
      <c r="K11" s="54" t="s">
        <v>188</v>
      </c>
      <c r="L11" s="55"/>
    </row>
    <row r="12" spans="1:12" ht="13.5" thickBot="1" x14ac:dyDescent="0.25">
      <c r="A12" s="55"/>
      <c r="B12" s="53">
        <f t="shared" si="0"/>
        <v>114</v>
      </c>
      <c r="C12" s="53">
        <f t="shared" si="0"/>
        <v>53</v>
      </c>
      <c r="D12" s="53">
        <f t="shared" si="0"/>
        <v>61</v>
      </c>
      <c r="E12" s="53">
        <f t="shared" si="1"/>
        <v>13</v>
      </c>
      <c r="F12" s="53">
        <v>0</v>
      </c>
      <c r="G12" s="53">
        <v>13</v>
      </c>
      <c r="H12" s="53">
        <f t="shared" si="2"/>
        <v>101</v>
      </c>
      <c r="I12" s="53">
        <v>53</v>
      </c>
      <c r="J12" s="53">
        <v>48</v>
      </c>
      <c r="K12" s="54" t="s">
        <v>189</v>
      </c>
      <c r="L12" s="55"/>
    </row>
    <row r="13" spans="1:12" ht="13.5" thickBot="1" x14ac:dyDescent="0.25">
      <c r="A13" s="55"/>
      <c r="B13" s="53">
        <f t="shared" si="0"/>
        <v>3083</v>
      </c>
      <c r="C13" s="53">
        <f t="shared" si="0"/>
        <v>328</v>
      </c>
      <c r="D13" s="53">
        <f t="shared" si="0"/>
        <v>2755</v>
      </c>
      <c r="E13" s="53">
        <f t="shared" si="1"/>
        <v>87</v>
      </c>
      <c r="F13" s="53">
        <v>7</v>
      </c>
      <c r="G13" s="53">
        <v>80</v>
      </c>
      <c r="H13" s="53">
        <f t="shared" si="2"/>
        <v>2996</v>
      </c>
      <c r="I13" s="53">
        <v>321</v>
      </c>
      <c r="J13" s="53">
        <v>2675</v>
      </c>
      <c r="K13" s="54" t="s">
        <v>190</v>
      </c>
      <c r="L13" s="55"/>
    </row>
    <row r="14" spans="1:12" ht="13.5" thickBot="1" x14ac:dyDescent="0.25">
      <c r="A14" s="55"/>
      <c r="B14" s="53">
        <f t="shared" si="0"/>
        <v>75</v>
      </c>
      <c r="C14" s="53">
        <f t="shared" si="0"/>
        <v>0</v>
      </c>
      <c r="D14" s="53">
        <f t="shared" si="0"/>
        <v>75</v>
      </c>
      <c r="E14" s="53">
        <f t="shared" si="1"/>
        <v>0</v>
      </c>
      <c r="F14" s="53">
        <v>0</v>
      </c>
      <c r="G14" s="53">
        <v>0</v>
      </c>
      <c r="H14" s="53">
        <f t="shared" si="2"/>
        <v>75</v>
      </c>
      <c r="I14" s="53">
        <v>0</v>
      </c>
      <c r="J14" s="53">
        <v>75</v>
      </c>
      <c r="K14" s="54" t="s">
        <v>191</v>
      </c>
      <c r="L14" s="55"/>
    </row>
    <row r="15" spans="1:12" ht="13.5" thickBot="1" x14ac:dyDescent="0.25">
      <c r="A15" s="55"/>
      <c r="B15" s="53">
        <f t="shared" si="0"/>
        <v>398</v>
      </c>
      <c r="C15" s="53">
        <f t="shared" si="0"/>
        <v>309</v>
      </c>
      <c r="D15" s="53">
        <f t="shared" si="0"/>
        <v>89</v>
      </c>
      <c r="E15" s="53">
        <f t="shared" si="1"/>
        <v>0</v>
      </c>
      <c r="F15" s="53">
        <v>0</v>
      </c>
      <c r="G15" s="53">
        <v>0</v>
      </c>
      <c r="H15" s="53">
        <f t="shared" si="2"/>
        <v>398</v>
      </c>
      <c r="I15" s="53">
        <v>309</v>
      </c>
      <c r="J15" s="53">
        <v>89</v>
      </c>
      <c r="K15" s="54" t="s">
        <v>192</v>
      </c>
      <c r="L15" s="55"/>
    </row>
    <row r="16" spans="1:12" ht="13.5" thickBot="1" x14ac:dyDescent="0.25">
      <c r="A16" s="55"/>
      <c r="B16" s="53">
        <f t="shared" si="0"/>
        <v>85</v>
      </c>
      <c r="C16" s="53">
        <f t="shared" si="0"/>
        <v>0</v>
      </c>
      <c r="D16" s="53">
        <f t="shared" si="0"/>
        <v>85</v>
      </c>
      <c r="E16" s="53">
        <f t="shared" si="1"/>
        <v>2</v>
      </c>
      <c r="F16" s="53">
        <v>0</v>
      </c>
      <c r="G16" s="53">
        <v>2</v>
      </c>
      <c r="H16" s="53">
        <f t="shared" si="2"/>
        <v>83</v>
      </c>
      <c r="I16" s="53">
        <v>0</v>
      </c>
      <c r="J16" s="53">
        <v>83</v>
      </c>
      <c r="K16" s="54" t="s">
        <v>193</v>
      </c>
      <c r="L16" s="55"/>
    </row>
    <row r="17" spans="1:12" ht="13.5" thickBot="1" x14ac:dyDescent="0.25">
      <c r="A17" s="55"/>
      <c r="B17" s="53">
        <f t="shared" si="0"/>
        <v>4845</v>
      </c>
      <c r="C17" s="53">
        <f t="shared" si="0"/>
        <v>2445</v>
      </c>
      <c r="D17" s="53">
        <f t="shared" si="0"/>
        <v>2400</v>
      </c>
      <c r="E17" s="53">
        <f t="shared" si="1"/>
        <v>163</v>
      </c>
      <c r="F17" s="53">
        <f>62+38</f>
        <v>100</v>
      </c>
      <c r="G17" s="53">
        <f>113-50</f>
        <v>63</v>
      </c>
      <c r="H17" s="53">
        <f t="shared" si="2"/>
        <v>4682</v>
      </c>
      <c r="I17" s="53">
        <f>2383-38</f>
        <v>2345</v>
      </c>
      <c r="J17" s="53">
        <f>2287+50</f>
        <v>2337</v>
      </c>
      <c r="K17" s="54" t="s">
        <v>195</v>
      </c>
      <c r="L17" s="55"/>
    </row>
    <row r="18" spans="1:12" ht="13.5" thickBot="1" x14ac:dyDescent="0.25">
      <c r="A18" s="55"/>
      <c r="B18" s="53">
        <f t="shared" si="0"/>
        <v>2986</v>
      </c>
      <c r="C18" s="53">
        <f t="shared" si="0"/>
        <v>0</v>
      </c>
      <c r="D18" s="53">
        <f t="shared" si="0"/>
        <v>2986</v>
      </c>
      <c r="E18" s="53">
        <f t="shared" si="1"/>
        <v>58</v>
      </c>
      <c r="F18" s="53">
        <v>0</v>
      </c>
      <c r="G18" s="53">
        <v>58</v>
      </c>
      <c r="H18" s="53">
        <f t="shared" si="2"/>
        <v>2928</v>
      </c>
      <c r="I18" s="53">
        <v>0</v>
      </c>
      <c r="J18" s="53">
        <v>2928</v>
      </c>
      <c r="K18" s="54" t="s">
        <v>196</v>
      </c>
      <c r="L18" s="55"/>
    </row>
    <row r="19" spans="1:12" ht="13.5" thickBot="1" x14ac:dyDescent="0.25">
      <c r="A19" s="55"/>
      <c r="B19" s="53">
        <f t="shared" si="0"/>
        <v>241</v>
      </c>
      <c r="C19" s="53">
        <f t="shared" si="0"/>
        <v>0</v>
      </c>
      <c r="D19" s="53">
        <f t="shared" si="0"/>
        <v>241</v>
      </c>
      <c r="E19" s="53">
        <f t="shared" si="1"/>
        <v>1</v>
      </c>
      <c r="F19" s="53">
        <v>0</v>
      </c>
      <c r="G19" s="53">
        <v>1</v>
      </c>
      <c r="H19" s="53">
        <f t="shared" si="2"/>
        <v>240</v>
      </c>
      <c r="I19" s="53">
        <v>0</v>
      </c>
      <c r="J19" s="53">
        <v>240</v>
      </c>
      <c r="K19" s="54" t="s">
        <v>197</v>
      </c>
      <c r="L19" s="55"/>
    </row>
    <row r="20" spans="1:12" ht="13.5" thickBot="1" x14ac:dyDescent="0.25">
      <c r="A20" s="55"/>
      <c r="B20" s="53">
        <f t="shared" si="0"/>
        <v>260</v>
      </c>
      <c r="C20" s="53">
        <f t="shared" si="0"/>
        <v>0</v>
      </c>
      <c r="D20" s="53">
        <f t="shared" si="0"/>
        <v>260</v>
      </c>
      <c r="E20" s="53">
        <f t="shared" si="1"/>
        <v>0</v>
      </c>
      <c r="F20" s="53">
        <v>0</v>
      </c>
      <c r="G20" s="53">
        <v>0</v>
      </c>
      <c r="H20" s="53">
        <f t="shared" si="2"/>
        <v>260</v>
      </c>
      <c r="I20" s="53">
        <v>0</v>
      </c>
      <c r="J20" s="53">
        <v>260</v>
      </c>
      <c r="K20" s="54" t="s">
        <v>198</v>
      </c>
      <c r="L20" s="55"/>
    </row>
    <row r="21" spans="1:12" ht="13.5" thickBot="1" x14ac:dyDescent="0.25">
      <c r="A21" s="55"/>
      <c r="B21" s="53">
        <f t="shared" ref="B21:D24" si="3">H21+E21</f>
        <v>186</v>
      </c>
      <c r="C21" s="53">
        <f t="shared" si="3"/>
        <v>0</v>
      </c>
      <c r="D21" s="53">
        <f t="shared" si="3"/>
        <v>186</v>
      </c>
      <c r="E21" s="53">
        <f t="shared" si="1"/>
        <v>0</v>
      </c>
      <c r="F21" s="53">
        <v>0</v>
      </c>
      <c r="G21" s="53">
        <v>0</v>
      </c>
      <c r="H21" s="53">
        <f t="shared" si="2"/>
        <v>186</v>
      </c>
      <c r="I21" s="53">
        <v>0</v>
      </c>
      <c r="J21" s="53">
        <v>186</v>
      </c>
      <c r="K21" s="54" t="s">
        <v>199</v>
      </c>
      <c r="L21" s="55"/>
    </row>
    <row r="22" spans="1:12" ht="13.5" thickBot="1" x14ac:dyDescent="0.25">
      <c r="A22" s="55"/>
      <c r="B22" s="53">
        <f t="shared" si="3"/>
        <v>3410</v>
      </c>
      <c r="C22" s="53">
        <f t="shared" si="3"/>
        <v>1231</v>
      </c>
      <c r="D22" s="53">
        <f t="shared" si="3"/>
        <v>2179</v>
      </c>
      <c r="E22" s="53">
        <f t="shared" si="1"/>
        <v>136</v>
      </c>
      <c r="F22" s="53">
        <v>65</v>
      </c>
      <c r="G22" s="53">
        <f>121-50</f>
        <v>71</v>
      </c>
      <c r="H22" s="53">
        <f t="shared" si="2"/>
        <v>3274</v>
      </c>
      <c r="I22" s="53">
        <v>1166</v>
      </c>
      <c r="J22" s="53">
        <f>2058+50</f>
        <v>2108</v>
      </c>
      <c r="K22" s="54" t="s">
        <v>201</v>
      </c>
      <c r="L22" s="55"/>
    </row>
    <row r="23" spans="1:12" ht="13.5" thickBot="1" x14ac:dyDescent="0.25">
      <c r="A23" s="55"/>
      <c r="B23" s="53">
        <f t="shared" si="3"/>
        <v>236</v>
      </c>
      <c r="C23" s="53">
        <f t="shared" si="3"/>
        <v>0</v>
      </c>
      <c r="D23" s="53">
        <f t="shared" si="3"/>
        <v>236</v>
      </c>
      <c r="E23" s="53">
        <f t="shared" si="1"/>
        <v>0</v>
      </c>
      <c r="F23" s="53">
        <v>0</v>
      </c>
      <c r="G23" s="53">
        <v>0</v>
      </c>
      <c r="H23" s="53">
        <f t="shared" si="2"/>
        <v>236</v>
      </c>
      <c r="I23" s="53">
        <v>0</v>
      </c>
      <c r="J23" s="53">
        <v>236</v>
      </c>
      <c r="K23" s="54" t="s">
        <v>202</v>
      </c>
      <c r="L23" s="55"/>
    </row>
    <row r="24" spans="1:12" ht="13.5" thickBot="1" x14ac:dyDescent="0.25">
      <c r="A24" s="55"/>
      <c r="B24" s="53">
        <f t="shared" si="3"/>
        <v>57</v>
      </c>
      <c r="C24" s="53">
        <f t="shared" si="3"/>
        <v>0</v>
      </c>
      <c r="D24" s="53">
        <f t="shared" si="3"/>
        <v>57</v>
      </c>
      <c r="E24" s="53">
        <f t="shared" si="1"/>
        <v>0</v>
      </c>
      <c r="F24" s="53">
        <v>0</v>
      </c>
      <c r="G24" s="53">
        <v>0</v>
      </c>
      <c r="H24" s="53">
        <f t="shared" si="2"/>
        <v>57</v>
      </c>
      <c r="I24" s="53">
        <v>0</v>
      </c>
      <c r="J24" s="53">
        <v>57</v>
      </c>
      <c r="K24" s="54" t="s">
        <v>203</v>
      </c>
      <c r="L24" s="55"/>
    </row>
    <row r="25" spans="1:12" ht="13.5" thickBot="1" x14ac:dyDescent="0.25">
      <c r="A25" s="55"/>
      <c r="B25" s="53">
        <f t="shared" ref="B25:J25" si="4">SUM(B5:B24)</f>
        <v>25474</v>
      </c>
      <c r="C25" s="53">
        <f t="shared" si="4"/>
        <v>6154</v>
      </c>
      <c r="D25" s="53">
        <f t="shared" si="4"/>
        <v>19320</v>
      </c>
      <c r="E25" s="53">
        <f t="shared" si="4"/>
        <v>828</v>
      </c>
      <c r="F25" s="53">
        <f t="shared" si="4"/>
        <v>198</v>
      </c>
      <c r="G25" s="53">
        <f t="shared" si="4"/>
        <v>630</v>
      </c>
      <c r="H25" s="53">
        <f t="shared" si="4"/>
        <v>24646</v>
      </c>
      <c r="I25" s="53">
        <f t="shared" si="4"/>
        <v>5956</v>
      </c>
      <c r="J25" s="53">
        <f t="shared" si="4"/>
        <v>18690</v>
      </c>
      <c r="K25" s="52" t="s">
        <v>211</v>
      </c>
      <c r="L25" s="55"/>
    </row>
    <row r="27" spans="1:12" x14ac:dyDescent="0.2">
      <c r="B27" s="105"/>
      <c r="C27" s="105"/>
      <c r="D27" s="105"/>
      <c r="E27" s="105"/>
      <c r="F27" s="105"/>
      <c r="G27" s="105"/>
      <c r="H27" s="105"/>
      <c r="I27" s="105"/>
      <c r="J27" s="105"/>
    </row>
    <row r="28" spans="1:12" x14ac:dyDescent="0.2">
      <c r="B28" s="112"/>
      <c r="C28" s="112"/>
      <c r="D28" s="112"/>
      <c r="E28" s="112"/>
      <c r="F28" s="105"/>
      <c r="G28" s="112"/>
      <c r="H28" s="112"/>
      <c r="I28" s="105"/>
      <c r="J28" s="112"/>
    </row>
    <row r="29" spans="1:12" x14ac:dyDescent="0.2">
      <c r="B29" s="106"/>
      <c r="C29" s="106"/>
      <c r="D29" s="106"/>
      <c r="E29" s="106"/>
      <c r="F29" s="106"/>
      <c r="G29" s="106"/>
      <c r="H29" s="106"/>
      <c r="I29" s="106"/>
      <c r="J29" s="106"/>
    </row>
    <row r="35" spans="14:14" x14ac:dyDescent="0.2">
      <c r="N35" s="55"/>
    </row>
  </sheetData>
  <mergeCells count="5">
    <mergeCell ref="B1:K1"/>
    <mergeCell ref="B2:K2"/>
    <mergeCell ref="B3:D3"/>
    <mergeCell ref="E3:G3"/>
    <mergeCell ref="H3:J3"/>
  </mergeCells>
  <pageMargins left="0.4" right="0.4" top="0.25" bottom="0.25" header="0.25" footer="0.25"/>
  <pageSetup paperSize="9" scale="98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76"/>
  <sheetViews>
    <sheetView showGridLines="0" topLeftCell="A16" zoomScaleNormal="100" zoomScaleSheetLayoutView="90" workbookViewId="0">
      <selection activeCell="G206" sqref="G206"/>
    </sheetView>
  </sheetViews>
  <sheetFormatPr defaultRowHeight="12.75" customHeight="1" x14ac:dyDescent="0.2"/>
  <cols>
    <col min="1" max="9" width="9.625" style="56" customWidth="1"/>
    <col min="10" max="10" width="5.75" style="56" bestFit="1" customWidth="1"/>
    <col min="11" max="11" width="31.25" style="56" bestFit="1" customWidth="1"/>
    <col min="12" max="12" width="2" style="56" customWidth="1"/>
    <col min="13" max="256" width="9" style="56"/>
    <col min="257" max="265" width="9.625" style="56" customWidth="1"/>
    <col min="266" max="266" width="5.75" style="56" bestFit="1" customWidth="1"/>
    <col min="267" max="267" width="31.25" style="56" bestFit="1" customWidth="1"/>
    <col min="268" max="268" width="2" style="56" customWidth="1"/>
    <col min="269" max="512" width="9" style="56"/>
    <col min="513" max="521" width="9.625" style="56" customWidth="1"/>
    <col min="522" max="522" width="5.75" style="56" bestFit="1" customWidth="1"/>
    <col min="523" max="523" width="31.25" style="56" bestFit="1" customWidth="1"/>
    <col min="524" max="524" width="2" style="56" customWidth="1"/>
    <col min="525" max="768" width="9" style="56"/>
    <col min="769" max="777" width="9.625" style="56" customWidth="1"/>
    <col min="778" max="778" width="5.75" style="56" bestFit="1" customWidth="1"/>
    <col min="779" max="779" width="31.25" style="56" bestFit="1" customWidth="1"/>
    <col min="780" max="780" width="2" style="56" customWidth="1"/>
    <col min="781" max="1024" width="9" style="56"/>
    <col min="1025" max="1033" width="9.625" style="56" customWidth="1"/>
    <col min="1034" max="1034" width="5.75" style="56" bestFit="1" customWidth="1"/>
    <col min="1035" max="1035" width="31.25" style="56" bestFit="1" customWidth="1"/>
    <col min="1036" max="1036" width="2" style="56" customWidth="1"/>
    <col min="1037" max="1280" width="9" style="56"/>
    <col min="1281" max="1289" width="9.625" style="56" customWidth="1"/>
    <col min="1290" max="1290" width="5.75" style="56" bestFit="1" customWidth="1"/>
    <col min="1291" max="1291" width="31.25" style="56" bestFit="1" customWidth="1"/>
    <col min="1292" max="1292" width="2" style="56" customWidth="1"/>
    <col min="1293" max="1536" width="9" style="56"/>
    <col min="1537" max="1545" width="9.625" style="56" customWidth="1"/>
    <col min="1546" max="1546" width="5.75" style="56" bestFit="1" customWidth="1"/>
    <col min="1547" max="1547" width="31.25" style="56" bestFit="1" customWidth="1"/>
    <col min="1548" max="1548" width="2" style="56" customWidth="1"/>
    <col min="1549" max="1792" width="9" style="56"/>
    <col min="1793" max="1801" width="9.625" style="56" customWidth="1"/>
    <col min="1802" max="1802" width="5.75" style="56" bestFit="1" customWidth="1"/>
    <col min="1803" max="1803" width="31.25" style="56" bestFit="1" customWidth="1"/>
    <col min="1804" max="1804" width="2" style="56" customWidth="1"/>
    <col min="1805" max="2048" width="9" style="56"/>
    <col min="2049" max="2057" width="9.625" style="56" customWidth="1"/>
    <col min="2058" max="2058" width="5.75" style="56" bestFit="1" customWidth="1"/>
    <col min="2059" max="2059" width="31.25" style="56" bestFit="1" customWidth="1"/>
    <col min="2060" max="2060" width="2" style="56" customWidth="1"/>
    <col min="2061" max="2304" width="9" style="56"/>
    <col min="2305" max="2313" width="9.625" style="56" customWidth="1"/>
    <col min="2314" max="2314" width="5.75" style="56" bestFit="1" customWidth="1"/>
    <col min="2315" max="2315" width="31.25" style="56" bestFit="1" customWidth="1"/>
    <col min="2316" max="2316" width="2" style="56" customWidth="1"/>
    <col min="2317" max="2560" width="9" style="56"/>
    <col min="2561" max="2569" width="9.625" style="56" customWidth="1"/>
    <col min="2570" max="2570" width="5.75" style="56" bestFit="1" customWidth="1"/>
    <col min="2571" max="2571" width="31.25" style="56" bestFit="1" customWidth="1"/>
    <col min="2572" max="2572" width="2" style="56" customWidth="1"/>
    <col min="2573" max="2816" width="9" style="56"/>
    <col min="2817" max="2825" width="9.625" style="56" customWidth="1"/>
    <col min="2826" max="2826" width="5.75" style="56" bestFit="1" customWidth="1"/>
    <col min="2827" max="2827" width="31.25" style="56" bestFit="1" customWidth="1"/>
    <col min="2828" max="2828" width="2" style="56" customWidth="1"/>
    <col min="2829" max="3072" width="9" style="56"/>
    <col min="3073" max="3081" width="9.625" style="56" customWidth="1"/>
    <col min="3082" max="3082" width="5.75" style="56" bestFit="1" customWidth="1"/>
    <col min="3083" max="3083" width="31.25" style="56" bestFit="1" customWidth="1"/>
    <col min="3084" max="3084" width="2" style="56" customWidth="1"/>
    <col min="3085" max="3328" width="9" style="56"/>
    <col min="3329" max="3337" width="9.625" style="56" customWidth="1"/>
    <col min="3338" max="3338" width="5.75" style="56" bestFit="1" customWidth="1"/>
    <col min="3339" max="3339" width="31.25" style="56" bestFit="1" customWidth="1"/>
    <col min="3340" max="3340" width="2" style="56" customWidth="1"/>
    <col min="3341" max="3584" width="9" style="56"/>
    <col min="3585" max="3593" width="9.625" style="56" customWidth="1"/>
    <col min="3594" max="3594" width="5.75" style="56" bestFit="1" customWidth="1"/>
    <col min="3595" max="3595" width="31.25" style="56" bestFit="1" customWidth="1"/>
    <col min="3596" max="3596" width="2" style="56" customWidth="1"/>
    <col min="3597" max="3840" width="9" style="56"/>
    <col min="3841" max="3849" width="9.625" style="56" customWidth="1"/>
    <col min="3850" max="3850" width="5.75" style="56" bestFit="1" customWidth="1"/>
    <col min="3851" max="3851" width="31.25" style="56" bestFit="1" customWidth="1"/>
    <col min="3852" max="3852" width="2" style="56" customWidth="1"/>
    <col min="3853" max="4096" width="9" style="56"/>
    <col min="4097" max="4105" width="9.625" style="56" customWidth="1"/>
    <col min="4106" max="4106" width="5.75" style="56" bestFit="1" customWidth="1"/>
    <col min="4107" max="4107" width="31.25" style="56" bestFit="1" customWidth="1"/>
    <col min="4108" max="4108" width="2" style="56" customWidth="1"/>
    <col min="4109" max="4352" width="9" style="56"/>
    <col min="4353" max="4361" width="9.625" style="56" customWidth="1"/>
    <col min="4362" max="4362" width="5.75" style="56" bestFit="1" customWidth="1"/>
    <col min="4363" max="4363" width="31.25" style="56" bestFit="1" customWidth="1"/>
    <col min="4364" max="4364" width="2" style="56" customWidth="1"/>
    <col min="4365" max="4608" width="9" style="56"/>
    <col min="4609" max="4617" width="9.625" style="56" customWidth="1"/>
    <col min="4618" max="4618" width="5.75" style="56" bestFit="1" customWidth="1"/>
    <col min="4619" max="4619" width="31.25" style="56" bestFit="1" customWidth="1"/>
    <col min="4620" max="4620" width="2" style="56" customWidth="1"/>
    <col min="4621" max="4864" width="9" style="56"/>
    <col min="4865" max="4873" width="9.625" style="56" customWidth="1"/>
    <col min="4874" max="4874" width="5.75" style="56" bestFit="1" customWidth="1"/>
    <col min="4875" max="4875" width="31.25" style="56" bestFit="1" customWidth="1"/>
    <col min="4876" max="4876" width="2" style="56" customWidth="1"/>
    <col min="4877" max="5120" width="9" style="56"/>
    <col min="5121" max="5129" width="9.625" style="56" customWidth="1"/>
    <col min="5130" max="5130" width="5.75" style="56" bestFit="1" customWidth="1"/>
    <col min="5131" max="5131" width="31.25" style="56" bestFit="1" customWidth="1"/>
    <col min="5132" max="5132" width="2" style="56" customWidth="1"/>
    <col min="5133" max="5376" width="9" style="56"/>
    <col min="5377" max="5385" width="9.625" style="56" customWidth="1"/>
    <col min="5386" max="5386" width="5.75" style="56" bestFit="1" customWidth="1"/>
    <col min="5387" max="5387" width="31.25" style="56" bestFit="1" customWidth="1"/>
    <col min="5388" max="5388" width="2" style="56" customWidth="1"/>
    <col min="5389" max="5632" width="9" style="56"/>
    <col min="5633" max="5641" width="9.625" style="56" customWidth="1"/>
    <col min="5642" max="5642" width="5.75" style="56" bestFit="1" customWidth="1"/>
    <col min="5643" max="5643" width="31.25" style="56" bestFit="1" customWidth="1"/>
    <col min="5644" max="5644" width="2" style="56" customWidth="1"/>
    <col min="5645" max="5888" width="9" style="56"/>
    <col min="5889" max="5897" width="9.625" style="56" customWidth="1"/>
    <col min="5898" max="5898" width="5.75" style="56" bestFit="1" customWidth="1"/>
    <col min="5899" max="5899" width="31.25" style="56" bestFit="1" customWidth="1"/>
    <col min="5900" max="5900" width="2" style="56" customWidth="1"/>
    <col min="5901" max="6144" width="9" style="56"/>
    <col min="6145" max="6153" width="9.625" style="56" customWidth="1"/>
    <col min="6154" max="6154" width="5.75" style="56" bestFit="1" customWidth="1"/>
    <col min="6155" max="6155" width="31.25" style="56" bestFit="1" customWidth="1"/>
    <col min="6156" max="6156" width="2" style="56" customWidth="1"/>
    <col min="6157" max="6400" width="9" style="56"/>
    <col min="6401" max="6409" width="9.625" style="56" customWidth="1"/>
    <col min="6410" max="6410" width="5.75" style="56" bestFit="1" customWidth="1"/>
    <col min="6411" max="6411" width="31.25" style="56" bestFit="1" customWidth="1"/>
    <col min="6412" max="6412" width="2" style="56" customWidth="1"/>
    <col min="6413" max="6656" width="9" style="56"/>
    <col min="6657" max="6665" width="9.625" style="56" customWidth="1"/>
    <col min="6666" max="6666" width="5.75" style="56" bestFit="1" customWidth="1"/>
    <col min="6667" max="6667" width="31.25" style="56" bestFit="1" customWidth="1"/>
    <col min="6668" max="6668" width="2" style="56" customWidth="1"/>
    <col min="6669" max="6912" width="9" style="56"/>
    <col min="6913" max="6921" width="9.625" style="56" customWidth="1"/>
    <col min="6922" max="6922" width="5.75" style="56" bestFit="1" customWidth="1"/>
    <col min="6923" max="6923" width="31.25" style="56" bestFit="1" customWidth="1"/>
    <col min="6924" max="6924" width="2" style="56" customWidth="1"/>
    <col min="6925" max="7168" width="9" style="56"/>
    <col min="7169" max="7177" width="9.625" style="56" customWidth="1"/>
    <col min="7178" max="7178" width="5.75" style="56" bestFit="1" customWidth="1"/>
    <col min="7179" max="7179" width="31.25" style="56" bestFit="1" customWidth="1"/>
    <col min="7180" max="7180" width="2" style="56" customWidth="1"/>
    <col min="7181" max="7424" width="9" style="56"/>
    <col min="7425" max="7433" width="9.625" style="56" customWidth="1"/>
    <col min="7434" max="7434" width="5.75" style="56" bestFit="1" customWidth="1"/>
    <col min="7435" max="7435" width="31.25" style="56" bestFit="1" customWidth="1"/>
    <col min="7436" max="7436" width="2" style="56" customWidth="1"/>
    <col min="7437" max="7680" width="9" style="56"/>
    <col min="7681" max="7689" width="9.625" style="56" customWidth="1"/>
    <col min="7690" max="7690" width="5.75" style="56" bestFit="1" customWidth="1"/>
    <col min="7691" max="7691" width="31.25" style="56" bestFit="1" customWidth="1"/>
    <col min="7692" max="7692" width="2" style="56" customWidth="1"/>
    <col min="7693" max="7936" width="9" style="56"/>
    <col min="7937" max="7945" width="9.625" style="56" customWidth="1"/>
    <col min="7946" max="7946" width="5.75" style="56" bestFit="1" customWidth="1"/>
    <col min="7947" max="7947" width="31.25" style="56" bestFit="1" customWidth="1"/>
    <col min="7948" max="7948" width="2" style="56" customWidth="1"/>
    <col min="7949" max="8192" width="9" style="56"/>
    <col min="8193" max="8201" width="9.625" style="56" customWidth="1"/>
    <col min="8202" max="8202" width="5.75" style="56" bestFit="1" customWidth="1"/>
    <col min="8203" max="8203" width="31.25" style="56" bestFit="1" customWidth="1"/>
    <col min="8204" max="8204" width="2" style="56" customWidth="1"/>
    <col min="8205" max="8448" width="9" style="56"/>
    <col min="8449" max="8457" width="9.625" style="56" customWidth="1"/>
    <col min="8458" max="8458" width="5.75" style="56" bestFit="1" customWidth="1"/>
    <col min="8459" max="8459" width="31.25" style="56" bestFit="1" customWidth="1"/>
    <col min="8460" max="8460" width="2" style="56" customWidth="1"/>
    <col min="8461" max="8704" width="9" style="56"/>
    <col min="8705" max="8713" width="9.625" style="56" customWidth="1"/>
    <col min="8714" max="8714" width="5.75" style="56" bestFit="1" customWidth="1"/>
    <col min="8715" max="8715" width="31.25" style="56" bestFit="1" customWidth="1"/>
    <col min="8716" max="8716" width="2" style="56" customWidth="1"/>
    <col min="8717" max="8960" width="9" style="56"/>
    <col min="8961" max="8969" width="9.625" style="56" customWidth="1"/>
    <col min="8970" max="8970" width="5.75" style="56" bestFit="1" customWidth="1"/>
    <col min="8971" max="8971" width="31.25" style="56" bestFit="1" customWidth="1"/>
    <col min="8972" max="8972" width="2" style="56" customWidth="1"/>
    <col min="8973" max="9216" width="9" style="56"/>
    <col min="9217" max="9225" width="9.625" style="56" customWidth="1"/>
    <col min="9226" max="9226" width="5.75" style="56" bestFit="1" customWidth="1"/>
    <col min="9227" max="9227" width="31.25" style="56" bestFit="1" customWidth="1"/>
    <col min="9228" max="9228" width="2" style="56" customWidth="1"/>
    <col min="9229" max="9472" width="9" style="56"/>
    <col min="9473" max="9481" width="9.625" style="56" customWidth="1"/>
    <col min="9482" max="9482" width="5.75" style="56" bestFit="1" customWidth="1"/>
    <col min="9483" max="9483" width="31.25" style="56" bestFit="1" customWidth="1"/>
    <col min="9484" max="9484" width="2" style="56" customWidth="1"/>
    <col min="9485" max="9728" width="9" style="56"/>
    <col min="9729" max="9737" width="9.625" style="56" customWidth="1"/>
    <col min="9738" max="9738" width="5.75" style="56" bestFit="1" customWidth="1"/>
    <col min="9739" max="9739" width="31.25" style="56" bestFit="1" customWidth="1"/>
    <col min="9740" max="9740" width="2" style="56" customWidth="1"/>
    <col min="9741" max="9984" width="9" style="56"/>
    <col min="9985" max="9993" width="9.625" style="56" customWidth="1"/>
    <col min="9994" max="9994" width="5.75" style="56" bestFit="1" customWidth="1"/>
    <col min="9995" max="9995" width="31.25" style="56" bestFit="1" customWidth="1"/>
    <col min="9996" max="9996" width="2" style="56" customWidth="1"/>
    <col min="9997" max="10240" width="9" style="56"/>
    <col min="10241" max="10249" width="9.625" style="56" customWidth="1"/>
    <col min="10250" max="10250" width="5.75" style="56" bestFit="1" customWidth="1"/>
    <col min="10251" max="10251" width="31.25" style="56" bestFit="1" customWidth="1"/>
    <col min="10252" max="10252" width="2" style="56" customWidth="1"/>
    <col min="10253" max="10496" width="9" style="56"/>
    <col min="10497" max="10505" width="9.625" style="56" customWidth="1"/>
    <col min="10506" max="10506" width="5.75" style="56" bestFit="1" customWidth="1"/>
    <col min="10507" max="10507" width="31.25" style="56" bestFit="1" customWidth="1"/>
    <col min="10508" max="10508" width="2" style="56" customWidth="1"/>
    <col min="10509" max="10752" width="9" style="56"/>
    <col min="10753" max="10761" width="9.625" style="56" customWidth="1"/>
    <col min="10762" max="10762" width="5.75" style="56" bestFit="1" customWidth="1"/>
    <col min="10763" max="10763" width="31.25" style="56" bestFit="1" customWidth="1"/>
    <col min="10764" max="10764" width="2" style="56" customWidth="1"/>
    <col min="10765" max="11008" width="9" style="56"/>
    <col min="11009" max="11017" width="9.625" style="56" customWidth="1"/>
    <col min="11018" max="11018" width="5.75" style="56" bestFit="1" customWidth="1"/>
    <col min="11019" max="11019" width="31.25" style="56" bestFit="1" customWidth="1"/>
    <col min="11020" max="11020" width="2" style="56" customWidth="1"/>
    <col min="11021" max="11264" width="9" style="56"/>
    <col min="11265" max="11273" width="9.625" style="56" customWidth="1"/>
    <col min="11274" max="11274" width="5.75" style="56" bestFit="1" customWidth="1"/>
    <col min="11275" max="11275" width="31.25" style="56" bestFit="1" customWidth="1"/>
    <col min="11276" max="11276" width="2" style="56" customWidth="1"/>
    <col min="11277" max="11520" width="9" style="56"/>
    <col min="11521" max="11529" width="9.625" style="56" customWidth="1"/>
    <col min="11530" max="11530" width="5.75" style="56" bestFit="1" customWidth="1"/>
    <col min="11531" max="11531" width="31.25" style="56" bestFit="1" customWidth="1"/>
    <col min="11532" max="11532" width="2" style="56" customWidth="1"/>
    <col min="11533" max="11776" width="9" style="56"/>
    <col min="11777" max="11785" width="9.625" style="56" customWidth="1"/>
    <col min="11786" max="11786" width="5.75" style="56" bestFit="1" customWidth="1"/>
    <col min="11787" max="11787" width="31.25" style="56" bestFit="1" customWidth="1"/>
    <col min="11788" max="11788" width="2" style="56" customWidth="1"/>
    <col min="11789" max="12032" width="9" style="56"/>
    <col min="12033" max="12041" width="9.625" style="56" customWidth="1"/>
    <col min="12042" max="12042" width="5.75" style="56" bestFit="1" customWidth="1"/>
    <col min="12043" max="12043" width="31.25" style="56" bestFit="1" customWidth="1"/>
    <col min="12044" max="12044" width="2" style="56" customWidth="1"/>
    <col min="12045" max="12288" width="9" style="56"/>
    <col min="12289" max="12297" width="9.625" style="56" customWidth="1"/>
    <col min="12298" max="12298" width="5.75" style="56" bestFit="1" customWidth="1"/>
    <col min="12299" max="12299" width="31.25" style="56" bestFit="1" customWidth="1"/>
    <col min="12300" max="12300" width="2" style="56" customWidth="1"/>
    <col min="12301" max="12544" width="9" style="56"/>
    <col min="12545" max="12553" width="9.625" style="56" customWidth="1"/>
    <col min="12554" max="12554" width="5.75" style="56" bestFit="1" customWidth="1"/>
    <col min="12555" max="12555" width="31.25" style="56" bestFit="1" customWidth="1"/>
    <col min="12556" max="12556" width="2" style="56" customWidth="1"/>
    <col min="12557" max="12800" width="9" style="56"/>
    <col min="12801" max="12809" width="9.625" style="56" customWidth="1"/>
    <col min="12810" max="12810" width="5.75" style="56" bestFit="1" customWidth="1"/>
    <col min="12811" max="12811" width="31.25" style="56" bestFit="1" customWidth="1"/>
    <col min="12812" max="12812" width="2" style="56" customWidth="1"/>
    <col min="12813" max="13056" width="9" style="56"/>
    <col min="13057" max="13065" width="9.625" style="56" customWidth="1"/>
    <col min="13066" max="13066" width="5.75" style="56" bestFit="1" customWidth="1"/>
    <col min="13067" max="13067" width="31.25" style="56" bestFit="1" customWidth="1"/>
    <col min="13068" max="13068" width="2" style="56" customWidth="1"/>
    <col min="13069" max="13312" width="9" style="56"/>
    <col min="13313" max="13321" width="9.625" style="56" customWidth="1"/>
    <col min="13322" max="13322" width="5.75" style="56" bestFit="1" customWidth="1"/>
    <col min="13323" max="13323" width="31.25" style="56" bestFit="1" customWidth="1"/>
    <col min="13324" max="13324" width="2" style="56" customWidth="1"/>
    <col min="13325" max="13568" width="9" style="56"/>
    <col min="13569" max="13577" width="9.625" style="56" customWidth="1"/>
    <col min="13578" max="13578" width="5.75" style="56" bestFit="1" customWidth="1"/>
    <col min="13579" max="13579" width="31.25" style="56" bestFit="1" customWidth="1"/>
    <col min="13580" max="13580" width="2" style="56" customWidth="1"/>
    <col min="13581" max="13824" width="9" style="56"/>
    <col min="13825" max="13833" width="9.625" style="56" customWidth="1"/>
    <col min="13834" max="13834" width="5.75" style="56" bestFit="1" customWidth="1"/>
    <col min="13835" max="13835" width="31.25" style="56" bestFit="1" customWidth="1"/>
    <col min="13836" max="13836" width="2" style="56" customWidth="1"/>
    <col min="13837" max="14080" width="9" style="56"/>
    <col min="14081" max="14089" width="9.625" style="56" customWidth="1"/>
    <col min="14090" max="14090" width="5.75" style="56" bestFit="1" customWidth="1"/>
    <col min="14091" max="14091" width="31.25" style="56" bestFit="1" customWidth="1"/>
    <col min="14092" max="14092" width="2" style="56" customWidth="1"/>
    <col min="14093" max="14336" width="9" style="56"/>
    <col min="14337" max="14345" width="9.625" style="56" customWidth="1"/>
    <col min="14346" max="14346" width="5.75" style="56" bestFit="1" customWidth="1"/>
    <col min="14347" max="14347" width="31.25" style="56" bestFit="1" customWidth="1"/>
    <col min="14348" max="14348" width="2" style="56" customWidth="1"/>
    <col min="14349" max="14592" width="9" style="56"/>
    <col min="14593" max="14601" width="9.625" style="56" customWidth="1"/>
    <col min="14602" max="14602" width="5.75" style="56" bestFit="1" customWidth="1"/>
    <col min="14603" max="14603" width="31.25" style="56" bestFit="1" customWidth="1"/>
    <col min="14604" max="14604" width="2" style="56" customWidth="1"/>
    <col min="14605" max="14848" width="9" style="56"/>
    <col min="14849" max="14857" width="9.625" style="56" customWidth="1"/>
    <col min="14858" max="14858" width="5.75" style="56" bestFit="1" customWidth="1"/>
    <col min="14859" max="14859" width="31.25" style="56" bestFit="1" customWidth="1"/>
    <col min="14860" max="14860" width="2" style="56" customWidth="1"/>
    <col min="14861" max="15104" width="9" style="56"/>
    <col min="15105" max="15113" width="9.625" style="56" customWidth="1"/>
    <col min="15114" max="15114" width="5.75" style="56" bestFit="1" customWidth="1"/>
    <col min="15115" max="15115" width="31.25" style="56" bestFit="1" customWidth="1"/>
    <col min="15116" max="15116" width="2" style="56" customWidth="1"/>
    <col min="15117" max="15360" width="9" style="56"/>
    <col min="15361" max="15369" width="9.625" style="56" customWidth="1"/>
    <col min="15370" max="15370" width="5.75" style="56" bestFit="1" customWidth="1"/>
    <col min="15371" max="15371" width="31.25" style="56" bestFit="1" customWidth="1"/>
    <col min="15372" max="15372" width="2" style="56" customWidth="1"/>
    <col min="15373" max="15616" width="9" style="56"/>
    <col min="15617" max="15625" width="9.625" style="56" customWidth="1"/>
    <col min="15626" max="15626" width="5.75" style="56" bestFit="1" customWidth="1"/>
    <col min="15627" max="15627" width="31.25" style="56" bestFit="1" customWidth="1"/>
    <col min="15628" max="15628" width="2" style="56" customWidth="1"/>
    <col min="15629" max="15872" width="9" style="56"/>
    <col min="15873" max="15881" width="9.625" style="56" customWidth="1"/>
    <col min="15882" max="15882" width="5.75" style="56" bestFit="1" customWidth="1"/>
    <col min="15883" max="15883" width="31.25" style="56" bestFit="1" customWidth="1"/>
    <col min="15884" max="15884" width="2" style="56" customWidth="1"/>
    <col min="15885" max="16128" width="9" style="56"/>
    <col min="16129" max="16137" width="9.625" style="56" customWidth="1"/>
    <col min="16138" max="16138" width="5.75" style="56" bestFit="1" customWidth="1"/>
    <col min="16139" max="16139" width="31.25" style="56" bestFit="1" customWidth="1"/>
    <col min="16140" max="16140" width="2" style="56" customWidth="1"/>
    <col min="16141" max="16384" width="9" style="56"/>
  </cols>
  <sheetData>
    <row r="1" spans="1:12" ht="12.75" customHeight="1" x14ac:dyDescent="0.2">
      <c r="A1" s="192" t="s">
        <v>584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55"/>
    </row>
    <row r="2" spans="1:12" ht="12.75" customHeight="1" thickBot="1" x14ac:dyDescent="0.25">
      <c r="A2" s="193" t="s">
        <v>585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55"/>
    </row>
    <row r="3" spans="1:12" ht="12.75" customHeight="1" thickBot="1" x14ac:dyDescent="0.25">
      <c r="A3" s="187" t="s">
        <v>5</v>
      </c>
      <c r="B3" s="187"/>
      <c r="C3" s="187"/>
      <c r="D3" s="187" t="s">
        <v>162</v>
      </c>
      <c r="E3" s="187"/>
      <c r="F3" s="187"/>
      <c r="G3" s="187" t="s">
        <v>163</v>
      </c>
      <c r="H3" s="187"/>
      <c r="I3" s="187"/>
      <c r="J3" s="199"/>
      <c r="K3" s="199"/>
      <c r="L3" s="55"/>
    </row>
    <row r="4" spans="1:12" ht="12.75" customHeight="1" thickBot="1" x14ac:dyDescent="0.25">
      <c r="A4" s="89" t="s">
        <v>216</v>
      </c>
      <c r="B4" s="89" t="s">
        <v>11</v>
      </c>
      <c r="C4" s="89" t="s">
        <v>10</v>
      </c>
      <c r="D4" s="89" t="s">
        <v>216</v>
      </c>
      <c r="E4" s="89" t="s">
        <v>11</v>
      </c>
      <c r="F4" s="89" t="s">
        <v>10</v>
      </c>
      <c r="G4" s="89" t="s">
        <v>216</v>
      </c>
      <c r="H4" s="89" t="s">
        <v>11</v>
      </c>
      <c r="I4" s="89" t="s">
        <v>10</v>
      </c>
      <c r="J4" s="186" t="s">
        <v>72</v>
      </c>
      <c r="K4" s="186"/>
      <c r="L4" s="55"/>
    </row>
    <row r="5" spans="1:12" ht="12.75" customHeight="1" thickBot="1" x14ac:dyDescent="0.25">
      <c r="A5" s="90">
        <f>SUM(B5:C5)</f>
        <v>7431</v>
      </c>
      <c r="B5" s="90">
        <f>H5+E5</f>
        <v>4992</v>
      </c>
      <c r="C5" s="90">
        <f>I5+F5</f>
        <v>2439</v>
      </c>
      <c r="D5" s="90">
        <f>SUM(E5:F5)</f>
        <v>84</v>
      </c>
      <c r="E5" s="90">
        <v>64</v>
      </c>
      <c r="F5" s="90">
        <v>20</v>
      </c>
      <c r="G5" s="90">
        <f>SUM(H5:I5)</f>
        <v>7347</v>
      </c>
      <c r="H5" s="90">
        <v>4928</v>
      </c>
      <c r="I5" s="90">
        <v>2419</v>
      </c>
      <c r="J5" s="91" t="s">
        <v>221</v>
      </c>
      <c r="K5" s="92"/>
      <c r="L5" s="55"/>
    </row>
    <row r="6" spans="1:12" ht="12.75" customHeight="1" thickBot="1" x14ac:dyDescent="0.25">
      <c r="A6" s="90">
        <f t="shared" ref="A6:A69" si="0">SUM(B6:C6)</f>
        <v>8</v>
      </c>
      <c r="B6" s="90">
        <f t="shared" ref="B6:C69" si="1">H6+E6</f>
        <v>8</v>
      </c>
      <c r="C6" s="90">
        <f t="shared" si="1"/>
        <v>0</v>
      </c>
      <c r="D6" s="90">
        <f t="shared" ref="D6:D69" si="2">SUM(E6:F6)</f>
        <v>0</v>
      </c>
      <c r="E6" s="90">
        <v>0</v>
      </c>
      <c r="F6" s="90">
        <v>0</v>
      </c>
      <c r="G6" s="90">
        <f t="shared" ref="G6:G69" si="3">SUM(H6:I6)</f>
        <v>8</v>
      </c>
      <c r="H6" s="90">
        <v>8</v>
      </c>
      <c r="I6" s="90">
        <v>0</v>
      </c>
      <c r="J6" s="91" t="s">
        <v>222</v>
      </c>
      <c r="K6" s="92" t="s">
        <v>74</v>
      </c>
      <c r="L6" s="55"/>
    </row>
    <row r="7" spans="1:12" ht="12.75" customHeight="1" thickBot="1" x14ac:dyDescent="0.25">
      <c r="A7" s="90">
        <f t="shared" ref="A7:H7" si="4">SUM(A5:A6)</f>
        <v>7439</v>
      </c>
      <c r="B7" s="90">
        <f t="shared" si="4"/>
        <v>5000</v>
      </c>
      <c r="C7" s="90">
        <f t="shared" si="4"/>
        <v>2439</v>
      </c>
      <c r="D7" s="90">
        <f t="shared" si="4"/>
        <v>84</v>
      </c>
      <c r="E7" s="90">
        <f t="shared" si="4"/>
        <v>64</v>
      </c>
      <c r="F7" s="90">
        <f t="shared" si="4"/>
        <v>20</v>
      </c>
      <c r="G7" s="90">
        <f t="shared" si="4"/>
        <v>7355</v>
      </c>
      <c r="H7" s="90">
        <f t="shared" si="4"/>
        <v>4936</v>
      </c>
      <c r="I7" s="90">
        <f>SUM(I5:I6)</f>
        <v>2419</v>
      </c>
      <c r="J7" s="91" t="s">
        <v>13</v>
      </c>
      <c r="K7" s="93"/>
      <c r="L7" s="55"/>
    </row>
    <row r="8" spans="1:12" ht="12.75" customHeight="1" thickBot="1" x14ac:dyDescent="0.25">
      <c r="A8" s="90">
        <f t="shared" si="0"/>
        <v>765</v>
      </c>
      <c r="B8" s="90">
        <f t="shared" si="1"/>
        <v>0</v>
      </c>
      <c r="C8" s="90">
        <f t="shared" si="1"/>
        <v>765</v>
      </c>
      <c r="D8" s="90">
        <f t="shared" si="2"/>
        <v>511</v>
      </c>
      <c r="E8" s="90">
        <v>0</v>
      </c>
      <c r="F8" s="90">
        <v>511</v>
      </c>
      <c r="G8" s="90">
        <f t="shared" si="3"/>
        <v>254</v>
      </c>
      <c r="H8" s="90">
        <v>0</v>
      </c>
      <c r="I8" s="90">
        <v>254</v>
      </c>
      <c r="J8" s="91" t="s">
        <v>221</v>
      </c>
      <c r="K8" s="92"/>
      <c r="L8" s="55"/>
    </row>
    <row r="9" spans="1:12" ht="12.75" customHeight="1" thickBot="1" x14ac:dyDescent="0.25">
      <c r="A9" s="90">
        <f t="shared" si="0"/>
        <v>0</v>
      </c>
      <c r="B9" s="90">
        <f t="shared" si="1"/>
        <v>0</v>
      </c>
      <c r="C9" s="90">
        <f t="shared" si="1"/>
        <v>0</v>
      </c>
      <c r="D9" s="90">
        <f t="shared" si="2"/>
        <v>0</v>
      </c>
      <c r="E9" s="90">
        <v>0</v>
      </c>
      <c r="F9" s="90">
        <v>0</v>
      </c>
      <c r="G9" s="90">
        <f t="shared" si="3"/>
        <v>0</v>
      </c>
      <c r="H9" s="90">
        <v>0</v>
      </c>
      <c r="I9" s="90">
        <v>0</v>
      </c>
      <c r="J9" s="91" t="s">
        <v>222</v>
      </c>
      <c r="K9" s="92" t="s">
        <v>164</v>
      </c>
      <c r="L9" s="55"/>
    </row>
    <row r="10" spans="1:12" ht="12.75" customHeight="1" thickBot="1" x14ac:dyDescent="0.25">
      <c r="A10" s="90">
        <f t="shared" ref="A10:H10" si="5">SUM(A8:A9)</f>
        <v>765</v>
      </c>
      <c r="B10" s="90">
        <f t="shared" si="5"/>
        <v>0</v>
      </c>
      <c r="C10" s="90">
        <f t="shared" si="5"/>
        <v>765</v>
      </c>
      <c r="D10" s="90">
        <f t="shared" si="5"/>
        <v>511</v>
      </c>
      <c r="E10" s="90">
        <f t="shared" si="5"/>
        <v>0</v>
      </c>
      <c r="F10" s="90">
        <f t="shared" si="5"/>
        <v>511</v>
      </c>
      <c r="G10" s="90">
        <f t="shared" si="5"/>
        <v>254</v>
      </c>
      <c r="H10" s="90">
        <f t="shared" si="5"/>
        <v>0</v>
      </c>
      <c r="I10" s="90">
        <f>SUM(I8:I9)</f>
        <v>254</v>
      </c>
      <c r="J10" s="91" t="s">
        <v>13</v>
      </c>
      <c r="K10" s="93"/>
      <c r="L10" s="55"/>
    </row>
    <row r="11" spans="1:12" ht="12.75" customHeight="1" thickBot="1" x14ac:dyDescent="0.25">
      <c r="A11" s="90">
        <f t="shared" si="0"/>
        <v>3163</v>
      </c>
      <c r="B11" s="90">
        <f t="shared" si="1"/>
        <v>1449</v>
      </c>
      <c r="C11" s="90">
        <f t="shared" si="1"/>
        <v>1714</v>
      </c>
      <c r="D11" s="90">
        <f t="shared" si="2"/>
        <v>71</v>
      </c>
      <c r="E11" s="90">
        <v>18</v>
      </c>
      <c r="F11" s="90">
        <v>53</v>
      </c>
      <c r="G11" s="90">
        <f t="shared" si="3"/>
        <v>3092</v>
      </c>
      <c r="H11" s="90">
        <v>1431</v>
      </c>
      <c r="I11" s="90">
        <v>1661</v>
      </c>
      <c r="J11" s="91" t="s">
        <v>221</v>
      </c>
      <c r="K11" s="92"/>
      <c r="L11" s="55"/>
    </row>
    <row r="12" spans="1:12" ht="12.75" customHeight="1" thickBot="1" x14ac:dyDescent="0.25">
      <c r="A12" s="90">
        <f t="shared" si="0"/>
        <v>383</v>
      </c>
      <c r="B12" s="90">
        <f t="shared" si="1"/>
        <v>144</v>
      </c>
      <c r="C12" s="90">
        <f t="shared" si="1"/>
        <v>239</v>
      </c>
      <c r="D12" s="90">
        <f t="shared" si="2"/>
        <v>0</v>
      </c>
      <c r="E12" s="90">
        <v>0</v>
      </c>
      <c r="F12" s="90">
        <v>0</v>
      </c>
      <c r="G12" s="90">
        <f t="shared" si="3"/>
        <v>383</v>
      </c>
      <c r="H12" s="90">
        <v>144</v>
      </c>
      <c r="I12" s="90">
        <v>239</v>
      </c>
      <c r="J12" s="91" t="s">
        <v>222</v>
      </c>
      <c r="K12" s="92" t="s">
        <v>76</v>
      </c>
      <c r="L12" s="55"/>
    </row>
    <row r="13" spans="1:12" ht="12.75" customHeight="1" thickBot="1" x14ac:dyDescent="0.25">
      <c r="A13" s="90">
        <f t="shared" ref="A13:H13" si="6">SUM(A11:A12)</f>
        <v>3546</v>
      </c>
      <c r="B13" s="90">
        <f t="shared" si="6"/>
        <v>1593</v>
      </c>
      <c r="C13" s="90">
        <f t="shared" si="6"/>
        <v>1953</v>
      </c>
      <c r="D13" s="90">
        <f t="shared" si="6"/>
        <v>71</v>
      </c>
      <c r="E13" s="90">
        <f t="shared" si="6"/>
        <v>18</v>
      </c>
      <c r="F13" s="90">
        <f t="shared" si="6"/>
        <v>53</v>
      </c>
      <c r="G13" s="90">
        <f t="shared" si="6"/>
        <v>3475</v>
      </c>
      <c r="H13" s="90">
        <f t="shared" si="6"/>
        <v>1575</v>
      </c>
      <c r="I13" s="90">
        <f>SUM(I11:I12)</f>
        <v>1900</v>
      </c>
      <c r="J13" s="91" t="s">
        <v>13</v>
      </c>
      <c r="K13" s="93"/>
      <c r="L13" s="55"/>
    </row>
    <row r="14" spans="1:12" ht="12.75" customHeight="1" thickBot="1" x14ac:dyDescent="0.25">
      <c r="A14" s="90">
        <f t="shared" si="0"/>
        <v>8877</v>
      </c>
      <c r="B14" s="90">
        <f t="shared" si="1"/>
        <v>3943</v>
      </c>
      <c r="C14" s="90">
        <f t="shared" si="1"/>
        <v>4934</v>
      </c>
      <c r="D14" s="90">
        <f t="shared" si="2"/>
        <v>157</v>
      </c>
      <c r="E14" s="90">
        <v>70</v>
      </c>
      <c r="F14" s="90">
        <v>87</v>
      </c>
      <c r="G14" s="90">
        <f t="shared" si="3"/>
        <v>8720</v>
      </c>
      <c r="H14" s="90">
        <v>3873</v>
      </c>
      <c r="I14" s="90">
        <v>4847</v>
      </c>
      <c r="J14" s="91" t="s">
        <v>221</v>
      </c>
      <c r="K14" s="92"/>
      <c r="L14" s="55"/>
    </row>
    <row r="15" spans="1:12" ht="12.75" customHeight="1" thickBot="1" x14ac:dyDescent="0.25">
      <c r="A15" s="90">
        <f t="shared" si="0"/>
        <v>0</v>
      </c>
      <c r="B15" s="90">
        <f t="shared" si="1"/>
        <v>0</v>
      </c>
      <c r="C15" s="90">
        <f t="shared" si="1"/>
        <v>0</v>
      </c>
      <c r="D15" s="90">
        <f t="shared" si="2"/>
        <v>0</v>
      </c>
      <c r="E15" s="90">
        <v>0</v>
      </c>
      <c r="F15" s="90">
        <v>0</v>
      </c>
      <c r="G15" s="90">
        <f t="shared" si="3"/>
        <v>0</v>
      </c>
      <c r="H15" s="90">
        <v>0</v>
      </c>
      <c r="I15" s="90">
        <v>0</v>
      </c>
      <c r="J15" s="91" t="s">
        <v>222</v>
      </c>
      <c r="K15" s="92" t="s">
        <v>78</v>
      </c>
      <c r="L15" s="55"/>
    </row>
    <row r="16" spans="1:12" ht="12.75" customHeight="1" thickBot="1" x14ac:dyDescent="0.25">
      <c r="A16" s="90">
        <f t="shared" ref="A16:H16" si="7">SUM(A14:A15)</f>
        <v>8877</v>
      </c>
      <c r="B16" s="90">
        <f t="shared" si="7"/>
        <v>3943</v>
      </c>
      <c r="C16" s="90">
        <f t="shared" si="7"/>
        <v>4934</v>
      </c>
      <c r="D16" s="90">
        <f t="shared" si="7"/>
        <v>157</v>
      </c>
      <c r="E16" s="90">
        <f t="shared" si="7"/>
        <v>70</v>
      </c>
      <c r="F16" s="90">
        <f t="shared" si="7"/>
        <v>87</v>
      </c>
      <c r="G16" s="90">
        <f t="shared" si="7"/>
        <v>8720</v>
      </c>
      <c r="H16" s="90">
        <f t="shared" si="7"/>
        <v>3873</v>
      </c>
      <c r="I16" s="90">
        <f>SUM(I14:I15)</f>
        <v>4847</v>
      </c>
      <c r="J16" s="91" t="s">
        <v>13</v>
      </c>
      <c r="K16" s="93"/>
      <c r="L16" s="55"/>
    </row>
    <row r="17" spans="1:12" ht="12.75" customHeight="1" thickBot="1" x14ac:dyDescent="0.25">
      <c r="A17" s="90">
        <f t="shared" si="0"/>
        <v>8633</v>
      </c>
      <c r="B17" s="90">
        <f t="shared" si="1"/>
        <v>5972</v>
      </c>
      <c r="C17" s="90">
        <f t="shared" si="1"/>
        <v>2661</v>
      </c>
      <c r="D17" s="90">
        <f t="shared" si="2"/>
        <v>233</v>
      </c>
      <c r="E17" s="90">
        <v>180</v>
      </c>
      <c r="F17" s="90">
        <v>53</v>
      </c>
      <c r="G17" s="90">
        <f t="shared" si="3"/>
        <v>8400</v>
      </c>
      <c r="H17" s="90">
        <v>5792</v>
      </c>
      <c r="I17" s="90">
        <v>2608</v>
      </c>
      <c r="J17" s="91" t="s">
        <v>221</v>
      </c>
      <c r="K17" s="92"/>
      <c r="L17" s="55"/>
    </row>
    <row r="18" spans="1:12" ht="12.75" customHeight="1" thickBot="1" x14ac:dyDescent="0.25">
      <c r="A18" s="90">
        <f t="shared" si="0"/>
        <v>2139</v>
      </c>
      <c r="B18" s="90">
        <f t="shared" si="1"/>
        <v>795</v>
      </c>
      <c r="C18" s="90">
        <f t="shared" si="1"/>
        <v>1344</v>
      </c>
      <c r="D18" s="90">
        <f t="shared" si="2"/>
        <v>201</v>
      </c>
      <c r="E18" s="90">
        <v>161</v>
      </c>
      <c r="F18" s="90">
        <v>40</v>
      </c>
      <c r="G18" s="90">
        <f t="shared" si="3"/>
        <v>1938</v>
      </c>
      <c r="H18" s="90">
        <v>634</v>
      </c>
      <c r="I18" s="90">
        <v>1304</v>
      </c>
      <c r="J18" s="91" t="s">
        <v>222</v>
      </c>
      <c r="K18" s="92" t="s">
        <v>79</v>
      </c>
      <c r="L18" s="55"/>
    </row>
    <row r="19" spans="1:12" ht="12.75" customHeight="1" thickBot="1" x14ac:dyDescent="0.25">
      <c r="A19" s="90">
        <f t="shared" ref="A19:H19" si="8">SUM(A17:A18)</f>
        <v>10772</v>
      </c>
      <c r="B19" s="90">
        <f t="shared" si="8"/>
        <v>6767</v>
      </c>
      <c r="C19" s="90">
        <f t="shared" si="8"/>
        <v>4005</v>
      </c>
      <c r="D19" s="90">
        <f t="shared" si="8"/>
        <v>434</v>
      </c>
      <c r="E19" s="90">
        <f t="shared" si="8"/>
        <v>341</v>
      </c>
      <c r="F19" s="90">
        <f t="shared" si="8"/>
        <v>93</v>
      </c>
      <c r="G19" s="90">
        <f t="shared" si="8"/>
        <v>10338</v>
      </c>
      <c r="H19" s="90">
        <f t="shared" si="8"/>
        <v>6426</v>
      </c>
      <c r="I19" s="90">
        <f>SUM(I17:I18)</f>
        <v>3912</v>
      </c>
      <c r="J19" s="91" t="s">
        <v>13</v>
      </c>
      <c r="K19" s="93"/>
      <c r="L19" s="55"/>
    </row>
    <row r="20" spans="1:12" ht="12.75" customHeight="1" thickBot="1" x14ac:dyDescent="0.25">
      <c r="A20" s="90">
        <f t="shared" si="0"/>
        <v>960</v>
      </c>
      <c r="B20" s="90">
        <f t="shared" si="1"/>
        <v>0</v>
      </c>
      <c r="C20" s="90">
        <f t="shared" si="1"/>
        <v>960</v>
      </c>
      <c r="D20" s="90">
        <f t="shared" si="2"/>
        <v>86</v>
      </c>
      <c r="E20" s="90">
        <v>0</v>
      </c>
      <c r="F20" s="90">
        <v>86</v>
      </c>
      <c r="G20" s="90">
        <f t="shared" si="3"/>
        <v>874</v>
      </c>
      <c r="H20" s="90">
        <v>0</v>
      </c>
      <c r="I20" s="90">
        <v>874</v>
      </c>
      <c r="J20" s="91" t="s">
        <v>221</v>
      </c>
      <c r="K20" s="92"/>
      <c r="L20" s="55"/>
    </row>
    <row r="21" spans="1:12" ht="12.75" customHeight="1" thickBot="1" x14ac:dyDescent="0.25">
      <c r="A21" s="90">
        <f t="shared" si="0"/>
        <v>0</v>
      </c>
      <c r="B21" s="90">
        <f t="shared" si="1"/>
        <v>0</v>
      </c>
      <c r="C21" s="90">
        <f t="shared" si="1"/>
        <v>0</v>
      </c>
      <c r="D21" s="90">
        <f t="shared" si="2"/>
        <v>0</v>
      </c>
      <c r="E21" s="90">
        <v>0</v>
      </c>
      <c r="F21" s="90">
        <v>0</v>
      </c>
      <c r="G21" s="90">
        <f t="shared" si="3"/>
        <v>0</v>
      </c>
      <c r="H21" s="90">
        <v>0</v>
      </c>
      <c r="I21" s="90">
        <v>0</v>
      </c>
      <c r="J21" s="91" t="s">
        <v>222</v>
      </c>
      <c r="K21" s="92" t="s">
        <v>98</v>
      </c>
      <c r="L21" s="55"/>
    </row>
    <row r="22" spans="1:12" ht="12.75" customHeight="1" thickBot="1" x14ac:dyDescent="0.25">
      <c r="A22" s="90">
        <f t="shared" ref="A22:H22" si="9">SUM(A20:A21)</f>
        <v>960</v>
      </c>
      <c r="B22" s="90">
        <f t="shared" si="9"/>
        <v>0</v>
      </c>
      <c r="C22" s="90">
        <f t="shared" si="9"/>
        <v>960</v>
      </c>
      <c r="D22" s="90">
        <f t="shared" si="9"/>
        <v>86</v>
      </c>
      <c r="E22" s="90">
        <f t="shared" si="9"/>
        <v>0</v>
      </c>
      <c r="F22" s="90">
        <f t="shared" si="9"/>
        <v>86</v>
      </c>
      <c r="G22" s="90">
        <f t="shared" si="9"/>
        <v>874</v>
      </c>
      <c r="H22" s="90">
        <f t="shared" si="9"/>
        <v>0</v>
      </c>
      <c r="I22" s="90">
        <f>SUM(I20:I21)</f>
        <v>874</v>
      </c>
      <c r="J22" s="91" t="s">
        <v>13</v>
      </c>
      <c r="K22" s="93"/>
      <c r="L22" s="55"/>
    </row>
    <row r="23" spans="1:12" ht="12.75" customHeight="1" thickBot="1" x14ac:dyDescent="0.25">
      <c r="A23" s="90">
        <f t="shared" si="0"/>
        <v>8218</v>
      </c>
      <c r="B23" s="90">
        <f t="shared" si="1"/>
        <v>6756</v>
      </c>
      <c r="C23" s="90">
        <f t="shared" si="1"/>
        <v>1462</v>
      </c>
      <c r="D23" s="90">
        <f t="shared" si="2"/>
        <v>46</v>
      </c>
      <c r="E23" s="90">
        <v>23</v>
      </c>
      <c r="F23" s="90">
        <v>23</v>
      </c>
      <c r="G23" s="90">
        <f t="shared" si="3"/>
        <v>8172</v>
      </c>
      <c r="H23" s="90">
        <v>6733</v>
      </c>
      <c r="I23" s="90">
        <v>1439</v>
      </c>
      <c r="J23" s="91" t="s">
        <v>221</v>
      </c>
      <c r="K23" s="92"/>
      <c r="L23" s="55"/>
    </row>
    <row r="24" spans="1:12" ht="12.75" customHeight="1" thickBot="1" x14ac:dyDescent="0.25">
      <c r="A24" s="90">
        <f t="shared" si="0"/>
        <v>278</v>
      </c>
      <c r="B24" s="90">
        <f t="shared" si="1"/>
        <v>278</v>
      </c>
      <c r="C24" s="90">
        <f t="shared" si="1"/>
        <v>0</v>
      </c>
      <c r="D24" s="90">
        <f t="shared" si="2"/>
        <v>2</v>
      </c>
      <c r="E24" s="90">
        <v>2</v>
      </c>
      <c r="F24" s="90">
        <v>0</v>
      </c>
      <c r="G24" s="90">
        <f t="shared" si="3"/>
        <v>276</v>
      </c>
      <c r="H24" s="90">
        <v>276</v>
      </c>
      <c r="I24" s="90">
        <v>0</v>
      </c>
      <c r="J24" s="91" t="s">
        <v>222</v>
      </c>
      <c r="K24" s="92" t="s">
        <v>80</v>
      </c>
      <c r="L24" s="55"/>
    </row>
    <row r="25" spans="1:12" ht="12.75" customHeight="1" thickBot="1" x14ac:dyDescent="0.25">
      <c r="A25" s="90">
        <f t="shared" ref="A25:H25" si="10">SUM(A23:A24)</f>
        <v>8496</v>
      </c>
      <c r="B25" s="90">
        <f t="shared" si="10"/>
        <v>7034</v>
      </c>
      <c r="C25" s="90">
        <f t="shared" si="10"/>
        <v>1462</v>
      </c>
      <c r="D25" s="90">
        <f t="shared" si="10"/>
        <v>48</v>
      </c>
      <c r="E25" s="90">
        <f t="shared" si="10"/>
        <v>25</v>
      </c>
      <c r="F25" s="90">
        <f t="shared" si="10"/>
        <v>23</v>
      </c>
      <c r="G25" s="90">
        <f t="shared" si="10"/>
        <v>8448</v>
      </c>
      <c r="H25" s="90">
        <f t="shared" si="10"/>
        <v>7009</v>
      </c>
      <c r="I25" s="90">
        <f>SUM(I23:I24)</f>
        <v>1439</v>
      </c>
      <c r="J25" s="91" t="s">
        <v>13</v>
      </c>
      <c r="K25" s="93"/>
      <c r="L25" s="55"/>
    </row>
    <row r="26" spans="1:12" ht="12.75" customHeight="1" thickBot="1" x14ac:dyDescent="0.25">
      <c r="A26" s="90">
        <f t="shared" si="0"/>
        <v>6462</v>
      </c>
      <c r="B26" s="90">
        <f t="shared" si="1"/>
        <v>4367</v>
      </c>
      <c r="C26" s="90">
        <f t="shared" si="1"/>
        <v>2095</v>
      </c>
      <c r="D26" s="90">
        <f t="shared" si="2"/>
        <v>98</v>
      </c>
      <c r="E26" s="90">
        <v>1</v>
      </c>
      <c r="F26" s="90">
        <v>97</v>
      </c>
      <c r="G26" s="90">
        <f t="shared" si="3"/>
        <v>6364</v>
      </c>
      <c r="H26" s="90">
        <v>4366</v>
      </c>
      <c r="I26" s="90">
        <v>1998</v>
      </c>
      <c r="J26" s="91" t="s">
        <v>221</v>
      </c>
      <c r="K26" s="92"/>
      <c r="L26" s="55"/>
    </row>
    <row r="27" spans="1:12" ht="12.75" customHeight="1" thickBot="1" x14ac:dyDescent="0.25">
      <c r="A27" s="90">
        <f t="shared" si="0"/>
        <v>155</v>
      </c>
      <c r="B27" s="90">
        <f t="shared" si="1"/>
        <v>155</v>
      </c>
      <c r="C27" s="90">
        <f t="shared" si="1"/>
        <v>0</v>
      </c>
      <c r="D27" s="90">
        <f t="shared" si="2"/>
        <v>0</v>
      </c>
      <c r="E27" s="90">
        <v>0</v>
      </c>
      <c r="F27" s="90">
        <v>0</v>
      </c>
      <c r="G27" s="90">
        <f t="shared" si="3"/>
        <v>155</v>
      </c>
      <c r="H27" s="90">
        <v>155</v>
      </c>
      <c r="I27" s="90">
        <v>0</v>
      </c>
      <c r="J27" s="91" t="s">
        <v>222</v>
      </c>
      <c r="K27" s="92" t="s">
        <v>81</v>
      </c>
      <c r="L27" s="55"/>
    </row>
    <row r="28" spans="1:12" ht="12.75" customHeight="1" thickBot="1" x14ac:dyDescent="0.25">
      <c r="A28" s="90">
        <f t="shared" ref="A28:H28" si="11">SUM(A26:A27)</f>
        <v>6617</v>
      </c>
      <c r="B28" s="90">
        <f t="shared" si="11"/>
        <v>4522</v>
      </c>
      <c r="C28" s="90">
        <f t="shared" si="11"/>
        <v>2095</v>
      </c>
      <c r="D28" s="90">
        <f t="shared" si="11"/>
        <v>98</v>
      </c>
      <c r="E28" s="90">
        <f t="shared" si="11"/>
        <v>1</v>
      </c>
      <c r="F28" s="90">
        <f t="shared" si="11"/>
        <v>97</v>
      </c>
      <c r="G28" s="90">
        <f t="shared" si="11"/>
        <v>6519</v>
      </c>
      <c r="H28" s="90">
        <f t="shared" si="11"/>
        <v>4521</v>
      </c>
      <c r="I28" s="90">
        <f>SUM(I26:I27)</f>
        <v>1998</v>
      </c>
      <c r="J28" s="91" t="s">
        <v>13</v>
      </c>
      <c r="K28" s="93"/>
      <c r="L28" s="55"/>
    </row>
    <row r="29" spans="1:12" ht="12.75" customHeight="1" thickBot="1" x14ac:dyDescent="0.25">
      <c r="A29" s="90">
        <f t="shared" si="0"/>
        <v>3626</v>
      </c>
      <c r="B29" s="90">
        <f t="shared" si="1"/>
        <v>1968</v>
      </c>
      <c r="C29" s="90">
        <f t="shared" si="1"/>
        <v>1658</v>
      </c>
      <c r="D29" s="90">
        <f t="shared" si="2"/>
        <v>3</v>
      </c>
      <c r="E29" s="90">
        <v>0</v>
      </c>
      <c r="F29" s="90">
        <v>3</v>
      </c>
      <c r="G29" s="90">
        <f t="shared" si="3"/>
        <v>3623</v>
      </c>
      <c r="H29" s="90">
        <v>1968</v>
      </c>
      <c r="I29" s="90">
        <v>1655</v>
      </c>
      <c r="J29" s="91" t="s">
        <v>221</v>
      </c>
      <c r="K29" s="92"/>
      <c r="L29" s="55"/>
    </row>
    <row r="30" spans="1:12" ht="12.75" customHeight="1" thickBot="1" x14ac:dyDescent="0.25">
      <c r="A30" s="90">
        <f t="shared" si="0"/>
        <v>93</v>
      </c>
      <c r="B30" s="90">
        <f t="shared" si="1"/>
        <v>55</v>
      </c>
      <c r="C30" s="90">
        <f t="shared" si="1"/>
        <v>38</v>
      </c>
      <c r="D30" s="90">
        <f t="shared" si="2"/>
        <v>0</v>
      </c>
      <c r="E30" s="90">
        <v>0</v>
      </c>
      <c r="F30" s="90">
        <v>0</v>
      </c>
      <c r="G30" s="90">
        <f t="shared" si="3"/>
        <v>93</v>
      </c>
      <c r="H30" s="90">
        <v>55</v>
      </c>
      <c r="I30" s="90">
        <v>38</v>
      </c>
      <c r="J30" s="91" t="s">
        <v>222</v>
      </c>
      <c r="K30" s="92" t="s">
        <v>108</v>
      </c>
      <c r="L30" s="55"/>
    </row>
    <row r="31" spans="1:12" ht="12.75" customHeight="1" thickBot="1" x14ac:dyDescent="0.25">
      <c r="A31" s="90">
        <f t="shared" ref="A31:H31" si="12">SUM(A29:A30)</f>
        <v>3719</v>
      </c>
      <c r="B31" s="90">
        <f t="shared" si="12"/>
        <v>2023</v>
      </c>
      <c r="C31" s="90">
        <f t="shared" si="12"/>
        <v>1696</v>
      </c>
      <c r="D31" s="90">
        <f t="shared" si="12"/>
        <v>3</v>
      </c>
      <c r="E31" s="90">
        <f t="shared" si="12"/>
        <v>0</v>
      </c>
      <c r="F31" s="90">
        <f t="shared" si="12"/>
        <v>3</v>
      </c>
      <c r="G31" s="90">
        <f t="shared" si="12"/>
        <v>3716</v>
      </c>
      <c r="H31" s="90">
        <f t="shared" si="12"/>
        <v>2023</v>
      </c>
      <c r="I31" s="90">
        <f>SUM(I29:I30)</f>
        <v>1693</v>
      </c>
      <c r="J31" s="91" t="s">
        <v>13</v>
      </c>
      <c r="K31" s="93"/>
      <c r="L31" s="55"/>
    </row>
    <row r="32" spans="1:12" ht="12.75" customHeight="1" thickBot="1" x14ac:dyDescent="0.25">
      <c r="A32" s="90">
        <f t="shared" si="0"/>
        <v>4863</v>
      </c>
      <c r="B32" s="90">
        <f t="shared" si="1"/>
        <v>3966</v>
      </c>
      <c r="C32" s="90">
        <f t="shared" si="1"/>
        <v>897</v>
      </c>
      <c r="D32" s="90">
        <f t="shared" si="2"/>
        <v>79</v>
      </c>
      <c r="E32" s="90">
        <v>38</v>
      </c>
      <c r="F32" s="90">
        <v>41</v>
      </c>
      <c r="G32" s="90">
        <f t="shared" si="3"/>
        <v>4784</v>
      </c>
      <c r="H32" s="90">
        <v>3928</v>
      </c>
      <c r="I32" s="90">
        <v>856</v>
      </c>
      <c r="J32" s="91" t="s">
        <v>221</v>
      </c>
      <c r="K32" s="92"/>
      <c r="L32" s="55"/>
    </row>
    <row r="33" spans="1:12" ht="12.75" customHeight="1" thickBot="1" x14ac:dyDescent="0.25">
      <c r="A33" s="90">
        <f t="shared" si="0"/>
        <v>0</v>
      </c>
      <c r="B33" s="90">
        <f t="shared" si="1"/>
        <v>0</v>
      </c>
      <c r="C33" s="90">
        <f t="shared" si="1"/>
        <v>0</v>
      </c>
      <c r="D33" s="90">
        <f t="shared" si="2"/>
        <v>0</v>
      </c>
      <c r="E33" s="90">
        <v>0</v>
      </c>
      <c r="F33" s="90">
        <v>0</v>
      </c>
      <c r="G33" s="90">
        <f t="shared" si="3"/>
        <v>0</v>
      </c>
      <c r="H33" s="90">
        <v>0</v>
      </c>
      <c r="I33" s="90">
        <v>0</v>
      </c>
      <c r="J33" s="91" t="s">
        <v>222</v>
      </c>
      <c r="K33" s="92" t="s">
        <v>82</v>
      </c>
      <c r="L33" s="55"/>
    </row>
    <row r="34" spans="1:12" ht="12.75" customHeight="1" thickBot="1" x14ac:dyDescent="0.25">
      <c r="A34" s="90">
        <f t="shared" ref="A34:H34" si="13">SUM(A32:A33)</f>
        <v>4863</v>
      </c>
      <c r="B34" s="90">
        <f t="shared" si="13"/>
        <v>3966</v>
      </c>
      <c r="C34" s="90">
        <f t="shared" si="13"/>
        <v>897</v>
      </c>
      <c r="D34" s="90">
        <f t="shared" si="13"/>
        <v>79</v>
      </c>
      <c r="E34" s="90">
        <f t="shared" si="13"/>
        <v>38</v>
      </c>
      <c r="F34" s="90">
        <f t="shared" si="13"/>
        <v>41</v>
      </c>
      <c r="G34" s="90">
        <f t="shared" si="13"/>
        <v>4784</v>
      </c>
      <c r="H34" s="90">
        <f t="shared" si="13"/>
        <v>3928</v>
      </c>
      <c r="I34" s="90">
        <f>SUM(I32:I33)</f>
        <v>856</v>
      </c>
      <c r="J34" s="91" t="s">
        <v>13</v>
      </c>
      <c r="K34" s="93"/>
      <c r="L34" s="55"/>
    </row>
    <row r="35" spans="1:12" ht="12.75" customHeight="1" thickBot="1" x14ac:dyDescent="0.25">
      <c r="A35" s="90">
        <f t="shared" si="0"/>
        <v>3565</v>
      </c>
      <c r="B35" s="90">
        <f t="shared" si="1"/>
        <v>2843</v>
      </c>
      <c r="C35" s="90">
        <f t="shared" si="1"/>
        <v>722</v>
      </c>
      <c r="D35" s="90">
        <f t="shared" si="2"/>
        <v>11</v>
      </c>
      <c r="E35" s="90">
        <v>9</v>
      </c>
      <c r="F35" s="90">
        <v>2</v>
      </c>
      <c r="G35" s="90">
        <f t="shared" si="3"/>
        <v>3554</v>
      </c>
      <c r="H35" s="90">
        <v>2834</v>
      </c>
      <c r="I35" s="90">
        <v>720</v>
      </c>
      <c r="J35" s="91" t="s">
        <v>221</v>
      </c>
      <c r="K35" s="92"/>
      <c r="L35" s="55"/>
    </row>
    <row r="36" spans="1:12" ht="12.75" customHeight="1" thickBot="1" x14ac:dyDescent="0.25">
      <c r="A36" s="90">
        <f t="shared" si="0"/>
        <v>0</v>
      </c>
      <c r="B36" s="90">
        <f t="shared" si="1"/>
        <v>0</v>
      </c>
      <c r="C36" s="90">
        <f t="shared" si="1"/>
        <v>0</v>
      </c>
      <c r="D36" s="90">
        <f t="shared" si="2"/>
        <v>0</v>
      </c>
      <c r="E36" s="90">
        <v>0</v>
      </c>
      <c r="F36" s="90">
        <v>0</v>
      </c>
      <c r="G36" s="90">
        <f t="shared" si="3"/>
        <v>0</v>
      </c>
      <c r="H36" s="90">
        <v>0</v>
      </c>
      <c r="I36" s="90">
        <v>0</v>
      </c>
      <c r="J36" s="91" t="s">
        <v>222</v>
      </c>
      <c r="K36" s="92" t="s">
        <v>83</v>
      </c>
      <c r="L36" s="55"/>
    </row>
    <row r="37" spans="1:12" ht="12.75" customHeight="1" thickBot="1" x14ac:dyDescent="0.25">
      <c r="A37" s="90">
        <f t="shared" ref="A37:H37" si="14">SUM(A35:A36)</f>
        <v>3565</v>
      </c>
      <c r="B37" s="90">
        <f t="shared" si="14"/>
        <v>2843</v>
      </c>
      <c r="C37" s="90">
        <f t="shared" si="14"/>
        <v>722</v>
      </c>
      <c r="D37" s="90">
        <f t="shared" si="14"/>
        <v>11</v>
      </c>
      <c r="E37" s="90">
        <f t="shared" si="14"/>
        <v>9</v>
      </c>
      <c r="F37" s="90">
        <f t="shared" si="14"/>
        <v>2</v>
      </c>
      <c r="G37" s="90">
        <f t="shared" si="14"/>
        <v>3554</v>
      </c>
      <c r="H37" s="90">
        <f t="shared" si="14"/>
        <v>2834</v>
      </c>
      <c r="I37" s="90">
        <f>SUM(I35:I36)</f>
        <v>720</v>
      </c>
      <c r="J37" s="91" t="s">
        <v>13</v>
      </c>
      <c r="K37" s="93"/>
      <c r="L37" s="55"/>
    </row>
    <row r="38" spans="1:12" ht="12.75" customHeight="1" thickBot="1" x14ac:dyDescent="0.25">
      <c r="A38" s="90">
        <f t="shared" si="0"/>
        <v>56</v>
      </c>
      <c r="B38" s="90">
        <f t="shared" si="1"/>
        <v>56</v>
      </c>
      <c r="C38" s="90">
        <f t="shared" si="1"/>
        <v>0</v>
      </c>
      <c r="D38" s="90">
        <f t="shared" si="2"/>
        <v>0</v>
      </c>
      <c r="E38" s="90">
        <v>0</v>
      </c>
      <c r="F38" s="90">
        <v>0</v>
      </c>
      <c r="G38" s="90">
        <f t="shared" si="3"/>
        <v>56</v>
      </c>
      <c r="H38" s="90">
        <v>56</v>
      </c>
      <c r="I38" s="90">
        <v>0</v>
      </c>
      <c r="J38" s="91" t="s">
        <v>221</v>
      </c>
      <c r="K38" s="92"/>
      <c r="L38" s="55"/>
    </row>
    <row r="39" spans="1:12" ht="12.75" customHeight="1" thickBot="1" x14ac:dyDescent="0.25">
      <c r="A39" s="90">
        <f t="shared" si="0"/>
        <v>0</v>
      </c>
      <c r="B39" s="90">
        <f t="shared" si="1"/>
        <v>0</v>
      </c>
      <c r="C39" s="90">
        <f t="shared" si="1"/>
        <v>0</v>
      </c>
      <c r="D39" s="90">
        <f t="shared" si="2"/>
        <v>0</v>
      </c>
      <c r="E39" s="90">
        <v>0</v>
      </c>
      <c r="F39" s="90">
        <v>0</v>
      </c>
      <c r="G39" s="90">
        <f t="shared" si="3"/>
        <v>0</v>
      </c>
      <c r="H39" s="90">
        <v>0</v>
      </c>
      <c r="I39" s="90">
        <v>0</v>
      </c>
      <c r="J39" s="91" t="s">
        <v>222</v>
      </c>
      <c r="K39" s="92" t="s">
        <v>165</v>
      </c>
      <c r="L39" s="55"/>
    </row>
    <row r="40" spans="1:12" ht="12.75" customHeight="1" thickBot="1" x14ac:dyDescent="0.25">
      <c r="A40" s="90">
        <f t="shared" ref="A40:H40" si="15">SUM(A38:A39)</f>
        <v>56</v>
      </c>
      <c r="B40" s="90">
        <f t="shared" si="15"/>
        <v>56</v>
      </c>
      <c r="C40" s="90">
        <f t="shared" si="15"/>
        <v>0</v>
      </c>
      <c r="D40" s="90">
        <f t="shared" si="15"/>
        <v>0</v>
      </c>
      <c r="E40" s="90">
        <f t="shared" si="15"/>
        <v>0</v>
      </c>
      <c r="F40" s="90">
        <f t="shared" si="15"/>
        <v>0</v>
      </c>
      <c r="G40" s="90">
        <f t="shared" si="15"/>
        <v>56</v>
      </c>
      <c r="H40" s="90">
        <f t="shared" si="15"/>
        <v>56</v>
      </c>
      <c r="I40" s="90">
        <f>SUM(I38:I39)</f>
        <v>0</v>
      </c>
      <c r="J40" s="91" t="s">
        <v>13</v>
      </c>
      <c r="K40" s="93"/>
      <c r="L40" s="55"/>
    </row>
    <row r="41" spans="1:12" ht="12.75" customHeight="1" thickBot="1" x14ac:dyDescent="0.25">
      <c r="A41" s="90">
        <f t="shared" si="0"/>
        <v>3372</v>
      </c>
      <c r="B41" s="90">
        <f t="shared" si="1"/>
        <v>2627</v>
      </c>
      <c r="C41" s="90">
        <f t="shared" si="1"/>
        <v>745</v>
      </c>
      <c r="D41" s="90">
        <f t="shared" si="2"/>
        <v>18</v>
      </c>
      <c r="E41" s="90">
        <v>18</v>
      </c>
      <c r="F41" s="90">
        <v>0</v>
      </c>
      <c r="G41" s="90">
        <f t="shared" si="3"/>
        <v>3354</v>
      </c>
      <c r="H41" s="90">
        <v>2609</v>
      </c>
      <c r="I41" s="90">
        <v>745</v>
      </c>
      <c r="J41" s="91" t="s">
        <v>221</v>
      </c>
      <c r="K41" s="92"/>
      <c r="L41" s="55"/>
    </row>
    <row r="42" spans="1:12" ht="12.75" customHeight="1" thickBot="1" x14ac:dyDescent="0.25">
      <c r="A42" s="90">
        <f t="shared" si="0"/>
        <v>75</v>
      </c>
      <c r="B42" s="90">
        <f t="shared" si="1"/>
        <v>75</v>
      </c>
      <c r="C42" s="90">
        <f t="shared" si="1"/>
        <v>0</v>
      </c>
      <c r="D42" s="90">
        <f t="shared" si="2"/>
        <v>0</v>
      </c>
      <c r="E42" s="90">
        <v>0</v>
      </c>
      <c r="F42" s="90">
        <v>0</v>
      </c>
      <c r="G42" s="90">
        <f t="shared" si="3"/>
        <v>75</v>
      </c>
      <c r="H42" s="90">
        <v>75</v>
      </c>
      <c r="I42" s="90">
        <v>0</v>
      </c>
      <c r="J42" s="91" t="s">
        <v>222</v>
      </c>
      <c r="K42" s="92" t="s">
        <v>115</v>
      </c>
      <c r="L42" s="55"/>
    </row>
    <row r="43" spans="1:12" ht="12.75" customHeight="1" thickBot="1" x14ac:dyDescent="0.25">
      <c r="A43" s="90">
        <f t="shared" ref="A43:H43" si="16">SUM(A41:A42)</f>
        <v>3447</v>
      </c>
      <c r="B43" s="90">
        <f t="shared" si="16"/>
        <v>2702</v>
      </c>
      <c r="C43" s="90">
        <f t="shared" si="16"/>
        <v>745</v>
      </c>
      <c r="D43" s="90">
        <f t="shared" si="16"/>
        <v>18</v>
      </c>
      <c r="E43" s="90">
        <f t="shared" si="16"/>
        <v>18</v>
      </c>
      <c r="F43" s="90">
        <f t="shared" si="16"/>
        <v>0</v>
      </c>
      <c r="G43" s="90">
        <f t="shared" si="16"/>
        <v>3429</v>
      </c>
      <c r="H43" s="90">
        <f t="shared" si="16"/>
        <v>2684</v>
      </c>
      <c r="I43" s="90">
        <f>SUM(I41:I42)</f>
        <v>745</v>
      </c>
      <c r="J43" s="91" t="s">
        <v>13</v>
      </c>
      <c r="K43" s="93"/>
      <c r="L43" s="55"/>
    </row>
    <row r="44" spans="1:12" ht="12.75" customHeight="1" thickBot="1" x14ac:dyDescent="0.25">
      <c r="A44" s="90">
        <f t="shared" si="0"/>
        <v>2443</v>
      </c>
      <c r="B44" s="90">
        <f t="shared" si="1"/>
        <v>1775</v>
      </c>
      <c r="C44" s="90">
        <f t="shared" si="1"/>
        <v>668</v>
      </c>
      <c r="D44" s="90">
        <f t="shared" si="2"/>
        <v>33</v>
      </c>
      <c r="E44" s="90">
        <v>0</v>
      </c>
      <c r="F44" s="90">
        <v>33</v>
      </c>
      <c r="G44" s="90">
        <f t="shared" si="3"/>
        <v>2410</v>
      </c>
      <c r="H44" s="90">
        <v>1775</v>
      </c>
      <c r="I44" s="90">
        <v>635</v>
      </c>
      <c r="J44" s="91" t="s">
        <v>221</v>
      </c>
      <c r="K44" s="92"/>
      <c r="L44" s="55"/>
    </row>
    <row r="45" spans="1:12" ht="12.75" customHeight="1" thickBot="1" x14ac:dyDescent="0.25">
      <c r="A45" s="90">
        <f t="shared" si="0"/>
        <v>40</v>
      </c>
      <c r="B45" s="90">
        <f t="shared" si="1"/>
        <v>40</v>
      </c>
      <c r="C45" s="90">
        <f t="shared" si="1"/>
        <v>0</v>
      </c>
      <c r="D45" s="90">
        <f t="shared" si="2"/>
        <v>0</v>
      </c>
      <c r="E45" s="90">
        <v>0</v>
      </c>
      <c r="F45" s="90">
        <v>0</v>
      </c>
      <c r="G45" s="90">
        <f t="shared" si="3"/>
        <v>40</v>
      </c>
      <c r="H45" s="90">
        <v>40</v>
      </c>
      <c r="I45" s="90">
        <v>0</v>
      </c>
      <c r="J45" s="91" t="s">
        <v>222</v>
      </c>
      <c r="K45" s="92" t="s">
        <v>118</v>
      </c>
      <c r="L45" s="55"/>
    </row>
    <row r="46" spans="1:12" ht="12.75" customHeight="1" thickBot="1" x14ac:dyDescent="0.25">
      <c r="A46" s="90">
        <f t="shared" ref="A46" si="17">SUM(A44:A45)</f>
        <v>2483</v>
      </c>
      <c r="B46" s="90">
        <f t="shared" ref="B46:H46" si="18">SUM(B44:B45)</f>
        <v>1815</v>
      </c>
      <c r="C46" s="90">
        <f t="shared" si="18"/>
        <v>668</v>
      </c>
      <c r="D46" s="90">
        <f t="shared" si="18"/>
        <v>33</v>
      </c>
      <c r="E46" s="90">
        <f t="shared" si="18"/>
        <v>0</v>
      </c>
      <c r="F46" s="90">
        <f t="shared" si="18"/>
        <v>33</v>
      </c>
      <c r="G46" s="90">
        <f t="shared" si="18"/>
        <v>2450</v>
      </c>
      <c r="H46" s="90">
        <f t="shared" si="18"/>
        <v>1815</v>
      </c>
      <c r="I46" s="90">
        <f>SUM(I44:I45)</f>
        <v>635</v>
      </c>
      <c r="J46" s="91" t="s">
        <v>13</v>
      </c>
      <c r="K46" s="93"/>
      <c r="L46" s="55"/>
    </row>
    <row r="47" spans="1:12" ht="12.75" customHeight="1" thickBot="1" x14ac:dyDescent="0.25">
      <c r="A47" s="90">
        <f t="shared" si="0"/>
        <v>1577</v>
      </c>
      <c r="B47" s="90">
        <f t="shared" si="1"/>
        <v>1201</v>
      </c>
      <c r="C47" s="90">
        <f t="shared" si="1"/>
        <v>376</v>
      </c>
      <c r="D47" s="90">
        <f t="shared" si="2"/>
        <v>53</v>
      </c>
      <c r="E47" s="90">
        <v>41</v>
      </c>
      <c r="F47" s="90">
        <v>12</v>
      </c>
      <c r="G47" s="90">
        <f t="shared" si="3"/>
        <v>1524</v>
      </c>
      <c r="H47" s="90">
        <v>1160</v>
      </c>
      <c r="I47" s="90">
        <v>364</v>
      </c>
      <c r="J47" s="91" t="s">
        <v>221</v>
      </c>
      <c r="K47" s="92"/>
      <c r="L47" s="55"/>
    </row>
    <row r="48" spans="1:12" ht="12.75" customHeight="1" thickBot="1" x14ac:dyDescent="0.25">
      <c r="A48" s="90">
        <f t="shared" si="0"/>
        <v>18</v>
      </c>
      <c r="B48" s="90">
        <f t="shared" si="1"/>
        <v>18</v>
      </c>
      <c r="C48" s="90">
        <f t="shared" si="1"/>
        <v>0</v>
      </c>
      <c r="D48" s="90">
        <f t="shared" si="2"/>
        <v>0</v>
      </c>
      <c r="E48" s="90">
        <v>0</v>
      </c>
      <c r="F48" s="90">
        <v>0</v>
      </c>
      <c r="G48" s="90">
        <f t="shared" si="3"/>
        <v>18</v>
      </c>
      <c r="H48" s="90">
        <v>18</v>
      </c>
      <c r="I48" s="90">
        <v>0</v>
      </c>
      <c r="J48" s="91" t="s">
        <v>222</v>
      </c>
      <c r="K48" s="92" t="s">
        <v>120</v>
      </c>
      <c r="L48" s="55"/>
    </row>
    <row r="49" spans="1:12" ht="12.75" customHeight="1" thickBot="1" x14ac:dyDescent="0.25">
      <c r="A49" s="90">
        <f t="shared" ref="A49:H49" si="19">SUM(A47:A48)</f>
        <v>1595</v>
      </c>
      <c r="B49" s="90">
        <f t="shared" si="19"/>
        <v>1219</v>
      </c>
      <c r="C49" s="90">
        <f t="shared" si="19"/>
        <v>376</v>
      </c>
      <c r="D49" s="90">
        <f t="shared" si="19"/>
        <v>53</v>
      </c>
      <c r="E49" s="90">
        <f t="shared" si="19"/>
        <v>41</v>
      </c>
      <c r="F49" s="90">
        <f t="shared" si="19"/>
        <v>12</v>
      </c>
      <c r="G49" s="90">
        <f t="shared" si="19"/>
        <v>1542</v>
      </c>
      <c r="H49" s="90">
        <f t="shared" si="19"/>
        <v>1178</v>
      </c>
      <c r="I49" s="90">
        <f>SUM(I47:I48)</f>
        <v>364</v>
      </c>
      <c r="J49" s="91" t="s">
        <v>13</v>
      </c>
      <c r="K49" s="93"/>
      <c r="L49" s="55"/>
    </row>
    <row r="50" spans="1:12" ht="12.75" customHeight="1" thickBot="1" x14ac:dyDescent="0.25">
      <c r="A50" s="90">
        <f t="shared" si="0"/>
        <v>2391</v>
      </c>
      <c r="B50" s="90">
        <f t="shared" si="1"/>
        <v>1860</v>
      </c>
      <c r="C50" s="90">
        <f t="shared" si="1"/>
        <v>531</v>
      </c>
      <c r="D50" s="90">
        <f t="shared" si="2"/>
        <v>410</v>
      </c>
      <c r="E50" s="90">
        <v>1</v>
      </c>
      <c r="F50" s="90">
        <v>409</v>
      </c>
      <c r="G50" s="90">
        <f t="shared" si="3"/>
        <v>1981</v>
      </c>
      <c r="H50" s="90">
        <v>1859</v>
      </c>
      <c r="I50" s="90">
        <v>122</v>
      </c>
      <c r="J50" s="91" t="s">
        <v>221</v>
      </c>
      <c r="K50" s="92"/>
      <c r="L50" s="55"/>
    </row>
    <row r="51" spans="1:12" ht="12.75" customHeight="1" thickBot="1" x14ac:dyDescent="0.25">
      <c r="A51" s="90">
        <f t="shared" si="0"/>
        <v>14</v>
      </c>
      <c r="B51" s="90">
        <f t="shared" si="1"/>
        <v>14</v>
      </c>
      <c r="C51" s="90">
        <f t="shared" si="1"/>
        <v>0</v>
      </c>
      <c r="D51" s="90">
        <f t="shared" si="2"/>
        <v>0</v>
      </c>
      <c r="E51" s="90">
        <v>0</v>
      </c>
      <c r="F51" s="90">
        <v>0</v>
      </c>
      <c r="G51" s="90">
        <f t="shared" si="3"/>
        <v>14</v>
      </c>
      <c r="H51" s="90">
        <v>14</v>
      </c>
      <c r="I51" s="90">
        <v>0</v>
      </c>
      <c r="J51" s="91" t="s">
        <v>222</v>
      </c>
      <c r="K51" s="92" t="s">
        <v>124</v>
      </c>
      <c r="L51" s="55"/>
    </row>
    <row r="52" spans="1:12" ht="12.75" customHeight="1" thickBot="1" x14ac:dyDescent="0.25">
      <c r="A52" s="90">
        <f t="shared" ref="A52:H52" si="20">SUM(A50:A51)</f>
        <v>2405</v>
      </c>
      <c r="B52" s="90">
        <f t="shared" si="20"/>
        <v>1874</v>
      </c>
      <c r="C52" s="90">
        <f t="shared" si="20"/>
        <v>531</v>
      </c>
      <c r="D52" s="90">
        <f t="shared" si="20"/>
        <v>410</v>
      </c>
      <c r="E52" s="90">
        <f t="shared" si="20"/>
        <v>1</v>
      </c>
      <c r="F52" s="90">
        <f t="shared" si="20"/>
        <v>409</v>
      </c>
      <c r="G52" s="90">
        <f t="shared" si="20"/>
        <v>1995</v>
      </c>
      <c r="H52" s="90">
        <f t="shared" si="20"/>
        <v>1873</v>
      </c>
      <c r="I52" s="90">
        <f>SUM(I50:I51)</f>
        <v>122</v>
      </c>
      <c r="J52" s="91" t="s">
        <v>13</v>
      </c>
      <c r="K52" s="93"/>
      <c r="L52" s="55"/>
    </row>
    <row r="53" spans="1:12" ht="12.75" customHeight="1" thickBot="1" x14ac:dyDescent="0.25">
      <c r="A53" s="90">
        <f t="shared" si="0"/>
        <v>2140</v>
      </c>
      <c r="B53" s="90">
        <f t="shared" si="1"/>
        <v>1777</v>
      </c>
      <c r="C53" s="90">
        <f t="shared" si="1"/>
        <v>363</v>
      </c>
      <c r="D53" s="90">
        <f t="shared" si="2"/>
        <v>0</v>
      </c>
      <c r="E53" s="90">
        <v>0</v>
      </c>
      <c r="F53" s="90">
        <v>0</v>
      </c>
      <c r="G53" s="90">
        <f t="shared" si="3"/>
        <v>2140</v>
      </c>
      <c r="H53" s="90">
        <v>1777</v>
      </c>
      <c r="I53" s="90">
        <v>363</v>
      </c>
      <c r="J53" s="91" t="s">
        <v>221</v>
      </c>
      <c r="K53" s="92"/>
      <c r="L53" s="55"/>
    </row>
    <row r="54" spans="1:12" ht="12.75" customHeight="1" thickBot="1" x14ac:dyDescent="0.25">
      <c r="A54" s="90">
        <f t="shared" si="0"/>
        <v>19</v>
      </c>
      <c r="B54" s="90">
        <f t="shared" si="1"/>
        <v>19</v>
      </c>
      <c r="C54" s="90">
        <f t="shared" si="1"/>
        <v>0</v>
      </c>
      <c r="D54" s="90">
        <f t="shared" si="2"/>
        <v>0</v>
      </c>
      <c r="E54" s="90">
        <v>0</v>
      </c>
      <c r="F54" s="90">
        <v>0</v>
      </c>
      <c r="G54" s="90">
        <f t="shared" si="3"/>
        <v>19</v>
      </c>
      <c r="H54" s="90">
        <v>19</v>
      </c>
      <c r="I54" s="90">
        <v>0</v>
      </c>
      <c r="J54" s="91" t="s">
        <v>222</v>
      </c>
      <c r="K54" s="92" t="s">
        <v>126</v>
      </c>
      <c r="L54" s="55"/>
    </row>
    <row r="55" spans="1:12" ht="12.75" customHeight="1" thickBot="1" x14ac:dyDescent="0.25">
      <c r="A55" s="90">
        <f t="shared" ref="A55:H55" si="21">SUM(A53:A54)</f>
        <v>2159</v>
      </c>
      <c r="B55" s="90">
        <f t="shared" si="21"/>
        <v>1796</v>
      </c>
      <c r="C55" s="90">
        <f t="shared" si="21"/>
        <v>363</v>
      </c>
      <c r="D55" s="90">
        <f t="shared" si="21"/>
        <v>0</v>
      </c>
      <c r="E55" s="90">
        <f t="shared" si="21"/>
        <v>0</v>
      </c>
      <c r="F55" s="90">
        <f t="shared" si="21"/>
        <v>0</v>
      </c>
      <c r="G55" s="90">
        <f t="shared" si="21"/>
        <v>2159</v>
      </c>
      <c r="H55" s="90">
        <f t="shared" si="21"/>
        <v>1796</v>
      </c>
      <c r="I55" s="90">
        <f>SUM(I53:I54)</f>
        <v>363</v>
      </c>
      <c r="J55" s="91" t="s">
        <v>13</v>
      </c>
      <c r="K55" s="93"/>
      <c r="L55" s="55"/>
    </row>
    <row r="56" spans="1:12" ht="12.75" customHeight="1" thickBot="1" x14ac:dyDescent="0.25">
      <c r="A56" s="90">
        <f t="shared" si="0"/>
        <v>727</v>
      </c>
      <c r="B56" s="90">
        <f t="shared" si="1"/>
        <v>727</v>
      </c>
      <c r="C56" s="90">
        <f t="shared" si="1"/>
        <v>0</v>
      </c>
      <c r="D56" s="90">
        <f t="shared" si="2"/>
        <v>4</v>
      </c>
      <c r="E56" s="90">
        <v>4</v>
      </c>
      <c r="F56" s="90">
        <v>0</v>
      </c>
      <c r="G56" s="90">
        <f t="shared" si="3"/>
        <v>723</v>
      </c>
      <c r="H56" s="90">
        <v>723</v>
      </c>
      <c r="I56" s="90">
        <v>0</v>
      </c>
      <c r="J56" s="91" t="s">
        <v>221</v>
      </c>
      <c r="K56" s="92"/>
      <c r="L56" s="55"/>
    </row>
    <row r="57" spans="1:12" ht="12.75" customHeight="1" thickBot="1" x14ac:dyDescent="0.25">
      <c r="A57" s="90">
        <f t="shared" si="0"/>
        <v>45</v>
      </c>
      <c r="B57" s="90">
        <f t="shared" si="1"/>
        <v>45</v>
      </c>
      <c r="C57" s="90">
        <f t="shared" si="1"/>
        <v>0</v>
      </c>
      <c r="D57" s="90">
        <f t="shared" si="2"/>
        <v>3</v>
      </c>
      <c r="E57" s="90">
        <v>3</v>
      </c>
      <c r="F57" s="90">
        <v>0</v>
      </c>
      <c r="G57" s="90">
        <f t="shared" si="3"/>
        <v>42</v>
      </c>
      <c r="H57" s="90">
        <v>42</v>
      </c>
      <c r="I57" s="90">
        <v>0</v>
      </c>
      <c r="J57" s="91" t="s">
        <v>222</v>
      </c>
      <c r="K57" s="92" t="s">
        <v>129</v>
      </c>
      <c r="L57" s="55"/>
    </row>
    <row r="58" spans="1:12" ht="12.75" customHeight="1" thickBot="1" x14ac:dyDescent="0.25">
      <c r="A58" s="90">
        <f t="shared" ref="A58:H58" si="22">SUM(A56:A57)</f>
        <v>772</v>
      </c>
      <c r="B58" s="90">
        <f t="shared" si="22"/>
        <v>772</v>
      </c>
      <c r="C58" s="90">
        <f t="shared" si="22"/>
        <v>0</v>
      </c>
      <c r="D58" s="90">
        <f t="shared" si="22"/>
        <v>7</v>
      </c>
      <c r="E58" s="90">
        <f t="shared" si="22"/>
        <v>7</v>
      </c>
      <c r="F58" s="90">
        <f t="shared" si="22"/>
        <v>0</v>
      </c>
      <c r="G58" s="90">
        <f t="shared" si="22"/>
        <v>765</v>
      </c>
      <c r="H58" s="90">
        <f t="shared" si="22"/>
        <v>765</v>
      </c>
      <c r="I58" s="90">
        <f>SUM(I56:I57)</f>
        <v>0</v>
      </c>
      <c r="J58" s="91" t="s">
        <v>13</v>
      </c>
      <c r="K58" s="93"/>
      <c r="L58" s="55"/>
    </row>
    <row r="59" spans="1:12" ht="12.75" customHeight="1" thickBot="1" x14ac:dyDescent="0.25">
      <c r="A59" s="90">
        <f t="shared" si="0"/>
        <v>7646</v>
      </c>
      <c r="B59" s="90">
        <f t="shared" si="1"/>
        <v>7646</v>
      </c>
      <c r="C59" s="90">
        <f t="shared" si="1"/>
        <v>0</v>
      </c>
      <c r="D59" s="90">
        <f t="shared" si="2"/>
        <v>22</v>
      </c>
      <c r="E59" s="90">
        <v>22</v>
      </c>
      <c r="F59" s="90">
        <v>0</v>
      </c>
      <c r="G59" s="90">
        <f t="shared" si="3"/>
        <v>7624</v>
      </c>
      <c r="H59" s="90">
        <v>7624</v>
      </c>
      <c r="I59" s="90">
        <v>0</v>
      </c>
      <c r="J59" s="91" t="s">
        <v>221</v>
      </c>
      <c r="K59" s="92"/>
      <c r="L59" s="55"/>
    </row>
    <row r="60" spans="1:12" ht="12.75" customHeight="1" thickBot="1" x14ac:dyDescent="0.25">
      <c r="A60" s="90">
        <f t="shared" si="0"/>
        <v>280</v>
      </c>
      <c r="B60" s="90">
        <f t="shared" si="1"/>
        <v>280</v>
      </c>
      <c r="C60" s="90">
        <f t="shared" si="1"/>
        <v>0</v>
      </c>
      <c r="D60" s="90">
        <f t="shared" si="2"/>
        <v>0</v>
      </c>
      <c r="E60" s="90">
        <v>0</v>
      </c>
      <c r="F60" s="90">
        <v>0</v>
      </c>
      <c r="G60" s="90">
        <f t="shared" si="3"/>
        <v>280</v>
      </c>
      <c r="H60" s="90">
        <v>280</v>
      </c>
      <c r="I60" s="90">
        <v>0</v>
      </c>
      <c r="J60" s="91" t="s">
        <v>222</v>
      </c>
      <c r="K60" s="92" t="s">
        <v>131</v>
      </c>
      <c r="L60" s="55"/>
    </row>
    <row r="61" spans="1:12" ht="12.75" customHeight="1" thickBot="1" x14ac:dyDescent="0.25">
      <c r="A61" s="90">
        <f t="shared" ref="A61:H61" si="23">SUM(A59:A60)</f>
        <v>7926</v>
      </c>
      <c r="B61" s="90">
        <f t="shared" si="23"/>
        <v>7926</v>
      </c>
      <c r="C61" s="90">
        <f t="shared" si="23"/>
        <v>0</v>
      </c>
      <c r="D61" s="90">
        <f t="shared" si="23"/>
        <v>22</v>
      </c>
      <c r="E61" s="90">
        <f t="shared" si="23"/>
        <v>22</v>
      </c>
      <c r="F61" s="90">
        <f t="shared" si="23"/>
        <v>0</v>
      </c>
      <c r="G61" s="90">
        <f t="shared" si="23"/>
        <v>7904</v>
      </c>
      <c r="H61" s="90">
        <f t="shared" si="23"/>
        <v>7904</v>
      </c>
      <c r="I61" s="90">
        <f>SUM(I59:I60)</f>
        <v>0</v>
      </c>
      <c r="J61" s="91" t="s">
        <v>13</v>
      </c>
      <c r="K61" s="93"/>
      <c r="L61" s="55"/>
    </row>
    <row r="62" spans="1:12" ht="12.75" customHeight="1" thickBot="1" x14ac:dyDescent="0.25">
      <c r="A62" s="90">
        <f t="shared" si="0"/>
        <v>1095</v>
      </c>
      <c r="B62" s="90">
        <f t="shared" si="1"/>
        <v>903</v>
      </c>
      <c r="C62" s="90">
        <f t="shared" si="1"/>
        <v>192</v>
      </c>
      <c r="D62" s="90">
        <f t="shared" si="2"/>
        <v>0</v>
      </c>
      <c r="E62" s="90">
        <v>0</v>
      </c>
      <c r="F62" s="90">
        <v>0</v>
      </c>
      <c r="G62" s="90">
        <f t="shared" si="3"/>
        <v>1095</v>
      </c>
      <c r="H62" s="90">
        <v>903</v>
      </c>
      <c r="I62" s="90">
        <v>192</v>
      </c>
      <c r="J62" s="91" t="s">
        <v>221</v>
      </c>
      <c r="K62" s="92"/>
      <c r="L62" s="55"/>
    </row>
    <row r="63" spans="1:12" ht="12.75" customHeight="1" thickBot="1" x14ac:dyDescent="0.25">
      <c r="A63" s="90">
        <f t="shared" si="0"/>
        <v>48</v>
      </c>
      <c r="B63" s="90">
        <f t="shared" si="1"/>
        <v>48</v>
      </c>
      <c r="C63" s="90">
        <f t="shared" si="1"/>
        <v>0</v>
      </c>
      <c r="D63" s="90">
        <f t="shared" si="2"/>
        <v>0</v>
      </c>
      <c r="E63" s="90">
        <v>0</v>
      </c>
      <c r="F63" s="90">
        <v>0</v>
      </c>
      <c r="G63" s="90">
        <f t="shared" si="3"/>
        <v>48</v>
      </c>
      <c r="H63" s="90">
        <v>48</v>
      </c>
      <c r="I63" s="90">
        <v>0</v>
      </c>
      <c r="J63" s="91" t="s">
        <v>222</v>
      </c>
      <c r="K63" s="92" t="s">
        <v>133</v>
      </c>
      <c r="L63" s="55"/>
    </row>
    <row r="64" spans="1:12" ht="12.75" customHeight="1" thickBot="1" x14ac:dyDescent="0.25">
      <c r="A64" s="90">
        <f t="shared" ref="A64:H64" si="24">SUM(A62:A63)</f>
        <v>1143</v>
      </c>
      <c r="B64" s="90">
        <f t="shared" si="24"/>
        <v>951</v>
      </c>
      <c r="C64" s="90">
        <f t="shared" si="24"/>
        <v>192</v>
      </c>
      <c r="D64" s="90">
        <f t="shared" si="24"/>
        <v>0</v>
      </c>
      <c r="E64" s="90">
        <f t="shared" si="24"/>
        <v>0</v>
      </c>
      <c r="F64" s="90">
        <f t="shared" si="24"/>
        <v>0</v>
      </c>
      <c r="G64" s="90">
        <f t="shared" si="24"/>
        <v>1143</v>
      </c>
      <c r="H64" s="90">
        <f t="shared" si="24"/>
        <v>951</v>
      </c>
      <c r="I64" s="90">
        <f>SUM(I62:I63)</f>
        <v>192</v>
      </c>
      <c r="J64" s="91" t="s">
        <v>13</v>
      </c>
      <c r="K64" s="93"/>
      <c r="L64" s="55"/>
    </row>
    <row r="65" spans="1:12" ht="12.75" customHeight="1" thickBot="1" x14ac:dyDescent="0.25">
      <c r="A65" s="90">
        <f t="shared" si="0"/>
        <v>305</v>
      </c>
      <c r="B65" s="90">
        <f t="shared" si="1"/>
        <v>0</v>
      </c>
      <c r="C65" s="90">
        <f t="shared" si="1"/>
        <v>305</v>
      </c>
      <c r="D65" s="90">
        <f t="shared" si="2"/>
        <v>0</v>
      </c>
      <c r="E65" s="90">
        <v>0</v>
      </c>
      <c r="F65" s="90">
        <v>0</v>
      </c>
      <c r="G65" s="90">
        <f t="shared" si="3"/>
        <v>305</v>
      </c>
      <c r="H65" s="90">
        <v>0</v>
      </c>
      <c r="I65" s="90">
        <v>305</v>
      </c>
      <c r="J65" s="91" t="s">
        <v>221</v>
      </c>
      <c r="K65" s="92"/>
      <c r="L65" s="55"/>
    </row>
    <row r="66" spans="1:12" ht="12.75" customHeight="1" thickBot="1" x14ac:dyDescent="0.25">
      <c r="A66" s="90">
        <f t="shared" si="0"/>
        <v>0</v>
      </c>
      <c r="B66" s="90">
        <f t="shared" si="1"/>
        <v>0</v>
      </c>
      <c r="C66" s="90">
        <f t="shared" si="1"/>
        <v>0</v>
      </c>
      <c r="D66" s="90">
        <f t="shared" si="2"/>
        <v>0</v>
      </c>
      <c r="E66" s="90">
        <v>0</v>
      </c>
      <c r="F66" s="90">
        <v>0</v>
      </c>
      <c r="G66" s="90">
        <f t="shared" si="3"/>
        <v>0</v>
      </c>
      <c r="H66" s="90">
        <v>0</v>
      </c>
      <c r="I66" s="90">
        <v>0</v>
      </c>
      <c r="J66" s="91" t="s">
        <v>222</v>
      </c>
      <c r="K66" s="92" t="s">
        <v>168</v>
      </c>
      <c r="L66" s="55"/>
    </row>
    <row r="67" spans="1:12" ht="12.75" customHeight="1" thickBot="1" x14ac:dyDescent="0.25">
      <c r="A67" s="90">
        <f t="shared" ref="A67:H67" si="25">SUM(A65:A66)</f>
        <v>305</v>
      </c>
      <c r="B67" s="90">
        <f t="shared" si="25"/>
        <v>0</v>
      </c>
      <c r="C67" s="90">
        <f t="shared" si="25"/>
        <v>305</v>
      </c>
      <c r="D67" s="90">
        <f t="shared" si="25"/>
        <v>0</v>
      </c>
      <c r="E67" s="90">
        <f t="shared" si="25"/>
        <v>0</v>
      </c>
      <c r="F67" s="90">
        <f t="shared" si="25"/>
        <v>0</v>
      </c>
      <c r="G67" s="90">
        <f t="shared" si="25"/>
        <v>305</v>
      </c>
      <c r="H67" s="90">
        <f t="shared" si="25"/>
        <v>0</v>
      </c>
      <c r="I67" s="90">
        <f>SUM(I65:I66)</f>
        <v>305</v>
      </c>
      <c r="J67" s="91" t="s">
        <v>13</v>
      </c>
      <c r="K67" s="93"/>
      <c r="L67" s="55"/>
    </row>
    <row r="68" spans="1:12" ht="12.75" customHeight="1" thickBot="1" x14ac:dyDescent="0.25">
      <c r="A68" s="90">
        <f t="shared" si="0"/>
        <v>103</v>
      </c>
      <c r="B68" s="90">
        <f t="shared" si="1"/>
        <v>0</v>
      </c>
      <c r="C68" s="90">
        <f t="shared" si="1"/>
        <v>103</v>
      </c>
      <c r="D68" s="90">
        <f t="shared" si="2"/>
        <v>0</v>
      </c>
      <c r="E68" s="90">
        <v>0</v>
      </c>
      <c r="F68" s="90">
        <v>0</v>
      </c>
      <c r="G68" s="90">
        <f t="shared" si="3"/>
        <v>103</v>
      </c>
      <c r="H68" s="90">
        <v>0</v>
      </c>
      <c r="I68" s="90">
        <v>103</v>
      </c>
      <c r="J68" s="91" t="s">
        <v>221</v>
      </c>
      <c r="K68" s="92"/>
      <c r="L68" s="55"/>
    </row>
    <row r="69" spans="1:12" ht="12.75" customHeight="1" thickBot="1" x14ac:dyDescent="0.25">
      <c r="A69" s="90">
        <f t="shared" si="0"/>
        <v>0</v>
      </c>
      <c r="B69" s="90">
        <f t="shared" si="1"/>
        <v>0</v>
      </c>
      <c r="C69" s="90">
        <f t="shared" si="1"/>
        <v>0</v>
      </c>
      <c r="D69" s="90">
        <f t="shared" si="2"/>
        <v>0</v>
      </c>
      <c r="E69" s="90">
        <v>0</v>
      </c>
      <c r="F69" s="90">
        <v>0</v>
      </c>
      <c r="G69" s="90">
        <f t="shared" si="3"/>
        <v>0</v>
      </c>
      <c r="H69" s="90">
        <v>0</v>
      </c>
      <c r="I69" s="90">
        <v>0</v>
      </c>
      <c r="J69" s="91" t="s">
        <v>222</v>
      </c>
      <c r="K69" s="92" t="s">
        <v>170</v>
      </c>
      <c r="L69" s="55"/>
    </row>
    <row r="70" spans="1:12" ht="12.75" customHeight="1" thickBot="1" x14ac:dyDescent="0.25">
      <c r="A70" s="90">
        <f t="shared" ref="A70:H70" si="26">SUM(A68:A69)</f>
        <v>103</v>
      </c>
      <c r="B70" s="90">
        <f t="shared" si="26"/>
        <v>0</v>
      </c>
      <c r="C70" s="90">
        <f t="shared" si="26"/>
        <v>103</v>
      </c>
      <c r="D70" s="90">
        <f t="shared" si="26"/>
        <v>0</v>
      </c>
      <c r="E70" s="90">
        <f t="shared" si="26"/>
        <v>0</v>
      </c>
      <c r="F70" s="90">
        <f t="shared" si="26"/>
        <v>0</v>
      </c>
      <c r="G70" s="90">
        <f t="shared" si="26"/>
        <v>103</v>
      </c>
      <c r="H70" s="90">
        <f t="shared" si="26"/>
        <v>0</v>
      </c>
      <c r="I70" s="90">
        <f>SUM(I68:I69)</f>
        <v>103</v>
      </c>
      <c r="J70" s="91" t="s">
        <v>13</v>
      </c>
      <c r="K70" s="93"/>
      <c r="L70" s="55"/>
    </row>
    <row r="71" spans="1:12" ht="12.75" customHeight="1" thickBot="1" x14ac:dyDescent="0.25">
      <c r="A71" s="90">
        <f t="shared" ref="A71:A72" si="27">SUM(B71:C71)</f>
        <v>606</v>
      </c>
      <c r="B71" s="90">
        <f t="shared" ref="B71:C72" si="28">H71+E71</f>
        <v>357</v>
      </c>
      <c r="C71" s="90">
        <f t="shared" si="28"/>
        <v>249</v>
      </c>
      <c r="D71" s="90">
        <f t="shared" ref="D71:D72" si="29">SUM(E71:F71)</f>
        <v>316</v>
      </c>
      <c r="E71" s="90">
        <v>202</v>
      </c>
      <c r="F71" s="90">
        <v>114</v>
      </c>
      <c r="G71" s="90">
        <f t="shared" ref="G71:G72" si="30">SUM(H71:I71)</f>
        <v>290</v>
      </c>
      <c r="H71" s="90">
        <v>155</v>
      </c>
      <c r="I71" s="90">
        <v>135</v>
      </c>
      <c r="J71" s="91" t="s">
        <v>221</v>
      </c>
      <c r="K71" s="92"/>
      <c r="L71" s="55"/>
    </row>
    <row r="72" spans="1:12" ht="12.75" customHeight="1" thickBot="1" x14ac:dyDescent="0.25">
      <c r="A72" s="90">
        <f t="shared" si="27"/>
        <v>0</v>
      </c>
      <c r="B72" s="90">
        <f t="shared" si="28"/>
        <v>0</v>
      </c>
      <c r="C72" s="90">
        <f t="shared" si="28"/>
        <v>0</v>
      </c>
      <c r="D72" s="90">
        <f t="shared" si="29"/>
        <v>0</v>
      </c>
      <c r="E72" s="90">
        <v>0</v>
      </c>
      <c r="F72" s="90">
        <v>0</v>
      </c>
      <c r="G72" s="90">
        <f t="shared" si="30"/>
        <v>0</v>
      </c>
      <c r="H72" s="90">
        <v>0</v>
      </c>
      <c r="I72" s="90">
        <v>0</v>
      </c>
      <c r="J72" s="91" t="s">
        <v>222</v>
      </c>
      <c r="K72" s="92" t="s">
        <v>173</v>
      </c>
      <c r="L72" s="55"/>
    </row>
    <row r="73" spans="1:12" ht="12.75" customHeight="1" thickBot="1" x14ac:dyDescent="0.25">
      <c r="A73" s="90">
        <f t="shared" ref="A73:H73" si="31">SUM(A71:A72)</f>
        <v>606</v>
      </c>
      <c r="B73" s="90">
        <f t="shared" si="31"/>
        <v>357</v>
      </c>
      <c r="C73" s="90">
        <f t="shared" si="31"/>
        <v>249</v>
      </c>
      <c r="D73" s="90">
        <f t="shared" si="31"/>
        <v>316</v>
      </c>
      <c r="E73" s="90">
        <f t="shared" si="31"/>
        <v>202</v>
      </c>
      <c r="F73" s="90">
        <f t="shared" si="31"/>
        <v>114</v>
      </c>
      <c r="G73" s="90">
        <f t="shared" si="31"/>
        <v>290</v>
      </c>
      <c r="H73" s="90">
        <f t="shared" si="31"/>
        <v>155</v>
      </c>
      <c r="I73" s="90">
        <f>SUM(I71:I72)</f>
        <v>135</v>
      </c>
      <c r="J73" s="91" t="s">
        <v>13</v>
      </c>
      <c r="K73" s="93"/>
      <c r="L73" s="55"/>
    </row>
    <row r="74" spans="1:12" ht="12.75" customHeight="1" thickBot="1" x14ac:dyDescent="0.25">
      <c r="A74" s="90">
        <f t="shared" ref="A74:I76" si="32">A5+A8+A11+A14+A17+A20+A23+A26+A29+A32+A35+A38+A41+A44+A47+A50+A53+A56+A59+A62+A65+A68+A71</f>
        <v>79024</v>
      </c>
      <c r="B74" s="90">
        <f t="shared" si="32"/>
        <v>55185</v>
      </c>
      <c r="C74" s="90">
        <f t="shared" si="32"/>
        <v>23839</v>
      </c>
      <c r="D74" s="90">
        <f t="shared" si="32"/>
        <v>2235</v>
      </c>
      <c r="E74" s="90">
        <f t="shared" si="32"/>
        <v>691</v>
      </c>
      <c r="F74" s="90">
        <f t="shared" si="32"/>
        <v>1544</v>
      </c>
      <c r="G74" s="90">
        <f t="shared" si="32"/>
        <v>76789</v>
      </c>
      <c r="H74" s="90">
        <f t="shared" si="32"/>
        <v>54494</v>
      </c>
      <c r="I74" s="90">
        <f>I5+I8+I11+I14+I17+I20+I23+I26+I29+I32+I35+I38+I41+I44+I47+I50+I53+I56+I59+I62+I65+I68+I71</f>
        <v>22295</v>
      </c>
      <c r="J74" s="91" t="s">
        <v>224</v>
      </c>
      <c r="K74" s="94"/>
      <c r="L74" s="55"/>
    </row>
    <row r="75" spans="1:12" ht="12.75" customHeight="1" thickBot="1" x14ac:dyDescent="0.25">
      <c r="A75" s="90">
        <f t="shared" si="32"/>
        <v>3595</v>
      </c>
      <c r="B75" s="90">
        <f t="shared" si="32"/>
        <v>1974</v>
      </c>
      <c r="C75" s="90">
        <f t="shared" si="32"/>
        <v>1621</v>
      </c>
      <c r="D75" s="90">
        <f t="shared" si="32"/>
        <v>206</v>
      </c>
      <c r="E75" s="90">
        <f t="shared" si="32"/>
        <v>166</v>
      </c>
      <c r="F75" s="90">
        <f t="shared" si="32"/>
        <v>40</v>
      </c>
      <c r="G75" s="90">
        <f t="shared" si="32"/>
        <v>3389</v>
      </c>
      <c r="H75" s="90">
        <f t="shared" si="32"/>
        <v>1808</v>
      </c>
      <c r="I75" s="90">
        <f t="shared" si="32"/>
        <v>1581</v>
      </c>
      <c r="J75" s="91" t="s">
        <v>225</v>
      </c>
      <c r="K75" s="95" t="s">
        <v>211</v>
      </c>
      <c r="L75" s="55"/>
    </row>
    <row r="76" spans="1:12" ht="12.75" customHeight="1" thickBot="1" x14ac:dyDescent="0.25">
      <c r="A76" s="90">
        <f t="shared" si="32"/>
        <v>82619</v>
      </c>
      <c r="B76" s="90">
        <f t="shared" si="32"/>
        <v>57159</v>
      </c>
      <c r="C76" s="90">
        <f t="shared" si="32"/>
        <v>25460</v>
      </c>
      <c r="D76" s="90">
        <f t="shared" si="32"/>
        <v>2441</v>
      </c>
      <c r="E76" s="90">
        <f t="shared" si="32"/>
        <v>857</v>
      </c>
      <c r="F76" s="90">
        <f t="shared" si="32"/>
        <v>1584</v>
      </c>
      <c r="G76" s="90">
        <f t="shared" si="32"/>
        <v>80178</v>
      </c>
      <c r="H76" s="90">
        <f t="shared" si="32"/>
        <v>56302</v>
      </c>
      <c r="I76" s="90">
        <f t="shared" si="32"/>
        <v>23876</v>
      </c>
      <c r="J76" s="91" t="s">
        <v>13</v>
      </c>
      <c r="K76" s="96"/>
      <c r="L76" s="55"/>
    </row>
  </sheetData>
  <mergeCells count="7">
    <mergeCell ref="J4:K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scale="58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4"/>
  <sheetViews>
    <sheetView showGridLines="0" topLeftCell="A34" zoomScaleNormal="100" zoomScaleSheetLayoutView="100" workbookViewId="0">
      <selection activeCell="G206" sqref="G206"/>
    </sheetView>
  </sheetViews>
  <sheetFormatPr defaultRowHeight="12.75" customHeight="1" x14ac:dyDescent="0.2"/>
  <cols>
    <col min="1" max="9" width="9.625" style="56" customWidth="1"/>
    <col min="10" max="10" width="5.75" style="56" bestFit="1" customWidth="1"/>
    <col min="11" max="11" width="21.625" style="56" bestFit="1" customWidth="1"/>
    <col min="12" max="12" width="4.875" style="56" customWidth="1"/>
    <col min="13" max="256" width="9" style="56"/>
    <col min="257" max="265" width="9.625" style="56" customWidth="1"/>
    <col min="266" max="266" width="5.75" style="56" bestFit="1" customWidth="1"/>
    <col min="267" max="267" width="21.625" style="56" bestFit="1" customWidth="1"/>
    <col min="268" max="268" width="4.875" style="56" customWidth="1"/>
    <col min="269" max="512" width="9" style="56"/>
    <col min="513" max="521" width="9.625" style="56" customWidth="1"/>
    <col min="522" max="522" width="5.75" style="56" bestFit="1" customWidth="1"/>
    <col min="523" max="523" width="21.625" style="56" bestFit="1" customWidth="1"/>
    <col min="524" max="524" width="4.875" style="56" customWidth="1"/>
    <col min="525" max="768" width="9" style="56"/>
    <col min="769" max="777" width="9.625" style="56" customWidth="1"/>
    <col min="778" max="778" width="5.75" style="56" bestFit="1" customWidth="1"/>
    <col min="779" max="779" width="21.625" style="56" bestFit="1" customWidth="1"/>
    <col min="780" max="780" width="4.875" style="56" customWidth="1"/>
    <col min="781" max="1024" width="9" style="56"/>
    <col min="1025" max="1033" width="9.625" style="56" customWidth="1"/>
    <col min="1034" max="1034" width="5.75" style="56" bestFit="1" customWidth="1"/>
    <col min="1035" max="1035" width="21.625" style="56" bestFit="1" customWidth="1"/>
    <col min="1036" max="1036" width="4.875" style="56" customWidth="1"/>
    <col min="1037" max="1280" width="9" style="56"/>
    <col min="1281" max="1289" width="9.625" style="56" customWidth="1"/>
    <col min="1290" max="1290" width="5.75" style="56" bestFit="1" customWidth="1"/>
    <col min="1291" max="1291" width="21.625" style="56" bestFit="1" customWidth="1"/>
    <col min="1292" max="1292" width="4.875" style="56" customWidth="1"/>
    <col min="1293" max="1536" width="9" style="56"/>
    <col min="1537" max="1545" width="9.625" style="56" customWidth="1"/>
    <col min="1546" max="1546" width="5.75" style="56" bestFit="1" customWidth="1"/>
    <col min="1547" max="1547" width="21.625" style="56" bestFit="1" customWidth="1"/>
    <col min="1548" max="1548" width="4.875" style="56" customWidth="1"/>
    <col min="1549" max="1792" width="9" style="56"/>
    <col min="1793" max="1801" width="9.625" style="56" customWidth="1"/>
    <col min="1802" max="1802" width="5.75" style="56" bestFit="1" customWidth="1"/>
    <col min="1803" max="1803" width="21.625" style="56" bestFit="1" customWidth="1"/>
    <col min="1804" max="1804" width="4.875" style="56" customWidth="1"/>
    <col min="1805" max="2048" width="9" style="56"/>
    <col min="2049" max="2057" width="9.625" style="56" customWidth="1"/>
    <col min="2058" max="2058" width="5.75" style="56" bestFit="1" customWidth="1"/>
    <col min="2059" max="2059" width="21.625" style="56" bestFit="1" customWidth="1"/>
    <col min="2060" max="2060" width="4.875" style="56" customWidth="1"/>
    <col min="2061" max="2304" width="9" style="56"/>
    <col min="2305" max="2313" width="9.625" style="56" customWidth="1"/>
    <col min="2314" max="2314" width="5.75" style="56" bestFit="1" customWidth="1"/>
    <col min="2315" max="2315" width="21.625" style="56" bestFit="1" customWidth="1"/>
    <col min="2316" max="2316" width="4.875" style="56" customWidth="1"/>
    <col min="2317" max="2560" width="9" style="56"/>
    <col min="2561" max="2569" width="9.625" style="56" customWidth="1"/>
    <col min="2570" max="2570" width="5.75" style="56" bestFit="1" customWidth="1"/>
    <col min="2571" max="2571" width="21.625" style="56" bestFit="1" customWidth="1"/>
    <col min="2572" max="2572" width="4.875" style="56" customWidth="1"/>
    <col min="2573" max="2816" width="9" style="56"/>
    <col min="2817" max="2825" width="9.625" style="56" customWidth="1"/>
    <col min="2826" max="2826" width="5.75" style="56" bestFit="1" customWidth="1"/>
    <col min="2827" max="2827" width="21.625" style="56" bestFit="1" customWidth="1"/>
    <col min="2828" max="2828" width="4.875" style="56" customWidth="1"/>
    <col min="2829" max="3072" width="9" style="56"/>
    <col min="3073" max="3081" width="9.625" style="56" customWidth="1"/>
    <col min="3082" max="3082" width="5.75" style="56" bestFit="1" customWidth="1"/>
    <col min="3083" max="3083" width="21.625" style="56" bestFit="1" customWidth="1"/>
    <col min="3084" max="3084" width="4.875" style="56" customWidth="1"/>
    <col min="3085" max="3328" width="9" style="56"/>
    <col min="3329" max="3337" width="9.625" style="56" customWidth="1"/>
    <col min="3338" max="3338" width="5.75" style="56" bestFit="1" customWidth="1"/>
    <col min="3339" max="3339" width="21.625" style="56" bestFit="1" customWidth="1"/>
    <col min="3340" max="3340" width="4.875" style="56" customWidth="1"/>
    <col min="3341" max="3584" width="9" style="56"/>
    <col min="3585" max="3593" width="9.625" style="56" customWidth="1"/>
    <col min="3594" max="3594" width="5.75" style="56" bestFit="1" customWidth="1"/>
    <col min="3595" max="3595" width="21.625" style="56" bestFit="1" customWidth="1"/>
    <col min="3596" max="3596" width="4.875" style="56" customWidth="1"/>
    <col min="3597" max="3840" width="9" style="56"/>
    <col min="3841" max="3849" width="9.625" style="56" customWidth="1"/>
    <col min="3850" max="3850" width="5.75" style="56" bestFit="1" customWidth="1"/>
    <col min="3851" max="3851" width="21.625" style="56" bestFit="1" customWidth="1"/>
    <col min="3852" max="3852" width="4.875" style="56" customWidth="1"/>
    <col min="3853" max="4096" width="9" style="56"/>
    <col min="4097" max="4105" width="9.625" style="56" customWidth="1"/>
    <col min="4106" max="4106" width="5.75" style="56" bestFit="1" customWidth="1"/>
    <col min="4107" max="4107" width="21.625" style="56" bestFit="1" customWidth="1"/>
    <col min="4108" max="4108" width="4.875" style="56" customWidth="1"/>
    <col min="4109" max="4352" width="9" style="56"/>
    <col min="4353" max="4361" width="9.625" style="56" customWidth="1"/>
    <col min="4362" max="4362" width="5.75" style="56" bestFit="1" customWidth="1"/>
    <col min="4363" max="4363" width="21.625" style="56" bestFit="1" customWidth="1"/>
    <col min="4364" max="4364" width="4.875" style="56" customWidth="1"/>
    <col min="4365" max="4608" width="9" style="56"/>
    <col min="4609" max="4617" width="9.625" style="56" customWidth="1"/>
    <col min="4618" max="4618" width="5.75" style="56" bestFit="1" customWidth="1"/>
    <col min="4619" max="4619" width="21.625" style="56" bestFit="1" customWidth="1"/>
    <col min="4620" max="4620" width="4.875" style="56" customWidth="1"/>
    <col min="4621" max="4864" width="9" style="56"/>
    <col min="4865" max="4873" width="9.625" style="56" customWidth="1"/>
    <col min="4874" max="4874" width="5.75" style="56" bestFit="1" customWidth="1"/>
    <col min="4875" max="4875" width="21.625" style="56" bestFit="1" customWidth="1"/>
    <col min="4876" max="4876" width="4.875" style="56" customWidth="1"/>
    <col min="4877" max="5120" width="9" style="56"/>
    <col min="5121" max="5129" width="9.625" style="56" customWidth="1"/>
    <col min="5130" max="5130" width="5.75" style="56" bestFit="1" customWidth="1"/>
    <col min="5131" max="5131" width="21.625" style="56" bestFit="1" customWidth="1"/>
    <col min="5132" max="5132" width="4.875" style="56" customWidth="1"/>
    <col min="5133" max="5376" width="9" style="56"/>
    <col min="5377" max="5385" width="9.625" style="56" customWidth="1"/>
    <col min="5386" max="5386" width="5.75" style="56" bestFit="1" customWidth="1"/>
    <col min="5387" max="5387" width="21.625" style="56" bestFit="1" customWidth="1"/>
    <col min="5388" max="5388" width="4.875" style="56" customWidth="1"/>
    <col min="5389" max="5632" width="9" style="56"/>
    <col min="5633" max="5641" width="9.625" style="56" customWidth="1"/>
    <col min="5642" max="5642" width="5.75" style="56" bestFit="1" customWidth="1"/>
    <col min="5643" max="5643" width="21.625" style="56" bestFit="1" customWidth="1"/>
    <col min="5644" max="5644" width="4.875" style="56" customWidth="1"/>
    <col min="5645" max="5888" width="9" style="56"/>
    <col min="5889" max="5897" width="9.625" style="56" customWidth="1"/>
    <col min="5898" max="5898" width="5.75" style="56" bestFit="1" customWidth="1"/>
    <col min="5899" max="5899" width="21.625" style="56" bestFit="1" customWidth="1"/>
    <col min="5900" max="5900" width="4.875" style="56" customWidth="1"/>
    <col min="5901" max="6144" width="9" style="56"/>
    <col min="6145" max="6153" width="9.625" style="56" customWidth="1"/>
    <col min="6154" max="6154" width="5.75" style="56" bestFit="1" customWidth="1"/>
    <col min="6155" max="6155" width="21.625" style="56" bestFit="1" customWidth="1"/>
    <col min="6156" max="6156" width="4.875" style="56" customWidth="1"/>
    <col min="6157" max="6400" width="9" style="56"/>
    <col min="6401" max="6409" width="9.625" style="56" customWidth="1"/>
    <col min="6410" max="6410" width="5.75" style="56" bestFit="1" customWidth="1"/>
    <col min="6411" max="6411" width="21.625" style="56" bestFit="1" customWidth="1"/>
    <col min="6412" max="6412" width="4.875" style="56" customWidth="1"/>
    <col min="6413" max="6656" width="9" style="56"/>
    <col min="6657" max="6665" width="9.625" style="56" customWidth="1"/>
    <col min="6666" max="6666" width="5.75" style="56" bestFit="1" customWidth="1"/>
    <col min="6667" max="6667" width="21.625" style="56" bestFit="1" customWidth="1"/>
    <col min="6668" max="6668" width="4.875" style="56" customWidth="1"/>
    <col min="6669" max="6912" width="9" style="56"/>
    <col min="6913" max="6921" width="9.625" style="56" customWidth="1"/>
    <col min="6922" max="6922" width="5.75" style="56" bestFit="1" customWidth="1"/>
    <col min="6923" max="6923" width="21.625" style="56" bestFit="1" customWidth="1"/>
    <col min="6924" max="6924" width="4.875" style="56" customWidth="1"/>
    <col min="6925" max="7168" width="9" style="56"/>
    <col min="7169" max="7177" width="9.625" style="56" customWidth="1"/>
    <col min="7178" max="7178" width="5.75" style="56" bestFit="1" customWidth="1"/>
    <col min="7179" max="7179" width="21.625" style="56" bestFit="1" customWidth="1"/>
    <col min="7180" max="7180" width="4.875" style="56" customWidth="1"/>
    <col min="7181" max="7424" width="9" style="56"/>
    <col min="7425" max="7433" width="9.625" style="56" customWidth="1"/>
    <col min="7434" max="7434" width="5.75" style="56" bestFit="1" customWidth="1"/>
    <col min="7435" max="7435" width="21.625" style="56" bestFit="1" customWidth="1"/>
    <col min="7436" max="7436" width="4.875" style="56" customWidth="1"/>
    <col min="7437" max="7680" width="9" style="56"/>
    <col min="7681" max="7689" width="9.625" style="56" customWidth="1"/>
    <col min="7690" max="7690" width="5.75" style="56" bestFit="1" customWidth="1"/>
    <col min="7691" max="7691" width="21.625" style="56" bestFit="1" customWidth="1"/>
    <col min="7692" max="7692" width="4.875" style="56" customWidth="1"/>
    <col min="7693" max="7936" width="9" style="56"/>
    <col min="7937" max="7945" width="9.625" style="56" customWidth="1"/>
    <col min="7946" max="7946" width="5.75" style="56" bestFit="1" customWidth="1"/>
    <col min="7947" max="7947" width="21.625" style="56" bestFit="1" customWidth="1"/>
    <col min="7948" max="7948" width="4.875" style="56" customWidth="1"/>
    <col min="7949" max="8192" width="9" style="56"/>
    <col min="8193" max="8201" width="9.625" style="56" customWidth="1"/>
    <col min="8202" max="8202" width="5.75" style="56" bestFit="1" customWidth="1"/>
    <col min="8203" max="8203" width="21.625" style="56" bestFit="1" customWidth="1"/>
    <col min="8204" max="8204" width="4.875" style="56" customWidth="1"/>
    <col min="8205" max="8448" width="9" style="56"/>
    <col min="8449" max="8457" width="9.625" style="56" customWidth="1"/>
    <col min="8458" max="8458" width="5.75" style="56" bestFit="1" customWidth="1"/>
    <col min="8459" max="8459" width="21.625" style="56" bestFit="1" customWidth="1"/>
    <col min="8460" max="8460" width="4.875" style="56" customWidth="1"/>
    <col min="8461" max="8704" width="9" style="56"/>
    <col min="8705" max="8713" width="9.625" style="56" customWidth="1"/>
    <col min="8714" max="8714" width="5.75" style="56" bestFit="1" customWidth="1"/>
    <col min="8715" max="8715" width="21.625" style="56" bestFit="1" customWidth="1"/>
    <col min="8716" max="8716" width="4.875" style="56" customWidth="1"/>
    <col min="8717" max="8960" width="9" style="56"/>
    <col min="8961" max="8969" width="9.625" style="56" customWidth="1"/>
    <col min="8970" max="8970" width="5.75" style="56" bestFit="1" customWidth="1"/>
    <col min="8971" max="8971" width="21.625" style="56" bestFit="1" customWidth="1"/>
    <col min="8972" max="8972" width="4.875" style="56" customWidth="1"/>
    <col min="8973" max="9216" width="9" style="56"/>
    <col min="9217" max="9225" width="9.625" style="56" customWidth="1"/>
    <col min="9226" max="9226" width="5.75" style="56" bestFit="1" customWidth="1"/>
    <col min="9227" max="9227" width="21.625" style="56" bestFit="1" customWidth="1"/>
    <col min="9228" max="9228" width="4.875" style="56" customWidth="1"/>
    <col min="9229" max="9472" width="9" style="56"/>
    <col min="9473" max="9481" width="9.625" style="56" customWidth="1"/>
    <col min="9482" max="9482" width="5.75" style="56" bestFit="1" customWidth="1"/>
    <col min="9483" max="9483" width="21.625" style="56" bestFit="1" customWidth="1"/>
    <col min="9484" max="9484" width="4.875" style="56" customWidth="1"/>
    <col min="9485" max="9728" width="9" style="56"/>
    <col min="9729" max="9737" width="9.625" style="56" customWidth="1"/>
    <col min="9738" max="9738" width="5.75" style="56" bestFit="1" customWidth="1"/>
    <col min="9739" max="9739" width="21.625" style="56" bestFit="1" customWidth="1"/>
    <col min="9740" max="9740" width="4.875" style="56" customWidth="1"/>
    <col min="9741" max="9984" width="9" style="56"/>
    <col min="9985" max="9993" width="9.625" style="56" customWidth="1"/>
    <col min="9994" max="9994" width="5.75" style="56" bestFit="1" customWidth="1"/>
    <col min="9995" max="9995" width="21.625" style="56" bestFit="1" customWidth="1"/>
    <col min="9996" max="9996" width="4.875" style="56" customWidth="1"/>
    <col min="9997" max="10240" width="9" style="56"/>
    <col min="10241" max="10249" width="9.625" style="56" customWidth="1"/>
    <col min="10250" max="10250" width="5.75" style="56" bestFit="1" customWidth="1"/>
    <col min="10251" max="10251" width="21.625" style="56" bestFit="1" customWidth="1"/>
    <col min="10252" max="10252" width="4.875" style="56" customWidth="1"/>
    <col min="10253" max="10496" width="9" style="56"/>
    <col min="10497" max="10505" width="9.625" style="56" customWidth="1"/>
    <col min="10506" max="10506" width="5.75" style="56" bestFit="1" customWidth="1"/>
    <col min="10507" max="10507" width="21.625" style="56" bestFit="1" customWidth="1"/>
    <col min="10508" max="10508" width="4.875" style="56" customWidth="1"/>
    <col min="10509" max="10752" width="9" style="56"/>
    <col min="10753" max="10761" width="9.625" style="56" customWidth="1"/>
    <col min="10762" max="10762" width="5.75" style="56" bestFit="1" customWidth="1"/>
    <col min="10763" max="10763" width="21.625" style="56" bestFit="1" customWidth="1"/>
    <col min="10764" max="10764" width="4.875" style="56" customWidth="1"/>
    <col min="10765" max="11008" width="9" style="56"/>
    <col min="11009" max="11017" width="9.625" style="56" customWidth="1"/>
    <col min="11018" max="11018" width="5.75" style="56" bestFit="1" customWidth="1"/>
    <col min="11019" max="11019" width="21.625" style="56" bestFit="1" customWidth="1"/>
    <col min="11020" max="11020" width="4.875" style="56" customWidth="1"/>
    <col min="11021" max="11264" width="9" style="56"/>
    <col min="11265" max="11273" width="9.625" style="56" customWidth="1"/>
    <col min="11274" max="11274" width="5.75" style="56" bestFit="1" customWidth="1"/>
    <col min="11275" max="11275" width="21.625" style="56" bestFit="1" customWidth="1"/>
    <col min="11276" max="11276" width="4.875" style="56" customWidth="1"/>
    <col min="11277" max="11520" width="9" style="56"/>
    <col min="11521" max="11529" width="9.625" style="56" customWidth="1"/>
    <col min="11530" max="11530" width="5.75" style="56" bestFit="1" customWidth="1"/>
    <col min="11531" max="11531" width="21.625" style="56" bestFit="1" customWidth="1"/>
    <col min="11532" max="11532" width="4.875" style="56" customWidth="1"/>
    <col min="11533" max="11776" width="9" style="56"/>
    <col min="11777" max="11785" width="9.625" style="56" customWidth="1"/>
    <col min="11786" max="11786" width="5.75" style="56" bestFit="1" customWidth="1"/>
    <col min="11787" max="11787" width="21.625" style="56" bestFit="1" customWidth="1"/>
    <col min="11788" max="11788" width="4.875" style="56" customWidth="1"/>
    <col min="11789" max="12032" width="9" style="56"/>
    <col min="12033" max="12041" width="9.625" style="56" customWidth="1"/>
    <col min="12042" max="12042" width="5.75" style="56" bestFit="1" customWidth="1"/>
    <col min="12043" max="12043" width="21.625" style="56" bestFit="1" customWidth="1"/>
    <col min="12044" max="12044" width="4.875" style="56" customWidth="1"/>
    <col min="12045" max="12288" width="9" style="56"/>
    <col min="12289" max="12297" width="9.625" style="56" customWidth="1"/>
    <col min="12298" max="12298" width="5.75" style="56" bestFit="1" customWidth="1"/>
    <col min="12299" max="12299" width="21.625" style="56" bestFit="1" customWidth="1"/>
    <col min="12300" max="12300" width="4.875" style="56" customWidth="1"/>
    <col min="12301" max="12544" width="9" style="56"/>
    <col min="12545" max="12553" width="9.625" style="56" customWidth="1"/>
    <col min="12554" max="12554" width="5.75" style="56" bestFit="1" customWidth="1"/>
    <col min="12555" max="12555" width="21.625" style="56" bestFit="1" customWidth="1"/>
    <col min="12556" max="12556" width="4.875" style="56" customWidth="1"/>
    <col min="12557" max="12800" width="9" style="56"/>
    <col min="12801" max="12809" width="9.625" style="56" customWidth="1"/>
    <col min="12810" max="12810" width="5.75" style="56" bestFit="1" customWidth="1"/>
    <col min="12811" max="12811" width="21.625" style="56" bestFit="1" customWidth="1"/>
    <col min="12812" max="12812" width="4.875" style="56" customWidth="1"/>
    <col min="12813" max="13056" width="9" style="56"/>
    <col min="13057" max="13065" width="9.625" style="56" customWidth="1"/>
    <col min="13066" max="13066" width="5.75" style="56" bestFit="1" customWidth="1"/>
    <col min="13067" max="13067" width="21.625" style="56" bestFit="1" customWidth="1"/>
    <col min="13068" max="13068" width="4.875" style="56" customWidth="1"/>
    <col min="13069" max="13312" width="9" style="56"/>
    <col min="13313" max="13321" width="9.625" style="56" customWidth="1"/>
    <col min="13322" max="13322" width="5.75" style="56" bestFit="1" customWidth="1"/>
    <col min="13323" max="13323" width="21.625" style="56" bestFit="1" customWidth="1"/>
    <col min="13324" max="13324" width="4.875" style="56" customWidth="1"/>
    <col min="13325" max="13568" width="9" style="56"/>
    <col min="13569" max="13577" width="9.625" style="56" customWidth="1"/>
    <col min="13578" max="13578" width="5.75" style="56" bestFit="1" customWidth="1"/>
    <col min="13579" max="13579" width="21.625" style="56" bestFit="1" customWidth="1"/>
    <col min="13580" max="13580" width="4.875" style="56" customWidth="1"/>
    <col min="13581" max="13824" width="9" style="56"/>
    <col min="13825" max="13833" width="9.625" style="56" customWidth="1"/>
    <col min="13834" max="13834" width="5.75" style="56" bestFit="1" customWidth="1"/>
    <col min="13835" max="13835" width="21.625" style="56" bestFit="1" customWidth="1"/>
    <col min="13836" max="13836" width="4.875" style="56" customWidth="1"/>
    <col min="13837" max="14080" width="9" style="56"/>
    <col min="14081" max="14089" width="9.625" style="56" customWidth="1"/>
    <col min="14090" max="14090" width="5.75" style="56" bestFit="1" customWidth="1"/>
    <col min="14091" max="14091" width="21.625" style="56" bestFit="1" customWidth="1"/>
    <col min="14092" max="14092" width="4.875" style="56" customWidth="1"/>
    <col min="14093" max="14336" width="9" style="56"/>
    <col min="14337" max="14345" width="9.625" style="56" customWidth="1"/>
    <col min="14346" max="14346" width="5.75" style="56" bestFit="1" customWidth="1"/>
    <col min="14347" max="14347" width="21.625" style="56" bestFit="1" customWidth="1"/>
    <col min="14348" max="14348" width="4.875" style="56" customWidth="1"/>
    <col min="14349" max="14592" width="9" style="56"/>
    <col min="14593" max="14601" width="9.625" style="56" customWidth="1"/>
    <col min="14602" max="14602" width="5.75" style="56" bestFit="1" customWidth="1"/>
    <col min="14603" max="14603" width="21.625" style="56" bestFit="1" customWidth="1"/>
    <col min="14604" max="14604" width="4.875" style="56" customWidth="1"/>
    <col min="14605" max="14848" width="9" style="56"/>
    <col min="14849" max="14857" width="9.625" style="56" customWidth="1"/>
    <col min="14858" max="14858" width="5.75" style="56" bestFit="1" customWidth="1"/>
    <col min="14859" max="14859" width="21.625" style="56" bestFit="1" customWidth="1"/>
    <col min="14860" max="14860" width="4.875" style="56" customWidth="1"/>
    <col min="14861" max="15104" width="9" style="56"/>
    <col min="15105" max="15113" width="9.625" style="56" customWidth="1"/>
    <col min="15114" max="15114" width="5.75" style="56" bestFit="1" customWidth="1"/>
    <col min="15115" max="15115" width="21.625" style="56" bestFit="1" customWidth="1"/>
    <col min="15116" max="15116" width="4.875" style="56" customWidth="1"/>
    <col min="15117" max="15360" width="9" style="56"/>
    <col min="15361" max="15369" width="9.625" style="56" customWidth="1"/>
    <col min="15370" max="15370" width="5.75" style="56" bestFit="1" customWidth="1"/>
    <col min="15371" max="15371" width="21.625" style="56" bestFit="1" customWidth="1"/>
    <col min="15372" max="15372" width="4.875" style="56" customWidth="1"/>
    <col min="15373" max="15616" width="9" style="56"/>
    <col min="15617" max="15625" width="9.625" style="56" customWidth="1"/>
    <col min="15626" max="15626" width="5.75" style="56" bestFit="1" customWidth="1"/>
    <col min="15627" max="15627" width="21.625" style="56" bestFit="1" customWidth="1"/>
    <col min="15628" max="15628" width="4.875" style="56" customWidth="1"/>
    <col min="15629" max="15872" width="9" style="56"/>
    <col min="15873" max="15881" width="9.625" style="56" customWidth="1"/>
    <col min="15882" max="15882" width="5.75" style="56" bestFit="1" customWidth="1"/>
    <col min="15883" max="15883" width="21.625" style="56" bestFit="1" customWidth="1"/>
    <col min="15884" max="15884" width="4.875" style="56" customWidth="1"/>
    <col min="15885" max="16128" width="9" style="56"/>
    <col min="16129" max="16137" width="9.625" style="56" customWidth="1"/>
    <col min="16138" max="16138" width="5.75" style="56" bestFit="1" customWidth="1"/>
    <col min="16139" max="16139" width="21.625" style="56" bestFit="1" customWidth="1"/>
    <col min="16140" max="16140" width="4.875" style="56" customWidth="1"/>
    <col min="16141" max="16384" width="9" style="56"/>
  </cols>
  <sheetData>
    <row r="1" spans="1:13" ht="12.75" customHeight="1" x14ac:dyDescent="0.2">
      <c r="A1" s="174" t="s">
        <v>586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55"/>
    </row>
    <row r="2" spans="1:13" ht="12.75" customHeight="1" thickBot="1" x14ac:dyDescent="0.25">
      <c r="A2" s="175" t="s">
        <v>587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55"/>
    </row>
    <row r="3" spans="1:13" ht="12.75" customHeight="1" thickBot="1" x14ac:dyDescent="0.25">
      <c r="A3" s="176" t="s">
        <v>5</v>
      </c>
      <c r="B3" s="176"/>
      <c r="C3" s="176"/>
      <c r="D3" s="176" t="s">
        <v>162</v>
      </c>
      <c r="E3" s="176"/>
      <c r="F3" s="176"/>
      <c r="G3" s="176" t="s">
        <v>163</v>
      </c>
      <c r="H3" s="176"/>
      <c r="I3" s="176"/>
      <c r="J3" s="183"/>
      <c r="K3" s="183"/>
      <c r="L3" s="55"/>
    </row>
    <row r="4" spans="1:13" ht="12.75" customHeight="1" thickBot="1" x14ac:dyDescent="0.25">
      <c r="A4" s="51" t="s">
        <v>216</v>
      </c>
      <c r="B4" s="51" t="s">
        <v>11</v>
      </c>
      <c r="C4" s="51" t="s">
        <v>10</v>
      </c>
      <c r="D4" s="51" t="s">
        <v>216</v>
      </c>
      <c r="E4" s="51" t="s">
        <v>11</v>
      </c>
      <c r="F4" s="51" t="s">
        <v>10</v>
      </c>
      <c r="G4" s="51" t="s">
        <v>216</v>
      </c>
      <c r="H4" s="51" t="s">
        <v>11</v>
      </c>
      <c r="I4" s="51" t="s">
        <v>10</v>
      </c>
      <c r="J4" s="182" t="s">
        <v>228</v>
      </c>
      <c r="K4" s="182"/>
      <c r="L4" s="55"/>
    </row>
    <row r="5" spans="1:13" ht="12.75" customHeight="1" thickBot="1" x14ac:dyDescent="0.25">
      <c r="A5" s="53">
        <f>SUM(B5:C5)</f>
        <v>1753</v>
      </c>
      <c r="B5" s="53">
        <f>H5+E5</f>
        <v>1106</v>
      </c>
      <c r="C5" s="53">
        <f>I5+F5</f>
        <v>647</v>
      </c>
      <c r="D5" s="53">
        <f>SUM(E5:F5)</f>
        <v>27</v>
      </c>
      <c r="E5" s="53">
        <v>12</v>
      </c>
      <c r="F5" s="53">
        <v>15</v>
      </c>
      <c r="G5" s="53">
        <f>SUM(H5:I5)</f>
        <v>1726</v>
      </c>
      <c r="H5" s="53">
        <f>994+100</f>
        <v>1094</v>
      </c>
      <c r="I5" s="53">
        <f>532+100</f>
        <v>632</v>
      </c>
      <c r="J5" s="70" t="s">
        <v>221</v>
      </c>
      <c r="K5" s="71"/>
      <c r="L5" s="55"/>
    </row>
    <row r="6" spans="1:13" ht="12.75" customHeight="1" thickBot="1" x14ac:dyDescent="0.25">
      <c r="A6" s="53">
        <f t="shared" ref="A6:A69" si="0">SUM(B6:C6)</f>
        <v>93</v>
      </c>
      <c r="B6" s="53">
        <f t="shared" ref="B6:C69" si="1">H6+E6</f>
        <v>46</v>
      </c>
      <c r="C6" s="53">
        <f t="shared" si="1"/>
        <v>47</v>
      </c>
      <c r="D6" s="53">
        <f t="shared" ref="D6:D69" si="2">SUM(E6:F6)</f>
        <v>0</v>
      </c>
      <c r="E6" s="53">
        <v>0</v>
      </c>
      <c r="F6" s="53">
        <v>0</v>
      </c>
      <c r="G6" s="53">
        <f t="shared" ref="G6:G69" si="3">SUM(H6:I6)</f>
        <v>93</v>
      </c>
      <c r="H6" s="53">
        <v>46</v>
      </c>
      <c r="I6" s="53">
        <v>47</v>
      </c>
      <c r="J6" s="70" t="s">
        <v>222</v>
      </c>
      <c r="K6" s="71" t="s">
        <v>182</v>
      </c>
      <c r="L6" s="55"/>
      <c r="M6" s="116"/>
    </row>
    <row r="7" spans="1:13" ht="12.75" customHeight="1" thickBot="1" x14ac:dyDescent="0.25">
      <c r="A7" s="53">
        <f t="shared" ref="A7:H7" si="4">SUM(A5:A6)</f>
        <v>1846</v>
      </c>
      <c r="B7" s="53">
        <f t="shared" si="4"/>
        <v>1152</v>
      </c>
      <c r="C7" s="53">
        <f t="shared" si="4"/>
        <v>694</v>
      </c>
      <c r="D7" s="53">
        <f t="shared" si="4"/>
        <v>27</v>
      </c>
      <c r="E7" s="53">
        <f t="shared" si="4"/>
        <v>12</v>
      </c>
      <c r="F7" s="53">
        <f t="shared" si="4"/>
        <v>15</v>
      </c>
      <c r="G7" s="53">
        <f t="shared" si="4"/>
        <v>1819</v>
      </c>
      <c r="H7" s="53">
        <f t="shared" si="4"/>
        <v>1140</v>
      </c>
      <c r="I7" s="53">
        <f>SUM(I5:I6)</f>
        <v>679</v>
      </c>
      <c r="J7" s="70" t="s">
        <v>13</v>
      </c>
      <c r="K7" s="72"/>
      <c r="L7" s="55"/>
    </row>
    <row r="8" spans="1:13" ht="12.75" customHeight="1" thickBot="1" x14ac:dyDescent="0.25">
      <c r="A8" s="53">
        <f t="shared" si="0"/>
        <v>11110</v>
      </c>
      <c r="B8" s="53">
        <f t="shared" si="1"/>
        <v>8220</v>
      </c>
      <c r="C8" s="53">
        <f t="shared" si="1"/>
        <v>2890</v>
      </c>
      <c r="D8" s="53">
        <f t="shared" si="2"/>
        <v>604</v>
      </c>
      <c r="E8" s="53">
        <v>75</v>
      </c>
      <c r="F8" s="53">
        <v>529</v>
      </c>
      <c r="G8" s="53">
        <f t="shared" si="3"/>
        <v>10506</v>
      </c>
      <c r="H8" s="53">
        <f>8025+120</f>
        <v>8145</v>
      </c>
      <c r="I8" s="53">
        <f>2261+100</f>
        <v>2361</v>
      </c>
      <c r="J8" s="70" t="s">
        <v>221</v>
      </c>
      <c r="K8" s="71"/>
      <c r="L8" s="55"/>
    </row>
    <row r="9" spans="1:13" ht="12.75" customHeight="1" thickBot="1" x14ac:dyDescent="0.25">
      <c r="A9" s="53">
        <f t="shared" si="0"/>
        <v>304</v>
      </c>
      <c r="B9" s="53">
        <f t="shared" si="1"/>
        <v>254</v>
      </c>
      <c r="C9" s="53">
        <f t="shared" si="1"/>
        <v>50</v>
      </c>
      <c r="D9" s="53">
        <f t="shared" si="2"/>
        <v>0</v>
      </c>
      <c r="E9" s="53">
        <v>0</v>
      </c>
      <c r="F9" s="53">
        <v>0</v>
      </c>
      <c r="G9" s="53">
        <f t="shared" si="3"/>
        <v>304</v>
      </c>
      <c r="H9" s="53">
        <f>554-300</f>
        <v>254</v>
      </c>
      <c r="I9" s="53">
        <f>110-60</f>
        <v>50</v>
      </c>
      <c r="J9" s="70" t="s">
        <v>222</v>
      </c>
      <c r="K9" s="71" t="s">
        <v>183</v>
      </c>
      <c r="L9" s="55"/>
    </row>
    <row r="10" spans="1:13" ht="12.75" customHeight="1" thickBot="1" x14ac:dyDescent="0.25">
      <c r="A10" s="53">
        <f t="shared" ref="A10:H10" si="5">SUM(A8:A9)</f>
        <v>11414</v>
      </c>
      <c r="B10" s="53">
        <f t="shared" si="5"/>
        <v>8474</v>
      </c>
      <c r="C10" s="53">
        <f t="shared" si="5"/>
        <v>2940</v>
      </c>
      <c r="D10" s="53">
        <f t="shared" si="5"/>
        <v>604</v>
      </c>
      <c r="E10" s="53">
        <f t="shared" si="5"/>
        <v>75</v>
      </c>
      <c r="F10" s="53">
        <f t="shared" si="5"/>
        <v>529</v>
      </c>
      <c r="G10" s="53">
        <f t="shared" si="5"/>
        <v>10810</v>
      </c>
      <c r="H10" s="53">
        <f t="shared" si="5"/>
        <v>8399</v>
      </c>
      <c r="I10" s="53">
        <f>SUM(I8:I9)</f>
        <v>2411</v>
      </c>
      <c r="J10" s="70" t="s">
        <v>13</v>
      </c>
      <c r="K10" s="72"/>
      <c r="L10" s="55"/>
    </row>
    <row r="11" spans="1:13" ht="12.75" customHeight="1" thickBot="1" x14ac:dyDescent="0.25">
      <c r="A11" s="53">
        <f t="shared" si="0"/>
        <v>2724</v>
      </c>
      <c r="B11" s="53">
        <f t="shared" si="1"/>
        <v>1263</v>
      </c>
      <c r="C11" s="53">
        <f t="shared" si="1"/>
        <v>1461</v>
      </c>
      <c r="D11" s="53">
        <f t="shared" si="2"/>
        <v>436</v>
      </c>
      <c r="E11" s="53">
        <f>17+10</f>
        <v>27</v>
      </c>
      <c r="F11" s="53">
        <v>409</v>
      </c>
      <c r="G11" s="53">
        <f t="shared" si="3"/>
        <v>2288</v>
      </c>
      <c r="H11" s="53">
        <f>1136+100</f>
        <v>1236</v>
      </c>
      <c r="I11" s="53">
        <v>1052</v>
      </c>
      <c r="J11" s="70" t="s">
        <v>221</v>
      </c>
      <c r="K11" s="71"/>
      <c r="L11" s="55"/>
    </row>
    <row r="12" spans="1:13" ht="12.75" customHeight="1" thickBot="1" x14ac:dyDescent="0.25">
      <c r="A12" s="53">
        <f t="shared" si="0"/>
        <v>7</v>
      </c>
      <c r="B12" s="53">
        <f t="shared" si="1"/>
        <v>7</v>
      </c>
      <c r="C12" s="53">
        <f t="shared" si="1"/>
        <v>0</v>
      </c>
      <c r="D12" s="53">
        <f t="shared" si="2"/>
        <v>0</v>
      </c>
      <c r="E12" s="53">
        <v>0</v>
      </c>
      <c r="F12" s="53">
        <v>0</v>
      </c>
      <c r="G12" s="53">
        <f t="shared" si="3"/>
        <v>7</v>
      </c>
      <c r="H12" s="53">
        <v>7</v>
      </c>
      <c r="I12" s="53">
        <v>0</v>
      </c>
      <c r="J12" s="70" t="s">
        <v>222</v>
      </c>
      <c r="K12" s="71" t="s">
        <v>184</v>
      </c>
      <c r="L12" s="55"/>
    </row>
    <row r="13" spans="1:13" ht="12.75" customHeight="1" thickBot="1" x14ac:dyDescent="0.25">
      <c r="A13" s="53">
        <f t="shared" ref="A13:H13" si="6">SUM(A11:A12)</f>
        <v>2731</v>
      </c>
      <c r="B13" s="53">
        <f t="shared" si="6"/>
        <v>1270</v>
      </c>
      <c r="C13" s="53">
        <f t="shared" si="6"/>
        <v>1461</v>
      </c>
      <c r="D13" s="53">
        <f t="shared" si="6"/>
        <v>436</v>
      </c>
      <c r="E13" s="53">
        <f t="shared" si="6"/>
        <v>27</v>
      </c>
      <c r="F13" s="53">
        <f t="shared" si="6"/>
        <v>409</v>
      </c>
      <c r="G13" s="53">
        <f t="shared" si="6"/>
        <v>2295</v>
      </c>
      <c r="H13" s="53">
        <f t="shared" si="6"/>
        <v>1243</v>
      </c>
      <c r="I13" s="53">
        <f>SUM(I11:I12)</f>
        <v>1052</v>
      </c>
      <c r="J13" s="70" t="s">
        <v>13</v>
      </c>
      <c r="K13" s="72"/>
      <c r="L13" s="55"/>
    </row>
    <row r="14" spans="1:13" ht="12.75" customHeight="1" thickBot="1" x14ac:dyDescent="0.25">
      <c r="A14" s="53">
        <f t="shared" si="0"/>
        <v>12411</v>
      </c>
      <c r="B14" s="53">
        <f t="shared" si="1"/>
        <v>9141</v>
      </c>
      <c r="C14" s="53">
        <f t="shared" si="1"/>
        <v>3270</v>
      </c>
      <c r="D14" s="53">
        <f t="shared" si="2"/>
        <v>121</v>
      </c>
      <c r="E14" s="53">
        <v>58</v>
      </c>
      <c r="F14" s="53">
        <v>63</v>
      </c>
      <c r="G14" s="53">
        <f t="shared" si="3"/>
        <v>12290</v>
      </c>
      <c r="H14" s="53">
        <f>8983+100</f>
        <v>9083</v>
      </c>
      <c r="I14" s="53">
        <f>3207</f>
        <v>3207</v>
      </c>
      <c r="J14" s="70" t="s">
        <v>221</v>
      </c>
      <c r="K14" s="71"/>
      <c r="L14" s="55"/>
    </row>
    <row r="15" spans="1:13" ht="12.75" customHeight="1" thickBot="1" x14ac:dyDescent="0.25">
      <c r="A15" s="53">
        <f t="shared" si="0"/>
        <v>1163</v>
      </c>
      <c r="B15" s="53">
        <f t="shared" si="1"/>
        <v>597</v>
      </c>
      <c r="C15" s="53">
        <f t="shared" si="1"/>
        <v>566</v>
      </c>
      <c r="D15" s="53">
        <f t="shared" si="2"/>
        <v>0</v>
      </c>
      <c r="E15" s="53">
        <v>0</v>
      </c>
      <c r="F15" s="53">
        <v>0</v>
      </c>
      <c r="G15" s="53">
        <f t="shared" si="3"/>
        <v>1163</v>
      </c>
      <c r="H15" s="53">
        <f>897-300</f>
        <v>597</v>
      </c>
      <c r="I15" s="53">
        <f>1235-669</f>
        <v>566</v>
      </c>
      <c r="J15" s="70" t="s">
        <v>222</v>
      </c>
      <c r="K15" s="71" t="s">
        <v>185</v>
      </c>
      <c r="L15" s="55"/>
    </row>
    <row r="16" spans="1:13" ht="12.75" customHeight="1" thickBot="1" x14ac:dyDescent="0.25">
      <c r="A16" s="53">
        <f t="shared" ref="A16:H16" si="7">SUM(A14:A15)</f>
        <v>13574</v>
      </c>
      <c r="B16" s="53">
        <f t="shared" si="7"/>
        <v>9738</v>
      </c>
      <c r="C16" s="53">
        <f t="shared" si="7"/>
        <v>3836</v>
      </c>
      <c r="D16" s="53">
        <f t="shared" si="7"/>
        <v>121</v>
      </c>
      <c r="E16" s="53">
        <f t="shared" si="7"/>
        <v>58</v>
      </c>
      <c r="F16" s="53">
        <f t="shared" si="7"/>
        <v>63</v>
      </c>
      <c r="G16" s="53">
        <f t="shared" si="7"/>
        <v>13453</v>
      </c>
      <c r="H16" s="53">
        <f t="shared" si="7"/>
        <v>9680</v>
      </c>
      <c r="I16" s="53">
        <f>SUM(I14:I15)</f>
        <v>3773</v>
      </c>
      <c r="J16" s="70" t="s">
        <v>13</v>
      </c>
      <c r="K16" s="72"/>
      <c r="L16" s="55"/>
    </row>
    <row r="17" spans="1:12" ht="12.75" customHeight="1" thickBot="1" x14ac:dyDescent="0.25">
      <c r="A17" s="53">
        <f t="shared" si="0"/>
        <v>307</v>
      </c>
      <c r="B17" s="53">
        <f t="shared" si="1"/>
        <v>229</v>
      </c>
      <c r="C17" s="53">
        <f t="shared" si="1"/>
        <v>78</v>
      </c>
      <c r="D17" s="53">
        <f t="shared" si="2"/>
        <v>34</v>
      </c>
      <c r="E17" s="53">
        <v>28</v>
      </c>
      <c r="F17" s="53">
        <v>6</v>
      </c>
      <c r="G17" s="53">
        <f t="shared" si="3"/>
        <v>273</v>
      </c>
      <c r="H17" s="53">
        <f>181+20</f>
        <v>201</v>
      </c>
      <c r="I17" s="53">
        <f>41+40-9</f>
        <v>72</v>
      </c>
      <c r="J17" s="70" t="s">
        <v>221</v>
      </c>
      <c r="K17" s="71"/>
      <c r="L17" s="55"/>
    </row>
    <row r="18" spans="1:12" ht="12.75" customHeight="1" thickBot="1" x14ac:dyDescent="0.25">
      <c r="A18" s="53">
        <f t="shared" si="0"/>
        <v>0</v>
      </c>
      <c r="B18" s="53">
        <f t="shared" si="1"/>
        <v>0</v>
      </c>
      <c r="C18" s="53">
        <f t="shared" si="1"/>
        <v>0</v>
      </c>
      <c r="D18" s="53">
        <f t="shared" si="2"/>
        <v>0</v>
      </c>
      <c r="E18" s="53">
        <v>0</v>
      </c>
      <c r="F18" s="53">
        <v>0</v>
      </c>
      <c r="G18" s="53">
        <f t="shared" si="3"/>
        <v>0</v>
      </c>
      <c r="H18" s="53">
        <v>0</v>
      </c>
      <c r="I18" s="53">
        <v>0</v>
      </c>
      <c r="J18" s="70" t="s">
        <v>222</v>
      </c>
      <c r="K18" s="71" t="s">
        <v>186</v>
      </c>
      <c r="L18" s="55"/>
    </row>
    <row r="19" spans="1:12" ht="12.75" customHeight="1" thickBot="1" x14ac:dyDescent="0.25">
      <c r="A19" s="53">
        <f t="shared" ref="A19:H19" si="8">SUM(A17:A18)</f>
        <v>307</v>
      </c>
      <c r="B19" s="53">
        <f t="shared" si="8"/>
        <v>229</v>
      </c>
      <c r="C19" s="53">
        <f t="shared" si="8"/>
        <v>78</v>
      </c>
      <c r="D19" s="53">
        <f t="shared" si="8"/>
        <v>34</v>
      </c>
      <c r="E19" s="53">
        <f t="shared" si="8"/>
        <v>28</v>
      </c>
      <c r="F19" s="53">
        <f t="shared" si="8"/>
        <v>6</v>
      </c>
      <c r="G19" s="53">
        <f t="shared" si="8"/>
        <v>273</v>
      </c>
      <c r="H19" s="53">
        <f t="shared" si="8"/>
        <v>201</v>
      </c>
      <c r="I19" s="53">
        <f>SUM(I17:I18)</f>
        <v>72</v>
      </c>
      <c r="J19" s="70" t="s">
        <v>13</v>
      </c>
      <c r="K19" s="72"/>
      <c r="L19" s="55"/>
    </row>
    <row r="20" spans="1:12" ht="12.75" customHeight="1" thickBot="1" x14ac:dyDescent="0.25">
      <c r="A20" s="53">
        <f t="shared" si="0"/>
        <v>13351</v>
      </c>
      <c r="B20" s="53">
        <f t="shared" si="1"/>
        <v>10219</v>
      </c>
      <c r="C20" s="53">
        <f t="shared" si="1"/>
        <v>3132</v>
      </c>
      <c r="D20" s="53">
        <f t="shared" si="2"/>
        <v>105</v>
      </c>
      <c r="E20" s="53">
        <v>88</v>
      </c>
      <c r="F20" s="53">
        <v>17</v>
      </c>
      <c r="G20" s="53">
        <f t="shared" si="3"/>
        <v>13246</v>
      </c>
      <c r="H20" s="53">
        <f>10031+100</f>
        <v>10131</v>
      </c>
      <c r="I20" s="53">
        <f>3005+110</f>
        <v>3115</v>
      </c>
      <c r="J20" s="70" t="s">
        <v>221</v>
      </c>
      <c r="K20" s="71"/>
      <c r="L20" s="55"/>
    </row>
    <row r="21" spans="1:12" ht="12.75" customHeight="1" thickBot="1" x14ac:dyDescent="0.25">
      <c r="A21" s="53">
        <f t="shared" si="0"/>
        <v>949</v>
      </c>
      <c r="B21" s="53">
        <f t="shared" si="1"/>
        <v>518</v>
      </c>
      <c r="C21" s="53">
        <f t="shared" si="1"/>
        <v>431</v>
      </c>
      <c r="D21" s="53">
        <f t="shared" si="2"/>
        <v>120</v>
      </c>
      <c r="E21" s="53">
        <f>96+3</f>
        <v>99</v>
      </c>
      <c r="F21" s="53">
        <f>8+13</f>
        <v>21</v>
      </c>
      <c r="G21" s="53">
        <f t="shared" si="3"/>
        <v>829</v>
      </c>
      <c r="H21" s="53">
        <f>719-300</f>
        <v>419</v>
      </c>
      <c r="I21" s="53">
        <f>510-100</f>
        <v>410</v>
      </c>
      <c r="J21" s="70" t="s">
        <v>222</v>
      </c>
      <c r="K21" s="71" t="s">
        <v>187</v>
      </c>
      <c r="L21" s="55"/>
    </row>
    <row r="22" spans="1:12" ht="12.75" customHeight="1" thickBot="1" x14ac:dyDescent="0.25">
      <c r="A22" s="53">
        <f t="shared" ref="A22:H22" si="9">SUM(A20:A21)</f>
        <v>14300</v>
      </c>
      <c r="B22" s="53">
        <f t="shared" si="9"/>
        <v>10737</v>
      </c>
      <c r="C22" s="53">
        <f t="shared" si="9"/>
        <v>3563</v>
      </c>
      <c r="D22" s="53">
        <f t="shared" si="9"/>
        <v>225</v>
      </c>
      <c r="E22" s="53">
        <f t="shared" si="9"/>
        <v>187</v>
      </c>
      <c r="F22" s="53">
        <f t="shared" si="9"/>
        <v>38</v>
      </c>
      <c r="G22" s="53">
        <f t="shared" si="9"/>
        <v>14075</v>
      </c>
      <c r="H22" s="53">
        <f t="shared" si="9"/>
        <v>10550</v>
      </c>
      <c r="I22" s="53">
        <f>SUM(I20:I21)</f>
        <v>3525</v>
      </c>
      <c r="J22" s="70" t="s">
        <v>13</v>
      </c>
      <c r="K22" s="72"/>
      <c r="L22" s="55"/>
    </row>
    <row r="23" spans="1:12" ht="12.75" customHeight="1" thickBot="1" x14ac:dyDescent="0.25">
      <c r="A23" s="53">
        <f t="shared" si="0"/>
        <v>5807</v>
      </c>
      <c r="B23" s="53">
        <f t="shared" si="1"/>
        <v>5354</v>
      </c>
      <c r="C23" s="53">
        <f t="shared" si="1"/>
        <v>453</v>
      </c>
      <c r="D23" s="53">
        <f t="shared" si="2"/>
        <v>6</v>
      </c>
      <c r="E23" s="53">
        <v>3</v>
      </c>
      <c r="F23" s="53">
        <v>3</v>
      </c>
      <c r="G23" s="53">
        <f t="shared" si="3"/>
        <v>5801</v>
      </c>
      <c r="H23" s="53">
        <f>5251+100</f>
        <v>5351</v>
      </c>
      <c r="I23" s="53">
        <f>250+100+100</f>
        <v>450</v>
      </c>
      <c r="J23" s="70" t="s">
        <v>221</v>
      </c>
      <c r="K23" s="71"/>
      <c r="L23" s="55"/>
    </row>
    <row r="24" spans="1:12" ht="12.75" customHeight="1" thickBot="1" x14ac:dyDescent="0.25">
      <c r="A24" s="53">
        <f t="shared" si="0"/>
        <v>63</v>
      </c>
      <c r="B24" s="53">
        <f t="shared" si="1"/>
        <v>63</v>
      </c>
      <c r="C24" s="53">
        <f t="shared" si="1"/>
        <v>0</v>
      </c>
      <c r="D24" s="53">
        <f t="shared" si="2"/>
        <v>0</v>
      </c>
      <c r="E24" s="53">
        <v>0</v>
      </c>
      <c r="F24" s="53">
        <v>0</v>
      </c>
      <c r="G24" s="53">
        <f t="shared" si="3"/>
        <v>63</v>
      </c>
      <c r="H24" s="53">
        <f>56+7</f>
        <v>63</v>
      </c>
      <c r="I24" s="53">
        <v>0</v>
      </c>
      <c r="J24" s="70" t="s">
        <v>222</v>
      </c>
      <c r="K24" s="71" t="s">
        <v>188</v>
      </c>
      <c r="L24" s="55"/>
    </row>
    <row r="25" spans="1:12" ht="12.75" customHeight="1" thickBot="1" x14ac:dyDescent="0.25">
      <c r="A25" s="53">
        <f t="shared" ref="A25:H25" si="10">SUM(A23:A24)</f>
        <v>5870</v>
      </c>
      <c r="B25" s="53">
        <f t="shared" si="10"/>
        <v>5417</v>
      </c>
      <c r="C25" s="53">
        <f t="shared" si="10"/>
        <v>453</v>
      </c>
      <c r="D25" s="53">
        <f t="shared" si="10"/>
        <v>6</v>
      </c>
      <c r="E25" s="53">
        <f t="shared" si="10"/>
        <v>3</v>
      </c>
      <c r="F25" s="53">
        <f t="shared" si="10"/>
        <v>3</v>
      </c>
      <c r="G25" s="53">
        <f t="shared" si="10"/>
        <v>5864</v>
      </c>
      <c r="H25" s="53">
        <f t="shared" si="10"/>
        <v>5414</v>
      </c>
      <c r="I25" s="53">
        <f>SUM(I23:I24)</f>
        <v>450</v>
      </c>
      <c r="J25" s="70" t="s">
        <v>13</v>
      </c>
      <c r="K25" s="72"/>
      <c r="L25" s="55"/>
    </row>
    <row r="26" spans="1:12" ht="12.75" customHeight="1" thickBot="1" x14ac:dyDescent="0.25">
      <c r="A26" s="53">
        <f t="shared" si="0"/>
        <v>1325</v>
      </c>
      <c r="B26" s="53">
        <f t="shared" si="1"/>
        <v>913</v>
      </c>
      <c r="C26" s="53">
        <f t="shared" si="1"/>
        <v>412</v>
      </c>
      <c r="D26" s="53">
        <f t="shared" si="2"/>
        <v>91</v>
      </c>
      <c r="E26" s="53">
        <f>16+12</f>
        <v>28</v>
      </c>
      <c r="F26" s="53">
        <v>63</v>
      </c>
      <c r="G26" s="53">
        <f t="shared" si="3"/>
        <v>1234</v>
      </c>
      <c r="H26" s="53">
        <v>885</v>
      </c>
      <c r="I26" s="53">
        <v>349</v>
      </c>
      <c r="J26" s="70" t="s">
        <v>221</v>
      </c>
      <c r="K26" s="71"/>
      <c r="L26" s="55"/>
    </row>
    <row r="27" spans="1:12" ht="12.75" customHeight="1" thickBot="1" x14ac:dyDescent="0.25">
      <c r="A27" s="53">
        <f t="shared" si="0"/>
        <v>65</v>
      </c>
      <c r="B27" s="53">
        <f t="shared" si="1"/>
        <v>65</v>
      </c>
      <c r="C27" s="53">
        <f t="shared" si="1"/>
        <v>0</v>
      </c>
      <c r="D27" s="53">
        <f t="shared" si="2"/>
        <v>0</v>
      </c>
      <c r="E27" s="53">
        <v>0</v>
      </c>
      <c r="F27" s="53">
        <v>0</v>
      </c>
      <c r="G27" s="53">
        <f t="shared" si="3"/>
        <v>65</v>
      </c>
      <c r="H27" s="53">
        <v>65</v>
      </c>
      <c r="I27" s="53">
        <v>0</v>
      </c>
      <c r="J27" s="70" t="s">
        <v>222</v>
      </c>
      <c r="K27" s="71" t="s">
        <v>189</v>
      </c>
      <c r="L27" s="55"/>
    </row>
    <row r="28" spans="1:12" ht="12.75" customHeight="1" thickBot="1" x14ac:dyDescent="0.25">
      <c r="A28" s="53">
        <f t="shared" ref="A28:H28" si="11">SUM(A26:A27)</f>
        <v>1390</v>
      </c>
      <c r="B28" s="53">
        <f t="shared" si="11"/>
        <v>978</v>
      </c>
      <c r="C28" s="53">
        <f t="shared" si="11"/>
        <v>412</v>
      </c>
      <c r="D28" s="53">
        <f t="shared" si="11"/>
        <v>91</v>
      </c>
      <c r="E28" s="53">
        <f t="shared" si="11"/>
        <v>28</v>
      </c>
      <c r="F28" s="53">
        <f t="shared" si="11"/>
        <v>63</v>
      </c>
      <c r="G28" s="53">
        <f t="shared" si="11"/>
        <v>1299</v>
      </c>
      <c r="H28" s="53">
        <f t="shared" si="11"/>
        <v>950</v>
      </c>
      <c r="I28" s="53">
        <f>SUM(I26:I27)</f>
        <v>349</v>
      </c>
      <c r="J28" s="70" t="s">
        <v>13</v>
      </c>
      <c r="K28" s="72"/>
      <c r="L28" s="55"/>
    </row>
    <row r="29" spans="1:12" ht="12.75" customHeight="1" thickBot="1" x14ac:dyDescent="0.25">
      <c r="A29" s="53">
        <f t="shared" si="0"/>
        <v>4428</v>
      </c>
      <c r="B29" s="53">
        <f t="shared" si="1"/>
        <v>2219</v>
      </c>
      <c r="C29" s="53">
        <f t="shared" si="1"/>
        <v>2209</v>
      </c>
      <c r="D29" s="53">
        <f t="shared" si="2"/>
        <v>171</v>
      </c>
      <c r="E29" s="53">
        <v>97</v>
      </c>
      <c r="F29" s="53">
        <v>74</v>
      </c>
      <c r="G29" s="53">
        <f t="shared" si="3"/>
        <v>4257</v>
      </c>
      <c r="H29" s="53">
        <v>2122</v>
      </c>
      <c r="I29" s="53">
        <f>2015+120</f>
        <v>2135</v>
      </c>
      <c r="J29" s="70" t="s">
        <v>221</v>
      </c>
      <c r="K29" s="71"/>
      <c r="L29" s="55"/>
    </row>
    <row r="30" spans="1:12" ht="12.75" customHeight="1" thickBot="1" x14ac:dyDescent="0.25">
      <c r="A30" s="53">
        <f t="shared" si="0"/>
        <v>898</v>
      </c>
      <c r="B30" s="53">
        <f t="shared" si="1"/>
        <v>419</v>
      </c>
      <c r="C30" s="53">
        <f t="shared" si="1"/>
        <v>479</v>
      </c>
      <c r="D30" s="53">
        <f t="shared" si="2"/>
        <v>86</v>
      </c>
      <c r="E30" s="53">
        <v>67</v>
      </c>
      <c r="F30" s="53">
        <v>19</v>
      </c>
      <c r="G30" s="53">
        <f t="shared" si="3"/>
        <v>812</v>
      </c>
      <c r="H30" s="53">
        <f>399-47</f>
        <v>352</v>
      </c>
      <c r="I30" s="53">
        <f>610-150</f>
        <v>460</v>
      </c>
      <c r="J30" s="70" t="s">
        <v>222</v>
      </c>
      <c r="K30" s="71" t="s">
        <v>190</v>
      </c>
      <c r="L30" s="55"/>
    </row>
    <row r="31" spans="1:12" ht="12.75" customHeight="1" thickBot="1" x14ac:dyDescent="0.25">
      <c r="A31" s="53">
        <f t="shared" ref="A31:H31" si="12">SUM(A29:A30)</f>
        <v>5326</v>
      </c>
      <c r="B31" s="53">
        <f t="shared" si="12"/>
        <v>2638</v>
      </c>
      <c r="C31" s="53">
        <f t="shared" si="12"/>
        <v>2688</v>
      </c>
      <c r="D31" s="53">
        <f t="shared" si="12"/>
        <v>257</v>
      </c>
      <c r="E31" s="53">
        <f t="shared" si="12"/>
        <v>164</v>
      </c>
      <c r="F31" s="53">
        <f t="shared" si="12"/>
        <v>93</v>
      </c>
      <c r="G31" s="53">
        <f t="shared" si="12"/>
        <v>5069</v>
      </c>
      <c r="H31" s="53">
        <f t="shared" si="12"/>
        <v>2474</v>
      </c>
      <c r="I31" s="53">
        <f>SUM(I29:I30)</f>
        <v>2595</v>
      </c>
      <c r="J31" s="70" t="s">
        <v>13</v>
      </c>
      <c r="K31" s="72"/>
      <c r="L31" s="55"/>
    </row>
    <row r="32" spans="1:12" ht="12.75" customHeight="1" thickBot="1" x14ac:dyDescent="0.25">
      <c r="A32" s="53">
        <f t="shared" si="0"/>
        <v>159</v>
      </c>
      <c r="B32" s="53">
        <f t="shared" si="1"/>
        <v>159</v>
      </c>
      <c r="C32" s="53">
        <f t="shared" si="1"/>
        <v>0</v>
      </c>
      <c r="D32" s="53">
        <f t="shared" si="2"/>
        <v>1</v>
      </c>
      <c r="E32" s="53">
        <v>1</v>
      </c>
      <c r="F32" s="53">
        <v>0</v>
      </c>
      <c r="G32" s="53">
        <f t="shared" si="3"/>
        <v>158</v>
      </c>
      <c r="H32" s="53">
        <v>158</v>
      </c>
      <c r="I32" s="53">
        <v>0</v>
      </c>
      <c r="J32" s="70" t="s">
        <v>221</v>
      </c>
      <c r="K32" s="71"/>
      <c r="L32" s="55"/>
    </row>
    <row r="33" spans="1:12" ht="12.75" customHeight="1" thickBot="1" x14ac:dyDescent="0.25">
      <c r="A33" s="53">
        <f t="shared" si="0"/>
        <v>0</v>
      </c>
      <c r="B33" s="53">
        <f t="shared" si="1"/>
        <v>0</v>
      </c>
      <c r="C33" s="53">
        <f t="shared" si="1"/>
        <v>0</v>
      </c>
      <c r="D33" s="53">
        <f t="shared" si="2"/>
        <v>0</v>
      </c>
      <c r="E33" s="53">
        <v>0</v>
      </c>
      <c r="F33" s="53">
        <v>0</v>
      </c>
      <c r="G33" s="53">
        <f t="shared" si="3"/>
        <v>0</v>
      </c>
      <c r="H33" s="53">
        <v>0</v>
      </c>
      <c r="I33" s="53">
        <v>0</v>
      </c>
      <c r="J33" s="70" t="s">
        <v>222</v>
      </c>
      <c r="K33" s="71" t="s">
        <v>191</v>
      </c>
      <c r="L33" s="55"/>
    </row>
    <row r="34" spans="1:12" ht="12.75" customHeight="1" thickBot="1" x14ac:dyDescent="0.25">
      <c r="A34" s="53">
        <f t="shared" ref="A34:H34" si="13">SUM(A32:A33)</f>
        <v>159</v>
      </c>
      <c r="B34" s="53">
        <f t="shared" si="13"/>
        <v>159</v>
      </c>
      <c r="C34" s="53">
        <f t="shared" si="13"/>
        <v>0</v>
      </c>
      <c r="D34" s="53">
        <f t="shared" si="13"/>
        <v>1</v>
      </c>
      <c r="E34" s="53">
        <f t="shared" si="13"/>
        <v>1</v>
      </c>
      <c r="F34" s="53">
        <f t="shared" si="13"/>
        <v>0</v>
      </c>
      <c r="G34" s="53">
        <f t="shared" si="13"/>
        <v>158</v>
      </c>
      <c r="H34" s="53">
        <f t="shared" si="13"/>
        <v>158</v>
      </c>
      <c r="I34" s="53">
        <f>SUM(I32:I33)</f>
        <v>0</v>
      </c>
      <c r="J34" s="70" t="s">
        <v>13</v>
      </c>
      <c r="K34" s="72"/>
      <c r="L34" s="55"/>
    </row>
    <row r="35" spans="1:12" ht="12.75" customHeight="1" thickBot="1" x14ac:dyDescent="0.25">
      <c r="A35" s="53">
        <f t="shared" si="0"/>
        <v>5162</v>
      </c>
      <c r="B35" s="53">
        <f t="shared" si="1"/>
        <v>3882</v>
      </c>
      <c r="C35" s="53">
        <f t="shared" si="1"/>
        <v>1280</v>
      </c>
      <c r="D35" s="53">
        <f t="shared" si="2"/>
        <v>53</v>
      </c>
      <c r="E35" s="53">
        <v>34</v>
      </c>
      <c r="F35" s="53">
        <v>19</v>
      </c>
      <c r="G35" s="53">
        <f t="shared" si="3"/>
        <v>5109</v>
      </c>
      <c r="H35" s="53">
        <v>3848</v>
      </c>
      <c r="I35" s="53">
        <v>1261</v>
      </c>
      <c r="J35" s="70" t="s">
        <v>221</v>
      </c>
      <c r="K35" s="71"/>
      <c r="L35" s="55"/>
    </row>
    <row r="36" spans="1:12" ht="12.75" customHeight="1" thickBot="1" x14ac:dyDescent="0.25">
      <c r="A36" s="53">
        <f t="shared" si="0"/>
        <v>13</v>
      </c>
      <c r="B36" s="53">
        <f t="shared" si="1"/>
        <v>0</v>
      </c>
      <c r="C36" s="53">
        <f t="shared" si="1"/>
        <v>13</v>
      </c>
      <c r="D36" s="53">
        <f t="shared" si="2"/>
        <v>0</v>
      </c>
      <c r="E36" s="53">
        <v>0</v>
      </c>
      <c r="F36" s="53">
        <v>0</v>
      </c>
      <c r="G36" s="53">
        <f t="shared" si="3"/>
        <v>13</v>
      </c>
      <c r="H36" s="53">
        <v>0</v>
      </c>
      <c r="I36" s="53">
        <v>13</v>
      </c>
      <c r="J36" s="70" t="s">
        <v>222</v>
      </c>
      <c r="K36" s="71" t="s">
        <v>192</v>
      </c>
      <c r="L36" s="55"/>
    </row>
    <row r="37" spans="1:12" ht="12.75" customHeight="1" thickBot="1" x14ac:dyDescent="0.25">
      <c r="A37" s="53">
        <f t="shared" ref="A37:H37" si="14">SUM(A35:A36)</f>
        <v>5175</v>
      </c>
      <c r="B37" s="53">
        <f t="shared" si="14"/>
        <v>3882</v>
      </c>
      <c r="C37" s="53">
        <f t="shared" si="14"/>
        <v>1293</v>
      </c>
      <c r="D37" s="53">
        <f t="shared" si="14"/>
        <v>53</v>
      </c>
      <c r="E37" s="53">
        <f t="shared" si="14"/>
        <v>34</v>
      </c>
      <c r="F37" s="53">
        <f t="shared" si="14"/>
        <v>19</v>
      </c>
      <c r="G37" s="53">
        <f t="shared" si="14"/>
        <v>5122</v>
      </c>
      <c r="H37" s="53">
        <f t="shared" si="14"/>
        <v>3848</v>
      </c>
      <c r="I37" s="53">
        <f>SUM(I35:I36)</f>
        <v>1274</v>
      </c>
      <c r="J37" s="70" t="s">
        <v>13</v>
      </c>
      <c r="K37" s="72"/>
      <c r="L37" s="55"/>
    </row>
    <row r="38" spans="1:12" ht="12.75" customHeight="1" thickBot="1" x14ac:dyDescent="0.25">
      <c r="A38" s="53">
        <f t="shared" si="0"/>
        <v>4478</v>
      </c>
      <c r="B38" s="53">
        <f t="shared" si="1"/>
        <v>3474</v>
      </c>
      <c r="C38" s="53">
        <f t="shared" si="1"/>
        <v>1004</v>
      </c>
      <c r="D38" s="53">
        <f t="shared" si="2"/>
        <v>45</v>
      </c>
      <c r="E38" s="53">
        <v>24</v>
      </c>
      <c r="F38" s="53">
        <f>16+5</f>
        <v>21</v>
      </c>
      <c r="G38" s="53">
        <f t="shared" si="3"/>
        <v>4433</v>
      </c>
      <c r="H38" s="53">
        <f>3350+100</f>
        <v>3450</v>
      </c>
      <c r="I38" s="53">
        <v>983</v>
      </c>
      <c r="J38" s="70" t="s">
        <v>221</v>
      </c>
      <c r="K38" s="71"/>
      <c r="L38" s="55"/>
    </row>
    <row r="39" spans="1:12" ht="12.75" customHeight="1" thickBot="1" x14ac:dyDescent="0.25">
      <c r="A39" s="53">
        <f t="shared" si="0"/>
        <v>0</v>
      </c>
      <c r="B39" s="53">
        <f t="shared" si="1"/>
        <v>0</v>
      </c>
      <c r="C39" s="53">
        <f t="shared" si="1"/>
        <v>0</v>
      </c>
      <c r="D39" s="53">
        <f t="shared" si="2"/>
        <v>0</v>
      </c>
      <c r="E39" s="53">
        <v>0</v>
      </c>
      <c r="F39" s="53">
        <v>0</v>
      </c>
      <c r="G39" s="53">
        <f t="shared" si="3"/>
        <v>0</v>
      </c>
      <c r="H39" s="53">
        <v>0</v>
      </c>
      <c r="I39" s="53">
        <v>0</v>
      </c>
      <c r="J39" s="70" t="s">
        <v>222</v>
      </c>
      <c r="K39" s="71" t="s">
        <v>193</v>
      </c>
      <c r="L39" s="55"/>
    </row>
    <row r="40" spans="1:12" ht="12.75" customHeight="1" thickBot="1" x14ac:dyDescent="0.25">
      <c r="A40" s="53">
        <f t="shared" ref="A40:H40" si="15">SUM(A38:A39)</f>
        <v>4478</v>
      </c>
      <c r="B40" s="53">
        <f t="shared" si="15"/>
        <v>3474</v>
      </c>
      <c r="C40" s="53">
        <f t="shared" si="15"/>
        <v>1004</v>
      </c>
      <c r="D40" s="53">
        <f t="shared" si="15"/>
        <v>45</v>
      </c>
      <c r="E40" s="53">
        <f t="shared" si="15"/>
        <v>24</v>
      </c>
      <c r="F40" s="53">
        <f t="shared" si="15"/>
        <v>21</v>
      </c>
      <c r="G40" s="53">
        <f t="shared" si="15"/>
        <v>4433</v>
      </c>
      <c r="H40" s="53">
        <f t="shared" si="15"/>
        <v>3450</v>
      </c>
      <c r="I40" s="53">
        <f>SUM(I38:I39)</f>
        <v>983</v>
      </c>
      <c r="J40" s="70" t="s">
        <v>13</v>
      </c>
      <c r="K40" s="72"/>
      <c r="L40" s="55"/>
    </row>
    <row r="41" spans="1:12" ht="12.75" customHeight="1" thickBot="1" x14ac:dyDescent="0.25">
      <c r="A41" s="53">
        <f t="shared" si="0"/>
        <v>4745</v>
      </c>
      <c r="B41" s="53">
        <f t="shared" si="1"/>
        <v>3804</v>
      </c>
      <c r="C41" s="53">
        <f t="shared" si="1"/>
        <v>941</v>
      </c>
      <c r="D41" s="53">
        <f t="shared" si="2"/>
        <v>28</v>
      </c>
      <c r="E41" s="53">
        <v>22</v>
      </c>
      <c r="F41" s="53">
        <v>6</v>
      </c>
      <c r="G41" s="53">
        <f t="shared" si="3"/>
        <v>4717</v>
      </c>
      <c r="H41" s="53">
        <f>3682+100</f>
        <v>3782</v>
      </c>
      <c r="I41" s="53">
        <f>735+100+100</f>
        <v>935</v>
      </c>
      <c r="J41" s="70" t="s">
        <v>221</v>
      </c>
      <c r="K41" s="71"/>
      <c r="L41" s="55"/>
    </row>
    <row r="42" spans="1:12" ht="12.75" customHeight="1" thickBot="1" x14ac:dyDescent="0.25">
      <c r="A42" s="53">
        <f t="shared" si="0"/>
        <v>5</v>
      </c>
      <c r="B42" s="53">
        <f t="shared" si="1"/>
        <v>5</v>
      </c>
      <c r="C42" s="53">
        <f t="shared" si="1"/>
        <v>0</v>
      </c>
      <c r="D42" s="53">
        <f t="shared" si="2"/>
        <v>0</v>
      </c>
      <c r="E42" s="53">
        <v>0</v>
      </c>
      <c r="F42" s="53">
        <v>0</v>
      </c>
      <c r="G42" s="53">
        <f t="shared" si="3"/>
        <v>5</v>
      </c>
      <c r="H42" s="53">
        <v>5</v>
      </c>
      <c r="I42" s="53">
        <v>0</v>
      </c>
      <c r="J42" s="70" t="s">
        <v>222</v>
      </c>
      <c r="K42" s="71" t="s">
        <v>194</v>
      </c>
      <c r="L42" s="55"/>
    </row>
    <row r="43" spans="1:12" ht="12.75" customHeight="1" thickBot="1" x14ac:dyDescent="0.25">
      <c r="A43" s="53">
        <f t="shared" ref="A43" si="16">SUM(A41:A42)</f>
        <v>4750</v>
      </c>
      <c r="B43" s="53">
        <f t="shared" ref="B43:H43" si="17">SUM(B41:B42)</f>
        <v>3809</v>
      </c>
      <c r="C43" s="53">
        <f t="shared" si="17"/>
        <v>941</v>
      </c>
      <c r="D43" s="53">
        <f t="shared" si="17"/>
        <v>28</v>
      </c>
      <c r="E43" s="53">
        <f t="shared" si="17"/>
        <v>22</v>
      </c>
      <c r="F43" s="53">
        <f t="shared" si="17"/>
        <v>6</v>
      </c>
      <c r="G43" s="53">
        <f t="shared" si="17"/>
        <v>4722</v>
      </c>
      <c r="H43" s="53">
        <f t="shared" si="17"/>
        <v>3787</v>
      </c>
      <c r="I43" s="53">
        <f>SUM(I41:I42)</f>
        <v>935</v>
      </c>
      <c r="J43" s="70" t="s">
        <v>13</v>
      </c>
      <c r="K43" s="72"/>
      <c r="L43" s="55"/>
    </row>
    <row r="44" spans="1:12" ht="12.75" customHeight="1" thickBot="1" x14ac:dyDescent="0.25">
      <c r="A44" s="53">
        <f t="shared" si="0"/>
        <v>3489</v>
      </c>
      <c r="B44" s="53">
        <f t="shared" si="1"/>
        <v>1725</v>
      </c>
      <c r="C44" s="53">
        <f t="shared" si="1"/>
        <v>1764</v>
      </c>
      <c r="D44" s="53">
        <f t="shared" si="2"/>
        <v>354</v>
      </c>
      <c r="E44" s="53">
        <v>100</v>
      </c>
      <c r="F44" s="53">
        <v>254</v>
      </c>
      <c r="G44" s="53">
        <f t="shared" si="3"/>
        <v>3135</v>
      </c>
      <c r="H44" s="53">
        <v>1625</v>
      </c>
      <c r="I44" s="53">
        <v>1510</v>
      </c>
      <c r="J44" s="70" t="s">
        <v>221</v>
      </c>
      <c r="K44" s="71"/>
      <c r="L44" s="55"/>
    </row>
    <row r="45" spans="1:12" ht="12.75" customHeight="1" thickBot="1" x14ac:dyDescent="0.25">
      <c r="A45" s="53">
        <f t="shared" si="0"/>
        <v>0</v>
      </c>
      <c r="B45" s="53">
        <f t="shared" si="1"/>
        <v>0</v>
      </c>
      <c r="C45" s="53">
        <f t="shared" si="1"/>
        <v>0</v>
      </c>
      <c r="D45" s="53">
        <f t="shared" si="2"/>
        <v>0</v>
      </c>
      <c r="E45" s="53">
        <v>0</v>
      </c>
      <c r="F45" s="53">
        <v>0</v>
      </c>
      <c r="G45" s="53">
        <f t="shared" si="3"/>
        <v>0</v>
      </c>
      <c r="H45" s="53">
        <v>0</v>
      </c>
      <c r="I45" s="53">
        <v>0</v>
      </c>
      <c r="J45" s="70" t="s">
        <v>222</v>
      </c>
      <c r="K45" s="71" t="s">
        <v>195</v>
      </c>
      <c r="L45" s="55"/>
    </row>
    <row r="46" spans="1:12" ht="12.75" customHeight="1" thickBot="1" x14ac:dyDescent="0.25">
      <c r="A46" s="53">
        <f t="shared" ref="A46:H46" si="18">SUM(A44:A45)</f>
        <v>3489</v>
      </c>
      <c r="B46" s="53">
        <f t="shared" si="18"/>
        <v>1725</v>
      </c>
      <c r="C46" s="53">
        <f t="shared" si="18"/>
        <v>1764</v>
      </c>
      <c r="D46" s="53">
        <f t="shared" si="18"/>
        <v>354</v>
      </c>
      <c r="E46" s="53">
        <f t="shared" si="18"/>
        <v>100</v>
      </c>
      <c r="F46" s="53">
        <f t="shared" si="18"/>
        <v>254</v>
      </c>
      <c r="G46" s="53">
        <f t="shared" si="18"/>
        <v>3135</v>
      </c>
      <c r="H46" s="53">
        <f t="shared" si="18"/>
        <v>1625</v>
      </c>
      <c r="I46" s="53">
        <f>SUM(I44:I45)</f>
        <v>1510</v>
      </c>
      <c r="J46" s="70" t="s">
        <v>13</v>
      </c>
      <c r="K46" s="72"/>
      <c r="L46" s="55"/>
    </row>
    <row r="47" spans="1:12" ht="12.75" customHeight="1" thickBot="1" x14ac:dyDescent="0.25">
      <c r="A47" s="53">
        <f t="shared" si="0"/>
        <v>1165</v>
      </c>
      <c r="B47" s="53">
        <f t="shared" si="1"/>
        <v>0</v>
      </c>
      <c r="C47" s="53">
        <f t="shared" si="1"/>
        <v>1165</v>
      </c>
      <c r="D47" s="53">
        <f t="shared" si="2"/>
        <v>15</v>
      </c>
      <c r="E47" s="53">
        <v>0</v>
      </c>
      <c r="F47" s="53">
        <v>15</v>
      </c>
      <c r="G47" s="53">
        <f t="shared" si="3"/>
        <v>1150</v>
      </c>
      <c r="H47" s="53">
        <v>0</v>
      </c>
      <c r="I47" s="53">
        <v>1150</v>
      </c>
      <c r="J47" s="70" t="s">
        <v>221</v>
      </c>
      <c r="K47" s="71"/>
      <c r="L47" s="55"/>
    </row>
    <row r="48" spans="1:12" ht="12.75" customHeight="1" thickBot="1" x14ac:dyDescent="0.25">
      <c r="A48" s="53">
        <f t="shared" si="0"/>
        <v>0</v>
      </c>
      <c r="B48" s="53">
        <f t="shared" si="1"/>
        <v>0</v>
      </c>
      <c r="C48" s="53">
        <f t="shared" si="1"/>
        <v>0</v>
      </c>
      <c r="D48" s="53">
        <f t="shared" si="2"/>
        <v>0</v>
      </c>
      <c r="E48" s="53">
        <v>0</v>
      </c>
      <c r="F48" s="53">
        <v>0</v>
      </c>
      <c r="G48" s="53">
        <f t="shared" si="3"/>
        <v>0</v>
      </c>
      <c r="H48" s="53">
        <v>0</v>
      </c>
      <c r="I48" s="53">
        <v>0</v>
      </c>
      <c r="J48" s="70" t="s">
        <v>222</v>
      </c>
      <c r="K48" s="71" t="s">
        <v>196</v>
      </c>
      <c r="L48" s="55"/>
    </row>
    <row r="49" spans="1:12" ht="12.75" customHeight="1" thickBot="1" x14ac:dyDescent="0.25">
      <c r="A49" s="53">
        <f t="shared" ref="A49:H49" si="19">SUM(A47:A48)</f>
        <v>1165</v>
      </c>
      <c r="B49" s="53">
        <f t="shared" si="19"/>
        <v>0</v>
      </c>
      <c r="C49" s="53">
        <f t="shared" si="19"/>
        <v>1165</v>
      </c>
      <c r="D49" s="53">
        <f t="shared" si="19"/>
        <v>15</v>
      </c>
      <c r="E49" s="53">
        <f t="shared" si="19"/>
        <v>0</v>
      </c>
      <c r="F49" s="53">
        <f t="shared" si="19"/>
        <v>15</v>
      </c>
      <c r="G49" s="53">
        <f t="shared" si="19"/>
        <v>1150</v>
      </c>
      <c r="H49" s="53">
        <f t="shared" si="19"/>
        <v>0</v>
      </c>
      <c r="I49" s="53">
        <f>SUM(I47:I48)</f>
        <v>1150</v>
      </c>
      <c r="J49" s="70" t="s">
        <v>13</v>
      </c>
      <c r="K49" s="72"/>
      <c r="L49" s="55"/>
    </row>
    <row r="50" spans="1:12" ht="12.75" customHeight="1" thickBot="1" x14ac:dyDescent="0.25">
      <c r="A50" s="53">
        <f t="shared" si="0"/>
        <v>332</v>
      </c>
      <c r="B50" s="53">
        <f t="shared" si="1"/>
        <v>311</v>
      </c>
      <c r="C50" s="53">
        <f t="shared" si="1"/>
        <v>21</v>
      </c>
      <c r="D50" s="53">
        <f t="shared" si="2"/>
        <v>5</v>
      </c>
      <c r="E50" s="53">
        <v>5</v>
      </c>
      <c r="F50" s="53">
        <v>0</v>
      </c>
      <c r="G50" s="53">
        <f t="shared" si="3"/>
        <v>327</v>
      </c>
      <c r="H50" s="53">
        <v>306</v>
      </c>
      <c r="I50" s="53">
        <v>21</v>
      </c>
      <c r="J50" s="70" t="s">
        <v>221</v>
      </c>
      <c r="K50" s="71"/>
      <c r="L50" s="55"/>
    </row>
    <row r="51" spans="1:12" ht="12.75" customHeight="1" thickBot="1" x14ac:dyDescent="0.25">
      <c r="A51" s="53">
        <f t="shared" si="0"/>
        <v>0</v>
      </c>
      <c r="B51" s="53">
        <f t="shared" si="1"/>
        <v>0</v>
      </c>
      <c r="C51" s="53">
        <f t="shared" si="1"/>
        <v>0</v>
      </c>
      <c r="D51" s="53">
        <f t="shared" si="2"/>
        <v>0</v>
      </c>
      <c r="E51" s="53">
        <v>0</v>
      </c>
      <c r="F51" s="53">
        <v>0</v>
      </c>
      <c r="G51" s="53">
        <f t="shared" si="3"/>
        <v>0</v>
      </c>
      <c r="H51" s="53">
        <v>0</v>
      </c>
      <c r="I51" s="53">
        <v>0</v>
      </c>
      <c r="J51" s="70" t="s">
        <v>222</v>
      </c>
      <c r="K51" s="71" t="s">
        <v>197</v>
      </c>
      <c r="L51" s="55"/>
    </row>
    <row r="52" spans="1:12" ht="12.75" customHeight="1" thickBot="1" x14ac:dyDescent="0.25">
      <c r="A52" s="53">
        <f t="shared" ref="A52:H52" si="20">SUM(A50:A51)</f>
        <v>332</v>
      </c>
      <c r="B52" s="53">
        <f t="shared" si="20"/>
        <v>311</v>
      </c>
      <c r="C52" s="53">
        <f t="shared" si="20"/>
        <v>21</v>
      </c>
      <c r="D52" s="53">
        <f t="shared" si="20"/>
        <v>5</v>
      </c>
      <c r="E52" s="53">
        <f t="shared" si="20"/>
        <v>5</v>
      </c>
      <c r="F52" s="53">
        <f t="shared" si="20"/>
        <v>0</v>
      </c>
      <c r="G52" s="53">
        <f t="shared" si="20"/>
        <v>327</v>
      </c>
      <c r="H52" s="53">
        <f t="shared" si="20"/>
        <v>306</v>
      </c>
      <c r="I52" s="53">
        <f>SUM(I50:I51)</f>
        <v>21</v>
      </c>
      <c r="J52" s="70" t="s">
        <v>13</v>
      </c>
      <c r="K52" s="72"/>
      <c r="L52" s="55"/>
    </row>
    <row r="53" spans="1:12" ht="12.75" customHeight="1" thickBot="1" x14ac:dyDescent="0.25">
      <c r="A53" s="53">
        <f t="shared" si="0"/>
        <v>813</v>
      </c>
      <c r="B53" s="53">
        <f t="shared" si="1"/>
        <v>47</v>
      </c>
      <c r="C53" s="53">
        <f t="shared" si="1"/>
        <v>766</v>
      </c>
      <c r="D53" s="53">
        <f t="shared" si="2"/>
        <v>21</v>
      </c>
      <c r="E53" s="53">
        <v>1</v>
      </c>
      <c r="F53" s="53">
        <v>20</v>
      </c>
      <c r="G53" s="53">
        <f t="shared" si="3"/>
        <v>792</v>
      </c>
      <c r="H53" s="53">
        <v>46</v>
      </c>
      <c r="I53" s="53">
        <v>746</v>
      </c>
      <c r="J53" s="70" t="s">
        <v>221</v>
      </c>
      <c r="K53" s="71"/>
      <c r="L53" s="55"/>
    </row>
    <row r="54" spans="1:12" ht="12.75" customHeight="1" thickBot="1" x14ac:dyDescent="0.25">
      <c r="A54" s="53">
        <f t="shared" si="0"/>
        <v>0</v>
      </c>
      <c r="B54" s="53">
        <f t="shared" si="1"/>
        <v>0</v>
      </c>
      <c r="C54" s="53">
        <f t="shared" si="1"/>
        <v>0</v>
      </c>
      <c r="D54" s="53">
        <f t="shared" si="2"/>
        <v>0</v>
      </c>
      <c r="E54" s="53">
        <v>0</v>
      </c>
      <c r="F54" s="53">
        <v>0</v>
      </c>
      <c r="G54" s="53">
        <f t="shared" si="3"/>
        <v>0</v>
      </c>
      <c r="H54" s="53">
        <v>0</v>
      </c>
      <c r="I54" s="53">
        <v>0</v>
      </c>
      <c r="J54" s="70" t="s">
        <v>222</v>
      </c>
      <c r="K54" s="71" t="s">
        <v>198</v>
      </c>
      <c r="L54" s="55"/>
    </row>
    <row r="55" spans="1:12" ht="12.75" customHeight="1" thickBot="1" x14ac:dyDescent="0.25">
      <c r="A55" s="53">
        <f t="shared" ref="A55:H55" si="21">SUM(A53:A54)</f>
        <v>813</v>
      </c>
      <c r="B55" s="53">
        <f t="shared" si="21"/>
        <v>47</v>
      </c>
      <c r="C55" s="53">
        <f t="shared" si="21"/>
        <v>766</v>
      </c>
      <c r="D55" s="53">
        <f t="shared" si="21"/>
        <v>21</v>
      </c>
      <c r="E55" s="53">
        <f t="shared" si="21"/>
        <v>1</v>
      </c>
      <c r="F55" s="53">
        <f t="shared" si="21"/>
        <v>20</v>
      </c>
      <c r="G55" s="53">
        <f t="shared" si="21"/>
        <v>792</v>
      </c>
      <c r="H55" s="53">
        <f t="shared" si="21"/>
        <v>46</v>
      </c>
      <c r="I55" s="53">
        <f>SUM(I53:I54)</f>
        <v>746</v>
      </c>
      <c r="J55" s="70" t="s">
        <v>13</v>
      </c>
      <c r="K55" s="72"/>
      <c r="L55" s="55"/>
    </row>
    <row r="56" spans="1:12" ht="12.75" customHeight="1" thickBot="1" x14ac:dyDescent="0.25">
      <c r="A56" s="53">
        <f t="shared" si="0"/>
        <v>332</v>
      </c>
      <c r="B56" s="53">
        <f t="shared" si="1"/>
        <v>62</v>
      </c>
      <c r="C56" s="53">
        <f t="shared" si="1"/>
        <v>270</v>
      </c>
      <c r="D56" s="53">
        <f t="shared" si="2"/>
        <v>3</v>
      </c>
      <c r="E56" s="53">
        <v>1</v>
      </c>
      <c r="F56" s="53">
        <v>2</v>
      </c>
      <c r="G56" s="53">
        <f t="shared" si="3"/>
        <v>329</v>
      </c>
      <c r="H56" s="53">
        <v>61</v>
      </c>
      <c r="I56" s="53">
        <v>268</v>
      </c>
      <c r="J56" s="70" t="s">
        <v>221</v>
      </c>
      <c r="K56" s="71"/>
      <c r="L56" s="55"/>
    </row>
    <row r="57" spans="1:12" ht="12.75" customHeight="1" thickBot="1" x14ac:dyDescent="0.25">
      <c r="A57" s="53">
        <f t="shared" si="0"/>
        <v>0</v>
      </c>
      <c r="B57" s="53">
        <f t="shared" si="1"/>
        <v>0</v>
      </c>
      <c r="C57" s="53">
        <f t="shared" si="1"/>
        <v>0</v>
      </c>
      <c r="D57" s="53">
        <f t="shared" si="2"/>
        <v>0</v>
      </c>
      <c r="E57" s="53">
        <v>0</v>
      </c>
      <c r="F57" s="53">
        <v>0</v>
      </c>
      <c r="G57" s="53">
        <f t="shared" si="3"/>
        <v>0</v>
      </c>
      <c r="H57" s="53">
        <v>0</v>
      </c>
      <c r="I57" s="53">
        <v>0</v>
      </c>
      <c r="J57" s="70" t="s">
        <v>222</v>
      </c>
      <c r="K57" s="71" t="s">
        <v>199</v>
      </c>
      <c r="L57" s="55"/>
    </row>
    <row r="58" spans="1:12" ht="12.75" customHeight="1" thickBot="1" x14ac:dyDescent="0.25">
      <c r="A58" s="53">
        <f t="shared" ref="A58:H58" si="22">SUM(A56:A57)</f>
        <v>332</v>
      </c>
      <c r="B58" s="53">
        <f t="shared" si="22"/>
        <v>62</v>
      </c>
      <c r="C58" s="53">
        <f t="shared" si="22"/>
        <v>270</v>
      </c>
      <c r="D58" s="53">
        <f t="shared" si="22"/>
        <v>3</v>
      </c>
      <c r="E58" s="53">
        <f t="shared" si="22"/>
        <v>1</v>
      </c>
      <c r="F58" s="53">
        <f t="shared" si="22"/>
        <v>2</v>
      </c>
      <c r="G58" s="53">
        <f t="shared" si="22"/>
        <v>329</v>
      </c>
      <c r="H58" s="53">
        <f t="shared" si="22"/>
        <v>61</v>
      </c>
      <c r="I58" s="53">
        <f>SUM(I56:I57)</f>
        <v>268</v>
      </c>
      <c r="J58" s="70" t="s">
        <v>13</v>
      </c>
      <c r="K58" s="72"/>
      <c r="L58" s="55"/>
    </row>
    <row r="59" spans="1:12" ht="12.75" customHeight="1" thickBot="1" x14ac:dyDescent="0.25">
      <c r="A59" s="53">
        <f t="shared" si="0"/>
        <v>54</v>
      </c>
      <c r="B59" s="53">
        <f t="shared" si="1"/>
        <v>0</v>
      </c>
      <c r="C59" s="53">
        <f t="shared" si="1"/>
        <v>54</v>
      </c>
      <c r="D59" s="53">
        <f t="shared" si="2"/>
        <v>6</v>
      </c>
      <c r="E59" s="53">
        <v>0</v>
      </c>
      <c r="F59" s="53">
        <v>6</v>
      </c>
      <c r="G59" s="53">
        <f t="shared" si="3"/>
        <v>48</v>
      </c>
      <c r="H59" s="53">
        <v>0</v>
      </c>
      <c r="I59" s="53">
        <v>48</v>
      </c>
      <c r="J59" s="70" t="s">
        <v>221</v>
      </c>
      <c r="K59" s="71"/>
      <c r="L59" s="55"/>
    </row>
    <row r="60" spans="1:12" ht="12.75" customHeight="1" thickBot="1" x14ac:dyDescent="0.25">
      <c r="A60" s="53">
        <f t="shared" si="0"/>
        <v>0</v>
      </c>
      <c r="B60" s="53">
        <f t="shared" si="1"/>
        <v>0</v>
      </c>
      <c r="C60" s="53">
        <f t="shared" si="1"/>
        <v>0</v>
      </c>
      <c r="D60" s="53">
        <f t="shared" si="2"/>
        <v>0</v>
      </c>
      <c r="E60" s="53">
        <v>0</v>
      </c>
      <c r="F60" s="53">
        <v>0</v>
      </c>
      <c r="G60" s="53">
        <f t="shared" si="3"/>
        <v>0</v>
      </c>
      <c r="H60" s="53">
        <v>0</v>
      </c>
      <c r="I60" s="53">
        <v>0</v>
      </c>
      <c r="J60" s="70" t="s">
        <v>222</v>
      </c>
      <c r="K60" s="71" t="s">
        <v>200</v>
      </c>
      <c r="L60" s="55"/>
    </row>
    <row r="61" spans="1:12" ht="12.75" customHeight="1" thickBot="1" x14ac:dyDescent="0.25">
      <c r="A61" s="53">
        <f t="shared" ref="A61:H61" si="23">SUM(A59:A60)</f>
        <v>54</v>
      </c>
      <c r="B61" s="53">
        <f t="shared" si="23"/>
        <v>0</v>
      </c>
      <c r="C61" s="53">
        <f t="shared" si="23"/>
        <v>54</v>
      </c>
      <c r="D61" s="53">
        <f t="shared" si="23"/>
        <v>6</v>
      </c>
      <c r="E61" s="53">
        <f t="shared" si="23"/>
        <v>0</v>
      </c>
      <c r="F61" s="53">
        <f t="shared" si="23"/>
        <v>6</v>
      </c>
      <c r="G61" s="53">
        <f t="shared" si="23"/>
        <v>48</v>
      </c>
      <c r="H61" s="53">
        <f t="shared" si="23"/>
        <v>0</v>
      </c>
      <c r="I61" s="53">
        <f>SUM(I59:I60)</f>
        <v>48</v>
      </c>
      <c r="J61" s="70" t="s">
        <v>13</v>
      </c>
      <c r="K61" s="72"/>
      <c r="L61" s="55"/>
    </row>
    <row r="62" spans="1:12" ht="12.75" customHeight="1" thickBot="1" x14ac:dyDescent="0.25">
      <c r="A62" s="53">
        <f t="shared" si="0"/>
        <v>3839</v>
      </c>
      <c r="B62" s="53">
        <f t="shared" si="1"/>
        <v>2066</v>
      </c>
      <c r="C62" s="53">
        <f t="shared" si="1"/>
        <v>1773</v>
      </c>
      <c r="D62" s="53">
        <f t="shared" si="2"/>
        <v>102</v>
      </c>
      <c r="E62" s="53">
        <v>80</v>
      </c>
      <c r="F62" s="53">
        <v>22</v>
      </c>
      <c r="G62" s="53">
        <f t="shared" si="3"/>
        <v>3737</v>
      </c>
      <c r="H62" s="53">
        <f>1904+82</f>
        <v>1986</v>
      </c>
      <c r="I62" s="53">
        <f>1651+100</f>
        <v>1751</v>
      </c>
      <c r="J62" s="70" t="s">
        <v>221</v>
      </c>
      <c r="K62" s="71"/>
      <c r="L62" s="55"/>
    </row>
    <row r="63" spans="1:12" ht="12.75" customHeight="1" thickBot="1" x14ac:dyDescent="0.25">
      <c r="A63" s="53">
        <f t="shared" si="0"/>
        <v>35</v>
      </c>
      <c r="B63" s="53">
        <f t="shared" si="1"/>
        <v>0</v>
      </c>
      <c r="C63" s="53">
        <f t="shared" si="1"/>
        <v>35</v>
      </c>
      <c r="D63" s="53">
        <f t="shared" si="2"/>
        <v>0</v>
      </c>
      <c r="E63" s="53">
        <v>0</v>
      </c>
      <c r="F63" s="53">
        <v>0</v>
      </c>
      <c r="G63" s="53">
        <f t="shared" si="3"/>
        <v>35</v>
      </c>
      <c r="H63" s="53">
        <v>0</v>
      </c>
      <c r="I63" s="53">
        <v>35</v>
      </c>
      <c r="J63" s="70" t="s">
        <v>222</v>
      </c>
      <c r="K63" s="71" t="s">
        <v>201</v>
      </c>
      <c r="L63" s="55"/>
    </row>
    <row r="64" spans="1:12" ht="12.75" customHeight="1" thickBot="1" x14ac:dyDescent="0.25">
      <c r="A64" s="53">
        <f t="shared" ref="A64:H64" si="24">SUM(A62:A63)</f>
        <v>3874</v>
      </c>
      <c r="B64" s="53">
        <f t="shared" si="24"/>
        <v>2066</v>
      </c>
      <c r="C64" s="53">
        <f t="shared" si="24"/>
        <v>1808</v>
      </c>
      <c r="D64" s="53">
        <f t="shared" si="24"/>
        <v>102</v>
      </c>
      <c r="E64" s="53">
        <f t="shared" si="24"/>
        <v>80</v>
      </c>
      <c r="F64" s="53">
        <f t="shared" si="24"/>
        <v>22</v>
      </c>
      <c r="G64" s="53">
        <f t="shared" si="24"/>
        <v>3772</v>
      </c>
      <c r="H64" s="53">
        <f t="shared" si="24"/>
        <v>1986</v>
      </c>
      <c r="I64" s="53">
        <f>SUM(I62:I63)</f>
        <v>1786</v>
      </c>
      <c r="J64" s="70" t="s">
        <v>13</v>
      </c>
      <c r="K64" s="72"/>
      <c r="L64" s="55"/>
    </row>
    <row r="65" spans="1:12" ht="12.75" customHeight="1" thickBot="1" x14ac:dyDescent="0.25">
      <c r="A65" s="53">
        <f t="shared" si="0"/>
        <v>1219</v>
      </c>
      <c r="B65" s="53">
        <f t="shared" si="1"/>
        <v>991</v>
      </c>
      <c r="C65" s="53">
        <f t="shared" si="1"/>
        <v>228</v>
      </c>
      <c r="D65" s="53">
        <f t="shared" si="2"/>
        <v>7</v>
      </c>
      <c r="E65" s="53">
        <v>7</v>
      </c>
      <c r="F65" s="53">
        <v>0</v>
      </c>
      <c r="G65" s="53">
        <f t="shared" si="3"/>
        <v>1212</v>
      </c>
      <c r="H65" s="53">
        <v>984</v>
      </c>
      <c r="I65" s="53">
        <v>228</v>
      </c>
      <c r="J65" s="70" t="s">
        <v>221</v>
      </c>
      <c r="K65" s="71"/>
      <c r="L65" s="55"/>
    </row>
    <row r="66" spans="1:12" ht="12.75" customHeight="1" thickBot="1" x14ac:dyDescent="0.25">
      <c r="A66" s="53">
        <f t="shared" si="0"/>
        <v>0</v>
      </c>
      <c r="B66" s="53">
        <f t="shared" si="1"/>
        <v>0</v>
      </c>
      <c r="C66" s="53">
        <f t="shared" si="1"/>
        <v>0</v>
      </c>
      <c r="D66" s="53">
        <f t="shared" si="2"/>
        <v>0</v>
      </c>
      <c r="E66" s="53">
        <v>0</v>
      </c>
      <c r="F66" s="53">
        <v>0</v>
      </c>
      <c r="G66" s="53">
        <f t="shared" si="3"/>
        <v>0</v>
      </c>
      <c r="H66" s="53">
        <v>0</v>
      </c>
      <c r="I66" s="53">
        <v>0</v>
      </c>
      <c r="J66" s="70" t="s">
        <v>222</v>
      </c>
      <c r="K66" s="71" t="s">
        <v>202</v>
      </c>
      <c r="L66" s="55"/>
    </row>
    <row r="67" spans="1:12" ht="12.75" customHeight="1" thickBot="1" x14ac:dyDescent="0.25">
      <c r="A67" s="53">
        <f t="shared" ref="A67:H67" si="25">SUM(A65:A66)</f>
        <v>1219</v>
      </c>
      <c r="B67" s="53">
        <f t="shared" si="25"/>
        <v>991</v>
      </c>
      <c r="C67" s="53">
        <f t="shared" si="25"/>
        <v>228</v>
      </c>
      <c r="D67" s="53">
        <f t="shared" si="25"/>
        <v>7</v>
      </c>
      <c r="E67" s="53">
        <f t="shared" si="25"/>
        <v>7</v>
      </c>
      <c r="F67" s="53">
        <f t="shared" si="25"/>
        <v>0</v>
      </c>
      <c r="G67" s="53">
        <f t="shared" si="25"/>
        <v>1212</v>
      </c>
      <c r="H67" s="53">
        <f t="shared" si="25"/>
        <v>984</v>
      </c>
      <c r="I67" s="53">
        <f>SUM(I65:I66)</f>
        <v>228</v>
      </c>
      <c r="J67" s="70" t="s">
        <v>13</v>
      </c>
      <c r="K67" s="72"/>
      <c r="L67" s="55"/>
    </row>
    <row r="68" spans="1:12" ht="12.75" customHeight="1" thickBot="1" x14ac:dyDescent="0.25">
      <c r="A68" s="53">
        <f t="shared" si="0"/>
        <v>13</v>
      </c>
      <c r="B68" s="53">
        <f t="shared" si="1"/>
        <v>0</v>
      </c>
      <c r="C68" s="53">
        <f t="shared" si="1"/>
        <v>13</v>
      </c>
      <c r="D68" s="53">
        <f t="shared" si="2"/>
        <v>0</v>
      </c>
      <c r="E68" s="53">
        <v>0</v>
      </c>
      <c r="F68" s="53">
        <v>0</v>
      </c>
      <c r="G68" s="53">
        <f t="shared" si="3"/>
        <v>13</v>
      </c>
      <c r="H68" s="53">
        <v>0</v>
      </c>
      <c r="I68" s="53">
        <v>13</v>
      </c>
      <c r="J68" s="70" t="s">
        <v>221</v>
      </c>
      <c r="K68" s="71"/>
      <c r="L68" s="55"/>
    </row>
    <row r="69" spans="1:12" ht="12.75" customHeight="1" thickBot="1" x14ac:dyDescent="0.25">
      <c r="A69" s="53">
        <f t="shared" si="0"/>
        <v>0</v>
      </c>
      <c r="B69" s="53">
        <f t="shared" si="1"/>
        <v>0</v>
      </c>
      <c r="C69" s="53">
        <f t="shared" si="1"/>
        <v>0</v>
      </c>
      <c r="D69" s="53">
        <f t="shared" si="2"/>
        <v>0</v>
      </c>
      <c r="E69" s="53">
        <v>0</v>
      </c>
      <c r="F69" s="53">
        <v>0</v>
      </c>
      <c r="G69" s="53">
        <f t="shared" si="3"/>
        <v>0</v>
      </c>
      <c r="H69" s="53">
        <v>0</v>
      </c>
      <c r="I69" s="53">
        <v>0</v>
      </c>
      <c r="J69" s="70" t="s">
        <v>222</v>
      </c>
      <c r="K69" s="71" t="s">
        <v>203</v>
      </c>
      <c r="L69" s="55"/>
    </row>
    <row r="70" spans="1:12" ht="12.75" customHeight="1" thickBot="1" x14ac:dyDescent="0.25">
      <c r="A70" s="53">
        <f t="shared" ref="A70:H70" si="26">SUM(A68:A69)</f>
        <v>13</v>
      </c>
      <c r="B70" s="53">
        <f t="shared" si="26"/>
        <v>0</v>
      </c>
      <c r="C70" s="53">
        <f t="shared" si="26"/>
        <v>13</v>
      </c>
      <c r="D70" s="53">
        <f t="shared" si="26"/>
        <v>0</v>
      </c>
      <c r="E70" s="53">
        <f t="shared" si="26"/>
        <v>0</v>
      </c>
      <c r="F70" s="53">
        <f t="shared" si="26"/>
        <v>0</v>
      </c>
      <c r="G70" s="53">
        <f t="shared" si="26"/>
        <v>13</v>
      </c>
      <c r="H70" s="53">
        <f t="shared" si="26"/>
        <v>0</v>
      </c>
      <c r="I70" s="53">
        <f>SUM(I68:I69)</f>
        <v>13</v>
      </c>
      <c r="J70" s="70" t="s">
        <v>13</v>
      </c>
      <c r="K70" s="72"/>
      <c r="L70" s="55"/>
    </row>
    <row r="71" spans="1:12" ht="12.75" customHeight="1" thickBot="1" x14ac:dyDescent="0.25">
      <c r="A71" s="53">
        <f t="shared" ref="A71:A72" si="27">SUM(B71:C71)</f>
        <v>8</v>
      </c>
      <c r="B71" s="53">
        <f t="shared" ref="B71:C72" si="28">H71+E71</f>
        <v>0</v>
      </c>
      <c r="C71" s="53">
        <f t="shared" si="28"/>
        <v>8</v>
      </c>
      <c r="D71" s="53">
        <f t="shared" ref="D71:D72" si="29">SUM(E71:F71)</f>
        <v>0</v>
      </c>
      <c r="E71" s="53">
        <v>0</v>
      </c>
      <c r="F71" s="53">
        <v>0</v>
      </c>
      <c r="G71" s="53">
        <f t="shared" ref="G71:G72" si="30">SUM(H71:I71)</f>
        <v>8</v>
      </c>
      <c r="H71" s="53">
        <v>0</v>
      </c>
      <c r="I71" s="53">
        <v>8</v>
      </c>
      <c r="J71" s="70" t="s">
        <v>221</v>
      </c>
      <c r="K71" s="71"/>
      <c r="L71" s="55"/>
    </row>
    <row r="72" spans="1:12" ht="12.75" customHeight="1" thickBot="1" x14ac:dyDescent="0.25">
      <c r="A72" s="53">
        <f t="shared" si="27"/>
        <v>0</v>
      </c>
      <c r="B72" s="53">
        <f t="shared" si="28"/>
        <v>0</v>
      </c>
      <c r="C72" s="53">
        <f t="shared" si="28"/>
        <v>0</v>
      </c>
      <c r="D72" s="53">
        <f t="shared" si="29"/>
        <v>0</v>
      </c>
      <c r="E72" s="53">
        <v>0</v>
      </c>
      <c r="F72" s="53">
        <v>0</v>
      </c>
      <c r="G72" s="53">
        <f t="shared" si="30"/>
        <v>0</v>
      </c>
      <c r="H72" s="53">
        <v>0</v>
      </c>
      <c r="I72" s="53">
        <v>0</v>
      </c>
      <c r="J72" s="70" t="s">
        <v>222</v>
      </c>
      <c r="K72" s="71" t="s">
        <v>57</v>
      </c>
      <c r="L72" s="55"/>
    </row>
    <row r="73" spans="1:12" ht="12.75" customHeight="1" thickBot="1" x14ac:dyDescent="0.25">
      <c r="A73" s="53">
        <f t="shared" ref="A73:H73" si="31">SUM(A71:A72)</f>
        <v>8</v>
      </c>
      <c r="B73" s="53">
        <f t="shared" si="31"/>
        <v>0</v>
      </c>
      <c r="C73" s="53">
        <f t="shared" si="31"/>
        <v>8</v>
      </c>
      <c r="D73" s="53">
        <f t="shared" si="31"/>
        <v>0</v>
      </c>
      <c r="E73" s="53">
        <f t="shared" si="31"/>
        <v>0</v>
      </c>
      <c r="F73" s="53">
        <f t="shared" si="31"/>
        <v>0</v>
      </c>
      <c r="G73" s="53">
        <f t="shared" si="31"/>
        <v>8</v>
      </c>
      <c r="H73" s="53">
        <f t="shared" si="31"/>
        <v>0</v>
      </c>
      <c r="I73" s="53">
        <f>SUM(I71:I72)</f>
        <v>8</v>
      </c>
      <c r="J73" s="70" t="s">
        <v>13</v>
      </c>
      <c r="K73" s="72"/>
      <c r="L73" s="55"/>
    </row>
    <row r="74" spans="1:12" ht="12.75" customHeight="1" thickBot="1" x14ac:dyDescent="0.25">
      <c r="A74" s="53">
        <f t="shared" ref="A74:I76" si="32">A5+A8+A11+A14+A17+A20+A23+A26+A29+A32+A35+A38+A41+A44+A47+A50+A53+A56+A59+A62+A65+A68+A71</f>
        <v>79024</v>
      </c>
      <c r="B74" s="53">
        <f t="shared" si="32"/>
        <v>55185</v>
      </c>
      <c r="C74" s="53">
        <f t="shared" si="32"/>
        <v>23839</v>
      </c>
      <c r="D74" s="53">
        <f t="shared" si="32"/>
        <v>2235</v>
      </c>
      <c r="E74" s="53">
        <f t="shared" si="32"/>
        <v>691</v>
      </c>
      <c r="F74" s="53">
        <f t="shared" si="32"/>
        <v>1544</v>
      </c>
      <c r="G74" s="53">
        <f t="shared" si="32"/>
        <v>76789</v>
      </c>
      <c r="H74" s="53">
        <f t="shared" si="32"/>
        <v>54494</v>
      </c>
      <c r="I74" s="53">
        <f>I5+I8+I11+I14+I17+I20+I23+I26+I29+I32+I35+I38+I41+I44+I47+I50+I53+I56+I59+I62+I65+I68+I71</f>
        <v>22295</v>
      </c>
      <c r="J74" s="70" t="s">
        <v>224</v>
      </c>
      <c r="K74" s="50"/>
      <c r="L74" s="55"/>
    </row>
    <row r="75" spans="1:12" ht="12.75" customHeight="1" thickBot="1" x14ac:dyDescent="0.25">
      <c r="A75" s="53">
        <f t="shared" si="32"/>
        <v>3595</v>
      </c>
      <c r="B75" s="53">
        <f t="shared" si="32"/>
        <v>1974</v>
      </c>
      <c r="C75" s="53">
        <f t="shared" si="32"/>
        <v>1621</v>
      </c>
      <c r="D75" s="53">
        <f t="shared" si="32"/>
        <v>206</v>
      </c>
      <c r="E75" s="53">
        <f t="shared" si="32"/>
        <v>166</v>
      </c>
      <c r="F75" s="53">
        <f t="shared" si="32"/>
        <v>40</v>
      </c>
      <c r="G75" s="53">
        <f t="shared" si="32"/>
        <v>3389</v>
      </c>
      <c r="H75" s="53">
        <f t="shared" si="32"/>
        <v>1808</v>
      </c>
      <c r="I75" s="53">
        <f t="shared" si="32"/>
        <v>1581</v>
      </c>
      <c r="J75" s="70" t="s">
        <v>225</v>
      </c>
      <c r="K75" s="73" t="s">
        <v>211</v>
      </c>
      <c r="L75" s="55"/>
    </row>
    <row r="76" spans="1:12" ht="12.75" customHeight="1" thickBot="1" x14ac:dyDescent="0.25">
      <c r="A76" s="53">
        <f t="shared" si="32"/>
        <v>82619</v>
      </c>
      <c r="B76" s="53">
        <f t="shared" si="32"/>
        <v>57159</v>
      </c>
      <c r="C76" s="53">
        <f t="shared" si="32"/>
        <v>25460</v>
      </c>
      <c r="D76" s="53">
        <f t="shared" si="32"/>
        <v>2441</v>
      </c>
      <c r="E76" s="53">
        <f t="shared" si="32"/>
        <v>857</v>
      </c>
      <c r="F76" s="53">
        <f t="shared" si="32"/>
        <v>1584</v>
      </c>
      <c r="G76" s="53">
        <f t="shared" si="32"/>
        <v>80178</v>
      </c>
      <c r="H76" s="53">
        <f t="shared" si="32"/>
        <v>56302</v>
      </c>
      <c r="I76" s="53">
        <f t="shared" si="32"/>
        <v>23876</v>
      </c>
      <c r="J76" s="70" t="s">
        <v>13</v>
      </c>
      <c r="K76" s="52"/>
      <c r="L76" s="55"/>
    </row>
    <row r="78" spans="1:12" ht="12.75" customHeight="1" x14ac:dyDescent="0.2">
      <c r="A78" s="117"/>
      <c r="B78" s="117"/>
      <c r="C78" s="117"/>
      <c r="D78" s="117"/>
      <c r="E78" s="117"/>
      <c r="F78" s="117"/>
      <c r="G78" s="117"/>
      <c r="H78" s="117"/>
      <c r="I78" s="117"/>
    </row>
    <row r="79" spans="1:12" ht="12.75" customHeight="1" x14ac:dyDescent="0.2">
      <c r="A79" s="117"/>
      <c r="B79" s="117"/>
      <c r="C79" s="117"/>
      <c r="D79" s="117"/>
      <c r="E79" s="117"/>
      <c r="F79" s="117"/>
      <c r="G79" s="117"/>
      <c r="H79" s="117"/>
      <c r="I79" s="117"/>
    </row>
    <row r="80" spans="1:12" ht="12.75" customHeight="1" x14ac:dyDescent="0.2">
      <c r="A80" s="117"/>
      <c r="B80" s="117"/>
      <c r="C80" s="117"/>
      <c r="D80" s="117"/>
      <c r="E80" s="117"/>
      <c r="F80" s="117"/>
      <c r="G80" s="117"/>
      <c r="H80" s="117"/>
      <c r="I80" s="117"/>
    </row>
    <row r="82" spans="1:9" ht="12.75" customHeight="1" x14ac:dyDescent="0.2">
      <c r="A82" s="109"/>
      <c r="B82" s="109"/>
      <c r="C82" s="109"/>
      <c r="D82" s="109"/>
      <c r="E82" s="109"/>
      <c r="F82" s="109"/>
      <c r="G82" s="109"/>
      <c r="H82" s="109"/>
      <c r="I82" s="109"/>
    </row>
    <row r="83" spans="1:9" ht="12.75" customHeight="1" x14ac:dyDescent="0.2">
      <c r="A83" s="109"/>
      <c r="B83" s="109"/>
      <c r="C83" s="109"/>
      <c r="D83" s="109"/>
      <c r="E83" s="109"/>
      <c r="F83" s="109"/>
      <c r="G83" s="109"/>
      <c r="H83" s="109"/>
      <c r="I83" s="109"/>
    </row>
    <row r="84" spans="1:9" ht="12.75" customHeight="1" x14ac:dyDescent="0.2">
      <c r="A84" s="109"/>
      <c r="B84" s="109"/>
      <c r="C84" s="109"/>
      <c r="D84" s="109"/>
      <c r="E84" s="109"/>
      <c r="F84" s="109"/>
      <c r="G84" s="109"/>
      <c r="H84" s="109"/>
      <c r="I84" s="109"/>
    </row>
  </sheetData>
  <mergeCells count="7">
    <mergeCell ref="J4:K4"/>
    <mergeCell ref="A1:K1"/>
    <mergeCell ref="A2:K2"/>
    <mergeCell ref="A3:C3"/>
    <mergeCell ref="D3:F3"/>
    <mergeCell ref="G3:I3"/>
    <mergeCell ref="J3:K3"/>
  </mergeCells>
  <pageMargins left="0.4" right="0.4" top="0.25" bottom="0.25" header="0.25" footer="0.25"/>
  <pageSetup paperSize="9" orientation="landscape" horizontalDpi="300" verticalDpi="300" r:id="rId1"/>
  <headerFooter alignWithMargins="0"/>
  <rowBreaks count="1" manualBreakCount="1">
    <brk id="43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41"/>
  <sheetViews>
    <sheetView showGridLines="0" topLeftCell="A3" zoomScale="90" zoomScaleNormal="90" workbookViewId="0">
      <selection activeCell="O3" sqref="N3:O36"/>
    </sheetView>
  </sheetViews>
  <sheetFormatPr defaultRowHeight="12.75" x14ac:dyDescent="0.2"/>
  <cols>
    <col min="1" max="1" width="3.25" style="56" customWidth="1"/>
    <col min="2" max="11" width="9.625" style="56" customWidth="1"/>
    <col min="12" max="12" width="34.25" style="56" customWidth="1"/>
    <col min="13" max="13" width="3.625" style="56" customWidth="1"/>
    <col min="14" max="256" width="9" style="56"/>
    <col min="257" max="257" width="3.25" style="56" customWidth="1"/>
    <col min="258" max="267" width="9.625" style="56" customWidth="1"/>
    <col min="268" max="268" width="34.25" style="56" customWidth="1"/>
    <col min="269" max="269" width="3.625" style="56" customWidth="1"/>
    <col min="270" max="512" width="9" style="56"/>
    <col min="513" max="513" width="3.25" style="56" customWidth="1"/>
    <col min="514" max="523" width="9.625" style="56" customWidth="1"/>
    <col min="524" max="524" width="34.25" style="56" customWidth="1"/>
    <col min="525" max="525" width="3.625" style="56" customWidth="1"/>
    <col min="526" max="768" width="9" style="56"/>
    <col min="769" max="769" width="3.25" style="56" customWidth="1"/>
    <col min="770" max="779" width="9.625" style="56" customWidth="1"/>
    <col min="780" max="780" width="34.25" style="56" customWidth="1"/>
    <col min="781" max="781" width="3.625" style="56" customWidth="1"/>
    <col min="782" max="1024" width="9" style="56"/>
    <col min="1025" max="1025" width="3.25" style="56" customWidth="1"/>
    <col min="1026" max="1035" width="9.625" style="56" customWidth="1"/>
    <col min="1036" max="1036" width="34.25" style="56" customWidth="1"/>
    <col min="1037" max="1037" width="3.625" style="56" customWidth="1"/>
    <col min="1038" max="1280" width="9" style="56"/>
    <col min="1281" max="1281" width="3.25" style="56" customWidth="1"/>
    <col min="1282" max="1291" width="9.625" style="56" customWidth="1"/>
    <col min="1292" max="1292" width="34.25" style="56" customWidth="1"/>
    <col min="1293" max="1293" width="3.625" style="56" customWidth="1"/>
    <col min="1294" max="1536" width="9" style="56"/>
    <col min="1537" max="1537" width="3.25" style="56" customWidth="1"/>
    <col min="1538" max="1547" width="9.625" style="56" customWidth="1"/>
    <col min="1548" max="1548" width="34.25" style="56" customWidth="1"/>
    <col min="1549" max="1549" width="3.625" style="56" customWidth="1"/>
    <col min="1550" max="1792" width="9" style="56"/>
    <col min="1793" max="1793" width="3.25" style="56" customWidth="1"/>
    <col min="1794" max="1803" width="9.625" style="56" customWidth="1"/>
    <col min="1804" max="1804" width="34.25" style="56" customWidth="1"/>
    <col min="1805" max="1805" width="3.625" style="56" customWidth="1"/>
    <col min="1806" max="2048" width="9" style="56"/>
    <col min="2049" max="2049" width="3.25" style="56" customWidth="1"/>
    <col min="2050" max="2059" width="9.625" style="56" customWidth="1"/>
    <col min="2060" max="2060" width="34.25" style="56" customWidth="1"/>
    <col min="2061" max="2061" width="3.625" style="56" customWidth="1"/>
    <col min="2062" max="2304" width="9" style="56"/>
    <col min="2305" max="2305" width="3.25" style="56" customWidth="1"/>
    <col min="2306" max="2315" width="9.625" style="56" customWidth="1"/>
    <col min="2316" max="2316" width="34.25" style="56" customWidth="1"/>
    <col min="2317" max="2317" width="3.625" style="56" customWidth="1"/>
    <col min="2318" max="2560" width="9" style="56"/>
    <col min="2561" max="2561" width="3.25" style="56" customWidth="1"/>
    <col min="2562" max="2571" width="9.625" style="56" customWidth="1"/>
    <col min="2572" max="2572" width="34.25" style="56" customWidth="1"/>
    <col min="2573" max="2573" width="3.625" style="56" customWidth="1"/>
    <col min="2574" max="2816" width="9" style="56"/>
    <col min="2817" max="2817" width="3.25" style="56" customWidth="1"/>
    <col min="2818" max="2827" width="9.625" style="56" customWidth="1"/>
    <col min="2828" max="2828" width="34.25" style="56" customWidth="1"/>
    <col min="2829" max="2829" width="3.625" style="56" customWidth="1"/>
    <col min="2830" max="3072" width="9" style="56"/>
    <col min="3073" max="3073" width="3.25" style="56" customWidth="1"/>
    <col min="3074" max="3083" width="9.625" style="56" customWidth="1"/>
    <col min="3084" max="3084" width="34.25" style="56" customWidth="1"/>
    <col min="3085" max="3085" width="3.625" style="56" customWidth="1"/>
    <col min="3086" max="3328" width="9" style="56"/>
    <col min="3329" max="3329" width="3.25" style="56" customWidth="1"/>
    <col min="3330" max="3339" width="9.625" style="56" customWidth="1"/>
    <col min="3340" max="3340" width="34.25" style="56" customWidth="1"/>
    <col min="3341" max="3341" width="3.625" style="56" customWidth="1"/>
    <col min="3342" max="3584" width="9" style="56"/>
    <col min="3585" max="3585" width="3.25" style="56" customWidth="1"/>
    <col min="3586" max="3595" width="9.625" style="56" customWidth="1"/>
    <col min="3596" max="3596" width="34.25" style="56" customWidth="1"/>
    <col min="3597" max="3597" width="3.625" style="56" customWidth="1"/>
    <col min="3598" max="3840" width="9" style="56"/>
    <col min="3841" max="3841" width="3.25" style="56" customWidth="1"/>
    <col min="3842" max="3851" width="9.625" style="56" customWidth="1"/>
    <col min="3852" max="3852" width="34.25" style="56" customWidth="1"/>
    <col min="3853" max="3853" width="3.625" style="56" customWidth="1"/>
    <col min="3854" max="4096" width="9" style="56"/>
    <col min="4097" max="4097" width="3.25" style="56" customWidth="1"/>
    <col min="4098" max="4107" width="9.625" style="56" customWidth="1"/>
    <col min="4108" max="4108" width="34.25" style="56" customWidth="1"/>
    <col min="4109" max="4109" width="3.625" style="56" customWidth="1"/>
    <col min="4110" max="4352" width="9" style="56"/>
    <col min="4353" max="4353" width="3.25" style="56" customWidth="1"/>
    <col min="4354" max="4363" width="9.625" style="56" customWidth="1"/>
    <col min="4364" max="4364" width="34.25" style="56" customWidth="1"/>
    <col min="4365" max="4365" width="3.625" style="56" customWidth="1"/>
    <col min="4366" max="4608" width="9" style="56"/>
    <col min="4609" max="4609" width="3.25" style="56" customWidth="1"/>
    <col min="4610" max="4619" width="9.625" style="56" customWidth="1"/>
    <col min="4620" max="4620" width="34.25" style="56" customWidth="1"/>
    <col min="4621" max="4621" width="3.625" style="56" customWidth="1"/>
    <col min="4622" max="4864" width="9" style="56"/>
    <col min="4865" max="4865" width="3.25" style="56" customWidth="1"/>
    <col min="4866" max="4875" width="9.625" style="56" customWidth="1"/>
    <col min="4876" max="4876" width="34.25" style="56" customWidth="1"/>
    <col min="4877" max="4877" width="3.625" style="56" customWidth="1"/>
    <col min="4878" max="5120" width="9" style="56"/>
    <col min="5121" max="5121" width="3.25" style="56" customWidth="1"/>
    <col min="5122" max="5131" width="9.625" style="56" customWidth="1"/>
    <col min="5132" max="5132" width="34.25" style="56" customWidth="1"/>
    <col min="5133" max="5133" width="3.625" style="56" customWidth="1"/>
    <col min="5134" max="5376" width="9" style="56"/>
    <col min="5377" max="5377" width="3.25" style="56" customWidth="1"/>
    <col min="5378" max="5387" width="9.625" style="56" customWidth="1"/>
    <col min="5388" max="5388" width="34.25" style="56" customWidth="1"/>
    <col min="5389" max="5389" width="3.625" style="56" customWidth="1"/>
    <col min="5390" max="5632" width="9" style="56"/>
    <col min="5633" max="5633" width="3.25" style="56" customWidth="1"/>
    <col min="5634" max="5643" width="9.625" style="56" customWidth="1"/>
    <col min="5644" max="5644" width="34.25" style="56" customWidth="1"/>
    <col min="5645" max="5645" width="3.625" style="56" customWidth="1"/>
    <col min="5646" max="5888" width="9" style="56"/>
    <col min="5889" max="5889" width="3.25" style="56" customWidth="1"/>
    <col min="5890" max="5899" width="9.625" style="56" customWidth="1"/>
    <col min="5900" max="5900" width="34.25" style="56" customWidth="1"/>
    <col min="5901" max="5901" width="3.625" style="56" customWidth="1"/>
    <col min="5902" max="6144" width="9" style="56"/>
    <col min="6145" max="6145" width="3.25" style="56" customWidth="1"/>
    <col min="6146" max="6155" width="9.625" style="56" customWidth="1"/>
    <col min="6156" max="6156" width="34.25" style="56" customWidth="1"/>
    <col min="6157" max="6157" width="3.625" style="56" customWidth="1"/>
    <col min="6158" max="6400" width="9" style="56"/>
    <col min="6401" max="6401" width="3.25" style="56" customWidth="1"/>
    <col min="6402" max="6411" width="9.625" style="56" customWidth="1"/>
    <col min="6412" max="6412" width="34.25" style="56" customWidth="1"/>
    <col min="6413" max="6413" width="3.625" style="56" customWidth="1"/>
    <col min="6414" max="6656" width="9" style="56"/>
    <col min="6657" max="6657" width="3.25" style="56" customWidth="1"/>
    <col min="6658" max="6667" width="9.625" style="56" customWidth="1"/>
    <col min="6668" max="6668" width="34.25" style="56" customWidth="1"/>
    <col min="6669" max="6669" width="3.625" style="56" customWidth="1"/>
    <col min="6670" max="6912" width="9" style="56"/>
    <col min="6913" max="6913" width="3.25" style="56" customWidth="1"/>
    <col min="6914" max="6923" width="9.625" style="56" customWidth="1"/>
    <col min="6924" max="6924" width="34.25" style="56" customWidth="1"/>
    <col min="6925" max="6925" width="3.625" style="56" customWidth="1"/>
    <col min="6926" max="7168" width="9" style="56"/>
    <col min="7169" max="7169" width="3.25" style="56" customWidth="1"/>
    <col min="7170" max="7179" width="9.625" style="56" customWidth="1"/>
    <col min="7180" max="7180" width="34.25" style="56" customWidth="1"/>
    <col min="7181" max="7181" width="3.625" style="56" customWidth="1"/>
    <col min="7182" max="7424" width="9" style="56"/>
    <col min="7425" max="7425" width="3.25" style="56" customWidth="1"/>
    <col min="7426" max="7435" width="9.625" style="56" customWidth="1"/>
    <col min="7436" max="7436" width="34.25" style="56" customWidth="1"/>
    <col min="7437" max="7437" width="3.625" style="56" customWidth="1"/>
    <col min="7438" max="7680" width="9" style="56"/>
    <col min="7681" max="7681" width="3.25" style="56" customWidth="1"/>
    <col min="7682" max="7691" width="9.625" style="56" customWidth="1"/>
    <col min="7692" max="7692" width="34.25" style="56" customWidth="1"/>
    <col min="7693" max="7693" width="3.625" style="56" customWidth="1"/>
    <col min="7694" max="7936" width="9" style="56"/>
    <col min="7937" max="7937" width="3.25" style="56" customWidth="1"/>
    <col min="7938" max="7947" width="9.625" style="56" customWidth="1"/>
    <col min="7948" max="7948" width="34.25" style="56" customWidth="1"/>
    <col min="7949" max="7949" width="3.625" style="56" customWidth="1"/>
    <col min="7950" max="8192" width="9" style="56"/>
    <col min="8193" max="8193" width="3.25" style="56" customWidth="1"/>
    <col min="8194" max="8203" width="9.625" style="56" customWidth="1"/>
    <col min="8204" max="8204" width="34.25" style="56" customWidth="1"/>
    <col min="8205" max="8205" width="3.625" style="56" customWidth="1"/>
    <col min="8206" max="8448" width="9" style="56"/>
    <col min="8449" max="8449" width="3.25" style="56" customWidth="1"/>
    <col min="8450" max="8459" width="9.625" style="56" customWidth="1"/>
    <col min="8460" max="8460" width="34.25" style="56" customWidth="1"/>
    <col min="8461" max="8461" width="3.625" style="56" customWidth="1"/>
    <col min="8462" max="8704" width="9" style="56"/>
    <col min="8705" max="8705" width="3.25" style="56" customWidth="1"/>
    <col min="8706" max="8715" width="9.625" style="56" customWidth="1"/>
    <col min="8716" max="8716" width="34.25" style="56" customWidth="1"/>
    <col min="8717" max="8717" width="3.625" style="56" customWidth="1"/>
    <col min="8718" max="8960" width="9" style="56"/>
    <col min="8961" max="8961" width="3.25" style="56" customWidth="1"/>
    <col min="8962" max="8971" width="9.625" style="56" customWidth="1"/>
    <col min="8972" max="8972" width="34.25" style="56" customWidth="1"/>
    <col min="8973" max="8973" width="3.625" style="56" customWidth="1"/>
    <col min="8974" max="9216" width="9" style="56"/>
    <col min="9217" max="9217" width="3.25" style="56" customWidth="1"/>
    <col min="9218" max="9227" width="9.625" style="56" customWidth="1"/>
    <col min="9228" max="9228" width="34.25" style="56" customWidth="1"/>
    <col min="9229" max="9229" width="3.625" style="56" customWidth="1"/>
    <col min="9230" max="9472" width="9" style="56"/>
    <col min="9473" max="9473" width="3.25" style="56" customWidth="1"/>
    <col min="9474" max="9483" width="9.625" style="56" customWidth="1"/>
    <col min="9484" max="9484" width="34.25" style="56" customWidth="1"/>
    <col min="9485" max="9485" width="3.625" style="56" customWidth="1"/>
    <col min="9486" max="9728" width="9" style="56"/>
    <col min="9729" max="9729" width="3.25" style="56" customWidth="1"/>
    <col min="9730" max="9739" width="9.625" style="56" customWidth="1"/>
    <col min="9740" max="9740" width="34.25" style="56" customWidth="1"/>
    <col min="9741" max="9741" width="3.625" style="56" customWidth="1"/>
    <col min="9742" max="9984" width="9" style="56"/>
    <col min="9985" max="9985" width="3.25" style="56" customWidth="1"/>
    <col min="9986" max="9995" width="9.625" style="56" customWidth="1"/>
    <col min="9996" max="9996" width="34.25" style="56" customWidth="1"/>
    <col min="9997" max="9997" width="3.625" style="56" customWidth="1"/>
    <col min="9998" max="10240" width="9" style="56"/>
    <col min="10241" max="10241" width="3.25" style="56" customWidth="1"/>
    <col min="10242" max="10251" width="9.625" style="56" customWidth="1"/>
    <col min="10252" max="10252" width="34.25" style="56" customWidth="1"/>
    <col min="10253" max="10253" width="3.625" style="56" customWidth="1"/>
    <col min="10254" max="10496" width="9" style="56"/>
    <col min="10497" max="10497" width="3.25" style="56" customWidth="1"/>
    <col min="10498" max="10507" width="9.625" style="56" customWidth="1"/>
    <col min="10508" max="10508" width="34.25" style="56" customWidth="1"/>
    <col min="10509" max="10509" width="3.625" style="56" customWidth="1"/>
    <col min="10510" max="10752" width="9" style="56"/>
    <col min="10753" max="10753" width="3.25" style="56" customWidth="1"/>
    <col min="10754" max="10763" width="9.625" style="56" customWidth="1"/>
    <col min="10764" max="10764" width="34.25" style="56" customWidth="1"/>
    <col min="10765" max="10765" width="3.625" style="56" customWidth="1"/>
    <col min="10766" max="11008" width="9" style="56"/>
    <col min="11009" max="11009" width="3.25" style="56" customWidth="1"/>
    <col min="11010" max="11019" width="9.625" style="56" customWidth="1"/>
    <col min="11020" max="11020" width="34.25" style="56" customWidth="1"/>
    <col min="11021" max="11021" width="3.625" style="56" customWidth="1"/>
    <col min="11022" max="11264" width="9" style="56"/>
    <col min="11265" max="11265" width="3.25" style="56" customWidth="1"/>
    <col min="11266" max="11275" width="9.625" style="56" customWidth="1"/>
    <col min="11276" max="11276" width="34.25" style="56" customWidth="1"/>
    <col min="11277" max="11277" width="3.625" style="56" customWidth="1"/>
    <col min="11278" max="11520" width="9" style="56"/>
    <col min="11521" max="11521" width="3.25" style="56" customWidth="1"/>
    <col min="11522" max="11531" width="9.625" style="56" customWidth="1"/>
    <col min="11532" max="11532" width="34.25" style="56" customWidth="1"/>
    <col min="11533" max="11533" width="3.625" style="56" customWidth="1"/>
    <col min="11534" max="11776" width="9" style="56"/>
    <col min="11777" max="11777" width="3.25" style="56" customWidth="1"/>
    <col min="11778" max="11787" width="9.625" style="56" customWidth="1"/>
    <col min="11788" max="11788" width="34.25" style="56" customWidth="1"/>
    <col min="11789" max="11789" width="3.625" style="56" customWidth="1"/>
    <col min="11790" max="12032" width="9" style="56"/>
    <col min="12033" max="12033" width="3.25" style="56" customWidth="1"/>
    <col min="12034" max="12043" width="9.625" style="56" customWidth="1"/>
    <col min="12044" max="12044" width="34.25" style="56" customWidth="1"/>
    <col min="12045" max="12045" width="3.625" style="56" customWidth="1"/>
    <col min="12046" max="12288" width="9" style="56"/>
    <col min="12289" max="12289" width="3.25" style="56" customWidth="1"/>
    <col min="12290" max="12299" width="9.625" style="56" customWidth="1"/>
    <col min="12300" max="12300" width="34.25" style="56" customWidth="1"/>
    <col min="12301" max="12301" width="3.625" style="56" customWidth="1"/>
    <col min="12302" max="12544" width="9" style="56"/>
    <col min="12545" max="12545" width="3.25" style="56" customWidth="1"/>
    <col min="12546" max="12555" width="9.625" style="56" customWidth="1"/>
    <col min="12556" max="12556" width="34.25" style="56" customWidth="1"/>
    <col min="12557" max="12557" width="3.625" style="56" customWidth="1"/>
    <col min="12558" max="12800" width="9" style="56"/>
    <col min="12801" max="12801" width="3.25" style="56" customWidth="1"/>
    <col min="12802" max="12811" width="9.625" style="56" customWidth="1"/>
    <col min="12812" max="12812" width="34.25" style="56" customWidth="1"/>
    <col min="12813" max="12813" width="3.625" style="56" customWidth="1"/>
    <col min="12814" max="13056" width="9" style="56"/>
    <col min="13057" max="13057" width="3.25" style="56" customWidth="1"/>
    <col min="13058" max="13067" width="9.625" style="56" customWidth="1"/>
    <col min="13068" max="13068" width="34.25" style="56" customWidth="1"/>
    <col min="13069" max="13069" width="3.625" style="56" customWidth="1"/>
    <col min="13070" max="13312" width="9" style="56"/>
    <col min="13313" max="13313" width="3.25" style="56" customWidth="1"/>
    <col min="13314" max="13323" width="9.625" style="56" customWidth="1"/>
    <col min="13324" max="13324" width="34.25" style="56" customWidth="1"/>
    <col min="13325" max="13325" width="3.625" style="56" customWidth="1"/>
    <col min="13326" max="13568" width="9" style="56"/>
    <col min="13569" max="13569" width="3.25" style="56" customWidth="1"/>
    <col min="13570" max="13579" width="9.625" style="56" customWidth="1"/>
    <col min="13580" max="13580" width="34.25" style="56" customWidth="1"/>
    <col min="13581" max="13581" width="3.625" style="56" customWidth="1"/>
    <col min="13582" max="13824" width="9" style="56"/>
    <col min="13825" max="13825" width="3.25" style="56" customWidth="1"/>
    <col min="13826" max="13835" width="9.625" style="56" customWidth="1"/>
    <col min="13836" max="13836" width="34.25" style="56" customWidth="1"/>
    <col min="13837" max="13837" width="3.625" style="56" customWidth="1"/>
    <col min="13838" max="14080" width="9" style="56"/>
    <col min="14081" max="14081" width="3.25" style="56" customWidth="1"/>
    <col min="14082" max="14091" width="9.625" style="56" customWidth="1"/>
    <col min="14092" max="14092" width="34.25" style="56" customWidth="1"/>
    <col min="14093" max="14093" width="3.625" style="56" customWidth="1"/>
    <col min="14094" max="14336" width="9" style="56"/>
    <col min="14337" max="14337" width="3.25" style="56" customWidth="1"/>
    <col min="14338" max="14347" width="9.625" style="56" customWidth="1"/>
    <col min="14348" max="14348" width="34.25" style="56" customWidth="1"/>
    <col min="14349" max="14349" width="3.625" style="56" customWidth="1"/>
    <col min="14350" max="14592" width="9" style="56"/>
    <col min="14593" max="14593" width="3.25" style="56" customWidth="1"/>
    <col min="14594" max="14603" width="9.625" style="56" customWidth="1"/>
    <col min="14604" max="14604" width="34.25" style="56" customWidth="1"/>
    <col min="14605" max="14605" width="3.625" style="56" customWidth="1"/>
    <col min="14606" max="14848" width="9" style="56"/>
    <col min="14849" max="14849" width="3.25" style="56" customWidth="1"/>
    <col min="14850" max="14859" width="9.625" style="56" customWidth="1"/>
    <col min="14860" max="14860" width="34.25" style="56" customWidth="1"/>
    <col min="14861" max="14861" width="3.625" style="56" customWidth="1"/>
    <col min="14862" max="15104" width="9" style="56"/>
    <col min="15105" max="15105" width="3.25" style="56" customWidth="1"/>
    <col min="15106" max="15115" width="9.625" style="56" customWidth="1"/>
    <col min="15116" max="15116" width="34.25" style="56" customWidth="1"/>
    <col min="15117" max="15117" width="3.625" style="56" customWidth="1"/>
    <col min="15118" max="15360" width="9" style="56"/>
    <col min="15361" max="15361" width="3.25" style="56" customWidth="1"/>
    <col min="15362" max="15371" width="9.625" style="56" customWidth="1"/>
    <col min="15372" max="15372" width="34.25" style="56" customWidth="1"/>
    <col min="15373" max="15373" width="3.625" style="56" customWidth="1"/>
    <col min="15374" max="15616" width="9" style="56"/>
    <col min="15617" max="15617" width="3.25" style="56" customWidth="1"/>
    <col min="15618" max="15627" width="9.625" style="56" customWidth="1"/>
    <col min="15628" max="15628" width="34.25" style="56" customWidth="1"/>
    <col min="15629" max="15629" width="3.625" style="56" customWidth="1"/>
    <col min="15630" max="15872" width="9" style="56"/>
    <col min="15873" max="15873" width="3.25" style="56" customWidth="1"/>
    <col min="15874" max="15883" width="9.625" style="56" customWidth="1"/>
    <col min="15884" max="15884" width="34.25" style="56" customWidth="1"/>
    <col min="15885" max="15885" width="3.625" style="56" customWidth="1"/>
    <col min="15886" max="16128" width="9" style="56"/>
    <col min="16129" max="16129" width="3.25" style="56" customWidth="1"/>
    <col min="16130" max="16139" width="9.625" style="56" customWidth="1"/>
    <col min="16140" max="16140" width="34.25" style="56" customWidth="1"/>
    <col min="16141" max="16141" width="3.625" style="56" customWidth="1"/>
    <col min="16142" max="16384" width="9" style="56"/>
  </cols>
  <sheetData>
    <row r="1" spans="1:15" ht="20.100000000000001" customHeight="1" x14ac:dyDescent="0.2">
      <c r="A1" s="55"/>
      <c r="B1" s="177" t="s">
        <v>588</v>
      </c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55"/>
    </row>
    <row r="2" spans="1:15" ht="20.100000000000001" customHeight="1" thickBot="1" x14ac:dyDescent="0.25">
      <c r="A2" s="55"/>
      <c r="B2" s="178" t="s">
        <v>589</v>
      </c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55"/>
    </row>
    <row r="3" spans="1:15" ht="18" customHeight="1" thickBot="1" x14ac:dyDescent="0.25">
      <c r="A3" s="55"/>
      <c r="B3" s="179" t="s">
        <v>5</v>
      </c>
      <c r="C3" s="179"/>
      <c r="D3" s="179"/>
      <c r="E3" s="179" t="s">
        <v>162</v>
      </c>
      <c r="F3" s="179"/>
      <c r="G3" s="179"/>
      <c r="H3" s="179" t="s">
        <v>163</v>
      </c>
      <c r="I3" s="179"/>
      <c r="J3" s="179"/>
      <c r="K3" s="181"/>
      <c r="L3" s="181"/>
      <c r="M3" s="55"/>
    </row>
    <row r="4" spans="1:15" ht="13.5" thickBot="1" x14ac:dyDescent="0.25">
      <c r="A4" s="55"/>
      <c r="B4" s="58" t="s">
        <v>216</v>
      </c>
      <c r="C4" s="58" t="s">
        <v>11</v>
      </c>
      <c r="D4" s="58" t="s">
        <v>10</v>
      </c>
      <c r="E4" s="58" t="s">
        <v>216</v>
      </c>
      <c r="F4" s="58" t="s">
        <v>11</v>
      </c>
      <c r="G4" s="58" t="s">
        <v>10</v>
      </c>
      <c r="H4" s="58" t="s">
        <v>216</v>
      </c>
      <c r="I4" s="58" t="s">
        <v>11</v>
      </c>
      <c r="J4" s="58" t="s">
        <v>10</v>
      </c>
      <c r="K4" s="180" t="s">
        <v>72</v>
      </c>
      <c r="L4" s="180"/>
      <c r="M4" s="55"/>
    </row>
    <row r="5" spans="1:15" ht="13.5" thickBot="1" x14ac:dyDescent="0.25">
      <c r="A5" s="55"/>
      <c r="B5" s="60">
        <f>SUM(C5:D5)</f>
        <v>67</v>
      </c>
      <c r="C5" s="60">
        <f>I5+F5</f>
        <v>16</v>
      </c>
      <c r="D5" s="60">
        <f>J5+G5</f>
        <v>51</v>
      </c>
      <c r="E5" s="60">
        <f>SUM(F5:G5)</f>
        <v>0</v>
      </c>
      <c r="F5" s="60">
        <v>0</v>
      </c>
      <c r="G5" s="60">
        <v>0</v>
      </c>
      <c r="H5" s="60">
        <f>SUM(I5:J5)</f>
        <v>67</v>
      </c>
      <c r="I5" s="60">
        <v>16</v>
      </c>
      <c r="J5" s="60">
        <v>51</v>
      </c>
      <c r="K5" s="65" t="s">
        <v>61</v>
      </c>
      <c r="L5" s="66"/>
      <c r="M5" s="55"/>
      <c r="N5" s="69"/>
      <c r="O5" s="69"/>
    </row>
    <row r="6" spans="1:15" ht="13.5" thickBot="1" x14ac:dyDescent="0.25">
      <c r="A6" s="55"/>
      <c r="B6" s="60">
        <f t="shared" ref="B6:B34" si="0">SUM(C6:D6)</f>
        <v>419</v>
      </c>
      <c r="C6" s="60">
        <f t="shared" ref="C6:D34" si="1">I6+F6</f>
        <v>108</v>
      </c>
      <c r="D6" s="60">
        <f t="shared" si="1"/>
        <v>311</v>
      </c>
      <c r="E6" s="60">
        <f t="shared" ref="E6:E34" si="2">SUM(F6:G6)</f>
        <v>3</v>
      </c>
      <c r="F6" s="60">
        <v>2</v>
      </c>
      <c r="G6" s="60">
        <v>1</v>
      </c>
      <c r="H6" s="60">
        <f t="shared" ref="H6:H34" si="3">SUM(I6:J6)</f>
        <v>416</v>
      </c>
      <c r="I6" s="60">
        <v>106</v>
      </c>
      <c r="J6" s="60">
        <v>310</v>
      </c>
      <c r="K6" s="65" t="s">
        <v>62</v>
      </c>
      <c r="L6" s="66" t="s">
        <v>74</v>
      </c>
      <c r="M6" s="55"/>
      <c r="N6" s="69"/>
      <c r="O6" s="69"/>
    </row>
    <row r="7" spans="1:15" ht="13.5" thickBot="1" x14ac:dyDescent="0.25">
      <c r="A7" s="55"/>
      <c r="B7" s="60">
        <f t="shared" si="0"/>
        <v>396</v>
      </c>
      <c r="C7" s="60">
        <f t="shared" si="1"/>
        <v>45</v>
      </c>
      <c r="D7" s="60">
        <f t="shared" si="1"/>
        <v>351</v>
      </c>
      <c r="E7" s="60">
        <f t="shared" si="2"/>
        <v>0</v>
      </c>
      <c r="F7" s="60">
        <v>0</v>
      </c>
      <c r="G7" s="60">
        <v>0</v>
      </c>
      <c r="H7" s="60">
        <f t="shared" si="3"/>
        <v>396</v>
      </c>
      <c r="I7" s="60">
        <v>45</v>
      </c>
      <c r="J7" s="60">
        <v>351</v>
      </c>
      <c r="K7" s="65" t="s">
        <v>64</v>
      </c>
      <c r="L7" s="74"/>
      <c r="M7" s="55"/>
    </row>
    <row r="8" spans="1:15" ht="13.5" thickBot="1" x14ac:dyDescent="0.25">
      <c r="A8" s="55"/>
      <c r="B8" s="60">
        <f t="shared" si="0"/>
        <v>75</v>
      </c>
      <c r="C8" s="60">
        <f t="shared" si="1"/>
        <v>0</v>
      </c>
      <c r="D8" s="60">
        <f t="shared" si="1"/>
        <v>75</v>
      </c>
      <c r="E8" s="60">
        <f t="shared" si="2"/>
        <v>16</v>
      </c>
      <c r="F8" s="60">
        <v>0</v>
      </c>
      <c r="G8" s="60">
        <v>16</v>
      </c>
      <c r="H8" s="60">
        <f t="shared" si="3"/>
        <v>59</v>
      </c>
      <c r="I8" s="60">
        <v>0</v>
      </c>
      <c r="J8" s="60">
        <v>59</v>
      </c>
      <c r="K8" s="65" t="s">
        <v>61</v>
      </c>
      <c r="L8" s="66"/>
      <c r="M8" s="55"/>
      <c r="N8" s="69"/>
      <c r="O8" s="69"/>
    </row>
    <row r="9" spans="1:15" ht="13.5" thickBot="1" x14ac:dyDescent="0.25">
      <c r="A9" s="55"/>
      <c r="B9" s="60">
        <f t="shared" si="0"/>
        <v>153</v>
      </c>
      <c r="C9" s="60">
        <f t="shared" si="1"/>
        <v>0</v>
      </c>
      <c r="D9" s="60">
        <f t="shared" si="1"/>
        <v>153</v>
      </c>
      <c r="E9" s="60">
        <f t="shared" si="2"/>
        <v>71</v>
      </c>
      <c r="F9" s="60">
        <v>0</v>
      </c>
      <c r="G9" s="60">
        <v>71</v>
      </c>
      <c r="H9" s="60">
        <f t="shared" si="3"/>
        <v>82</v>
      </c>
      <c r="I9" s="60">
        <v>0</v>
      </c>
      <c r="J9" s="60">
        <v>82</v>
      </c>
      <c r="K9" s="65" t="s">
        <v>62</v>
      </c>
      <c r="L9" s="66" t="s">
        <v>164</v>
      </c>
      <c r="M9" s="55"/>
      <c r="N9" s="69"/>
      <c r="O9" s="69"/>
    </row>
    <row r="10" spans="1:15" ht="13.5" thickBot="1" x14ac:dyDescent="0.25">
      <c r="A10" s="55"/>
      <c r="B10" s="60">
        <f t="shared" si="0"/>
        <v>117</v>
      </c>
      <c r="C10" s="60">
        <f t="shared" si="1"/>
        <v>0</v>
      </c>
      <c r="D10" s="60">
        <f t="shared" si="1"/>
        <v>117</v>
      </c>
      <c r="E10" s="60">
        <f t="shared" si="2"/>
        <v>117</v>
      </c>
      <c r="F10" s="60">
        <v>0</v>
      </c>
      <c r="G10" s="60">
        <v>117</v>
      </c>
      <c r="H10" s="60">
        <f t="shared" si="3"/>
        <v>0</v>
      </c>
      <c r="I10" s="60">
        <v>0</v>
      </c>
      <c r="J10" s="60">
        <v>0</v>
      </c>
      <c r="K10" s="65" t="s">
        <v>64</v>
      </c>
      <c r="L10" s="74"/>
      <c r="M10" s="55"/>
    </row>
    <row r="11" spans="1:15" ht="13.5" thickBot="1" x14ac:dyDescent="0.25">
      <c r="A11" s="55"/>
      <c r="B11" s="60">
        <f t="shared" si="0"/>
        <v>106</v>
      </c>
      <c r="C11" s="60">
        <f t="shared" si="1"/>
        <v>16</v>
      </c>
      <c r="D11" s="60">
        <f t="shared" si="1"/>
        <v>90</v>
      </c>
      <c r="E11" s="60">
        <f t="shared" si="2"/>
        <v>7</v>
      </c>
      <c r="F11" s="60">
        <v>0</v>
      </c>
      <c r="G11" s="60">
        <v>7</v>
      </c>
      <c r="H11" s="60">
        <f t="shared" si="3"/>
        <v>99</v>
      </c>
      <c r="I11" s="60">
        <v>16</v>
      </c>
      <c r="J11" s="60">
        <v>83</v>
      </c>
      <c r="K11" s="65" t="s">
        <v>61</v>
      </c>
      <c r="L11" s="66"/>
      <c r="M11" s="55"/>
      <c r="N11" s="69"/>
      <c r="O11" s="69"/>
    </row>
    <row r="12" spans="1:15" ht="13.5" thickBot="1" x14ac:dyDescent="0.25">
      <c r="A12" s="55"/>
      <c r="B12" s="60">
        <f t="shared" si="0"/>
        <v>265</v>
      </c>
      <c r="C12" s="60">
        <f t="shared" si="1"/>
        <v>80</v>
      </c>
      <c r="D12" s="60">
        <f t="shared" si="1"/>
        <v>185</v>
      </c>
      <c r="E12" s="60">
        <f t="shared" si="2"/>
        <v>13</v>
      </c>
      <c r="F12" s="60">
        <v>2</v>
      </c>
      <c r="G12" s="60">
        <v>11</v>
      </c>
      <c r="H12" s="60">
        <f t="shared" si="3"/>
        <v>252</v>
      </c>
      <c r="I12" s="60">
        <v>78</v>
      </c>
      <c r="J12" s="60">
        <v>174</v>
      </c>
      <c r="K12" s="65" t="s">
        <v>62</v>
      </c>
      <c r="L12" s="66" t="s">
        <v>76</v>
      </c>
      <c r="M12" s="55"/>
      <c r="N12" s="69"/>
      <c r="O12" s="69"/>
    </row>
    <row r="13" spans="1:15" ht="13.5" thickBot="1" x14ac:dyDescent="0.25">
      <c r="A13" s="55"/>
      <c r="B13" s="60">
        <f t="shared" si="0"/>
        <v>335</v>
      </c>
      <c r="C13" s="60">
        <f t="shared" si="1"/>
        <v>53</v>
      </c>
      <c r="D13" s="60">
        <f t="shared" si="1"/>
        <v>282</v>
      </c>
      <c r="E13" s="60">
        <f t="shared" si="2"/>
        <v>42</v>
      </c>
      <c r="F13" s="60">
        <v>1</v>
      </c>
      <c r="G13" s="60">
        <v>41</v>
      </c>
      <c r="H13" s="60">
        <f t="shared" si="3"/>
        <v>293</v>
      </c>
      <c r="I13" s="60">
        <v>52</v>
      </c>
      <c r="J13" s="60">
        <v>241</v>
      </c>
      <c r="K13" s="65" t="s">
        <v>64</v>
      </c>
      <c r="L13" s="74"/>
      <c r="M13" s="55"/>
    </row>
    <row r="14" spans="1:15" ht="13.5" thickBot="1" x14ac:dyDescent="0.25">
      <c r="A14" s="55"/>
      <c r="B14" s="60">
        <f t="shared" si="0"/>
        <v>42</v>
      </c>
      <c r="C14" s="60">
        <f t="shared" si="1"/>
        <v>13</v>
      </c>
      <c r="D14" s="60">
        <f t="shared" si="1"/>
        <v>29</v>
      </c>
      <c r="E14" s="60">
        <f t="shared" si="2"/>
        <v>1</v>
      </c>
      <c r="F14" s="60">
        <v>0</v>
      </c>
      <c r="G14" s="60">
        <v>1</v>
      </c>
      <c r="H14" s="60">
        <f t="shared" si="3"/>
        <v>41</v>
      </c>
      <c r="I14" s="60">
        <v>13</v>
      </c>
      <c r="J14" s="60">
        <v>28</v>
      </c>
      <c r="K14" s="65" t="s">
        <v>61</v>
      </c>
      <c r="L14" s="66"/>
      <c r="M14" s="55"/>
      <c r="N14" s="69"/>
      <c r="O14" s="69"/>
    </row>
    <row r="15" spans="1:15" ht="13.5" thickBot="1" x14ac:dyDescent="0.25">
      <c r="A15" s="55"/>
      <c r="B15" s="60">
        <f t="shared" si="0"/>
        <v>464</v>
      </c>
      <c r="C15" s="60">
        <f t="shared" si="1"/>
        <v>189</v>
      </c>
      <c r="D15" s="60">
        <f t="shared" si="1"/>
        <v>275</v>
      </c>
      <c r="E15" s="60">
        <f t="shared" si="2"/>
        <v>29</v>
      </c>
      <c r="F15" s="60">
        <v>12</v>
      </c>
      <c r="G15" s="60">
        <v>17</v>
      </c>
      <c r="H15" s="60">
        <f t="shared" si="3"/>
        <v>435</v>
      </c>
      <c r="I15" s="60">
        <v>177</v>
      </c>
      <c r="J15" s="60">
        <v>258</v>
      </c>
      <c r="K15" s="65" t="s">
        <v>62</v>
      </c>
      <c r="L15" s="66" t="s">
        <v>78</v>
      </c>
      <c r="M15" s="55"/>
      <c r="N15" s="69"/>
      <c r="O15" s="69"/>
    </row>
    <row r="16" spans="1:15" ht="13.5" thickBot="1" x14ac:dyDescent="0.25">
      <c r="A16" s="55"/>
      <c r="B16" s="60">
        <f t="shared" si="0"/>
        <v>152</v>
      </c>
      <c r="C16" s="60">
        <f t="shared" si="1"/>
        <v>39</v>
      </c>
      <c r="D16" s="60">
        <f t="shared" si="1"/>
        <v>113</v>
      </c>
      <c r="E16" s="60">
        <f t="shared" si="2"/>
        <v>26</v>
      </c>
      <c r="F16" s="60">
        <v>0</v>
      </c>
      <c r="G16" s="60">
        <v>26</v>
      </c>
      <c r="H16" s="60">
        <f t="shared" si="3"/>
        <v>126</v>
      </c>
      <c r="I16" s="60">
        <v>39</v>
      </c>
      <c r="J16" s="60">
        <v>87</v>
      </c>
      <c r="K16" s="65" t="s">
        <v>64</v>
      </c>
      <c r="L16" s="74"/>
      <c r="M16" s="55"/>
    </row>
    <row r="17" spans="1:15" ht="13.5" thickBot="1" x14ac:dyDescent="0.25">
      <c r="A17" s="55"/>
      <c r="B17" s="60">
        <f t="shared" si="0"/>
        <v>18</v>
      </c>
      <c r="C17" s="60">
        <f t="shared" si="1"/>
        <v>15</v>
      </c>
      <c r="D17" s="60">
        <f t="shared" si="1"/>
        <v>3</v>
      </c>
      <c r="E17" s="60">
        <f t="shared" si="2"/>
        <v>0</v>
      </c>
      <c r="F17" s="60">
        <v>0</v>
      </c>
      <c r="G17" s="60">
        <v>0</v>
      </c>
      <c r="H17" s="60">
        <f t="shared" si="3"/>
        <v>18</v>
      </c>
      <c r="I17" s="60">
        <v>15</v>
      </c>
      <c r="J17" s="60">
        <v>3</v>
      </c>
      <c r="K17" s="65" t="s">
        <v>61</v>
      </c>
      <c r="L17" s="66"/>
      <c r="M17" s="55"/>
      <c r="N17" s="69"/>
      <c r="O17" s="69"/>
    </row>
    <row r="18" spans="1:15" ht="13.5" thickBot="1" x14ac:dyDescent="0.25">
      <c r="A18" s="55"/>
      <c r="B18" s="60">
        <f t="shared" si="0"/>
        <v>347</v>
      </c>
      <c r="C18" s="60">
        <f t="shared" si="1"/>
        <v>184</v>
      </c>
      <c r="D18" s="60">
        <f t="shared" si="1"/>
        <v>163</v>
      </c>
      <c r="E18" s="60">
        <f t="shared" si="2"/>
        <v>15</v>
      </c>
      <c r="F18" s="60">
        <v>9</v>
      </c>
      <c r="G18" s="60">
        <v>6</v>
      </c>
      <c r="H18" s="60">
        <f t="shared" si="3"/>
        <v>332</v>
      </c>
      <c r="I18" s="60">
        <v>175</v>
      </c>
      <c r="J18" s="60">
        <v>157</v>
      </c>
      <c r="K18" s="65" t="s">
        <v>62</v>
      </c>
      <c r="L18" s="66" t="s">
        <v>79</v>
      </c>
      <c r="M18" s="55"/>
      <c r="N18" s="69"/>
      <c r="O18" s="69"/>
    </row>
    <row r="19" spans="1:15" ht="13.5" thickBot="1" x14ac:dyDescent="0.25">
      <c r="A19" s="55"/>
      <c r="B19" s="60">
        <f t="shared" si="0"/>
        <v>183</v>
      </c>
      <c r="C19" s="60">
        <f t="shared" si="1"/>
        <v>47</v>
      </c>
      <c r="D19" s="60">
        <f t="shared" si="1"/>
        <v>136</v>
      </c>
      <c r="E19" s="60">
        <f t="shared" si="2"/>
        <v>0</v>
      </c>
      <c r="F19" s="60">
        <v>0</v>
      </c>
      <c r="G19" s="60">
        <v>0</v>
      </c>
      <c r="H19" s="60">
        <f t="shared" si="3"/>
        <v>183</v>
      </c>
      <c r="I19" s="60">
        <v>47</v>
      </c>
      <c r="J19" s="60">
        <v>136</v>
      </c>
      <c r="K19" s="65" t="s">
        <v>64</v>
      </c>
      <c r="L19" s="74"/>
      <c r="M19" s="55"/>
    </row>
    <row r="20" spans="1:15" ht="13.5" thickBot="1" x14ac:dyDescent="0.25">
      <c r="A20" s="55"/>
      <c r="B20" s="60">
        <f t="shared" si="0"/>
        <v>7</v>
      </c>
      <c r="C20" s="60">
        <f t="shared" si="1"/>
        <v>0</v>
      </c>
      <c r="D20" s="60">
        <f t="shared" si="1"/>
        <v>7</v>
      </c>
      <c r="E20" s="60">
        <f t="shared" si="2"/>
        <v>5</v>
      </c>
      <c r="F20" s="60">
        <v>0</v>
      </c>
      <c r="G20" s="60">
        <v>5</v>
      </c>
      <c r="H20" s="60">
        <f t="shared" si="3"/>
        <v>2</v>
      </c>
      <c r="I20" s="60">
        <v>0</v>
      </c>
      <c r="J20" s="60">
        <v>2</v>
      </c>
      <c r="K20" s="65" t="s">
        <v>61</v>
      </c>
      <c r="L20" s="66"/>
      <c r="M20" s="55"/>
      <c r="N20" s="69"/>
      <c r="O20" s="69"/>
    </row>
    <row r="21" spans="1:15" ht="13.5" thickBot="1" x14ac:dyDescent="0.25">
      <c r="A21" s="55"/>
      <c r="B21" s="60">
        <f t="shared" si="0"/>
        <v>131</v>
      </c>
      <c r="C21" s="60">
        <f t="shared" si="1"/>
        <v>0</v>
      </c>
      <c r="D21" s="60">
        <f t="shared" si="1"/>
        <v>131</v>
      </c>
      <c r="E21" s="60">
        <f t="shared" si="2"/>
        <v>62</v>
      </c>
      <c r="F21" s="60">
        <v>0</v>
      </c>
      <c r="G21" s="60">
        <v>62</v>
      </c>
      <c r="H21" s="60">
        <f t="shared" si="3"/>
        <v>69</v>
      </c>
      <c r="I21" s="60">
        <v>0</v>
      </c>
      <c r="J21" s="60">
        <v>69</v>
      </c>
      <c r="K21" s="65" t="s">
        <v>62</v>
      </c>
      <c r="L21" s="66" t="s">
        <v>98</v>
      </c>
      <c r="M21" s="55"/>
      <c r="N21" s="69"/>
      <c r="O21" s="69"/>
    </row>
    <row r="22" spans="1:15" ht="13.5" thickBot="1" x14ac:dyDescent="0.25">
      <c r="A22" s="55"/>
      <c r="B22" s="60">
        <f t="shared" si="0"/>
        <v>0</v>
      </c>
      <c r="C22" s="60">
        <f t="shared" si="1"/>
        <v>0</v>
      </c>
      <c r="D22" s="60">
        <f t="shared" si="1"/>
        <v>0</v>
      </c>
      <c r="E22" s="60">
        <f t="shared" si="2"/>
        <v>0</v>
      </c>
      <c r="F22" s="60">
        <v>0</v>
      </c>
      <c r="G22" s="60">
        <v>0</v>
      </c>
      <c r="H22" s="60">
        <f t="shared" si="3"/>
        <v>0</v>
      </c>
      <c r="I22" s="60">
        <v>0</v>
      </c>
      <c r="J22" s="60">
        <v>0</v>
      </c>
      <c r="K22" s="65" t="s">
        <v>64</v>
      </c>
      <c r="L22" s="74"/>
      <c r="M22" s="55"/>
    </row>
    <row r="23" spans="1:15" ht="13.5" thickBot="1" x14ac:dyDescent="0.25">
      <c r="A23" s="55"/>
      <c r="B23" s="60">
        <f t="shared" si="0"/>
        <v>30</v>
      </c>
      <c r="C23" s="60">
        <f t="shared" si="1"/>
        <v>23</v>
      </c>
      <c r="D23" s="60">
        <f t="shared" si="1"/>
        <v>7</v>
      </c>
      <c r="E23" s="60">
        <f t="shared" si="2"/>
        <v>0</v>
      </c>
      <c r="F23" s="60">
        <v>0</v>
      </c>
      <c r="G23" s="60">
        <v>0</v>
      </c>
      <c r="H23" s="60">
        <f t="shared" si="3"/>
        <v>30</v>
      </c>
      <c r="I23" s="60">
        <v>23</v>
      </c>
      <c r="J23" s="60">
        <v>7</v>
      </c>
      <c r="K23" s="65" t="s">
        <v>61</v>
      </c>
      <c r="L23" s="66"/>
      <c r="M23" s="55"/>
      <c r="N23" s="69"/>
      <c r="O23" s="69"/>
    </row>
    <row r="24" spans="1:15" ht="13.5" thickBot="1" x14ac:dyDescent="0.25">
      <c r="A24" s="55"/>
      <c r="B24" s="60">
        <f t="shared" si="0"/>
        <v>24</v>
      </c>
      <c r="C24" s="60">
        <f t="shared" si="1"/>
        <v>17</v>
      </c>
      <c r="D24" s="60">
        <f t="shared" si="1"/>
        <v>7</v>
      </c>
      <c r="E24" s="60">
        <f t="shared" si="2"/>
        <v>0</v>
      </c>
      <c r="F24" s="60">
        <v>0</v>
      </c>
      <c r="G24" s="60">
        <v>0</v>
      </c>
      <c r="H24" s="60">
        <f t="shared" si="3"/>
        <v>24</v>
      </c>
      <c r="I24" s="60">
        <v>17</v>
      </c>
      <c r="J24" s="60">
        <v>7</v>
      </c>
      <c r="K24" s="65" t="s">
        <v>62</v>
      </c>
      <c r="L24" s="66" t="s">
        <v>80</v>
      </c>
      <c r="M24" s="55"/>
      <c r="N24" s="69"/>
      <c r="O24" s="69"/>
    </row>
    <row r="25" spans="1:15" ht="13.5" thickBot="1" x14ac:dyDescent="0.25">
      <c r="A25" s="55"/>
      <c r="B25" s="60">
        <f t="shared" si="0"/>
        <v>0</v>
      </c>
      <c r="C25" s="60">
        <f t="shared" si="1"/>
        <v>0</v>
      </c>
      <c r="D25" s="60">
        <f t="shared" si="1"/>
        <v>0</v>
      </c>
      <c r="E25" s="60">
        <f t="shared" si="2"/>
        <v>0</v>
      </c>
      <c r="F25" s="60">
        <v>0</v>
      </c>
      <c r="G25" s="60">
        <v>0</v>
      </c>
      <c r="H25" s="60">
        <f t="shared" si="3"/>
        <v>0</v>
      </c>
      <c r="I25" s="60">
        <v>0</v>
      </c>
      <c r="J25" s="60">
        <v>0</v>
      </c>
      <c r="K25" s="65" t="s">
        <v>64</v>
      </c>
      <c r="L25" s="74"/>
      <c r="M25" s="55"/>
    </row>
    <row r="26" spans="1:15" ht="13.5" thickBot="1" x14ac:dyDescent="0.25">
      <c r="A26" s="55"/>
      <c r="B26" s="60">
        <f t="shared" si="0"/>
        <v>0</v>
      </c>
      <c r="C26" s="60">
        <f t="shared" si="1"/>
        <v>0</v>
      </c>
      <c r="D26" s="60">
        <f t="shared" si="1"/>
        <v>0</v>
      </c>
      <c r="E26" s="60">
        <f t="shared" si="2"/>
        <v>0</v>
      </c>
      <c r="F26" s="60">
        <v>0</v>
      </c>
      <c r="G26" s="60">
        <v>0</v>
      </c>
      <c r="H26" s="60">
        <f t="shared" si="3"/>
        <v>0</v>
      </c>
      <c r="I26" s="60">
        <v>0</v>
      </c>
      <c r="J26" s="60">
        <v>0</v>
      </c>
      <c r="K26" s="65" t="s">
        <v>61</v>
      </c>
      <c r="L26" s="66"/>
      <c r="M26" s="55"/>
      <c r="N26" s="69"/>
      <c r="O26" s="69"/>
    </row>
    <row r="27" spans="1:15" ht="13.5" thickBot="1" x14ac:dyDescent="0.25">
      <c r="A27" s="55"/>
      <c r="B27" s="60">
        <f t="shared" si="0"/>
        <v>148</v>
      </c>
      <c r="C27" s="60">
        <f t="shared" si="1"/>
        <v>0</v>
      </c>
      <c r="D27" s="60">
        <f t="shared" si="1"/>
        <v>148</v>
      </c>
      <c r="E27" s="60">
        <f t="shared" si="2"/>
        <v>3</v>
      </c>
      <c r="F27" s="60">
        <v>0</v>
      </c>
      <c r="G27" s="60">
        <v>3</v>
      </c>
      <c r="H27" s="60">
        <f t="shared" si="3"/>
        <v>145</v>
      </c>
      <c r="I27" s="60">
        <v>0</v>
      </c>
      <c r="J27" s="60">
        <v>145</v>
      </c>
      <c r="K27" s="65" t="s">
        <v>62</v>
      </c>
      <c r="L27" s="66" t="s">
        <v>81</v>
      </c>
      <c r="M27" s="55"/>
      <c r="N27" s="69"/>
      <c r="O27" s="69"/>
    </row>
    <row r="28" spans="1:15" ht="13.5" thickBot="1" x14ac:dyDescent="0.25">
      <c r="A28" s="55"/>
      <c r="B28" s="60">
        <f t="shared" si="0"/>
        <v>259</v>
      </c>
      <c r="C28" s="60">
        <f t="shared" si="1"/>
        <v>160</v>
      </c>
      <c r="D28" s="60">
        <f t="shared" si="1"/>
        <v>99</v>
      </c>
      <c r="E28" s="60">
        <f t="shared" si="2"/>
        <v>14</v>
      </c>
      <c r="F28" s="60">
        <v>6</v>
      </c>
      <c r="G28" s="60">
        <v>8</v>
      </c>
      <c r="H28" s="60">
        <f t="shared" si="3"/>
        <v>245</v>
      </c>
      <c r="I28" s="60">
        <v>154</v>
      </c>
      <c r="J28" s="60">
        <v>91</v>
      </c>
      <c r="K28" s="65" t="s">
        <v>64</v>
      </c>
      <c r="L28" s="74"/>
      <c r="M28" s="55"/>
    </row>
    <row r="29" spans="1:15" ht="13.5" thickBot="1" x14ac:dyDescent="0.25">
      <c r="A29" s="55"/>
      <c r="B29" s="60">
        <f t="shared" si="0"/>
        <v>0</v>
      </c>
      <c r="C29" s="60">
        <f t="shared" si="1"/>
        <v>0</v>
      </c>
      <c r="D29" s="60">
        <f t="shared" si="1"/>
        <v>0</v>
      </c>
      <c r="E29" s="60">
        <f t="shared" si="2"/>
        <v>0</v>
      </c>
      <c r="F29" s="60">
        <v>0</v>
      </c>
      <c r="G29" s="60">
        <v>0</v>
      </c>
      <c r="H29" s="60">
        <f t="shared" si="3"/>
        <v>0</v>
      </c>
      <c r="I29" s="60">
        <v>0</v>
      </c>
      <c r="J29" s="60">
        <v>0</v>
      </c>
      <c r="K29" s="65" t="s">
        <v>61</v>
      </c>
      <c r="L29" s="66"/>
      <c r="M29" s="55"/>
      <c r="N29" s="69"/>
      <c r="O29" s="69"/>
    </row>
    <row r="30" spans="1:15" ht="13.5" thickBot="1" x14ac:dyDescent="0.25">
      <c r="A30" s="55"/>
      <c r="B30" s="60">
        <f t="shared" si="0"/>
        <v>24</v>
      </c>
      <c r="C30" s="60">
        <f t="shared" si="1"/>
        <v>16</v>
      </c>
      <c r="D30" s="60">
        <f t="shared" si="1"/>
        <v>8</v>
      </c>
      <c r="E30" s="60">
        <f t="shared" si="2"/>
        <v>0</v>
      </c>
      <c r="F30" s="60">
        <v>0</v>
      </c>
      <c r="G30" s="60">
        <v>0</v>
      </c>
      <c r="H30" s="60">
        <f t="shared" si="3"/>
        <v>24</v>
      </c>
      <c r="I30" s="60">
        <v>16</v>
      </c>
      <c r="J30" s="60">
        <v>8</v>
      </c>
      <c r="K30" s="65" t="s">
        <v>62</v>
      </c>
      <c r="L30" s="66" t="s">
        <v>165</v>
      </c>
      <c r="M30" s="55"/>
      <c r="N30" s="69"/>
      <c r="O30" s="69"/>
    </row>
    <row r="31" spans="1:15" ht="13.5" thickBot="1" x14ac:dyDescent="0.25">
      <c r="A31" s="55"/>
      <c r="B31" s="60">
        <f t="shared" si="0"/>
        <v>0</v>
      </c>
      <c r="C31" s="60">
        <f t="shared" si="1"/>
        <v>0</v>
      </c>
      <c r="D31" s="60">
        <f t="shared" si="1"/>
        <v>0</v>
      </c>
      <c r="E31" s="60">
        <f t="shared" si="2"/>
        <v>0</v>
      </c>
      <c r="F31" s="60">
        <v>0</v>
      </c>
      <c r="G31" s="60">
        <v>0</v>
      </c>
      <c r="H31" s="60">
        <f t="shared" si="3"/>
        <v>0</v>
      </c>
      <c r="I31" s="60">
        <v>0</v>
      </c>
      <c r="J31" s="60">
        <v>0</v>
      </c>
      <c r="K31" s="65" t="s">
        <v>64</v>
      </c>
      <c r="L31" s="74"/>
      <c r="M31" s="55"/>
    </row>
    <row r="32" spans="1:15" ht="13.5" thickBot="1" x14ac:dyDescent="0.25">
      <c r="A32" s="55"/>
      <c r="B32" s="60">
        <f t="shared" si="0"/>
        <v>0</v>
      </c>
      <c r="C32" s="60">
        <f t="shared" si="1"/>
        <v>0</v>
      </c>
      <c r="D32" s="60">
        <f t="shared" si="1"/>
        <v>0</v>
      </c>
      <c r="E32" s="60">
        <f t="shared" si="2"/>
        <v>0</v>
      </c>
      <c r="F32" s="60">
        <v>0</v>
      </c>
      <c r="G32" s="60">
        <v>0</v>
      </c>
      <c r="H32" s="60">
        <f t="shared" si="3"/>
        <v>0</v>
      </c>
      <c r="I32" s="60">
        <v>0</v>
      </c>
      <c r="J32" s="60">
        <v>0</v>
      </c>
      <c r="K32" s="65" t="s">
        <v>61</v>
      </c>
      <c r="L32" s="66"/>
      <c r="M32" s="55"/>
      <c r="N32" s="69"/>
      <c r="O32" s="69"/>
    </row>
    <row r="33" spans="1:15" ht="13.5" thickBot="1" x14ac:dyDescent="0.25">
      <c r="A33" s="55"/>
      <c r="B33" s="60">
        <f t="shared" si="0"/>
        <v>0</v>
      </c>
      <c r="C33" s="60">
        <f t="shared" si="1"/>
        <v>0</v>
      </c>
      <c r="D33" s="60">
        <f t="shared" si="1"/>
        <v>0</v>
      </c>
      <c r="E33" s="60">
        <f t="shared" si="2"/>
        <v>0</v>
      </c>
      <c r="F33" s="60">
        <v>0</v>
      </c>
      <c r="G33" s="60">
        <v>0</v>
      </c>
      <c r="H33" s="60">
        <f t="shared" si="3"/>
        <v>0</v>
      </c>
      <c r="I33" s="60">
        <v>0</v>
      </c>
      <c r="J33" s="60">
        <v>0</v>
      </c>
      <c r="K33" s="65" t="s">
        <v>62</v>
      </c>
      <c r="L33" s="66" t="s">
        <v>171</v>
      </c>
      <c r="M33" s="55"/>
      <c r="N33" s="69"/>
      <c r="O33" s="69"/>
    </row>
    <row r="34" spans="1:15" ht="13.5" thickBot="1" x14ac:dyDescent="0.25">
      <c r="A34" s="55"/>
      <c r="B34" s="60">
        <f t="shared" si="0"/>
        <v>277</v>
      </c>
      <c r="C34" s="60">
        <f t="shared" si="1"/>
        <v>0</v>
      </c>
      <c r="D34" s="60">
        <f t="shared" si="1"/>
        <v>277</v>
      </c>
      <c r="E34" s="60">
        <f t="shared" si="2"/>
        <v>0</v>
      </c>
      <c r="F34" s="60">
        <v>0</v>
      </c>
      <c r="G34" s="60">
        <v>0</v>
      </c>
      <c r="H34" s="60">
        <f t="shared" si="3"/>
        <v>277</v>
      </c>
      <c r="I34" s="60">
        <v>0</v>
      </c>
      <c r="J34" s="60">
        <v>277</v>
      </c>
      <c r="K34" s="65" t="s">
        <v>64</v>
      </c>
      <c r="L34" s="74"/>
      <c r="M34" s="55"/>
    </row>
    <row r="35" spans="1:15" ht="13.5" thickBot="1" x14ac:dyDescent="0.25">
      <c r="A35" s="55"/>
      <c r="B35" s="60">
        <f t="shared" ref="B35:J37" si="4">B5+B8+B11+B14+B17+B20+B23+B26+B29+B32</f>
        <v>345</v>
      </c>
      <c r="C35" s="60">
        <f t="shared" si="4"/>
        <v>83</v>
      </c>
      <c r="D35" s="60">
        <f t="shared" si="4"/>
        <v>262</v>
      </c>
      <c r="E35" s="60">
        <f t="shared" si="4"/>
        <v>29</v>
      </c>
      <c r="F35" s="60">
        <f t="shared" si="4"/>
        <v>0</v>
      </c>
      <c r="G35" s="60">
        <f t="shared" si="4"/>
        <v>29</v>
      </c>
      <c r="H35" s="60">
        <f t="shared" si="4"/>
        <v>316</v>
      </c>
      <c r="I35" s="60">
        <f t="shared" si="4"/>
        <v>83</v>
      </c>
      <c r="J35" s="60">
        <f>J5+J8+J11+J14+J17+J20+J23+J26+J29+J32</f>
        <v>233</v>
      </c>
      <c r="K35" s="65" t="s">
        <v>231</v>
      </c>
      <c r="L35" s="57"/>
      <c r="M35" s="55"/>
    </row>
    <row r="36" spans="1:15" ht="13.5" thickBot="1" x14ac:dyDescent="0.25">
      <c r="A36" s="55"/>
      <c r="B36" s="60">
        <f t="shared" si="4"/>
        <v>1975</v>
      </c>
      <c r="C36" s="60">
        <f t="shared" si="4"/>
        <v>594</v>
      </c>
      <c r="D36" s="60">
        <f t="shared" si="4"/>
        <v>1381</v>
      </c>
      <c r="E36" s="60">
        <f t="shared" si="4"/>
        <v>196</v>
      </c>
      <c r="F36" s="60">
        <f t="shared" si="4"/>
        <v>25</v>
      </c>
      <c r="G36" s="60">
        <f t="shared" si="4"/>
        <v>171</v>
      </c>
      <c r="H36" s="60">
        <f t="shared" si="4"/>
        <v>1779</v>
      </c>
      <c r="I36" s="60">
        <f t="shared" si="4"/>
        <v>569</v>
      </c>
      <c r="J36" s="60">
        <f t="shared" si="4"/>
        <v>1210</v>
      </c>
      <c r="K36" s="65" t="s">
        <v>62</v>
      </c>
      <c r="L36" s="68" t="s">
        <v>232</v>
      </c>
      <c r="M36" s="55"/>
    </row>
    <row r="37" spans="1:15" ht="13.5" thickBot="1" x14ac:dyDescent="0.25">
      <c r="A37" s="55"/>
      <c r="B37" s="60">
        <f t="shared" si="4"/>
        <v>1719</v>
      </c>
      <c r="C37" s="60">
        <f t="shared" si="4"/>
        <v>344</v>
      </c>
      <c r="D37" s="60">
        <f t="shared" si="4"/>
        <v>1375</v>
      </c>
      <c r="E37" s="60">
        <f t="shared" si="4"/>
        <v>199</v>
      </c>
      <c r="F37" s="60">
        <f t="shared" si="4"/>
        <v>7</v>
      </c>
      <c r="G37" s="60">
        <f t="shared" si="4"/>
        <v>192</v>
      </c>
      <c r="H37" s="60">
        <f t="shared" si="4"/>
        <v>1520</v>
      </c>
      <c r="I37" s="60">
        <f t="shared" si="4"/>
        <v>337</v>
      </c>
      <c r="J37" s="60">
        <f t="shared" si="4"/>
        <v>1183</v>
      </c>
      <c r="K37" s="65" t="s">
        <v>64</v>
      </c>
      <c r="L37" s="59"/>
      <c r="M37" s="55"/>
    </row>
    <row r="38" spans="1:15" ht="13.5" thickBot="1" x14ac:dyDescent="0.25">
      <c r="A38" s="55"/>
      <c r="B38" s="60">
        <f t="shared" ref="B38:I38" si="5">SUM(B35:B37)</f>
        <v>4039</v>
      </c>
      <c r="C38" s="60">
        <f t="shared" si="5"/>
        <v>1021</v>
      </c>
      <c r="D38" s="60">
        <f t="shared" si="5"/>
        <v>3018</v>
      </c>
      <c r="E38" s="60">
        <f t="shared" si="5"/>
        <v>424</v>
      </c>
      <c r="F38" s="60">
        <f t="shared" si="5"/>
        <v>32</v>
      </c>
      <c r="G38" s="60">
        <f t="shared" si="5"/>
        <v>392</v>
      </c>
      <c r="H38" s="60">
        <f t="shared" si="5"/>
        <v>3615</v>
      </c>
      <c r="I38" s="60">
        <f t="shared" si="5"/>
        <v>989</v>
      </c>
      <c r="J38" s="60">
        <f>SUM(J35:J37)</f>
        <v>2626</v>
      </c>
      <c r="K38" s="184" t="s">
        <v>233</v>
      </c>
      <c r="L38" s="184"/>
      <c r="M38" s="55"/>
    </row>
    <row r="40" spans="1:15" x14ac:dyDescent="0.2">
      <c r="C40" s="69"/>
      <c r="D40" s="69"/>
      <c r="F40" s="69"/>
      <c r="G40" s="69"/>
      <c r="I40" s="69"/>
      <c r="J40" s="69"/>
    </row>
    <row r="41" spans="1:15" x14ac:dyDescent="0.2">
      <c r="C41" s="69"/>
      <c r="D41" s="69"/>
      <c r="F41" s="69"/>
      <c r="G41" s="69"/>
      <c r="I41" s="69"/>
      <c r="J41" s="69"/>
    </row>
  </sheetData>
  <mergeCells count="8">
    <mergeCell ref="K4:L4"/>
    <mergeCell ref="K38:L38"/>
    <mergeCell ref="B1:L1"/>
    <mergeCell ref="B2:L2"/>
    <mergeCell ref="B3:D3"/>
    <mergeCell ref="E3:G3"/>
    <mergeCell ref="H3:J3"/>
    <mergeCell ref="K3:L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83"/>
  <sheetViews>
    <sheetView showGridLines="0" zoomScale="90" zoomScaleNormal="90" workbookViewId="0">
      <selection activeCell="O3" sqref="N3:O63"/>
    </sheetView>
  </sheetViews>
  <sheetFormatPr defaultRowHeight="12.75" x14ac:dyDescent="0.2"/>
  <cols>
    <col min="1" max="1" width="3.25" style="56" customWidth="1"/>
    <col min="2" max="11" width="9.625" style="56" customWidth="1"/>
    <col min="12" max="12" width="34.25" style="56" customWidth="1"/>
    <col min="13" max="13" width="3.625" style="56" customWidth="1"/>
    <col min="14" max="256" width="9" style="56"/>
    <col min="257" max="257" width="3.25" style="56" customWidth="1"/>
    <col min="258" max="267" width="9.625" style="56" customWidth="1"/>
    <col min="268" max="268" width="34.25" style="56" customWidth="1"/>
    <col min="269" max="269" width="3.625" style="56" customWidth="1"/>
    <col min="270" max="512" width="9" style="56"/>
    <col min="513" max="513" width="3.25" style="56" customWidth="1"/>
    <col min="514" max="523" width="9.625" style="56" customWidth="1"/>
    <col min="524" max="524" width="34.25" style="56" customWidth="1"/>
    <col min="525" max="525" width="3.625" style="56" customWidth="1"/>
    <col min="526" max="768" width="9" style="56"/>
    <col min="769" max="769" width="3.25" style="56" customWidth="1"/>
    <col min="770" max="779" width="9.625" style="56" customWidth="1"/>
    <col min="780" max="780" width="34.25" style="56" customWidth="1"/>
    <col min="781" max="781" width="3.625" style="56" customWidth="1"/>
    <col min="782" max="1024" width="9" style="56"/>
    <col min="1025" max="1025" width="3.25" style="56" customWidth="1"/>
    <col min="1026" max="1035" width="9.625" style="56" customWidth="1"/>
    <col min="1036" max="1036" width="34.25" style="56" customWidth="1"/>
    <col min="1037" max="1037" width="3.625" style="56" customWidth="1"/>
    <col min="1038" max="1280" width="9" style="56"/>
    <col min="1281" max="1281" width="3.25" style="56" customWidth="1"/>
    <col min="1282" max="1291" width="9.625" style="56" customWidth="1"/>
    <col min="1292" max="1292" width="34.25" style="56" customWidth="1"/>
    <col min="1293" max="1293" width="3.625" style="56" customWidth="1"/>
    <col min="1294" max="1536" width="9" style="56"/>
    <col min="1537" max="1537" width="3.25" style="56" customWidth="1"/>
    <col min="1538" max="1547" width="9.625" style="56" customWidth="1"/>
    <col min="1548" max="1548" width="34.25" style="56" customWidth="1"/>
    <col min="1549" max="1549" width="3.625" style="56" customWidth="1"/>
    <col min="1550" max="1792" width="9" style="56"/>
    <col min="1793" max="1793" width="3.25" style="56" customWidth="1"/>
    <col min="1794" max="1803" width="9.625" style="56" customWidth="1"/>
    <col min="1804" max="1804" width="34.25" style="56" customWidth="1"/>
    <col min="1805" max="1805" width="3.625" style="56" customWidth="1"/>
    <col min="1806" max="2048" width="9" style="56"/>
    <col min="2049" max="2049" width="3.25" style="56" customWidth="1"/>
    <col min="2050" max="2059" width="9.625" style="56" customWidth="1"/>
    <col min="2060" max="2060" width="34.25" style="56" customWidth="1"/>
    <col min="2061" max="2061" width="3.625" style="56" customWidth="1"/>
    <col min="2062" max="2304" width="9" style="56"/>
    <col min="2305" max="2305" width="3.25" style="56" customWidth="1"/>
    <col min="2306" max="2315" width="9.625" style="56" customWidth="1"/>
    <col min="2316" max="2316" width="34.25" style="56" customWidth="1"/>
    <col min="2317" max="2317" width="3.625" style="56" customWidth="1"/>
    <col min="2318" max="2560" width="9" style="56"/>
    <col min="2561" max="2561" width="3.25" style="56" customWidth="1"/>
    <col min="2562" max="2571" width="9.625" style="56" customWidth="1"/>
    <col min="2572" max="2572" width="34.25" style="56" customWidth="1"/>
    <col min="2573" max="2573" width="3.625" style="56" customWidth="1"/>
    <col min="2574" max="2816" width="9" style="56"/>
    <col min="2817" max="2817" width="3.25" style="56" customWidth="1"/>
    <col min="2818" max="2827" width="9.625" style="56" customWidth="1"/>
    <col min="2828" max="2828" width="34.25" style="56" customWidth="1"/>
    <col min="2829" max="2829" width="3.625" style="56" customWidth="1"/>
    <col min="2830" max="3072" width="9" style="56"/>
    <col min="3073" max="3073" width="3.25" style="56" customWidth="1"/>
    <col min="3074" max="3083" width="9.625" style="56" customWidth="1"/>
    <col min="3084" max="3084" width="34.25" style="56" customWidth="1"/>
    <col min="3085" max="3085" width="3.625" style="56" customWidth="1"/>
    <col min="3086" max="3328" width="9" style="56"/>
    <col min="3329" max="3329" width="3.25" style="56" customWidth="1"/>
    <col min="3330" max="3339" width="9.625" style="56" customWidth="1"/>
    <col min="3340" max="3340" width="34.25" style="56" customWidth="1"/>
    <col min="3341" max="3341" width="3.625" style="56" customWidth="1"/>
    <col min="3342" max="3584" width="9" style="56"/>
    <col min="3585" max="3585" width="3.25" style="56" customWidth="1"/>
    <col min="3586" max="3595" width="9.625" style="56" customWidth="1"/>
    <col min="3596" max="3596" width="34.25" style="56" customWidth="1"/>
    <col min="3597" max="3597" width="3.625" style="56" customWidth="1"/>
    <col min="3598" max="3840" width="9" style="56"/>
    <col min="3841" max="3841" width="3.25" style="56" customWidth="1"/>
    <col min="3842" max="3851" width="9.625" style="56" customWidth="1"/>
    <col min="3852" max="3852" width="34.25" style="56" customWidth="1"/>
    <col min="3853" max="3853" width="3.625" style="56" customWidth="1"/>
    <col min="3854" max="4096" width="9" style="56"/>
    <col min="4097" max="4097" width="3.25" style="56" customWidth="1"/>
    <col min="4098" max="4107" width="9.625" style="56" customWidth="1"/>
    <col min="4108" max="4108" width="34.25" style="56" customWidth="1"/>
    <col min="4109" max="4109" width="3.625" style="56" customWidth="1"/>
    <col min="4110" max="4352" width="9" style="56"/>
    <col min="4353" max="4353" width="3.25" style="56" customWidth="1"/>
    <col min="4354" max="4363" width="9.625" style="56" customWidth="1"/>
    <col min="4364" max="4364" width="34.25" style="56" customWidth="1"/>
    <col min="4365" max="4365" width="3.625" style="56" customWidth="1"/>
    <col min="4366" max="4608" width="9" style="56"/>
    <col min="4609" max="4609" width="3.25" style="56" customWidth="1"/>
    <col min="4610" max="4619" width="9.625" style="56" customWidth="1"/>
    <col min="4620" max="4620" width="34.25" style="56" customWidth="1"/>
    <col min="4621" max="4621" width="3.625" style="56" customWidth="1"/>
    <col min="4622" max="4864" width="9" style="56"/>
    <col min="4865" max="4865" width="3.25" style="56" customWidth="1"/>
    <col min="4866" max="4875" width="9.625" style="56" customWidth="1"/>
    <col min="4876" max="4876" width="34.25" style="56" customWidth="1"/>
    <col min="4877" max="4877" width="3.625" style="56" customWidth="1"/>
    <col min="4878" max="5120" width="9" style="56"/>
    <col min="5121" max="5121" width="3.25" style="56" customWidth="1"/>
    <col min="5122" max="5131" width="9.625" style="56" customWidth="1"/>
    <col min="5132" max="5132" width="34.25" style="56" customWidth="1"/>
    <col min="5133" max="5133" width="3.625" style="56" customWidth="1"/>
    <col min="5134" max="5376" width="9" style="56"/>
    <col min="5377" max="5377" width="3.25" style="56" customWidth="1"/>
    <col min="5378" max="5387" width="9.625" style="56" customWidth="1"/>
    <col min="5388" max="5388" width="34.25" style="56" customWidth="1"/>
    <col min="5389" max="5389" width="3.625" style="56" customWidth="1"/>
    <col min="5390" max="5632" width="9" style="56"/>
    <col min="5633" max="5633" width="3.25" style="56" customWidth="1"/>
    <col min="5634" max="5643" width="9.625" style="56" customWidth="1"/>
    <col min="5644" max="5644" width="34.25" style="56" customWidth="1"/>
    <col min="5645" max="5645" width="3.625" style="56" customWidth="1"/>
    <col min="5646" max="5888" width="9" style="56"/>
    <col min="5889" max="5889" width="3.25" style="56" customWidth="1"/>
    <col min="5890" max="5899" width="9.625" style="56" customWidth="1"/>
    <col min="5900" max="5900" width="34.25" style="56" customWidth="1"/>
    <col min="5901" max="5901" width="3.625" style="56" customWidth="1"/>
    <col min="5902" max="6144" width="9" style="56"/>
    <col min="6145" max="6145" width="3.25" style="56" customWidth="1"/>
    <col min="6146" max="6155" width="9.625" style="56" customWidth="1"/>
    <col min="6156" max="6156" width="34.25" style="56" customWidth="1"/>
    <col min="6157" max="6157" width="3.625" style="56" customWidth="1"/>
    <col min="6158" max="6400" width="9" style="56"/>
    <col min="6401" max="6401" width="3.25" style="56" customWidth="1"/>
    <col min="6402" max="6411" width="9.625" style="56" customWidth="1"/>
    <col min="6412" max="6412" width="34.25" style="56" customWidth="1"/>
    <col min="6413" max="6413" width="3.625" style="56" customWidth="1"/>
    <col min="6414" max="6656" width="9" style="56"/>
    <col min="6657" max="6657" width="3.25" style="56" customWidth="1"/>
    <col min="6658" max="6667" width="9.625" style="56" customWidth="1"/>
    <col min="6668" max="6668" width="34.25" style="56" customWidth="1"/>
    <col min="6669" max="6669" width="3.625" style="56" customWidth="1"/>
    <col min="6670" max="6912" width="9" style="56"/>
    <col min="6913" max="6913" width="3.25" style="56" customWidth="1"/>
    <col min="6914" max="6923" width="9.625" style="56" customWidth="1"/>
    <col min="6924" max="6924" width="34.25" style="56" customWidth="1"/>
    <col min="6925" max="6925" width="3.625" style="56" customWidth="1"/>
    <col min="6926" max="7168" width="9" style="56"/>
    <col min="7169" max="7169" width="3.25" style="56" customWidth="1"/>
    <col min="7170" max="7179" width="9.625" style="56" customWidth="1"/>
    <col min="7180" max="7180" width="34.25" style="56" customWidth="1"/>
    <col min="7181" max="7181" width="3.625" style="56" customWidth="1"/>
    <col min="7182" max="7424" width="9" style="56"/>
    <col min="7425" max="7425" width="3.25" style="56" customWidth="1"/>
    <col min="7426" max="7435" width="9.625" style="56" customWidth="1"/>
    <col min="7436" max="7436" width="34.25" style="56" customWidth="1"/>
    <col min="7437" max="7437" width="3.625" style="56" customWidth="1"/>
    <col min="7438" max="7680" width="9" style="56"/>
    <col min="7681" max="7681" width="3.25" style="56" customWidth="1"/>
    <col min="7682" max="7691" width="9.625" style="56" customWidth="1"/>
    <col min="7692" max="7692" width="34.25" style="56" customWidth="1"/>
    <col min="7693" max="7693" width="3.625" style="56" customWidth="1"/>
    <col min="7694" max="7936" width="9" style="56"/>
    <col min="7937" max="7937" width="3.25" style="56" customWidth="1"/>
    <col min="7938" max="7947" width="9.625" style="56" customWidth="1"/>
    <col min="7948" max="7948" width="34.25" style="56" customWidth="1"/>
    <col min="7949" max="7949" width="3.625" style="56" customWidth="1"/>
    <col min="7950" max="8192" width="9" style="56"/>
    <col min="8193" max="8193" width="3.25" style="56" customWidth="1"/>
    <col min="8194" max="8203" width="9.625" style="56" customWidth="1"/>
    <col min="8204" max="8204" width="34.25" style="56" customWidth="1"/>
    <col min="8205" max="8205" width="3.625" style="56" customWidth="1"/>
    <col min="8206" max="8448" width="9" style="56"/>
    <col min="8449" max="8449" width="3.25" style="56" customWidth="1"/>
    <col min="8450" max="8459" width="9.625" style="56" customWidth="1"/>
    <col min="8460" max="8460" width="34.25" style="56" customWidth="1"/>
    <col min="8461" max="8461" width="3.625" style="56" customWidth="1"/>
    <col min="8462" max="8704" width="9" style="56"/>
    <col min="8705" max="8705" width="3.25" style="56" customWidth="1"/>
    <col min="8706" max="8715" width="9.625" style="56" customWidth="1"/>
    <col min="8716" max="8716" width="34.25" style="56" customWidth="1"/>
    <col min="8717" max="8717" width="3.625" style="56" customWidth="1"/>
    <col min="8718" max="8960" width="9" style="56"/>
    <col min="8961" max="8961" width="3.25" style="56" customWidth="1"/>
    <col min="8962" max="8971" width="9.625" style="56" customWidth="1"/>
    <col min="8972" max="8972" width="34.25" style="56" customWidth="1"/>
    <col min="8973" max="8973" width="3.625" style="56" customWidth="1"/>
    <col min="8974" max="9216" width="9" style="56"/>
    <col min="9217" max="9217" width="3.25" style="56" customWidth="1"/>
    <col min="9218" max="9227" width="9.625" style="56" customWidth="1"/>
    <col min="9228" max="9228" width="34.25" style="56" customWidth="1"/>
    <col min="9229" max="9229" width="3.625" style="56" customWidth="1"/>
    <col min="9230" max="9472" width="9" style="56"/>
    <col min="9473" max="9473" width="3.25" style="56" customWidth="1"/>
    <col min="9474" max="9483" width="9.625" style="56" customWidth="1"/>
    <col min="9484" max="9484" width="34.25" style="56" customWidth="1"/>
    <col min="9485" max="9485" width="3.625" style="56" customWidth="1"/>
    <col min="9486" max="9728" width="9" style="56"/>
    <col min="9729" max="9729" width="3.25" style="56" customWidth="1"/>
    <col min="9730" max="9739" width="9.625" style="56" customWidth="1"/>
    <col min="9740" max="9740" width="34.25" style="56" customWidth="1"/>
    <col min="9741" max="9741" width="3.625" style="56" customWidth="1"/>
    <col min="9742" max="9984" width="9" style="56"/>
    <col min="9985" max="9985" width="3.25" style="56" customWidth="1"/>
    <col min="9986" max="9995" width="9.625" style="56" customWidth="1"/>
    <col min="9996" max="9996" width="34.25" style="56" customWidth="1"/>
    <col min="9997" max="9997" width="3.625" style="56" customWidth="1"/>
    <col min="9998" max="10240" width="9" style="56"/>
    <col min="10241" max="10241" width="3.25" style="56" customWidth="1"/>
    <col min="10242" max="10251" width="9.625" style="56" customWidth="1"/>
    <col min="10252" max="10252" width="34.25" style="56" customWidth="1"/>
    <col min="10253" max="10253" width="3.625" style="56" customWidth="1"/>
    <col min="10254" max="10496" width="9" style="56"/>
    <col min="10497" max="10497" width="3.25" style="56" customWidth="1"/>
    <col min="10498" max="10507" width="9.625" style="56" customWidth="1"/>
    <col min="10508" max="10508" width="34.25" style="56" customWidth="1"/>
    <col min="10509" max="10509" width="3.625" style="56" customWidth="1"/>
    <col min="10510" max="10752" width="9" style="56"/>
    <col min="10753" max="10753" width="3.25" style="56" customWidth="1"/>
    <col min="10754" max="10763" width="9.625" style="56" customWidth="1"/>
    <col min="10764" max="10764" width="34.25" style="56" customWidth="1"/>
    <col min="10765" max="10765" width="3.625" style="56" customWidth="1"/>
    <col min="10766" max="11008" width="9" style="56"/>
    <col min="11009" max="11009" width="3.25" style="56" customWidth="1"/>
    <col min="11010" max="11019" width="9.625" style="56" customWidth="1"/>
    <col min="11020" max="11020" width="34.25" style="56" customWidth="1"/>
    <col min="11021" max="11021" width="3.625" style="56" customWidth="1"/>
    <col min="11022" max="11264" width="9" style="56"/>
    <col min="11265" max="11265" width="3.25" style="56" customWidth="1"/>
    <col min="11266" max="11275" width="9.625" style="56" customWidth="1"/>
    <col min="11276" max="11276" width="34.25" style="56" customWidth="1"/>
    <col min="11277" max="11277" width="3.625" style="56" customWidth="1"/>
    <col min="11278" max="11520" width="9" style="56"/>
    <col min="11521" max="11521" width="3.25" style="56" customWidth="1"/>
    <col min="11522" max="11531" width="9.625" style="56" customWidth="1"/>
    <col min="11532" max="11532" width="34.25" style="56" customWidth="1"/>
    <col min="11533" max="11533" width="3.625" style="56" customWidth="1"/>
    <col min="11534" max="11776" width="9" style="56"/>
    <col min="11777" max="11777" width="3.25" style="56" customWidth="1"/>
    <col min="11778" max="11787" width="9.625" style="56" customWidth="1"/>
    <col min="11788" max="11788" width="34.25" style="56" customWidth="1"/>
    <col min="11789" max="11789" width="3.625" style="56" customWidth="1"/>
    <col min="11790" max="12032" width="9" style="56"/>
    <col min="12033" max="12033" width="3.25" style="56" customWidth="1"/>
    <col min="12034" max="12043" width="9.625" style="56" customWidth="1"/>
    <col min="12044" max="12044" width="34.25" style="56" customWidth="1"/>
    <col min="12045" max="12045" width="3.625" style="56" customWidth="1"/>
    <col min="12046" max="12288" width="9" style="56"/>
    <col min="12289" max="12289" width="3.25" style="56" customWidth="1"/>
    <col min="12290" max="12299" width="9.625" style="56" customWidth="1"/>
    <col min="12300" max="12300" width="34.25" style="56" customWidth="1"/>
    <col min="12301" max="12301" width="3.625" style="56" customWidth="1"/>
    <col min="12302" max="12544" width="9" style="56"/>
    <col min="12545" max="12545" width="3.25" style="56" customWidth="1"/>
    <col min="12546" max="12555" width="9.625" style="56" customWidth="1"/>
    <col min="12556" max="12556" width="34.25" style="56" customWidth="1"/>
    <col min="12557" max="12557" width="3.625" style="56" customWidth="1"/>
    <col min="12558" max="12800" width="9" style="56"/>
    <col min="12801" max="12801" width="3.25" style="56" customWidth="1"/>
    <col min="12802" max="12811" width="9.625" style="56" customWidth="1"/>
    <col min="12812" max="12812" width="34.25" style="56" customWidth="1"/>
    <col min="12813" max="12813" width="3.625" style="56" customWidth="1"/>
    <col min="12814" max="13056" width="9" style="56"/>
    <col min="13057" max="13057" width="3.25" style="56" customWidth="1"/>
    <col min="13058" max="13067" width="9.625" style="56" customWidth="1"/>
    <col min="13068" max="13068" width="34.25" style="56" customWidth="1"/>
    <col min="13069" max="13069" width="3.625" style="56" customWidth="1"/>
    <col min="13070" max="13312" width="9" style="56"/>
    <col min="13313" max="13313" width="3.25" style="56" customWidth="1"/>
    <col min="13314" max="13323" width="9.625" style="56" customWidth="1"/>
    <col min="13324" max="13324" width="34.25" style="56" customWidth="1"/>
    <col min="13325" max="13325" width="3.625" style="56" customWidth="1"/>
    <col min="13326" max="13568" width="9" style="56"/>
    <col min="13569" max="13569" width="3.25" style="56" customWidth="1"/>
    <col min="13570" max="13579" width="9.625" style="56" customWidth="1"/>
    <col min="13580" max="13580" width="34.25" style="56" customWidth="1"/>
    <col min="13581" max="13581" width="3.625" style="56" customWidth="1"/>
    <col min="13582" max="13824" width="9" style="56"/>
    <col min="13825" max="13825" width="3.25" style="56" customWidth="1"/>
    <col min="13826" max="13835" width="9.625" style="56" customWidth="1"/>
    <col min="13836" max="13836" width="34.25" style="56" customWidth="1"/>
    <col min="13837" max="13837" width="3.625" style="56" customWidth="1"/>
    <col min="13838" max="14080" width="9" style="56"/>
    <col min="14081" max="14081" width="3.25" style="56" customWidth="1"/>
    <col min="14082" max="14091" width="9.625" style="56" customWidth="1"/>
    <col min="14092" max="14092" width="34.25" style="56" customWidth="1"/>
    <col min="14093" max="14093" width="3.625" style="56" customWidth="1"/>
    <col min="14094" max="14336" width="9" style="56"/>
    <col min="14337" max="14337" width="3.25" style="56" customWidth="1"/>
    <col min="14338" max="14347" width="9.625" style="56" customWidth="1"/>
    <col min="14348" max="14348" width="34.25" style="56" customWidth="1"/>
    <col min="14349" max="14349" width="3.625" style="56" customWidth="1"/>
    <col min="14350" max="14592" width="9" style="56"/>
    <col min="14593" max="14593" width="3.25" style="56" customWidth="1"/>
    <col min="14594" max="14603" width="9.625" style="56" customWidth="1"/>
    <col min="14604" max="14604" width="34.25" style="56" customWidth="1"/>
    <col min="14605" max="14605" width="3.625" style="56" customWidth="1"/>
    <col min="14606" max="14848" width="9" style="56"/>
    <col min="14849" max="14849" width="3.25" style="56" customWidth="1"/>
    <col min="14850" max="14859" width="9.625" style="56" customWidth="1"/>
    <col min="14860" max="14860" width="34.25" style="56" customWidth="1"/>
    <col min="14861" max="14861" width="3.625" style="56" customWidth="1"/>
    <col min="14862" max="15104" width="9" style="56"/>
    <col min="15105" max="15105" width="3.25" style="56" customWidth="1"/>
    <col min="15106" max="15115" width="9.625" style="56" customWidth="1"/>
    <col min="15116" max="15116" width="34.25" style="56" customWidth="1"/>
    <col min="15117" max="15117" width="3.625" style="56" customWidth="1"/>
    <col min="15118" max="15360" width="9" style="56"/>
    <col min="15361" max="15361" width="3.25" style="56" customWidth="1"/>
    <col min="15362" max="15371" width="9.625" style="56" customWidth="1"/>
    <col min="15372" max="15372" width="34.25" style="56" customWidth="1"/>
    <col min="15373" max="15373" width="3.625" style="56" customWidth="1"/>
    <col min="15374" max="15616" width="9" style="56"/>
    <col min="15617" max="15617" width="3.25" style="56" customWidth="1"/>
    <col min="15618" max="15627" width="9.625" style="56" customWidth="1"/>
    <col min="15628" max="15628" width="34.25" style="56" customWidth="1"/>
    <col min="15629" max="15629" width="3.625" style="56" customWidth="1"/>
    <col min="15630" max="15872" width="9" style="56"/>
    <col min="15873" max="15873" width="3.25" style="56" customWidth="1"/>
    <col min="15874" max="15883" width="9.625" style="56" customWidth="1"/>
    <col min="15884" max="15884" width="34.25" style="56" customWidth="1"/>
    <col min="15885" max="15885" width="3.625" style="56" customWidth="1"/>
    <col min="15886" max="16128" width="9" style="56"/>
    <col min="16129" max="16129" width="3.25" style="56" customWidth="1"/>
    <col min="16130" max="16139" width="9.625" style="56" customWidth="1"/>
    <col min="16140" max="16140" width="34.25" style="56" customWidth="1"/>
    <col min="16141" max="16141" width="3.625" style="56" customWidth="1"/>
    <col min="16142" max="16384" width="9" style="56"/>
  </cols>
  <sheetData>
    <row r="1" spans="1:14" ht="20.100000000000001" customHeight="1" x14ac:dyDescent="0.2">
      <c r="A1" s="55"/>
      <c r="B1" s="177" t="s">
        <v>590</v>
      </c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55"/>
    </row>
    <row r="2" spans="1:14" ht="20.100000000000001" customHeight="1" thickBot="1" x14ac:dyDescent="0.25">
      <c r="A2" s="55"/>
      <c r="B2" s="178" t="s">
        <v>591</v>
      </c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55"/>
    </row>
    <row r="3" spans="1:14" ht="18" customHeight="1" thickBot="1" x14ac:dyDescent="0.25">
      <c r="A3" s="55"/>
      <c r="B3" s="179" t="s">
        <v>5</v>
      </c>
      <c r="C3" s="179"/>
      <c r="D3" s="179"/>
      <c r="E3" s="179" t="s">
        <v>162</v>
      </c>
      <c r="F3" s="179"/>
      <c r="G3" s="179"/>
      <c r="H3" s="179" t="s">
        <v>163</v>
      </c>
      <c r="I3" s="179"/>
      <c r="J3" s="179"/>
      <c r="K3" s="181"/>
      <c r="L3" s="181"/>
      <c r="M3" s="55"/>
    </row>
    <row r="4" spans="1:14" ht="13.5" thickBot="1" x14ac:dyDescent="0.25">
      <c r="A4" s="55"/>
      <c r="B4" s="58" t="s">
        <v>216</v>
      </c>
      <c r="C4" s="58" t="s">
        <v>11</v>
      </c>
      <c r="D4" s="58" t="s">
        <v>10</v>
      </c>
      <c r="E4" s="58" t="s">
        <v>216</v>
      </c>
      <c r="F4" s="58" t="s">
        <v>11</v>
      </c>
      <c r="G4" s="58" t="s">
        <v>10</v>
      </c>
      <c r="H4" s="58" t="s">
        <v>216</v>
      </c>
      <c r="I4" s="58" t="s">
        <v>11</v>
      </c>
      <c r="J4" s="58" t="s">
        <v>10</v>
      </c>
      <c r="K4" s="180" t="s">
        <v>228</v>
      </c>
      <c r="L4" s="180"/>
      <c r="M4" s="55"/>
    </row>
    <row r="5" spans="1:14" ht="13.5" thickBot="1" x14ac:dyDescent="0.25">
      <c r="A5" s="55"/>
      <c r="B5" s="60">
        <f>SUM(C5:D5)</f>
        <v>9</v>
      </c>
      <c r="C5" s="60">
        <f t="shared" ref="C5:D20" si="0">I5+F5</f>
        <v>0</v>
      </c>
      <c r="D5" s="60">
        <f>J5+G5</f>
        <v>9</v>
      </c>
      <c r="E5" s="60">
        <f>G5+F5</f>
        <v>0</v>
      </c>
      <c r="F5" s="60">
        <v>0</v>
      </c>
      <c r="G5" s="60">
        <v>0</v>
      </c>
      <c r="H5" s="60">
        <f>J5+I5</f>
        <v>9</v>
      </c>
      <c r="I5" s="60">
        <v>0</v>
      </c>
      <c r="J5" s="60">
        <v>9</v>
      </c>
      <c r="K5" s="65" t="s">
        <v>61</v>
      </c>
      <c r="L5" s="66"/>
      <c r="M5" s="55"/>
      <c r="N5" s="69"/>
    </row>
    <row r="6" spans="1:14" ht="13.5" thickBot="1" x14ac:dyDescent="0.25">
      <c r="A6" s="55"/>
      <c r="B6" s="60">
        <f t="shared" ref="B6:B61" si="1">SUM(C6:D6)</f>
        <v>5</v>
      </c>
      <c r="C6" s="60">
        <f t="shared" si="0"/>
        <v>3</v>
      </c>
      <c r="D6" s="60">
        <f t="shared" si="0"/>
        <v>2</v>
      </c>
      <c r="E6" s="60">
        <f t="shared" ref="E6:E61" si="2">G6+F6</f>
        <v>0</v>
      </c>
      <c r="F6" s="60">
        <v>0</v>
      </c>
      <c r="G6" s="60">
        <v>0</v>
      </c>
      <c r="H6" s="60">
        <f t="shared" ref="H6:H61" si="3">J6+I6</f>
        <v>5</v>
      </c>
      <c r="I6" s="60">
        <v>3</v>
      </c>
      <c r="J6" s="60">
        <v>2</v>
      </c>
      <c r="K6" s="65" t="s">
        <v>62</v>
      </c>
      <c r="L6" s="66" t="s">
        <v>182</v>
      </c>
      <c r="M6" s="55"/>
      <c r="N6" s="69"/>
    </row>
    <row r="7" spans="1:14" ht="13.5" thickBot="1" x14ac:dyDescent="0.25">
      <c r="A7" s="55"/>
      <c r="B7" s="60">
        <f t="shared" si="1"/>
        <v>0</v>
      </c>
      <c r="C7" s="60">
        <f t="shared" si="0"/>
        <v>0</v>
      </c>
      <c r="D7" s="60">
        <f t="shared" si="0"/>
        <v>0</v>
      </c>
      <c r="E7" s="60">
        <f t="shared" si="2"/>
        <v>0</v>
      </c>
      <c r="F7" s="60">
        <v>0</v>
      </c>
      <c r="G7" s="60">
        <v>0</v>
      </c>
      <c r="H7" s="60">
        <f t="shared" si="3"/>
        <v>0</v>
      </c>
      <c r="I7" s="60">
        <v>0</v>
      </c>
      <c r="J7" s="60">
        <v>0</v>
      </c>
      <c r="K7" s="65" t="s">
        <v>64</v>
      </c>
      <c r="L7" s="74"/>
      <c r="M7" s="55"/>
    </row>
    <row r="8" spans="1:14" ht="13.5" thickBot="1" x14ac:dyDescent="0.25">
      <c r="A8" s="55"/>
      <c r="B8" s="60">
        <f t="shared" si="1"/>
        <v>84</v>
      </c>
      <c r="C8" s="60">
        <f t="shared" si="0"/>
        <v>12</v>
      </c>
      <c r="D8" s="60">
        <f t="shared" si="0"/>
        <v>72</v>
      </c>
      <c r="E8" s="60">
        <f t="shared" si="2"/>
        <v>9</v>
      </c>
      <c r="F8" s="60">
        <v>0</v>
      </c>
      <c r="G8" s="60">
        <f>10-1</f>
        <v>9</v>
      </c>
      <c r="H8" s="60">
        <f t="shared" si="3"/>
        <v>75</v>
      </c>
      <c r="I8" s="60">
        <f>20-5-3</f>
        <v>12</v>
      </c>
      <c r="J8" s="60">
        <f>89+10-10-16-10</f>
        <v>63</v>
      </c>
      <c r="K8" s="65" t="s">
        <v>61</v>
      </c>
      <c r="L8" s="66"/>
      <c r="M8" s="55"/>
      <c r="N8" s="69"/>
    </row>
    <row r="9" spans="1:14" ht="13.5" thickBot="1" x14ac:dyDescent="0.25">
      <c r="A9" s="55"/>
      <c r="B9" s="60">
        <f t="shared" si="1"/>
        <v>378</v>
      </c>
      <c r="C9" s="60">
        <f t="shared" si="0"/>
        <v>89</v>
      </c>
      <c r="D9" s="60">
        <f t="shared" si="0"/>
        <v>289</v>
      </c>
      <c r="E9" s="60">
        <f t="shared" si="2"/>
        <v>29</v>
      </c>
      <c r="F9" s="60">
        <v>0</v>
      </c>
      <c r="G9" s="60">
        <f>59-30</f>
        <v>29</v>
      </c>
      <c r="H9" s="60">
        <f t="shared" si="3"/>
        <v>349</v>
      </c>
      <c r="I9" s="60">
        <f>79+10</f>
        <v>89</v>
      </c>
      <c r="J9" s="60">
        <v>260</v>
      </c>
      <c r="K9" s="65" t="s">
        <v>62</v>
      </c>
      <c r="L9" s="66" t="s">
        <v>183</v>
      </c>
      <c r="M9" s="55"/>
      <c r="N9" s="69"/>
    </row>
    <row r="10" spans="1:14" ht="13.5" thickBot="1" x14ac:dyDescent="0.25">
      <c r="A10" s="55"/>
      <c r="B10" s="60">
        <f t="shared" si="1"/>
        <v>109</v>
      </c>
      <c r="C10" s="60">
        <f t="shared" si="0"/>
        <v>1</v>
      </c>
      <c r="D10" s="60">
        <f t="shared" si="0"/>
        <v>108</v>
      </c>
      <c r="E10" s="60">
        <f t="shared" si="2"/>
        <v>49</v>
      </c>
      <c r="F10" s="60">
        <v>1</v>
      </c>
      <c r="G10" s="60">
        <v>48</v>
      </c>
      <c r="H10" s="60">
        <f t="shared" si="3"/>
        <v>60</v>
      </c>
      <c r="I10" s="60">
        <v>0</v>
      </c>
      <c r="J10" s="60">
        <f>30+30</f>
        <v>60</v>
      </c>
      <c r="K10" s="65" t="s">
        <v>64</v>
      </c>
      <c r="L10" s="74"/>
      <c r="M10" s="55"/>
    </row>
    <row r="11" spans="1:14" ht="13.5" thickBot="1" x14ac:dyDescent="0.25">
      <c r="A11" s="55"/>
      <c r="B11" s="60">
        <f t="shared" si="1"/>
        <v>0</v>
      </c>
      <c r="C11" s="60">
        <f t="shared" si="0"/>
        <v>0</v>
      </c>
      <c r="D11" s="60">
        <f t="shared" si="0"/>
        <v>0</v>
      </c>
      <c r="E11" s="60">
        <f t="shared" si="2"/>
        <v>0</v>
      </c>
      <c r="F11" s="60">
        <v>0</v>
      </c>
      <c r="G11" s="60">
        <v>0</v>
      </c>
      <c r="H11" s="60">
        <f t="shared" si="3"/>
        <v>0</v>
      </c>
      <c r="I11" s="60">
        <v>0</v>
      </c>
      <c r="J11" s="60">
        <v>0</v>
      </c>
      <c r="K11" s="65" t="s">
        <v>61</v>
      </c>
      <c r="L11" s="66"/>
      <c r="M11" s="55"/>
      <c r="N11" s="69"/>
    </row>
    <row r="12" spans="1:14" ht="13.5" thickBot="1" x14ac:dyDescent="0.25">
      <c r="A12" s="55"/>
      <c r="B12" s="60">
        <f t="shared" si="1"/>
        <v>1</v>
      </c>
      <c r="C12" s="60">
        <f t="shared" si="0"/>
        <v>1</v>
      </c>
      <c r="D12" s="60">
        <f t="shared" si="0"/>
        <v>0</v>
      </c>
      <c r="E12" s="60">
        <f t="shared" si="2"/>
        <v>0</v>
      </c>
      <c r="F12" s="60">
        <v>0</v>
      </c>
      <c r="G12" s="60">
        <v>0</v>
      </c>
      <c r="H12" s="60">
        <f t="shared" si="3"/>
        <v>1</v>
      </c>
      <c r="I12" s="60">
        <v>1</v>
      </c>
      <c r="J12" s="60">
        <v>0</v>
      </c>
      <c r="K12" s="65" t="s">
        <v>62</v>
      </c>
      <c r="L12" s="66" t="s">
        <v>184</v>
      </c>
      <c r="M12" s="55"/>
      <c r="N12" s="69"/>
    </row>
    <row r="13" spans="1:14" ht="13.5" thickBot="1" x14ac:dyDescent="0.25">
      <c r="A13" s="55"/>
      <c r="B13" s="60">
        <f t="shared" si="1"/>
        <v>48</v>
      </c>
      <c r="C13" s="60">
        <f t="shared" si="0"/>
        <v>0</v>
      </c>
      <c r="D13" s="60">
        <f t="shared" si="0"/>
        <v>48</v>
      </c>
      <c r="E13" s="60">
        <f t="shared" si="2"/>
        <v>22</v>
      </c>
      <c r="F13" s="60">
        <v>0</v>
      </c>
      <c r="G13" s="60">
        <v>22</v>
      </c>
      <c r="H13" s="60">
        <f t="shared" si="3"/>
        <v>26</v>
      </c>
      <c r="I13" s="60">
        <v>0</v>
      </c>
      <c r="J13" s="60">
        <f>8+18</f>
        <v>26</v>
      </c>
      <c r="K13" s="65" t="s">
        <v>64</v>
      </c>
      <c r="L13" s="74"/>
      <c r="M13" s="55"/>
    </row>
    <row r="14" spans="1:14" ht="13.5" thickBot="1" x14ac:dyDescent="0.25">
      <c r="A14" s="55"/>
      <c r="B14" s="60">
        <f t="shared" si="1"/>
        <v>56</v>
      </c>
      <c r="C14" s="60">
        <f t="shared" si="0"/>
        <v>15</v>
      </c>
      <c r="D14" s="60">
        <f t="shared" si="0"/>
        <v>41</v>
      </c>
      <c r="E14" s="60">
        <f t="shared" si="2"/>
        <v>4</v>
      </c>
      <c r="F14" s="60">
        <v>0</v>
      </c>
      <c r="G14" s="60">
        <v>4</v>
      </c>
      <c r="H14" s="60">
        <f t="shared" si="3"/>
        <v>52</v>
      </c>
      <c r="I14" s="60">
        <f>29-14</f>
        <v>15</v>
      </c>
      <c r="J14" s="60">
        <v>37</v>
      </c>
      <c r="K14" s="65" t="s">
        <v>61</v>
      </c>
      <c r="L14" s="66"/>
      <c r="M14" s="55"/>
      <c r="N14" s="69"/>
    </row>
    <row r="15" spans="1:14" ht="13.5" thickBot="1" x14ac:dyDescent="0.25">
      <c r="A15" s="55"/>
      <c r="B15" s="60">
        <f t="shared" si="1"/>
        <v>315</v>
      </c>
      <c r="C15" s="60">
        <f t="shared" si="0"/>
        <v>99</v>
      </c>
      <c r="D15" s="60">
        <f t="shared" si="0"/>
        <v>216</v>
      </c>
      <c r="E15" s="60">
        <f t="shared" si="2"/>
        <v>29</v>
      </c>
      <c r="F15" s="60">
        <f>1+3</f>
        <v>4</v>
      </c>
      <c r="G15" s="60">
        <f>35-10</f>
        <v>25</v>
      </c>
      <c r="H15" s="60">
        <f t="shared" si="3"/>
        <v>286</v>
      </c>
      <c r="I15" s="60">
        <v>95</v>
      </c>
      <c r="J15" s="60">
        <v>191</v>
      </c>
      <c r="K15" s="65" t="s">
        <v>62</v>
      </c>
      <c r="L15" s="66" t="s">
        <v>185</v>
      </c>
      <c r="M15" s="55"/>
      <c r="N15" s="69"/>
    </row>
    <row r="16" spans="1:14" ht="13.5" thickBot="1" x14ac:dyDescent="0.25">
      <c r="A16" s="55"/>
      <c r="B16" s="60">
        <f t="shared" si="1"/>
        <v>965</v>
      </c>
      <c r="C16" s="60">
        <f t="shared" si="0"/>
        <v>197</v>
      </c>
      <c r="D16" s="60">
        <f t="shared" si="0"/>
        <v>768</v>
      </c>
      <c r="E16" s="60">
        <f t="shared" si="2"/>
        <v>91</v>
      </c>
      <c r="F16" s="60">
        <v>3</v>
      </c>
      <c r="G16" s="60">
        <f>122-27-7</f>
        <v>88</v>
      </c>
      <c r="H16" s="60">
        <f t="shared" si="3"/>
        <v>874</v>
      </c>
      <c r="I16" s="60">
        <v>194</v>
      </c>
      <c r="J16" s="60">
        <f>580+100</f>
        <v>680</v>
      </c>
      <c r="K16" s="65" t="s">
        <v>64</v>
      </c>
      <c r="L16" s="74"/>
      <c r="M16" s="55"/>
    </row>
    <row r="17" spans="1:14" ht="13.5" thickBot="1" x14ac:dyDescent="0.25">
      <c r="A17" s="55"/>
      <c r="B17" s="60">
        <f t="shared" si="1"/>
        <v>0</v>
      </c>
      <c r="C17" s="60">
        <f t="shared" si="0"/>
        <v>0</v>
      </c>
      <c r="D17" s="60">
        <f t="shared" si="0"/>
        <v>0</v>
      </c>
      <c r="E17" s="60">
        <f t="shared" si="2"/>
        <v>0</v>
      </c>
      <c r="F17" s="60">
        <v>0</v>
      </c>
      <c r="G17" s="60">
        <v>0</v>
      </c>
      <c r="H17" s="60">
        <f t="shared" si="3"/>
        <v>0</v>
      </c>
      <c r="I17" s="60">
        <v>0</v>
      </c>
      <c r="J17" s="60">
        <v>0</v>
      </c>
      <c r="K17" s="65" t="s">
        <v>61</v>
      </c>
      <c r="L17" s="66"/>
      <c r="M17" s="55"/>
      <c r="N17" s="69"/>
    </row>
    <row r="18" spans="1:14" ht="13.5" thickBot="1" x14ac:dyDescent="0.25">
      <c r="A18" s="55"/>
      <c r="B18" s="60">
        <f t="shared" si="1"/>
        <v>24</v>
      </c>
      <c r="C18" s="60">
        <f t="shared" si="0"/>
        <v>3</v>
      </c>
      <c r="D18" s="60">
        <f t="shared" si="0"/>
        <v>21</v>
      </c>
      <c r="E18" s="60">
        <f t="shared" si="2"/>
        <v>3</v>
      </c>
      <c r="F18" s="60">
        <v>0</v>
      </c>
      <c r="G18" s="60">
        <v>3</v>
      </c>
      <c r="H18" s="60">
        <f t="shared" si="3"/>
        <v>21</v>
      </c>
      <c r="I18" s="60">
        <v>3</v>
      </c>
      <c r="J18" s="60">
        <v>18</v>
      </c>
      <c r="K18" s="65" t="s">
        <v>62</v>
      </c>
      <c r="L18" s="66" t="s">
        <v>186</v>
      </c>
      <c r="M18" s="55"/>
      <c r="N18" s="69"/>
    </row>
    <row r="19" spans="1:14" ht="13.5" thickBot="1" x14ac:dyDescent="0.25">
      <c r="A19" s="55"/>
      <c r="B19" s="60">
        <f t="shared" si="1"/>
        <v>0</v>
      </c>
      <c r="C19" s="60">
        <f t="shared" si="0"/>
        <v>0</v>
      </c>
      <c r="D19" s="60">
        <f t="shared" si="0"/>
        <v>0</v>
      </c>
      <c r="E19" s="60">
        <f t="shared" si="2"/>
        <v>0</v>
      </c>
      <c r="F19" s="60">
        <v>0</v>
      </c>
      <c r="G19" s="60">
        <v>0</v>
      </c>
      <c r="H19" s="60">
        <f t="shared" si="3"/>
        <v>0</v>
      </c>
      <c r="I19" s="60">
        <v>0</v>
      </c>
      <c r="J19" s="60">
        <v>0</v>
      </c>
      <c r="K19" s="65" t="s">
        <v>64</v>
      </c>
      <c r="L19" s="74"/>
      <c r="M19" s="55"/>
    </row>
    <row r="20" spans="1:14" ht="13.5" thickBot="1" x14ac:dyDescent="0.25">
      <c r="A20" s="55"/>
      <c r="B20" s="60">
        <f t="shared" si="1"/>
        <v>73</v>
      </c>
      <c r="C20" s="60">
        <f t="shared" si="0"/>
        <v>24</v>
      </c>
      <c r="D20" s="60">
        <f t="shared" si="0"/>
        <v>49</v>
      </c>
      <c r="E20" s="60">
        <f t="shared" si="2"/>
        <v>4</v>
      </c>
      <c r="F20" s="60">
        <v>0</v>
      </c>
      <c r="G20" s="60">
        <v>4</v>
      </c>
      <c r="H20" s="60">
        <f t="shared" si="3"/>
        <v>69</v>
      </c>
      <c r="I20" s="60">
        <f>11+13</f>
        <v>24</v>
      </c>
      <c r="J20" s="60">
        <v>45</v>
      </c>
      <c r="K20" s="65" t="s">
        <v>61</v>
      </c>
      <c r="L20" s="66"/>
      <c r="M20" s="55"/>
      <c r="N20" s="69"/>
    </row>
    <row r="21" spans="1:14" ht="13.5" thickBot="1" x14ac:dyDescent="0.25">
      <c r="A21" s="55"/>
      <c r="B21" s="60">
        <f t="shared" si="1"/>
        <v>139</v>
      </c>
      <c r="C21" s="60">
        <f t="shared" ref="C21:D61" si="4">I21+F21</f>
        <v>86</v>
      </c>
      <c r="D21" s="60">
        <f t="shared" si="4"/>
        <v>53</v>
      </c>
      <c r="E21" s="60">
        <f t="shared" si="2"/>
        <v>1</v>
      </c>
      <c r="F21" s="60">
        <v>1</v>
      </c>
      <c r="G21" s="60">
        <v>0</v>
      </c>
      <c r="H21" s="60">
        <f t="shared" si="3"/>
        <v>138</v>
      </c>
      <c r="I21" s="60">
        <v>85</v>
      </c>
      <c r="J21" s="60">
        <f>47+6</f>
        <v>53</v>
      </c>
      <c r="K21" s="65" t="s">
        <v>62</v>
      </c>
      <c r="L21" s="66" t="s">
        <v>187</v>
      </c>
      <c r="M21" s="55"/>
      <c r="N21" s="69"/>
    </row>
    <row r="22" spans="1:14" ht="13.5" thickBot="1" x14ac:dyDescent="0.25">
      <c r="A22" s="55"/>
      <c r="B22" s="60">
        <f t="shared" si="1"/>
        <v>121</v>
      </c>
      <c r="C22" s="60">
        <f t="shared" si="4"/>
        <v>0</v>
      </c>
      <c r="D22" s="60">
        <f t="shared" si="4"/>
        <v>121</v>
      </c>
      <c r="E22" s="60">
        <f t="shared" si="2"/>
        <v>24</v>
      </c>
      <c r="F22" s="60">
        <v>0</v>
      </c>
      <c r="G22" s="60">
        <v>24</v>
      </c>
      <c r="H22" s="60">
        <f t="shared" si="3"/>
        <v>97</v>
      </c>
      <c r="I22" s="60">
        <v>0</v>
      </c>
      <c r="J22" s="60">
        <f>91+6</f>
        <v>97</v>
      </c>
      <c r="K22" s="65" t="s">
        <v>64</v>
      </c>
      <c r="L22" s="74"/>
      <c r="M22" s="55"/>
    </row>
    <row r="23" spans="1:14" ht="13.5" thickBot="1" x14ac:dyDescent="0.25">
      <c r="A23" s="55"/>
      <c r="B23" s="60">
        <f t="shared" si="1"/>
        <v>35</v>
      </c>
      <c r="C23" s="60">
        <f t="shared" si="4"/>
        <v>7</v>
      </c>
      <c r="D23" s="60">
        <f t="shared" si="4"/>
        <v>28</v>
      </c>
      <c r="E23" s="60">
        <f t="shared" si="2"/>
        <v>0</v>
      </c>
      <c r="F23" s="60">
        <v>0</v>
      </c>
      <c r="G23" s="60">
        <v>0</v>
      </c>
      <c r="H23" s="60">
        <f t="shared" si="3"/>
        <v>35</v>
      </c>
      <c r="I23" s="60">
        <v>7</v>
      </c>
      <c r="J23" s="60">
        <f>38-10</f>
        <v>28</v>
      </c>
      <c r="K23" s="65" t="s">
        <v>61</v>
      </c>
      <c r="L23" s="66"/>
      <c r="M23" s="55"/>
      <c r="N23" s="69"/>
    </row>
    <row r="24" spans="1:14" ht="13.5" thickBot="1" x14ac:dyDescent="0.25">
      <c r="A24" s="55"/>
      <c r="B24" s="60">
        <f t="shared" si="1"/>
        <v>113</v>
      </c>
      <c r="C24" s="60">
        <f t="shared" si="4"/>
        <v>36</v>
      </c>
      <c r="D24" s="60">
        <f t="shared" si="4"/>
        <v>77</v>
      </c>
      <c r="E24" s="60">
        <f t="shared" si="2"/>
        <v>3</v>
      </c>
      <c r="F24" s="60">
        <v>0</v>
      </c>
      <c r="G24" s="60">
        <v>3</v>
      </c>
      <c r="H24" s="60">
        <f t="shared" si="3"/>
        <v>110</v>
      </c>
      <c r="I24" s="60">
        <f>24+12</f>
        <v>36</v>
      </c>
      <c r="J24" s="60">
        <v>74</v>
      </c>
      <c r="K24" s="65" t="s">
        <v>62</v>
      </c>
      <c r="L24" s="66" t="s">
        <v>188</v>
      </c>
      <c r="M24" s="55"/>
      <c r="N24" s="69"/>
    </row>
    <row r="25" spans="1:14" ht="13.5" thickBot="1" x14ac:dyDescent="0.25">
      <c r="A25" s="55"/>
      <c r="B25" s="60">
        <f t="shared" si="1"/>
        <v>48</v>
      </c>
      <c r="C25" s="60">
        <f t="shared" si="4"/>
        <v>3</v>
      </c>
      <c r="D25" s="60">
        <f t="shared" si="4"/>
        <v>45</v>
      </c>
      <c r="E25" s="60">
        <f t="shared" si="2"/>
        <v>13</v>
      </c>
      <c r="F25" s="60">
        <f>5-2</f>
        <v>3</v>
      </c>
      <c r="G25" s="60">
        <v>10</v>
      </c>
      <c r="H25" s="60">
        <f t="shared" si="3"/>
        <v>35</v>
      </c>
      <c r="I25" s="60">
        <v>0</v>
      </c>
      <c r="J25" s="60">
        <f>25+10</f>
        <v>35</v>
      </c>
      <c r="K25" s="65" t="s">
        <v>64</v>
      </c>
      <c r="L25" s="74"/>
      <c r="M25" s="55"/>
    </row>
    <row r="26" spans="1:14" ht="13.5" thickBot="1" x14ac:dyDescent="0.25">
      <c r="A26" s="55"/>
      <c r="B26" s="60">
        <f t="shared" si="1"/>
        <v>26</v>
      </c>
      <c r="C26" s="60">
        <f t="shared" si="4"/>
        <v>4</v>
      </c>
      <c r="D26" s="60">
        <f t="shared" si="4"/>
        <v>22</v>
      </c>
      <c r="E26" s="60">
        <f t="shared" si="2"/>
        <v>3</v>
      </c>
      <c r="F26" s="60">
        <v>0</v>
      </c>
      <c r="G26" s="60">
        <v>3</v>
      </c>
      <c r="H26" s="60">
        <f t="shared" si="3"/>
        <v>23</v>
      </c>
      <c r="I26" s="60">
        <v>4</v>
      </c>
      <c r="J26" s="60">
        <v>19</v>
      </c>
      <c r="K26" s="65" t="s">
        <v>61</v>
      </c>
      <c r="L26" s="66"/>
      <c r="M26" s="55"/>
      <c r="N26" s="69"/>
    </row>
    <row r="27" spans="1:14" ht="13.5" thickBot="1" x14ac:dyDescent="0.25">
      <c r="A27" s="55"/>
      <c r="B27" s="60">
        <f t="shared" si="1"/>
        <v>67</v>
      </c>
      <c r="C27" s="60">
        <f t="shared" si="4"/>
        <v>15</v>
      </c>
      <c r="D27" s="60">
        <f t="shared" si="4"/>
        <v>52</v>
      </c>
      <c r="E27" s="60">
        <f t="shared" si="2"/>
        <v>7</v>
      </c>
      <c r="F27" s="60">
        <v>1</v>
      </c>
      <c r="G27" s="60">
        <v>6</v>
      </c>
      <c r="H27" s="60">
        <f t="shared" si="3"/>
        <v>60</v>
      </c>
      <c r="I27" s="60">
        <v>14</v>
      </c>
      <c r="J27" s="60">
        <f>16+30</f>
        <v>46</v>
      </c>
      <c r="K27" s="65" t="s">
        <v>62</v>
      </c>
      <c r="L27" s="66" t="s">
        <v>189</v>
      </c>
      <c r="M27" s="55"/>
      <c r="N27" s="69"/>
    </row>
    <row r="28" spans="1:14" ht="13.5" thickBot="1" x14ac:dyDescent="0.25">
      <c r="A28" s="55"/>
      <c r="B28" s="60">
        <f t="shared" si="1"/>
        <v>0</v>
      </c>
      <c r="C28" s="60">
        <f t="shared" si="4"/>
        <v>0</v>
      </c>
      <c r="D28" s="60">
        <f t="shared" si="4"/>
        <v>0</v>
      </c>
      <c r="E28" s="60">
        <f t="shared" si="2"/>
        <v>0</v>
      </c>
      <c r="F28" s="60">
        <v>0</v>
      </c>
      <c r="G28" s="60">
        <v>0</v>
      </c>
      <c r="H28" s="60">
        <f t="shared" si="3"/>
        <v>0</v>
      </c>
      <c r="I28" s="60">
        <v>0</v>
      </c>
      <c r="J28" s="60">
        <v>0</v>
      </c>
      <c r="K28" s="65" t="s">
        <v>64</v>
      </c>
      <c r="L28" s="74"/>
      <c r="M28" s="55"/>
    </row>
    <row r="29" spans="1:14" ht="13.5" thickBot="1" x14ac:dyDescent="0.25">
      <c r="A29" s="55"/>
      <c r="B29" s="60">
        <f t="shared" si="1"/>
        <v>1</v>
      </c>
      <c r="C29" s="60">
        <f t="shared" si="4"/>
        <v>0</v>
      </c>
      <c r="D29" s="60">
        <f t="shared" si="4"/>
        <v>1</v>
      </c>
      <c r="E29" s="60">
        <f t="shared" si="2"/>
        <v>0</v>
      </c>
      <c r="F29" s="60">
        <v>0</v>
      </c>
      <c r="G29" s="60">
        <v>0</v>
      </c>
      <c r="H29" s="60">
        <f t="shared" si="3"/>
        <v>1</v>
      </c>
      <c r="I29" s="60">
        <v>0</v>
      </c>
      <c r="J29" s="60">
        <v>1</v>
      </c>
      <c r="K29" s="65" t="s">
        <v>61</v>
      </c>
      <c r="L29" s="66"/>
      <c r="M29" s="55"/>
      <c r="N29" s="69"/>
    </row>
    <row r="30" spans="1:14" ht="13.5" thickBot="1" x14ac:dyDescent="0.25">
      <c r="A30" s="55"/>
      <c r="B30" s="60">
        <f t="shared" si="1"/>
        <v>289</v>
      </c>
      <c r="C30" s="60">
        <f t="shared" si="4"/>
        <v>90</v>
      </c>
      <c r="D30" s="60">
        <f t="shared" si="4"/>
        <v>199</v>
      </c>
      <c r="E30" s="60">
        <f t="shared" si="2"/>
        <v>16</v>
      </c>
      <c r="F30" s="60">
        <f>4+2</f>
        <v>6</v>
      </c>
      <c r="G30" s="60">
        <v>10</v>
      </c>
      <c r="H30" s="60">
        <f t="shared" si="3"/>
        <v>273</v>
      </c>
      <c r="I30" s="60">
        <f>52+32</f>
        <v>84</v>
      </c>
      <c r="J30" s="60">
        <v>189</v>
      </c>
      <c r="K30" s="65" t="s">
        <v>62</v>
      </c>
      <c r="L30" s="66" t="s">
        <v>190</v>
      </c>
      <c r="M30" s="55"/>
      <c r="N30" s="69"/>
    </row>
    <row r="31" spans="1:14" ht="13.5" thickBot="1" x14ac:dyDescent="0.25">
      <c r="A31" s="55"/>
      <c r="B31" s="60">
        <f t="shared" si="1"/>
        <v>184</v>
      </c>
      <c r="C31" s="60">
        <f t="shared" si="4"/>
        <v>77</v>
      </c>
      <c r="D31" s="60">
        <f t="shared" si="4"/>
        <v>107</v>
      </c>
      <c r="E31" s="60">
        <f t="shared" si="2"/>
        <v>0</v>
      </c>
      <c r="F31" s="60">
        <v>0</v>
      </c>
      <c r="G31" s="60">
        <v>0</v>
      </c>
      <c r="H31" s="60">
        <f t="shared" si="3"/>
        <v>184</v>
      </c>
      <c r="I31" s="60">
        <f>72+5</f>
        <v>77</v>
      </c>
      <c r="J31" s="60">
        <f>43+20+44</f>
        <v>107</v>
      </c>
      <c r="K31" s="65" t="s">
        <v>64</v>
      </c>
      <c r="L31" s="74"/>
      <c r="M31" s="55"/>
    </row>
    <row r="32" spans="1:14" ht="13.5" thickBot="1" x14ac:dyDescent="0.25">
      <c r="A32" s="55"/>
      <c r="B32" s="60">
        <f t="shared" si="1"/>
        <v>0</v>
      </c>
      <c r="C32" s="60">
        <f t="shared" si="4"/>
        <v>0</v>
      </c>
      <c r="D32" s="60">
        <f t="shared" si="4"/>
        <v>0</v>
      </c>
      <c r="E32" s="60">
        <f t="shared" si="2"/>
        <v>0</v>
      </c>
      <c r="F32" s="60">
        <v>0</v>
      </c>
      <c r="G32" s="60">
        <v>0</v>
      </c>
      <c r="H32" s="60">
        <f t="shared" si="3"/>
        <v>0</v>
      </c>
      <c r="I32" s="60">
        <v>0</v>
      </c>
      <c r="J32" s="60">
        <v>0</v>
      </c>
      <c r="K32" s="65" t="s">
        <v>61</v>
      </c>
      <c r="L32" s="66"/>
      <c r="M32" s="55"/>
      <c r="N32" s="69"/>
    </row>
    <row r="33" spans="1:14" ht="13.5" thickBot="1" x14ac:dyDescent="0.25">
      <c r="A33" s="55"/>
      <c r="B33" s="60">
        <f t="shared" si="1"/>
        <v>0</v>
      </c>
      <c r="C33" s="60">
        <f t="shared" si="4"/>
        <v>0</v>
      </c>
      <c r="D33" s="60">
        <f t="shared" si="4"/>
        <v>0</v>
      </c>
      <c r="E33" s="60">
        <f t="shared" si="2"/>
        <v>0</v>
      </c>
      <c r="F33" s="60">
        <v>0</v>
      </c>
      <c r="G33" s="60">
        <v>0</v>
      </c>
      <c r="H33" s="60">
        <f t="shared" si="3"/>
        <v>0</v>
      </c>
      <c r="I33" s="60">
        <v>0</v>
      </c>
      <c r="J33" s="60">
        <v>0</v>
      </c>
      <c r="K33" s="65" t="s">
        <v>62</v>
      </c>
      <c r="L33" s="66" t="s">
        <v>191</v>
      </c>
      <c r="M33" s="55"/>
      <c r="N33" s="69"/>
    </row>
    <row r="34" spans="1:14" ht="13.5" thickBot="1" x14ac:dyDescent="0.25">
      <c r="A34" s="55"/>
      <c r="B34" s="60">
        <f t="shared" si="1"/>
        <v>161</v>
      </c>
      <c r="C34" s="60">
        <f t="shared" si="4"/>
        <v>0</v>
      </c>
      <c r="D34" s="60">
        <f t="shared" si="4"/>
        <v>161</v>
      </c>
      <c r="E34" s="60">
        <f t="shared" si="2"/>
        <v>0</v>
      </c>
      <c r="F34" s="60">
        <v>0</v>
      </c>
      <c r="G34" s="60">
        <v>0</v>
      </c>
      <c r="H34" s="60">
        <f t="shared" si="3"/>
        <v>161</v>
      </c>
      <c r="I34" s="60">
        <v>0</v>
      </c>
      <c r="J34" s="60">
        <f>117+44</f>
        <v>161</v>
      </c>
      <c r="K34" s="65" t="s">
        <v>64</v>
      </c>
      <c r="L34" s="74"/>
      <c r="M34" s="55"/>
    </row>
    <row r="35" spans="1:14" ht="13.5" thickBot="1" x14ac:dyDescent="0.25">
      <c r="A35" s="55"/>
      <c r="B35" s="60">
        <f t="shared" si="1"/>
        <v>17</v>
      </c>
      <c r="C35" s="60">
        <f t="shared" si="4"/>
        <v>4</v>
      </c>
      <c r="D35" s="60">
        <f t="shared" si="4"/>
        <v>13</v>
      </c>
      <c r="E35" s="60">
        <f t="shared" si="2"/>
        <v>0</v>
      </c>
      <c r="F35" s="60">
        <v>0</v>
      </c>
      <c r="G35" s="60">
        <v>0</v>
      </c>
      <c r="H35" s="60">
        <f t="shared" si="3"/>
        <v>17</v>
      </c>
      <c r="I35" s="60">
        <v>4</v>
      </c>
      <c r="J35" s="60">
        <v>13</v>
      </c>
      <c r="K35" s="65" t="s">
        <v>61</v>
      </c>
      <c r="L35" s="66"/>
      <c r="M35" s="55"/>
      <c r="N35" s="69"/>
    </row>
    <row r="36" spans="1:14" ht="13.5" thickBot="1" x14ac:dyDescent="0.25">
      <c r="A36" s="55"/>
      <c r="B36" s="60">
        <f t="shared" si="1"/>
        <v>111</v>
      </c>
      <c r="C36" s="60">
        <f t="shared" si="4"/>
        <v>49</v>
      </c>
      <c r="D36" s="60">
        <f t="shared" si="4"/>
        <v>62</v>
      </c>
      <c r="E36" s="60">
        <f t="shared" si="2"/>
        <v>13</v>
      </c>
      <c r="F36" s="60">
        <v>8</v>
      </c>
      <c r="G36" s="60">
        <v>5</v>
      </c>
      <c r="H36" s="60">
        <f t="shared" si="3"/>
        <v>98</v>
      </c>
      <c r="I36" s="60">
        <v>41</v>
      </c>
      <c r="J36" s="60">
        <v>57</v>
      </c>
      <c r="K36" s="65" t="s">
        <v>62</v>
      </c>
      <c r="L36" s="66" t="s">
        <v>192</v>
      </c>
      <c r="M36" s="55"/>
      <c r="N36" s="69"/>
    </row>
    <row r="37" spans="1:14" ht="13.5" thickBot="1" x14ac:dyDescent="0.25">
      <c r="A37" s="55"/>
      <c r="B37" s="60">
        <f t="shared" si="1"/>
        <v>0</v>
      </c>
      <c r="C37" s="60">
        <f t="shared" si="4"/>
        <v>0</v>
      </c>
      <c r="D37" s="60">
        <f t="shared" si="4"/>
        <v>0</v>
      </c>
      <c r="E37" s="60">
        <f t="shared" si="2"/>
        <v>0</v>
      </c>
      <c r="F37" s="60">
        <v>0</v>
      </c>
      <c r="G37" s="60">
        <v>0</v>
      </c>
      <c r="H37" s="60">
        <f t="shared" si="3"/>
        <v>0</v>
      </c>
      <c r="I37" s="60">
        <v>0</v>
      </c>
      <c r="J37" s="60">
        <v>0</v>
      </c>
      <c r="K37" s="65" t="s">
        <v>64</v>
      </c>
      <c r="L37" s="74"/>
      <c r="M37" s="55"/>
    </row>
    <row r="38" spans="1:14" ht="13.5" thickBot="1" x14ac:dyDescent="0.25">
      <c r="A38" s="55"/>
      <c r="B38" s="60">
        <f t="shared" si="1"/>
        <v>5</v>
      </c>
      <c r="C38" s="60">
        <f t="shared" si="4"/>
        <v>2</v>
      </c>
      <c r="D38" s="60">
        <f t="shared" si="4"/>
        <v>3</v>
      </c>
      <c r="E38" s="60">
        <f t="shared" si="2"/>
        <v>3</v>
      </c>
      <c r="F38" s="60">
        <v>0</v>
      </c>
      <c r="G38" s="60">
        <v>3</v>
      </c>
      <c r="H38" s="60">
        <f t="shared" si="3"/>
        <v>2</v>
      </c>
      <c r="I38" s="60">
        <v>2</v>
      </c>
      <c r="J38" s="60">
        <v>0</v>
      </c>
      <c r="K38" s="65" t="s">
        <v>61</v>
      </c>
      <c r="L38" s="66"/>
      <c r="M38" s="55"/>
      <c r="N38" s="69"/>
    </row>
    <row r="39" spans="1:14" ht="13.5" thickBot="1" x14ac:dyDescent="0.25">
      <c r="A39" s="55"/>
      <c r="B39" s="60">
        <f t="shared" si="1"/>
        <v>60</v>
      </c>
      <c r="C39" s="60">
        <f t="shared" si="4"/>
        <v>18</v>
      </c>
      <c r="D39" s="60">
        <f t="shared" si="4"/>
        <v>42</v>
      </c>
      <c r="E39" s="60">
        <f t="shared" si="2"/>
        <v>16</v>
      </c>
      <c r="F39" s="60">
        <v>2</v>
      </c>
      <c r="G39" s="60">
        <f>20-6</f>
        <v>14</v>
      </c>
      <c r="H39" s="60">
        <f t="shared" si="3"/>
        <v>44</v>
      </c>
      <c r="I39" s="60">
        <v>16</v>
      </c>
      <c r="J39" s="60">
        <v>28</v>
      </c>
      <c r="K39" s="65" t="s">
        <v>62</v>
      </c>
      <c r="L39" s="66" t="s">
        <v>193</v>
      </c>
      <c r="M39" s="55"/>
      <c r="N39" s="69"/>
    </row>
    <row r="40" spans="1:14" ht="13.5" thickBot="1" x14ac:dyDescent="0.25">
      <c r="A40" s="55"/>
      <c r="B40" s="60">
        <f t="shared" si="1"/>
        <v>0</v>
      </c>
      <c r="C40" s="60">
        <f t="shared" si="4"/>
        <v>0</v>
      </c>
      <c r="D40" s="60">
        <f t="shared" si="4"/>
        <v>0</v>
      </c>
      <c r="E40" s="60">
        <f t="shared" si="2"/>
        <v>0</v>
      </c>
      <c r="F40" s="60">
        <v>0</v>
      </c>
      <c r="G40" s="60">
        <v>0</v>
      </c>
      <c r="H40" s="60">
        <f t="shared" si="3"/>
        <v>0</v>
      </c>
      <c r="I40" s="60">
        <v>0</v>
      </c>
      <c r="J40" s="60">
        <v>0</v>
      </c>
      <c r="K40" s="65" t="s">
        <v>64</v>
      </c>
      <c r="L40" s="74"/>
      <c r="M40" s="55"/>
    </row>
    <row r="41" spans="1:14" ht="13.5" thickBot="1" x14ac:dyDescent="0.25">
      <c r="A41" s="55"/>
      <c r="B41" s="60">
        <f t="shared" si="1"/>
        <v>2</v>
      </c>
      <c r="C41" s="60">
        <f t="shared" si="4"/>
        <v>2</v>
      </c>
      <c r="D41" s="60">
        <f t="shared" si="4"/>
        <v>0</v>
      </c>
      <c r="E41" s="60">
        <f t="shared" si="2"/>
        <v>0</v>
      </c>
      <c r="F41" s="60">
        <v>0</v>
      </c>
      <c r="G41" s="60">
        <v>0</v>
      </c>
      <c r="H41" s="60">
        <f t="shared" si="3"/>
        <v>2</v>
      </c>
      <c r="I41" s="60">
        <v>2</v>
      </c>
      <c r="J41" s="60">
        <v>0</v>
      </c>
      <c r="K41" s="65" t="s">
        <v>61</v>
      </c>
      <c r="L41" s="66"/>
      <c r="M41" s="55"/>
      <c r="N41" s="69"/>
    </row>
    <row r="42" spans="1:14" ht="13.5" thickBot="1" x14ac:dyDescent="0.25">
      <c r="A42" s="55"/>
      <c r="B42" s="60">
        <f t="shared" si="1"/>
        <v>48</v>
      </c>
      <c r="C42" s="60">
        <f t="shared" si="4"/>
        <v>25</v>
      </c>
      <c r="D42" s="60">
        <f t="shared" si="4"/>
        <v>23</v>
      </c>
      <c r="E42" s="60">
        <f t="shared" si="2"/>
        <v>5</v>
      </c>
      <c r="F42" s="60">
        <f>1+1</f>
        <v>2</v>
      </c>
      <c r="G42" s="60">
        <v>3</v>
      </c>
      <c r="H42" s="60">
        <f t="shared" si="3"/>
        <v>43</v>
      </c>
      <c r="I42" s="60">
        <v>23</v>
      </c>
      <c r="J42" s="60">
        <v>20</v>
      </c>
      <c r="K42" s="65" t="s">
        <v>62</v>
      </c>
      <c r="L42" s="66" t="s">
        <v>194</v>
      </c>
      <c r="M42" s="55"/>
      <c r="N42" s="69"/>
    </row>
    <row r="43" spans="1:14" ht="13.5" thickBot="1" x14ac:dyDescent="0.25">
      <c r="A43" s="55"/>
      <c r="B43" s="60">
        <f t="shared" si="1"/>
        <v>0</v>
      </c>
      <c r="C43" s="60">
        <f t="shared" si="4"/>
        <v>0</v>
      </c>
      <c r="D43" s="60">
        <f t="shared" si="4"/>
        <v>0</v>
      </c>
      <c r="E43" s="60">
        <f t="shared" si="2"/>
        <v>0</v>
      </c>
      <c r="F43" s="60">
        <v>0</v>
      </c>
      <c r="G43" s="60">
        <v>0</v>
      </c>
      <c r="H43" s="60">
        <f t="shared" si="3"/>
        <v>0</v>
      </c>
      <c r="I43" s="60">
        <v>0</v>
      </c>
      <c r="J43" s="60">
        <v>0</v>
      </c>
      <c r="K43" s="65" t="s">
        <v>64</v>
      </c>
      <c r="L43" s="74"/>
      <c r="M43" s="55"/>
    </row>
    <row r="44" spans="1:14" ht="13.5" thickBot="1" x14ac:dyDescent="0.25">
      <c r="A44" s="55"/>
      <c r="B44" s="60">
        <f t="shared" si="1"/>
        <v>1</v>
      </c>
      <c r="C44" s="60">
        <f t="shared" si="4"/>
        <v>0</v>
      </c>
      <c r="D44" s="60">
        <f t="shared" si="4"/>
        <v>1</v>
      </c>
      <c r="E44" s="60">
        <f t="shared" si="2"/>
        <v>1</v>
      </c>
      <c r="F44" s="60">
        <v>0</v>
      </c>
      <c r="G44" s="60">
        <v>1</v>
      </c>
      <c r="H44" s="60">
        <f t="shared" si="3"/>
        <v>0</v>
      </c>
      <c r="I44" s="60">
        <v>0</v>
      </c>
      <c r="J44" s="60">
        <v>0</v>
      </c>
      <c r="K44" s="65" t="s">
        <v>61</v>
      </c>
      <c r="L44" s="66"/>
      <c r="M44" s="55"/>
      <c r="N44" s="69"/>
    </row>
    <row r="45" spans="1:14" ht="13.5" thickBot="1" x14ac:dyDescent="0.25">
      <c r="A45" s="55"/>
      <c r="B45" s="60">
        <f t="shared" si="1"/>
        <v>62</v>
      </c>
      <c r="C45" s="60">
        <f t="shared" si="4"/>
        <v>8</v>
      </c>
      <c r="D45" s="60">
        <f t="shared" si="4"/>
        <v>54</v>
      </c>
      <c r="E45" s="60">
        <f t="shared" si="2"/>
        <v>26</v>
      </c>
      <c r="F45" s="60">
        <v>0</v>
      </c>
      <c r="G45" s="60">
        <v>26</v>
      </c>
      <c r="H45" s="60">
        <f t="shared" si="3"/>
        <v>36</v>
      </c>
      <c r="I45" s="60">
        <v>8</v>
      </c>
      <c r="J45" s="60">
        <v>28</v>
      </c>
      <c r="K45" s="65" t="s">
        <v>62</v>
      </c>
      <c r="L45" s="66" t="s">
        <v>195</v>
      </c>
      <c r="M45" s="55"/>
      <c r="N45" s="69"/>
    </row>
    <row r="46" spans="1:14" ht="13.5" thickBot="1" x14ac:dyDescent="0.25">
      <c r="A46" s="55"/>
      <c r="B46" s="60">
        <f t="shared" si="1"/>
        <v>0</v>
      </c>
      <c r="C46" s="60">
        <f t="shared" si="4"/>
        <v>0</v>
      </c>
      <c r="D46" s="60">
        <f t="shared" si="4"/>
        <v>0</v>
      </c>
      <c r="E46" s="60">
        <f t="shared" si="2"/>
        <v>0</v>
      </c>
      <c r="F46" s="60">
        <v>0</v>
      </c>
      <c r="G46" s="60">
        <v>0</v>
      </c>
      <c r="H46" s="60">
        <f t="shared" si="3"/>
        <v>0</v>
      </c>
      <c r="I46" s="60">
        <v>0</v>
      </c>
      <c r="J46" s="60">
        <v>0</v>
      </c>
      <c r="K46" s="65" t="s">
        <v>64</v>
      </c>
      <c r="L46" s="74"/>
      <c r="M46" s="55"/>
    </row>
    <row r="47" spans="1:14" ht="13.5" thickBot="1" x14ac:dyDescent="0.25">
      <c r="A47" s="55"/>
      <c r="B47" s="60">
        <f t="shared" si="1"/>
        <v>15</v>
      </c>
      <c r="C47" s="60">
        <f t="shared" si="4"/>
        <v>0</v>
      </c>
      <c r="D47" s="60">
        <f t="shared" si="4"/>
        <v>15</v>
      </c>
      <c r="E47" s="60">
        <f t="shared" si="2"/>
        <v>5</v>
      </c>
      <c r="F47" s="60">
        <v>0</v>
      </c>
      <c r="G47" s="60">
        <v>5</v>
      </c>
      <c r="H47" s="60">
        <f t="shared" si="3"/>
        <v>10</v>
      </c>
      <c r="I47" s="60">
        <v>0</v>
      </c>
      <c r="J47" s="60">
        <v>10</v>
      </c>
      <c r="K47" s="65" t="s">
        <v>61</v>
      </c>
      <c r="L47" s="66"/>
      <c r="M47" s="55"/>
      <c r="N47" s="69"/>
    </row>
    <row r="48" spans="1:14" ht="13.5" thickBot="1" x14ac:dyDescent="0.25">
      <c r="A48" s="55"/>
      <c r="B48" s="60">
        <f t="shared" si="1"/>
        <v>125</v>
      </c>
      <c r="C48" s="60">
        <f t="shared" si="4"/>
        <v>0</v>
      </c>
      <c r="D48" s="60">
        <f t="shared" si="4"/>
        <v>125</v>
      </c>
      <c r="E48" s="60">
        <f t="shared" si="2"/>
        <v>35</v>
      </c>
      <c r="F48" s="60">
        <v>0</v>
      </c>
      <c r="G48" s="60">
        <v>35</v>
      </c>
      <c r="H48" s="60">
        <f t="shared" si="3"/>
        <v>90</v>
      </c>
      <c r="I48" s="60">
        <v>0</v>
      </c>
      <c r="J48" s="60">
        <v>90</v>
      </c>
      <c r="K48" s="65" t="s">
        <v>62</v>
      </c>
      <c r="L48" s="66" t="s">
        <v>196</v>
      </c>
      <c r="M48" s="55"/>
      <c r="N48" s="69"/>
    </row>
    <row r="49" spans="1:14" ht="13.5" thickBot="1" x14ac:dyDescent="0.25">
      <c r="A49" s="55"/>
      <c r="B49" s="60">
        <f t="shared" si="1"/>
        <v>0</v>
      </c>
      <c r="C49" s="60">
        <f t="shared" si="4"/>
        <v>0</v>
      </c>
      <c r="D49" s="60">
        <f t="shared" si="4"/>
        <v>0</v>
      </c>
      <c r="E49" s="60">
        <f t="shared" si="2"/>
        <v>0</v>
      </c>
      <c r="F49" s="60">
        <v>0</v>
      </c>
      <c r="G49" s="60">
        <v>0</v>
      </c>
      <c r="H49" s="60">
        <f t="shared" si="3"/>
        <v>0</v>
      </c>
      <c r="I49" s="60">
        <v>0</v>
      </c>
      <c r="J49" s="60">
        <v>0</v>
      </c>
      <c r="K49" s="65" t="s">
        <v>64</v>
      </c>
      <c r="L49" s="74"/>
      <c r="M49" s="55"/>
    </row>
    <row r="50" spans="1:14" ht="13.5" thickBot="1" x14ac:dyDescent="0.25">
      <c r="A50" s="55"/>
      <c r="B50" s="60">
        <f t="shared" si="1"/>
        <v>0</v>
      </c>
      <c r="C50" s="60">
        <f t="shared" si="4"/>
        <v>0</v>
      </c>
      <c r="D50" s="60">
        <f t="shared" si="4"/>
        <v>0</v>
      </c>
      <c r="E50" s="60">
        <f t="shared" si="2"/>
        <v>0</v>
      </c>
      <c r="F50" s="60">
        <v>0</v>
      </c>
      <c r="G50" s="60">
        <v>0</v>
      </c>
      <c r="H50" s="60">
        <f t="shared" si="3"/>
        <v>0</v>
      </c>
      <c r="I50" s="60">
        <v>0</v>
      </c>
      <c r="J50" s="60">
        <v>0</v>
      </c>
      <c r="K50" s="65" t="s">
        <v>61</v>
      </c>
      <c r="L50" s="66"/>
      <c r="M50" s="55"/>
      <c r="N50" s="69"/>
    </row>
    <row r="51" spans="1:14" ht="13.5" thickBot="1" x14ac:dyDescent="0.25">
      <c r="A51" s="55"/>
      <c r="B51" s="60">
        <f t="shared" si="1"/>
        <v>47</v>
      </c>
      <c r="C51" s="60">
        <f t="shared" si="4"/>
        <v>0</v>
      </c>
      <c r="D51" s="60">
        <f t="shared" si="4"/>
        <v>47</v>
      </c>
      <c r="E51" s="60">
        <f t="shared" si="2"/>
        <v>8</v>
      </c>
      <c r="F51" s="60">
        <v>0</v>
      </c>
      <c r="G51" s="60">
        <v>8</v>
      </c>
      <c r="H51" s="60">
        <f t="shared" si="3"/>
        <v>39</v>
      </c>
      <c r="I51" s="60">
        <v>0</v>
      </c>
      <c r="J51" s="60">
        <v>39</v>
      </c>
      <c r="K51" s="65" t="s">
        <v>62</v>
      </c>
      <c r="L51" s="66" t="s">
        <v>198</v>
      </c>
      <c r="M51" s="55"/>
      <c r="N51" s="69"/>
    </row>
    <row r="52" spans="1:14" ht="13.5" thickBot="1" x14ac:dyDescent="0.25">
      <c r="A52" s="55"/>
      <c r="B52" s="60">
        <f t="shared" si="1"/>
        <v>0</v>
      </c>
      <c r="C52" s="60">
        <f t="shared" si="4"/>
        <v>0</v>
      </c>
      <c r="D52" s="60">
        <f t="shared" si="4"/>
        <v>0</v>
      </c>
      <c r="E52" s="60">
        <f t="shared" si="2"/>
        <v>0</v>
      </c>
      <c r="F52" s="60">
        <v>0</v>
      </c>
      <c r="G52" s="60">
        <v>0</v>
      </c>
      <c r="H52" s="60">
        <f t="shared" si="3"/>
        <v>0</v>
      </c>
      <c r="I52" s="60">
        <v>0</v>
      </c>
      <c r="J52" s="60">
        <v>0</v>
      </c>
      <c r="K52" s="65" t="s">
        <v>64</v>
      </c>
      <c r="L52" s="74"/>
      <c r="M52" s="55"/>
    </row>
    <row r="53" spans="1:14" ht="13.5" thickBot="1" x14ac:dyDescent="0.25">
      <c r="A53" s="55"/>
      <c r="B53" s="60">
        <f t="shared" si="1"/>
        <v>0</v>
      </c>
      <c r="C53" s="60">
        <f t="shared" si="4"/>
        <v>0</v>
      </c>
      <c r="D53" s="60">
        <f t="shared" si="4"/>
        <v>0</v>
      </c>
      <c r="E53" s="60">
        <f t="shared" si="2"/>
        <v>0</v>
      </c>
      <c r="F53" s="60">
        <v>0</v>
      </c>
      <c r="G53" s="60">
        <v>0</v>
      </c>
      <c r="H53" s="60">
        <f t="shared" si="3"/>
        <v>0</v>
      </c>
      <c r="I53" s="60">
        <v>0</v>
      </c>
      <c r="J53" s="60">
        <v>0</v>
      </c>
      <c r="K53" s="65" t="s">
        <v>61</v>
      </c>
      <c r="L53" s="66"/>
      <c r="M53" s="55"/>
      <c r="N53" s="69"/>
    </row>
    <row r="54" spans="1:14" ht="13.5" thickBot="1" x14ac:dyDescent="0.25">
      <c r="A54" s="55"/>
      <c r="B54" s="60">
        <f t="shared" si="1"/>
        <v>31</v>
      </c>
      <c r="C54" s="60">
        <f t="shared" si="4"/>
        <v>2</v>
      </c>
      <c r="D54" s="60">
        <f t="shared" si="4"/>
        <v>29</v>
      </c>
      <c r="E54" s="60">
        <f t="shared" si="2"/>
        <v>3</v>
      </c>
      <c r="F54" s="60">
        <v>0</v>
      </c>
      <c r="G54" s="60">
        <v>3</v>
      </c>
      <c r="H54" s="60">
        <f t="shared" si="3"/>
        <v>28</v>
      </c>
      <c r="I54" s="60">
        <v>2</v>
      </c>
      <c r="J54" s="60">
        <v>26</v>
      </c>
      <c r="K54" s="65" t="s">
        <v>62</v>
      </c>
      <c r="L54" s="66" t="s">
        <v>199</v>
      </c>
      <c r="M54" s="55"/>
      <c r="N54" s="69"/>
    </row>
    <row r="55" spans="1:14" ht="13.5" thickBot="1" x14ac:dyDescent="0.25">
      <c r="A55" s="55"/>
      <c r="B55" s="60">
        <f t="shared" si="1"/>
        <v>0</v>
      </c>
      <c r="C55" s="60">
        <f t="shared" si="4"/>
        <v>0</v>
      </c>
      <c r="D55" s="60">
        <f t="shared" si="4"/>
        <v>0</v>
      </c>
      <c r="E55" s="60">
        <f t="shared" si="2"/>
        <v>0</v>
      </c>
      <c r="F55" s="60">
        <v>0</v>
      </c>
      <c r="G55" s="60">
        <v>0</v>
      </c>
      <c r="H55" s="60">
        <f t="shared" si="3"/>
        <v>0</v>
      </c>
      <c r="I55" s="60">
        <v>0</v>
      </c>
      <c r="J55" s="60">
        <v>0</v>
      </c>
      <c r="K55" s="65" t="s">
        <v>64</v>
      </c>
      <c r="L55" s="74"/>
      <c r="M55" s="55"/>
    </row>
    <row r="56" spans="1:14" ht="13.5" thickBot="1" x14ac:dyDescent="0.25">
      <c r="A56" s="55"/>
      <c r="B56" s="60">
        <f t="shared" si="1"/>
        <v>17</v>
      </c>
      <c r="C56" s="60">
        <f t="shared" si="4"/>
        <v>9</v>
      </c>
      <c r="D56" s="60">
        <f t="shared" si="4"/>
        <v>8</v>
      </c>
      <c r="E56" s="60">
        <f t="shared" si="2"/>
        <v>0</v>
      </c>
      <c r="F56" s="60">
        <v>0</v>
      </c>
      <c r="G56" s="60">
        <v>0</v>
      </c>
      <c r="H56" s="60">
        <f t="shared" si="3"/>
        <v>17</v>
      </c>
      <c r="I56" s="60">
        <f>15-5-1</f>
        <v>9</v>
      </c>
      <c r="J56" s="60">
        <v>8</v>
      </c>
      <c r="K56" s="65" t="s">
        <v>61</v>
      </c>
      <c r="L56" s="66"/>
      <c r="M56" s="55"/>
      <c r="N56" s="69"/>
    </row>
    <row r="57" spans="1:14" ht="13.5" thickBot="1" x14ac:dyDescent="0.25">
      <c r="A57" s="55"/>
      <c r="B57" s="60">
        <f t="shared" si="1"/>
        <v>127</v>
      </c>
      <c r="C57" s="60">
        <f t="shared" si="4"/>
        <v>47</v>
      </c>
      <c r="D57" s="60">
        <f t="shared" si="4"/>
        <v>80</v>
      </c>
      <c r="E57" s="60">
        <f t="shared" si="2"/>
        <v>1</v>
      </c>
      <c r="F57" s="60">
        <v>0</v>
      </c>
      <c r="G57" s="60">
        <v>1</v>
      </c>
      <c r="H57" s="60">
        <f t="shared" si="3"/>
        <v>126</v>
      </c>
      <c r="I57" s="60">
        <v>47</v>
      </c>
      <c r="J57" s="60">
        <v>79</v>
      </c>
      <c r="K57" s="65" t="s">
        <v>62</v>
      </c>
      <c r="L57" s="66" t="s">
        <v>201</v>
      </c>
      <c r="M57" s="55"/>
      <c r="N57" s="69"/>
    </row>
    <row r="58" spans="1:14" ht="13.5" thickBot="1" x14ac:dyDescent="0.25">
      <c r="A58" s="55"/>
      <c r="B58" s="60">
        <f t="shared" si="1"/>
        <v>0</v>
      </c>
      <c r="C58" s="60">
        <f t="shared" si="4"/>
        <v>0</v>
      </c>
      <c r="D58" s="60">
        <f t="shared" si="4"/>
        <v>0</v>
      </c>
      <c r="E58" s="60">
        <f t="shared" si="2"/>
        <v>0</v>
      </c>
      <c r="F58" s="60">
        <v>0</v>
      </c>
      <c r="G58" s="60">
        <v>0</v>
      </c>
      <c r="H58" s="60">
        <f t="shared" si="3"/>
        <v>0</v>
      </c>
      <c r="I58" s="60">
        <v>0</v>
      </c>
      <c r="J58" s="60">
        <v>0</v>
      </c>
      <c r="K58" s="65" t="s">
        <v>64</v>
      </c>
      <c r="L58" s="74"/>
      <c r="M58" s="55"/>
    </row>
    <row r="59" spans="1:14" ht="13.5" thickBot="1" x14ac:dyDescent="0.25">
      <c r="A59" s="55"/>
      <c r="B59" s="60">
        <f t="shared" si="1"/>
        <v>4</v>
      </c>
      <c r="C59" s="60">
        <f t="shared" si="4"/>
        <v>4</v>
      </c>
      <c r="D59" s="60">
        <f t="shared" si="4"/>
        <v>0</v>
      </c>
      <c r="E59" s="60">
        <f t="shared" si="2"/>
        <v>0</v>
      </c>
      <c r="F59" s="60">
        <v>0</v>
      </c>
      <c r="G59" s="60">
        <v>0</v>
      </c>
      <c r="H59" s="60">
        <f t="shared" si="3"/>
        <v>4</v>
      </c>
      <c r="I59" s="60">
        <f>7-3</f>
        <v>4</v>
      </c>
      <c r="J59" s="60">
        <v>0</v>
      </c>
      <c r="K59" s="65" t="s">
        <v>61</v>
      </c>
      <c r="L59" s="66"/>
      <c r="M59" s="55"/>
      <c r="N59" s="69"/>
    </row>
    <row r="60" spans="1:14" ht="13.5" thickBot="1" x14ac:dyDescent="0.25">
      <c r="A60" s="55"/>
      <c r="B60" s="60">
        <f t="shared" si="1"/>
        <v>33</v>
      </c>
      <c r="C60" s="60">
        <f t="shared" si="4"/>
        <v>23</v>
      </c>
      <c r="D60" s="60">
        <f t="shared" si="4"/>
        <v>10</v>
      </c>
      <c r="E60" s="60">
        <f t="shared" si="2"/>
        <v>1</v>
      </c>
      <c r="F60" s="60">
        <v>1</v>
      </c>
      <c r="G60" s="60">
        <v>0</v>
      </c>
      <c r="H60" s="60">
        <f t="shared" si="3"/>
        <v>32</v>
      </c>
      <c r="I60" s="60">
        <v>22</v>
      </c>
      <c r="J60" s="60">
        <v>10</v>
      </c>
      <c r="K60" s="65" t="s">
        <v>62</v>
      </c>
      <c r="L60" s="66" t="s">
        <v>202</v>
      </c>
      <c r="M60" s="55"/>
      <c r="N60" s="69"/>
    </row>
    <row r="61" spans="1:14" ht="13.5" thickBot="1" x14ac:dyDescent="0.25">
      <c r="A61" s="55"/>
      <c r="B61" s="60">
        <f t="shared" si="1"/>
        <v>83</v>
      </c>
      <c r="C61" s="60">
        <f t="shared" si="4"/>
        <v>66</v>
      </c>
      <c r="D61" s="60">
        <f t="shared" si="4"/>
        <v>17</v>
      </c>
      <c r="E61" s="60">
        <f t="shared" si="2"/>
        <v>0</v>
      </c>
      <c r="F61" s="60">
        <v>0</v>
      </c>
      <c r="G61" s="60">
        <v>0</v>
      </c>
      <c r="H61" s="60">
        <f t="shared" si="3"/>
        <v>83</v>
      </c>
      <c r="I61" s="60">
        <f>48+18</f>
        <v>66</v>
      </c>
      <c r="J61" s="60">
        <f>7+10</f>
        <v>17</v>
      </c>
      <c r="K61" s="65" t="s">
        <v>64</v>
      </c>
      <c r="L61" s="74"/>
      <c r="M61" s="55"/>
    </row>
    <row r="62" spans="1:14" ht="13.5" thickBot="1" x14ac:dyDescent="0.25">
      <c r="A62" s="55"/>
      <c r="B62" s="60">
        <f t="shared" ref="B62:J64" si="5">B5+B8+B11+B14+B17+B20+B23+B26+B29+B32+B35+B38+B41+B44+B47+B50+B53+B56+B59</f>
        <v>345</v>
      </c>
      <c r="C62" s="60">
        <f t="shared" si="5"/>
        <v>83</v>
      </c>
      <c r="D62" s="60">
        <f t="shared" si="5"/>
        <v>262</v>
      </c>
      <c r="E62" s="60">
        <f t="shared" si="5"/>
        <v>29</v>
      </c>
      <c r="F62" s="60">
        <f t="shared" si="5"/>
        <v>0</v>
      </c>
      <c r="G62" s="60">
        <f t="shared" si="5"/>
        <v>29</v>
      </c>
      <c r="H62" s="60">
        <f t="shared" si="5"/>
        <v>316</v>
      </c>
      <c r="I62" s="60">
        <f t="shared" si="5"/>
        <v>83</v>
      </c>
      <c r="J62" s="60">
        <f>J5+J8+J11+J14+J17+J20+J23+J26+J29+J32+J35+J38+J41+J44+J47+J50+J53+J56+J59</f>
        <v>233</v>
      </c>
      <c r="K62" s="65" t="s">
        <v>231</v>
      </c>
      <c r="L62" s="57"/>
      <c r="M62" s="55"/>
    </row>
    <row r="63" spans="1:14" ht="13.5" thickBot="1" x14ac:dyDescent="0.25">
      <c r="A63" s="55"/>
      <c r="B63" s="60">
        <f t="shared" si="5"/>
        <v>1975</v>
      </c>
      <c r="C63" s="60">
        <f t="shared" si="5"/>
        <v>594</v>
      </c>
      <c r="D63" s="60">
        <f t="shared" si="5"/>
        <v>1381</v>
      </c>
      <c r="E63" s="60">
        <f t="shared" si="5"/>
        <v>196</v>
      </c>
      <c r="F63" s="60">
        <f t="shared" si="5"/>
        <v>25</v>
      </c>
      <c r="G63" s="60">
        <f t="shared" si="5"/>
        <v>171</v>
      </c>
      <c r="H63" s="60">
        <f t="shared" si="5"/>
        <v>1779</v>
      </c>
      <c r="I63" s="60">
        <f t="shared" si="5"/>
        <v>569</v>
      </c>
      <c r="J63" s="60">
        <f t="shared" si="5"/>
        <v>1210</v>
      </c>
      <c r="K63" s="65" t="s">
        <v>62</v>
      </c>
      <c r="L63" s="68" t="s">
        <v>232</v>
      </c>
      <c r="M63" s="55"/>
    </row>
    <row r="64" spans="1:14" ht="13.5" thickBot="1" x14ac:dyDescent="0.25">
      <c r="A64" s="55"/>
      <c r="B64" s="60">
        <f t="shared" si="5"/>
        <v>1719</v>
      </c>
      <c r="C64" s="60">
        <f t="shared" si="5"/>
        <v>344</v>
      </c>
      <c r="D64" s="60">
        <f t="shared" si="5"/>
        <v>1375</v>
      </c>
      <c r="E64" s="60">
        <f t="shared" si="5"/>
        <v>199</v>
      </c>
      <c r="F64" s="60">
        <f t="shared" si="5"/>
        <v>7</v>
      </c>
      <c r="G64" s="60">
        <f t="shared" si="5"/>
        <v>192</v>
      </c>
      <c r="H64" s="60">
        <f t="shared" si="5"/>
        <v>1520</v>
      </c>
      <c r="I64" s="60">
        <f t="shared" si="5"/>
        <v>337</v>
      </c>
      <c r="J64" s="60">
        <f t="shared" si="5"/>
        <v>1183</v>
      </c>
      <c r="K64" s="65" t="s">
        <v>64</v>
      </c>
      <c r="L64" s="59"/>
      <c r="M64" s="55"/>
    </row>
    <row r="65" spans="1:13" ht="13.5" thickBot="1" x14ac:dyDescent="0.25">
      <c r="A65" s="55"/>
      <c r="B65" s="60">
        <f t="shared" ref="B65:I65" si="6">SUM(B62:B64)</f>
        <v>4039</v>
      </c>
      <c r="C65" s="60">
        <f t="shared" si="6"/>
        <v>1021</v>
      </c>
      <c r="D65" s="60">
        <f t="shared" si="6"/>
        <v>3018</v>
      </c>
      <c r="E65" s="60">
        <f t="shared" si="6"/>
        <v>424</v>
      </c>
      <c r="F65" s="60">
        <f t="shared" si="6"/>
        <v>32</v>
      </c>
      <c r="G65" s="60">
        <f t="shared" si="6"/>
        <v>392</v>
      </c>
      <c r="H65" s="60">
        <f t="shared" si="6"/>
        <v>3615</v>
      </c>
      <c r="I65" s="60">
        <f t="shared" si="6"/>
        <v>989</v>
      </c>
      <c r="J65" s="60">
        <f>SUM(J62:J64)</f>
        <v>2626</v>
      </c>
      <c r="K65" s="184" t="s">
        <v>233</v>
      </c>
      <c r="L65" s="184"/>
      <c r="M65" s="55"/>
    </row>
    <row r="67" spans="1:13" x14ac:dyDescent="0.2">
      <c r="B67" s="105"/>
      <c r="C67" s="105"/>
      <c r="D67" s="105"/>
      <c r="E67" s="105"/>
      <c r="F67" s="105"/>
      <c r="G67" s="105"/>
      <c r="H67" s="105"/>
      <c r="I67" s="105"/>
      <c r="J67" s="105"/>
    </row>
    <row r="68" spans="1:13" x14ac:dyDescent="0.2">
      <c r="B68" s="105"/>
      <c r="C68" s="105"/>
      <c r="D68" s="105"/>
      <c r="E68" s="105"/>
      <c r="F68" s="105"/>
      <c r="G68" s="105"/>
      <c r="H68" s="105"/>
      <c r="I68" s="105"/>
      <c r="J68" s="105"/>
    </row>
    <row r="69" spans="1:13" x14ac:dyDescent="0.2">
      <c r="B69" s="105"/>
      <c r="C69" s="105"/>
      <c r="D69" s="105"/>
      <c r="E69" s="105"/>
      <c r="F69" s="105"/>
      <c r="G69" s="105"/>
      <c r="H69" s="105"/>
      <c r="I69" s="105"/>
      <c r="J69" s="105"/>
    </row>
    <row r="70" spans="1:13" x14ac:dyDescent="0.2">
      <c r="B70" s="118"/>
      <c r="C70" s="118"/>
      <c r="D70" s="118"/>
      <c r="E70" s="118"/>
      <c r="F70" s="118"/>
      <c r="G70" s="118"/>
      <c r="H70" s="118"/>
      <c r="I70" s="118"/>
      <c r="J70" s="118"/>
    </row>
    <row r="71" spans="1:13" x14ac:dyDescent="0.2">
      <c r="B71" s="105"/>
      <c r="C71" s="105"/>
      <c r="D71" s="105"/>
      <c r="E71" s="105"/>
      <c r="F71" s="105"/>
      <c r="G71" s="105"/>
      <c r="H71" s="105"/>
      <c r="I71" s="105"/>
      <c r="J71" s="105"/>
    </row>
    <row r="72" spans="1:13" x14ac:dyDescent="0.2">
      <c r="B72" s="106"/>
      <c r="C72" s="106"/>
      <c r="D72" s="106"/>
      <c r="E72" s="106"/>
      <c r="F72" s="106"/>
      <c r="G72" s="106"/>
      <c r="H72" s="106"/>
      <c r="I72" s="106"/>
      <c r="J72" s="106"/>
    </row>
    <row r="73" spans="1:13" x14ac:dyDescent="0.2">
      <c r="B73" s="106"/>
      <c r="C73" s="106"/>
      <c r="D73" s="106"/>
      <c r="E73" s="106"/>
      <c r="F73" s="106"/>
      <c r="G73" s="106"/>
      <c r="H73" s="106"/>
      <c r="I73" s="106"/>
      <c r="J73" s="106"/>
    </row>
    <row r="74" spans="1:13" x14ac:dyDescent="0.2">
      <c r="B74" s="106"/>
      <c r="C74" s="106"/>
      <c r="D74" s="106"/>
      <c r="E74" s="106"/>
      <c r="F74" s="106"/>
      <c r="G74" s="106"/>
      <c r="H74" s="106"/>
      <c r="I74" s="106"/>
      <c r="J74" s="106"/>
    </row>
    <row r="75" spans="1:13" x14ac:dyDescent="0.2">
      <c r="B75" s="106"/>
      <c r="C75" s="106"/>
      <c r="D75" s="106"/>
      <c r="E75" s="106"/>
      <c r="F75" s="106"/>
      <c r="G75" s="106"/>
      <c r="H75" s="106"/>
      <c r="I75" s="106"/>
      <c r="J75" s="106"/>
    </row>
    <row r="76" spans="1:13" x14ac:dyDescent="0.2">
      <c r="B76" s="106"/>
      <c r="C76" s="106"/>
      <c r="D76" s="106"/>
      <c r="E76" s="106"/>
      <c r="F76" s="106"/>
      <c r="G76" s="106"/>
      <c r="H76" s="106"/>
      <c r="I76" s="106"/>
      <c r="J76" s="106"/>
    </row>
    <row r="77" spans="1:13" x14ac:dyDescent="0.2">
      <c r="B77" s="106"/>
      <c r="C77" s="106"/>
      <c r="D77" s="106"/>
      <c r="E77" s="106"/>
      <c r="F77" s="106"/>
      <c r="G77" s="106"/>
      <c r="H77" s="106"/>
      <c r="I77" s="106"/>
      <c r="J77" s="106"/>
    </row>
    <row r="78" spans="1:13" x14ac:dyDescent="0.2">
      <c r="B78" s="109"/>
      <c r="C78" s="109"/>
      <c r="D78" s="109"/>
      <c r="E78" s="109"/>
      <c r="F78" s="109"/>
      <c r="G78" s="109"/>
      <c r="H78" s="109"/>
      <c r="I78" s="109"/>
      <c r="J78" s="109"/>
    </row>
    <row r="83" spans="6:6" x14ac:dyDescent="0.2">
      <c r="F83" s="56" t="s">
        <v>592</v>
      </c>
    </row>
  </sheetData>
  <mergeCells count="8">
    <mergeCell ref="K4:L4"/>
    <mergeCell ref="K65:L65"/>
    <mergeCell ref="B1:L1"/>
    <mergeCell ref="B2:L2"/>
    <mergeCell ref="B3:D3"/>
    <mergeCell ref="E3:G3"/>
    <mergeCell ref="H3:J3"/>
    <mergeCell ref="K3:L3"/>
  </mergeCells>
  <pageMargins left="0.4" right="0.4" top="0.25" bottom="0.25" header="0.25" footer="0.25"/>
  <pageSetup paperSize="9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243"/>
  <sheetViews>
    <sheetView showGridLines="0" workbookViewId="0">
      <selection activeCell="N3" sqref="N3"/>
    </sheetView>
  </sheetViews>
  <sheetFormatPr defaultRowHeight="12.75" customHeight="1" x14ac:dyDescent="0.2"/>
  <cols>
    <col min="1" max="9" width="6.75" style="56" customWidth="1"/>
    <col min="10" max="10" width="33.875" style="56" customWidth="1"/>
    <col min="11" max="11" width="8.75" style="82" customWidth="1"/>
    <col min="12" max="13" width="9" style="82"/>
    <col min="14" max="256" width="9" style="56"/>
    <col min="257" max="265" width="6.75" style="56" customWidth="1"/>
    <col min="266" max="266" width="33.875" style="56" customWidth="1"/>
    <col min="267" max="267" width="2.625" style="56" customWidth="1"/>
    <col min="268" max="512" width="9" style="56"/>
    <col min="513" max="521" width="6.75" style="56" customWidth="1"/>
    <col min="522" max="522" width="33.875" style="56" customWidth="1"/>
    <col min="523" max="523" width="2.625" style="56" customWidth="1"/>
    <col min="524" max="768" width="9" style="56"/>
    <col min="769" max="777" width="6.75" style="56" customWidth="1"/>
    <col min="778" max="778" width="33.875" style="56" customWidth="1"/>
    <col min="779" max="779" width="2.625" style="56" customWidth="1"/>
    <col min="780" max="1024" width="9" style="56"/>
    <col min="1025" max="1033" width="6.75" style="56" customWidth="1"/>
    <col min="1034" max="1034" width="33.875" style="56" customWidth="1"/>
    <col min="1035" max="1035" width="2.625" style="56" customWidth="1"/>
    <col min="1036" max="1280" width="9" style="56"/>
    <col min="1281" max="1289" width="6.75" style="56" customWidth="1"/>
    <col min="1290" max="1290" width="33.875" style="56" customWidth="1"/>
    <col min="1291" max="1291" width="2.625" style="56" customWidth="1"/>
    <col min="1292" max="1536" width="9" style="56"/>
    <col min="1537" max="1545" width="6.75" style="56" customWidth="1"/>
    <col min="1546" max="1546" width="33.875" style="56" customWidth="1"/>
    <col min="1547" max="1547" width="2.625" style="56" customWidth="1"/>
    <col min="1548" max="1792" width="9" style="56"/>
    <col min="1793" max="1801" width="6.75" style="56" customWidth="1"/>
    <col min="1802" max="1802" width="33.875" style="56" customWidth="1"/>
    <col min="1803" max="1803" width="2.625" style="56" customWidth="1"/>
    <col min="1804" max="2048" width="9" style="56"/>
    <col min="2049" max="2057" width="6.75" style="56" customWidth="1"/>
    <col min="2058" max="2058" width="33.875" style="56" customWidth="1"/>
    <col min="2059" max="2059" width="2.625" style="56" customWidth="1"/>
    <col min="2060" max="2304" width="9" style="56"/>
    <col min="2305" max="2313" width="6.75" style="56" customWidth="1"/>
    <col min="2314" max="2314" width="33.875" style="56" customWidth="1"/>
    <col min="2315" max="2315" width="2.625" style="56" customWidth="1"/>
    <col min="2316" max="2560" width="9" style="56"/>
    <col min="2561" max="2569" width="6.75" style="56" customWidth="1"/>
    <col min="2570" max="2570" width="33.875" style="56" customWidth="1"/>
    <col min="2571" max="2571" width="2.625" style="56" customWidth="1"/>
    <col min="2572" max="2816" width="9" style="56"/>
    <col min="2817" max="2825" width="6.75" style="56" customWidth="1"/>
    <col min="2826" max="2826" width="33.875" style="56" customWidth="1"/>
    <col min="2827" max="2827" width="2.625" style="56" customWidth="1"/>
    <col min="2828" max="3072" width="9" style="56"/>
    <col min="3073" max="3081" width="6.75" style="56" customWidth="1"/>
    <col min="3082" max="3082" width="33.875" style="56" customWidth="1"/>
    <col min="3083" max="3083" width="2.625" style="56" customWidth="1"/>
    <col min="3084" max="3328" width="9" style="56"/>
    <col min="3329" max="3337" width="6.75" style="56" customWidth="1"/>
    <col min="3338" max="3338" width="33.875" style="56" customWidth="1"/>
    <col min="3339" max="3339" width="2.625" style="56" customWidth="1"/>
    <col min="3340" max="3584" width="9" style="56"/>
    <col min="3585" max="3593" width="6.75" style="56" customWidth="1"/>
    <col min="3594" max="3594" width="33.875" style="56" customWidth="1"/>
    <col min="3595" max="3595" width="2.625" style="56" customWidth="1"/>
    <col min="3596" max="3840" width="9" style="56"/>
    <col min="3841" max="3849" width="6.75" style="56" customWidth="1"/>
    <col min="3850" max="3850" width="33.875" style="56" customWidth="1"/>
    <col min="3851" max="3851" width="2.625" style="56" customWidth="1"/>
    <col min="3852" max="4096" width="9" style="56"/>
    <col min="4097" max="4105" width="6.75" style="56" customWidth="1"/>
    <col min="4106" max="4106" width="33.875" style="56" customWidth="1"/>
    <col min="4107" max="4107" width="2.625" style="56" customWidth="1"/>
    <col min="4108" max="4352" width="9" style="56"/>
    <col min="4353" max="4361" width="6.75" style="56" customWidth="1"/>
    <col min="4362" max="4362" width="33.875" style="56" customWidth="1"/>
    <col min="4363" max="4363" width="2.625" style="56" customWidth="1"/>
    <col min="4364" max="4608" width="9" style="56"/>
    <col min="4609" max="4617" width="6.75" style="56" customWidth="1"/>
    <col min="4618" max="4618" width="33.875" style="56" customWidth="1"/>
    <col min="4619" max="4619" width="2.625" style="56" customWidth="1"/>
    <col min="4620" max="4864" width="9" style="56"/>
    <col min="4865" max="4873" width="6.75" style="56" customWidth="1"/>
    <col min="4874" max="4874" width="33.875" style="56" customWidth="1"/>
    <col min="4875" max="4875" width="2.625" style="56" customWidth="1"/>
    <col min="4876" max="5120" width="9" style="56"/>
    <col min="5121" max="5129" width="6.75" style="56" customWidth="1"/>
    <col min="5130" max="5130" width="33.875" style="56" customWidth="1"/>
    <col min="5131" max="5131" width="2.625" style="56" customWidth="1"/>
    <col min="5132" max="5376" width="9" style="56"/>
    <col min="5377" max="5385" width="6.75" style="56" customWidth="1"/>
    <col min="5386" max="5386" width="33.875" style="56" customWidth="1"/>
    <col min="5387" max="5387" width="2.625" style="56" customWidth="1"/>
    <col min="5388" max="5632" width="9" style="56"/>
    <col min="5633" max="5641" width="6.75" style="56" customWidth="1"/>
    <col min="5642" max="5642" width="33.875" style="56" customWidth="1"/>
    <col min="5643" max="5643" width="2.625" style="56" customWidth="1"/>
    <col min="5644" max="5888" width="9" style="56"/>
    <col min="5889" max="5897" width="6.75" style="56" customWidth="1"/>
    <col min="5898" max="5898" width="33.875" style="56" customWidth="1"/>
    <col min="5899" max="5899" width="2.625" style="56" customWidth="1"/>
    <col min="5900" max="6144" width="9" style="56"/>
    <col min="6145" max="6153" width="6.75" style="56" customWidth="1"/>
    <col min="6154" max="6154" width="33.875" style="56" customWidth="1"/>
    <col min="6155" max="6155" width="2.625" style="56" customWidth="1"/>
    <col min="6156" max="6400" width="9" style="56"/>
    <col min="6401" max="6409" width="6.75" style="56" customWidth="1"/>
    <col min="6410" max="6410" width="33.875" style="56" customWidth="1"/>
    <col min="6411" max="6411" width="2.625" style="56" customWidth="1"/>
    <col min="6412" max="6656" width="9" style="56"/>
    <col min="6657" max="6665" width="6.75" style="56" customWidth="1"/>
    <col min="6666" max="6666" width="33.875" style="56" customWidth="1"/>
    <col min="6667" max="6667" width="2.625" style="56" customWidth="1"/>
    <col min="6668" max="6912" width="9" style="56"/>
    <col min="6913" max="6921" width="6.75" style="56" customWidth="1"/>
    <col min="6922" max="6922" width="33.875" style="56" customWidth="1"/>
    <col min="6923" max="6923" width="2.625" style="56" customWidth="1"/>
    <col min="6924" max="7168" width="9" style="56"/>
    <col min="7169" max="7177" width="6.75" style="56" customWidth="1"/>
    <col min="7178" max="7178" width="33.875" style="56" customWidth="1"/>
    <col min="7179" max="7179" width="2.625" style="56" customWidth="1"/>
    <col min="7180" max="7424" width="9" style="56"/>
    <col min="7425" max="7433" width="6.75" style="56" customWidth="1"/>
    <col min="7434" max="7434" width="33.875" style="56" customWidth="1"/>
    <col min="7435" max="7435" width="2.625" style="56" customWidth="1"/>
    <col min="7436" max="7680" width="9" style="56"/>
    <col min="7681" max="7689" width="6.75" style="56" customWidth="1"/>
    <col min="7690" max="7690" width="33.875" style="56" customWidth="1"/>
    <col min="7691" max="7691" width="2.625" style="56" customWidth="1"/>
    <col min="7692" max="7936" width="9" style="56"/>
    <col min="7937" max="7945" width="6.75" style="56" customWidth="1"/>
    <col min="7946" max="7946" width="33.875" style="56" customWidth="1"/>
    <col min="7947" max="7947" width="2.625" style="56" customWidth="1"/>
    <col min="7948" max="8192" width="9" style="56"/>
    <col min="8193" max="8201" width="6.75" style="56" customWidth="1"/>
    <col min="8202" max="8202" width="33.875" style="56" customWidth="1"/>
    <col min="8203" max="8203" width="2.625" style="56" customWidth="1"/>
    <col min="8204" max="8448" width="9" style="56"/>
    <col min="8449" max="8457" width="6.75" style="56" customWidth="1"/>
    <col min="8458" max="8458" width="33.875" style="56" customWidth="1"/>
    <col min="8459" max="8459" width="2.625" style="56" customWidth="1"/>
    <col min="8460" max="8704" width="9" style="56"/>
    <col min="8705" max="8713" width="6.75" style="56" customWidth="1"/>
    <col min="8714" max="8714" width="33.875" style="56" customWidth="1"/>
    <col min="8715" max="8715" width="2.625" style="56" customWidth="1"/>
    <col min="8716" max="8960" width="9" style="56"/>
    <col min="8961" max="8969" width="6.75" style="56" customWidth="1"/>
    <col min="8970" max="8970" width="33.875" style="56" customWidth="1"/>
    <col min="8971" max="8971" width="2.625" style="56" customWidth="1"/>
    <col min="8972" max="9216" width="9" style="56"/>
    <col min="9217" max="9225" width="6.75" style="56" customWidth="1"/>
    <col min="9226" max="9226" width="33.875" style="56" customWidth="1"/>
    <col min="9227" max="9227" width="2.625" style="56" customWidth="1"/>
    <col min="9228" max="9472" width="9" style="56"/>
    <col min="9473" max="9481" width="6.75" style="56" customWidth="1"/>
    <col min="9482" max="9482" width="33.875" style="56" customWidth="1"/>
    <col min="9483" max="9483" width="2.625" style="56" customWidth="1"/>
    <col min="9484" max="9728" width="9" style="56"/>
    <col min="9729" max="9737" width="6.75" style="56" customWidth="1"/>
    <col min="9738" max="9738" width="33.875" style="56" customWidth="1"/>
    <col min="9739" max="9739" width="2.625" style="56" customWidth="1"/>
    <col min="9740" max="9984" width="9" style="56"/>
    <col min="9985" max="9993" width="6.75" style="56" customWidth="1"/>
    <col min="9994" max="9994" width="33.875" style="56" customWidth="1"/>
    <col min="9995" max="9995" width="2.625" style="56" customWidth="1"/>
    <col min="9996" max="10240" width="9" style="56"/>
    <col min="10241" max="10249" width="6.75" style="56" customWidth="1"/>
    <col min="10250" max="10250" width="33.875" style="56" customWidth="1"/>
    <col min="10251" max="10251" width="2.625" style="56" customWidth="1"/>
    <col min="10252" max="10496" width="9" style="56"/>
    <col min="10497" max="10505" width="6.75" style="56" customWidth="1"/>
    <col min="10506" max="10506" width="33.875" style="56" customWidth="1"/>
    <col min="10507" max="10507" width="2.625" style="56" customWidth="1"/>
    <col min="10508" max="10752" width="9" style="56"/>
    <col min="10753" max="10761" width="6.75" style="56" customWidth="1"/>
    <col min="10762" max="10762" width="33.875" style="56" customWidth="1"/>
    <col min="10763" max="10763" width="2.625" style="56" customWidth="1"/>
    <col min="10764" max="11008" width="9" style="56"/>
    <col min="11009" max="11017" width="6.75" style="56" customWidth="1"/>
    <col min="11018" max="11018" width="33.875" style="56" customWidth="1"/>
    <col min="11019" max="11019" width="2.625" style="56" customWidth="1"/>
    <col min="11020" max="11264" width="9" style="56"/>
    <col min="11265" max="11273" width="6.75" style="56" customWidth="1"/>
    <col min="11274" max="11274" width="33.875" style="56" customWidth="1"/>
    <col min="11275" max="11275" width="2.625" style="56" customWidth="1"/>
    <col min="11276" max="11520" width="9" style="56"/>
    <col min="11521" max="11529" width="6.75" style="56" customWidth="1"/>
    <col min="11530" max="11530" width="33.875" style="56" customWidth="1"/>
    <col min="11531" max="11531" width="2.625" style="56" customWidth="1"/>
    <col min="11532" max="11776" width="9" style="56"/>
    <col min="11777" max="11785" width="6.75" style="56" customWidth="1"/>
    <col min="11786" max="11786" width="33.875" style="56" customWidth="1"/>
    <col min="11787" max="11787" width="2.625" style="56" customWidth="1"/>
    <col min="11788" max="12032" width="9" style="56"/>
    <col min="12033" max="12041" width="6.75" style="56" customWidth="1"/>
    <col min="12042" max="12042" width="33.875" style="56" customWidth="1"/>
    <col min="12043" max="12043" width="2.625" style="56" customWidth="1"/>
    <col min="12044" max="12288" width="9" style="56"/>
    <col min="12289" max="12297" width="6.75" style="56" customWidth="1"/>
    <col min="12298" max="12298" width="33.875" style="56" customWidth="1"/>
    <col min="12299" max="12299" width="2.625" style="56" customWidth="1"/>
    <col min="12300" max="12544" width="9" style="56"/>
    <col min="12545" max="12553" width="6.75" style="56" customWidth="1"/>
    <col min="12554" max="12554" width="33.875" style="56" customWidth="1"/>
    <col min="12555" max="12555" width="2.625" style="56" customWidth="1"/>
    <col min="12556" max="12800" width="9" style="56"/>
    <col min="12801" max="12809" width="6.75" style="56" customWidth="1"/>
    <col min="12810" max="12810" width="33.875" style="56" customWidth="1"/>
    <col min="12811" max="12811" width="2.625" style="56" customWidth="1"/>
    <col min="12812" max="13056" width="9" style="56"/>
    <col min="13057" max="13065" width="6.75" style="56" customWidth="1"/>
    <col min="13066" max="13066" width="33.875" style="56" customWidth="1"/>
    <col min="13067" max="13067" width="2.625" style="56" customWidth="1"/>
    <col min="13068" max="13312" width="9" style="56"/>
    <col min="13313" max="13321" width="6.75" style="56" customWidth="1"/>
    <col min="13322" max="13322" width="33.875" style="56" customWidth="1"/>
    <col min="13323" max="13323" width="2.625" style="56" customWidth="1"/>
    <col min="13324" max="13568" width="9" style="56"/>
    <col min="13569" max="13577" width="6.75" style="56" customWidth="1"/>
    <col min="13578" max="13578" width="33.875" style="56" customWidth="1"/>
    <col min="13579" max="13579" width="2.625" style="56" customWidth="1"/>
    <col min="13580" max="13824" width="9" style="56"/>
    <col min="13825" max="13833" width="6.75" style="56" customWidth="1"/>
    <col min="13834" max="13834" width="33.875" style="56" customWidth="1"/>
    <col min="13835" max="13835" width="2.625" style="56" customWidth="1"/>
    <col min="13836" max="14080" width="9" style="56"/>
    <col min="14081" max="14089" width="6.75" style="56" customWidth="1"/>
    <col min="14090" max="14090" width="33.875" style="56" customWidth="1"/>
    <col min="14091" max="14091" width="2.625" style="56" customWidth="1"/>
    <col min="14092" max="14336" width="9" style="56"/>
    <col min="14337" max="14345" width="6.75" style="56" customWidth="1"/>
    <col min="14346" max="14346" width="33.875" style="56" customWidth="1"/>
    <col min="14347" max="14347" width="2.625" style="56" customWidth="1"/>
    <col min="14348" max="14592" width="9" style="56"/>
    <col min="14593" max="14601" width="6.75" style="56" customWidth="1"/>
    <col min="14602" max="14602" width="33.875" style="56" customWidth="1"/>
    <col min="14603" max="14603" width="2.625" style="56" customWidth="1"/>
    <col min="14604" max="14848" width="9" style="56"/>
    <col min="14849" max="14857" width="6.75" style="56" customWidth="1"/>
    <col min="14858" max="14858" width="33.875" style="56" customWidth="1"/>
    <col min="14859" max="14859" width="2.625" style="56" customWidth="1"/>
    <col min="14860" max="15104" width="9" style="56"/>
    <col min="15105" max="15113" width="6.75" style="56" customWidth="1"/>
    <col min="15114" max="15114" width="33.875" style="56" customWidth="1"/>
    <col min="15115" max="15115" width="2.625" style="56" customWidth="1"/>
    <col min="15116" max="15360" width="9" style="56"/>
    <col min="15361" max="15369" width="6.75" style="56" customWidth="1"/>
    <col min="15370" max="15370" width="33.875" style="56" customWidth="1"/>
    <col min="15371" max="15371" width="2.625" style="56" customWidth="1"/>
    <col min="15372" max="15616" width="9" style="56"/>
    <col min="15617" max="15625" width="6.75" style="56" customWidth="1"/>
    <col min="15626" max="15626" width="33.875" style="56" customWidth="1"/>
    <col min="15627" max="15627" width="2.625" style="56" customWidth="1"/>
    <col min="15628" max="15872" width="9" style="56"/>
    <col min="15873" max="15881" width="6.75" style="56" customWidth="1"/>
    <col min="15882" max="15882" width="33.875" style="56" customWidth="1"/>
    <col min="15883" max="15883" width="2.625" style="56" customWidth="1"/>
    <col min="15884" max="16128" width="9" style="56"/>
    <col min="16129" max="16137" width="6.75" style="56" customWidth="1"/>
    <col min="16138" max="16138" width="33.875" style="56" customWidth="1"/>
    <col min="16139" max="16139" width="2.625" style="56" customWidth="1"/>
    <col min="16140" max="16384" width="9" style="56"/>
  </cols>
  <sheetData>
    <row r="1" spans="1:14" ht="12.75" customHeight="1" x14ac:dyDescent="0.2">
      <c r="A1" s="177" t="s">
        <v>593</v>
      </c>
      <c r="B1" s="177"/>
      <c r="C1" s="177"/>
      <c r="D1" s="177"/>
      <c r="E1" s="177"/>
      <c r="F1" s="177"/>
      <c r="G1" s="177"/>
      <c r="H1" s="177"/>
      <c r="I1" s="177"/>
      <c r="J1" s="177"/>
      <c r="K1" s="55"/>
      <c r="L1" s="119"/>
      <c r="M1" s="119"/>
      <c r="N1" s="62"/>
    </row>
    <row r="2" spans="1:14" ht="12.75" customHeight="1" thickBot="1" x14ac:dyDescent="0.25">
      <c r="A2" s="178" t="s">
        <v>594</v>
      </c>
      <c r="B2" s="178"/>
      <c r="C2" s="178"/>
      <c r="D2" s="178"/>
      <c r="E2" s="178"/>
      <c r="F2" s="178"/>
      <c r="G2" s="178"/>
      <c r="H2" s="178"/>
      <c r="I2" s="178"/>
      <c r="J2" s="178"/>
      <c r="K2" s="55"/>
      <c r="L2" s="120"/>
      <c r="M2" s="120"/>
      <c r="N2" s="109"/>
    </row>
    <row r="3" spans="1:14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58" t="s">
        <v>72</v>
      </c>
      <c r="K3" s="55"/>
      <c r="L3" s="121"/>
      <c r="M3" s="121"/>
      <c r="N3" s="122"/>
    </row>
    <row r="4" spans="1:14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59" t="s">
        <v>74</v>
      </c>
      <c r="K4" s="55"/>
    </row>
    <row r="5" spans="1:14" ht="12.75" customHeight="1" thickBot="1" x14ac:dyDescent="0.25">
      <c r="A5" s="60">
        <v>119</v>
      </c>
      <c r="B5" s="60">
        <v>119</v>
      </c>
      <c r="C5" s="60">
        <v>0</v>
      </c>
      <c r="D5" s="60">
        <v>11</v>
      </c>
      <c r="E5" s="60">
        <v>11</v>
      </c>
      <c r="F5" s="60">
        <v>0</v>
      </c>
      <c r="G5" s="60">
        <v>108</v>
      </c>
      <c r="H5" s="60">
        <v>108</v>
      </c>
      <c r="I5" s="60">
        <v>0</v>
      </c>
      <c r="J5" s="61" t="s">
        <v>73</v>
      </c>
      <c r="K5" s="55"/>
    </row>
    <row r="6" spans="1:14" ht="12.75" customHeight="1" thickBot="1" x14ac:dyDescent="0.25">
      <c r="A6" s="60">
        <v>213</v>
      </c>
      <c r="B6" s="60">
        <v>0</v>
      </c>
      <c r="C6" s="60">
        <v>213</v>
      </c>
      <c r="D6" s="60">
        <v>0</v>
      </c>
      <c r="E6" s="60">
        <v>0</v>
      </c>
      <c r="F6" s="60">
        <v>0</v>
      </c>
      <c r="G6" s="60">
        <v>213</v>
      </c>
      <c r="H6" s="60">
        <v>0</v>
      </c>
      <c r="I6" s="60">
        <v>213</v>
      </c>
      <c r="J6" s="61" t="s">
        <v>87</v>
      </c>
      <c r="K6" s="55"/>
    </row>
    <row r="7" spans="1:14" ht="12.75" customHeight="1" thickBot="1" x14ac:dyDescent="0.25">
      <c r="A7" s="60">
        <v>180</v>
      </c>
      <c r="B7" s="60">
        <v>0</v>
      </c>
      <c r="C7" s="60">
        <v>180</v>
      </c>
      <c r="D7" s="60">
        <v>112</v>
      </c>
      <c r="E7" s="60">
        <v>0</v>
      </c>
      <c r="F7" s="60">
        <v>112</v>
      </c>
      <c r="G7" s="60">
        <v>68</v>
      </c>
      <c r="H7" s="60">
        <v>0</v>
      </c>
      <c r="I7" s="60">
        <v>68</v>
      </c>
      <c r="J7" s="61" t="s">
        <v>238</v>
      </c>
      <c r="K7" s="55"/>
    </row>
    <row r="8" spans="1:14" ht="12.75" customHeight="1" thickBot="1" x14ac:dyDescent="0.25">
      <c r="A8" s="60">
        <v>65</v>
      </c>
      <c r="B8" s="60">
        <v>0</v>
      </c>
      <c r="C8" s="60">
        <v>65</v>
      </c>
      <c r="D8" s="60">
        <v>0</v>
      </c>
      <c r="E8" s="60">
        <v>0</v>
      </c>
      <c r="F8" s="60">
        <v>0</v>
      </c>
      <c r="G8" s="60">
        <v>65</v>
      </c>
      <c r="H8" s="60">
        <v>0</v>
      </c>
      <c r="I8" s="60">
        <v>65</v>
      </c>
      <c r="J8" s="61" t="s">
        <v>239</v>
      </c>
      <c r="K8" s="55"/>
    </row>
    <row r="9" spans="1:14" ht="12.75" customHeight="1" thickBot="1" x14ac:dyDescent="0.25">
      <c r="A9" s="60">
        <v>78</v>
      </c>
      <c r="B9" s="60">
        <v>78</v>
      </c>
      <c r="C9" s="60">
        <v>0</v>
      </c>
      <c r="D9" s="60">
        <v>0</v>
      </c>
      <c r="E9" s="60">
        <v>0</v>
      </c>
      <c r="F9" s="60">
        <v>0</v>
      </c>
      <c r="G9" s="60">
        <v>78</v>
      </c>
      <c r="H9" s="60">
        <v>78</v>
      </c>
      <c r="I9" s="60">
        <v>0</v>
      </c>
      <c r="J9" s="61" t="s">
        <v>240</v>
      </c>
      <c r="K9" s="55"/>
    </row>
    <row r="10" spans="1:14" ht="12.75" customHeight="1" thickBot="1" x14ac:dyDescent="0.25">
      <c r="A10" s="60">
        <v>121</v>
      </c>
      <c r="B10" s="60">
        <v>0</v>
      </c>
      <c r="C10" s="60">
        <v>121</v>
      </c>
      <c r="D10" s="60">
        <v>0</v>
      </c>
      <c r="E10" s="60">
        <v>0</v>
      </c>
      <c r="F10" s="60">
        <v>0</v>
      </c>
      <c r="G10" s="60">
        <v>121</v>
      </c>
      <c r="H10" s="60">
        <v>0</v>
      </c>
      <c r="I10" s="60">
        <v>121</v>
      </c>
      <c r="J10" s="61" t="s">
        <v>241</v>
      </c>
      <c r="K10" s="55"/>
    </row>
    <row r="11" spans="1:14" ht="12.75" customHeight="1" thickBot="1" x14ac:dyDescent="0.25">
      <c r="A11" s="60">
        <v>776</v>
      </c>
      <c r="B11" s="60">
        <v>197</v>
      </c>
      <c r="C11" s="60">
        <v>579</v>
      </c>
      <c r="D11" s="60">
        <v>123</v>
      </c>
      <c r="E11" s="60">
        <v>11</v>
      </c>
      <c r="F11" s="60">
        <v>112</v>
      </c>
      <c r="G11" s="60">
        <v>653</v>
      </c>
      <c r="H11" s="60">
        <v>186</v>
      </c>
      <c r="I11" s="60">
        <v>467</v>
      </c>
      <c r="J11" s="59" t="s">
        <v>211</v>
      </c>
      <c r="K11" s="55"/>
    </row>
    <row r="12" spans="1:14" ht="12.75" customHeight="1" x14ac:dyDescent="0.2">
      <c r="A12" s="177"/>
      <c r="B12" s="177"/>
      <c r="C12" s="177"/>
      <c r="D12" s="177"/>
      <c r="E12" s="177"/>
      <c r="F12" s="177"/>
      <c r="G12" s="177"/>
      <c r="H12" s="177"/>
      <c r="I12" s="177"/>
      <c r="J12" s="177"/>
      <c r="K12" s="55"/>
    </row>
    <row r="13" spans="1:14" ht="12.75" customHeight="1" x14ac:dyDescent="0.2">
      <c r="A13" s="177" t="s">
        <v>593</v>
      </c>
      <c r="B13" s="177"/>
      <c r="C13" s="177"/>
      <c r="D13" s="177"/>
      <c r="E13" s="177"/>
      <c r="F13" s="177"/>
      <c r="G13" s="177"/>
      <c r="H13" s="177"/>
      <c r="I13" s="177"/>
      <c r="J13" s="177"/>
      <c r="K13" s="55"/>
    </row>
    <row r="14" spans="1:14" ht="12.75" customHeight="1" thickBot="1" x14ac:dyDescent="0.25">
      <c r="A14" s="178" t="s">
        <v>594</v>
      </c>
      <c r="B14" s="178"/>
      <c r="C14" s="178"/>
      <c r="D14" s="178"/>
      <c r="E14" s="178"/>
      <c r="F14" s="178"/>
      <c r="G14" s="178"/>
      <c r="H14" s="178"/>
      <c r="I14" s="178"/>
      <c r="J14" s="178"/>
      <c r="K14" s="55"/>
    </row>
    <row r="15" spans="1:14" ht="12.75" customHeight="1" thickBot="1" x14ac:dyDescent="0.25">
      <c r="A15" s="179" t="s">
        <v>5</v>
      </c>
      <c r="B15" s="179"/>
      <c r="C15" s="179"/>
      <c r="D15" s="179" t="s">
        <v>162</v>
      </c>
      <c r="E15" s="179"/>
      <c r="F15" s="179"/>
      <c r="G15" s="179" t="s">
        <v>163</v>
      </c>
      <c r="H15" s="179"/>
      <c r="I15" s="179"/>
      <c r="J15" s="58" t="s">
        <v>72</v>
      </c>
      <c r="K15" s="55"/>
    </row>
    <row r="16" spans="1:14" ht="12.75" customHeight="1" thickBot="1" x14ac:dyDescent="0.25">
      <c r="A16" s="58" t="s">
        <v>216</v>
      </c>
      <c r="B16" s="58" t="s">
        <v>11</v>
      </c>
      <c r="C16" s="58" t="s">
        <v>10</v>
      </c>
      <c r="D16" s="58" t="s">
        <v>216</v>
      </c>
      <c r="E16" s="58" t="s">
        <v>11</v>
      </c>
      <c r="F16" s="58" t="s">
        <v>10</v>
      </c>
      <c r="G16" s="58" t="s">
        <v>216</v>
      </c>
      <c r="H16" s="58" t="s">
        <v>11</v>
      </c>
      <c r="I16" s="58" t="s">
        <v>10</v>
      </c>
      <c r="J16" s="59" t="s">
        <v>76</v>
      </c>
      <c r="K16" s="55"/>
    </row>
    <row r="17" spans="1:11" ht="12.75" customHeight="1" thickBot="1" x14ac:dyDescent="0.25">
      <c r="A17" s="60">
        <f t="shared" ref="A17:B20" si="0">G17+D17</f>
        <v>139</v>
      </c>
      <c r="B17" s="60">
        <f t="shared" si="0"/>
        <v>0</v>
      </c>
      <c r="C17" s="60">
        <f>I17+F17</f>
        <v>139</v>
      </c>
      <c r="D17" s="60">
        <f>F17+E17</f>
        <v>0</v>
      </c>
      <c r="E17" s="60">
        <v>0</v>
      </c>
      <c r="F17" s="60">
        <v>0</v>
      </c>
      <c r="G17" s="60">
        <f>I17+H17</f>
        <v>139</v>
      </c>
      <c r="H17" s="60">
        <v>0</v>
      </c>
      <c r="I17" s="60">
        <f>34+64+41</f>
        <v>139</v>
      </c>
      <c r="J17" s="61" t="s">
        <v>88</v>
      </c>
      <c r="K17" s="55"/>
    </row>
    <row r="18" spans="1:11" ht="12.75" customHeight="1" thickBot="1" x14ac:dyDescent="0.25">
      <c r="A18" s="60">
        <f t="shared" si="0"/>
        <v>80</v>
      </c>
      <c r="B18" s="60">
        <f t="shared" si="0"/>
        <v>0</v>
      </c>
      <c r="C18" s="60">
        <f>I18+F18</f>
        <v>80</v>
      </c>
      <c r="D18" s="60">
        <f>F18+E18</f>
        <v>80</v>
      </c>
      <c r="E18" s="60">
        <v>0</v>
      </c>
      <c r="F18" s="60">
        <v>80</v>
      </c>
      <c r="G18" s="60">
        <f>I18+H18</f>
        <v>0</v>
      </c>
      <c r="H18" s="60">
        <v>0</v>
      </c>
      <c r="I18" s="60">
        <v>0</v>
      </c>
      <c r="J18" s="61" t="s">
        <v>242</v>
      </c>
      <c r="K18" s="55"/>
    </row>
    <row r="19" spans="1:11" ht="12.75" customHeight="1" thickBot="1" x14ac:dyDescent="0.25">
      <c r="A19" s="60">
        <f t="shared" si="0"/>
        <v>174</v>
      </c>
      <c r="B19" s="60">
        <f t="shared" si="0"/>
        <v>19</v>
      </c>
      <c r="C19" s="60">
        <f>I19+F19</f>
        <v>155</v>
      </c>
      <c r="D19" s="60">
        <f>F19+E19</f>
        <v>3</v>
      </c>
      <c r="E19" s="60">
        <v>0</v>
      </c>
      <c r="F19" s="60">
        <v>3</v>
      </c>
      <c r="G19" s="60">
        <f>I19+H19</f>
        <v>171</v>
      </c>
      <c r="H19" s="60">
        <v>19</v>
      </c>
      <c r="I19" s="60">
        <f>25+127</f>
        <v>152</v>
      </c>
      <c r="J19" s="61" t="s">
        <v>75</v>
      </c>
      <c r="K19" s="55"/>
    </row>
    <row r="20" spans="1:11" ht="12.75" customHeight="1" thickBot="1" x14ac:dyDescent="0.25">
      <c r="A20" s="60">
        <f t="shared" si="0"/>
        <v>155</v>
      </c>
      <c r="B20" s="60">
        <f t="shared" si="0"/>
        <v>0</v>
      </c>
      <c r="C20" s="60">
        <f>I20+F20</f>
        <v>155</v>
      </c>
      <c r="D20" s="60">
        <f>F20+E20</f>
        <v>0</v>
      </c>
      <c r="E20" s="60">
        <v>0</v>
      </c>
      <c r="F20" s="60">
        <v>0</v>
      </c>
      <c r="G20" s="60">
        <f>I20+H20</f>
        <v>155</v>
      </c>
      <c r="H20" s="60">
        <v>0</v>
      </c>
      <c r="I20" s="60">
        <f>62+63+30</f>
        <v>155</v>
      </c>
      <c r="J20" s="61" t="s">
        <v>89</v>
      </c>
      <c r="K20" s="55"/>
    </row>
    <row r="21" spans="1:11" ht="12.75" customHeight="1" thickBot="1" x14ac:dyDescent="0.25">
      <c r="A21" s="60">
        <f t="shared" ref="A21:I21" si="1">SUM(A17:A20)</f>
        <v>548</v>
      </c>
      <c r="B21" s="60">
        <f>SUM(B17:B20)</f>
        <v>19</v>
      </c>
      <c r="C21" s="60">
        <f t="shared" si="1"/>
        <v>529</v>
      </c>
      <c r="D21" s="60">
        <f t="shared" si="1"/>
        <v>83</v>
      </c>
      <c r="E21" s="60">
        <f t="shared" si="1"/>
        <v>0</v>
      </c>
      <c r="F21" s="60">
        <f t="shared" si="1"/>
        <v>83</v>
      </c>
      <c r="G21" s="60">
        <f t="shared" si="1"/>
        <v>465</v>
      </c>
      <c r="H21" s="60">
        <f t="shared" si="1"/>
        <v>19</v>
      </c>
      <c r="I21" s="60">
        <f t="shared" si="1"/>
        <v>446</v>
      </c>
      <c r="J21" s="59" t="s">
        <v>211</v>
      </c>
      <c r="K21" s="55"/>
    </row>
    <row r="22" spans="1:11" ht="12.75" customHeight="1" x14ac:dyDescent="0.2">
      <c r="A22" s="177"/>
      <c r="B22" s="177"/>
      <c r="C22" s="177"/>
      <c r="D22" s="177"/>
      <c r="E22" s="177"/>
      <c r="F22" s="177"/>
      <c r="G22" s="177"/>
      <c r="H22" s="177"/>
      <c r="I22" s="177"/>
      <c r="J22" s="177"/>
      <c r="K22" s="55"/>
    </row>
    <row r="23" spans="1:11" ht="12.75" customHeight="1" x14ac:dyDescent="0.2">
      <c r="A23" s="177" t="s">
        <v>593</v>
      </c>
      <c r="B23" s="177"/>
      <c r="C23" s="177"/>
      <c r="D23" s="177"/>
      <c r="E23" s="177"/>
      <c r="F23" s="177"/>
      <c r="G23" s="177"/>
      <c r="H23" s="177"/>
      <c r="I23" s="177"/>
      <c r="J23" s="177"/>
      <c r="K23" s="55"/>
    </row>
    <row r="24" spans="1:11" ht="12.75" customHeight="1" thickBot="1" x14ac:dyDescent="0.25">
      <c r="A24" s="178" t="s">
        <v>594</v>
      </c>
      <c r="B24" s="178"/>
      <c r="C24" s="178"/>
      <c r="D24" s="178"/>
      <c r="E24" s="178"/>
      <c r="F24" s="178"/>
      <c r="G24" s="178"/>
      <c r="H24" s="178"/>
      <c r="I24" s="178"/>
      <c r="J24" s="178"/>
      <c r="K24" s="55"/>
    </row>
    <row r="25" spans="1:11" ht="12.75" customHeight="1" thickBot="1" x14ac:dyDescent="0.25">
      <c r="A25" s="179" t="s">
        <v>5</v>
      </c>
      <c r="B25" s="179"/>
      <c r="C25" s="179"/>
      <c r="D25" s="179" t="s">
        <v>162</v>
      </c>
      <c r="E25" s="179"/>
      <c r="F25" s="179"/>
      <c r="G25" s="179" t="s">
        <v>163</v>
      </c>
      <c r="H25" s="179"/>
      <c r="I25" s="179"/>
      <c r="J25" s="58" t="s">
        <v>72</v>
      </c>
      <c r="K25" s="55"/>
    </row>
    <row r="26" spans="1:11" ht="12.75" customHeight="1" thickBot="1" x14ac:dyDescent="0.25">
      <c r="A26" s="58" t="s">
        <v>216</v>
      </c>
      <c r="B26" s="58" t="s">
        <v>11</v>
      </c>
      <c r="C26" s="58" t="s">
        <v>10</v>
      </c>
      <c r="D26" s="58" t="s">
        <v>216</v>
      </c>
      <c r="E26" s="58" t="s">
        <v>11</v>
      </c>
      <c r="F26" s="58" t="s">
        <v>10</v>
      </c>
      <c r="G26" s="58" t="s">
        <v>216</v>
      </c>
      <c r="H26" s="58" t="s">
        <v>11</v>
      </c>
      <c r="I26" s="58" t="s">
        <v>10</v>
      </c>
      <c r="J26" s="59" t="s">
        <v>78</v>
      </c>
      <c r="K26" s="55"/>
    </row>
    <row r="27" spans="1:11" ht="12.75" customHeight="1" thickBot="1" x14ac:dyDescent="0.25">
      <c r="A27" s="60">
        <f t="shared" ref="A27:C34" si="2">G27+D27</f>
        <v>67</v>
      </c>
      <c r="B27" s="60">
        <f t="shared" si="2"/>
        <v>15</v>
      </c>
      <c r="C27" s="60">
        <f t="shared" si="2"/>
        <v>52</v>
      </c>
      <c r="D27" s="60">
        <f t="shared" ref="D27:D34" si="3">F27+E27</f>
        <v>0</v>
      </c>
      <c r="E27" s="60">
        <v>0</v>
      </c>
      <c r="F27" s="60">
        <v>0</v>
      </c>
      <c r="G27" s="60">
        <f t="shared" ref="G27:G34" si="4">I27+H27</f>
        <v>67</v>
      </c>
      <c r="H27" s="60">
        <v>15</v>
      </c>
      <c r="I27" s="60">
        <f>32+20</f>
        <v>52</v>
      </c>
      <c r="J27" s="61" t="s">
        <v>354</v>
      </c>
      <c r="K27" s="55"/>
    </row>
    <row r="28" spans="1:11" ht="12.75" customHeight="1" thickBot="1" x14ac:dyDescent="0.25">
      <c r="A28" s="60">
        <f t="shared" si="2"/>
        <v>43</v>
      </c>
      <c r="B28" s="60">
        <f t="shared" si="2"/>
        <v>26</v>
      </c>
      <c r="C28" s="60">
        <f t="shared" si="2"/>
        <v>17</v>
      </c>
      <c r="D28" s="60">
        <f t="shared" si="3"/>
        <v>0</v>
      </c>
      <c r="E28" s="60">
        <v>0</v>
      </c>
      <c r="F28" s="60">
        <v>0</v>
      </c>
      <c r="G28" s="60">
        <f t="shared" si="4"/>
        <v>43</v>
      </c>
      <c r="H28" s="60">
        <v>26</v>
      </c>
      <c r="I28" s="60">
        <v>17</v>
      </c>
      <c r="J28" s="61" t="s">
        <v>244</v>
      </c>
      <c r="K28" s="55"/>
    </row>
    <row r="29" spans="1:11" ht="12.75" customHeight="1" thickBot="1" x14ac:dyDescent="0.25">
      <c r="A29" s="60">
        <f t="shared" si="2"/>
        <v>637</v>
      </c>
      <c r="B29" s="60">
        <f t="shared" si="2"/>
        <v>310</v>
      </c>
      <c r="C29" s="60">
        <f t="shared" si="2"/>
        <v>327</v>
      </c>
      <c r="D29" s="60">
        <f t="shared" si="3"/>
        <v>139</v>
      </c>
      <c r="E29" s="60">
        <v>116</v>
      </c>
      <c r="F29" s="60">
        <v>23</v>
      </c>
      <c r="G29" s="60">
        <f t="shared" si="4"/>
        <v>498</v>
      </c>
      <c r="H29" s="60">
        <v>194</v>
      </c>
      <c r="I29" s="60">
        <f>240+64</f>
        <v>304</v>
      </c>
      <c r="J29" s="61" t="s">
        <v>77</v>
      </c>
      <c r="K29" s="55"/>
    </row>
    <row r="30" spans="1:11" ht="12.75" customHeight="1" thickBot="1" x14ac:dyDescent="0.25">
      <c r="A30" s="60">
        <f t="shared" si="2"/>
        <v>306</v>
      </c>
      <c r="B30" s="60">
        <f t="shared" si="2"/>
        <v>0</v>
      </c>
      <c r="C30" s="60">
        <f t="shared" si="2"/>
        <v>306</v>
      </c>
      <c r="D30" s="60">
        <f t="shared" si="3"/>
        <v>6</v>
      </c>
      <c r="E30" s="60">
        <v>0</v>
      </c>
      <c r="F30" s="60">
        <v>6</v>
      </c>
      <c r="G30" s="60">
        <f t="shared" si="4"/>
        <v>300</v>
      </c>
      <c r="H30" s="60">
        <v>0</v>
      </c>
      <c r="I30" s="60">
        <f>268+32</f>
        <v>300</v>
      </c>
      <c r="J30" s="61" t="s">
        <v>90</v>
      </c>
      <c r="K30" s="55"/>
    </row>
    <row r="31" spans="1:11" ht="12.75" customHeight="1" thickBot="1" x14ac:dyDescent="0.25">
      <c r="A31" s="60">
        <f t="shared" si="2"/>
        <v>132</v>
      </c>
      <c r="B31" s="60">
        <f t="shared" si="2"/>
        <v>0</v>
      </c>
      <c r="C31" s="60">
        <f t="shared" si="2"/>
        <v>132</v>
      </c>
      <c r="D31" s="60">
        <f t="shared" si="3"/>
        <v>0</v>
      </c>
      <c r="E31" s="60">
        <v>0</v>
      </c>
      <c r="F31" s="60">
        <v>0</v>
      </c>
      <c r="G31" s="60">
        <f t="shared" si="4"/>
        <v>132</v>
      </c>
      <c r="H31" s="60">
        <v>0</v>
      </c>
      <c r="I31" s="60">
        <f>97+35</f>
        <v>132</v>
      </c>
      <c r="J31" s="61" t="s">
        <v>91</v>
      </c>
      <c r="K31" s="55"/>
    </row>
    <row r="32" spans="1:11" ht="12.75" customHeight="1" thickBot="1" x14ac:dyDescent="0.25">
      <c r="A32" s="60">
        <f t="shared" si="2"/>
        <v>131</v>
      </c>
      <c r="B32" s="60">
        <f t="shared" si="2"/>
        <v>0</v>
      </c>
      <c r="C32" s="60">
        <f t="shared" si="2"/>
        <v>131</v>
      </c>
      <c r="D32" s="60">
        <f t="shared" si="3"/>
        <v>0</v>
      </c>
      <c r="E32" s="60">
        <v>0</v>
      </c>
      <c r="F32" s="60">
        <v>0</v>
      </c>
      <c r="G32" s="60">
        <f t="shared" si="4"/>
        <v>131</v>
      </c>
      <c r="H32" s="60">
        <v>0</v>
      </c>
      <c r="I32" s="60">
        <f>99+32</f>
        <v>131</v>
      </c>
      <c r="J32" s="61" t="s">
        <v>92</v>
      </c>
      <c r="K32" s="55"/>
    </row>
    <row r="33" spans="1:11" ht="12.75" customHeight="1" thickBot="1" x14ac:dyDescent="0.25">
      <c r="A33" s="60">
        <f t="shared" si="2"/>
        <v>86</v>
      </c>
      <c r="B33" s="60">
        <f t="shared" si="2"/>
        <v>0</v>
      </c>
      <c r="C33" s="60">
        <f t="shared" si="2"/>
        <v>86</v>
      </c>
      <c r="D33" s="60">
        <f t="shared" si="3"/>
        <v>0</v>
      </c>
      <c r="E33" s="60">
        <v>0</v>
      </c>
      <c r="F33" s="60">
        <v>0</v>
      </c>
      <c r="G33" s="60">
        <f t="shared" si="4"/>
        <v>86</v>
      </c>
      <c r="H33" s="60">
        <v>0</v>
      </c>
      <c r="I33" s="60">
        <f>54+32</f>
        <v>86</v>
      </c>
      <c r="J33" s="61" t="s">
        <v>247</v>
      </c>
      <c r="K33" s="55"/>
    </row>
    <row r="34" spans="1:11" ht="12.75" customHeight="1" thickBot="1" x14ac:dyDescent="0.25">
      <c r="A34" s="60">
        <f t="shared" si="2"/>
        <v>36</v>
      </c>
      <c r="B34" s="60">
        <f t="shared" si="2"/>
        <v>0</v>
      </c>
      <c r="C34" s="60">
        <f t="shared" si="2"/>
        <v>36</v>
      </c>
      <c r="D34" s="60">
        <f t="shared" si="3"/>
        <v>0</v>
      </c>
      <c r="E34" s="60">
        <v>0</v>
      </c>
      <c r="F34" s="60">
        <v>0</v>
      </c>
      <c r="G34" s="60">
        <f t="shared" si="4"/>
        <v>36</v>
      </c>
      <c r="H34" s="60">
        <v>0</v>
      </c>
      <c r="I34" s="60">
        <f>4+32</f>
        <v>36</v>
      </c>
      <c r="J34" s="61" t="s">
        <v>595</v>
      </c>
      <c r="K34" s="55"/>
    </row>
    <row r="35" spans="1:11" ht="12.75" customHeight="1" thickBot="1" x14ac:dyDescent="0.25">
      <c r="A35" s="60">
        <f t="shared" ref="A35:H35" si="5">SUM(A27:A34)</f>
        <v>1438</v>
      </c>
      <c r="B35" s="60">
        <f t="shared" si="5"/>
        <v>351</v>
      </c>
      <c r="C35" s="60">
        <f t="shared" si="5"/>
        <v>1087</v>
      </c>
      <c r="D35" s="60">
        <f t="shared" si="5"/>
        <v>145</v>
      </c>
      <c r="E35" s="60">
        <f t="shared" si="5"/>
        <v>116</v>
      </c>
      <c r="F35" s="60">
        <f t="shared" si="5"/>
        <v>29</v>
      </c>
      <c r="G35" s="60">
        <f t="shared" si="5"/>
        <v>1293</v>
      </c>
      <c r="H35" s="60">
        <f t="shared" si="5"/>
        <v>235</v>
      </c>
      <c r="I35" s="60">
        <f>SUM(I27:I34)</f>
        <v>1058</v>
      </c>
      <c r="J35" s="59" t="s">
        <v>211</v>
      </c>
      <c r="K35" s="55"/>
    </row>
    <row r="36" spans="1:11" ht="12.75" customHeight="1" x14ac:dyDescent="0.2">
      <c r="A36" s="177"/>
      <c r="B36" s="177"/>
      <c r="C36" s="177"/>
      <c r="D36" s="177"/>
      <c r="E36" s="177"/>
      <c r="F36" s="177"/>
      <c r="G36" s="177"/>
      <c r="H36" s="177"/>
      <c r="I36" s="177"/>
      <c r="J36" s="177"/>
      <c r="K36" s="55"/>
    </row>
    <row r="37" spans="1:11" ht="12.75" customHeight="1" x14ac:dyDescent="0.2">
      <c r="A37" s="177" t="s">
        <v>593</v>
      </c>
      <c r="B37" s="177"/>
      <c r="C37" s="177"/>
      <c r="D37" s="177"/>
      <c r="E37" s="177"/>
      <c r="F37" s="177"/>
      <c r="G37" s="177"/>
      <c r="H37" s="177"/>
      <c r="I37" s="177"/>
      <c r="J37" s="177"/>
      <c r="K37" s="55"/>
    </row>
    <row r="38" spans="1:11" ht="12.75" customHeight="1" thickBot="1" x14ac:dyDescent="0.25">
      <c r="A38" s="178" t="s">
        <v>594</v>
      </c>
      <c r="B38" s="178"/>
      <c r="C38" s="178"/>
      <c r="D38" s="178"/>
      <c r="E38" s="178"/>
      <c r="F38" s="178"/>
      <c r="G38" s="178"/>
      <c r="H38" s="178"/>
      <c r="I38" s="178"/>
      <c r="J38" s="178"/>
      <c r="K38" s="55"/>
    </row>
    <row r="39" spans="1:11" ht="12.75" customHeight="1" thickBot="1" x14ac:dyDescent="0.25">
      <c r="A39" s="179" t="s">
        <v>5</v>
      </c>
      <c r="B39" s="179"/>
      <c r="C39" s="179"/>
      <c r="D39" s="179" t="s">
        <v>162</v>
      </c>
      <c r="E39" s="179"/>
      <c r="F39" s="179"/>
      <c r="G39" s="179" t="s">
        <v>163</v>
      </c>
      <c r="H39" s="179"/>
      <c r="I39" s="179"/>
      <c r="J39" s="58" t="s">
        <v>72</v>
      </c>
      <c r="K39" s="55"/>
    </row>
    <row r="40" spans="1:11" ht="12.75" customHeight="1" thickBot="1" x14ac:dyDescent="0.25">
      <c r="A40" s="58" t="s">
        <v>216</v>
      </c>
      <c r="B40" s="58" t="s">
        <v>11</v>
      </c>
      <c r="C40" s="58" t="s">
        <v>10</v>
      </c>
      <c r="D40" s="58" t="s">
        <v>216</v>
      </c>
      <c r="E40" s="58" t="s">
        <v>11</v>
      </c>
      <c r="F40" s="58" t="s">
        <v>10</v>
      </c>
      <c r="G40" s="58" t="s">
        <v>216</v>
      </c>
      <c r="H40" s="58" t="s">
        <v>11</v>
      </c>
      <c r="I40" s="58" t="s">
        <v>10</v>
      </c>
      <c r="J40" s="59" t="s">
        <v>79</v>
      </c>
      <c r="K40" s="55"/>
    </row>
    <row r="41" spans="1:11" ht="12.75" customHeight="1" thickBot="1" x14ac:dyDescent="0.25">
      <c r="A41" s="60">
        <f t="shared" ref="A41:C43" si="6">G41+D41</f>
        <v>120</v>
      </c>
      <c r="B41" s="60">
        <f t="shared" si="6"/>
        <v>0</v>
      </c>
      <c r="C41" s="60">
        <f t="shared" si="6"/>
        <v>120</v>
      </c>
      <c r="D41" s="60">
        <f>F41+E41</f>
        <v>0</v>
      </c>
      <c r="E41" s="60">
        <v>0</v>
      </c>
      <c r="F41" s="60">
        <v>0</v>
      </c>
      <c r="G41" s="60">
        <f>I41+H41</f>
        <v>120</v>
      </c>
      <c r="H41" s="60">
        <v>0</v>
      </c>
      <c r="I41" s="60">
        <v>120</v>
      </c>
      <c r="J41" s="61" t="s">
        <v>95</v>
      </c>
      <c r="K41" s="55"/>
    </row>
    <row r="42" spans="1:11" ht="12.75" customHeight="1" thickBot="1" x14ac:dyDescent="0.25">
      <c r="A42" s="60">
        <f t="shared" si="6"/>
        <v>127</v>
      </c>
      <c r="B42" s="60">
        <f t="shared" si="6"/>
        <v>127</v>
      </c>
      <c r="C42" s="60">
        <f t="shared" si="6"/>
        <v>0</v>
      </c>
      <c r="D42" s="60">
        <f>F42+E42</f>
        <v>0</v>
      </c>
      <c r="E42" s="60">
        <v>0</v>
      </c>
      <c r="F42" s="60">
        <v>0</v>
      </c>
      <c r="G42" s="60">
        <f>I42+H42</f>
        <v>127</v>
      </c>
      <c r="H42" s="60">
        <f>66+41+20</f>
        <v>127</v>
      </c>
      <c r="I42" s="60">
        <v>0</v>
      </c>
      <c r="J42" s="61" t="s">
        <v>96</v>
      </c>
      <c r="K42" s="55"/>
    </row>
    <row r="43" spans="1:11" ht="12.75" customHeight="1" thickBot="1" x14ac:dyDescent="0.25">
      <c r="A43" s="60">
        <f t="shared" si="6"/>
        <v>277</v>
      </c>
      <c r="B43" s="60">
        <f t="shared" si="6"/>
        <v>59</v>
      </c>
      <c r="C43" s="60">
        <f t="shared" si="6"/>
        <v>218</v>
      </c>
      <c r="D43" s="60">
        <f>F43+E43</f>
        <v>0</v>
      </c>
      <c r="E43" s="60">
        <v>0</v>
      </c>
      <c r="F43" s="60">
        <v>0</v>
      </c>
      <c r="G43" s="60">
        <f>I43+H43</f>
        <v>277</v>
      </c>
      <c r="H43" s="60">
        <f>39+10+10</f>
        <v>59</v>
      </c>
      <c r="I43" s="60">
        <v>218</v>
      </c>
      <c r="J43" s="61" t="s">
        <v>249</v>
      </c>
      <c r="K43" s="55"/>
    </row>
    <row r="44" spans="1:11" ht="12.75" customHeight="1" thickBot="1" x14ac:dyDescent="0.25">
      <c r="A44" s="60">
        <f t="shared" ref="A44:I44" si="7">SUM(A41:A43)</f>
        <v>524</v>
      </c>
      <c r="B44" s="60">
        <f t="shared" si="7"/>
        <v>186</v>
      </c>
      <c r="C44" s="60">
        <f t="shared" si="7"/>
        <v>338</v>
      </c>
      <c r="D44" s="60">
        <f t="shared" si="7"/>
        <v>0</v>
      </c>
      <c r="E44" s="60">
        <f t="shared" si="7"/>
        <v>0</v>
      </c>
      <c r="F44" s="60">
        <f t="shared" si="7"/>
        <v>0</v>
      </c>
      <c r="G44" s="60">
        <f t="shared" si="7"/>
        <v>524</v>
      </c>
      <c r="H44" s="60">
        <f t="shared" si="7"/>
        <v>186</v>
      </c>
      <c r="I44" s="60">
        <f t="shared" si="7"/>
        <v>338</v>
      </c>
      <c r="J44" s="59" t="s">
        <v>211</v>
      </c>
      <c r="K44" s="55"/>
    </row>
    <row r="45" spans="1:11" ht="12.75" customHeight="1" x14ac:dyDescent="0.2">
      <c r="A45" s="177"/>
      <c r="B45" s="177"/>
      <c r="C45" s="177"/>
      <c r="D45" s="177"/>
      <c r="E45" s="177"/>
      <c r="F45" s="177"/>
      <c r="G45" s="177"/>
      <c r="H45" s="177"/>
      <c r="I45" s="177"/>
      <c r="J45" s="177"/>
      <c r="K45" s="55"/>
    </row>
    <row r="46" spans="1:11" ht="12.75" customHeight="1" x14ac:dyDescent="0.2">
      <c r="A46" s="177" t="s">
        <v>593</v>
      </c>
      <c r="B46" s="177"/>
      <c r="C46" s="177"/>
      <c r="D46" s="177"/>
      <c r="E46" s="177"/>
      <c r="F46" s="177"/>
      <c r="G46" s="177"/>
      <c r="H46" s="177"/>
      <c r="I46" s="177"/>
      <c r="J46" s="177"/>
      <c r="K46" s="55"/>
    </row>
    <row r="47" spans="1:11" ht="12.75" customHeight="1" thickBot="1" x14ac:dyDescent="0.25">
      <c r="A47" s="178" t="s">
        <v>594</v>
      </c>
      <c r="B47" s="178"/>
      <c r="C47" s="178"/>
      <c r="D47" s="178"/>
      <c r="E47" s="178"/>
      <c r="F47" s="178"/>
      <c r="G47" s="178"/>
      <c r="H47" s="178"/>
      <c r="I47" s="178"/>
      <c r="J47" s="178"/>
      <c r="K47" s="55"/>
    </row>
    <row r="48" spans="1:11" ht="12.75" customHeight="1" thickBot="1" x14ac:dyDescent="0.25">
      <c r="A48" s="179" t="s">
        <v>5</v>
      </c>
      <c r="B48" s="179"/>
      <c r="C48" s="179"/>
      <c r="D48" s="179" t="s">
        <v>162</v>
      </c>
      <c r="E48" s="179"/>
      <c r="F48" s="179"/>
      <c r="G48" s="179" t="s">
        <v>163</v>
      </c>
      <c r="H48" s="179"/>
      <c r="I48" s="179"/>
      <c r="J48" s="58" t="s">
        <v>72</v>
      </c>
      <c r="K48" s="55"/>
    </row>
    <row r="49" spans="1:11" ht="12.75" customHeight="1" thickBot="1" x14ac:dyDescent="0.25">
      <c r="A49" s="58" t="s">
        <v>216</v>
      </c>
      <c r="B49" s="58" t="s">
        <v>11</v>
      </c>
      <c r="C49" s="58" t="s">
        <v>10</v>
      </c>
      <c r="D49" s="58" t="s">
        <v>216</v>
      </c>
      <c r="E49" s="58" t="s">
        <v>11</v>
      </c>
      <c r="F49" s="58" t="s">
        <v>10</v>
      </c>
      <c r="G49" s="58" t="s">
        <v>216</v>
      </c>
      <c r="H49" s="58" t="s">
        <v>11</v>
      </c>
      <c r="I49" s="58" t="s">
        <v>10</v>
      </c>
      <c r="J49" s="59" t="s">
        <v>98</v>
      </c>
      <c r="K49" s="55"/>
    </row>
    <row r="50" spans="1:11" ht="12.75" customHeight="1" thickBot="1" x14ac:dyDescent="0.25">
      <c r="A50" s="60">
        <v>45</v>
      </c>
      <c r="B50" s="60">
        <v>0</v>
      </c>
      <c r="C50" s="60">
        <v>45</v>
      </c>
      <c r="D50" s="60">
        <v>2</v>
      </c>
      <c r="E50" s="60">
        <v>0</v>
      </c>
      <c r="F50" s="60">
        <v>2</v>
      </c>
      <c r="G50" s="60">
        <v>43</v>
      </c>
      <c r="H50" s="60">
        <v>0</v>
      </c>
      <c r="I50" s="60">
        <v>43</v>
      </c>
      <c r="J50" s="61" t="s">
        <v>97</v>
      </c>
      <c r="K50" s="55"/>
    </row>
    <row r="51" spans="1:11" ht="12.75" customHeight="1" thickBot="1" x14ac:dyDescent="0.25">
      <c r="A51" s="60">
        <v>89</v>
      </c>
      <c r="B51" s="60">
        <v>0</v>
      </c>
      <c r="C51" s="60">
        <v>89</v>
      </c>
      <c r="D51" s="60">
        <v>8</v>
      </c>
      <c r="E51" s="60">
        <v>0</v>
      </c>
      <c r="F51" s="60">
        <v>8</v>
      </c>
      <c r="G51" s="60">
        <v>81</v>
      </c>
      <c r="H51" s="60">
        <v>0</v>
      </c>
      <c r="I51" s="60">
        <v>81</v>
      </c>
      <c r="J51" s="61" t="s">
        <v>99</v>
      </c>
      <c r="K51" s="55"/>
    </row>
    <row r="52" spans="1:11" ht="12.75" customHeight="1" thickBot="1" x14ac:dyDescent="0.25">
      <c r="A52" s="60">
        <v>134</v>
      </c>
      <c r="B52" s="60">
        <v>0</v>
      </c>
      <c r="C52" s="60">
        <v>134</v>
      </c>
      <c r="D52" s="60">
        <v>10</v>
      </c>
      <c r="E52" s="60">
        <v>0</v>
      </c>
      <c r="F52" s="60">
        <v>10</v>
      </c>
      <c r="G52" s="60">
        <v>124</v>
      </c>
      <c r="H52" s="60">
        <v>0</v>
      </c>
      <c r="I52" s="60">
        <v>124</v>
      </c>
      <c r="J52" s="59" t="s">
        <v>211</v>
      </c>
      <c r="K52" s="55"/>
    </row>
    <row r="53" spans="1:11" ht="12.75" customHeight="1" x14ac:dyDescent="0.2">
      <c r="A53" s="177"/>
      <c r="B53" s="177"/>
      <c r="C53" s="177"/>
      <c r="D53" s="177"/>
      <c r="E53" s="177"/>
      <c r="F53" s="177"/>
      <c r="G53" s="177"/>
      <c r="H53" s="177"/>
      <c r="I53" s="177"/>
      <c r="J53" s="177"/>
      <c r="K53" s="55"/>
    </row>
    <row r="54" spans="1:11" ht="12.75" customHeight="1" x14ac:dyDescent="0.2">
      <c r="A54" s="177" t="s">
        <v>593</v>
      </c>
      <c r="B54" s="177"/>
      <c r="C54" s="177"/>
      <c r="D54" s="177"/>
      <c r="E54" s="177"/>
      <c r="F54" s="177"/>
      <c r="G54" s="177"/>
      <c r="H54" s="177"/>
      <c r="I54" s="177"/>
      <c r="J54" s="177"/>
      <c r="K54" s="55"/>
    </row>
    <row r="55" spans="1:11" ht="12.75" customHeight="1" thickBot="1" x14ac:dyDescent="0.25">
      <c r="A55" s="178" t="s">
        <v>594</v>
      </c>
      <c r="B55" s="178"/>
      <c r="C55" s="178"/>
      <c r="D55" s="178"/>
      <c r="E55" s="178"/>
      <c r="F55" s="178"/>
      <c r="G55" s="178"/>
      <c r="H55" s="178"/>
      <c r="I55" s="178"/>
      <c r="J55" s="178"/>
      <c r="K55" s="55"/>
    </row>
    <row r="56" spans="1:11" ht="12.75" customHeight="1" thickBot="1" x14ac:dyDescent="0.25">
      <c r="A56" s="179" t="s">
        <v>5</v>
      </c>
      <c r="B56" s="179"/>
      <c r="C56" s="179"/>
      <c r="D56" s="179" t="s">
        <v>162</v>
      </c>
      <c r="E56" s="179"/>
      <c r="F56" s="179"/>
      <c r="G56" s="179" t="s">
        <v>163</v>
      </c>
      <c r="H56" s="179"/>
      <c r="I56" s="179"/>
      <c r="J56" s="58" t="s">
        <v>72</v>
      </c>
      <c r="K56" s="55"/>
    </row>
    <row r="57" spans="1:11" ht="12.75" customHeight="1" thickBot="1" x14ac:dyDescent="0.25">
      <c r="A57" s="58" t="s">
        <v>216</v>
      </c>
      <c r="B57" s="58" t="s">
        <v>11</v>
      </c>
      <c r="C57" s="58" t="s">
        <v>10</v>
      </c>
      <c r="D57" s="58" t="s">
        <v>216</v>
      </c>
      <c r="E57" s="58" t="s">
        <v>11</v>
      </c>
      <c r="F57" s="58" t="s">
        <v>10</v>
      </c>
      <c r="G57" s="58" t="s">
        <v>216</v>
      </c>
      <c r="H57" s="58" t="s">
        <v>11</v>
      </c>
      <c r="I57" s="58" t="s">
        <v>10</v>
      </c>
      <c r="J57" s="59" t="s">
        <v>80</v>
      </c>
      <c r="K57" s="55"/>
    </row>
    <row r="58" spans="1:11" ht="12.75" customHeight="1" thickBot="1" x14ac:dyDescent="0.25">
      <c r="A58" s="60">
        <f>SUM(B58:C58)</f>
        <v>39</v>
      </c>
      <c r="B58" s="60">
        <f>H58+E58</f>
        <v>0</v>
      </c>
      <c r="C58" s="60">
        <f>I58+F58</f>
        <v>39</v>
      </c>
      <c r="D58" s="60">
        <f>SUM(E58:F58)</f>
        <v>0</v>
      </c>
      <c r="E58" s="60">
        <v>0</v>
      </c>
      <c r="F58" s="60">
        <v>0</v>
      </c>
      <c r="G58" s="60">
        <f>SUM(H58:I58)</f>
        <v>39</v>
      </c>
      <c r="H58" s="60">
        <v>0</v>
      </c>
      <c r="I58" s="60">
        <v>39</v>
      </c>
      <c r="J58" s="61" t="s">
        <v>558</v>
      </c>
      <c r="K58" s="55"/>
    </row>
    <row r="59" spans="1:11" ht="12.75" customHeight="1" thickBot="1" x14ac:dyDescent="0.25">
      <c r="A59" s="60">
        <f t="shared" ref="A59:A67" si="8">SUM(B59:C59)</f>
        <v>494</v>
      </c>
      <c r="B59" s="60">
        <f t="shared" ref="B59:C67" si="9">H59+E59</f>
        <v>349</v>
      </c>
      <c r="C59" s="60">
        <f t="shared" si="9"/>
        <v>145</v>
      </c>
      <c r="D59" s="60">
        <f t="shared" ref="D59:D67" si="10">SUM(E59:F59)</f>
        <v>12</v>
      </c>
      <c r="E59" s="60">
        <v>7</v>
      </c>
      <c r="F59" s="60">
        <v>5</v>
      </c>
      <c r="G59" s="60">
        <f t="shared" ref="G59:G67" si="11">SUM(H59:I59)</f>
        <v>482</v>
      </c>
      <c r="H59" s="60">
        <f>444-102</f>
        <v>342</v>
      </c>
      <c r="I59" s="60">
        <v>140</v>
      </c>
      <c r="J59" s="61" t="s">
        <v>77</v>
      </c>
      <c r="K59" s="55"/>
    </row>
    <row r="60" spans="1:11" ht="12.75" customHeight="1" thickBot="1" x14ac:dyDescent="0.25">
      <c r="A60" s="60">
        <f t="shared" si="8"/>
        <v>269</v>
      </c>
      <c r="B60" s="60">
        <f t="shared" si="9"/>
        <v>269</v>
      </c>
      <c r="C60" s="60">
        <f t="shared" si="9"/>
        <v>0</v>
      </c>
      <c r="D60" s="60">
        <f t="shared" si="10"/>
        <v>0</v>
      </c>
      <c r="E60" s="60">
        <v>0</v>
      </c>
      <c r="F60" s="60">
        <v>0</v>
      </c>
      <c r="G60" s="60">
        <f t="shared" si="11"/>
        <v>269</v>
      </c>
      <c r="H60" s="60">
        <v>269</v>
      </c>
      <c r="I60" s="60">
        <v>0</v>
      </c>
      <c r="J60" s="61" t="s">
        <v>100</v>
      </c>
      <c r="K60" s="55"/>
    </row>
    <row r="61" spans="1:11" ht="12.75" customHeight="1" thickBot="1" x14ac:dyDescent="0.25">
      <c r="A61" s="60">
        <f t="shared" si="8"/>
        <v>506</v>
      </c>
      <c r="B61" s="60">
        <f t="shared" si="9"/>
        <v>506</v>
      </c>
      <c r="C61" s="60">
        <f t="shared" si="9"/>
        <v>0</v>
      </c>
      <c r="D61" s="60">
        <f t="shared" si="10"/>
        <v>0</v>
      </c>
      <c r="E61" s="60">
        <v>0</v>
      </c>
      <c r="F61" s="60">
        <v>0</v>
      </c>
      <c r="G61" s="60">
        <f t="shared" si="11"/>
        <v>506</v>
      </c>
      <c r="H61" s="60">
        <f>506</f>
        <v>506</v>
      </c>
      <c r="I61" s="60">
        <v>0</v>
      </c>
      <c r="J61" s="61" t="s">
        <v>101</v>
      </c>
      <c r="K61" s="55"/>
    </row>
    <row r="62" spans="1:11" ht="12.75" customHeight="1" thickBot="1" x14ac:dyDescent="0.25">
      <c r="A62" s="60">
        <f t="shared" si="8"/>
        <v>78</v>
      </c>
      <c r="B62" s="60">
        <f t="shared" si="9"/>
        <v>78</v>
      </c>
      <c r="C62" s="60">
        <f t="shared" si="9"/>
        <v>0</v>
      </c>
      <c r="D62" s="60">
        <f t="shared" si="10"/>
        <v>0</v>
      </c>
      <c r="E62" s="60">
        <v>0</v>
      </c>
      <c r="F62" s="60">
        <v>0</v>
      </c>
      <c r="G62" s="60">
        <f t="shared" si="11"/>
        <v>78</v>
      </c>
      <c r="H62" s="60">
        <f>111-33</f>
        <v>78</v>
      </c>
      <c r="I62" s="60">
        <v>0</v>
      </c>
      <c r="J62" s="61" t="s">
        <v>251</v>
      </c>
      <c r="K62" s="55"/>
    </row>
    <row r="63" spans="1:11" ht="12.75" customHeight="1" thickBot="1" x14ac:dyDescent="0.25">
      <c r="A63" s="60">
        <f t="shared" si="8"/>
        <v>75</v>
      </c>
      <c r="B63" s="60">
        <f t="shared" si="9"/>
        <v>75</v>
      </c>
      <c r="C63" s="60">
        <f t="shared" si="9"/>
        <v>0</v>
      </c>
      <c r="D63" s="60">
        <f t="shared" si="10"/>
        <v>0</v>
      </c>
      <c r="E63" s="60">
        <v>0</v>
      </c>
      <c r="F63" s="60">
        <v>0</v>
      </c>
      <c r="G63" s="60">
        <f t="shared" si="11"/>
        <v>75</v>
      </c>
      <c r="H63" s="60">
        <v>75</v>
      </c>
      <c r="I63" s="60">
        <v>0</v>
      </c>
      <c r="J63" s="61" t="s">
        <v>252</v>
      </c>
      <c r="K63" s="55"/>
    </row>
    <row r="64" spans="1:11" ht="12.75" customHeight="1" thickBot="1" x14ac:dyDescent="0.25">
      <c r="A64" s="60">
        <f t="shared" si="8"/>
        <v>63</v>
      </c>
      <c r="B64" s="60">
        <f t="shared" si="9"/>
        <v>63</v>
      </c>
      <c r="C64" s="60">
        <f t="shared" si="9"/>
        <v>0</v>
      </c>
      <c r="D64" s="60">
        <f t="shared" si="10"/>
        <v>0</v>
      </c>
      <c r="E64" s="60">
        <v>0</v>
      </c>
      <c r="F64" s="60">
        <v>0</v>
      </c>
      <c r="G64" s="60">
        <f t="shared" si="11"/>
        <v>63</v>
      </c>
      <c r="H64" s="60">
        <v>63</v>
      </c>
      <c r="I64" s="60">
        <v>0</v>
      </c>
      <c r="J64" s="61" t="s">
        <v>253</v>
      </c>
      <c r="K64" s="55"/>
    </row>
    <row r="65" spans="1:14" ht="12.75" customHeight="1" thickBot="1" x14ac:dyDescent="0.25">
      <c r="A65" s="60">
        <f t="shared" si="8"/>
        <v>31</v>
      </c>
      <c r="B65" s="60">
        <f t="shared" si="9"/>
        <v>31</v>
      </c>
      <c r="C65" s="60">
        <f t="shared" si="9"/>
        <v>0</v>
      </c>
      <c r="D65" s="60">
        <f t="shared" si="10"/>
        <v>0</v>
      </c>
      <c r="E65" s="60">
        <v>0</v>
      </c>
      <c r="F65" s="60">
        <v>0</v>
      </c>
      <c r="G65" s="60">
        <f t="shared" si="11"/>
        <v>31</v>
      </c>
      <c r="H65" s="60">
        <v>31</v>
      </c>
      <c r="I65" s="60">
        <v>0</v>
      </c>
      <c r="J65" s="61" t="s">
        <v>254</v>
      </c>
      <c r="K65" s="55"/>
      <c r="N65" s="69"/>
    </row>
    <row r="66" spans="1:14" ht="12.75" customHeight="1" thickBot="1" x14ac:dyDescent="0.25">
      <c r="A66" s="60">
        <f t="shared" si="8"/>
        <v>135</v>
      </c>
      <c r="B66" s="60">
        <f t="shared" si="9"/>
        <v>0</v>
      </c>
      <c r="C66" s="60">
        <f t="shared" si="9"/>
        <v>135</v>
      </c>
      <c r="D66" s="60">
        <f t="shared" si="10"/>
        <v>0</v>
      </c>
      <c r="E66" s="60">
        <v>0</v>
      </c>
      <c r="F66" s="60">
        <v>0</v>
      </c>
      <c r="G66" s="60">
        <f t="shared" si="11"/>
        <v>135</v>
      </c>
      <c r="H66" s="60">
        <v>0</v>
      </c>
      <c r="I66" s="60">
        <v>135</v>
      </c>
      <c r="J66" s="61" t="s">
        <v>255</v>
      </c>
      <c r="K66" s="55"/>
    </row>
    <row r="67" spans="1:14" ht="12.75" customHeight="1" thickBot="1" x14ac:dyDescent="0.25">
      <c r="A67" s="60">
        <f t="shared" si="8"/>
        <v>189</v>
      </c>
      <c r="B67" s="60">
        <f t="shared" si="9"/>
        <v>0</v>
      </c>
      <c r="C67" s="60">
        <f t="shared" si="9"/>
        <v>189</v>
      </c>
      <c r="D67" s="60">
        <f t="shared" si="10"/>
        <v>0</v>
      </c>
      <c r="E67" s="60">
        <v>0</v>
      </c>
      <c r="F67" s="60">
        <v>0</v>
      </c>
      <c r="G67" s="60">
        <f t="shared" si="11"/>
        <v>189</v>
      </c>
      <c r="H67" s="60">
        <v>0</v>
      </c>
      <c r="I67" s="60">
        <v>189</v>
      </c>
      <c r="J67" s="61" t="s">
        <v>256</v>
      </c>
      <c r="K67" s="55"/>
    </row>
    <row r="68" spans="1:14" ht="12.75" customHeight="1" thickBot="1" x14ac:dyDescent="0.25">
      <c r="A68" s="60">
        <f t="shared" ref="A68:H68" si="12">SUM(A58:A67)</f>
        <v>1879</v>
      </c>
      <c r="B68" s="60">
        <f t="shared" si="12"/>
        <v>1371</v>
      </c>
      <c r="C68" s="60">
        <f t="shared" si="12"/>
        <v>508</v>
      </c>
      <c r="D68" s="60">
        <f t="shared" si="12"/>
        <v>12</v>
      </c>
      <c r="E68" s="60">
        <f t="shared" si="12"/>
        <v>7</v>
      </c>
      <c r="F68" s="60">
        <f t="shared" si="12"/>
        <v>5</v>
      </c>
      <c r="G68" s="60">
        <f t="shared" si="12"/>
        <v>1867</v>
      </c>
      <c r="H68" s="60">
        <f t="shared" si="12"/>
        <v>1364</v>
      </c>
      <c r="I68" s="60">
        <f>SUM(I58:I67)</f>
        <v>503</v>
      </c>
      <c r="J68" s="59" t="s">
        <v>211</v>
      </c>
      <c r="K68" s="55"/>
    </row>
    <row r="69" spans="1:14" ht="12.75" customHeight="1" x14ac:dyDescent="0.2">
      <c r="A69" s="177"/>
      <c r="B69" s="177"/>
      <c r="C69" s="177"/>
      <c r="D69" s="177"/>
      <c r="E69" s="177"/>
      <c r="F69" s="177"/>
      <c r="G69" s="177"/>
      <c r="H69" s="177"/>
      <c r="I69" s="177"/>
      <c r="J69" s="177"/>
      <c r="K69" s="55"/>
    </row>
    <row r="70" spans="1:14" ht="12.75" customHeight="1" x14ac:dyDescent="0.2">
      <c r="A70" s="177" t="s">
        <v>593</v>
      </c>
      <c r="B70" s="177"/>
      <c r="C70" s="177"/>
      <c r="D70" s="177"/>
      <c r="E70" s="177"/>
      <c r="F70" s="177"/>
      <c r="G70" s="177"/>
      <c r="H70" s="177"/>
      <c r="I70" s="177"/>
      <c r="J70" s="177"/>
      <c r="K70" s="55"/>
    </row>
    <row r="71" spans="1:14" ht="12.75" customHeight="1" thickBot="1" x14ac:dyDescent="0.25">
      <c r="A71" s="178" t="s">
        <v>594</v>
      </c>
      <c r="B71" s="178"/>
      <c r="C71" s="178"/>
      <c r="D71" s="178"/>
      <c r="E71" s="178"/>
      <c r="F71" s="178"/>
      <c r="G71" s="178"/>
      <c r="H71" s="178"/>
      <c r="I71" s="178"/>
      <c r="J71" s="178"/>
      <c r="K71" s="55"/>
    </row>
    <row r="72" spans="1:14" ht="12.75" customHeight="1" thickBot="1" x14ac:dyDescent="0.25">
      <c r="A72" s="179" t="s">
        <v>5</v>
      </c>
      <c r="B72" s="179"/>
      <c r="C72" s="179"/>
      <c r="D72" s="179" t="s">
        <v>162</v>
      </c>
      <c r="E72" s="179"/>
      <c r="F72" s="179"/>
      <c r="G72" s="179" t="s">
        <v>163</v>
      </c>
      <c r="H72" s="179"/>
      <c r="I72" s="179"/>
      <c r="J72" s="58" t="s">
        <v>72</v>
      </c>
      <c r="K72" s="55"/>
    </row>
    <row r="73" spans="1:14" ht="12.75" customHeight="1" thickBot="1" x14ac:dyDescent="0.25">
      <c r="A73" s="58" t="s">
        <v>216</v>
      </c>
      <c r="B73" s="58" t="s">
        <v>11</v>
      </c>
      <c r="C73" s="58" t="s">
        <v>10</v>
      </c>
      <c r="D73" s="58" t="s">
        <v>216</v>
      </c>
      <c r="E73" s="58" t="s">
        <v>11</v>
      </c>
      <c r="F73" s="58" t="s">
        <v>10</v>
      </c>
      <c r="G73" s="58" t="s">
        <v>216</v>
      </c>
      <c r="H73" s="58" t="s">
        <v>11</v>
      </c>
      <c r="I73" s="58" t="s">
        <v>10</v>
      </c>
      <c r="J73" s="59" t="s">
        <v>81</v>
      </c>
      <c r="K73" s="55"/>
    </row>
    <row r="74" spans="1:14" ht="12.75" customHeight="1" thickBot="1" x14ac:dyDescent="0.25">
      <c r="A74" s="60">
        <f t="shared" ref="A74:C79" si="13">G74+D74</f>
        <v>58</v>
      </c>
      <c r="B74" s="60">
        <f t="shared" si="13"/>
        <v>0</v>
      </c>
      <c r="C74" s="60">
        <f t="shared" si="13"/>
        <v>58</v>
      </c>
      <c r="D74" s="60">
        <f t="shared" ref="D74:D79" si="14">F74+E74</f>
        <v>0</v>
      </c>
      <c r="E74" s="60">
        <v>0</v>
      </c>
      <c r="F74" s="60">
        <v>0</v>
      </c>
      <c r="G74" s="60">
        <f t="shared" ref="G74:G79" si="15">I74+H74</f>
        <v>58</v>
      </c>
      <c r="H74" s="60">
        <v>0</v>
      </c>
      <c r="I74" s="60">
        <v>58</v>
      </c>
      <c r="J74" s="61" t="s">
        <v>257</v>
      </c>
      <c r="K74" s="55"/>
    </row>
    <row r="75" spans="1:14" ht="12.75" customHeight="1" thickBot="1" x14ac:dyDescent="0.25">
      <c r="A75" s="60">
        <f t="shared" si="13"/>
        <v>67</v>
      </c>
      <c r="B75" s="60">
        <f t="shared" si="13"/>
        <v>0</v>
      </c>
      <c r="C75" s="60">
        <f t="shared" si="13"/>
        <v>67</v>
      </c>
      <c r="D75" s="60">
        <f t="shared" si="14"/>
        <v>0</v>
      </c>
      <c r="E75" s="60">
        <v>0</v>
      </c>
      <c r="F75" s="60">
        <v>0</v>
      </c>
      <c r="G75" s="60">
        <f t="shared" si="15"/>
        <v>67</v>
      </c>
      <c r="H75" s="60">
        <v>0</v>
      </c>
      <c r="I75" s="60">
        <v>67</v>
      </c>
      <c r="J75" s="61" t="s">
        <v>102</v>
      </c>
      <c r="K75" s="55"/>
    </row>
    <row r="76" spans="1:14" ht="12.75" customHeight="1" thickBot="1" x14ac:dyDescent="0.25">
      <c r="A76" s="60">
        <f t="shared" si="13"/>
        <v>227</v>
      </c>
      <c r="B76" s="60">
        <f t="shared" si="13"/>
        <v>0</v>
      </c>
      <c r="C76" s="60">
        <f t="shared" si="13"/>
        <v>227</v>
      </c>
      <c r="D76" s="60">
        <f t="shared" si="14"/>
        <v>0</v>
      </c>
      <c r="E76" s="60">
        <v>0</v>
      </c>
      <c r="F76" s="60">
        <v>0</v>
      </c>
      <c r="G76" s="60">
        <f t="shared" si="15"/>
        <v>227</v>
      </c>
      <c r="H76" s="60">
        <v>0</v>
      </c>
      <c r="I76" s="60">
        <v>227</v>
      </c>
      <c r="J76" s="61" t="s">
        <v>103</v>
      </c>
      <c r="K76" s="55"/>
    </row>
    <row r="77" spans="1:14" ht="12.75" customHeight="1" thickBot="1" x14ac:dyDescent="0.25">
      <c r="A77" s="60">
        <f t="shared" si="13"/>
        <v>180</v>
      </c>
      <c r="B77" s="60">
        <f t="shared" si="13"/>
        <v>180</v>
      </c>
      <c r="C77" s="60">
        <f t="shared" si="13"/>
        <v>0</v>
      </c>
      <c r="D77" s="60">
        <f t="shared" si="14"/>
        <v>0</v>
      </c>
      <c r="E77" s="60">
        <v>0</v>
      </c>
      <c r="F77" s="60">
        <v>0</v>
      </c>
      <c r="G77" s="60">
        <f t="shared" si="15"/>
        <v>180</v>
      </c>
      <c r="H77" s="60">
        <v>180</v>
      </c>
      <c r="I77" s="60">
        <v>0</v>
      </c>
      <c r="J77" s="61" t="s">
        <v>258</v>
      </c>
      <c r="K77" s="55"/>
    </row>
    <row r="78" spans="1:14" ht="12.75" customHeight="1" thickBot="1" x14ac:dyDescent="0.25">
      <c r="A78" s="60">
        <f t="shared" si="13"/>
        <v>271</v>
      </c>
      <c r="B78" s="60">
        <f t="shared" si="13"/>
        <v>271</v>
      </c>
      <c r="C78" s="60">
        <f t="shared" si="13"/>
        <v>0</v>
      </c>
      <c r="D78" s="60">
        <f t="shared" si="14"/>
        <v>0</v>
      </c>
      <c r="E78" s="60">
        <v>0</v>
      </c>
      <c r="F78" s="60">
        <v>0</v>
      </c>
      <c r="G78" s="60">
        <f t="shared" si="15"/>
        <v>271</v>
      </c>
      <c r="H78" s="60">
        <v>271</v>
      </c>
      <c r="I78" s="60">
        <v>0</v>
      </c>
      <c r="J78" s="61" t="s">
        <v>432</v>
      </c>
      <c r="K78" s="55"/>
    </row>
    <row r="79" spans="1:14" ht="12.75" customHeight="1" thickBot="1" x14ac:dyDescent="0.25">
      <c r="A79" s="60">
        <f t="shared" si="13"/>
        <v>201</v>
      </c>
      <c r="B79" s="60">
        <f t="shared" si="13"/>
        <v>0</v>
      </c>
      <c r="C79" s="60">
        <f t="shared" si="13"/>
        <v>201</v>
      </c>
      <c r="D79" s="60">
        <f t="shared" si="14"/>
        <v>0</v>
      </c>
      <c r="E79" s="60">
        <v>0</v>
      </c>
      <c r="F79" s="60">
        <v>0</v>
      </c>
      <c r="G79" s="60">
        <f t="shared" si="15"/>
        <v>201</v>
      </c>
      <c r="H79" s="60">
        <v>0</v>
      </c>
      <c r="I79" s="60">
        <v>201</v>
      </c>
      <c r="J79" s="61" t="s">
        <v>259</v>
      </c>
      <c r="K79" s="55"/>
    </row>
    <row r="80" spans="1:14" ht="12.75" customHeight="1" thickBot="1" x14ac:dyDescent="0.25">
      <c r="A80" s="60">
        <f t="shared" ref="A80:I80" si="16">SUM(A74:A79)</f>
        <v>1004</v>
      </c>
      <c r="B80" s="60">
        <f t="shared" si="16"/>
        <v>451</v>
      </c>
      <c r="C80" s="60">
        <f t="shared" si="16"/>
        <v>553</v>
      </c>
      <c r="D80" s="60">
        <f t="shared" si="16"/>
        <v>0</v>
      </c>
      <c r="E80" s="60">
        <f t="shared" si="16"/>
        <v>0</v>
      </c>
      <c r="F80" s="60">
        <f t="shared" si="16"/>
        <v>0</v>
      </c>
      <c r="G80" s="60">
        <f t="shared" si="16"/>
        <v>1004</v>
      </c>
      <c r="H80" s="60">
        <f t="shared" si="16"/>
        <v>451</v>
      </c>
      <c r="I80" s="60">
        <f t="shared" si="16"/>
        <v>553</v>
      </c>
      <c r="J80" s="59" t="s">
        <v>211</v>
      </c>
      <c r="K80" s="55"/>
    </row>
    <row r="81" spans="1:11" ht="12.75" customHeight="1" x14ac:dyDescent="0.2">
      <c r="A81" s="177"/>
      <c r="B81" s="177"/>
      <c r="C81" s="177"/>
      <c r="D81" s="177"/>
      <c r="E81" s="177"/>
      <c r="F81" s="177"/>
      <c r="G81" s="177"/>
      <c r="H81" s="177"/>
      <c r="I81" s="177"/>
      <c r="J81" s="177"/>
      <c r="K81" s="55"/>
    </row>
    <row r="82" spans="1:11" ht="12.75" customHeight="1" x14ac:dyDescent="0.2">
      <c r="A82" s="177" t="s">
        <v>593</v>
      </c>
      <c r="B82" s="177"/>
      <c r="C82" s="177"/>
      <c r="D82" s="177"/>
      <c r="E82" s="177"/>
      <c r="F82" s="177"/>
      <c r="G82" s="177"/>
      <c r="H82" s="177"/>
      <c r="I82" s="177"/>
      <c r="J82" s="177"/>
      <c r="K82" s="55"/>
    </row>
    <row r="83" spans="1:11" ht="12.75" customHeight="1" thickBot="1" x14ac:dyDescent="0.25">
      <c r="A83" s="178" t="s">
        <v>594</v>
      </c>
      <c r="B83" s="178"/>
      <c r="C83" s="178"/>
      <c r="D83" s="178"/>
      <c r="E83" s="178"/>
      <c r="F83" s="178"/>
      <c r="G83" s="178"/>
      <c r="H83" s="178"/>
      <c r="I83" s="178"/>
      <c r="J83" s="178"/>
      <c r="K83" s="55"/>
    </row>
    <row r="84" spans="1:11" ht="12.75" customHeight="1" thickBot="1" x14ac:dyDescent="0.25">
      <c r="A84" s="179" t="s">
        <v>5</v>
      </c>
      <c r="B84" s="179"/>
      <c r="C84" s="179"/>
      <c r="D84" s="179" t="s">
        <v>162</v>
      </c>
      <c r="E84" s="179"/>
      <c r="F84" s="179"/>
      <c r="G84" s="179" t="s">
        <v>163</v>
      </c>
      <c r="H84" s="179"/>
      <c r="I84" s="179"/>
      <c r="J84" s="58" t="s">
        <v>72</v>
      </c>
      <c r="K84" s="55"/>
    </row>
    <row r="85" spans="1:11" ht="12.75" customHeight="1" thickBot="1" x14ac:dyDescent="0.25">
      <c r="A85" s="58" t="s">
        <v>216</v>
      </c>
      <c r="B85" s="58" t="s">
        <v>11</v>
      </c>
      <c r="C85" s="58" t="s">
        <v>10</v>
      </c>
      <c r="D85" s="58" t="s">
        <v>216</v>
      </c>
      <c r="E85" s="58" t="s">
        <v>11</v>
      </c>
      <c r="F85" s="58" t="s">
        <v>10</v>
      </c>
      <c r="G85" s="58" t="s">
        <v>216</v>
      </c>
      <c r="H85" s="58" t="s">
        <v>11</v>
      </c>
      <c r="I85" s="58" t="s">
        <v>10</v>
      </c>
      <c r="J85" s="59" t="s">
        <v>108</v>
      </c>
      <c r="K85" s="55"/>
    </row>
    <row r="86" spans="1:11" ht="12.75" customHeight="1" thickBot="1" x14ac:dyDescent="0.25">
      <c r="A86" s="60">
        <f>SUM(B86:C86)</f>
        <v>156</v>
      </c>
      <c r="B86" s="60">
        <f>H86+E86</f>
        <v>156</v>
      </c>
      <c r="C86" s="60">
        <f>I86+F86</f>
        <v>0</v>
      </c>
      <c r="D86" s="60">
        <f>SUM(E86:F86)</f>
        <v>0</v>
      </c>
      <c r="E86" s="60">
        <v>0</v>
      </c>
      <c r="F86" s="60">
        <v>0</v>
      </c>
      <c r="G86" s="60">
        <f>SUM(H86:I86)</f>
        <v>156</v>
      </c>
      <c r="H86" s="60">
        <f>75+81</f>
        <v>156</v>
      </c>
      <c r="I86" s="60">
        <v>0</v>
      </c>
      <c r="J86" s="61" t="s">
        <v>559</v>
      </c>
      <c r="K86" s="55"/>
    </row>
    <row r="87" spans="1:11" ht="12.75" customHeight="1" thickBot="1" x14ac:dyDescent="0.25">
      <c r="A87" s="60">
        <f t="shared" ref="A87:H87" si="17">SUM(A86)</f>
        <v>156</v>
      </c>
      <c r="B87" s="60">
        <f t="shared" si="17"/>
        <v>156</v>
      </c>
      <c r="C87" s="60">
        <f t="shared" si="17"/>
        <v>0</v>
      </c>
      <c r="D87" s="60">
        <f t="shared" si="17"/>
        <v>0</v>
      </c>
      <c r="E87" s="60">
        <f t="shared" si="17"/>
        <v>0</v>
      </c>
      <c r="F87" s="60">
        <f t="shared" si="17"/>
        <v>0</v>
      </c>
      <c r="G87" s="60">
        <f t="shared" si="17"/>
        <v>156</v>
      </c>
      <c r="H87" s="60">
        <f t="shared" si="17"/>
        <v>156</v>
      </c>
      <c r="I87" s="60">
        <f>SUM(I86)</f>
        <v>0</v>
      </c>
      <c r="J87" s="59" t="s">
        <v>211</v>
      </c>
      <c r="K87" s="55"/>
    </row>
    <row r="88" spans="1:11" ht="12.75" customHeight="1" x14ac:dyDescent="0.2">
      <c r="A88" s="177"/>
      <c r="B88" s="177"/>
      <c r="C88" s="177"/>
      <c r="D88" s="177"/>
      <c r="E88" s="177"/>
      <c r="F88" s="177"/>
      <c r="G88" s="177"/>
      <c r="H88" s="177"/>
      <c r="I88" s="177"/>
      <c r="J88" s="177"/>
      <c r="K88" s="55"/>
    </row>
    <row r="89" spans="1:11" ht="12.75" customHeight="1" x14ac:dyDescent="0.2">
      <c r="A89" s="177" t="s">
        <v>593</v>
      </c>
      <c r="B89" s="177"/>
      <c r="C89" s="177"/>
      <c r="D89" s="177"/>
      <c r="E89" s="177"/>
      <c r="F89" s="177"/>
      <c r="G89" s="177"/>
      <c r="H89" s="177"/>
      <c r="I89" s="177"/>
      <c r="J89" s="177"/>
      <c r="K89" s="55"/>
    </row>
    <row r="90" spans="1:11" ht="12.75" customHeight="1" thickBot="1" x14ac:dyDescent="0.25">
      <c r="A90" s="178" t="s">
        <v>594</v>
      </c>
      <c r="B90" s="178"/>
      <c r="C90" s="178"/>
      <c r="D90" s="178"/>
      <c r="E90" s="178"/>
      <c r="F90" s="178"/>
      <c r="G90" s="178"/>
      <c r="H90" s="178"/>
      <c r="I90" s="178"/>
      <c r="J90" s="178"/>
      <c r="K90" s="55"/>
    </row>
    <row r="91" spans="1:11" ht="12.75" customHeight="1" thickBot="1" x14ac:dyDescent="0.25">
      <c r="A91" s="179" t="s">
        <v>5</v>
      </c>
      <c r="B91" s="179"/>
      <c r="C91" s="179"/>
      <c r="D91" s="179" t="s">
        <v>162</v>
      </c>
      <c r="E91" s="179"/>
      <c r="F91" s="179"/>
      <c r="G91" s="179" t="s">
        <v>163</v>
      </c>
      <c r="H91" s="179"/>
      <c r="I91" s="179"/>
      <c r="J91" s="58" t="s">
        <v>72</v>
      </c>
      <c r="K91" s="55"/>
    </row>
    <row r="92" spans="1:11" ht="12.75" customHeight="1" thickBot="1" x14ac:dyDescent="0.25">
      <c r="A92" s="58" t="s">
        <v>216</v>
      </c>
      <c r="B92" s="58" t="s">
        <v>11</v>
      </c>
      <c r="C92" s="58" t="s">
        <v>10</v>
      </c>
      <c r="D92" s="58" t="s">
        <v>216</v>
      </c>
      <c r="E92" s="58" t="s">
        <v>11</v>
      </c>
      <c r="F92" s="58" t="s">
        <v>10</v>
      </c>
      <c r="G92" s="58" t="s">
        <v>216</v>
      </c>
      <c r="H92" s="58" t="s">
        <v>11</v>
      </c>
      <c r="I92" s="58" t="s">
        <v>10</v>
      </c>
      <c r="J92" s="59" t="s">
        <v>82</v>
      </c>
      <c r="K92" s="55"/>
    </row>
    <row r="93" spans="1:11" ht="12.75" customHeight="1" thickBot="1" x14ac:dyDescent="0.25">
      <c r="A93" s="60">
        <f t="shared" ref="A93:B95" si="18">G93+D93</f>
        <v>155</v>
      </c>
      <c r="B93" s="60">
        <f t="shared" si="18"/>
        <v>155</v>
      </c>
      <c r="C93" s="60">
        <f>I93+F93</f>
        <v>0</v>
      </c>
      <c r="D93" s="60">
        <f>F93+E93</f>
        <v>0</v>
      </c>
      <c r="E93" s="60">
        <v>0</v>
      </c>
      <c r="F93" s="60">
        <v>0</v>
      </c>
      <c r="G93" s="60">
        <f>I93+H93</f>
        <v>155</v>
      </c>
      <c r="H93" s="60">
        <v>155</v>
      </c>
      <c r="I93" s="60">
        <v>0</v>
      </c>
      <c r="J93" s="61" t="s">
        <v>111</v>
      </c>
      <c r="K93" s="55"/>
    </row>
    <row r="94" spans="1:11" ht="12.75" customHeight="1" thickBot="1" x14ac:dyDescent="0.25">
      <c r="A94" s="60">
        <f t="shared" si="18"/>
        <v>189</v>
      </c>
      <c r="B94" s="60">
        <f t="shared" si="18"/>
        <v>66</v>
      </c>
      <c r="C94" s="60">
        <f>I94+F94</f>
        <v>123</v>
      </c>
      <c r="D94" s="60">
        <f>F94+E94</f>
        <v>0</v>
      </c>
      <c r="E94" s="60">
        <v>0</v>
      </c>
      <c r="F94" s="60">
        <v>0</v>
      </c>
      <c r="G94" s="60">
        <f>I94+H94</f>
        <v>189</v>
      </c>
      <c r="H94" s="60">
        <v>66</v>
      </c>
      <c r="I94" s="60">
        <v>123</v>
      </c>
      <c r="J94" s="61" t="s">
        <v>112</v>
      </c>
      <c r="K94" s="55"/>
    </row>
    <row r="95" spans="1:11" ht="12.75" customHeight="1" thickBot="1" x14ac:dyDescent="0.25">
      <c r="A95" s="60">
        <f t="shared" si="18"/>
        <v>572</v>
      </c>
      <c r="B95" s="60">
        <f t="shared" si="18"/>
        <v>264</v>
      </c>
      <c r="C95" s="60">
        <f>I95+F95</f>
        <v>308</v>
      </c>
      <c r="D95" s="60">
        <f>F95+E95</f>
        <v>0</v>
      </c>
      <c r="E95" s="60">
        <v>0</v>
      </c>
      <c r="F95" s="60">
        <v>0</v>
      </c>
      <c r="G95" s="60">
        <f>I95+H95</f>
        <v>572</v>
      </c>
      <c r="H95" s="60">
        <v>264</v>
      </c>
      <c r="I95" s="60">
        <v>308</v>
      </c>
      <c r="J95" s="61" t="s">
        <v>213</v>
      </c>
      <c r="K95" s="55"/>
    </row>
    <row r="96" spans="1:11" ht="12.75" customHeight="1" thickBot="1" x14ac:dyDescent="0.25">
      <c r="A96" s="60">
        <f t="shared" ref="A96:H96" si="19">SUM(A93:A95)</f>
        <v>916</v>
      </c>
      <c r="B96" s="60">
        <f t="shared" si="19"/>
        <v>485</v>
      </c>
      <c r="C96" s="60">
        <f t="shared" si="19"/>
        <v>431</v>
      </c>
      <c r="D96" s="60">
        <f t="shared" si="19"/>
        <v>0</v>
      </c>
      <c r="E96" s="60">
        <f t="shared" si="19"/>
        <v>0</v>
      </c>
      <c r="F96" s="60">
        <f t="shared" si="19"/>
        <v>0</v>
      </c>
      <c r="G96" s="60">
        <f>SUM(G93:G95)</f>
        <v>916</v>
      </c>
      <c r="H96" s="60">
        <f t="shared" si="19"/>
        <v>485</v>
      </c>
      <c r="I96" s="60">
        <f>SUM(I93:I95)</f>
        <v>431</v>
      </c>
      <c r="J96" s="59" t="s">
        <v>211</v>
      </c>
      <c r="K96" s="55"/>
    </row>
    <row r="97" spans="1:11" ht="12.75" customHeight="1" x14ac:dyDescent="0.2">
      <c r="A97" s="177"/>
      <c r="B97" s="177"/>
      <c r="C97" s="177"/>
      <c r="D97" s="177"/>
      <c r="E97" s="177"/>
      <c r="F97" s="177"/>
      <c r="G97" s="177"/>
      <c r="H97" s="177"/>
      <c r="I97" s="177"/>
      <c r="J97" s="177"/>
      <c r="K97" s="55"/>
    </row>
    <row r="98" spans="1:11" ht="12.75" customHeight="1" x14ac:dyDescent="0.2">
      <c r="A98" s="177" t="s">
        <v>593</v>
      </c>
      <c r="B98" s="177"/>
      <c r="C98" s="177"/>
      <c r="D98" s="177"/>
      <c r="E98" s="177"/>
      <c r="F98" s="177"/>
      <c r="G98" s="177"/>
      <c r="H98" s="177"/>
      <c r="I98" s="177"/>
      <c r="J98" s="177"/>
      <c r="K98" s="55"/>
    </row>
    <row r="99" spans="1:11" ht="12.75" customHeight="1" thickBot="1" x14ac:dyDescent="0.25">
      <c r="A99" s="178" t="s">
        <v>594</v>
      </c>
      <c r="B99" s="178"/>
      <c r="C99" s="178"/>
      <c r="D99" s="178"/>
      <c r="E99" s="178"/>
      <c r="F99" s="178"/>
      <c r="G99" s="178"/>
      <c r="H99" s="178"/>
      <c r="I99" s="178"/>
      <c r="J99" s="178"/>
      <c r="K99" s="55"/>
    </row>
    <row r="100" spans="1:11" ht="12.75" customHeight="1" thickBot="1" x14ac:dyDescent="0.25">
      <c r="A100" s="179" t="s">
        <v>5</v>
      </c>
      <c r="B100" s="179"/>
      <c r="C100" s="179"/>
      <c r="D100" s="179" t="s">
        <v>162</v>
      </c>
      <c r="E100" s="179"/>
      <c r="F100" s="179"/>
      <c r="G100" s="179" t="s">
        <v>163</v>
      </c>
      <c r="H100" s="179"/>
      <c r="I100" s="179"/>
      <c r="J100" s="58" t="s">
        <v>72</v>
      </c>
      <c r="K100" s="55"/>
    </row>
    <row r="101" spans="1:11" ht="12.75" customHeight="1" thickBot="1" x14ac:dyDescent="0.25">
      <c r="A101" s="58" t="s">
        <v>216</v>
      </c>
      <c r="B101" s="58" t="s">
        <v>11</v>
      </c>
      <c r="C101" s="58" t="s">
        <v>10</v>
      </c>
      <c r="D101" s="58" t="s">
        <v>216</v>
      </c>
      <c r="E101" s="58" t="s">
        <v>11</v>
      </c>
      <c r="F101" s="58" t="s">
        <v>10</v>
      </c>
      <c r="G101" s="58" t="s">
        <v>216</v>
      </c>
      <c r="H101" s="58" t="s">
        <v>11</v>
      </c>
      <c r="I101" s="58" t="s">
        <v>10</v>
      </c>
      <c r="J101" s="59" t="s">
        <v>83</v>
      </c>
      <c r="K101" s="55"/>
    </row>
    <row r="102" spans="1:11" ht="12.75" customHeight="1" thickBot="1" x14ac:dyDescent="0.25">
      <c r="A102" s="60">
        <f>SUM(B102:C102)</f>
        <v>106</v>
      </c>
      <c r="B102" s="60">
        <f>H102+E102</f>
        <v>0</v>
      </c>
      <c r="C102" s="60">
        <f>I102+F102</f>
        <v>106</v>
      </c>
      <c r="D102" s="60">
        <f>SUM(E102:F102)</f>
        <v>0</v>
      </c>
      <c r="E102" s="60">
        <v>0</v>
      </c>
      <c r="F102" s="60">
        <v>0</v>
      </c>
      <c r="G102" s="60">
        <f>SUM(H102:I102)</f>
        <v>106</v>
      </c>
      <c r="H102" s="60">
        <v>0</v>
      </c>
      <c r="I102" s="60">
        <v>106</v>
      </c>
      <c r="J102" s="61" t="s">
        <v>261</v>
      </c>
      <c r="K102" s="55"/>
    </row>
    <row r="103" spans="1:11" ht="12.75" customHeight="1" thickBot="1" x14ac:dyDescent="0.25">
      <c r="A103" s="60">
        <f t="shared" ref="A103" si="20">SUM(B103:C103)</f>
        <v>157</v>
      </c>
      <c r="B103" s="60">
        <f>H103+E103</f>
        <v>157</v>
      </c>
      <c r="C103" s="60">
        <f>I103+F103</f>
        <v>0</v>
      </c>
      <c r="D103" s="60">
        <f t="shared" ref="D103" si="21">SUM(E103:F103)</f>
        <v>0</v>
      </c>
      <c r="E103" s="60">
        <v>0</v>
      </c>
      <c r="F103" s="60">
        <v>0</v>
      </c>
      <c r="G103" s="60">
        <f t="shared" ref="G103" si="22">SUM(H103:I103)</f>
        <v>157</v>
      </c>
      <c r="H103" s="60">
        <f>77+80</f>
        <v>157</v>
      </c>
      <c r="I103" s="60">
        <v>0</v>
      </c>
      <c r="J103" s="61" t="s">
        <v>113</v>
      </c>
      <c r="K103" s="55"/>
    </row>
    <row r="104" spans="1:11" ht="12.75" customHeight="1" thickBot="1" x14ac:dyDescent="0.25">
      <c r="A104" s="60">
        <f t="shared" ref="A104:H104" si="23">SUM(A102:A103)</f>
        <v>263</v>
      </c>
      <c r="B104" s="60">
        <f t="shared" si="23"/>
        <v>157</v>
      </c>
      <c r="C104" s="60">
        <f t="shared" si="23"/>
        <v>106</v>
      </c>
      <c r="D104" s="60">
        <f t="shared" si="23"/>
        <v>0</v>
      </c>
      <c r="E104" s="60">
        <f t="shared" si="23"/>
        <v>0</v>
      </c>
      <c r="F104" s="60">
        <f t="shared" si="23"/>
        <v>0</v>
      </c>
      <c r="G104" s="60">
        <f t="shared" si="23"/>
        <v>263</v>
      </c>
      <c r="H104" s="60">
        <f t="shared" si="23"/>
        <v>157</v>
      </c>
      <c r="I104" s="60">
        <f>SUM(I102:I103)</f>
        <v>106</v>
      </c>
      <c r="J104" s="59" t="s">
        <v>211</v>
      </c>
      <c r="K104" s="55"/>
    </row>
    <row r="105" spans="1:11" ht="12.75" customHeight="1" x14ac:dyDescent="0.2">
      <c r="A105" s="177"/>
      <c r="B105" s="177"/>
      <c r="C105" s="177"/>
      <c r="D105" s="177"/>
      <c r="E105" s="177"/>
      <c r="F105" s="177"/>
      <c r="G105" s="177"/>
      <c r="H105" s="177"/>
      <c r="I105" s="177"/>
      <c r="J105" s="177"/>
      <c r="K105" s="55"/>
    </row>
    <row r="106" spans="1:11" ht="12.75" customHeight="1" x14ac:dyDescent="0.2">
      <c r="A106" s="177" t="s">
        <v>593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55"/>
    </row>
    <row r="107" spans="1:11" ht="12.75" customHeight="1" thickBot="1" x14ac:dyDescent="0.25">
      <c r="A107" s="178" t="s">
        <v>594</v>
      </c>
      <c r="B107" s="178"/>
      <c r="C107" s="178"/>
      <c r="D107" s="178"/>
      <c r="E107" s="178"/>
      <c r="F107" s="178"/>
      <c r="G107" s="178"/>
      <c r="H107" s="178"/>
      <c r="I107" s="178"/>
      <c r="J107" s="178"/>
      <c r="K107" s="55"/>
    </row>
    <row r="108" spans="1:11" ht="12.75" customHeight="1" thickBot="1" x14ac:dyDescent="0.25">
      <c r="A108" s="179" t="s">
        <v>5</v>
      </c>
      <c r="B108" s="179"/>
      <c r="C108" s="179"/>
      <c r="D108" s="179" t="s">
        <v>162</v>
      </c>
      <c r="E108" s="179"/>
      <c r="F108" s="179"/>
      <c r="G108" s="179" t="s">
        <v>163</v>
      </c>
      <c r="H108" s="179"/>
      <c r="I108" s="179"/>
      <c r="J108" s="58" t="s">
        <v>72</v>
      </c>
      <c r="K108" s="55"/>
    </row>
    <row r="109" spans="1:11" ht="12.75" customHeight="1" thickBot="1" x14ac:dyDescent="0.25">
      <c r="A109" s="58" t="s">
        <v>216</v>
      </c>
      <c r="B109" s="58" t="s">
        <v>11</v>
      </c>
      <c r="C109" s="58" t="s">
        <v>10</v>
      </c>
      <c r="D109" s="58" t="s">
        <v>216</v>
      </c>
      <c r="E109" s="58" t="s">
        <v>11</v>
      </c>
      <c r="F109" s="58" t="s">
        <v>10</v>
      </c>
      <c r="G109" s="58" t="s">
        <v>216</v>
      </c>
      <c r="H109" s="58" t="s">
        <v>11</v>
      </c>
      <c r="I109" s="58" t="s">
        <v>10</v>
      </c>
      <c r="J109" s="59" t="s">
        <v>115</v>
      </c>
      <c r="K109" s="55"/>
    </row>
    <row r="110" spans="1:11" ht="12.75" customHeight="1" thickBot="1" x14ac:dyDescent="0.25">
      <c r="A110" s="60">
        <f t="shared" ref="A110:C115" si="24">G110+D110</f>
        <v>147</v>
      </c>
      <c r="B110" s="60">
        <f t="shared" si="24"/>
        <v>0</v>
      </c>
      <c r="C110" s="60">
        <f t="shared" si="24"/>
        <v>147</v>
      </c>
      <c r="D110" s="60">
        <f t="shared" ref="D110:D115" si="25">F110+E110</f>
        <v>0</v>
      </c>
      <c r="E110" s="60">
        <v>0</v>
      </c>
      <c r="F110" s="60">
        <v>0</v>
      </c>
      <c r="G110" s="60">
        <f t="shared" ref="G110:G115" si="26">I110+H110</f>
        <v>147</v>
      </c>
      <c r="H110" s="60">
        <v>0</v>
      </c>
      <c r="I110" s="60">
        <f>108+39</f>
        <v>147</v>
      </c>
      <c r="J110" s="61" t="s">
        <v>114</v>
      </c>
      <c r="K110" s="55"/>
    </row>
    <row r="111" spans="1:11" ht="12.75" customHeight="1" thickBot="1" x14ac:dyDescent="0.25">
      <c r="A111" s="60">
        <f t="shared" si="24"/>
        <v>152</v>
      </c>
      <c r="B111" s="60">
        <f t="shared" si="24"/>
        <v>0</v>
      </c>
      <c r="C111" s="60">
        <f t="shared" si="24"/>
        <v>152</v>
      </c>
      <c r="D111" s="60">
        <f t="shared" si="25"/>
        <v>0</v>
      </c>
      <c r="E111" s="60">
        <v>0</v>
      </c>
      <c r="F111" s="60">
        <v>0</v>
      </c>
      <c r="G111" s="60">
        <f t="shared" si="26"/>
        <v>152</v>
      </c>
      <c r="H111" s="60">
        <v>0</v>
      </c>
      <c r="I111" s="60">
        <f>52+100</f>
        <v>152</v>
      </c>
      <c r="J111" s="61" t="s">
        <v>247</v>
      </c>
      <c r="K111" s="55"/>
    </row>
    <row r="112" spans="1:11" ht="12.75" customHeight="1" thickBot="1" x14ac:dyDescent="0.25">
      <c r="A112" s="60">
        <f t="shared" si="24"/>
        <v>211</v>
      </c>
      <c r="B112" s="60">
        <f t="shared" si="24"/>
        <v>0</v>
      </c>
      <c r="C112" s="60">
        <f t="shared" si="24"/>
        <v>211</v>
      </c>
      <c r="D112" s="60">
        <f t="shared" si="25"/>
        <v>0</v>
      </c>
      <c r="E112" s="60">
        <v>0</v>
      </c>
      <c r="F112" s="60">
        <v>0</v>
      </c>
      <c r="G112" s="60">
        <f t="shared" si="26"/>
        <v>211</v>
      </c>
      <c r="H112" s="60">
        <v>0</v>
      </c>
      <c r="I112" s="60">
        <f>173+38</f>
        <v>211</v>
      </c>
      <c r="J112" s="61" t="s">
        <v>266</v>
      </c>
      <c r="K112" s="55"/>
    </row>
    <row r="113" spans="1:12" ht="12.75" customHeight="1" thickBot="1" x14ac:dyDescent="0.25">
      <c r="A113" s="60">
        <f t="shared" si="24"/>
        <v>193</v>
      </c>
      <c r="B113" s="60">
        <f t="shared" si="24"/>
        <v>193</v>
      </c>
      <c r="C113" s="60">
        <f t="shared" si="24"/>
        <v>0</v>
      </c>
      <c r="D113" s="60">
        <f t="shared" si="25"/>
        <v>0</v>
      </c>
      <c r="E113" s="60">
        <v>0</v>
      </c>
      <c r="F113" s="60">
        <v>0</v>
      </c>
      <c r="G113" s="60">
        <f t="shared" si="26"/>
        <v>193</v>
      </c>
      <c r="H113" s="60">
        <f>163+30</f>
        <v>193</v>
      </c>
      <c r="I113" s="60">
        <v>0</v>
      </c>
      <c r="J113" s="61" t="s">
        <v>267</v>
      </c>
      <c r="K113" s="55"/>
      <c r="L113" s="83"/>
    </row>
    <row r="114" spans="1:12" ht="12.75" customHeight="1" thickBot="1" x14ac:dyDescent="0.25">
      <c r="A114" s="60">
        <f t="shared" si="24"/>
        <v>275</v>
      </c>
      <c r="B114" s="60">
        <f t="shared" si="24"/>
        <v>275</v>
      </c>
      <c r="C114" s="60">
        <f t="shared" si="24"/>
        <v>0</v>
      </c>
      <c r="D114" s="60">
        <f t="shared" si="25"/>
        <v>0</v>
      </c>
      <c r="E114" s="60">
        <v>0</v>
      </c>
      <c r="F114" s="60">
        <v>0</v>
      </c>
      <c r="G114" s="60">
        <f t="shared" si="26"/>
        <v>275</v>
      </c>
      <c r="H114" s="60">
        <f>365-90</f>
        <v>275</v>
      </c>
      <c r="I114" s="60">
        <v>0</v>
      </c>
      <c r="J114" s="61" t="s">
        <v>479</v>
      </c>
      <c r="K114" s="55"/>
    </row>
    <row r="115" spans="1:12" ht="12.75" customHeight="1" thickBot="1" x14ac:dyDescent="0.25">
      <c r="A115" s="60">
        <f t="shared" si="24"/>
        <v>281</v>
      </c>
      <c r="B115" s="60">
        <f t="shared" si="24"/>
        <v>281</v>
      </c>
      <c r="C115" s="60">
        <f t="shared" si="24"/>
        <v>0</v>
      </c>
      <c r="D115" s="60">
        <f t="shared" si="25"/>
        <v>1</v>
      </c>
      <c r="E115" s="60">
        <v>1</v>
      </c>
      <c r="F115" s="60">
        <v>0</v>
      </c>
      <c r="G115" s="60">
        <f t="shared" si="26"/>
        <v>280</v>
      </c>
      <c r="H115" s="60">
        <f>313-33</f>
        <v>280</v>
      </c>
      <c r="I115" s="60">
        <v>0</v>
      </c>
      <c r="J115" s="61" t="s">
        <v>116</v>
      </c>
      <c r="K115" s="55"/>
    </row>
    <row r="116" spans="1:12" ht="12.75" customHeight="1" thickBot="1" x14ac:dyDescent="0.25">
      <c r="A116" s="60">
        <f t="shared" ref="A116:I116" si="27">SUM(A110:A115)</f>
        <v>1259</v>
      </c>
      <c r="B116" s="60">
        <f t="shared" si="27"/>
        <v>749</v>
      </c>
      <c r="C116" s="60">
        <f t="shared" si="27"/>
        <v>510</v>
      </c>
      <c r="D116" s="60">
        <f t="shared" si="27"/>
        <v>1</v>
      </c>
      <c r="E116" s="60">
        <f t="shared" si="27"/>
        <v>1</v>
      </c>
      <c r="F116" s="60">
        <f t="shared" si="27"/>
        <v>0</v>
      </c>
      <c r="G116" s="60">
        <f>SUM(G110:G115)</f>
        <v>1258</v>
      </c>
      <c r="H116" s="60">
        <f t="shared" si="27"/>
        <v>748</v>
      </c>
      <c r="I116" s="60">
        <f t="shared" si="27"/>
        <v>510</v>
      </c>
      <c r="J116" s="59" t="s">
        <v>211</v>
      </c>
      <c r="K116" s="55"/>
    </row>
    <row r="117" spans="1:12" ht="12.75" customHeight="1" x14ac:dyDescent="0.2">
      <c r="A117" s="177"/>
      <c r="B117" s="177"/>
      <c r="C117" s="177"/>
      <c r="D117" s="177"/>
      <c r="E117" s="177"/>
      <c r="F117" s="177"/>
      <c r="G117" s="177"/>
      <c r="H117" s="177"/>
      <c r="I117" s="177"/>
      <c r="J117" s="177"/>
      <c r="K117" s="55"/>
    </row>
    <row r="118" spans="1:12" ht="12.75" customHeight="1" x14ac:dyDescent="0.2">
      <c r="A118" s="177" t="s">
        <v>593</v>
      </c>
      <c r="B118" s="177"/>
      <c r="C118" s="177"/>
      <c r="D118" s="177"/>
      <c r="E118" s="177"/>
      <c r="F118" s="177"/>
      <c r="G118" s="177"/>
      <c r="H118" s="177"/>
      <c r="I118" s="177"/>
      <c r="J118" s="177"/>
      <c r="K118" s="55"/>
    </row>
    <row r="119" spans="1:12" ht="12.75" customHeight="1" thickBot="1" x14ac:dyDescent="0.25">
      <c r="A119" s="178" t="s">
        <v>594</v>
      </c>
      <c r="B119" s="178"/>
      <c r="C119" s="178"/>
      <c r="D119" s="178"/>
      <c r="E119" s="178"/>
      <c r="F119" s="178"/>
      <c r="G119" s="178"/>
      <c r="H119" s="178"/>
      <c r="I119" s="178"/>
      <c r="J119" s="178"/>
      <c r="K119" s="55"/>
    </row>
    <row r="120" spans="1:12" ht="12.75" customHeight="1" thickBot="1" x14ac:dyDescent="0.25">
      <c r="A120" s="179" t="s">
        <v>5</v>
      </c>
      <c r="B120" s="179"/>
      <c r="C120" s="179"/>
      <c r="D120" s="179" t="s">
        <v>162</v>
      </c>
      <c r="E120" s="179"/>
      <c r="F120" s="179"/>
      <c r="G120" s="179" t="s">
        <v>163</v>
      </c>
      <c r="H120" s="179"/>
      <c r="I120" s="179"/>
      <c r="J120" s="58" t="s">
        <v>72</v>
      </c>
      <c r="K120" s="55"/>
    </row>
    <row r="121" spans="1:12" ht="12.75" customHeight="1" thickBot="1" x14ac:dyDescent="0.25">
      <c r="A121" s="58" t="s">
        <v>216</v>
      </c>
      <c r="B121" s="58" t="s">
        <v>11</v>
      </c>
      <c r="C121" s="58" t="s">
        <v>10</v>
      </c>
      <c r="D121" s="58" t="s">
        <v>216</v>
      </c>
      <c r="E121" s="58" t="s">
        <v>11</v>
      </c>
      <c r="F121" s="58" t="s">
        <v>10</v>
      </c>
      <c r="G121" s="58" t="s">
        <v>216</v>
      </c>
      <c r="H121" s="58" t="s">
        <v>11</v>
      </c>
      <c r="I121" s="58" t="s">
        <v>10</v>
      </c>
      <c r="J121" s="59" t="s">
        <v>118</v>
      </c>
      <c r="K121" s="55"/>
    </row>
    <row r="122" spans="1:12" ht="12.75" customHeight="1" thickBot="1" x14ac:dyDescent="0.25">
      <c r="A122" s="60">
        <f>SUM(B122:C122)</f>
        <v>21</v>
      </c>
      <c r="B122" s="60">
        <f>H122+E122</f>
        <v>0</v>
      </c>
      <c r="C122" s="60">
        <f>I122+F122</f>
        <v>21</v>
      </c>
      <c r="D122" s="60">
        <f>SUM(E122:F122)</f>
        <v>0</v>
      </c>
      <c r="E122" s="60">
        <v>0</v>
      </c>
      <c r="F122" s="60">
        <v>0</v>
      </c>
      <c r="G122" s="60">
        <f>SUM(H122:I122)</f>
        <v>21</v>
      </c>
      <c r="H122" s="60">
        <v>0</v>
      </c>
      <c r="I122" s="60">
        <v>21</v>
      </c>
      <c r="J122" s="61" t="s">
        <v>268</v>
      </c>
      <c r="K122" s="55"/>
    </row>
    <row r="123" spans="1:12" ht="12.75" customHeight="1" thickBot="1" x14ac:dyDescent="0.25">
      <c r="A123" s="60">
        <f>SUM(B123:C123)</f>
        <v>259</v>
      </c>
      <c r="B123" s="60">
        <f>H123+E123</f>
        <v>162</v>
      </c>
      <c r="C123" s="60">
        <f>I123+F123</f>
        <v>97</v>
      </c>
      <c r="D123" s="60">
        <f>SUM(E123:F123)</f>
        <v>0</v>
      </c>
      <c r="E123" s="60">
        <v>0</v>
      </c>
      <c r="F123" s="60">
        <v>0</v>
      </c>
      <c r="G123" s="60">
        <f>SUM(H123:I123)</f>
        <v>259</v>
      </c>
      <c r="H123" s="60">
        <f>82+80</f>
        <v>162</v>
      </c>
      <c r="I123" s="60">
        <v>97</v>
      </c>
      <c r="J123" s="61" t="s">
        <v>269</v>
      </c>
      <c r="K123" s="55"/>
    </row>
    <row r="124" spans="1:12" ht="12.75" customHeight="1" thickBot="1" x14ac:dyDescent="0.25">
      <c r="A124" s="60">
        <f>SUM(A122:A123)</f>
        <v>280</v>
      </c>
      <c r="B124" s="60">
        <f t="shared" ref="B124:H124" si="28">SUM(B122:B123)</f>
        <v>162</v>
      </c>
      <c r="C124" s="60">
        <f t="shared" si="28"/>
        <v>118</v>
      </c>
      <c r="D124" s="60">
        <f t="shared" si="28"/>
        <v>0</v>
      </c>
      <c r="E124" s="60">
        <f t="shared" si="28"/>
        <v>0</v>
      </c>
      <c r="F124" s="60">
        <f t="shared" si="28"/>
        <v>0</v>
      </c>
      <c r="G124" s="60">
        <f t="shared" si="28"/>
        <v>280</v>
      </c>
      <c r="H124" s="60">
        <f t="shared" si="28"/>
        <v>162</v>
      </c>
      <c r="I124" s="60">
        <f>SUM(I122:I123)</f>
        <v>118</v>
      </c>
      <c r="J124" s="59" t="s">
        <v>211</v>
      </c>
      <c r="K124" s="55"/>
    </row>
    <row r="125" spans="1:12" ht="12.75" customHeight="1" x14ac:dyDescent="0.2">
      <c r="A125" s="177"/>
      <c r="B125" s="177"/>
      <c r="C125" s="177"/>
      <c r="D125" s="177"/>
      <c r="E125" s="177"/>
      <c r="F125" s="177"/>
      <c r="G125" s="177"/>
      <c r="H125" s="177"/>
      <c r="I125" s="177"/>
      <c r="J125" s="177"/>
      <c r="K125" s="55"/>
    </row>
    <row r="126" spans="1:12" ht="12.75" customHeight="1" x14ac:dyDescent="0.2">
      <c r="A126" s="177" t="s">
        <v>593</v>
      </c>
      <c r="B126" s="177"/>
      <c r="C126" s="177"/>
      <c r="D126" s="177"/>
      <c r="E126" s="177"/>
      <c r="F126" s="177"/>
      <c r="G126" s="177"/>
      <c r="H126" s="177"/>
      <c r="I126" s="177"/>
      <c r="J126" s="177"/>
      <c r="K126" s="55"/>
    </row>
    <row r="127" spans="1:12" ht="12.75" customHeight="1" thickBot="1" x14ac:dyDescent="0.25">
      <c r="A127" s="178" t="s">
        <v>594</v>
      </c>
      <c r="B127" s="178"/>
      <c r="C127" s="178"/>
      <c r="D127" s="178"/>
      <c r="E127" s="178"/>
      <c r="F127" s="178"/>
      <c r="G127" s="178"/>
      <c r="H127" s="178"/>
      <c r="I127" s="178"/>
      <c r="J127" s="178"/>
      <c r="K127" s="55"/>
    </row>
    <row r="128" spans="1:12" ht="12.75" customHeight="1" thickBot="1" x14ac:dyDescent="0.25">
      <c r="A128" s="179" t="s">
        <v>5</v>
      </c>
      <c r="B128" s="179"/>
      <c r="C128" s="179"/>
      <c r="D128" s="179" t="s">
        <v>162</v>
      </c>
      <c r="E128" s="179"/>
      <c r="F128" s="179"/>
      <c r="G128" s="179" t="s">
        <v>163</v>
      </c>
      <c r="H128" s="179"/>
      <c r="I128" s="179"/>
      <c r="J128" s="58" t="s">
        <v>72</v>
      </c>
      <c r="K128" s="55"/>
    </row>
    <row r="129" spans="1:13" ht="12.75" customHeight="1" thickBot="1" x14ac:dyDescent="0.25">
      <c r="A129" s="58" t="s">
        <v>216</v>
      </c>
      <c r="B129" s="58" t="s">
        <v>11</v>
      </c>
      <c r="C129" s="58" t="s">
        <v>10</v>
      </c>
      <c r="D129" s="58" t="s">
        <v>216</v>
      </c>
      <c r="E129" s="58" t="s">
        <v>11</v>
      </c>
      <c r="F129" s="58" t="s">
        <v>10</v>
      </c>
      <c r="G129" s="58" t="s">
        <v>216</v>
      </c>
      <c r="H129" s="58" t="s">
        <v>11</v>
      </c>
      <c r="I129" s="58" t="s">
        <v>10</v>
      </c>
      <c r="J129" s="59" t="s">
        <v>120</v>
      </c>
      <c r="K129" s="55"/>
    </row>
    <row r="130" spans="1:13" ht="12.75" customHeight="1" thickBot="1" x14ac:dyDescent="0.25">
      <c r="A130" s="60">
        <f>SUM(B130:C130)</f>
        <v>181</v>
      </c>
      <c r="B130" s="60">
        <f>H130+E130</f>
        <v>0</v>
      </c>
      <c r="C130" s="60">
        <f>I130+F130</f>
        <v>181</v>
      </c>
      <c r="D130" s="60">
        <f>SUM(E130:F130)</f>
        <v>0</v>
      </c>
      <c r="E130" s="60">
        <v>0</v>
      </c>
      <c r="F130" s="60">
        <v>0</v>
      </c>
      <c r="G130" s="60">
        <f>SUM(H130:I130)</f>
        <v>181</v>
      </c>
      <c r="H130" s="60">
        <v>0</v>
      </c>
      <c r="I130" s="60">
        <f>81+100</f>
        <v>181</v>
      </c>
      <c r="J130" s="61" t="s">
        <v>119</v>
      </c>
      <c r="K130" s="55"/>
    </row>
    <row r="131" spans="1:13" ht="12.75" customHeight="1" thickBot="1" x14ac:dyDescent="0.25">
      <c r="A131" s="60">
        <f t="shared" ref="A131:A135" si="29">SUM(B131:C131)</f>
        <v>99</v>
      </c>
      <c r="B131" s="60">
        <f t="shared" ref="B131:C135" si="30">H131+E131</f>
        <v>99</v>
      </c>
      <c r="C131" s="60">
        <f t="shared" si="30"/>
        <v>0</v>
      </c>
      <c r="D131" s="60">
        <f t="shared" ref="D131:D135" si="31">SUM(E131:F131)</f>
        <v>0</v>
      </c>
      <c r="E131" s="60">
        <v>0</v>
      </c>
      <c r="F131" s="60">
        <v>0</v>
      </c>
      <c r="G131" s="60">
        <f t="shared" ref="G131:G135" si="32">SUM(H131:I131)</f>
        <v>99</v>
      </c>
      <c r="H131" s="60">
        <f>125-41+15</f>
        <v>99</v>
      </c>
      <c r="I131" s="60">
        <v>0</v>
      </c>
      <c r="J131" s="61" t="s">
        <v>121</v>
      </c>
      <c r="K131" s="55"/>
    </row>
    <row r="132" spans="1:13" ht="12.75" customHeight="1" thickBot="1" x14ac:dyDescent="0.25">
      <c r="A132" s="60">
        <f t="shared" si="29"/>
        <v>100</v>
      </c>
      <c r="B132" s="60">
        <f t="shared" si="30"/>
        <v>100</v>
      </c>
      <c r="C132" s="60">
        <f t="shared" si="30"/>
        <v>0</v>
      </c>
      <c r="D132" s="60">
        <f t="shared" si="31"/>
        <v>25</v>
      </c>
      <c r="E132" s="60">
        <v>25</v>
      </c>
      <c r="F132" s="60">
        <v>0</v>
      </c>
      <c r="G132" s="60">
        <f t="shared" si="32"/>
        <v>75</v>
      </c>
      <c r="H132" s="60">
        <f>100-25</f>
        <v>75</v>
      </c>
      <c r="I132" s="60">
        <v>0</v>
      </c>
      <c r="J132" s="61" t="s">
        <v>122</v>
      </c>
      <c r="K132" s="55"/>
    </row>
    <row r="133" spans="1:13" ht="12.75" customHeight="1" thickBot="1" x14ac:dyDescent="0.25">
      <c r="A133" s="60">
        <f t="shared" si="29"/>
        <v>73</v>
      </c>
      <c r="B133" s="60">
        <f t="shared" si="30"/>
        <v>73</v>
      </c>
      <c r="C133" s="60">
        <f t="shared" si="30"/>
        <v>0</v>
      </c>
      <c r="D133" s="60">
        <f t="shared" si="31"/>
        <v>0</v>
      </c>
      <c r="E133" s="60">
        <v>0</v>
      </c>
      <c r="F133" s="60">
        <v>0</v>
      </c>
      <c r="G133" s="60">
        <f t="shared" si="32"/>
        <v>73</v>
      </c>
      <c r="H133" s="60">
        <f>85-27+15</f>
        <v>73</v>
      </c>
      <c r="I133" s="60">
        <v>0</v>
      </c>
      <c r="J133" s="61" t="s">
        <v>271</v>
      </c>
      <c r="K133" s="55"/>
      <c r="M133" s="83"/>
    </row>
    <row r="134" spans="1:13" ht="12.75" customHeight="1" thickBot="1" x14ac:dyDescent="0.25">
      <c r="A134" s="60">
        <f t="shared" si="29"/>
        <v>202</v>
      </c>
      <c r="B134" s="60">
        <f t="shared" si="30"/>
        <v>0</v>
      </c>
      <c r="C134" s="60">
        <f t="shared" si="30"/>
        <v>202</v>
      </c>
      <c r="D134" s="60">
        <f t="shared" si="31"/>
        <v>0</v>
      </c>
      <c r="E134" s="60">
        <v>0</v>
      </c>
      <c r="F134" s="60">
        <v>0</v>
      </c>
      <c r="G134" s="60">
        <f t="shared" si="32"/>
        <v>202</v>
      </c>
      <c r="H134" s="60">
        <v>0</v>
      </c>
      <c r="I134" s="60">
        <v>202</v>
      </c>
      <c r="J134" s="61" t="s">
        <v>596</v>
      </c>
      <c r="K134" s="55"/>
    </row>
    <row r="135" spans="1:13" ht="12.75" customHeight="1" thickBot="1" x14ac:dyDescent="0.25">
      <c r="A135" s="60">
        <f t="shared" si="29"/>
        <v>82</v>
      </c>
      <c r="B135" s="60">
        <f t="shared" si="30"/>
        <v>82</v>
      </c>
      <c r="C135" s="60">
        <f t="shared" si="30"/>
        <v>0</v>
      </c>
      <c r="D135" s="60">
        <f t="shared" si="31"/>
        <v>0</v>
      </c>
      <c r="E135" s="60">
        <v>0</v>
      </c>
      <c r="F135" s="60">
        <v>0</v>
      </c>
      <c r="G135" s="60">
        <f t="shared" si="32"/>
        <v>82</v>
      </c>
      <c r="H135" s="60">
        <f>84-2</f>
        <v>82</v>
      </c>
      <c r="I135" s="60">
        <v>0</v>
      </c>
      <c r="J135" s="61" t="s">
        <v>273</v>
      </c>
      <c r="K135" s="55"/>
    </row>
    <row r="136" spans="1:13" ht="12.75" customHeight="1" thickBot="1" x14ac:dyDescent="0.25">
      <c r="A136" s="60">
        <f t="shared" ref="A136:H136" si="33">SUM(A130:A135)</f>
        <v>737</v>
      </c>
      <c r="B136" s="60">
        <f t="shared" si="33"/>
        <v>354</v>
      </c>
      <c r="C136" s="60">
        <f t="shared" si="33"/>
        <v>383</v>
      </c>
      <c r="D136" s="60">
        <f t="shared" si="33"/>
        <v>25</v>
      </c>
      <c r="E136" s="60">
        <f t="shared" si="33"/>
        <v>25</v>
      </c>
      <c r="F136" s="60">
        <f t="shared" si="33"/>
        <v>0</v>
      </c>
      <c r="G136" s="60">
        <f t="shared" si="33"/>
        <v>712</v>
      </c>
      <c r="H136" s="60">
        <f t="shared" si="33"/>
        <v>329</v>
      </c>
      <c r="I136" s="60">
        <f>SUM(I130:I135)</f>
        <v>383</v>
      </c>
      <c r="J136" s="59" t="s">
        <v>211</v>
      </c>
      <c r="K136" s="55"/>
    </row>
    <row r="137" spans="1:13" ht="12.75" customHeight="1" x14ac:dyDescent="0.2">
      <c r="A137" s="177"/>
      <c r="B137" s="177"/>
      <c r="C137" s="177"/>
      <c r="D137" s="177"/>
      <c r="E137" s="177"/>
      <c r="F137" s="177"/>
      <c r="G137" s="177"/>
      <c r="H137" s="177"/>
      <c r="I137" s="177"/>
      <c r="J137" s="177"/>
      <c r="K137" s="55"/>
    </row>
    <row r="138" spans="1:13" ht="12.75" customHeight="1" x14ac:dyDescent="0.2">
      <c r="A138" s="177" t="s">
        <v>593</v>
      </c>
      <c r="B138" s="177"/>
      <c r="C138" s="177"/>
      <c r="D138" s="177"/>
      <c r="E138" s="177"/>
      <c r="F138" s="177"/>
      <c r="G138" s="177"/>
      <c r="H138" s="177"/>
      <c r="I138" s="177"/>
      <c r="J138" s="177"/>
      <c r="K138" s="55"/>
    </row>
    <row r="139" spans="1:13" ht="12.75" customHeight="1" thickBot="1" x14ac:dyDescent="0.25">
      <c r="A139" s="178" t="s">
        <v>594</v>
      </c>
      <c r="B139" s="178"/>
      <c r="C139" s="178"/>
      <c r="D139" s="178"/>
      <c r="E139" s="178"/>
      <c r="F139" s="178"/>
      <c r="G139" s="178"/>
      <c r="H139" s="178"/>
      <c r="I139" s="178"/>
      <c r="J139" s="178"/>
      <c r="K139" s="55"/>
    </row>
    <row r="140" spans="1:13" ht="12.75" customHeight="1" thickBot="1" x14ac:dyDescent="0.25">
      <c r="A140" s="179" t="s">
        <v>5</v>
      </c>
      <c r="B140" s="179"/>
      <c r="C140" s="179"/>
      <c r="D140" s="179" t="s">
        <v>162</v>
      </c>
      <c r="E140" s="179"/>
      <c r="F140" s="179"/>
      <c r="G140" s="179" t="s">
        <v>163</v>
      </c>
      <c r="H140" s="179"/>
      <c r="I140" s="179"/>
      <c r="J140" s="58" t="s">
        <v>72</v>
      </c>
      <c r="K140" s="55"/>
    </row>
    <row r="141" spans="1:13" ht="12.75" customHeight="1" thickBot="1" x14ac:dyDescent="0.25">
      <c r="A141" s="58" t="s">
        <v>216</v>
      </c>
      <c r="B141" s="58" t="s">
        <v>11</v>
      </c>
      <c r="C141" s="58" t="s">
        <v>10</v>
      </c>
      <c r="D141" s="58" t="s">
        <v>216</v>
      </c>
      <c r="E141" s="58" t="s">
        <v>11</v>
      </c>
      <c r="F141" s="58" t="s">
        <v>10</v>
      </c>
      <c r="G141" s="58" t="s">
        <v>216</v>
      </c>
      <c r="H141" s="58" t="s">
        <v>11</v>
      </c>
      <c r="I141" s="58" t="s">
        <v>10</v>
      </c>
      <c r="J141" s="59" t="s">
        <v>124</v>
      </c>
      <c r="K141" s="55"/>
    </row>
    <row r="142" spans="1:13" ht="12.75" customHeight="1" thickBot="1" x14ac:dyDescent="0.25">
      <c r="A142" s="60">
        <f>SUM(B142:C142)</f>
        <v>412</v>
      </c>
      <c r="B142" s="60">
        <f>H142+E142</f>
        <v>309</v>
      </c>
      <c r="C142" s="60">
        <f>I142+F142</f>
        <v>103</v>
      </c>
      <c r="D142" s="60">
        <f>SUM(E142:F142)</f>
        <v>4</v>
      </c>
      <c r="E142" s="60">
        <v>0</v>
      </c>
      <c r="F142" s="60">
        <v>4</v>
      </c>
      <c r="G142" s="60">
        <f>SUM(H142:I142)</f>
        <v>408</v>
      </c>
      <c r="H142" s="60">
        <v>309</v>
      </c>
      <c r="I142" s="60">
        <f>54+45</f>
        <v>99</v>
      </c>
      <c r="J142" s="61" t="s">
        <v>123</v>
      </c>
      <c r="K142" s="55"/>
    </row>
    <row r="143" spans="1:13" ht="12.75" customHeight="1" thickBot="1" x14ac:dyDescent="0.25">
      <c r="A143" s="60">
        <f t="shared" ref="A143:A144" si="34">SUM(B143:C143)</f>
        <v>213</v>
      </c>
      <c r="B143" s="60">
        <f t="shared" ref="B143:C144" si="35">H143+E143</f>
        <v>0</v>
      </c>
      <c r="C143" s="60">
        <f t="shared" si="35"/>
        <v>213</v>
      </c>
      <c r="D143" s="60">
        <f t="shared" ref="D143:D144" si="36">SUM(E143:F143)</f>
        <v>111</v>
      </c>
      <c r="E143" s="60">
        <v>0</v>
      </c>
      <c r="F143" s="60">
        <v>111</v>
      </c>
      <c r="G143" s="60">
        <f t="shared" ref="G143:G144" si="37">SUM(H143:I143)</f>
        <v>102</v>
      </c>
      <c r="H143" s="60">
        <v>0</v>
      </c>
      <c r="I143" s="60">
        <f>57+45</f>
        <v>102</v>
      </c>
      <c r="J143" s="61" t="s">
        <v>274</v>
      </c>
      <c r="K143" s="55"/>
    </row>
    <row r="144" spans="1:13" ht="12.75" customHeight="1" thickBot="1" x14ac:dyDescent="0.25">
      <c r="A144" s="60">
        <f t="shared" si="34"/>
        <v>150</v>
      </c>
      <c r="B144" s="60">
        <f t="shared" si="35"/>
        <v>150</v>
      </c>
      <c r="C144" s="60">
        <f t="shared" si="35"/>
        <v>0</v>
      </c>
      <c r="D144" s="60">
        <f t="shared" si="36"/>
        <v>0</v>
      </c>
      <c r="E144" s="60">
        <v>0</v>
      </c>
      <c r="F144" s="60">
        <v>0</v>
      </c>
      <c r="G144" s="60">
        <f t="shared" si="37"/>
        <v>150</v>
      </c>
      <c r="H144" s="60">
        <v>150</v>
      </c>
      <c r="I144" s="60">
        <v>0</v>
      </c>
      <c r="J144" s="61" t="s">
        <v>276</v>
      </c>
      <c r="K144" s="55"/>
    </row>
    <row r="145" spans="1:11" ht="12.75" customHeight="1" thickBot="1" x14ac:dyDescent="0.25">
      <c r="A145" s="60">
        <f t="shared" ref="A145:H145" si="38">SUM(A142:A144)</f>
        <v>775</v>
      </c>
      <c r="B145" s="60">
        <f t="shared" si="38"/>
        <v>459</v>
      </c>
      <c r="C145" s="60">
        <f t="shared" si="38"/>
        <v>316</v>
      </c>
      <c r="D145" s="60">
        <f t="shared" si="38"/>
        <v>115</v>
      </c>
      <c r="E145" s="60">
        <f t="shared" si="38"/>
        <v>0</v>
      </c>
      <c r="F145" s="60">
        <f t="shared" si="38"/>
        <v>115</v>
      </c>
      <c r="G145" s="60">
        <f t="shared" si="38"/>
        <v>660</v>
      </c>
      <c r="H145" s="60">
        <f t="shared" si="38"/>
        <v>459</v>
      </c>
      <c r="I145" s="60">
        <f>SUM(I142:I144)</f>
        <v>201</v>
      </c>
      <c r="J145" s="59" t="s">
        <v>211</v>
      </c>
      <c r="K145" s="55"/>
    </row>
    <row r="146" spans="1:11" ht="12.75" customHeight="1" x14ac:dyDescent="0.2">
      <c r="A146" s="177"/>
      <c r="B146" s="177"/>
      <c r="C146" s="177"/>
      <c r="D146" s="177"/>
      <c r="E146" s="177"/>
      <c r="F146" s="177"/>
      <c r="G146" s="177"/>
      <c r="H146" s="177"/>
      <c r="I146" s="177"/>
      <c r="J146" s="177"/>
      <c r="K146" s="55"/>
    </row>
    <row r="147" spans="1:11" ht="12.75" customHeight="1" x14ac:dyDescent="0.2">
      <c r="A147" s="177" t="s">
        <v>593</v>
      </c>
      <c r="B147" s="177"/>
      <c r="C147" s="177"/>
      <c r="D147" s="177"/>
      <c r="E147" s="177"/>
      <c r="F147" s="177"/>
      <c r="G147" s="177"/>
      <c r="H147" s="177"/>
      <c r="I147" s="177"/>
      <c r="J147" s="177"/>
      <c r="K147" s="55"/>
    </row>
    <row r="148" spans="1:11" ht="12.75" customHeight="1" thickBot="1" x14ac:dyDescent="0.25">
      <c r="A148" s="178" t="s">
        <v>594</v>
      </c>
      <c r="B148" s="178"/>
      <c r="C148" s="178"/>
      <c r="D148" s="178"/>
      <c r="E148" s="178"/>
      <c r="F148" s="178"/>
      <c r="G148" s="178"/>
      <c r="H148" s="178"/>
      <c r="I148" s="178"/>
      <c r="J148" s="178"/>
      <c r="K148" s="55"/>
    </row>
    <row r="149" spans="1:11" ht="12.75" customHeight="1" thickBot="1" x14ac:dyDescent="0.25">
      <c r="A149" s="179" t="s">
        <v>5</v>
      </c>
      <c r="B149" s="179"/>
      <c r="C149" s="179"/>
      <c r="D149" s="179" t="s">
        <v>162</v>
      </c>
      <c r="E149" s="179"/>
      <c r="F149" s="179"/>
      <c r="G149" s="179" t="s">
        <v>163</v>
      </c>
      <c r="H149" s="179"/>
      <c r="I149" s="179"/>
      <c r="J149" s="58" t="s">
        <v>72</v>
      </c>
      <c r="K149" s="55"/>
    </row>
    <row r="150" spans="1:11" ht="12.75" customHeight="1" thickBot="1" x14ac:dyDescent="0.25">
      <c r="A150" s="58" t="s">
        <v>216</v>
      </c>
      <c r="B150" s="58" t="s">
        <v>11</v>
      </c>
      <c r="C150" s="58" t="s">
        <v>10</v>
      </c>
      <c r="D150" s="58" t="s">
        <v>216</v>
      </c>
      <c r="E150" s="58" t="s">
        <v>11</v>
      </c>
      <c r="F150" s="58" t="s">
        <v>10</v>
      </c>
      <c r="G150" s="58" t="s">
        <v>216</v>
      </c>
      <c r="H150" s="58" t="s">
        <v>11</v>
      </c>
      <c r="I150" s="58" t="s">
        <v>10</v>
      </c>
      <c r="J150" s="59" t="s">
        <v>126</v>
      </c>
      <c r="K150" s="55"/>
    </row>
    <row r="151" spans="1:11" ht="12.75" customHeight="1" thickBot="1" x14ac:dyDescent="0.25">
      <c r="A151" s="60">
        <f>SUM(B151:C151)</f>
        <v>126</v>
      </c>
      <c r="B151" s="60">
        <f>H151+E151</f>
        <v>0</v>
      </c>
      <c r="C151" s="60">
        <f>I151+F151</f>
        <v>126</v>
      </c>
      <c r="D151" s="60">
        <f>SUM(E151:F151)</f>
        <v>0</v>
      </c>
      <c r="E151" s="60">
        <v>0</v>
      </c>
      <c r="F151" s="60">
        <v>0</v>
      </c>
      <c r="G151" s="60">
        <f>SUM(H151:I151)</f>
        <v>126</v>
      </c>
      <c r="H151" s="60">
        <v>0</v>
      </c>
      <c r="I151" s="60">
        <f>76+50</f>
        <v>126</v>
      </c>
      <c r="J151" s="61" t="s">
        <v>125</v>
      </c>
      <c r="K151" s="55"/>
    </row>
    <row r="152" spans="1:11" ht="12.75" customHeight="1" thickBot="1" x14ac:dyDescent="0.25">
      <c r="A152" s="60">
        <f>SUM(B152:C152)</f>
        <v>134</v>
      </c>
      <c r="B152" s="60">
        <f>H152+E152</f>
        <v>134</v>
      </c>
      <c r="C152" s="60">
        <f>I152+F152</f>
        <v>0</v>
      </c>
      <c r="D152" s="60">
        <f>SUM(E152:F152)</f>
        <v>0</v>
      </c>
      <c r="E152" s="60">
        <v>0</v>
      </c>
      <c r="F152" s="60">
        <v>0</v>
      </c>
      <c r="G152" s="60">
        <f>SUM(H152:I152)</f>
        <v>134</v>
      </c>
      <c r="H152" s="60">
        <f>54+80</f>
        <v>134</v>
      </c>
      <c r="I152" s="60">
        <v>0</v>
      </c>
      <c r="J152" s="61" t="s">
        <v>127</v>
      </c>
      <c r="K152" s="55"/>
    </row>
    <row r="153" spans="1:11" ht="12.75" customHeight="1" thickBot="1" x14ac:dyDescent="0.25">
      <c r="A153" s="60">
        <f t="shared" ref="A153:H153" si="39">SUM(A151:A152)</f>
        <v>260</v>
      </c>
      <c r="B153" s="60">
        <f t="shared" si="39"/>
        <v>134</v>
      </c>
      <c r="C153" s="60">
        <f t="shared" si="39"/>
        <v>126</v>
      </c>
      <c r="D153" s="60">
        <f t="shared" si="39"/>
        <v>0</v>
      </c>
      <c r="E153" s="60">
        <f t="shared" si="39"/>
        <v>0</v>
      </c>
      <c r="F153" s="60">
        <f t="shared" si="39"/>
        <v>0</v>
      </c>
      <c r="G153" s="60">
        <f t="shared" si="39"/>
        <v>260</v>
      </c>
      <c r="H153" s="60">
        <f t="shared" si="39"/>
        <v>134</v>
      </c>
      <c r="I153" s="60">
        <f>SUM(I151:I152)</f>
        <v>126</v>
      </c>
      <c r="J153" s="59" t="s">
        <v>211</v>
      </c>
      <c r="K153" s="55"/>
    </row>
    <row r="154" spans="1:11" ht="12.75" customHeight="1" x14ac:dyDescent="0.2">
      <c r="A154" s="177"/>
      <c r="B154" s="177"/>
      <c r="C154" s="177"/>
      <c r="D154" s="177"/>
      <c r="E154" s="177"/>
      <c r="F154" s="177"/>
      <c r="G154" s="177"/>
      <c r="H154" s="177"/>
      <c r="I154" s="177"/>
      <c r="J154" s="177"/>
      <c r="K154" s="55"/>
    </row>
    <row r="155" spans="1:11" ht="12.75" customHeight="1" x14ac:dyDescent="0.2">
      <c r="A155" s="177" t="s">
        <v>593</v>
      </c>
      <c r="B155" s="177"/>
      <c r="C155" s="177"/>
      <c r="D155" s="177"/>
      <c r="E155" s="177"/>
      <c r="F155" s="177"/>
      <c r="G155" s="177"/>
      <c r="H155" s="177"/>
      <c r="I155" s="177"/>
      <c r="J155" s="177"/>
      <c r="K155" s="55"/>
    </row>
    <row r="156" spans="1:11" ht="12.75" customHeight="1" thickBot="1" x14ac:dyDescent="0.25">
      <c r="A156" s="178" t="s">
        <v>594</v>
      </c>
      <c r="B156" s="178"/>
      <c r="C156" s="178"/>
      <c r="D156" s="178"/>
      <c r="E156" s="178"/>
      <c r="F156" s="178"/>
      <c r="G156" s="178"/>
      <c r="H156" s="178"/>
      <c r="I156" s="178"/>
      <c r="J156" s="178"/>
      <c r="K156" s="55"/>
    </row>
    <row r="157" spans="1:11" ht="12.75" customHeight="1" thickBot="1" x14ac:dyDescent="0.25">
      <c r="A157" s="179" t="s">
        <v>5</v>
      </c>
      <c r="B157" s="179"/>
      <c r="C157" s="179"/>
      <c r="D157" s="179" t="s">
        <v>162</v>
      </c>
      <c r="E157" s="179"/>
      <c r="F157" s="179"/>
      <c r="G157" s="179" t="s">
        <v>163</v>
      </c>
      <c r="H157" s="179"/>
      <c r="I157" s="179"/>
      <c r="J157" s="58" t="s">
        <v>72</v>
      </c>
      <c r="K157" s="55"/>
    </row>
    <row r="158" spans="1:11" ht="12.75" customHeight="1" thickBot="1" x14ac:dyDescent="0.25">
      <c r="A158" s="58" t="s">
        <v>216</v>
      </c>
      <c r="B158" s="58" t="s">
        <v>11</v>
      </c>
      <c r="C158" s="58" t="s">
        <v>10</v>
      </c>
      <c r="D158" s="58" t="s">
        <v>216</v>
      </c>
      <c r="E158" s="58" t="s">
        <v>11</v>
      </c>
      <c r="F158" s="58" t="s">
        <v>10</v>
      </c>
      <c r="G158" s="58" t="s">
        <v>216</v>
      </c>
      <c r="H158" s="58" t="s">
        <v>11</v>
      </c>
      <c r="I158" s="58" t="s">
        <v>10</v>
      </c>
      <c r="J158" s="59" t="s">
        <v>129</v>
      </c>
      <c r="K158" s="55"/>
    </row>
    <row r="159" spans="1:11" ht="12.75" customHeight="1" thickBot="1" x14ac:dyDescent="0.25">
      <c r="A159" s="60">
        <f>SUM(B159:C159)</f>
        <v>244</v>
      </c>
      <c r="B159" s="60">
        <f>H159+E159</f>
        <v>244</v>
      </c>
      <c r="C159" s="60">
        <f>I159+F159</f>
        <v>0</v>
      </c>
      <c r="D159" s="60">
        <f>SUM(E159:F159)</f>
        <v>30</v>
      </c>
      <c r="E159" s="60">
        <v>30</v>
      </c>
      <c r="F159" s="60">
        <v>0</v>
      </c>
      <c r="G159" s="60">
        <f>SUM(H159:I159)</f>
        <v>214</v>
      </c>
      <c r="H159" s="60">
        <f>174+40</f>
        <v>214</v>
      </c>
      <c r="I159" s="60">
        <v>0</v>
      </c>
      <c r="J159" s="61" t="s">
        <v>128</v>
      </c>
      <c r="K159" s="55"/>
    </row>
    <row r="160" spans="1:11" ht="12.75" customHeight="1" thickBot="1" x14ac:dyDescent="0.25">
      <c r="A160" s="60">
        <f>SUM(B160:C160)</f>
        <v>110</v>
      </c>
      <c r="B160" s="60">
        <f>H160+E160</f>
        <v>0</v>
      </c>
      <c r="C160" s="60">
        <f>I160+F160</f>
        <v>110</v>
      </c>
      <c r="D160" s="60">
        <f>SUM(E160:F160)</f>
        <v>0</v>
      </c>
      <c r="E160" s="60">
        <v>0</v>
      </c>
      <c r="F160" s="60">
        <v>0</v>
      </c>
      <c r="G160" s="60">
        <f>SUM(H160:I160)</f>
        <v>110</v>
      </c>
      <c r="H160" s="60">
        <v>0</v>
      </c>
      <c r="I160" s="60">
        <f>80+30</f>
        <v>110</v>
      </c>
      <c r="J160" s="61" t="s">
        <v>212</v>
      </c>
      <c r="K160" s="55"/>
    </row>
    <row r="161" spans="1:11" ht="12.75" customHeight="1" thickBot="1" x14ac:dyDescent="0.25">
      <c r="A161" s="60">
        <f t="shared" ref="A161:H161" si="40">SUM(A159:A160)</f>
        <v>354</v>
      </c>
      <c r="B161" s="60">
        <f t="shared" si="40"/>
        <v>244</v>
      </c>
      <c r="C161" s="60">
        <f t="shared" si="40"/>
        <v>110</v>
      </c>
      <c r="D161" s="60">
        <f t="shared" si="40"/>
        <v>30</v>
      </c>
      <c r="E161" s="60">
        <f t="shared" si="40"/>
        <v>30</v>
      </c>
      <c r="F161" s="60">
        <f t="shared" si="40"/>
        <v>0</v>
      </c>
      <c r="G161" s="60">
        <f t="shared" si="40"/>
        <v>324</v>
      </c>
      <c r="H161" s="60">
        <f t="shared" si="40"/>
        <v>214</v>
      </c>
      <c r="I161" s="60">
        <f>SUM(I159:I160)</f>
        <v>110</v>
      </c>
      <c r="J161" s="59" t="s">
        <v>211</v>
      </c>
      <c r="K161" s="55"/>
    </row>
    <row r="162" spans="1:11" ht="12.75" customHeight="1" x14ac:dyDescent="0.2">
      <c r="A162" s="177"/>
      <c r="B162" s="177"/>
      <c r="C162" s="177"/>
      <c r="D162" s="177"/>
      <c r="E162" s="177"/>
      <c r="F162" s="177"/>
      <c r="G162" s="177"/>
      <c r="H162" s="177"/>
      <c r="I162" s="177"/>
      <c r="J162" s="177"/>
      <c r="K162" s="55"/>
    </row>
    <row r="163" spans="1:11" ht="12.75" customHeight="1" x14ac:dyDescent="0.2">
      <c r="A163" s="177" t="s">
        <v>593</v>
      </c>
      <c r="B163" s="177"/>
      <c r="C163" s="177"/>
      <c r="D163" s="177"/>
      <c r="E163" s="177"/>
      <c r="F163" s="177"/>
      <c r="G163" s="177"/>
      <c r="H163" s="177"/>
      <c r="I163" s="177"/>
      <c r="J163" s="177"/>
      <c r="K163" s="55"/>
    </row>
    <row r="164" spans="1:11" ht="12.75" customHeight="1" thickBot="1" x14ac:dyDescent="0.25">
      <c r="A164" s="178" t="s">
        <v>594</v>
      </c>
      <c r="B164" s="178"/>
      <c r="C164" s="178"/>
      <c r="D164" s="178"/>
      <c r="E164" s="178"/>
      <c r="F164" s="178"/>
      <c r="G164" s="178"/>
      <c r="H164" s="178"/>
      <c r="I164" s="178"/>
      <c r="J164" s="178"/>
      <c r="K164" s="55"/>
    </row>
    <row r="165" spans="1:11" ht="12.75" customHeight="1" thickBot="1" x14ac:dyDescent="0.25">
      <c r="A165" s="179" t="s">
        <v>5</v>
      </c>
      <c r="B165" s="179"/>
      <c r="C165" s="179"/>
      <c r="D165" s="179" t="s">
        <v>162</v>
      </c>
      <c r="E165" s="179"/>
      <c r="F165" s="179"/>
      <c r="G165" s="179" t="s">
        <v>163</v>
      </c>
      <c r="H165" s="179"/>
      <c r="I165" s="179"/>
      <c r="J165" s="58" t="s">
        <v>72</v>
      </c>
      <c r="K165" s="55"/>
    </row>
    <row r="166" spans="1:11" ht="12.75" customHeight="1" thickBot="1" x14ac:dyDescent="0.25">
      <c r="A166" s="58" t="s">
        <v>216</v>
      </c>
      <c r="B166" s="58" t="s">
        <v>11</v>
      </c>
      <c r="C166" s="58" t="s">
        <v>10</v>
      </c>
      <c r="D166" s="58" t="s">
        <v>216</v>
      </c>
      <c r="E166" s="58" t="s">
        <v>11</v>
      </c>
      <c r="F166" s="58" t="s">
        <v>10</v>
      </c>
      <c r="G166" s="58" t="s">
        <v>216</v>
      </c>
      <c r="H166" s="58" t="s">
        <v>11</v>
      </c>
      <c r="I166" s="58" t="s">
        <v>10</v>
      </c>
      <c r="J166" s="59" t="s">
        <v>131</v>
      </c>
      <c r="K166" s="55"/>
    </row>
    <row r="167" spans="1:11" ht="12.75" customHeight="1" thickBot="1" x14ac:dyDescent="0.25">
      <c r="A167" s="60">
        <v>402</v>
      </c>
      <c r="B167" s="60">
        <v>402</v>
      </c>
      <c r="C167" s="60">
        <v>0</v>
      </c>
      <c r="D167" s="60">
        <v>0</v>
      </c>
      <c r="E167" s="60">
        <v>0</v>
      </c>
      <c r="F167" s="60">
        <v>0</v>
      </c>
      <c r="G167" s="60">
        <v>402</v>
      </c>
      <c r="H167" s="60">
        <v>402</v>
      </c>
      <c r="I167" s="60">
        <v>0</v>
      </c>
      <c r="J167" s="61" t="s">
        <v>130</v>
      </c>
      <c r="K167" s="55"/>
    </row>
    <row r="168" spans="1:11" ht="12.75" customHeight="1" thickBot="1" x14ac:dyDescent="0.25">
      <c r="A168" s="60">
        <v>402</v>
      </c>
      <c r="B168" s="60">
        <v>402</v>
      </c>
      <c r="C168" s="60">
        <v>0</v>
      </c>
      <c r="D168" s="60">
        <v>0</v>
      </c>
      <c r="E168" s="60">
        <v>0</v>
      </c>
      <c r="F168" s="60">
        <v>0</v>
      </c>
      <c r="G168" s="60">
        <v>402</v>
      </c>
      <c r="H168" s="60">
        <v>402</v>
      </c>
      <c r="I168" s="60">
        <v>0</v>
      </c>
      <c r="J168" s="59" t="s">
        <v>211</v>
      </c>
    </row>
    <row r="169" spans="1:11" ht="12.75" customHeight="1" x14ac:dyDescent="0.2">
      <c r="A169" s="177"/>
      <c r="B169" s="177"/>
      <c r="C169" s="177"/>
      <c r="D169" s="177"/>
      <c r="E169" s="177"/>
      <c r="F169" s="177"/>
      <c r="G169" s="177"/>
      <c r="H169" s="177"/>
      <c r="I169" s="177"/>
      <c r="J169" s="177"/>
    </row>
    <row r="170" spans="1:11" ht="12.75" customHeight="1" x14ac:dyDescent="0.2">
      <c r="A170" s="177" t="s">
        <v>593</v>
      </c>
      <c r="B170" s="177"/>
      <c r="C170" s="177"/>
      <c r="D170" s="177"/>
      <c r="E170" s="177"/>
      <c r="F170" s="177"/>
      <c r="G170" s="177"/>
      <c r="H170" s="177"/>
      <c r="I170" s="177"/>
      <c r="J170" s="177"/>
    </row>
    <row r="171" spans="1:11" ht="12.75" customHeight="1" thickBot="1" x14ac:dyDescent="0.25">
      <c r="A171" s="178" t="s">
        <v>594</v>
      </c>
      <c r="B171" s="178"/>
      <c r="C171" s="178"/>
      <c r="D171" s="178"/>
      <c r="E171" s="178"/>
      <c r="F171" s="178"/>
      <c r="G171" s="178"/>
      <c r="H171" s="178"/>
      <c r="I171" s="178"/>
      <c r="J171" s="178"/>
    </row>
    <row r="172" spans="1:11" ht="12.75" customHeight="1" thickBot="1" x14ac:dyDescent="0.25">
      <c r="A172" s="179" t="s">
        <v>5</v>
      </c>
      <c r="B172" s="179"/>
      <c r="C172" s="179"/>
      <c r="D172" s="179" t="s">
        <v>162</v>
      </c>
      <c r="E172" s="179"/>
      <c r="F172" s="179"/>
      <c r="G172" s="179" t="s">
        <v>163</v>
      </c>
      <c r="H172" s="179"/>
      <c r="I172" s="179"/>
      <c r="J172" s="58" t="s">
        <v>72</v>
      </c>
    </row>
    <row r="173" spans="1:11" ht="12.75" customHeight="1" thickBot="1" x14ac:dyDescent="0.25">
      <c r="A173" s="58" t="s">
        <v>216</v>
      </c>
      <c r="B173" s="58" t="s">
        <v>11</v>
      </c>
      <c r="C173" s="58" t="s">
        <v>10</v>
      </c>
      <c r="D173" s="58" t="s">
        <v>216</v>
      </c>
      <c r="E173" s="58" t="s">
        <v>11</v>
      </c>
      <c r="F173" s="58" t="s">
        <v>10</v>
      </c>
      <c r="G173" s="58" t="s">
        <v>216</v>
      </c>
      <c r="H173" s="58" t="s">
        <v>11</v>
      </c>
      <c r="I173" s="58" t="s">
        <v>10</v>
      </c>
      <c r="J173" s="59" t="s">
        <v>133</v>
      </c>
    </row>
    <row r="174" spans="1:11" ht="12.75" customHeight="1" thickBot="1" x14ac:dyDescent="0.25">
      <c r="A174" s="60">
        <f t="shared" ref="A174:C176" si="41">G174+D174</f>
        <v>30</v>
      </c>
      <c r="B174" s="60">
        <f t="shared" si="41"/>
        <v>30</v>
      </c>
      <c r="C174" s="60">
        <f t="shared" si="41"/>
        <v>0</v>
      </c>
      <c r="D174" s="60">
        <f>F174+E174</f>
        <v>0</v>
      </c>
      <c r="E174" s="60">
        <v>0</v>
      </c>
      <c r="F174" s="60">
        <v>0</v>
      </c>
      <c r="G174" s="60">
        <f>I174+H174</f>
        <v>30</v>
      </c>
      <c r="H174" s="60">
        <v>30</v>
      </c>
      <c r="I174" s="60">
        <v>0</v>
      </c>
      <c r="J174" s="61" t="s">
        <v>132</v>
      </c>
    </row>
    <row r="175" spans="1:11" ht="12.75" customHeight="1" thickBot="1" x14ac:dyDescent="0.25">
      <c r="A175" s="60">
        <f t="shared" si="41"/>
        <v>106</v>
      </c>
      <c r="B175" s="60">
        <f t="shared" si="41"/>
        <v>0</v>
      </c>
      <c r="C175" s="60">
        <f t="shared" si="41"/>
        <v>106</v>
      </c>
      <c r="D175" s="60">
        <f>F175+E175</f>
        <v>0</v>
      </c>
      <c r="E175" s="60">
        <v>0</v>
      </c>
      <c r="F175" s="60">
        <v>0</v>
      </c>
      <c r="G175" s="60">
        <f>I175+H175</f>
        <v>106</v>
      </c>
      <c r="H175" s="60">
        <v>0</v>
      </c>
      <c r="I175" s="60">
        <f>49+57</f>
        <v>106</v>
      </c>
      <c r="J175" s="61" t="s">
        <v>278</v>
      </c>
    </row>
    <row r="176" spans="1:11" ht="12.75" customHeight="1" thickBot="1" x14ac:dyDescent="0.25">
      <c r="A176" s="60">
        <f t="shared" si="41"/>
        <v>64</v>
      </c>
      <c r="B176" s="60">
        <f t="shared" si="41"/>
        <v>64</v>
      </c>
      <c r="C176" s="60">
        <f t="shared" si="41"/>
        <v>0</v>
      </c>
      <c r="D176" s="60">
        <f>F176+E176</f>
        <v>0</v>
      </c>
      <c r="E176" s="60">
        <v>0</v>
      </c>
      <c r="F176" s="60">
        <v>0</v>
      </c>
      <c r="G176" s="60">
        <f>I176+H176</f>
        <v>64</v>
      </c>
      <c r="H176" s="60">
        <v>64</v>
      </c>
      <c r="I176" s="60">
        <v>0</v>
      </c>
      <c r="J176" s="61" t="s">
        <v>279</v>
      </c>
    </row>
    <row r="177" spans="1:10" ht="12.75" customHeight="1" thickBot="1" x14ac:dyDescent="0.25">
      <c r="A177" s="60">
        <f t="shared" ref="A177:I177" si="42">SUM(A174:A176)</f>
        <v>200</v>
      </c>
      <c r="B177" s="60">
        <f t="shared" si="42"/>
        <v>94</v>
      </c>
      <c r="C177" s="60">
        <f t="shared" si="42"/>
        <v>106</v>
      </c>
      <c r="D177" s="60">
        <f t="shared" si="42"/>
        <v>0</v>
      </c>
      <c r="E177" s="60">
        <f t="shared" si="42"/>
        <v>0</v>
      </c>
      <c r="F177" s="60">
        <f t="shared" si="42"/>
        <v>0</v>
      </c>
      <c r="G177" s="60">
        <f t="shared" si="42"/>
        <v>200</v>
      </c>
      <c r="H177" s="60">
        <f t="shared" si="42"/>
        <v>94</v>
      </c>
      <c r="I177" s="60">
        <f t="shared" si="42"/>
        <v>106</v>
      </c>
      <c r="J177" s="59" t="s">
        <v>211</v>
      </c>
    </row>
    <row r="178" spans="1:10" ht="12.75" customHeight="1" x14ac:dyDescent="0.2">
      <c r="A178" s="177"/>
      <c r="B178" s="177"/>
      <c r="C178" s="177"/>
      <c r="D178" s="177"/>
      <c r="E178" s="177"/>
      <c r="F178" s="177"/>
      <c r="G178" s="177"/>
      <c r="H178" s="177"/>
      <c r="I178" s="177"/>
      <c r="J178" s="177"/>
    </row>
    <row r="179" spans="1:10" ht="12.75" customHeight="1" x14ac:dyDescent="0.2">
      <c r="A179" s="177" t="s">
        <v>593</v>
      </c>
      <c r="B179" s="177"/>
      <c r="C179" s="177"/>
      <c r="D179" s="177"/>
      <c r="E179" s="177"/>
      <c r="F179" s="177"/>
      <c r="G179" s="177"/>
      <c r="H179" s="177"/>
      <c r="I179" s="177"/>
      <c r="J179" s="177"/>
    </row>
    <row r="180" spans="1:10" ht="12.75" customHeight="1" thickBot="1" x14ac:dyDescent="0.25">
      <c r="A180" s="178" t="s">
        <v>594</v>
      </c>
      <c r="B180" s="178"/>
      <c r="C180" s="178"/>
      <c r="D180" s="178"/>
      <c r="E180" s="178"/>
      <c r="F180" s="178"/>
      <c r="G180" s="178"/>
      <c r="H180" s="178"/>
      <c r="I180" s="178"/>
      <c r="J180" s="178"/>
    </row>
    <row r="181" spans="1:10" ht="12.75" customHeight="1" thickBot="1" x14ac:dyDescent="0.25">
      <c r="A181" s="179" t="s">
        <v>5</v>
      </c>
      <c r="B181" s="179"/>
      <c r="C181" s="179"/>
      <c r="D181" s="179" t="s">
        <v>162</v>
      </c>
      <c r="E181" s="179"/>
      <c r="F181" s="179"/>
      <c r="G181" s="179" t="s">
        <v>163</v>
      </c>
      <c r="H181" s="179"/>
      <c r="I181" s="179"/>
      <c r="J181" s="58" t="s">
        <v>72</v>
      </c>
    </row>
    <row r="182" spans="1:10" ht="12.75" customHeight="1" thickBot="1" x14ac:dyDescent="0.25">
      <c r="A182" s="58" t="s">
        <v>216</v>
      </c>
      <c r="B182" s="58" t="s">
        <v>11</v>
      </c>
      <c r="C182" s="58" t="s">
        <v>10</v>
      </c>
      <c r="D182" s="58" t="s">
        <v>216</v>
      </c>
      <c r="E182" s="58" t="s">
        <v>11</v>
      </c>
      <c r="F182" s="58" t="s">
        <v>10</v>
      </c>
      <c r="G182" s="58" t="s">
        <v>216</v>
      </c>
      <c r="H182" s="58" t="s">
        <v>11</v>
      </c>
      <c r="I182" s="58" t="s">
        <v>10</v>
      </c>
      <c r="J182" s="59" t="s">
        <v>168</v>
      </c>
    </row>
    <row r="183" spans="1:10" ht="12.75" customHeight="1" thickBot="1" x14ac:dyDescent="0.25">
      <c r="A183" s="60">
        <f>SUM(B183:C183)</f>
        <v>1777</v>
      </c>
      <c r="B183" s="60">
        <f>H183+E183</f>
        <v>0</v>
      </c>
      <c r="C183" s="60">
        <f>I183+F183</f>
        <v>1777</v>
      </c>
      <c r="D183" s="60">
        <f>SUM(E183:F183)</f>
        <v>8</v>
      </c>
      <c r="E183" s="60">
        <v>0</v>
      </c>
      <c r="F183" s="60">
        <v>8</v>
      </c>
      <c r="G183" s="60">
        <f>SUM(H183:I183)</f>
        <v>1769</v>
      </c>
      <c r="H183" s="60">
        <v>0</v>
      </c>
      <c r="I183" s="60">
        <v>1769</v>
      </c>
      <c r="J183" s="61" t="s">
        <v>280</v>
      </c>
    </row>
    <row r="184" spans="1:10" ht="12.75" customHeight="1" thickBot="1" x14ac:dyDescent="0.25">
      <c r="A184" s="60">
        <f t="shared" ref="A184:A212" si="43">SUM(B184:C184)</f>
        <v>292</v>
      </c>
      <c r="B184" s="60">
        <f t="shared" ref="B184:C212" si="44">H184+E184</f>
        <v>0</v>
      </c>
      <c r="C184" s="60">
        <f t="shared" si="44"/>
        <v>292</v>
      </c>
      <c r="D184" s="60">
        <f t="shared" ref="D184:D212" si="45">SUM(E184:F184)</f>
        <v>4</v>
      </c>
      <c r="E184" s="60">
        <v>0</v>
      </c>
      <c r="F184" s="60">
        <v>4</v>
      </c>
      <c r="G184" s="60">
        <f t="shared" ref="G184:G212" si="46">SUM(H184:I184)</f>
        <v>288</v>
      </c>
      <c r="H184" s="60">
        <v>0</v>
      </c>
      <c r="I184" s="60">
        <v>288</v>
      </c>
      <c r="J184" s="61" t="s">
        <v>281</v>
      </c>
    </row>
    <row r="185" spans="1:10" ht="12.75" customHeight="1" thickBot="1" x14ac:dyDescent="0.25">
      <c r="A185" s="60">
        <f t="shared" si="43"/>
        <v>578</v>
      </c>
      <c r="B185" s="60">
        <f t="shared" si="44"/>
        <v>0</v>
      </c>
      <c r="C185" s="60">
        <f t="shared" si="44"/>
        <v>578</v>
      </c>
      <c r="D185" s="60">
        <f t="shared" si="45"/>
        <v>6</v>
      </c>
      <c r="E185" s="60">
        <v>0</v>
      </c>
      <c r="F185" s="60">
        <v>6</v>
      </c>
      <c r="G185" s="60">
        <f t="shared" si="46"/>
        <v>572</v>
      </c>
      <c r="H185" s="60">
        <v>0</v>
      </c>
      <c r="I185" s="60">
        <v>572</v>
      </c>
      <c r="J185" s="61" t="s">
        <v>282</v>
      </c>
    </row>
    <row r="186" spans="1:10" ht="12.75" customHeight="1" thickBot="1" x14ac:dyDescent="0.25">
      <c r="A186" s="60">
        <f t="shared" si="43"/>
        <v>321</v>
      </c>
      <c r="B186" s="60">
        <f t="shared" si="44"/>
        <v>0</v>
      </c>
      <c r="C186" s="60">
        <f t="shared" si="44"/>
        <v>321</v>
      </c>
      <c r="D186" s="60">
        <f t="shared" si="45"/>
        <v>127</v>
      </c>
      <c r="E186" s="60">
        <v>0</v>
      </c>
      <c r="F186" s="60">
        <v>127</v>
      </c>
      <c r="G186" s="60">
        <f t="shared" si="46"/>
        <v>194</v>
      </c>
      <c r="H186" s="60">
        <v>0</v>
      </c>
      <c r="I186" s="60">
        <v>194</v>
      </c>
      <c r="J186" s="61" t="s">
        <v>283</v>
      </c>
    </row>
    <row r="187" spans="1:10" ht="12.75" customHeight="1" thickBot="1" x14ac:dyDescent="0.25">
      <c r="A187" s="60">
        <f t="shared" si="43"/>
        <v>965</v>
      </c>
      <c r="B187" s="60">
        <f t="shared" si="44"/>
        <v>0</v>
      </c>
      <c r="C187" s="60">
        <f t="shared" si="44"/>
        <v>965</v>
      </c>
      <c r="D187" s="60">
        <f t="shared" si="45"/>
        <v>0</v>
      </c>
      <c r="E187" s="60">
        <v>0</v>
      </c>
      <c r="F187" s="60">
        <v>0</v>
      </c>
      <c r="G187" s="60">
        <f t="shared" si="46"/>
        <v>965</v>
      </c>
      <c r="H187" s="60">
        <v>0</v>
      </c>
      <c r="I187" s="60">
        <v>965</v>
      </c>
      <c r="J187" s="61" t="s">
        <v>284</v>
      </c>
    </row>
    <row r="188" spans="1:10" ht="12.75" customHeight="1" thickBot="1" x14ac:dyDescent="0.25">
      <c r="A188" s="60">
        <f t="shared" si="43"/>
        <v>905</v>
      </c>
      <c r="B188" s="60">
        <f t="shared" si="44"/>
        <v>0</v>
      </c>
      <c r="C188" s="60">
        <f t="shared" si="44"/>
        <v>905</v>
      </c>
      <c r="D188" s="60">
        <f t="shared" si="45"/>
        <v>7</v>
      </c>
      <c r="E188" s="60">
        <v>0</v>
      </c>
      <c r="F188" s="60">
        <v>7</v>
      </c>
      <c r="G188" s="60">
        <f t="shared" si="46"/>
        <v>898</v>
      </c>
      <c r="H188" s="60">
        <v>0</v>
      </c>
      <c r="I188" s="60">
        <v>898</v>
      </c>
      <c r="J188" s="61" t="s">
        <v>285</v>
      </c>
    </row>
    <row r="189" spans="1:10" ht="12.75" customHeight="1" thickBot="1" x14ac:dyDescent="0.25">
      <c r="A189" s="60">
        <f t="shared" si="43"/>
        <v>309</v>
      </c>
      <c r="B189" s="60">
        <f t="shared" si="44"/>
        <v>0</v>
      </c>
      <c r="C189" s="60">
        <f t="shared" si="44"/>
        <v>309</v>
      </c>
      <c r="D189" s="60">
        <f t="shared" si="45"/>
        <v>0</v>
      </c>
      <c r="E189" s="60">
        <v>0</v>
      </c>
      <c r="F189" s="60">
        <v>0</v>
      </c>
      <c r="G189" s="60">
        <f t="shared" si="46"/>
        <v>309</v>
      </c>
      <c r="H189" s="60">
        <v>0</v>
      </c>
      <c r="I189" s="60">
        <v>309</v>
      </c>
      <c r="J189" s="61" t="s">
        <v>286</v>
      </c>
    </row>
    <row r="190" spans="1:10" ht="12.75" customHeight="1" thickBot="1" x14ac:dyDescent="0.25">
      <c r="A190" s="60">
        <f t="shared" si="43"/>
        <v>1195</v>
      </c>
      <c r="B190" s="60">
        <f t="shared" si="44"/>
        <v>0</v>
      </c>
      <c r="C190" s="60">
        <f t="shared" si="44"/>
        <v>1195</v>
      </c>
      <c r="D190" s="60">
        <f t="shared" si="45"/>
        <v>0</v>
      </c>
      <c r="E190" s="60">
        <v>0</v>
      </c>
      <c r="F190" s="60">
        <v>0</v>
      </c>
      <c r="G190" s="60">
        <f t="shared" si="46"/>
        <v>1195</v>
      </c>
      <c r="H190" s="60">
        <v>0</v>
      </c>
      <c r="I190" s="60">
        <v>1195</v>
      </c>
      <c r="J190" s="61" t="s">
        <v>287</v>
      </c>
    </row>
    <row r="191" spans="1:10" ht="12.75" customHeight="1" thickBot="1" x14ac:dyDescent="0.25">
      <c r="A191" s="60">
        <f t="shared" si="43"/>
        <v>773</v>
      </c>
      <c r="B191" s="60">
        <f t="shared" si="44"/>
        <v>0</v>
      </c>
      <c r="C191" s="60">
        <f t="shared" si="44"/>
        <v>773</v>
      </c>
      <c r="D191" s="60">
        <f t="shared" si="45"/>
        <v>3</v>
      </c>
      <c r="E191" s="60">
        <v>0</v>
      </c>
      <c r="F191" s="60">
        <v>3</v>
      </c>
      <c r="G191" s="60">
        <f t="shared" si="46"/>
        <v>770</v>
      </c>
      <c r="H191" s="60">
        <v>0</v>
      </c>
      <c r="I191" s="60">
        <v>770</v>
      </c>
      <c r="J191" s="61" t="s">
        <v>288</v>
      </c>
    </row>
    <row r="192" spans="1:10" ht="12.75" customHeight="1" thickBot="1" x14ac:dyDescent="0.25">
      <c r="A192" s="60">
        <f t="shared" si="43"/>
        <v>417</v>
      </c>
      <c r="B192" s="60">
        <f t="shared" si="44"/>
        <v>0</v>
      </c>
      <c r="C192" s="60">
        <f t="shared" si="44"/>
        <v>417</v>
      </c>
      <c r="D192" s="60">
        <f t="shared" si="45"/>
        <v>9</v>
      </c>
      <c r="E192" s="60">
        <v>0</v>
      </c>
      <c r="F192" s="60">
        <v>9</v>
      </c>
      <c r="G192" s="60">
        <f t="shared" si="46"/>
        <v>408</v>
      </c>
      <c r="H192" s="60">
        <v>0</v>
      </c>
      <c r="I192" s="60">
        <v>408</v>
      </c>
      <c r="J192" s="61" t="s">
        <v>289</v>
      </c>
    </row>
    <row r="193" spans="1:11" ht="12.75" customHeight="1" thickBot="1" x14ac:dyDescent="0.25">
      <c r="A193" s="60">
        <f t="shared" si="43"/>
        <v>567</v>
      </c>
      <c r="B193" s="60">
        <f t="shared" si="44"/>
        <v>0</v>
      </c>
      <c r="C193" s="60">
        <f t="shared" si="44"/>
        <v>567</v>
      </c>
      <c r="D193" s="60">
        <f t="shared" si="45"/>
        <v>1</v>
      </c>
      <c r="E193" s="60">
        <v>0</v>
      </c>
      <c r="F193" s="60">
        <v>1</v>
      </c>
      <c r="G193" s="60">
        <f t="shared" si="46"/>
        <v>566</v>
      </c>
      <c r="H193" s="60">
        <v>0</v>
      </c>
      <c r="I193" s="60">
        <v>566</v>
      </c>
      <c r="J193" s="61" t="s">
        <v>290</v>
      </c>
    </row>
    <row r="194" spans="1:11" ht="12.75" customHeight="1" thickBot="1" x14ac:dyDescent="0.25">
      <c r="A194" s="60">
        <f t="shared" si="43"/>
        <v>365</v>
      </c>
      <c r="B194" s="60">
        <f t="shared" si="44"/>
        <v>0</v>
      </c>
      <c r="C194" s="60">
        <f t="shared" si="44"/>
        <v>365</v>
      </c>
      <c r="D194" s="60">
        <f t="shared" si="45"/>
        <v>2</v>
      </c>
      <c r="E194" s="60">
        <v>0</v>
      </c>
      <c r="F194" s="60">
        <v>2</v>
      </c>
      <c r="G194" s="60">
        <f t="shared" si="46"/>
        <v>363</v>
      </c>
      <c r="H194" s="60">
        <v>0</v>
      </c>
      <c r="I194" s="60">
        <v>363</v>
      </c>
      <c r="J194" s="61" t="s">
        <v>291</v>
      </c>
    </row>
    <row r="195" spans="1:11" ht="12.75" customHeight="1" thickBot="1" x14ac:dyDescent="0.25">
      <c r="A195" s="60">
        <f t="shared" si="43"/>
        <v>198</v>
      </c>
      <c r="B195" s="60">
        <f t="shared" si="44"/>
        <v>0</v>
      </c>
      <c r="C195" s="60">
        <f t="shared" si="44"/>
        <v>198</v>
      </c>
      <c r="D195" s="60">
        <f t="shared" si="45"/>
        <v>2</v>
      </c>
      <c r="E195" s="60">
        <v>0</v>
      </c>
      <c r="F195" s="60">
        <v>2</v>
      </c>
      <c r="G195" s="60">
        <f t="shared" si="46"/>
        <v>196</v>
      </c>
      <c r="H195" s="60">
        <v>0</v>
      </c>
      <c r="I195" s="60">
        <v>196</v>
      </c>
      <c r="J195" s="61" t="s">
        <v>292</v>
      </c>
    </row>
    <row r="196" spans="1:11" ht="12.75" customHeight="1" thickBot="1" x14ac:dyDescent="0.25">
      <c r="A196" s="60">
        <f t="shared" si="43"/>
        <v>429</v>
      </c>
      <c r="B196" s="60">
        <f t="shared" si="44"/>
        <v>0</v>
      </c>
      <c r="C196" s="60">
        <f t="shared" si="44"/>
        <v>429</v>
      </c>
      <c r="D196" s="60">
        <f t="shared" si="45"/>
        <v>2</v>
      </c>
      <c r="E196" s="60">
        <v>0</v>
      </c>
      <c r="F196" s="60">
        <v>2</v>
      </c>
      <c r="G196" s="60">
        <f t="shared" si="46"/>
        <v>427</v>
      </c>
      <c r="H196" s="60">
        <v>0</v>
      </c>
      <c r="I196" s="60">
        <v>427</v>
      </c>
      <c r="J196" s="61" t="s">
        <v>293</v>
      </c>
    </row>
    <row r="197" spans="1:11" ht="12.75" customHeight="1" thickBot="1" x14ac:dyDescent="0.25">
      <c r="A197" s="60">
        <f t="shared" si="43"/>
        <v>366</v>
      </c>
      <c r="B197" s="60">
        <f t="shared" si="44"/>
        <v>0</v>
      </c>
      <c r="C197" s="60">
        <f t="shared" si="44"/>
        <v>366</v>
      </c>
      <c r="D197" s="60">
        <f t="shared" si="45"/>
        <v>44</v>
      </c>
      <c r="E197" s="60">
        <v>0</v>
      </c>
      <c r="F197" s="60">
        <v>44</v>
      </c>
      <c r="G197" s="60">
        <f t="shared" si="46"/>
        <v>322</v>
      </c>
      <c r="H197" s="60">
        <v>0</v>
      </c>
      <c r="I197" s="60">
        <v>322</v>
      </c>
      <c r="J197" s="61" t="s">
        <v>294</v>
      </c>
    </row>
    <row r="198" spans="1:11" ht="12.75" customHeight="1" thickBot="1" x14ac:dyDescent="0.25">
      <c r="A198" s="60">
        <f t="shared" si="43"/>
        <v>261</v>
      </c>
      <c r="B198" s="60">
        <f t="shared" si="44"/>
        <v>0</v>
      </c>
      <c r="C198" s="60">
        <f t="shared" si="44"/>
        <v>261</v>
      </c>
      <c r="D198" s="60">
        <f t="shared" si="45"/>
        <v>18</v>
      </c>
      <c r="E198" s="60">
        <v>0</v>
      </c>
      <c r="F198" s="60">
        <v>18</v>
      </c>
      <c r="G198" s="60">
        <f t="shared" si="46"/>
        <v>243</v>
      </c>
      <c r="H198" s="60">
        <v>0</v>
      </c>
      <c r="I198" s="60">
        <v>243</v>
      </c>
      <c r="J198" s="61" t="s">
        <v>295</v>
      </c>
    </row>
    <row r="199" spans="1:11" ht="12.75" customHeight="1" thickBot="1" x14ac:dyDescent="0.25">
      <c r="A199" s="60">
        <f t="shared" si="43"/>
        <v>185</v>
      </c>
      <c r="B199" s="60">
        <f t="shared" si="44"/>
        <v>0</v>
      </c>
      <c r="C199" s="60">
        <f t="shared" si="44"/>
        <v>185</v>
      </c>
      <c r="D199" s="60">
        <f t="shared" si="45"/>
        <v>0</v>
      </c>
      <c r="E199" s="60">
        <v>0</v>
      </c>
      <c r="F199" s="60">
        <v>0</v>
      </c>
      <c r="G199" s="60">
        <f t="shared" si="46"/>
        <v>185</v>
      </c>
      <c r="H199" s="60">
        <v>0</v>
      </c>
      <c r="I199" s="60">
        <v>185</v>
      </c>
      <c r="J199" s="61" t="s">
        <v>296</v>
      </c>
    </row>
    <row r="200" spans="1:11" ht="12.75" customHeight="1" thickBot="1" x14ac:dyDescent="0.25">
      <c r="A200" s="60">
        <f t="shared" si="43"/>
        <v>179</v>
      </c>
      <c r="B200" s="60">
        <f t="shared" si="44"/>
        <v>0</v>
      </c>
      <c r="C200" s="60">
        <f t="shared" si="44"/>
        <v>179</v>
      </c>
      <c r="D200" s="60">
        <f t="shared" si="45"/>
        <v>0</v>
      </c>
      <c r="E200" s="60">
        <v>0</v>
      </c>
      <c r="F200" s="60">
        <v>0</v>
      </c>
      <c r="G200" s="60">
        <f t="shared" si="46"/>
        <v>179</v>
      </c>
      <c r="H200" s="60">
        <v>0</v>
      </c>
      <c r="I200" s="60">
        <v>179</v>
      </c>
      <c r="J200" s="61" t="s">
        <v>297</v>
      </c>
    </row>
    <row r="201" spans="1:11" ht="12.75" customHeight="1" thickBot="1" x14ac:dyDescent="0.25">
      <c r="A201" s="60">
        <f t="shared" si="43"/>
        <v>100</v>
      </c>
      <c r="B201" s="60">
        <f t="shared" si="44"/>
        <v>0</v>
      </c>
      <c r="C201" s="60">
        <f t="shared" si="44"/>
        <v>100</v>
      </c>
      <c r="D201" s="60">
        <f t="shared" si="45"/>
        <v>3</v>
      </c>
      <c r="E201" s="60">
        <v>0</v>
      </c>
      <c r="F201" s="60">
        <v>3</v>
      </c>
      <c r="G201" s="60">
        <f t="shared" si="46"/>
        <v>97</v>
      </c>
      <c r="H201" s="60">
        <v>0</v>
      </c>
      <c r="I201" s="60">
        <v>97</v>
      </c>
      <c r="J201" s="61" t="s">
        <v>298</v>
      </c>
      <c r="K201" s="55"/>
    </row>
    <row r="202" spans="1:11" ht="12.75" customHeight="1" thickBot="1" x14ac:dyDescent="0.25">
      <c r="A202" s="60">
        <f t="shared" si="43"/>
        <v>324</v>
      </c>
      <c r="B202" s="60">
        <f t="shared" si="44"/>
        <v>0</v>
      </c>
      <c r="C202" s="60">
        <f t="shared" si="44"/>
        <v>324</v>
      </c>
      <c r="D202" s="60">
        <f t="shared" si="45"/>
        <v>0</v>
      </c>
      <c r="E202" s="60">
        <v>0</v>
      </c>
      <c r="F202" s="60">
        <v>0</v>
      </c>
      <c r="G202" s="60">
        <f t="shared" si="46"/>
        <v>324</v>
      </c>
      <c r="H202" s="60">
        <v>0</v>
      </c>
      <c r="I202" s="60">
        <v>324</v>
      </c>
      <c r="J202" s="61" t="s">
        <v>299</v>
      </c>
      <c r="K202" s="55"/>
    </row>
    <row r="203" spans="1:11" ht="12.75" customHeight="1" thickBot="1" x14ac:dyDescent="0.25">
      <c r="A203" s="60">
        <f t="shared" si="43"/>
        <v>103</v>
      </c>
      <c r="B203" s="60">
        <f t="shared" si="44"/>
        <v>0</v>
      </c>
      <c r="C203" s="60">
        <f t="shared" si="44"/>
        <v>103</v>
      </c>
      <c r="D203" s="60">
        <f t="shared" si="45"/>
        <v>1</v>
      </c>
      <c r="E203" s="60">
        <v>0</v>
      </c>
      <c r="F203" s="60">
        <v>1</v>
      </c>
      <c r="G203" s="60">
        <f t="shared" si="46"/>
        <v>102</v>
      </c>
      <c r="H203" s="60">
        <v>0</v>
      </c>
      <c r="I203" s="60">
        <v>102</v>
      </c>
      <c r="J203" s="61" t="s">
        <v>300</v>
      </c>
      <c r="K203" s="55"/>
    </row>
    <row r="204" spans="1:11" ht="12.75" customHeight="1" thickBot="1" x14ac:dyDescent="0.25">
      <c r="A204" s="60">
        <f t="shared" si="43"/>
        <v>620</v>
      </c>
      <c r="B204" s="60">
        <f t="shared" si="44"/>
        <v>0</v>
      </c>
      <c r="C204" s="60">
        <f t="shared" si="44"/>
        <v>620</v>
      </c>
      <c r="D204" s="60">
        <f t="shared" si="45"/>
        <v>2</v>
      </c>
      <c r="E204" s="60">
        <v>0</v>
      </c>
      <c r="F204" s="60">
        <v>2</v>
      </c>
      <c r="G204" s="60">
        <f t="shared" si="46"/>
        <v>618</v>
      </c>
      <c r="H204" s="60">
        <v>0</v>
      </c>
      <c r="I204" s="60">
        <v>618</v>
      </c>
      <c r="J204" s="61" t="s">
        <v>301</v>
      </c>
      <c r="K204" s="55"/>
    </row>
    <row r="205" spans="1:11" ht="12.75" customHeight="1" thickBot="1" x14ac:dyDescent="0.25">
      <c r="A205" s="60">
        <f t="shared" si="43"/>
        <v>80</v>
      </c>
      <c r="B205" s="60">
        <f t="shared" si="44"/>
        <v>0</v>
      </c>
      <c r="C205" s="60">
        <f t="shared" si="44"/>
        <v>80</v>
      </c>
      <c r="D205" s="60">
        <f t="shared" si="45"/>
        <v>25</v>
      </c>
      <c r="E205" s="60">
        <v>0</v>
      </c>
      <c r="F205" s="60">
        <v>25</v>
      </c>
      <c r="G205" s="60">
        <f t="shared" si="46"/>
        <v>55</v>
      </c>
      <c r="H205" s="60">
        <v>0</v>
      </c>
      <c r="I205" s="60">
        <v>55</v>
      </c>
      <c r="J205" s="61" t="s">
        <v>302</v>
      </c>
      <c r="K205" s="55"/>
    </row>
    <row r="206" spans="1:11" ht="12.75" customHeight="1" thickBot="1" x14ac:dyDescent="0.25">
      <c r="A206" s="60">
        <f t="shared" si="43"/>
        <v>132</v>
      </c>
      <c r="B206" s="60">
        <f t="shared" si="44"/>
        <v>0</v>
      </c>
      <c r="C206" s="60">
        <f t="shared" si="44"/>
        <v>132</v>
      </c>
      <c r="D206" s="60">
        <f t="shared" si="45"/>
        <v>6</v>
      </c>
      <c r="E206" s="60">
        <v>0</v>
      </c>
      <c r="F206" s="60">
        <v>6</v>
      </c>
      <c r="G206" s="60">
        <f t="shared" si="46"/>
        <v>126</v>
      </c>
      <c r="H206" s="60">
        <v>0</v>
      </c>
      <c r="I206" s="60">
        <v>126</v>
      </c>
      <c r="J206" s="61" t="s">
        <v>303</v>
      </c>
      <c r="K206" s="55"/>
    </row>
    <row r="207" spans="1:11" ht="12.75" customHeight="1" thickBot="1" x14ac:dyDescent="0.25">
      <c r="A207" s="60">
        <f t="shared" si="43"/>
        <v>134</v>
      </c>
      <c r="B207" s="60">
        <f t="shared" si="44"/>
        <v>0</v>
      </c>
      <c r="C207" s="60">
        <f t="shared" si="44"/>
        <v>134</v>
      </c>
      <c r="D207" s="60">
        <f t="shared" si="45"/>
        <v>0</v>
      </c>
      <c r="E207" s="60">
        <v>0</v>
      </c>
      <c r="F207" s="60">
        <v>0</v>
      </c>
      <c r="G207" s="60">
        <f t="shared" si="46"/>
        <v>134</v>
      </c>
      <c r="H207" s="60">
        <v>0</v>
      </c>
      <c r="I207" s="60">
        <v>134</v>
      </c>
      <c r="J207" s="61" t="s">
        <v>304</v>
      </c>
      <c r="K207" s="55"/>
    </row>
    <row r="208" spans="1:11" ht="12.75" customHeight="1" thickBot="1" x14ac:dyDescent="0.25">
      <c r="A208" s="60">
        <f t="shared" si="43"/>
        <v>164</v>
      </c>
      <c r="B208" s="60">
        <f t="shared" si="44"/>
        <v>0</v>
      </c>
      <c r="C208" s="60">
        <f t="shared" si="44"/>
        <v>164</v>
      </c>
      <c r="D208" s="60">
        <f t="shared" si="45"/>
        <v>1</v>
      </c>
      <c r="E208" s="60">
        <v>0</v>
      </c>
      <c r="F208" s="60">
        <v>1</v>
      </c>
      <c r="G208" s="60">
        <f t="shared" si="46"/>
        <v>163</v>
      </c>
      <c r="H208" s="60">
        <v>0</v>
      </c>
      <c r="I208" s="60">
        <v>163</v>
      </c>
      <c r="J208" s="61" t="s">
        <v>305</v>
      </c>
      <c r="K208" s="55"/>
    </row>
    <row r="209" spans="1:11" ht="12.75" customHeight="1" thickBot="1" x14ac:dyDescent="0.25">
      <c r="A209" s="60">
        <f t="shared" si="43"/>
        <v>68</v>
      </c>
      <c r="B209" s="60">
        <f t="shared" si="44"/>
        <v>0</v>
      </c>
      <c r="C209" s="60">
        <f t="shared" si="44"/>
        <v>68</v>
      </c>
      <c r="D209" s="60">
        <f t="shared" si="45"/>
        <v>0</v>
      </c>
      <c r="E209" s="60">
        <v>0</v>
      </c>
      <c r="F209" s="60">
        <v>0</v>
      </c>
      <c r="G209" s="60">
        <f t="shared" si="46"/>
        <v>68</v>
      </c>
      <c r="H209" s="60">
        <v>0</v>
      </c>
      <c r="I209" s="60">
        <v>68</v>
      </c>
      <c r="J209" s="61" t="s">
        <v>306</v>
      </c>
      <c r="K209" s="55"/>
    </row>
    <row r="210" spans="1:11" ht="12.75" customHeight="1" thickBot="1" x14ac:dyDescent="0.25">
      <c r="A210" s="60">
        <f t="shared" si="43"/>
        <v>137</v>
      </c>
      <c r="B210" s="60">
        <f t="shared" si="44"/>
        <v>0</v>
      </c>
      <c r="C210" s="60">
        <f t="shared" si="44"/>
        <v>137</v>
      </c>
      <c r="D210" s="60">
        <f t="shared" si="45"/>
        <v>0</v>
      </c>
      <c r="E210" s="60">
        <v>0</v>
      </c>
      <c r="F210" s="60">
        <v>0</v>
      </c>
      <c r="G210" s="60">
        <f t="shared" si="46"/>
        <v>137</v>
      </c>
      <c r="H210" s="60">
        <v>0</v>
      </c>
      <c r="I210" s="60">
        <v>137</v>
      </c>
      <c r="J210" s="61" t="s">
        <v>307</v>
      </c>
      <c r="K210" s="55"/>
    </row>
    <row r="211" spans="1:11" ht="12.75" customHeight="1" thickBot="1" x14ac:dyDescent="0.25">
      <c r="A211" s="60">
        <f t="shared" si="43"/>
        <v>25</v>
      </c>
      <c r="B211" s="60">
        <f t="shared" si="44"/>
        <v>0</v>
      </c>
      <c r="C211" s="60">
        <f t="shared" si="44"/>
        <v>25</v>
      </c>
      <c r="D211" s="60">
        <f t="shared" si="45"/>
        <v>0</v>
      </c>
      <c r="E211" s="60">
        <v>0</v>
      </c>
      <c r="F211" s="60">
        <v>0</v>
      </c>
      <c r="G211" s="60">
        <f t="shared" si="46"/>
        <v>25</v>
      </c>
      <c r="H211" s="60">
        <v>0</v>
      </c>
      <c r="I211" s="60">
        <v>25</v>
      </c>
      <c r="J211" s="61" t="s">
        <v>310</v>
      </c>
      <c r="K211" s="55"/>
    </row>
    <row r="212" spans="1:11" ht="12.75" customHeight="1" thickBot="1" x14ac:dyDescent="0.25">
      <c r="A212" s="60">
        <f t="shared" si="43"/>
        <v>152</v>
      </c>
      <c r="B212" s="60">
        <f t="shared" si="44"/>
        <v>0</v>
      </c>
      <c r="C212" s="60">
        <f t="shared" si="44"/>
        <v>152</v>
      </c>
      <c r="D212" s="60">
        <f t="shared" si="45"/>
        <v>0</v>
      </c>
      <c r="E212" s="60">
        <v>0</v>
      </c>
      <c r="F212" s="60">
        <v>0</v>
      </c>
      <c r="G212" s="60">
        <f t="shared" si="46"/>
        <v>152</v>
      </c>
      <c r="H212" s="60">
        <v>0</v>
      </c>
      <c r="I212" s="60">
        <v>152</v>
      </c>
      <c r="J212" s="61" t="s">
        <v>312</v>
      </c>
      <c r="K212" s="55"/>
    </row>
    <row r="213" spans="1:11" ht="12.75" customHeight="1" thickBot="1" x14ac:dyDescent="0.25">
      <c r="A213" s="60">
        <f t="shared" ref="A213:H213" si="47">SUM(A183:A212)</f>
        <v>12121</v>
      </c>
      <c r="B213" s="60">
        <f t="shared" si="47"/>
        <v>0</v>
      </c>
      <c r="C213" s="60">
        <f t="shared" si="47"/>
        <v>12121</v>
      </c>
      <c r="D213" s="60">
        <f t="shared" si="47"/>
        <v>271</v>
      </c>
      <c r="E213" s="60">
        <f t="shared" si="47"/>
        <v>0</v>
      </c>
      <c r="F213" s="60">
        <f t="shared" si="47"/>
        <v>271</v>
      </c>
      <c r="G213" s="60">
        <f t="shared" si="47"/>
        <v>11850</v>
      </c>
      <c r="H213" s="60">
        <f t="shared" si="47"/>
        <v>0</v>
      </c>
      <c r="I213" s="60">
        <f>SUM(I183:I212)</f>
        <v>11850</v>
      </c>
      <c r="J213" s="59" t="s">
        <v>211</v>
      </c>
      <c r="K213" s="55"/>
    </row>
    <row r="214" spans="1:11" ht="12.75" customHeight="1" x14ac:dyDescent="0.2">
      <c r="A214" s="177"/>
      <c r="B214" s="177"/>
      <c r="C214" s="177"/>
      <c r="D214" s="177"/>
      <c r="E214" s="177"/>
      <c r="F214" s="177"/>
      <c r="G214" s="177"/>
      <c r="H214" s="177"/>
      <c r="I214" s="177"/>
      <c r="J214" s="177"/>
      <c r="K214" s="55"/>
    </row>
    <row r="215" spans="1:11" ht="12.75" customHeight="1" x14ac:dyDescent="0.2">
      <c r="A215" s="177" t="s">
        <v>593</v>
      </c>
      <c r="B215" s="177"/>
      <c r="C215" s="177"/>
      <c r="D215" s="177"/>
      <c r="E215" s="177"/>
      <c r="F215" s="177"/>
      <c r="G215" s="177"/>
      <c r="H215" s="177"/>
      <c r="I215" s="177"/>
      <c r="J215" s="177"/>
      <c r="K215" s="55"/>
    </row>
    <row r="216" spans="1:11" ht="12.75" customHeight="1" thickBot="1" x14ac:dyDescent="0.25">
      <c r="A216" s="178" t="s">
        <v>594</v>
      </c>
      <c r="B216" s="178"/>
      <c r="C216" s="178"/>
      <c r="D216" s="178"/>
      <c r="E216" s="178"/>
      <c r="F216" s="178"/>
      <c r="G216" s="178"/>
      <c r="H216" s="178"/>
      <c r="I216" s="178"/>
      <c r="J216" s="178"/>
      <c r="K216" s="55"/>
    </row>
    <row r="217" spans="1:11" ht="12.75" customHeight="1" thickBot="1" x14ac:dyDescent="0.25">
      <c r="A217" s="179" t="s">
        <v>5</v>
      </c>
      <c r="B217" s="179"/>
      <c r="C217" s="179"/>
      <c r="D217" s="179" t="s">
        <v>162</v>
      </c>
      <c r="E217" s="179"/>
      <c r="F217" s="179"/>
      <c r="G217" s="179" t="s">
        <v>163</v>
      </c>
      <c r="H217" s="179"/>
      <c r="I217" s="179"/>
      <c r="J217" s="58" t="s">
        <v>72</v>
      </c>
      <c r="K217" s="55"/>
    </row>
    <row r="218" spans="1:11" ht="12.75" customHeight="1" thickBot="1" x14ac:dyDescent="0.25">
      <c r="A218" s="58" t="s">
        <v>216</v>
      </c>
      <c r="B218" s="58" t="s">
        <v>11</v>
      </c>
      <c r="C218" s="58" t="s">
        <v>10</v>
      </c>
      <c r="D218" s="58" t="s">
        <v>216</v>
      </c>
      <c r="E218" s="58" t="s">
        <v>11</v>
      </c>
      <c r="F218" s="58" t="s">
        <v>10</v>
      </c>
      <c r="G218" s="58" t="s">
        <v>216</v>
      </c>
      <c r="H218" s="58" t="s">
        <v>11</v>
      </c>
      <c r="I218" s="58" t="s">
        <v>10</v>
      </c>
      <c r="J218" s="59" t="s">
        <v>169</v>
      </c>
      <c r="K218" s="55"/>
    </row>
    <row r="219" spans="1:11" ht="12.75" customHeight="1" thickBot="1" x14ac:dyDescent="0.25">
      <c r="A219" s="60">
        <f>SUM(B219:C219)</f>
        <v>66</v>
      </c>
      <c r="B219" s="60">
        <f>H219+E219</f>
        <v>24</v>
      </c>
      <c r="C219" s="60">
        <f>I219+F219</f>
        <v>42</v>
      </c>
      <c r="D219" s="60">
        <f>SUM(E219:F219)</f>
        <v>0</v>
      </c>
      <c r="E219" s="60">
        <v>0</v>
      </c>
      <c r="F219" s="60">
        <v>0</v>
      </c>
      <c r="G219" s="60">
        <f>SUM(H219:I219)</f>
        <v>66</v>
      </c>
      <c r="H219" s="60">
        <v>24</v>
      </c>
      <c r="I219" s="60">
        <v>42</v>
      </c>
      <c r="J219" s="61" t="s">
        <v>324</v>
      </c>
      <c r="K219" s="55"/>
    </row>
    <row r="220" spans="1:11" ht="12.75" customHeight="1" thickBot="1" x14ac:dyDescent="0.25">
      <c r="A220" s="60">
        <f t="shared" ref="A220:H220" si="48">SUM(A219)</f>
        <v>66</v>
      </c>
      <c r="B220" s="60">
        <f t="shared" si="48"/>
        <v>24</v>
      </c>
      <c r="C220" s="60">
        <f t="shared" si="48"/>
        <v>42</v>
      </c>
      <c r="D220" s="60">
        <f t="shared" si="48"/>
        <v>0</v>
      </c>
      <c r="E220" s="60">
        <f t="shared" si="48"/>
        <v>0</v>
      </c>
      <c r="F220" s="60">
        <f t="shared" si="48"/>
        <v>0</v>
      </c>
      <c r="G220" s="60">
        <f t="shared" si="48"/>
        <v>66</v>
      </c>
      <c r="H220" s="60">
        <f t="shared" si="48"/>
        <v>24</v>
      </c>
      <c r="I220" s="60">
        <f>SUM(I219)</f>
        <v>42</v>
      </c>
      <c r="J220" s="59" t="s">
        <v>211</v>
      </c>
    </row>
    <row r="221" spans="1:11" ht="12.75" customHeight="1" x14ac:dyDescent="0.2">
      <c r="A221" s="177"/>
      <c r="B221" s="177"/>
      <c r="C221" s="177"/>
      <c r="D221" s="177"/>
      <c r="E221" s="177"/>
      <c r="F221" s="177"/>
      <c r="G221" s="177"/>
      <c r="H221" s="177"/>
      <c r="I221" s="177"/>
      <c r="J221" s="177"/>
    </row>
    <row r="222" spans="1:11" ht="12.75" customHeight="1" x14ac:dyDescent="0.2">
      <c r="A222" s="177" t="s">
        <v>593</v>
      </c>
      <c r="B222" s="177"/>
      <c r="C222" s="177"/>
      <c r="D222" s="177"/>
      <c r="E222" s="177"/>
      <c r="F222" s="177"/>
      <c r="G222" s="177"/>
      <c r="H222" s="177"/>
      <c r="I222" s="177"/>
      <c r="J222" s="177"/>
    </row>
    <row r="223" spans="1:11" ht="12.75" customHeight="1" thickBot="1" x14ac:dyDescent="0.25">
      <c r="A223" s="178" t="s">
        <v>594</v>
      </c>
      <c r="B223" s="178"/>
      <c r="C223" s="178"/>
      <c r="D223" s="178"/>
      <c r="E223" s="178"/>
      <c r="F223" s="178"/>
      <c r="G223" s="178"/>
      <c r="H223" s="178"/>
      <c r="I223" s="178"/>
      <c r="J223" s="178"/>
      <c r="K223" s="55"/>
    </row>
    <row r="224" spans="1:11" ht="12.75" customHeight="1" thickBot="1" x14ac:dyDescent="0.25">
      <c r="A224" s="179" t="s">
        <v>5</v>
      </c>
      <c r="B224" s="179"/>
      <c r="C224" s="179"/>
      <c r="D224" s="179" t="s">
        <v>162</v>
      </c>
      <c r="E224" s="179"/>
      <c r="F224" s="179"/>
      <c r="G224" s="179" t="s">
        <v>163</v>
      </c>
      <c r="H224" s="179"/>
      <c r="I224" s="179"/>
      <c r="J224" s="58" t="s">
        <v>72</v>
      </c>
      <c r="K224" s="55"/>
    </row>
    <row r="225" spans="1:15" ht="12.75" customHeight="1" thickBot="1" x14ac:dyDescent="0.25">
      <c r="A225" s="58" t="s">
        <v>216</v>
      </c>
      <c r="B225" s="58" t="s">
        <v>11</v>
      </c>
      <c r="C225" s="58" t="s">
        <v>10</v>
      </c>
      <c r="D225" s="58" t="s">
        <v>216</v>
      </c>
      <c r="E225" s="58" t="s">
        <v>11</v>
      </c>
      <c r="F225" s="58" t="s">
        <v>10</v>
      </c>
      <c r="G225" s="58" t="s">
        <v>216</v>
      </c>
      <c r="H225" s="58" t="s">
        <v>11</v>
      </c>
      <c r="I225" s="58" t="s">
        <v>10</v>
      </c>
      <c r="J225" s="59" t="s">
        <v>170</v>
      </c>
      <c r="K225" s="55"/>
    </row>
    <row r="226" spans="1:15" ht="12.75" customHeight="1" thickBot="1" x14ac:dyDescent="0.25">
      <c r="A226" s="60">
        <f>SUM(B226:C226)</f>
        <v>194</v>
      </c>
      <c r="B226" s="60">
        <f>H226+E226</f>
        <v>0</v>
      </c>
      <c r="C226" s="60">
        <f>I226+F226</f>
        <v>194</v>
      </c>
      <c r="D226" s="60">
        <f>SUM(E226:F226)</f>
        <v>4</v>
      </c>
      <c r="E226" s="60">
        <v>0</v>
      </c>
      <c r="F226" s="60">
        <v>4</v>
      </c>
      <c r="G226" s="60">
        <f>SUM(H226:I226)</f>
        <v>190</v>
      </c>
      <c r="H226" s="60">
        <v>0</v>
      </c>
      <c r="I226" s="60">
        <v>190</v>
      </c>
      <c r="J226" s="61" t="s">
        <v>325</v>
      </c>
      <c r="K226" s="55"/>
    </row>
    <row r="227" spans="1:15" ht="12.75" customHeight="1" thickBot="1" x14ac:dyDescent="0.25">
      <c r="A227" s="60">
        <f t="shared" ref="A227" si="49">SUM(B227:C227)</f>
        <v>179</v>
      </c>
      <c r="B227" s="60">
        <f>H227+E227</f>
        <v>0</v>
      </c>
      <c r="C227" s="60">
        <f>I227+F227</f>
        <v>179</v>
      </c>
      <c r="D227" s="60">
        <f t="shared" ref="D227" si="50">SUM(E227:F227)</f>
        <v>0</v>
      </c>
      <c r="E227" s="60">
        <v>0</v>
      </c>
      <c r="F227" s="60">
        <v>0</v>
      </c>
      <c r="G227" s="60">
        <f t="shared" ref="G227" si="51">SUM(H227:I227)</f>
        <v>179</v>
      </c>
      <c r="H227" s="60">
        <v>0</v>
      </c>
      <c r="I227" s="60">
        <v>179</v>
      </c>
      <c r="J227" s="61" t="s">
        <v>326</v>
      </c>
      <c r="K227" s="55"/>
    </row>
    <row r="228" spans="1:15" ht="12.75" customHeight="1" thickBot="1" x14ac:dyDescent="0.25">
      <c r="A228" s="60">
        <f t="shared" ref="A228:H228" si="52">SUM(A226:A227)</f>
        <v>373</v>
      </c>
      <c r="B228" s="60">
        <f t="shared" si="52"/>
        <v>0</v>
      </c>
      <c r="C228" s="60">
        <f t="shared" si="52"/>
        <v>373</v>
      </c>
      <c r="D228" s="60">
        <f t="shared" si="52"/>
        <v>4</v>
      </c>
      <c r="E228" s="60">
        <f t="shared" si="52"/>
        <v>0</v>
      </c>
      <c r="F228" s="60">
        <f t="shared" si="52"/>
        <v>4</v>
      </c>
      <c r="G228" s="60">
        <f t="shared" si="52"/>
        <v>369</v>
      </c>
      <c r="H228" s="60">
        <f t="shared" si="52"/>
        <v>0</v>
      </c>
      <c r="I228" s="60">
        <f>SUM(I226:I227)</f>
        <v>369</v>
      </c>
      <c r="J228" s="59" t="s">
        <v>211</v>
      </c>
      <c r="K228" s="55"/>
    </row>
    <row r="229" spans="1:15" ht="12.75" customHeight="1" x14ac:dyDescent="0.2">
      <c r="A229" s="177"/>
      <c r="B229" s="177"/>
      <c r="C229" s="177"/>
      <c r="D229" s="177"/>
      <c r="E229" s="177"/>
      <c r="F229" s="177"/>
      <c r="G229" s="177"/>
      <c r="H229" s="177"/>
      <c r="I229" s="177"/>
      <c r="J229" s="177"/>
      <c r="K229" s="55"/>
    </row>
    <row r="230" spans="1:15" ht="12.75" customHeight="1" x14ac:dyDescent="0.2">
      <c r="A230" s="177" t="s">
        <v>593</v>
      </c>
      <c r="B230" s="177"/>
      <c r="C230" s="177"/>
      <c r="D230" s="177"/>
      <c r="E230" s="177"/>
      <c r="F230" s="177"/>
      <c r="G230" s="177"/>
      <c r="H230" s="177"/>
      <c r="I230" s="177"/>
      <c r="J230" s="177"/>
      <c r="K230" s="55"/>
    </row>
    <row r="231" spans="1:15" ht="12.75" customHeight="1" thickBot="1" x14ac:dyDescent="0.25">
      <c r="A231" s="178" t="s">
        <v>594</v>
      </c>
      <c r="B231" s="178"/>
      <c r="C231" s="178"/>
      <c r="D231" s="178"/>
      <c r="E231" s="178"/>
      <c r="F231" s="178"/>
      <c r="G231" s="178"/>
      <c r="H231" s="178"/>
      <c r="I231" s="178"/>
      <c r="J231" s="178"/>
      <c r="K231" s="55"/>
    </row>
    <row r="232" spans="1:15" ht="12.75" customHeight="1" thickBot="1" x14ac:dyDescent="0.25">
      <c r="A232" s="179" t="s">
        <v>5</v>
      </c>
      <c r="B232" s="179"/>
      <c r="C232" s="179"/>
      <c r="D232" s="179" t="s">
        <v>162</v>
      </c>
      <c r="E232" s="179"/>
      <c r="F232" s="179"/>
      <c r="G232" s="179" t="s">
        <v>163</v>
      </c>
      <c r="H232" s="179"/>
      <c r="I232" s="179"/>
      <c r="J232" s="58" t="s">
        <v>72</v>
      </c>
      <c r="K232" s="55"/>
    </row>
    <row r="233" spans="1:15" ht="12.75" customHeight="1" thickBot="1" x14ac:dyDescent="0.25">
      <c r="A233" s="58" t="s">
        <v>216</v>
      </c>
      <c r="B233" s="58" t="s">
        <v>11</v>
      </c>
      <c r="C233" s="58" t="s">
        <v>10</v>
      </c>
      <c r="D233" s="58" t="s">
        <v>216</v>
      </c>
      <c r="E233" s="58" t="s">
        <v>11</v>
      </c>
      <c r="F233" s="58" t="s">
        <v>10</v>
      </c>
      <c r="G233" s="58" t="s">
        <v>216</v>
      </c>
      <c r="H233" s="58" t="s">
        <v>11</v>
      </c>
      <c r="I233" s="58" t="s">
        <v>10</v>
      </c>
      <c r="J233" s="59" t="s">
        <v>171</v>
      </c>
      <c r="K233" s="55"/>
    </row>
    <row r="234" spans="1:15" ht="12.75" customHeight="1" thickBot="1" x14ac:dyDescent="0.25">
      <c r="A234" s="60">
        <f>SUM(B234:C234)</f>
        <v>976</v>
      </c>
      <c r="B234" s="60">
        <f>H234+E234</f>
        <v>147</v>
      </c>
      <c r="C234" s="60">
        <f>I234+F234</f>
        <v>829</v>
      </c>
      <c r="D234" s="60">
        <f>SUM(E234:F234)</f>
        <v>0</v>
      </c>
      <c r="E234" s="60">
        <v>0</v>
      </c>
      <c r="F234" s="60">
        <v>0</v>
      </c>
      <c r="G234" s="60">
        <f>SUM(H234:I234)</f>
        <v>976</v>
      </c>
      <c r="H234" s="60">
        <v>147</v>
      </c>
      <c r="I234" s="60">
        <v>829</v>
      </c>
      <c r="J234" s="61" t="s">
        <v>171</v>
      </c>
    </row>
    <row r="235" spans="1:15" ht="12.75" customHeight="1" thickBot="1" x14ac:dyDescent="0.25">
      <c r="A235" s="60">
        <f t="shared" ref="A235:H235" si="53">SUM(A234)</f>
        <v>976</v>
      </c>
      <c r="B235" s="60">
        <f t="shared" si="53"/>
        <v>147</v>
      </c>
      <c r="C235" s="60">
        <f t="shared" si="53"/>
        <v>829</v>
      </c>
      <c r="D235" s="60">
        <f t="shared" si="53"/>
        <v>0</v>
      </c>
      <c r="E235" s="60">
        <f t="shared" si="53"/>
        <v>0</v>
      </c>
      <c r="F235" s="60">
        <f t="shared" si="53"/>
        <v>0</v>
      </c>
      <c r="G235" s="60">
        <f t="shared" si="53"/>
        <v>976</v>
      </c>
      <c r="H235" s="60">
        <f t="shared" si="53"/>
        <v>147</v>
      </c>
      <c r="I235" s="60">
        <f>SUM(I234)</f>
        <v>829</v>
      </c>
      <c r="J235" s="59" t="s">
        <v>211</v>
      </c>
    </row>
    <row r="236" spans="1:15" ht="12.75" customHeight="1" x14ac:dyDescent="0.2">
      <c r="A236" s="177"/>
      <c r="B236" s="177"/>
      <c r="C236" s="177"/>
      <c r="D236" s="177"/>
      <c r="E236" s="177"/>
      <c r="F236" s="177"/>
      <c r="G236" s="177"/>
      <c r="H236" s="177"/>
      <c r="I236" s="177"/>
      <c r="J236" s="177"/>
    </row>
    <row r="237" spans="1:15" ht="12.75" customHeight="1" x14ac:dyDescent="0.2">
      <c r="A237" s="177" t="s">
        <v>593</v>
      </c>
      <c r="B237" s="177"/>
      <c r="C237" s="177"/>
      <c r="D237" s="177"/>
      <c r="E237" s="177"/>
      <c r="F237" s="177"/>
      <c r="G237" s="177"/>
      <c r="H237" s="177"/>
      <c r="I237" s="177"/>
      <c r="J237" s="177"/>
    </row>
    <row r="238" spans="1:15" ht="12.75" customHeight="1" thickBot="1" x14ac:dyDescent="0.25">
      <c r="A238" s="178" t="s">
        <v>594</v>
      </c>
      <c r="B238" s="178"/>
      <c r="C238" s="178"/>
      <c r="D238" s="178"/>
      <c r="E238" s="178"/>
      <c r="F238" s="178"/>
      <c r="G238" s="178"/>
      <c r="H238" s="178"/>
      <c r="I238" s="178"/>
      <c r="J238" s="178"/>
    </row>
    <row r="239" spans="1:15" ht="12.75" customHeight="1" thickBot="1" x14ac:dyDescent="0.25">
      <c r="A239" s="179" t="s">
        <v>5</v>
      </c>
      <c r="B239" s="179"/>
      <c r="C239" s="179"/>
      <c r="D239" s="179" t="s">
        <v>162</v>
      </c>
      <c r="E239" s="179"/>
      <c r="F239" s="179"/>
      <c r="G239" s="179" t="s">
        <v>163</v>
      </c>
      <c r="H239" s="179"/>
      <c r="I239" s="179"/>
      <c r="J239" s="58" t="s">
        <v>72</v>
      </c>
      <c r="M239" s="83"/>
      <c r="N239" s="69"/>
      <c r="O239" s="69"/>
    </row>
    <row r="240" spans="1:15" ht="12.75" customHeight="1" thickBot="1" x14ac:dyDescent="0.25">
      <c r="A240" s="58" t="s">
        <v>216</v>
      </c>
      <c r="B240" s="58" t="s">
        <v>11</v>
      </c>
      <c r="C240" s="58" t="s">
        <v>10</v>
      </c>
      <c r="D240" s="58" t="s">
        <v>216</v>
      </c>
      <c r="E240" s="58" t="s">
        <v>11</v>
      </c>
      <c r="F240" s="58" t="s">
        <v>10</v>
      </c>
      <c r="G240" s="58" t="s">
        <v>216</v>
      </c>
      <c r="H240" s="58" t="s">
        <v>11</v>
      </c>
      <c r="I240" s="58" t="s">
        <v>10</v>
      </c>
      <c r="J240" s="59" t="s">
        <v>173</v>
      </c>
      <c r="K240" s="83"/>
      <c r="L240" s="83"/>
      <c r="M240" s="83"/>
    </row>
    <row r="241" spans="1:10" ht="12.75" customHeight="1" thickBot="1" x14ac:dyDescent="0.25">
      <c r="A241" s="60">
        <f>SUM(B241:C241)</f>
        <v>33</v>
      </c>
      <c r="B241" s="60">
        <f>H241+E241</f>
        <v>12</v>
      </c>
      <c r="C241" s="60">
        <f>I241+F241</f>
        <v>21</v>
      </c>
      <c r="D241" s="60">
        <f>SUM(E241:F241)</f>
        <v>9</v>
      </c>
      <c r="E241" s="60">
        <v>8</v>
      </c>
      <c r="F241" s="60">
        <v>1</v>
      </c>
      <c r="G241" s="60">
        <f>SUM(H241:I241)</f>
        <v>24</v>
      </c>
      <c r="H241" s="60">
        <v>4</v>
      </c>
      <c r="I241" s="60">
        <v>20</v>
      </c>
      <c r="J241" s="61" t="s">
        <v>139</v>
      </c>
    </row>
    <row r="242" spans="1:10" ht="12.75" customHeight="1" thickBot="1" x14ac:dyDescent="0.25">
      <c r="A242" s="60">
        <f t="shared" ref="A242:H242" si="54">SUM(A241)</f>
        <v>33</v>
      </c>
      <c r="B242" s="60">
        <f t="shared" si="54"/>
        <v>12</v>
      </c>
      <c r="C242" s="60">
        <f t="shared" si="54"/>
        <v>21</v>
      </c>
      <c r="D242" s="60">
        <f t="shared" si="54"/>
        <v>9</v>
      </c>
      <c r="E242" s="60">
        <f t="shared" si="54"/>
        <v>8</v>
      </c>
      <c r="F242" s="60">
        <f t="shared" si="54"/>
        <v>1</v>
      </c>
      <c r="G242" s="60">
        <f t="shared" si="54"/>
        <v>24</v>
      </c>
      <c r="H242" s="60">
        <f t="shared" si="54"/>
        <v>4</v>
      </c>
      <c r="I242" s="60">
        <f>SUM(I241)</f>
        <v>20</v>
      </c>
      <c r="J242" s="59" t="s">
        <v>211</v>
      </c>
    </row>
    <row r="243" spans="1:10" ht="12.75" customHeight="1" x14ac:dyDescent="0.2">
      <c r="A243" s="177"/>
      <c r="B243" s="177"/>
      <c r="C243" s="177"/>
      <c r="D243" s="177"/>
      <c r="E243" s="177"/>
      <c r="F243" s="177"/>
      <c r="G243" s="177"/>
      <c r="H243" s="177"/>
      <c r="I243" s="177"/>
      <c r="J243" s="177"/>
    </row>
  </sheetData>
  <mergeCells count="138">
    <mergeCell ref="A1:J1"/>
    <mergeCell ref="A2:J2"/>
    <mergeCell ref="A3:C3"/>
    <mergeCell ref="D3:F3"/>
    <mergeCell ref="G3:I3"/>
    <mergeCell ref="A12:J12"/>
    <mergeCell ref="A23:J23"/>
    <mergeCell ref="A24:J24"/>
    <mergeCell ref="A25:C25"/>
    <mergeCell ref="D25:F25"/>
    <mergeCell ref="G25:I25"/>
    <mergeCell ref="A36:J36"/>
    <mergeCell ref="A13:J13"/>
    <mergeCell ref="A14:J14"/>
    <mergeCell ref="A15:C15"/>
    <mergeCell ref="D15:F15"/>
    <mergeCell ref="G15:I15"/>
    <mergeCell ref="A22:J22"/>
    <mergeCell ref="A46:J46"/>
    <mergeCell ref="A47:J47"/>
    <mergeCell ref="A48:C48"/>
    <mergeCell ref="D48:F48"/>
    <mergeCell ref="G48:I48"/>
    <mergeCell ref="A53:J53"/>
    <mergeCell ref="A37:J37"/>
    <mergeCell ref="A38:J38"/>
    <mergeCell ref="A39:C39"/>
    <mergeCell ref="D39:F39"/>
    <mergeCell ref="G39:I39"/>
    <mergeCell ref="A45:J45"/>
    <mergeCell ref="A70:J70"/>
    <mergeCell ref="A71:J71"/>
    <mergeCell ref="A72:C72"/>
    <mergeCell ref="D72:F72"/>
    <mergeCell ref="G72:I72"/>
    <mergeCell ref="A81:J81"/>
    <mergeCell ref="A54:J54"/>
    <mergeCell ref="A55:J55"/>
    <mergeCell ref="A56:C56"/>
    <mergeCell ref="D56:F56"/>
    <mergeCell ref="G56:I56"/>
    <mergeCell ref="A69:J69"/>
    <mergeCell ref="A89:J89"/>
    <mergeCell ref="A90:J90"/>
    <mergeCell ref="A91:C91"/>
    <mergeCell ref="D91:F91"/>
    <mergeCell ref="G91:I91"/>
    <mergeCell ref="A97:J97"/>
    <mergeCell ref="A82:J82"/>
    <mergeCell ref="A83:J83"/>
    <mergeCell ref="A84:C84"/>
    <mergeCell ref="D84:F84"/>
    <mergeCell ref="G84:I84"/>
    <mergeCell ref="A88:J88"/>
    <mergeCell ref="A106:J106"/>
    <mergeCell ref="A107:J107"/>
    <mergeCell ref="A108:C108"/>
    <mergeCell ref="D108:F108"/>
    <mergeCell ref="G108:I108"/>
    <mergeCell ref="A117:J117"/>
    <mergeCell ref="A98:J98"/>
    <mergeCell ref="A99:J99"/>
    <mergeCell ref="A100:C100"/>
    <mergeCell ref="D100:F100"/>
    <mergeCell ref="G100:I100"/>
    <mergeCell ref="A105:J105"/>
    <mergeCell ref="A126:J126"/>
    <mergeCell ref="A127:J127"/>
    <mergeCell ref="A128:C128"/>
    <mergeCell ref="D128:F128"/>
    <mergeCell ref="G128:I128"/>
    <mergeCell ref="A137:J137"/>
    <mergeCell ref="A118:J118"/>
    <mergeCell ref="A119:J119"/>
    <mergeCell ref="A120:C120"/>
    <mergeCell ref="D120:F120"/>
    <mergeCell ref="G120:I120"/>
    <mergeCell ref="A125:J125"/>
    <mergeCell ref="A147:J147"/>
    <mergeCell ref="A148:J148"/>
    <mergeCell ref="A149:C149"/>
    <mergeCell ref="D149:F149"/>
    <mergeCell ref="G149:I149"/>
    <mergeCell ref="A154:J154"/>
    <mergeCell ref="A138:J138"/>
    <mergeCell ref="A139:J139"/>
    <mergeCell ref="A140:C140"/>
    <mergeCell ref="D140:F140"/>
    <mergeCell ref="G140:I140"/>
    <mergeCell ref="A146:J146"/>
    <mergeCell ref="A163:J163"/>
    <mergeCell ref="A164:J164"/>
    <mergeCell ref="A165:C165"/>
    <mergeCell ref="D165:F165"/>
    <mergeCell ref="G165:I165"/>
    <mergeCell ref="A169:J169"/>
    <mergeCell ref="A155:J155"/>
    <mergeCell ref="A156:J156"/>
    <mergeCell ref="A157:C157"/>
    <mergeCell ref="D157:F157"/>
    <mergeCell ref="G157:I157"/>
    <mergeCell ref="A162:J162"/>
    <mergeCell ref="A179:J179"/>
    <mergeCell ref="A180:J180"/>
    <mergeCell ref="A181:C181"/>
    <mergeCell ref="D181:F181"/>
    <mergeCell ref="G181:I181"/>
    <mergeCell ref="A214:J214"/>
    <mergeCell ref="A170:J170"/>
    <mergeCell ref="A171:J171"/>
    <mergeCell ref="A172:C172"/>
    <mergeCell ref="D172:F172"/>
    <mergeCell ref="G172:I172"/>
    <mergeCell ref="A178:J178"/>
    <mergeCell ref="A222:J222"/>
    <mergeCell ref="A223:J223"/>
    <mergeCell ref="A224:C224"/>
    <mergeCell ref="D224:F224"/>
    <mergeCell ref="G224:I224"/>
    <mergeCell ref="A229:J229"/>
    <mergeCell ref="A215:J215"/>
    <mergeCell ref="A216:J216"/>
    <mergeCell ref="A217:C217"/>
    <mergeCell ref="D217:F217"/>
    <mergeCell ref="G217:I217"/>
    <mergeCell ref="A221:J221"/>
    <mergeCell ref="A237:J237"/>
    <mergeCell ref="A238:J238"/>
    <mergeCell ref="A239:C239"/>
    <mergeCell ref="D239:F239"/>
    <mergeCell ref="G239:I239"/>
    <mergeCell ref="A243:J243"/>
    <mergeCell ref="A230:J230"/>
    <mergeCell ref="A231:J231"/>
    <mergeCell ref="A232:C232"/>
    <mergeCell ref="D232:F232"/>
    <mergeCell ref="G232:I232"/>
    <mergeCell ref="A236:J236"/>
  </mergeCells>
  <pageMargins left="0.4" right="0.4" top="0.25" bottom="0.25" header="0.25" footer="0.25"/>
  <pageSetup paperSize="9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833"/>
  <sheetViews>
    <sheetView showGridLines="0" workbookViewId="0">
      <selection activeCell="G206" sqref="G206"/>
    </sheetView>
  </sheetViews>
  <sheetFormatPr defaultRowHeight="12.75" customHeight="1" x14ac:dyDescent="0.2"/>
  <cols>
    <col min="1" max="1" width="6" style="56" bestFit="1" customWidth="1"/>
    <col min="2" max="3" width="5" style="56" bestFit="1" customWidth="1"/>
    <col min="4" max="6" width="4" style="56" bestFit="1" customWidth="1"/>
    <col min="7" max="7" width="6" style="56" bestFit="1" customWidth="1"/>
    <col min="8" max="8" width="5" style="56" bestFit="1" customWidth="1"/>
    <col min="9" max="9" width="5.625" style="56" bestFit="1" customWidth="1"/>
    <col min="10" max="10" width="5.75" style="56" bestFit="1" customWidth="1"/>
    <col min="11" max="11" width="35" style="56" bestFit="1" customWidth="1"/>
    <col min="12" max="12" width="2" style="82" customWidth="1"/>
    <col min="13" max="251" width="9" style="56"/>
    <col min="252" max="252" width="6" style="56" bestFit="1" customWidth="1"/>
    <col min="253" max="254" width="5" style="56" bestFit="1" customWidth="1"/>
    <col min="255" max="257" width="4" style="56" bestFit="1" customWidth="1"/>
    <col min="258" max="258" width="6" style="56" bestFit="1" customWidth="1"/>
    <col min="259" max="260" width="5" style="56" bestFit="1" customWidth="1"/>
    <col min="261" max="261" width="5.75" style="56" bestFit="1" customWidth="1"/>
    <col min="262" max="262" width="35" style="56" bestFit="1" customWidth="1"/>
    <col min="263" max="263" width="2" style="56" customWidth="1"/>
    <col min="264" max="266" width="6" style="56" bestFit="1" customWidth="1"/>
    <col min="267" max="507" width="9" style="56"/>
    <col min="508" max="508" width="6" style="56" bestFit="1" customWidth="1"/>
    <col min="509" max="510" width="5" style="56" bestFit="1" customWidth="1"/>
    <col min="511" max="513" width="4" style="56" bestFit="1" customWidth="1"/>
    <col min="514" max="514" width="6" style="56" bestFit="1" customWidth="1"/>
    <col min="515" max="516" width="5" style="56" bestFit="1" customWidth="1"/>
    <col min="517" max="517" width="5.75" style="56" bestFit="1" customWidth="1"/>
    <col min="518" max="518" width="35" style="56" bestFit="1" customWidth="1"/>
    <col min="519" max="519" width="2" style="56" customWidth="1"/>
    <col min="520" max="522" width="6" style="56" bestFit="1" customWidth="1"/>
    <col min="523" max="763" width="9" style="56"/>
    <col min="764" max="764" width="6" style="56" bestFit="1" customWidth="1"/>
    <col min="765" max="766" width="5" style="56" bestFit="1" customWidth="1"/>
    <col min="767" max="769" width="4" style="56" bestFit="1" customWidth="1"/>
    <col min="770" max="770" width="6" style="56" bestFit="1" customWidth="1"/>
    <col min="771" max="772" width="5" style="56" bestFit="1" customWidth="1"/>
    <col min="773" max="773" width="5.75" style="56" bestFit="1" customWidth="1"/>
    <col min="774" max="774" width="35" style="56" bestFit="1" customWidth="1"/>
    <col min="775" max="775" width="2" style="56" customWidth="1"/>
    <col min="776" max="778" width="6" style="56" bestFit="1" customWidth="1"/>
    <col min="779" max="1019" width="9" style="56"/>
    <col min="1020" max="1020" width="6" style="56" bestFit="1" customWidth="1"/>
    <col min="1021" max="1022" width="5" style="56" bestFit="1" customWidth="1"/>
    <col min="1023" max="1025" width="4" style="56" bestFit="1" customWidth="1"/>
    <col min="1026" max="1026" width="6" style="56" bestFit="1" customWidth="1"/>
    <col min="1027" max="1028" width="5" style="56" bestFit="1" customWidth="1"/>
    <col min="1029" max="1029" width="5.75" style="56" bestFit="1" customWidth="1"/>
    <col min="1030" max="1030" width="35" style="56" bestFit="1" customWidth="1"/>
    <col min="1031" max="1031" width="2" style="56" customWidth="1"/>
    <col min="1032" max="1034" width="6" style="56" bestFit="1" customWidth="1"/>
    <col min="1035" max="1275" width="9" style="56"/>
    <col min="1276" max="1276" width="6" style="56" bestFit="1" customWidth="1"/>
    <col min="1277" max="1278" width="5" style="56" bestFit="1" customWidth="1"/>
    <col min="1279" max="1281" width="4" style="56" bestFit="1" customWidth="1"/>
    <col min="1282" max="1282" width="6" style="56" bestFit="1" customWidth="1"/>
    <col min="1283" max="1284" width="5" style="56" bestFit="1" customWidth="1"/>
    <col min="1285" max="1285" width="5.75" style="56" bestFit="1" customWidth="1"/>
    <col min="1286" max="1286" width="35" style="56" bestFit="1" customWidth="1"/>
    <col min="1287" max="1287" width="2" style="56" customWidth="1"/>
    <col min="1288" max="1290" width="6" style="56" bestFit="1" customWidth="1"/>
    <col min="1291" max="1531" width="9" style="56"/>
    <col min="1532" max="1532" width="6" style="56" bestFit="1" customWidth="1"/>
    <col min="1533" max="1534" width="5" style="56" bestFit="1" customWidth="1"/>
    <col min="1535" max="1537" width="4" style="56" bestFit="1" customWidth="1"/>
    <col min="1538" max="1538" width="6" style="56" bestFit="1" customWidth="1"/>
    <col min="1539" max="1540" width="5" style="56" bestFit="1" customWidth="1"/>
    <col min="1541" max="1541" width="5.75" style="56" bestFit="1" customWidth="1"/>
    <col min="1542" max="1542" width="35" style="56" bestFit="1" customWidth="1"/>
    <col min="1543" max="1543" width="2" style="56" customWidth="1"/>
    <col min="1544" max="1546" width="6" style="56" bestFit="1" customWidth="1"/>
    <col min="1547" max="1787" width="9" style="56"/>
    <col min="1788" max="1788" width="6" style="56" bestFit="1" customWidth="1"/>
    <col min="1789" max="1790" width="5" style="56" bestFit="1" customWidth="1"/>
    <col min="1791" max="1793" width="4" style="56" bestFit="1" customWidth="1"/>
    <col min="1794" max="1794" width="6" style="56" bestFit="1" customWidth="1"/>
    <col min="1795" max="1796" width="5" style="56" bestFit="1" customWidth="1"/>
    <col min="1797" max="1797" width="5.75" style="56" bestFit="1" customWidth="1"/>
    <col min="1798" max="1798" width="35" style="56" bestFit="1" customWidth="1"/>
    <col min="1799" max="1799" width="2" style="56" customWidth="1"/>
    <col min="1800" max="1802" width="6" style="56" bestFit="1" customWidth="1"/>
    <col min="1803" max="2043" width="9" style="56"/>
    <col min="2044" max="2044" width="6" style="56" bestFit="1" customWidth="1"/>
    <col min="2045" max="2046" width="5" style="56" bestFit="1" customWidth="1"/>
    <col min="2047" max="2049" width="4" style="56" bestFit="1" customWidth="1"/>
    <col min="2050" max="2050" width="6" style="56" bestFit="1" customWidth="1"/>
    <col min="2051" max="2052" width="5" style="56" bestFit="1" customWidth="1"/>
    <col min="2053" max="2053" width="5.75" style="56" bestFit="1" customWidth="1"/>
    <col min="2054" max="2054" width="35" style="56" bestFit="1" customWidth="1"/>
    <col min="2055" max="2055" width="2" style="56" customWidth="1"/>
    <col min="2056" max="2058" width="6" style="56" bestFit="1" customWidth="1"/>
    <col min="2059" max="2299" width="9" style="56"/>
    <col min="2300" max="2300" width="6" style="56" bestFit="1" customWidth="1"/>
    <col min="2301" max="2302" width="5" style="56" bestFit="1" customWidth="1"/>
    <col min="2303" max="2305" width="4" style="56" bestFit="1" customWidth="1"/>
    <col min="2306" max="2306" width="6" style="56" bestFit="1" customWidth="1"/>
    <col min="2307" max="2308" width="5" style="56" bestFit="1" customWidth="1"/>
    <col min="2309" max="2309" width="5.75" style="56" bestFit="1" customWidth="1"/>
    <col min="2310" max="2310" width="35" style="56" bestFit="1" customWidth="1"/>
    <col min="2311" max="2311" width="2" style="56" customWidth="1"/>
    <col min="2312" max="2314" width="6" style="56" bestFit="1" customWidth="1"/>
    <col min="2315" max="2555" width="9" style="56"/>
    <col min="2556" max="2556" width="6" style="56" bestFit="1" customWidth="1"/>
    <col min="2557" max="2558" width="5" style="56" bestFit="1" customWidth="1"/>
    <col min="2559" max="2561" width="4" style="56" bestFit="1" customWidth="1"/>
    <col min="2562" max="2562" width="6" style="56" bestFit="1" customWidth="1"/>
    <col min="2563" max="2564" width="5" style="56" bestFit="1" customWidth="1"/>
    <col min="2565" max="2565" width="5.75" style="56" bestFit="1" customWidth="1"/>
    <col min="2566" max="2566" width="35" style="56" bestFit="1" customWidth="1"/>
    <col min="2567" max="2567" width="2" style="56" customWidth="1"/>
    <col min="2568" max="2570" width="6" style="56" bestFit="1" customWidth="1"/>
    <col min="2571" max="2811" width="9" style="56"/>
    <col min="2812" max="2812" width="6" style="56" bestFit="1" customWidth="1"/>
    <col min="2813" max="2814" width="5" style="56" bestFit="1" customWidth="1"/>
    <col min="2815" max="2817" width="4" style="56" bestFit="1" customWidth="1"/>
    <col min="2818" max="2818" width="6" style="56" bestFit="1" customWidth="1"/>
    <col min="2819" max="2820" width="5" style="56" bestFit="1" customWidth="1"/>
    <col min="2821" max="2821" width="5.75" style="56" bestFit="1" customWidth="1"/>
    <col min="2822" max="2822" width="35" style="56" bestFit="1" customWidth="1"/>
    <col min="2823" max="2823" width="2" style="56" customWidth="1"/>
    <col min="2824" max="2826" width="6" style="56" bestFit="1" customWidth="1"/>
    <col min="2827" max="3067" width="9" style="56"/>
    <col min="3068" max="3068" width="6" style="56" bestFit="1" customWidth="1"/>
    <col min="3069" max="3070" width="5" style="56" bestFit="1" customWidth="1"/>
    <col min="3071" max="3073" width="4" style="56" bestFit="1" customWidth="1"/>
    <col min="3074" max="3074" width="6" style="56" bestFit="1" customWidth="1"/>
    <col min="3075" max="3076" width="5" style="56" bestFit="1" customWidth="1"/>
    <col min="3077" max="3077" width="5.75" style="56" bestFit="1" customWidth="1"/>
    <col min="3078" max="3078" width="35" style="56" bestFit="1" customWidth="1"/>
    <col min="3079" max="3079" width="2" style="56" customWidth="1"/>
    <col min="3080" max="3082" width="6" style="56" bestFit="1" customWidth="1"/>
    <col min="3083" max="3323" width="9" style="56"/>
    <col min="3324" max="3324" width="6" style="56" bestFit="1" customWidth="1"/>
    <col min="3325" max="3326" width="5" style="56" bestFit="1" customWidth="1"/>
    <col min="3327" max="3329" width="4" style="56" bestFit="1" customWidth="1"/>
    <col min="3330" max="3330" width="6" style="56" bestFit="1" customWidth="1"/>
    <col min="3331" max="3332" width="5" style="56" bestFit="1" customWidth="1"/>
    <col min="3333" max="3333" width="5.75" style="56" bestFit="1" customWidth="1"/>
    <col min="3334" max="3334" width="35" style="56" bestFit="1" customWidth="1"/>
    <col min="3335" max="3335" width="2" style="56" customWidth="1"/>
    <col min="3336" max="3338" width="6" style="56" bestFit="1" customWidth="1"/>
    <col min="3339" max="3579" width="9" style="56"/>
    <col min="3580" max="3580" width="6" style="56" bestFit="1" customWidth="1"/>
    <col min="3581" max="3582" width="5" style="56" bestFit="1" customWidth="1"/>
    <col min="3583" max="3585" width="4" style="56" bestFit="1" customWidth="1"/>
    <col min="3586" max="3586" width="6" style="56" bestFit="1" customWidth="1"/>
    <col min="3587" max="3588" width="5" style="56" bestFit="1" customWidth="1"/>
    <col min="3589" max="3589" width="5.75" style="56" bestFit="1" customWidth="1"/>
    <col min="3590" max="3590" width="35" style="56" bestFit="1" customWidth="1"/>
    <col min="3591" max="3591" width="2" style="56" customWidth="1"/>
    <col min="3592" max="3594" width="6" style="56" bestFit="1" customWidth="1"/>
    <col min="3595" max="3835" width="9" style="56"/>
    <col min="3836" max="3836" width="6" style="56" bestFit="1" customWidth="1"/>
    <col min="3837" max="3838" width="5" style="56" bestFit="1" customWidth="1"/>
    <col min="3839" max="3841" width="4" style="56" bestFit="1" customWidth="1"/>
    <col min="3842" max="3842" width="6" style="56" bestFit="1" customWidth="1"/>
    <col min="3843" max="3844" width="5" style="56" bestFit="1" customWidth="1"/>
    <col min="3845" max="3845" width="5.75" style="56" bestFit="1" customWidth="1"/>
    <col min="3846" max="3846" width="35" style="56" bestFit="1" customWidth="1"/>
    <col min="3847" max="3847" width="2" style="56" customWidth="1"/>
    <col min="3848" max="3850" width="6" style="56" bestFit="1" customWidth="1"/>
    <col min="3851" max="4091" width="9" style="56"/>
    <col min="4092" max="4092" width="6" style="56" bestFit="1" customWidth="1"/>
    <col min="4093" max="4094" width="5" style="56" bestFit="1" customWidth="1"/>
    <col min="4095" max="4097" width="4" style="56" bestFit="1" customWidth="1"/>
    <col min="4098" max="4098" width="6" style="56" bestFit="1" customWidth="1"/>
    <col min="4099" max="4100" width="5" style="56" bestFit="1" customWidth="1"/>
    <col min="4101" max="4101" width="5.75" style="56" bestFit="1" customWidth="1"/>
    <col min="4102" max="4102" width="35" style="56" bestFit="1" customWidth="1"/>
    <col min="4103" max="4103" width="2" style="56" customWidth="1"/>
    <col min="4104" max="4106" width="6" style="56" bestFit="1" customWidth="1"/>
    <col min="4107" max="4347" width="9" style="56"/>
    <col min="4348" max="4348" width="6" style="56" bestFit="1" customWidth="1"/>
    <col min="4349" max="4350" width="5" style="56" bestFit="1" customWidth="1"/>
    <col min="4351" max="4353" width="4" style="56" bestFit="1" customWidth="1"/>
    <col min="4354" max="4354" width="6" style="56" bestFit="1" customWidth="1"/>
    <col min="4355" max="4356" width="5" style="56" bestFit="1" customWidth="1"/>
    <col min="4357" max="4357" width="5.75" style="56" bestFit="1" customWidth="1"/>
    <col min="4358" max="4358" width="35" style="56" bestFit="1" customWidth="1"/>
    <col min="4359" max="4359" width="2" style="56" customWidth="1"/>
    <col min="4360" max="4362" width="6" style="56" bestFit="1" customWidth="1"/>
    <col min="4363" max="4603" width="9" style="56"/>
    <col min="4604" max="4604" width="6" style="56" bestFit="1" customWidth="1"/>
    <col min="4605" max="4606" width="5" style="56" bestFit="1" customWidth="1"/>
    <col min="4607" max="4609" width="4" style="56" bestFit="1" customWidth="1"/>
    <col min="4610" max="4610" width="6" style="56" bestFit="1" customWidth="1"/>
    <col min="4611" max="4612" width="5" style="56" bestFit="1" customWidth="1"/>
    <col min="4613" max="4613" width="5.75" style="56" bestFit="1" customWidth="1"/>
    <col min="4614" max="4614" width="35" style="56" bestFit="1" customWidth="1"/>
    <col min="4615" max="4615" width="2" style="56" customWidth="1"/>
    <col min="4616" max="4618" width="6" style="56" bestFit="1" customWidth="1"/>
    <col min="4619" max="4859" width="9" style="56"/>
    <col min="4860" max="4860" width="6" style="56" bestFit="1" customWidth="1"/>
    <col min="4861" max="4862" width="5" style="56" bestFit="1" customWidth="1"/>
    <col min="4863" max="4865" width="4" style="56" bestFit="1" customWidth="1"/>
    <col min="4866" max="4866" width="6" style="56" bestFit="1" customWidth="1"/>
    <col min="4867" max="4868" width="5" style="56" bestFit="1" customWidth="1"/>
    <col min="4869" max="4869" width="5.75" style="56" bestFit="1" customWidth="1"/>
    <col min="4870" max="4870" width="35" style="56" bestFit="1" customWidth="1"/>
    <col min="4871" max="4871" width="2" style="56" customWidth="1"/>
    <col min="4872" max="4874" width="6" style="56" bestFit="1" customWidth="1"/>
    <col min="4875" max="5115" width="9" style="56"/>
    <col min="5116" max="5116" width="6" style="56" bestFit="1" customWidth="1"/>
    <col min="5117" max="5118" width="5" style="56" bestFit="1" customWidth="1"/>
    <col min="5119" max="5121" width="4" style="56" bestFit="1" customWidth="1"/>
    <col min="5122" max="5122" width="6" style="56" bestFit="1" customWidth="1"/>
    <col min="5123" max="5124" width="5" style="56" bestFit="1" customWidth="1"/>
    <col min="5125" max="5125" width="5.75" style="56" bestFit="1" customWidth="1"/>
    <col min="5126" max="5126" width="35" style="56" bestFit="1" customWidth="1"/>
    <col min="5127" max="5127" width="2" style="56" customWidth="1"/>
    <col min="5128" max="5130" width="6" style="56" bestFit="1" customWidth="1"/>
    <col min="5131" max="5371" width="9" style="56"/>
    <col min="5372" max="5372" width="6" style="56" bestFit="1" customWidth="1"/>
    <col min="5373" max="5374" width="5" style="56" bestFit="1" customWidth="1"/>
    <col min="5375" max="5377" width="4" style="56" bestFit="1" customWidth="1"/>
    <col min="5378" max="5378" width="6" style="56" bestFit="1" customWidth="1"/>
    <col min="5379" max="5380" width="5" style="56" bestFit="1" customWidth="1"/>
    <col min="5381" max="5381" width="5.75" style="56" bestFit="1" customWidth="1"/>
    <col min="5382" max="5382" width="35" style="56" bestFit="1" customWidth="1"/>
    <col min="5383" max="5383" width="2" style="56" customWidth="1"/>
    <col min="5384" max="5386" width="6" style="56" bestFit="1" customWidth="1"/>
    <col min="5387" max="5627" width="9" style="56"/>
    <col min="5628" max="5628" width="6" style="56" bestFit="1" customWidth="1"/>
    <col min="5629" max="5630" width="5" style="56" bestFit="1" customWidth="1"/>
    <col min="5631" max="5633" width="4" style="56" bestFit="1" customWidth="1"/>
    <col min="5634" max="5634" width="6" style="56" bestFit="1" customWidth="1"/>
    <col min="5635" max="5636" width="5" style="56" bestFit="1" customWidth="1"/>
    <col min="5637" max="5637" width="5.75" style="56" bestFit="1" customWidth="1"/>
    <col min="5638" max="5638" width="35" style="56" bestFit="1" customWidth="1"/>
    <col min="5639" max="5639" width="2" style="56" customWidth="1"/>
    <col min="5640" max="5642" width="6" style="56" bestFit="1" customWidth="1"/>
    <col min="5643" max="5883" width="9" style="56"/>
    <col min="5884" max="5884" width="6" style="56" bestFit="1" customWidth="1"/>
    <col min="5885" max="5886" width="5" style="56" bestFit="1" customWidth="1"/>
    <col min="5887" max="5889" width="4" style="56" bestFit="1" customWidth="1"/>
    <col min="5890" max="5890" width="6" style="56" bestFit="1" customWidth="1"/>
    <col min="5891" max="5892" width="5" style="56" bestFit="1" customWidth="1"/>
    <col min="5893" max="5893" width="5.75" style="56" bestFit="1" customWidth="1"/>
    <col min="5894" max="5894" width="35" style="56" bestFit="1" customWidth="1"/>
    <col min="5895" max="5895" width="2" style="56" customWidth="1"/>
    <col min="5896" max="5898" width="6" style="56" bestFit="1" customWidth="1"/>
    <col min="5899" max="6139" width="9" style="56"/>
    <col min="6140" max="6140" width="6" style="56" bestFit="1" customWidth="1"/>
    <col min="6141" max="6142" width="5" style="56" bestFit="1" customWidth="1"/>
    <col min="6143" max="6145" width="4" style="56" bestFit="1" customWidth="1"/>
    <col min="6146" max="6146" width="6" style="56" bestFit="1" customWidth="1"/>
    <col min="6147" max="6148" width="5" style="56" bestFit="1" customWidth="1"/>
    <col min="6149" max="6149" width="5.75" style="56" bestFit="1" customWidth="1"/>
    <col min="6150" max="6150" width="35" style="56" bestFit="1" customWidth="1"/>
    <col min="6151" max="6151" width="2" style="56" customWidth="1"/>
    <col min="6152" max="6154" width="6" style="56" bestFit="1" customWidth="1"/>
    <col min="6155" max="6395" width="9" style="56"/>
    <col min="6396" max="6396" width="6" style="56" bestFit="1" customWidth="1"/>
    <col min="6397" max="6398" width="5" style="56" bestFit="1" customWidth="1"/>
    <col min="6399" max="6401" width="4" style="56" bestFit="1" customWidth="1"/>
    <col min="6402" max="6402" width="6" style="56" bestFit="1" customWidth="1"/>
    <col min="6403" max="6404" width="5" style="56" bestFit="1" customWidth="1"/>
    <col min="6405" max="6405" width="5.75" style="56" bestFit="1" customWidth="1"/>
    <col min="6406" max="6406" width="35" style="56" bestFit="1" customWidth="1"/>
    <col min="6407" max="6407" width="2" style="56" customWidth="1"/>
    <col min="6408" max="6410" width="6" style="56" bestFit="1" customWidth="1"/>
    <col min="6411" max="6651" width="9" style="56"/>
    <col min="6652" max="6652" width="6" style="56" bestFit="1" customWidth="1"/>
    <col min="6653" max="6654" width="5" style="56" bestFit="1" customWidth="1"/>
    <col min="6655" max="6657" width="4" style="56" bestFit="1" customWidth="1"/>
    <col min="6658" max="6658" width="6" style="56" bestFit="1" customWidth="1"/>
    <col min="6659" max="6660" width="5" style="56" bestFit="1" customWidth="1"/>
    <col min="6661" max="6661" width="5.75" style="56" bestFit="1" customWidth="1"/>
    <col min="6662" max="6662" width="35" style="56" bestFit="1" customWidth="1"/>
    <col min="6663" max="6663" width="2" style="56" customWidth="1"/>
    <col min="6664" max="6666" width="6" style="56" bestFit="1" customWidth="1"/>
    <col min="6667" max="6907" width="9" style="56"/>
    <col min="6908" max="6908" width="6" style="56" bestFit="1" customWidth="1"/>
    <col min="6909" max="6910" width="5" style="56" bestFit="1" customWidth="1"/>
    <col min="6911" max="6913" width="4" style="56" bestFit="1" customWidth="1"/>
    <col min="6914" max="6914" width="6" style="56" bestFit="1" customWidth="1"/>
    <col min="6915" max="6916" width="5" style="56" bestFit="1" customWidth="1"/>
    <col min="6917" max="6917" width="5.75" style="56" bestFit="1" customWidth="1"/>
    <col min="6918" max="6918" width="35" style="56" bestFit="1" customWidth="1"/>
    <col min="6919" max="6919" width="2" style="56" customWidth="1"/>
    <col min="6920" max="6922" width="6" style="56" bestFit="1" customWidth="1"/>
    <col min="6923" max="7163" width="9" style="56"/>
    <col min="7164" max="7164" width="6" style="56" bestFit="1" customWidth="1"/>
    <col min="7165" max="7166" width="5" style="56" bestFit="1" customWidth="1"/>
    <col min="7167" max="7169" width="4" style="56" bestFit="1" customWidth="1"/>
    <col min="7170" max="7170" width="6" style="56" bestFit="1" customWidth="1"/>
    <col min="7171" max="7172" width="5" style="56" bestFit="1" customWidth="1"/>
    <col min="7173" max="7173" width="5.75" style="56" bestFit="1" customWidth="1"/>
    <col min="7174" max="7174" width="35" style="56" bestFit="1" customWidth="1"/>
    <col min="7175" max="7175" width="2" style="56" customWidth="1"/>
    <col min="7176" max="7178" width="6" style="56" bestFit="1" customWidth="1"/>
    <col min="7179" max="7419" width="9" style="56"/>
    <col min="7420" max="7420" width="6" style="56" bestFit="1" customWidth="1"/>
    <col min="7421" max="7422" width="5" style="56" bestFit="1" customWidth="1"/>
    <col min="7423" max="7425" width="4" style="56" bestFit="1" customWidth="1"/>
    <col min="7426" max="7426" width="6" style="56" bestFit="1" customWidth="1"/>
    <col min="7427" max="7428" width="5" style="56" bestFit="1" customWidth="1"/>
    <col min="7429" max="7429" width="5.75" style="56" bestFit="1" customWidth="1"/>
    <col min="7430" max="7430" width="35" style="56" bestFit="1" customWidth="1"/>
    <col min="7431" max="7431" width="2" style="56" customWidth="1"/>
    <col min="7432" max="7434" width="6" style="56" bestFit="1" customWidth="1"/>
    <col min="7435" max="7675" width="9" style="56"/>
    <col min="7676" max="7676" width="6" style="56" bestFit="1" customWidth="1"/>
    <col min="7677" max="7678" width="5" style="56" bestFit="1" customWidth="1"/>
    <col min="7679" max="7681" width="4" style="56" bestFit="1" customWidth="1"/>
    <col min="7682" max="7682" width="6" style="56" bestFit="1" customWidth="1"/>
    <col min="7683" max="7684" width="5" style="56" bestFit="1" customWidth="1"/>
    <col min="7685" max="7685" width="5.75" style="56" bestFit="1" customWidth="1"/>
    <col min="7686" max="7686" width="35" style="56" bestFit="1" customWidth="1"/>
    <col min="7687" max="7687" width="2" style="56" customWidth="1"/>
    <col min="7688" max="7690" width="6" style="56" bestFit="1" customWidth="1"/>
    <col min="7691" max="7931" width="9" style="56"/>
    <col min="7932" max="7932" width="6" style="56" bestFit="1" customWidth="1"/>
    <col min="7933" max="7934" width="5" style="56" bestFit="1" customWidth="1"/>
    <col min="7935" max="7937" width="4" style="56" bestFit="1" customWidth="1"/>
    <col min="7938" max="7938" width="6" style="56" bestFit="1" customWidth="1"/>
    <col min="7939" max="7940" width="5" style="56" bestFit="1" customWidth="1"/>
    <col min="7941" max="7941" width="5.75" style="56" bestFit="1" customWidth="1"/>
    <col min="7942" max="7942" width="35" style="56" bestFit="1" customWidth="1"/>
    <col min="7943" max="7943" width="2" style="56" customWidth="1"/>
    <col min="7944" max="7946" width="6" style="56" bestFit="1" customWidth="1"/>
    <col min="7947" max="8187" width="9" style="56"/>
    <col min="8188" max="8188" width="6" style="56" bestFit="1" customWidth="1"/>
    <col min="8189" max="8190" width="5" style="56" bestFit="1" customWidth="1"/>
    <col min="8191" max="8193" width="4" style="56" bestFit="1" customWidth="1"/>
    <col min="8194" max="8194" width="6" style="56" bestFit="1" customWidth="1"/>
    <col min="8195" max="8196" width="5" style="56" bestFit="1" customWidth="1"/>
    <col min="8197" max="8197" width="5.75" style="56" bestFit="1" customWidth="1"/>
    <col min="8198" max="8198" width="35" style="56" bestFit="1" customWidth="1"/>
    <col min="8199" max="8199" width="2" style="56" customWidth="1"/>
    <col min="8200" max="8202" width="6" style="56" bestFit="1" customWidth="1"/>
    <col min="8203" max="8443" width="9" style="56"/>
    <col min="8444" max="8444" width="6" style="56" bestFit="1" customWidth="1"/>
    <col min="8445" max="8446" width="5" style="56" bestFit="1" customWidth="1"/>
    <col min="8447" max="8449" width="4" style="56" bestFit="1" customWidth="1"/>
    <col min="8450" max="8450" width="6" style="56" bestFit="1" customWidth="1"/>
    <col min="8451" max="8452" width="5" style="56" bestFit="1" customWidth="1"/>
    <col min="8453" max="8453" width="5.75" style="56" bestFit="1" customWidth="1"/>
    <col min="8454" max="8454" width="35" style="56" bestFit="1" customWidth="1"/>
    <col min="8455" max="8455" width="2" style="56" customWidth="1"/>
    <col min="8456" max="8458" width="6" style="56" bestFit="1" customWidth="1"/>
    <col min="8459" max="8699" width="9" style="56"/>
    <col min="8700" max="8700" width="6" style="56" bestFit="1" customWidth="1"/>
    <col min="8701" max="8702" width="5" style="56" bestFit="1" customWidth="1"/>
    <col min="8703" max="8705" width="4" style="56" bestFit="1" customWidth="1"/>
    <col min="8706" max="8706" width="6" style="56" bestFit="1" customWidth="1"/>
    <col min="8707" max="8708" width="5" style="56" bestFit="1" customWidth="1"/>
    <col min="8709" max="8709" width="5.75" style="56" bestFit="1" customWidth="1"/>
    <col min="8710" max="8710" width="35" style="56" bestFit="1" customWidth="1"/>
    <col min="8711" max="8711" width="2" style="56" customWidth="1"/>
    <col min="8712" max="8714" width="6" style="56" bestFit="1" customWidth="1"/>
    <col min="8715" max="8955" width="9" style="56"/>
    <col min="8956" max="8956" width="6" style="56" bestFit="1" customWidth="1"/>
    <col min="8957" max="8958" width="5" style="56" bestFit="1" customWidth="1"/>
    <col min="8959" max="8961" width="4" style="56" bestFit="1" customWidth="1"/>
    <col min="8962" max="8962" width="6" style="56" bestFit="1" customWidth="1"/>
    <col min="8963" max="8964" width="5" style="56" bestFit="1" customWidth="1"/>
    <col min="8965" max="8965" width="5.75" style="56" bestFit="1" customWidth="1"/>
    <col min="8966" max="8966" width="35" style="56" bestFit="1" customWidth="1"/>
    <col min="8967" max="8967" width="2" style="56" customWidth="1"/>
    <col min="8968" max="8970" width="6" style="56" bestFit="1" customWidth="1"/>
    <col min="8971" max="9211" width="9" style="56"/>
    <col min="9212" max="9212" width="6" style="56" bestFit="1" customWidth="1"/>
    <col min="9213" max="9214" width="5" style="56" bestFit="1" customWidth="1"/>
    <col min="9215" max="9217" width="4" style="56" bestFit="1" customWidth="1"/>
    <col min="9218" max="9218" width="6" style="56" bestFit="1" customWidth="1"/>
    <col min="9219" max="9220" width="5" style="56" bestFit="1" customWidth="1"/>
    <col min="9221" max="9221" width="5.75" style="56" bestFit="1" customWidth="1"/>
    <col min="9222" max="9222" width="35" style="56" bestFit="1" customWidth="1"/>
    <col min="9223" max="9223" width="2" style="56" customWidth="1"/>
    <col min="9224" max="9226" width="6" style="56" bestFit="1" customWidth="1"/>
    <col min="9227" max="9467" width="9" style="56"/>
    <col min="9468" max="9468" width="6" style="56" bestFit="1" customWidth="1"/>
    <col min="9469" max="9470" width="5" style="56" bestFit="1" customWidth="1"/>
    <col min="9471" max="9473" width="4" style="56" bestFit="1" customWidth="1"/>
    <col min="9474" max="9474" width="6" style="56" bestFit="1" customWidth="1"/>
    <col min="9475" max="9476" width="5" style="56" bestFit="1" customWidth="1"/>
    <col min="9477" max="9477" width="5.75" style="56" bestFit="1" customWidth="1"/>
    <col min="9478" max="9478" width="35" style="56" bestFit="1" customWidth="1"/>
    <col min="9479" max="9479" width="2" style="56" customWidth="1"/>
    <col min="9480" max="9482" width="6" style="56" bestFit="1" customWidth="1"/>
    <col min="9483" max="9723" width="9" style="56"/>
    <col min="9724" max="9724" width="6" style="56" bestFit="1" customWidth="1"/>
    <col min="9725" max="9726" width="5" style="56" bestFit="1" customWidth="1"/>
    <col min="9727" max="9729" width="4" style="56" bestFit="1" customWidth="1"/>
    <col min="9730" max="9730" width="6" style="56" bestFit="1" customWidth="1"/>
    <col min="9731" max="9732" width="5" style="56" bestFit="1" customWidth="1"/>
    <col min="9733" max="9733" width="5.75" style="56" bestFit="1" customWidth="1"/>
    <col min="9734" max="9734" width="35" style="56" bestFit="1" customWidth="1"/>
    <col min="9735" max="9735" width="2" style="56" customWidth="1"/>
    <col min="9736" max="9738" width="6" style="56" bestFit="1" customWidth="1"/>
    <col min="9739" max="9979" width="9" style="56"/>
    <col min="9980" max="9980" width="6" style="56" bestFit="1" customWidth="1"/>
    <col min="9981" max="9982" width="5" style="56" bestFit="1" customWidth="1"/>
    <col min="9983" max="9985" width="4" style="56" bestFit="1" customWidth="1"/>
    <col min="9986" max="9986" width="6" style="56" bestFit="1" customWidth="1"/>
    <col min="9987" max="9988" width="5" style="56" bestFit="1" customWidth="1"/>
    <col min="9989" max="9989" width="5.75" style="56" bestFit="1" customWidth="1"/>
    <col min="9990" max="9990" width="35" style="56" bestFit="1" customWidth="1"/>
    <col min="9991" max="9991" width="2" style="56" customWidth="1"/>
    <col min="9992" max="9994" width="6" style="56" bestFit="1" customWidth="1"/>
    <col min="9995" max="10235" width="9" style="56"/>
    <col min="10236" max="10236" width="6" style="56" bestFit="1" customWidth="1"/>
    <col min="10237" max="10238" width="5" style="56" bestFit="1" customWidth="1"/>
    <col min="10239" max="10241" width="4" style="56" bestFit="1" customWidth="1"/>
    <col min="10242" max="10242" width="6" style="56" bestFit="1" customWidth="1"/>
    <col min="10243" max="10244" width="5" style="56" bestFit="1" customWidth="1"/>
    <col min="10245" max="10245" width="5.75" style="56" bestFit="1" customWidth="1"/>
    <col min="10246" max="10246" width="35" style="56" bestFit="1" customWidth="1"/>
    <col min="10247" max="10247" width="2" style="56" customWidth="1"/>
    <col min="10248" max="10250" width="6" style="56" bestFit="1" customWidth="1"/>
    <col min="10251" max="10491" width="9" style="56"/>
    <col min="10492" max="10492" width="6" style="56" bestFit="1" customWidth="1"/>
    <col min="10493" max="10494" width="5" style="56" bestFit="1" customWidth="1"/>
    <col min="10495" max="10497" width="4" style="56" bestFit="1" customWidth="1"/>
    <col min="10498" max="10498" width="6" style="56" bestFit="1" customWidth="1"/>
    <col min="10499" max="10500" width="5" style="56" bestFit="1" customWidth="1"/>
    <col min="10501" max="10501" width="5.75" style="56" bestFit="1" customWidth="1"/>
    <col min="10502" max="10502" width="35" style="56" bestFit="1" customWidth="1"/>
    <col min="10503" max="10503" width="2" style="56" customWidth="1"/>
    <col min="10504" max="10506" width="6" style="56" bestFit="1" customWidth="1"/>
    <col min="10507" max="10747" width="9" style="56"/>
    <col min="10748" max="10748" width="6" style="56" bestFit="1" customWidth="1"/>
    <col min="10749" max="10750" width="5" style="56" bestFit="1" customWidth="1"/>
    <col min="10751" max="10753" width="4" style="56" bestFit="1" customWidth="1"/>
    <col min="10754" max="10754" width="6" style="56" bestFit="1" customWidth="1"/>
    <col min="10755" max="10756" width="5" style="56" bestFit="1" customWidth="1"/>
    <col min="10757" max="10757" width="5.75" style="56" bestFit="1" customWidth="1"/>
    <col min="10758" max="10758" width="35" style="56" bestFit="1" customWidth="1"/>
    <col min="10759" max="10759" width="2" style="56" customWidth="1"/>
    <col min="10760" max="10762" width="6" style="56" bestFit="1" customWidth="1"/>
    <col min="10763" max="11003" width="9" style="56"/>
    <col min="11004" max="11004" width="6" style="56" bestFit="1" customWidth="1"/>
    <col min="11005" max="11006" width="5" style="56" bestFit="1" customWidth="1"/>
    <col min="11007" max="11009" width="4" style="56" bestFit="1" customWidth="1"/>
    <col min="11010" max="11010" width="6" style="56" bestFit="1" customWidth="1"/>
    <col min="11011" max="11012" width="5" style="56" bestFit="1" customWidth="1"/>
    <col min="11013" max="11013" width="5.75" style="56" bestFit="1" customWidth="1"/>
    <col min="11014" max="11014" width="35" style="56" bestFit="1" customWidth="1"/>
    <col min="11015" max="11015" width="2" style="56" customWidth="1"/>
    <col min="11016" max="11018" width="6" style="56" bestFit="1" customWidth="1"/>
    <col min="11019" max="11259" width="9" style="56"/>
    <col min="11260" max="11260" width="6" style="56" bestFit="1" customWidth="1"/>
    <col min="11261" max="11262" width="5" style="56" bestFit="1" customWidth="1"/>
    <col min="11263" max="11265" width="4" style="56" bestFit="1" customWidth="1"/>
    <col min="11266" max="11266" width="6" style="56" bestFit="1" customWidth="1"/>
    <col min="11267" max="11268" width="5" style="56" bestFit="1" customWidth="1"/>
    <col min="11269" max="11269" width="5.75" style="56" bestFit="1" customWidth="1"/>
    <col min="11270" max="11270" width="35" style="56" bestFit="1" customWidth="1"/>
    <col min="11271" max="11271" width="2" style="56" customWidth="1"/>
    <col min="11272" max="11274" width="6" style="56" bestFit="1" customWidth="1"/>
    <col min="11275" max="11515" width="9" style="56"/>
    <col min="11516" max="11516" width="6" style="56" bestFit="1" customWidth="1"/>
    <col min="11517" max="11518" width="5" style="56" bestFit="1" customWidth="1"/>
    <col min="11519" max="11521" width="4" style="56" bestFit="1" customWidth="1"/>
    <col min="11522" max="11522" width="6" style="56" bestFit="1" customWidth="1"/>
    <col min="11523" max="11524" width="5" style="56" bestFit="1" customWidth="1"/>
    <col min="11525" max="11525" width="5.75" style="56" bestFit="1" customWidth="1"/>
    <col min="11526" max="11526" width="35" style="56" bestFit="1" customWidth="1"/>
    <col min="11527" max="11527" width="2" style="56" customWidth="1"/>
    <col min="11528" max="11530" width="6" style="56" bestFit="1" customWidth="1"/>
    <col min="11531" max="11771" width="9" style="56"/>
    <col min="11772" max="11772" width="6" style="56" bestFit="1" customWidth="1"/>
    <col min="11773" max="11774" width="5" style="56" bestFit="1" customWidth="1"/>
    <col min="11775" max="11777" width="4" style="56" bestFit="1" customWidth="1"/>
    <col min="11778" max="11778" width="6" style="56" bestFit="1" customWidth="1"/>
    <col min="11779" max="11780" width="5" style="56" bestFit="1" customWidth="1"/>
    <col min="11781" max="11781" width="5.75" style="56" bestFit="1" customWidth="1"/>
    <col min="11782" max="11782" width="35" style="56" bestFit="1" customWidth="1"/>
    <col min="11783" max="11783" width="2" style="56" customWidth="1"/>
    <col min="11784" max="11786" width="6" style="56" bestFit="1" customWidth="1"/>
    <col min="11787" max="12027" width="9" style="56"/>
    <col min="12028" max="12028" width="6" style="56" bestFit="1" customWidth="1"/>
    <col min="12029" max="12030" width="5" style="56" bestFit="1" customWidth="1"/>
    <col min="12031" max="12033" width="4" style="56" bestFit="1" customWidth="1"/>
    <col min="12034" max="12034" width="6" style="56" bestFit="1" customWidth="1"/>
    <col min="12035" max="12036" width="5" style="56" bestFit="1" customWidth="1"/>
    <col min="12037" max="12037" width="5.75" style="56" bestFit="1" customWidth="1"/>
    <col min="12038" max="12038" width="35" style="56" bestFit="1" customWidth="1"/>
    <col min="12039" max="12039" width="2" style="56" customWidth="1"/>
    <col min="12040" max="12042" width="6" style="56" bestFit="1" customWidth="1"/>
    <col min="12043" max="12283" width="9" style="56"/>
    <col min="12284" max="12284" width="6" style="56" bestFit="1" customWidth="1"/>
    <col min="12285" max="12286" width="5" style="56" bestFit="1" customWidth="1"/>
    <col min="12287" max="12289" width="4" style="56" bestFit="1" customWidth="1"/>
    <col min="12290" max="12290" width="6" style="56" bestFit="1" customWidth="1"/>
    <col min="12291" max="12292" width="5" style="56" bestFit="1" customWidth="1"/>
    <col min="12293" max="12293" width="5.75" style="56" bestFit="1" customWidth="1"/>
    <col min="12294" max="12294" width="35" style="56" bestFit="1" customWidth="1"/>
    <col min="12295" max="12295" width="2" style="56" customWidth="1"/>
    <col min="12296" max="12298" width="6" style="56" bestFit="1" customWidth="1"/>
    <col min="12299" max="12539" width="9" style="56"/>
    <col min="12540" max="12540" width="6" style="56" bestFit="1" customWidth="1"/>
    <col min="12541" max="12542" width="5" style="56" bestFit="1" customWidth="1"/>
    <col min="12543" max="12545" width="4" style="56" bestFit="1" customWidth="1"/>
    <col min="12546" max="12546" width="6" style="56" bestFit="1" customWidth="1"/>
    <col min="12547" max="12548" width="5" style="56" bestFit="1" customWidth="1"/>
    <col min="12549" max="12549" width="5.75" style="56" bestFit="1" customWidth="1"/>
    <col min="12550" max="12550" width="35" style="56" bestFit="1" customWidth="1"/>
    <col min="12551" max="12551" width="2" style="56" customWidth="1"/>
    <col min="12552" max="12554" width="6" style="56" bestFit="1" customWidth="1"/>
    <col min="12555" max="12795" width="9" style="56"/>
    <col min="12796" max="12796" width="6" style="56" bestFit="1" customWidth="1"/>
    <col min="12797" max="12798" width="5" style="56" bestFit="1" customWidth="1"/>
    <col min="12799" max="12801" width="4" style="56" bestFit="1" customWidth="1"/>
    <col min="12802" max="12802" width="6" style="56" bestFit="1" customWidth="1"/>
    <col min="12803" max="12804" width="5" style="56" bestFit="1" customWidth="1"/>
    <col min="12805" max="12805" width="5.75" style="56" bestFit="1" customWidth="1"/>
    <col min="12806" max="12806" width="35" style="56" bestFit="1" customWidth="1"/>
    <col min="12807" max="12807" width="2" style="56" customWidth="1"/>
    <col min="12808" max="12810" width="6" style="56" bestFit="1" customWidth="1"/>
    <col min="12811" max="13051" width="9" style="56"/>
    <col min="13052" max="13052" width="6" style="56" bestFit="1" customWidth="1"/>
    <col min="13053" max="13054" width="5" style="56" bestFit="1" customWidth="1"/>
    <col min="13055" max="13057" width="4" style="56" bestFit="1" customWidth="1"/>
    <col min="13058" max="13058" width="6" style="56" bestFit="1" customWidth="1"/>
    <col min="13059" max="13060" width="5" style="56" bestFit="1" customWidth="1"/>
    <col min="13061" max="13061" width="5.75" style="56" bestFit="1" customWidth="1"/>
    <col min="13062" max="13062" width="35" style="56" bestFit="1" customWidth="1"/>
    <col min="13063" max="13063" width="2" style="56" customWidth="1"/>
    <col min="13064" max="13066" width="6" style="56" bestFit="1" customWidth="1"/>
    <col min="13067" max="13307" width="9" style="56"/>
    <col min="13308" max="13308" width="6" style="56" bestFit="1" customWidth="1"/>
    <col min="13309" max="13310" width="5" style="56" bestFit="1" customWidth="1"/>
    <col min="13311" max="13313" width="4" style="56" bestFit="1" customWidth="1"/>
    <col min="13314" max="13314" width="6" style="56" bestFit="1" customWidth="1"/>
    <col min="13315" max="13316" width="5" style="56" bestFit="1" customWidth="1"/>
    <col min="13317" max="13317" width="5.75" style="56" bestFit="1" customWidth="1"/>
    <col min="13318" max="13318" width="35" style="56" bestFit="1" customWidth="1"/>
    <col min="13319" max="13319" width="2" style="56" customWidth="1"/>
    <col min="13320" max="13322" width="6" style="56" bestFit="1" customWidth="1"/>
    <col min="13323" max="13563" width="9" style="56"/>
    <col min="13564" max="13564" width="6" style="56" bestFit="1" customWidth="1"/>
    <col min="13565" max="13566" width="5" style="56" bestFit="1" customWidth="1"/>
    <col min="13567" max="13569" width="4" style="56" bestFit="1" customWidth="1"/>
    <col min="13570" max="13570" width="6" style="56" bestFit="1" customWidth="1"/>
    <col min="13571" max="13572" width="5" style="56" bestFit="1" customWidth="1"/>
    <col min="13573" max="13573" width="5.75" style="56" bestFit="1" customWidth="1"/>
    <col min="13574" max="13574" width="35" style="56" bestFit="1" customWidth="1"/>
    <col min="13575" max="13575" width="2" style="56" customWidth="1"/>
    <col min="13576" max="13578" width="6" style="56" bestFit="1" customWidth="1"/>
    <col min="13579" max="13819" width="9" style="56"/>
    <col min="13820" max="13820" width="6" style="56" bestFit="1" customWidth="1"/>
    <col min="13821" max="13822" width="5" style="56" bestFit="1" customWidth="1"/>
    <col min="13823" max="13825" width="4" style="56" bestFit="1" customWidth="1"/>
    <col min="13826" max="13826" width="6" style="56" bestFit="1" customWidth="1"/>
    <col min="13827" max="13828" width="5" style="56" bestFit="1" customWidth="1"/>
    <col min="13829" max="13829" width="5.75" style="56" bestFit="1" customWidth="1"/>
    <col min="13830" max="13830" width="35" style="56" bestFit="1" customWidth="1"/>
    <col min="13831" max="13831" width="2" style="56" customWidth="1"/>
    <col min="13832" max="13834" width="6" style="56" bestFit="1" customWidth="1"/>
    <col min="13835" max="14075" width="9" style="56"/>
    <col min="14076" max="14076" width="6" style="56" bestFit="1" customWidth="1"/>
    <col min="14077" max="14078" width="5" style="56" bestFit="1" customWidth="1"/>
    <col min="14079" max="14081" width="4" style="56" bestFit="1" customWidth="1"/>
    <col min="14082" max="14082" width="6" style="56" bestFit="1" customWidth="1"/>
    <col min="14083" max="14084" width="5" style="56" bestFit="1" customWidth="1"/>
    <col min="14085" max="14085" width="5.75" style="56" bestFit="1" customWidth="1"/>
    <col min="14086" max="14086" width="35" style="56" bestFit="1" customWidth="1"/>
    <col min="14087" max="14087" width="2" style="56" customWidth="1"/>
    <col min="14088" max="14090" width="6" style="56" bestFit="1" customWidth="1"/>
    <col min="14091" max="14331" width="9" style="56"/>
    <col min="14332" max="14332" width="6" style="56" bestFit="1" customWidth="1"/>
    <col min="14333" max="14334" width="5" style="56" bestFit="1" customWidth="1"/>
    <col min="14335" max="14337" width="4" style="56" bestFit="1" customWidth="1"/>
    <col min="14338" max="14338" width="6" style="56" bestFit="1" customWidth="1"/>
    <col min="14339" max="14340" width="5" style="56" bestFit="1" customWidth="1"/>
    <col min="14341" max="14341" width="5.75" style="56" bestFit="1" customWidth="1"/>
    <col min="14342" max="14342" width="35" style="56" bestFit="1" customWidth="1"/>
    <col min="14343" max="14343" width="2" style="56" customWidth="1"/>
    <col min="14344" max="14346" width="6" style="56" bestFit="1" customWidth="1"/>
    <col min="14347" max="14587" width="9" style="56"/>
    <col min="14588" max="14588" width="6" style="56" bestFit="1" customWidth="1"/>
    <col min="14589" max="14590" width="5" style="56" bestFit="1" customWidth="1"/>
    <col min="14591" max="14593" width="4" style="56" bestFit="1" customWidth="1"/>
    <col min="14594" max="14594" width="6" style="56" bestFit="1" customWidth="1"/>
    <col min="14595" max="14596" width="5" style="56" bestFit="1" customWidth="1"/>
    <col min="14597" max="14597" width="5.75" style="56" bestFit="1" customWidth="1"/>
    <col min="14598" max="14598" width="35" style="56" bestFit="1" customWidth="1"/>
    <col min="14599" max="14599" width="2" style="56" customWidth="1"/>
    <col min="14600" max="14602" width="6" style="56" bestFit="1" customWidth="1"/>
    <col min="14603" max="14843" width="9" style="56"/>
    <col min="14844" max="14844" width="6" style="56" bestFit="1" customWidth="1"/>
    <col min="14845" max="14846" width="5" style="56" bestFit="1" customWidth="1"/>
    <col min="14847" max="14849" width="4" style="56" bestFit="1" customWidth="1"/>
    <col min="14850" max="14850" width="6" style="56" bestFit="1" customWidth="1"/>
    <col min="14851" max="14852" width="5" style="56" bestFit="1" customWidth="1"/>
    <col min="14853" max="14853" width="5.75" style="56" bestFit="1" customWidth="1"/>
    <col min="14854" max="14854" width="35" style="56" bestFit="1" customWidth="1"/>
    <col min="14855" max="14855" width="2" style="56" customWidth="1"/>
    <col min="14856" max="14858" width="6" style="56" bestFit="1" customWidth="1"/>
    <col min="14859" max="15099" width="9" style="56"/>
    <col min="15100" max="15100" width="6" style="56" bestFit="1" customWidth="1"/>
    <col min="15101" max="15102" width="5" style="56" bestFit="1" customWidth="1"/>
    <col min="15103" max="15105" width="4" style="56" bestFit="1" customWidth="1"/>
    <col min="15106" max="15106" width="6" style="56" bestFit="1" customWidth="1"/>
    <col min="15107" max="15108" width="5" style="56" bestFit="1" customWidth="1"/>
    <col min="15109" max="15109" width="5.75" style="56" bestFit="1" customWidth="1"/>
    <col min="15110" max="15110" width="35" style="56" bestFit="1" customWidth="1"/>
    <col min="15111" max="15111" width="2" style="56" customWidth="1"/>
    <col min="15112" max="15114" width="6" style="56" bestFit="1" customWidth="1"/>
    <col min="15115" max="15355" width="9" style="56"/>
    <col min="15356" max="15356" width="6" style="56" bestFit="1" customWidth="1"/>
    <col min="15357" max="15358" width="5" style="56" bestFit="1" customWidth="1"/>
    <col min="15359" max="15361" width="4" style="56" bestFit="1" customWidth="1"/>
    <col min="15362" max="15362" width="6" style="56" bestFit="1" customWidth="1"/>
    <col min="15363" max="15364" width="5" style="56" bestFit="1" customWidth="1"/>
    <col min="15365" max="15365" width="5.75" style="56" bestFit="1" customWidth="1"/>
    <col min="15366" max="15366" width="35" style="56" bestFit="1" customWidth="1"/>
    <col min="15367" max="15367" width="2" style="56" customWidth="1"/>
    <col min="15368" max="15370" width="6" style="56" bestFit="1" customWidth="1"/>
    <col min="15371" max="15611" width="9" style="56"/>
    <col min="15612" max="15612" width="6" style="56" bestFit="1" customWidth="1"/>
    <col min="15613" max="15614" width="5" style="56" bestFit="1" customWidth="1"/>
    <col min="15615" max="15617" width="4" style="56" bestFit="1" customWidth="1"/>
    <col min="15618" max="15618" width="6" style="56" bestFit="1" customWidth="1"/>
    <col min="15619" max="15620" width="5" style="56" bestFit="1" customWidth="1"/>
    <col min="15621" max="15621" width="5.75" style="56" bestFit="1" customWidth="1"/>
    <col min="15622" max="15622" width="35" style="56" bestFit="1" customWidth="1"/>
    <col min="15623" max="15623" width="2" style="56" customWidth="1"/>
    <col min="15624" max="15626" width="6" style="56" bestFit="1" customWidth="1"/>
    <col min="15627" max="15867" width="9" style="56"/>
    <col min="15868" max="15868" width="6" style="56" bestFit="1" customWidth="1"/>
    <col min="15869" max="15870" width="5" style="56" bestFit="1" customWidth="1"/>
    <col min="15871" max="15873" width="4" style="56" bestFit="1" customWidth="1"/>
    <col min="15874" max="15874" width="6" style="56" bestFit="1" customWidth="1"/>
    <col min="15875" max="15876" width="5" style="56" bestFit="1" customWidth="1"/>
    <col min="15877" max="15877" width="5.75" style="56" bestFit="1" customWidth="1"/>
    <col min="15878" max="15878" width="35" style="56" bestFit="1" customWidth="1"/>
    <col min="15879" max="15879" width="2" style="56" customWidth="1"/>
    <col min="15880" max="15882" width="6" style="56" bestFit="1" customWidth="1"/>
    <col min="15883" max="16123" width="9" style="56"/>
    <col min="16124" max="16124" width="6" style="56" bestFit="1" customWidth="1"/>
    <col min="16125" max="16126" width="5" style="56" bestFit="1" customWidth="1"/>
    <col min="16127" max="16129" width="4" style="56" bestFit="1" customWidth="1"/>
    <col min="16130" max="16130" width="6" style="56" bestFit="1" customWidth="1"/>
    <col min="16131" max="16132" width="5" style="56" bestFit="1" customWidth="1"/>
    <col min="16133" max="16133" width="5.75" style="56" bestFit="1" customWidth="1"/>
    <col min="16134" max="16134" width="35" style="56" bestFit="1" customWidth="1"/>
    <col min="16135" max="16135" width="2" style="56" customWidth="1"/>
    <col min="16136" max="16138" width="6" style="56" bestFit="1" customWidth="1"/>
    <col min="16139" max="16379" width="9" style="56"/>
    <col min="16380" max="16384" width="9.125" style="56" customWidth="1"/>
  </cols>
  <sheetData>
    <row r="1" spans="1:13" ht="12.75" customHeight="1" x14ac:dyDescent="0.2">
      <c r="A1" s="177" t="s">
        <v>597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3" ht="9.75" customHeight="1" thickBot="1" x14ac:dyDescent="0.25">
      <c r="A2" s="178" t="s">
        <v>598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3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  <c r="L3" s="120"/>
    </row>
    <row r="4" spans="1:13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  <c r="L4" s="55"/>
    </row>
    <row r="5" spans="1:13" ht="12.75" customHeight="1" thickBot="1" x14ac:dyDescent="0.25">
      <c r="A5" s="60">
        <f t="shared" ref="A5:C20" si="0">G5+D5</f>
        <v>255</v>
      </c>
      <c r="B5" s="60">
        <f t="shared" si="0"/>
        <v>0</v>
      </c>
      <c r="C5" s="60">
        <f>I5+F5</f>
        <v>255</v>
      </c>
      <c r="D5" s="60">
        <f>F5+E5</f>
        <v>0</v>
      </c>
      <c r="E5" s="60">
        <v>0</v>
      </c>
      <c r="F5" s="60">
        <v>0</v>
      </c>
      <c r="G5" s="60">
        <f>I5+H5</f>
        <v>255</v>
      </c>
      <c r="H5" s="60">
        <v>0</v>
      </c>
      <c r="I5" s="60">
        <v>255</v>
      </c>
      <c r="J5" s="65" t="s">
        <v>221</v>
      </c>
      <c r="K5" s="66"/>
      <c r="L5" s="55"/>
    </row>
    <row r="6" spans="1:13" ht="12.75" customHeight="1" thickBot="1" x14ac:dyDescent="0.25">
      <c r="A6" s="60">
        <f t="shared" si="0"/>
        <v>0</v>
      </c>
      <c r="B6" s="60">
        <f t="shared" si="0"/>
        <v>0</v>
      </c>
      <c r="C6" s="60">
        <f t="shared" si="0"/>
        <v>0</v>
      </c>
      <c r="D6" s="60">
        <f t="shared" ref="D6:D57" si="1">F6+E6</f>
        <v>0</v>
      </c>
      <c r="E6" s="60">
        <v>0</v>
      </c>
      <c r="F6" s="60">
        <v>0</v>
      </c>
      <c r="G6" s="60">
        <f t="shared" ref="G6:G57" si="2">I6+H6</f>
        <v>0</v>
      </c>
      <c r="H6" s="60">
        <v>0</v>
      </c>
      <c r="I6" s="60">
        <v>0</v>
      </c>
      <c r="J6" s="65" t="s">
        <v>222</v>
      </c>
      <c r="K6" s="66" t="s">
        <v>329</v>
      </c>
      <c r="L6" s="55"/>
    </row>
    <row r="7" spans="1:13" ht="12.75" customHeight="1" thickBot="1" x14ac:dyDescent="0.25">
      <c r="A7" s="60">
        <f t="shared" ref="A7:H7" si="3">SUM(A5:A6)</f>
        <v>255</v>
      </c>
      <c r="B7" s="60">
        <f t="shared" si="3"/>
        <v>0</v>
      </c>
      <c r="C7" s="60">
        <f t="shared" si="3"/>
        <v>255</v>
      </c>
      <c r="D7" s="60">
        <f t="shared" si="3"/>
        <v>0</v>
      </c>
      <c r="E7" s="60">
        <f t="shared" si="3"/>
        <v>0</v>
      </c>
      <c r="F7" s="60">
        <f t="shared" si="3"/>
        <v>0</v>
      </c>
      <c r="G7" s="60">
        <f t="shared" si="3"/>
        <v>255</v>
      </c>
      <c r="H7" s="60">
        <f t="shared" si="3"/>
        <v>0</v>
      </c>
      <c r="I7" s="60">
        <f>SUM(I5:I6)</f>
        <v>255</v>
      </c>
      <c r="J7" s="65" t="s">
        <v>13</v>
      </c>
      <c r="K7" s="67"/>
      <c r="L7" s="55"/>
    </row>
    <row r="8" spans="1:13" ht="12.75" customHeight="1" thickBot="1" x14ac:dyDescent="0.25">
      <c r="A8" s="60">
        <f t="shared" si="0"/>
        <v>515</v>
      </c>
      <c r="B8" s="60">
        <f t="shared" si="0"/>
        <v>171</v>
      </c>
      <c r="C8" s="60">
        <f t="shared" si="0"/>
        <v>344</v>
      </c>
      <c r="D8" s="60">
        <f t="shared" si="1"/>
        <v>11</v>
      </c>
      <c r="E8" s="60">
        <v>3</v>
      </c>
      <c r="F8" s="60">
        <v>8</v>
      </c>
      <c r="G8" s="60">
        <f t="shared" si="2"/>
        <v>504</v>
      </c>
      <c r="H8" s="60">
        <v>168</v>
      </c>
      <c r="I8" s="60">
        <v>336</v>
      </c>
      <c r="J8" s="65" t="s">
        <v>221</v>
      </c>
      <c r="K8" s="66"/>
      <c r="L8" s="55"/>
    </row>
    <row r="9" spans="1:13" ht="12.75" customHeight="1" thickBot="1" x14ac:dyDescent="0.25">
      <c r="A9" s="60">
        <f t="shared" si="0"/>
        <v>0</v>
      </c>
      <c r="B9" s="60">
        <f t="shared" si="0"/>
        <v>0</v>
      </c>
      <c r="C9" s="60">
        <f t="shared" si="0"/>
        <v>0</v>
      </c>
      <c r="D9" s="60">
        <f t="shared" si="1"/>
        <v>0</v>
      </c>
      <c r="E9" s="60">
        <v>0</v>
      </c>
      <c r="F9" s="60">
        <v>0</v>
      </c>
      <c r="G9" s="60">
        <f t="shared" si="2"/>
        <v>0</v>
      </c>
      <c r="H9" s="60">
        <v>0</v>
      </c>
      <c r="I9" s="60">
        <v>0</v>
      </c>
      <c r="J9" s="65" t="s">
        <v>222</v>
      </c>
      <c r="K9" s="66" t="s">
        <v>330</v>
      </c>
      <c r="L9" s="55"/>
    </row>
    <row r="10" spans="1:13" ht="12.75" customHeight="1" thickBot="1" x14ac:dyDescent="0.25">
      <c r="A10" s="60">
        <f t="shared" ref="A10:I10" si="4">SUM(A8:A9)</f>
        <v>515</v>
      </c>
      <c r="B10" s="60">
        <f t="shared" si="4"/>
        <v>171</v>
      </c>
      <c r="C10" s="60">
        <f t="shared" si="4"/>
        <v>344</v>
      </c>
      <c r="D10" s="60">
        <f t="shared" si="4"/>
        <v>11</v>
      </c>
      <c r="E10" s="60">
        <f t="shared" si="4"/>
        <v>3</v>
      </c>
      <c r="F10" s="60">
        <f t="shared" si="4"/>
        <v>8</v>
      </c>
      <c r="G10" s="60">
        <f t="shared" si="4"/>
        <v>504</v>
      </c>
      <c r="H10" s="60">
        <f t="shared" si="4"/>
        <v>168</v>
      </c>
      <c r="I10" s="60">
        <f t="shared" si="4"/>
        <v>336</v>
      </c>
      <c r="J10" s="65" t="s">
        <v>13</v>
      </c>
      <c r="K10" s="67"/>
      <c r="L10" s="55"/>
    </row>
    <row r="11" spans="1:13" ht="12.75" customHeight="1" thickBot="1" x14ac:dyDescent="0.25">
      <c r="A11" s="60">
        <f t="shared" si="0"/>
        <v>171</v>
      </c>
      <c r="B11" s="60">
        <f t="shared" si="0"/>
        <v>156</v>
      </c>
      <c r="C11" s="60">
        <f t="shared" si="0"/>
        <v>15</v>
      </c>
      <c r="D11" s="60">
        <f t="shared" si="1"/>
        <v>4</v>
      </c>
      <c r="E11" s="60">
        <v>4</v>
      </c>
      <c r="F11" s="60">
        <v>0</v>
      </c>
      <c r="G11" s="60">
        <f t="shared" si="2"/>
        <v>167</v>
      </c>
      <c r="H11" s="60">
        <v>152</v>
      </c>
      <c r="I11" s="60">
        <v>15</v>
      </c>
      <c r="J11" s="65" t="s">
        <v>221</v>
      </c>
      <c r="K11" s="66"/>
      <c r="L11" s="55"/>
    </row>
    <row r="12" spans="1:13" ht="12.75" customHeight="1" thickBot="1" x14ac:dyDescent="0.25">
      <c r="A12" s="60">
        <f t="shared" si="0"/>
        <v>0</v>
      </c>
      <c r="B12" s="60">
        <f t="shared" si="0"/>
        <v>0</v>
      </c>
      <c r="C12" s="60">
        <f t="shared" si="0"/>
        <v>0</v>
      </c>
      <c r="D12" s="60">
        <f t="shared" si="1"/>
        <v>0</v>
      </c>
      <c r="E12" s="60">
        <v>0</v>
      </c>
      <c r="F12" s="60">
        <v>0</v>
      </c>
      <c r="G12" s="60">
        <f t="shared" si="2"/>
        <v>0</v>
      </c>
      <c r="H12" s="60">
        <v>0</v>
      </c>
      <c r="I12" s="60">
        <v>0</v>
      </c>
      <c r="J12" s="65" t="s">
        <v>222</v>
      </c>
      <c r="K12" s="66" t="s">
        <v>331</v>
      </c>
      <c r="L12" s="55"/>
    </row>
    <row r="13" spans="1:13" ht="12.75" customHeight="1" thickBot="1" x14ac:dyDescent="0.25">
      <c r="A13" s="60">
        <f t="shared" ref="A13:I13" si="5">SUM(A11:A12)</f>
        <v>171</v>
      </c>
      <c r="B13" s="60">
        <f t="shared" si="5"/>
        <v>156</v>
      </c>
      <c r="C13" s="60">
        <f t="shared" si="5"/>
        <v>15</v>
      </c>
      <c r="D13" s="60">
        <f t="shared" si="5"/>
        <v>4</v>
      </c>
      <c r="E13" s="60">
        <f t="shared" si="5"/>
        <v>4</v>
      </c>
      <c r="F13" s="60">
        <f t="shared" si="5"/>
        <v>0</v>
      </c>
      <c r="G13" s="60">
        <f t="shared" si="5"/>
        <v>167</v>
      </c>
      <c r="H13" s="60">
        <f t="shared" si="5"/>
        <v>152</v>
      </c>
      <c r="I13" s="60">
        <f t="shared" si="5"/>
        <v>15</v>
      </c>
      <c r="J13" s="65" t="s">
        <v>13</v>
      </c>
      <c r="K13" s="67"/>
      <c r="L13" s="55"/>
      <c r="M13" s="69"/>
    </row>
    <row r="14" spans="1:13" ht="12.75" customHeight="1" thickBot="1" x14ac:dyDescent="0.25">
      <c r="A14" s="60">
        <f t="shared" si="0"/>
        <v>506</v>
      </c>
      <c r="B14" s="60">
        <f t="shared" si="0"/>
        <v>209</v>
      </c>
      <c r="C14" s="60">
        <f t="shared" si="0"/>
        <v>297</v>
      </c>
      <c r="D14" s="60">
        <f t="shared" si="1"/>
        <v>1</v>
      </c>
      <c r="E14" s="60">
        <v>1</v>
      </c>
      <c r="F14" s="60">
        <v>0</v>
      </c>
      <c r="G14" s="60">
        <f t="shared" si="2"/>
        <v>505</v>
      </c>
      <c r="H14" s="60">
        <v>208</v>
      </c>
      <c r="I14" s="60">
        <v>297</v>
      </c>
      <c r="J14" s="65" t="s">
        <v>221</v>
      </c>
      <c r="K14" s="66"/>
      <c r="L14" s="55"/>
    </row>
    <row r="15" spans="1:13" ht="12.75" customHeight="1" thickBot="1" x14ac:dyDescent="0.25">
      <c r="A15" s="60">
        <f t="shared" si="0"/>
        <v>0</v>
      </c>
      <c r="B15" s="60">
        <f t="shared" si="0"/>
        <v>0</v>
      </c>
      <c r="C15" s="60">
        <f t="shared" si="0"/>
        <v>0</v>
      </c>
      <c r="D15" s="60">
        <f t="shared" si="1"/>
        <v>0</v>
      </c>
      <c r="E15" s="60">
        <v>0</v>
      </c>
      <c r="F15" s="60">
        <v>0</v>
      </c>
      <c r="G15" s="60">
        <f t="shared" si="2"/>
        <v>0</v>
      </c>
      <c r="H15" s="60">
        <v>0</v>
      </c>
      <c r="I15" s="60">
        <v>0</v>
      </c>
      <c r="J15" s="65" t="s">
        <v>222</v>
      </c>
      <c r="K15" s="66" t="s">
        <v>332</v>
      </c>
      <c r="L15" s="55"/>
    </row>
    <row r="16" spans="1:13" ht="12.75" customHeight="1" thickBot="1" x14ac:dyDescent="0.25">
      <c r="A16" s="60">
        <f t="shared" ref="A16:I16" si="6">SUM(A14:A15)</f>
        <v>506</v>
      </c>
      <c r="B16" s="60">
        <f t="shared" si="6"/>
        <v>209</v>
      </c>
      <c r="C16" s="60">
        <f t="shared" si="6"/>
        <v>297</v>
      </c>
      <c r="D16" s="60">
        <f t="shared" si="6"/>
        <v>1</v>
      </c>
      <c r="E16" s="60">
        <f t="shared" si="6"/>
        <v>1</v>
      </c>
      <c r="F16" s="60">
        <f t="shared" si="6"/>
        <v>0</v>
      </c>
      <c r="G16" s="60">
        <f t="shared" si="6"/>
        <v>505</v>
      </c>
      <c r="H16" s="60">
        <f t="shared" si="6"/>
        <v>208</v>
      </c>
      <c r="I16" s="60">
        <f t="shared" si="6"/>
        <v>297</v>
      </c>
      <c r="J16" s="65" t="s">
        <v>13</v>
      </c>
      <c r="K16" s="67"/>
      <c r="L16" s="55"/>
    </row>
    <row r="17" spans="1:12" ht="12.75" customHeight="1" thickBot="1" x14ac:dyDescent="0.25">
      <c r="A17" s="60">
        <f t="shared" si="0"/>
        <v>547</v>
      </c>
      <c r="B17" s="60">
        <f t="shared" si="0"/>
        <v>375</v>
      </c>
      <c r="C17" s="60">
        <f t="shared" si="0"/>
        <v>172</v>
      </c>
      <c r="D17" s="60">
        <f t="shared" si="1"/>
        <v>3</v>
      </c>
      <c r="E17" s="60">
        <v>3</v>
      </c>
      <c r="F17" s="60">
        <v>0</v>
      </c>
      <c r="G17" s="60">
        <f t="shared" si="2"/>
        <v>544</v>
      </c>
      <c r="H17" s="60">
        <v>372</v>
      </c>
      <c r="I17" s="60">
        <v>172</v>
      </c>
      <c r="J17" s="65" t="s">
        <v>221</v>
      </c>
      <c r="K17" s="66"/>
      <c r="L17" s="55"/>
    </row>
    <row r="18" spans="1:12" ht="12.75" customHeight="1" thickBot="1" x14ac:dyDescent="0.25">
      <c r="A18" s="60">
        <f t="shared" si="0"/>
        <v>0</v>
      </c>
      <c r="B18" s="60">
        <f t="shared" si="0"/>
        <v>0</v>
      </c>
      <c r="C18" s="60">
        <f t="shared" si="0"/>
        <v>0</v>
      </c>
      <c r="D18" s="60">
        <f t="shared" si="1"/>
        <v>0</v>
      </c>
      <c r="E18" s="60">
        <v>0</v>
      </c>
      <c r="F18" s="60">
        <v>0</v>
      </c>
      <c r="G18" s="60">
        <f t="shared" si="2"/>
        <v>0</v>
      </c>
      <c r="H18" s="60">
        <v>0</v>
      </c>
      <c r="I18" s="60">
        <v>0</v>
      </c>
      <c r="J18" s="65" t="s">
        <v>222</v>
      </c>
      <c r="K18" s="66" t="s">
        <v>333</v>
      </c>
      <c r="L18" s="55"/>
    </row>
    <row r="19" spans="1:12" ht="12.75" customHeight="1" thickBot="1" x14ac:dyDescent="0.25">
      <c r="A19" s="60">
        <f t="shared" ref="A19:I19" si="7">SUM(A17:A18)</f>
        <v>547</v>
      </c>
      <c r="B19" s="60">
        <f t="shared" si="7"/>
        <v>375</v>
      </c>
      <c r="C19" s="60">
        <f t="shared" si="7"/>
        <v>172</v>
      </c>
      <c r="D19" s="60">
        <f t="shared" si="7"/>
        <v>3</v>
      </c>
      <c r="E19" s="60">
        <f t="shared" si="7"/>
        <v>3</v>
      </c>
      <c r="F19" s="60">
        <f t="shared" si="7"/>
        <v>0</v>
      </c>
      <c r="G19" s="60">
        <f t="shared" si="7"/>
        <v>544</v>
      </c>
      <c r="H19" s="60">
        <f t="shared" si="7"/>
        <v>372</v>
      </c>
      <c r="I19" s="60">
        <f t="shared" si="7"/>
        <v>172</v>
      </c>
      <c r="J19" s="65" t="s">
        <v>13</v>
      </c>
      <c r="K19" s="67"/>
      <c r="L19" s="55"/>
    </row>
    <row r="20" spans="1:12" ht="12.75" customHeight="1" thickBot="1" x14ac:dyDescent="0.25">
      <c r="A20" s="60">
        <f t="shared" si="0"/>
        <v>335</v>
      </c>
      <c r="B20" s="60">
        <f t="shared" si="0"/>
        <v>0</v>
      </c>
      <c r="C20" s="60">
        <f t="shared" si="0"/>
        <v>335</v>
      </c>
      <c r="D20" s="60">
        <f t="shared" si="1"/>
        <v>2</v>
      </c>
      <c r="E20" s="60">
        <v>0</v>
      </c>
      <c r="F20" s="60">
        <v>2</v>
      </c>
      <c r="G20" s="60">
        <f t="shared" si="2"/>
        <v>333</v>
      </c>
      <c r="H20" s="60">
        <v>0</v>
      </c>
      <c r="I20" s="60">
        <v>333</v>
      </c>
      <c r="J20" s="65" t="s">
        <v>221</v>
      </c>
      <c r="K20" s="66"/>
      <c r="L20" s="55"/>
    </row>
    <row r="21" spans="1:12" ht="12.75" customHeight="1" thickBot="1" x14ac:dyDescent="0.25">
      <c r="A21" s="60">
        <f t="shared" ref="A21:C57" si="8">G21+D21</f>
        <v>0</v>
      </c>
      <c r="B21" s="60">
        <f t="shared" si="8"/>
        <v>0</v>
      </c>
      <c r="C21" s="60">
        <f t="shared" si="8"/>
        <v>0</v>
      </c>
      <c r="D21" s="60">
        <f t="shared" si="1"/>
        <v>0</v>
      </c>
      <c r="E21" s="60">
        <v>0</v>
      </c>
      <c r="F21" s="60">
        <v>0</v>
      </c>
      <c r="G21" s="60">
        <f t="shared" si="2"/>
        <v>0</v>
      </c>
      <c r="H21" s="60">
        <v>0</v>
      </c>
      <c r="I21" s="60">
        <v>0</v>
      </c>
      <c r="J21" s="65" t="s">
        <v>222</v>
      </c>
      <c r="K21" s="66" t="s">
        <v>334</v>
      </c>
      <c r="L21" s="55"/>
    </row>
    <row r="22" spans="1:12" ht="12.75" customHeight="1" thickBot="1" x14ac:dyDescent="0.25">
      <c r="A22" s="60">
        <f t="shared" ref="A22:I22" si="9">SUM(A20:A21)</f>
        <v>335</v>
      </c>
      <c r="B22" s="60">
        <f t="shared" si="9"/>
        <v>0</v>
      </c>
      <c r="C22" s="60">
        <f t="shared" si="9"/>
        <v>335</v>
      </c>
      <c r="D22" s="60">
        <f t="shared" si="9"/>
        <v>2</v>
      </c>
      <c r="E22" s="60">
        <f t="shared" si="9"/>
        <v>0</v>
      </c>
      <c r="F22" s="60">
        <f t="shared" si="9"/>
        <v>2</v>
      </c>
      <c r="G22" s="60">
        <f t="shared" si="9"/>
        <v>333</v>
      </c>
      <c r="H22" s="60">
        <f t="shared" si="9"/>
        <v>0</v>
      </c>
      <c r="I22" s="60">
        <f t="shared" si="9"/>
        <v>333</v>
      </c>
      <c r="J22" s="65" t="s">
        <v>13</v>
      </c>
      <c r="K22" s="67"/>
      <c r="L22" s="55"/>
    </row>
    <row r="23" spans="1:12" ht="12.75" customHeight="1" thickBot="1" x14ac:dyDescent="0.25">
      <c r="A23" s="60">
        <f t="shared" si="8"/>
        <v>110</v>
      </c>
      <c r="B23" s="60">
        <f t="shared" si="8"/>
        <v>51</v>
      </c>
      <c r="C23" s="60">
        <f t="shared" si="8"/>
        <v>59</v>
      </c>
      <c r="D23" s="60">
        <f t="shared" si="1"/>
        <v>0</v>
      </c>
      <c r="E23" s="60">
        <v>0</v>
      </c>
      <c r="F23" s="60">
        <v>0</v>
      </c>
      <c r="G23" s="60">
        <f t="shared" si="2"/>
        <v>110</v>
      </c>
      <c r="H23" s="60">
        <v>51</v>
      </c>
      <c r="I23" s="60">
        <v>59</v>
      </c>
      <c r="J23" s="65" t="s">
        <v>221</v>
      </c>
      <c r="K23" s="66"/>
      <c r="L23" s="55"/>
    </row>
    <row r="24" spans="1:12" ht="12.75" customHeight="1" thickBot="1" x14ac:dyDescent="0.25">
      <c r="A24" s="60">
        <f t="shared" si="8"/>
        <v>0</v>
      </c>
      <c r="B24" s="60">
        <f t="shared" si="8"/>
        <v>0</v>
      </c>
      <c r="C24" s="60">
        <f t="shared" si="8"/>
        <v>0</v>
      </c>
      <c r="D24" s="60">
        <f t="shared" si="1"/>
        <v>0</v>
      </c>
      <c r="E24" s="60">
        <v>0</v>
      </c>
      <c r="F24" s="60">
        <v>0</v>
      </c>
      <c r="G24" s="60">
        <f t="shared" si="2"/>
        <v>0</v>
      </c>
      <c r="H24" s="60">
        <v>0</v>
      </c>
      <c r="I24" s="60">
        <v>0</v>
      </c>
      <c r="J24" s="65" t="s">
        <v>222</v>
      </c>
      <c r="K24" s="66" t="s">
        <v>470</v>
      </c>
      <c r="L24" s="55"/>
    </row>
    <row r="25" spans="1:12" ht="12.75" customHeight="1" thickBot="1" x14ac:dyDescent="0.25">
      <c r="A25" s="60">
        <f t="shared" ref="A25:I25" si="10">SUM(A23:A24)</f>
        <v>110</v>
      </c>
      <c r="B25" s="60">
        <f t="shared" si="10"/>
        <v>51</v>
      </c>
      <c r="C25" s="60">
        <f t="shared" si="10"/>
        <v>59</v>
      </c>
      <c r="D25" s="60">
        <f t="shared" si="10"/>
        <v>0</v>
      </c>
      <c r="E25" s="60">
        <f t="shared" si="10"/>
        <v>0</v>
      </c>
      <c r="F25" s="60">
        <f t="shared" si="10"/>
        <v>0</v>
      </c>
      <c r="G25" s="60">
        <f t="shared" si="10"/>
        <v>110</v>
      </c>
      <c r="H25" s="60">
        <f t="shared" si="10"/>
        <v>51</v>
      </c>
      <c r="I25" s="60">
        <f t="shared" si="10"/>
        <v>59</v>
      </c>
      <c r="J25" s="65" t="s">
        <v>13</v>
      </c>
      <c r="K25" s="67"/>
      <c r="L25" s="55"/>
    </row>
    <row r="26" spans="1:12" ht="12.75" customHeight="1" thickBot="1" x14ac:dyDescent="0.25">
      <c r="A26" s="60">
        <f t="shared" si="8"/>
        <v>542</v>
      </c>
      <c r="B26" s="60">
        <f t="shared" si="8"/>
        <v>326</v>
      </c>
      <c r="C26" s="60">
        <f t="shared" si="8"/>
        <v>216</v>
      </c>
      <c r="D26" s="60">
        <f t="shared" si="1"/>
        <v>12</v>
      </c>
      <c r="E26" s="60">
        <v>12</v>
      </c>
      <c r="F26" s="60">
        <v>0</v>
      </c>
      <c r="G26" s="60">
        <f t="shared" si="2"/>
        <v>530</v>
      </c>
      <c r="H26" s="60">
        <v>314</v>
      </c>
      <c r="I26" s="60">
        <v>216</v>
      </c>
      <c r="J26" s="65" t="s">
        <v>221</v>
      </c>
      <c r="K26" s="66"/>
      <c r="L26" s="55"/>
    </row>
    <row r="27" spans="1:12" ht="12.75" customHeight="1" thickBot="1" x14ac:dyDescent="0.25">
      <c r="A27" s="60">
        <f t="shared" si="8"/>
        <v>0</v>
      </c>
      <c r="B27" s="60">
        <f t="shared" si="8"/>
        <v>0</v>
      </c>
      <c r="C27" s="60">
        <f t="shared" si="8"/>
        <v>0</v>
      </c>
      <c r="D27" s="60">
        <f t="shared" si="1"/>
        <v>0</v>
      </c>
      <c r="E27" s="60">
        <v>0</v>
      </c>
      <c r="F27" s="60">
        <v>0</v>
      </c>
      <c r="G27" s="60">
        <f t="shared" si="2"/>
        <v>0</v>
      </c>
      <c r="H27" s="60">
        <v>0</v>
      </c>
      <c r="I27" s="60">
        <v>0</v>
      </c>
      <c r="J27" s="65" t="s">
        <v>222</v>
      </c>
      <c r="K27" s="66" t="s">
        <v>335</v>
      </c>
      <c r="L27" s="55"/>
    </row>
    <row r="28" spans="1:12" ht="12.75" customHeight="1" thickBot="1" x14ac:dyDescent="0.25">
      <c r="A28" s="60">
        <f t="shared" ref="A28:I28" si="11">SUM(A26:A27)</f>
        <v>542</v>
      </c>
      <c r="B28" s="60">
        <f t="shared" si="11"/>
        <v>326</v>
      </c>
      <c r="C28" s="60">
        <f t="shared" si="11"/>
        <v>216</v>
      </c>
      <c r="D28" s="60">
        <f t="shared" si="11"/>
        <v>12</v>
      </c>
      <c r="E28" s="60">
        <f t="shared" si="11"/>
        <v>12</v>
      </c>
      <c r="F28" s="60">
        <f t="shared" si="11"/>
        <v>0</v>
      </c>
      <c r="G28" s="60">
        <f t="shared" si="11"/>
        <v>530</v>
      </c>
      <c r="H28" s="60">
        <f t="shared" si="11"/>
        <v>314</v>
      </c>
      <c r="I28" s="60">
        <f t="shared" si="11"/>
        <v>216</v>
      </c>
      <c r="J28" s="65" t="s">
        <v>13</v>
      </c>
      <c r="K28" s="67"/>
      <c r="L28" s="55"/>
    </row>
    <row r="29" spans="1:12" ht="12.75" customHeight="1" thickBot="1" x14ac:dyDescent="0.25">
      <c r="A29" s="60">
        <f t="shared" si="8"/>
        <v>275</v>
      </c>
      <c r="B29" s="60">
        <f t="shared" si="8"/>
        <v>155</v>
      </c>
      <c r="C29" s="60">
        <f t="shared" si="8"/>
        <v>120</v>
      </c>
      <c r="D29" s="60">
        <f t="shared" si="1"/>
        <v>14</v>
      </c>
      <c r="E29" s="60">
        <v>4</v>
      </c>
      <c r="F29" s="60">
        <v>10</v>
      </c>
      <c r="G29" s="60">
        <f t="shared" si="2"/>
        <v>261</v>
      </c>
      <c r="H29" s="60">
        <v>151</v>
      </c>
      <c r="I29" s="60">
        <v>110</v>
      </c>
      <c r="J29" s="65" t="s">
        <v>221</v>
      </c>
      <c r="K29" s="66"/>
      <c r="L29" s="55"/>
    </row>
    <row r="30" spans="1:12" ht="12.75" customHeight="1" thickBot="1" x14ac:dyDescent="0.25">
      <c r="A30" s="60">
        <f t="shared" si="8"/>
        <v>0</v>
      </c>
      <c r="B30" s="60">
        <f t="shared" si="8"/>
        <v>0</v>
      </c>
      <c r="C30" s="60">
        <f t="shared" si="8"/>
        <v>0</v>
      </c>
      <c r="D30" s="60">
        <f t="shared" si="1"/>
        <v>0</v>
      </c>
      <c r="E30" s="60">
        <v>0</v>
      </c>
      <c r="F30" s="60">
        <v>0</v>
      </c>
      <c r="G30" s="60">
        <f t="shared" si="2"/>
        <v>0</v>
      </c>
      <c r="H30" s="60">
        <v>0</v>
      </c>
      <c r="I30" s="60">
        <v>0</v>
      </c>
      <c r="J30" s="65" t="s">
        <v>222</v>
      </c>
      <c r="K30" s="66" t="s">
        <v>336</v>
      </c>
      <c r="L30" s="55"/>
    </row>
    <row r="31" spans="1:12" ht="12.75" customHeight="1" thickBot="1" x14ac:dyDescent="0.25">
      <c r="A31" s="60">
        <f t="shared" ref="A31:I31" si="12">SUM(A29:A30)</f>
        <v>275</v>
      </c>
      <c r="B31" s="60">
        <f t="shared" si="12"/>
        <v>155</v>
      </c>
      <c r="C31" s="60">
        <f t="shared" si="12"/>
        <v>120</v>
      </c>
      <c r="D31" s="60">
        <f t="shared" si="12"/>
        <v>14</v>
      </c>
      <c r="E31" s="60">
        <f t="shared" si="12"/>
        <v>4</v>
      </c>
      <c r="F31" s="60">
        <f t="shared" si="12"/>
        <v>10</v>
      </c>
      <c r="G31" s="60">
        <f t="shared" si="12"/>
        <v>261</v>
      </c>
      <c r="H31" s="60">
        <f t="shared" si="12"/>
        <v>151</v>
      </c>
      <c r="I31" s="60">
        <f t="shared" si="12"/>
        <v>110</v>
      </c>
      <c r="J31" s="65" t="s">
        <v>13</v>
      </c>
      <c r="K31" s="67"/>
      <c r="L31" s="55"/>
    </row>
    <row r="32" spans="1:12" ht="12.75" customHeight="1" thickBot="1" x14ac:dyDescent="0.25">
      <c r="A32" s="60">
        <f t="shared" si="8"/>
        <v>542</v>
      </c>
      <c r="B32" s="60">
        <f t="shared" si="8"/>
        <v>326</v>
      </c>
      <c r="C32" s="60">
        <f t="shared" si="8"/>
        <v>216</v>
      </c>
      <c r="D32" s="60">
        <f t="shared" si="1"/>
        <v>12</v>
      </c>
      <c r="E32" s="60">
        <v>12</v>
      </c>
      <c r="F32" s="60">
        <v>0</v>
      </c>
      <c r="G32" s="60">
        <f t="shared" si="2"/>
        <v>530</v>
      </c>
      <c r="H32" s="60">
        <v>314</v>
      </c>
      <c r="I32" s="60">
        <v>216</v>
      </c>
      <c r="J32" s="65" t="s">
        <v>221</v>
      </c>
      <c r="K32" s="66"/>
      <c r="L32" s="55"/>
    </row>
    <row r="33" spans="1:12" ht="12.75" customHeight="1" thickBot="1" x14ac:dyDescent="0.25">
      <c r="A33" s="60">
        <f t="shared" si="8"/>
        <v>0</v>
      </c>
      <c r="B33" s="60">
        <f t="shared" si="8"/>
        <v>0</v>
      </c>
      <c r="C33" s="60">
        <f t="shared" si="8"/>
        <v>0</v>
      </c>
      <c r="D33" s="60">
        <f t="shared" si="1"/>
        <v>0</v>
      </c>
      <c r="E33" s="60">
        <v>0</v>
      </c>
      <c r="F33" s="60">
        <v>0</v>
      </c>
      <c r="G33" s="60">
        <f t="shared" si="2"/>
        <v>0</v>
      </c>
      <c r="H33" s="60">
        <v>0</v>
      </c>
      <c r="I33" s="60">
        <v>0</v>
      </c>
      <c r="J33" s="65" t="s">
        <v>222</v>
      </c>
      <c r="K33" s="66" t="s">
        <v>264</v>
      </c>
      <c r="L33" s="55"/>
    </row>
    <row r="34" spans="1:12" ht="12.75" customHeight="1" thickBot="1" x14ac:dyDescent="0.25">
      <c r="A34" s="60">
        <f t="shared" ref="A34:I34" si="13">SUM(A32:A33)</f>
        <v>542</v>
      </c>
      <c r="B34" s="60">
        <f t="shared" si="13"/>
        <v>326</v>
      </c>
      <c r="C34" s="60">
        <f t="shared" si="13"/>
        <v>216</v>
      </c>
      <c r="D34" s="60">
        <f t="shared" si="13"/>
        <v>12</v>
      </c>
      <c r="E34" s="60">
        <f t="shared" si="13"/>
        <v>12</v>
      </c>
      <c r="F34" s="60">
        <f t="shared" si="13"/>
        <v>0</v>
      </c>
      <c r="G34" s="60">
        <f t="shared" si="13"/>
        <v>530</v>
      </c>
      <c r="H34" s="60">
        <f t="shared" si="13"/>
        <v>314</v>
      </c>
      <c r="I34" s="60">
        <f t="shared" si="13"/>
        <v>216</v>
      </c>
      <c r="J34" s="65" t="s">
        <v>13</v>
      </c>
      <c r="K34" s="67"/>
      <c r="L34" s="55"/>
    </row>
    <row r="35" spans="1:12" ht="12.75" customHeight="1" thickBot="1" x14ac:dyDescent="0.25">
      <c r="A35" s="60">
        <f t="shared" si="8"/>
        <v>145</v>
      </c>
      <c r="B35" s="60">
        <f t="shared" si="8"/>
        <v>77</v>
      </c>
      <c r="C35" s="60">
        <f t="shared" si="8"/>
        <v>68</v>
      </c>
      <c r="D35" s="60">
        <f t="shared" si="1"/>
        <v>0</v>
      </c>
      <c r="E35" s="60">
        <v>0</v>
      </c>
      <c r="F35" s="60">
        <v>0</v>
      </c>
      <c r="G35" s="60">
        <f t="shared" si="2"/>
        <v>145</v>
      </c>
      <c r="H35" s="60">
        <v>77</v>
      </c>
      <c r="I35" s="60">
        <v>68</v>
      </c>
      <c r="J35" s="65" t="s">
        <v>221</v>
      </c>
      <c r="K35" s="66"/>
      <c r="L35" s="55"/>
    </row>
    <row r="36" spans="1:12" ht="12.75" customHeight="1" thickBot="1" x14ac:dyDescent="0.25">
      <c r="A36" s="60">
        <f t="shared" si="8"/>
        <v>0</v>
      </c>
      <c r="B36" s="60">
        <f t="shared" si="8"/>
        <v>0</v>
      </c>
      <c r="C36" s="60">
        <f t="shared" si="8"/>
        <v>0</v>
      </c>
      <c r="D36" s="60">
        <f t="shared" si="1"/>
        <v>0</v>
      </c>
      <c r="E36" s="60">
        <v>0</v>
      </c>
      <c r="F36" s="60">
        <v>0</v>
      </c>
      <c r="G36" s="60">
        <f t="shared" si="2"/>
        <v>0</v>
      </c>
      <c r="H36" s="60">
        <v>0</v>
      </c>
      <c r="I36" s="60">
        <v>0</v>
      </c>
      <c r="J36" s="65" t="s">
        <v>222</v>
      </c>
      <c r="K36" s="66" t="s">
        <v>338</v>
      </c>
      <c r="L36" s="55"/>
    </row>
    <row r="37" spans="1:12" ht="12.75" customHeight="1" thickBot="1" x14ac:dyDescent="0.25">
      <c r="A37" s="60">
        <f t="shared" ref="A37:I37" si="14">SUM(A35:A36)</f>
        <v>145</v>
      </c>
      <c r="B37" s="60">
        <f t="shared" si="14"/>
        <v>77</v>
      </c>
      <c r="C37" s="60">
        <f t="shared" si="14"/>
        <v>68</v>
      </c>
      <c r="D37" s="60">
        <f t="shared" si="14"/>
        <v>0</v>
      </c>
      <c r="E37" s="60">
        <f t="shared" si="14"/>
        <v>0</v>
      </c>
      <c r="F37" s="60">
        <f t="shared" si="14"/>
        <v>0</v>
      </c>
      <c r="G37" s="60">
        <f t="shared" si="14"/>
        <v>145</v>
      </c>
      <c r="H37" s="60">
        <f t="shared" si="14"/>
        <v>77</v>
      </c>
      <c r="I37" s="60">
        <f t="shared" si="14"/>
        <v>68</v>
      </c>
      <c r="J37" s="65" t="s">
        <v>13</v>
      </c>
      <c r="K37" s="67"/>
      <c r="L37" s="55"/>
    </row>
    <row r="38" spans="1:12" ht="12.75" customHeight="1" thickBot="1" x14ac:dyDescent="0.25">
      <c r="A38" s="60">
        <f t="shared" si="8"/>
        <v>501</v>
      </c>
      <c r="B38" s="60">
        <f t="shared" si="8"/>
        <v>501</v>
      </c>
      <c r="C38" s="60">
        <f t="shared" si="8"/>
        <v>0</v>
      </c>
      <c r="D38" s="60">
        <f t="shared" si="1"/>
        <v>8</v>
      </c>
      <c r="E38" s="60">
        <v>8</v>
      </c>
      <c r="F38" s="60">
        <v>0</v>
      </c>
      <c r="G38" s="60">
        <f t="shared" si="2"/>
        <v>493</v>
      </c>
      <c r="H38" s="60">
        <v>493</v>
      </c>
      <c r="I38" s="60">
        <v>0</v>
      </c>
      <c r="J38" s="65" t="s">
        <v>221</v>
      </c>
      <c r="K38" s="66"/>
      <c r="L38" s="55"/>
    </row>
    <row r="39" spans="1:12" ht="12.75" customHeight="1" thickBot="1" x14ac:dyDescent="0.25">
      <c r="A39" s="60">
        <f t="shared" si="8"/>
        <v>0</v>
      </c>
      <c r="B39" s="60">
        <f t="shared" si="8"/>
        <v>0</v>
      </c>
      <c r="C39" s="60">
        <f t="shared" si="8"/>
        <v>0</v>
      </c>
      <c r="D39" s="60">
        <f t="shared" si="1"/>
        <v>0</v>
      </c>
      <c r="E39" s="60">
        <v>0</v>
      </c>
      <c r="F39" s="60">
        <v>0</v>
      </c>
      <c r="G39" s="60">
        <f t="shared" si="2"/>
        <v>0</v>
      </c>
      <c r="H39" s="60">
        <v>0</v>
      </c>
      <c r="I39" s="60">
        <v>0</v>
      </c>
      <c r="J39" s="65" t="s">
        <v>222</v>
      </c>
      <c r="K39" s="66" t="s">
        <v>339</v>
      </c>
      <c r="L39" s="55"/>
    </row>
    <row r="40" spans="1:12" ht="12.75" customHeight="1" thickBot="1" x14ac:dyDescent="0.25">
      <c r="A40" s="60">
        <f t="shared" ref="A40:I40" si="15">SUM(A38:A39)</f>
        <v>501</v>
      </c>
      <c r="B40" s="60">
        <f t="shared" si="15"/>
        <v>501</v>
      </c>
      <c r="C40" s="60">
        <f t="shared" si="15"/>
        <v>0</v>
      </c>
      <c r="D40" s="60">
        <f t="shared" si="15"/>
        <v>8</v>
      </c>
      <c r="E40" s="60">
        <f t="shared" si="15"/>
        <v>8</v>
      </c>
      <c r="F40" s="60">
        <f t="shared" si="15"/>
        <v>0</v>
      </c>
      <c r="G40" s="60">
        <f t="shared" si="15"/>
        <v>493</v>
      </c>
      <c r="H40" s="60">
        <f t="shared" si="15"/>
        <v>493</v>
      </c>
      <c r="I40" s="60">
        <f t="shared" si="15"/>
        <v>0</v>
      </c>
      <c r="J40" s="65" t="s">
        <v>13</v>
      </c>
      <c r="K40" s="67"/>
      <c r="L40" s="55"/>
    </row>
    <row r="41" spans="1:12" ht="12.75" customHeight="1" thickBot="1" x14ac:dyDescent="0.25">
      <c r="A41" s="60">
        <f t="shared" si="8"/>
        <v>421</v>
      </c>
      <c r="B41" s="60">
        <f t="shared" si="8"/>
        <v>421</v>
      </c>
      <c r="C41" s="60">
        <f t="shared" si="8"/>
        <v>0</v>
      </c>
      <c r="D41" s="60">
        <f t="shared" si="1"/>
        <v>2</v>
      </c>
      <c r="E41" s="60">
        <v>2</v>
      </c>
      <c r="F41" s="60">
        <v>0</v>
      </c>
      <c r="G41" s="60">
        <f t="shared" si="2"/>
        <v>419</v>
      </c>
      <c r="H41" s="60">
        <v>419</v>
      </c>
      <c r="I41" s="60">
        <v>0</v>
      </c>
      <c r="J41" s="65" t="s">
        <v>221</v>
      </c>
      <c r="K41" s="66"/>
      <c r="L41" s="55"/>
    </row>
    <row r="42" spans="1:12" ht="12.75" customHeight="1" thickBot="1" x14ac:dyDescent="0.25">
      <c r="A42" s="60">
        <f t="shared" si="8"/>
        <v>0</v>
      </c>
      <c r="B42" s="60">
        <f t="shared" si="8"/>
        <v>0</v>
      </c>
      <c r="C42" s="60">
        <f t="shared" si="8"/>
        <v>0</v>
      </c>
      <c r="D42" s="60">
        <f t="shared" si="1"/>
        <v>0</v>
      </c>
      <c r="E42" s="60">
        <v>0</v>
      </c>
      <c r="F42" s="60">
        <v>0</v>
      </c>
      <c r="G42" s="60">
        <f t="shared" si="2"/>
        <v>0</v>
      </c>
      <c r="H42" s="60">
        <v>0</v>
      </c>
      <c r="I42" s="60">
        <v>0</v>
      </c>
      <c r="J42" s="65" t="s">
        <v>222</v>
      </c>
      <c r="K42" s="66" t="s">
        <v>599</v>
      </c>
      <c r="L42" s="55"/>
    </row>
    <row r="43" spans="1:12" ht="12.75" customHeight="1" thickBot="1" x14ac:dyDescent="0.25">
      <c r="A43" s="60">
        <f t="shared" ref="A43:I43" si="16">SUM(A41:A42)</f>
        <v>421</v>
      </c>
      <c r="B43" s="60">
        <f t="shared" si="16"/>
        <v>421</v>
      </c>
      <c r="C43" s="60">
        <f t="shared" si="16"/>
        <v>0</v>
      </c>
      <c r="D43" s="60">
        <f t="shared" si="16"/>
        <v>2</v>
      </c>
      <c r="E43" s="60">
        <f t="shared" si="16"/>
        <v>2</v>
      </c>
      <c r="F43" s="60">
        <f t="shared" si="16"/>
        <v>0</v>
      </c>
      <c r="G43" s="60">
        <f t="shared" si="16"/>
        <v>419</v>
      </c>
      <c r="H43" s="60">
        <f t="shared" si="16"/>
        <v>419</v>
      </c>
      <c r="I43" s="60">
        <f t="shared" si="16"/>
        <v>0</v>
      </c>
      <c r="J43" s="65" t="s">
        <v>13</v>
      </c>
      <c r="K43" s="67"/>
      <c r="L43" s="55"/>
    </row>
    <row r="44" spans="1:12" ht="12.75" customHeight="1" thickBot="1" x14ac:dyDescent="0.25">
      <c r="A44" s="60">
        <f t="shared" si="8"/>
        <v>586</v>
      </c>
      <c r="B44" s="60">
        <f t="shared" si="8"/>
        <v>586</v>
      </c>
      <c r="C44" s="60">
        <f t="shared" si="8"/>
        <v>0</v>
      </c>
      <c r="D44" s="60">
        <f t="shared" si="1"/>
        <v>0</v>
      </c>
      <c r="E44" s="60">
        <v>0</v>
      </c>
      <c r="F44" s="60">
        <v>0</v>
      </c>
      <c r="G44" s="60">
        <f t="shared" si="2"/>
        <v>586</v>
      </c>
      <c r="H44" s="60">
        <v>586</v>
      </c>
      <c r="I44" s="60">
        <v>0</v>
      </c>
      <c r="J44" s="65" t="s">
        <v>221</v>
      </c>
      <c r="K44" s="66"/>
      <c r="L44" s="55"/>
    </row>
    <row r="45" spans="1:12" ht="12.75" customHeight="1" thickBot="1" x14ac:dyDescent="0.25">
      <c r="A45" s="60">
        <f t="shared" si="8"/>
        <v>0</v>
      </c>
      <c r="B45" s="60">
        <f t="shared" si="8"/>
        <v>0</v>
      </c>
      <c r="C45" s="60">
        <f t="shared" si="8"/>
        <v>0</v>
      </c>
      <c r="D45" s="60">
        <f t="shared" si="1"/>
        <v>0</v>
      </c>
      <c r="E45" s="60">
        <v>0</v>
      </c>
      <c r="F45" s="60">
        <v>0</v>
      </c>
      <c r="G45" s="60">
        <f t="shared" si="2"/>
        <v>0</v>
      </c>
      <c r="H45" s="60">
        <v>0</v>
      </c>
      <c r="I45" s="60">
        <v>0</v>
      </c>
      <c r="J45" s="65" t="s">
        <v>222</v>
      </c>
      <c r="K45" s="66" t="s">
        <v>341</v>
      </c>
      <c r="L45" s="55"/>
    </row>
    <row r="46" spans="1:12" ht="12.75" customHeight="1" thickBot="1" x14ac:dyDescent="0.25">
      <c r="A46" s="60">
        <f t="shared" ref="A46:I46" si="17">SUM(A44:A45)</f>
        <v>586</v>
      </c>
      <c r="B46" s="60">
        <f t="shared" si="17"/>
        <v>586</v>
      </c>
      <c r="C46" s="60">
        <f t="shared" si="17"/>
        <v>0</v>
      </c>
      <c r="D46" s="60">
        <f t="shared" si="17"/>
        <v>0</v>
      </c>
      <c r="E46" s="60">
        <f t="shared" si="17"/>
        <v>0</v>
      </c>
      <c r="F46" s="60">
        <f t="shared" si="17"/>
        <v>0</v>
      </c>
      <c r="G46" s="60">
        <f t="shared" si="17"/>
        <v>586</v>
      </c>
      <c r="H46" s="60">
        <f t="shared" si="17"/>
        <v>586</v>
      </c>
      <c r="I46" s="60">
        <f t="shared" si="17"/>
        <v>0</v>
      </c>
      <c r="J46" s="65" t="s">
        <v>13</v>
      </c>
      <c r="K46" s="67"/>
      <c r="L46" s="55"/>
    </row>
    <row r="47" spans="1:12" ht="12.75" customHeight="1" thickBot="1" x14ac:dyDescent="0.25">
      <c r="A47" s="60">
        <f t="shared" si="8"/>
        <v>383</v>
      </c>
      <c r="B47" s="60">
        <f t="shared" si="8"/>
        <v>383</v>
      </c>
      <c r="C47" s="60">
        <f t="shared" si="8"/>
        <v>0</v>
      </c>
      <c r="D47" s="60">
        <f t="shared" si="1"/>
        <v>0</v>
      </c>
      <c r="E47" s="60">
        <v>0</v>
      </c>
      <c r="F47" s="60">
        <v>0</v>
      </c>
      <c r="G47" s="60">
        <f t="shared" si="2"/>
        <v>383</v>
      </c>
      <c r="H47" s="60">
        <v>383</v>
      </c>
      <c r="I47" s="60">
        <v>0</v>
      </c>
      <c r="J47" s="65" t="s">
        <v>221</v>
      </c>
      <c r="K47" s="66"/>
      <c r="L47" s="55"/>
    </row>
    <row r="48" spans="1:12" ht="12.75" customHeight="1" thickBot="1" x14ac:dyDescent="0.25">
      <c r="A48" s="60">
        <f t="shared" si="8"/>
        <v>0</v>
      </c>
      <c r="B48" s="60">
        <f t="shared" si="8"/>
        <v>0</v>
      </c>
      <c r="C48" s="60">
        <f t="shared" si="8"/>
        <v>0</v>
      </c>
      <c r="D48" s="60">
        <f t="shared" si="1"/>
        <v>0</v>
      </c>
      <c r="E48" s="60">
        <v>0</v>
      </c>
      <c r="F48" s="60">
        <v>0</v>
      </c>
      <c r="G48" s="60">
        <f t="shared" si="2"/>
        <v>0</v>
      </c>
      <c r="H48" s="60">
        <v>0</v>
      </c>
      <c r="I48" s="60">
        <v>0</v>
      </c>
      <c r="J48" s="65" t="s">
        <v>222</v>
      </c>
      <c r="K48" s="66" t="s">
        <v>342</v>
      </c>
      <c r="L48" s="55"/>
    </row>
    <row r="49" spans="1:12" ht="12.75" customHeight="1" thickBot="1" x14ac:dyDescent="0.25">
      <c r="A49" s="60">
        <f t="shared" ref="A49:I49" si="18">SUM(A47:A48)</f>
        <v>383</v>
      </c>
      <c r="B49" s="60">
        <f t="shared" si="18"/>
        <v>383</v>
      </c>
      <c r="C49" s="60">
        <f t="shared" si="18"/>
        <v>0</v>
      </c>
      <c r="D49" s="60">
        <f t="shared" si="18"/>
        <v>0</v>
      </c>
      <c r="E49" s="60">
        <f t="shared" si="18"/>
        <v>0</v>
      </c>
      <c r="F49" s="60">
        <f t="shared" si="18"/>
        <v>0</v>
      </c>
      <c r="G49" s="60">
        <f t="shared" si="18"/>
        <v>383</v>
      </c>
      <c r="H49" s="60">
        <f t="shared" si="18"/>
        <v>383</v>
      </c>
      <c r="I49" s="60">
        <f t="shared" si="18"/>
        <v>0</v>
      </c>
      <c r="J49" s="65" t="s">
        <v>13</v>
      </c>
      <c r="K49" s="67"/>
      <c r="L49" s="55"/>
    </row>
    <row r="50" spans="1:12" ht="12.75" customHeight="1" thickBot="1" x14ac:dyDescent="0.25">
      <c r="A50" s="60">
        <f t="shared" si="8"/>
        <v>342</v>
      </c>
      <c r="B50" s="60">
        <f t="shared" si="8"/>
        <v>0</v>
      </c>
      <c r="C50" s="60">
        <f t="shared" si="8"/>
        <v>342</v>
      </c>
      <c r="D50" s="60">
        <f t="shared" si="1"/>
        <v>0</v>
      </c>
      <c r="E50" s="60">
        <v>0</v>
      </c>
      <c r="F50" s="60">
        <v>0</v>
      </c>
      <c r="G50" s="60">
        <f t="shared" si="2"/>
        <v>342</v>
      </c>
      <c r="H50" s="60">
        <v>0</v>
      </c>
      <c r="I50" s="60">
        <v>342</v>
      </c>
      <c r="J50" s="65" t="s">
        <v>221</v>
      </c>
      <c r="K50" s="66"/>
      <c r="L50" s="55"/>
    </row>
    <row r="51" spans="1:12" ht="12.75" customHeight="1" thickBot="1" x14ac:dyDescent="0.25">
      <c r="A51" s="60">
        <f t="shared" si="8"/>
        <v>0</v>
      </c>
      <c r="B51" s="60">
        <f t="shared" si="8"/>
        <v>0</v>
      </c>
      <c r="C51" s="60">
        <f t="shared" si="8"/>
        <v>0</v>
      </c>
      <c r="D51" s="60">
        <f t="shared" si="1"/>
        <v>0</v>
      </c>
      <c r="E51" s="60">
        <v>0</v>
      </c>
      <c r="F51" s="60">
        <v>0</v>
      </c>
      <c r="G51" s="60">
        <f t="shared" si="2"/>
        <v>0</v>
      </c>
      <c r="H51" s="60">
        <v>0</v>
      </c>
      <c r="I51" s="60">
        <v>0</v>
      </c>
      <c r="J51" s="65" t="s">
        <v>222</v>
      </c>
      <c r="K51" s="66" t="s">
        <v>343</v>
      </c>
      <c r="L51" s="55"/>
    </row>
    <row r="52" spans="1:12" ht="12.75" customHeight="1" thickBot="1" x14ac:dyDescent="0.25">
      <c r="A52" s="60">
        <f t="shared" ref="A52:I52" si="19">SUM(A50:A51)</f>
        <v>342</v>
      </c>
      <c r="B52" s="60">
        <f t="shared" si="19"/>
        <v>0</v>
      </c>
      <c r="C52" s="60">
        <f t="shared" si="19"/>
        <v>342</v>
      </c>
      <c r="D52" s="60">
        <f t="shared" si="19"/>
        <v>0</v>
      </c>
      <c r="E52" s="60">
        <f t="shared" si="19"/>
        <v>0</v>
      </c>
      <c r="F52" s="60">
        <f t="shared" si="19"/>
        <v>0</v>
      </c>
      <c r="G52" s="60">
        <f t="shared" si="19"/>
        <v>342</v>
      </c>
      <c r="H52" s="60">
        <f t="shared" si="19"/>
        <v>0</v>
      </c>
      <c r="I52" s="60">
        <f t="shared" si="19"/>
        <v>342</v>
      </c>
      <c r="J52" s="65" t="s">
        <v>13</v>
      </c>
      <c r="K52" s="67"/>
      <c r="L52" s="55"/>
    </row>
    <row r="53" spans="1:12" ht="12.75" customHeight="1" thickBot="1" x14ac:dyDescent="0.25">
      <c r="A53" s="60">
        <f t="shared" si="8"/>
        <v>576</v>
      </c>
      <c r="B53" s="60">
        <f t="shared" si="8"/>
        <v>576</v>
      </c>
      <c r="C53" s="60">
        <f t="shared" si="8"/>
        <v>0</v>
      </c>
      <c r="D53" s="60">
        <f t="shared" si="1"/>
        <v>14</v>
      </c>
      <c r="E53" s="60">
        <v>14</v>
      </c>
      <c r="F53" s="60">
        <v>0</v>
      </c>
      <c r="G53" s="60">
        <f t="shared" si="2"/>
        <v>562</v>
      </c>
      <c r="H53" s="60">
        <v>562</v>
      </c>
      <c r="I53" s="60">
        <v>0</v>
      </c>
      <c r="J53" s="65" t="s">
        <v>221</v>
      </c>
      <c r="K53" s="66"/>
      <c r="L53" s="55"/>
    </row>
    <row r="54" spans="1:12" ht="12.75" customHeight="1" thickBot="1" x14ac:dyDescent="0.25">
      <c r="A54" s="60">
        <f t="shared" si="8"/>
        <v>0</v>
      </c>
      <c r="B54" s="60">
        <f t="shared" si="8"/>
        <v>0</v>
      </c>
      <c r="C54" s="60">
        <f t="shared" si="8"/>
        <v>0</v>
      </c>
      <c r="D54" s="60">
        <f t="shared" si="1"/>
        <v>0</v>
      </c>
      <c r="E54" s="60">
        <v>0</v>
      </c>
      <c r="F54" s="60">
        <v>0</v>
      </c>
      <c r="G54" s="60">
        <f t="shared" si="2"/>
        <v>0</v>
      </c>
      <c r="H54" s="60">
        <v>0</v>
      </c>
      <c r="I54" s="60">
        <v>0</v>
      </c>
      <c r="J54" s="65" t="s">
        <v>222</v>
      </c>
      <c r="K54" s="66" t="s">
        <v>344</v>
      </c>
      <c r="L54" s="55"/>
    </row>
    <row r="55" spans="1:12" ht="12.75" customHeight="1" thickBot="1" x14ac:dyDescent="0.25">
      <c r="A55" s="60">
        <f t="shared" ref="A55:I55" si="20">SUM(A53:A54)</f>
        <v>576</v>
      </c>
      <c r="B55" s="60">
        <f t="shared" si="20"/>
        <v>576</v>
      </c>
      <c r="C55" s="60">
        <f t="shared" si="20"/>
        <v>0</v>
      </c>
      <c r="D55" s="60">
        <f t="shared" si="20"/>
        <v>14</v>
      </c>
      <c r="E55" s="60">
        <f t="shared" si="20"/>
        <v>14</v>
      </c>
      <c r="F55" s="60">
        <f t="shared" si="20"/>
        <v>0</v>
      </c>
      <c r="G55" s="60">
        <f t="shared" si="20"/>
        <v>562</v>
      </c>
      <c r="H55" s="60">
        <f t="shared" si="20"/>
        <v>562</v>
      </c>
      <c r="I55" s="60">
        <f t="shared" si="20"/>
        <v>0</v>
      </c>
      <c r="J55" s="65" t="s">
        <v>13</v>
      </c>
      <c r="K55" s="67"/>
      <c r="L55" s="55"/>
    </row>
    <row r="56" spans="1:12" ht="12.75" customHeight="1" thickBot="1" x14ac:dyDescent="0.25">
      <c r="A56" s="60">
        <f t="shared" si="8"/>
        <v>679</v>
      </c>
      <c r="B56" s="60">
        <f t="shared" si="8"/>
        <v>679</v>
      </c>
      <c r="C56" s="60">
        <f t="shared" si="8"/>
        <v>0</v>
      </c>
      <c r="D56" s="60">
        <f t="shared" si="1"/>
        <v>1</v>
      </c>
      <c r="E56" s="60">
        <v>1</v>
      </c>
      <c r="F56" s="60">
        <v>0</v>
      </c>
      <c r="G56" s="60">
        <f t="shared" si="2"/>
        <v>678</v>
      </c>
      <c r="H56" s="60">
        <v>678</v>
      </c>
      <c r="I56" s="60">
        <v>0</v>
      </c>
      <c r="J56" s="65" t="s">
        <v>221</v>
      </c>
      <c r="K56" s="66"/>
      <c r="L56" s="55"/>
    </row>
    <row r="57" spans="1:12" ht="12.75" customHeight="1" thickBot="1" x14ac:dyDescent="0.25">
      <c r="A57" s="60">
        <f t="shared" si="8"/>
        <v>8</v>
      </c>
      <c r="B57" s="60">
        <f t="shared" si="8"/>
        <v>8</v>
      </c>
      <c r="C57" s="60">
        <f t="shared" si="8"/>
        <v>0</v>
      </c>
      <c r="D57" s="60">
        <f t="shared" si="1"/>
        <v>0</v>
      </c>
      <c r="E57" s="60">
        <v>0</v>
      </c>
      <c r="F57" s="60">
        <v>0</v>
      </c>
      <c r="G57" s="60">
        <f t="shared" si="2"/>
        <v>8</v>
      </c>
      <c r="H57" s="60">
        <v>8</v>
      </c>
      <c r="I57" s="60">
        <v>0</v>
      </c>
      <c r="J57" s="65" t="s">
        <v>222</v>
      </c>
      <c r="K57" s="66" t="s">
        <v>600</v>
      </c>
      <c r="L57" s="55"/>
    </row>
    <row r="58" spans="1:12" ht="12.75" customHeight="1" thickBot="1" x14ac:dyDescent="0.25">
      <c r="A58" s="60">
        <f t="shared" ref="A58:I58" si="21">SUM(A56:A57)</f>
        <v>687</v>
      </c>
      <c r="B58" s="60">
        <f t="shared" si="21"/>
        <v>687</v>
      </c>
      <c r="C58" s="60">
        <f t="shared" si="21"/>
        <v>0</v>
      </c>
      <c r="D58" s="60">
        <f t="shared" si="21"/>
        <v>1</v>
      </c>
      <c r="E58" s="60">
        <f t="shared" si="21"/>
        <v>1</v>
      </c>
      <c r="F58" s="60">
        <f t="shared" si="21"/>
        <v>0</v>
      </c>
      <c r="G58" s="60">
        <f t="shared" si="21"/>
        <v>686</v>
      </c>
      <c r="H58" s="60">
        <f t="shared" si="21"/>
        <v>686</v>
      </c>
      <c r="I58" s="60">
        <f t="shared" si="21"/>
        <v>0</v>
      </c>
      <c r="J58" s="65" t="s">
        <v>13</v>
      </c>
      <c r="K58" s="67"/>
      <c r="L58" s="55"/>
    </row>
    <row r="59" spans="1:12" ht="12.75" customHeight="1" thickBot="1" x14ac:dyDescent="0.25">
      <c r="A59" s="60">
        <f t="shared" ref="A59:H61" si="22">A5+A8+A11+A14+A17+A20+A23+A26+A29+A32+A35+A38+A41+A44+A47+A50+A53+A56</f>
        <v>7431</v>
      </c>
      <c r="B59" s="60">
        <f t="shared" si="22"/>
        <v>4992</v>
      </c>
      <c r="C59" s="60">
        <f t="shared" si="22"/>
        <v>2439</v>
      </c>
      <c r="D59" s="60">
        <f t="shared" si="22"/>
        <v>84</v>
      </c>
      <c r="E59" s="60">
        <f t="shared" si="22"/>
        <v>64</v>
      </c>
      <c r="F59" s="60">
        <f t="shared" si="22"/>
        <v>20</v>
      </c>
      <c r="G59" s="60">
        <f t="shared" si="22"/>
        <v>7347</v>
      </c>
      <c r="H59" s="60">
        <f t="shared" si="22"/>
        <v>4928</v>
      </c>
      <c r="I59" s="60">
        <f>I5+I8+I11+I14+I17+I20+I23+I26+I29+I32+I35+I38+I41+I44+I47+I50+I53+I56</f>
        <v>2419</v>
      </c>
      <c r="J59" s="65" t="s">
        <v>224</v>
      </c>
      <c r="K59" s="57"/>
      <c r="L59" s="55"/>
    </row>
    <row r="60" spans="1:12" ht="12.75" customHeight="1" thickBot="1" x14ac:dyDescent="0.25">
      <c r="A60" s="60">
        <f t="shared" si="22"/>
        <v>8</v>
      </c>
      <c r="B60" s="60">
        <f t="shared" si="22"/>
        <v>8</v>
      </c>
      <c r="C60" s="60">
        <f t="shared" si="22"/>
        <v>0</v>
      </c>
      <c r="D60" s="60">
        <f t="shared" si="22"/>
        <v>0</v>
      </c>
      <c r="E60" s="60">
        <f t="shared" si="22"/>
        <v>0</v>
      </c>
      <c r="F60" s="60">
        <f t="shared" si="22"/>
        <v>0</v>
      </c>
      <c r="G60" s="60">
        <f t="shared" si="22"/>
        <v>8</v>
      </c>
      <c r="H60" s="60">
        <f t="shared" si="22"/>
        <v>8</v>
      </c>
      <c r="I60" s="60">
        <f>I6+I9+I12+I15+I18+I21+I24+I27+I30+I33+I36+I39+I42+I45+I48+I51+I54+I57</f>
        <v>0</v>
      </c>
      <c r="J60" s="65" t="s">
        <v>225</v>
      </c>
      <c r="K60" s="68" t="s">
        <v>211</v>
      </c>
      <c r="L60" s="55"/>
    </row>
    <row r="61" spans="1:12" ht="12.75" customHeight="1" thickBot="1" x14ac:dyDescent="0.25">
      <c r="A61" s="60">
        <f t="shared" si="22"/>
        <v>7439</v>
      </c>
      <c r="B61" s="60">
        <f t="shared" si="22"/>
        <v>5000</v>
      </c>
      <c r="C61" s="60">
        <f>C7+C10+C13+C16+C19+C22+C25+C28+C31+C34+C37+C40+C43+C46+C49+C52+C55+C58</f>
        <v>2439</v>
      </c>
      <c r="D61" s="60">
        <f t="shared" si="22"/>
        <v>84</v>
      </c>
      <c r="E61" s="60">
        <f t="shared" si="22"/>
        <v>64</v>
      </c>
      <c r="F61" s="60">
        <f t="shared" si="22"/>
        <v>20</v>
      </c>
      <c r="G61" s="60">
        <f>G7+G10+G13+G16+G19+G22+G25+G28+G31+G34+G37+G40+G43+G46+G49+G52+G55+G58</f>
        <v>7355</v>
      </c>
      <c r="H61" s="60">
        <f t="shared" si="22"/>
        <v>4936</v>
      </c>
      <c r="I61" s="60">
        <f>I7+I10+I13+I16+I19+I22+I25+I28+I31+I34+I37+I40+I43+I46+I49+I52+I55+I58</f>
        <v>2419</v>
      </c>
      <c r="J61" s="65" t="s">
        <v>13</v>
      </c>
      <c r="K61" s="59"/>
      <c r="L61" s="55"/>
    </row>
    <row r="62" spans="1:12" ht="12.75" customHeight="1" x14ac:dyDescent="0.2">
      <c r="A62" s="177" t="s">
        <v>597</v>
      </c>
      <c r="B62" s="177"/>
      <c r="C62" s="177"/>
      <c r="D62" s="177"/>
      <c r="E62" s="177"/>
      <c r="F62" s="177"/>
      <c r="G62" s="177"/>
      <c r="H62" s="177"/>
      <c r="I62" s="177"/>
      <c r="J62" s="177"/>
      <c r="K62" s="177"/>
      <c r="L62" s="55"/>
    </row>
    <row r="63" spans="1:12" ht="12.75" customHeight="1" thickBot="1" x14ac:dyDescent="0.25">
      <c r="A63" s="178" t="s">
        <v>598</v>
      </c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55"/>
    </row>
    <row r="64" spans="1:12" ht="12.75" customHeight="1" thickBot="1" x14ac:dyDescent="0.25">
      <c r="A64" s="179" t="s">
        <v>5</v>
      </c>
      <c r="B64" s="179"/>
      <c r="C64" s="179"/>
      <c r="D64" s="179" t="s">
        <v>162</v>
      </c>
      <c r="E64" s="179"/>
      <c r="F64" s="179"/>
      <c r="G64" s="179" t="s">
        <v>163</v>
      </c>
      <c r="H64" s="179"/>
      <c r="I64" s="179"/>
      <c r="J64" s="179" t="s">
        <v>72</v>
      </c>
      <c r="K64" s="179"/>
      <c r="L64" s="55"/>
    </row>
    <row r="65" spans="1:12" ht="12.75" customHeight="1" thickBot="1" x14ac:dyDescent="0.25">
      <c r="A65" s="58" t="s">
        <v>216</v>
      </c>
      <c r="B65" s="58" t="s">
        <v>11</v>
      </c>
      <c r="C65" s="58" t="s">
        <v>10</v>
      </c>
      <c r="D65" s="58" t="s">
        <v>216</v>
      </c>
      <c r="E65" s="58" t="s">
        <v>11</v>
      </c>
      <c r="F65" s="58" t="s">
        <v>10</v>
      </c>
      <c r="G65" s="58" t="s">
        <v>216</v>
      </c>
      <c r="H65" s="58" t="s">
        <v>11</v>
      </c>
      <c r="I65" s="58" t="s">
        <v>10</v>
      </c>
      <c r="J65" s="180" t="s">
        <v>164</v>
      </c>
      <c r="K65" s="180"/>
      <c r="L65" s="55"/>
    </row>
    <row r="66" spans="1:12" ht="12.75" customHeight="1" thickBot="1" x14ac:dyDescent="0.25">
      <c r="A66" s="60">
        <v>57</v>
      </c>
      <c r="B66" s="60">
        <v>0</v>
      </c>
      <c r="C66" s="60">
        <v>57</v>
      </c>
      <c r="D66" s="60">
        <v>44</v>
      </c>
      <c r="E66" s="60">
        <v>0</v>
      </c>
      <c r="F66" s="60">
        <v>44</v>
      </c>
      <c r="G66" s="60">
        <v>13</v>
      </c>
      <c r="H66" s="60">
        <v>0</v>
      </c>
      <c r="I66" s="60">
        <v>13</v>
      </c>
      <c r="J66" s="65" t="s">
        <v>221</v>
      </c>
      <c r="K66" s="66"/>
      <c r="L66" s="55"/>
    </row>
    <row r="67" spans="1:12" ht="12.75" customHeight="1" thickBot="1" x14ac:dyDescent="0.25">
      <c r="A67" s="60">
        <v>0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5" t="s">
        <v>222</v>
      </c>
      <c r="K67" s="66" t="s">
        <v>346</v>
      </c>
      <c r="L67" s="55"/>
    </row>
    <row r="68" spans="1:12" ht="12.75" customHeight="1" thickBot="1" x14ac:dyDescent="0.25">
      <c r="A68" s="60">
        <v>57</v>
      </c>
      <c r="B68" s="60">
        <v>0</v>
      </c>
      <c r="C68" s="60">
        <v>57</v>
      </c>
      <c r="D68" s="60">
        <v>44</v>
      </c>
      <c r="E68" s="60">
        <v>0</v>
      </c>
      <c r="F68" s="60">
        <v>44</v>
      </c>
      <c r="G68" s="60">
        <v>13</v>
      </c>
      <c r="H68" s="60">
        <v>0</v>
      </c>
      <c r="I68" s="60">
        <v>13</v>
      </c>
      <c r="J68" s="65" t="s">
        <v>13</v>
      </c>
      <c r="K68" s="67"/>
      <c r="L68" s="55"/>
    </row>
    <row r="69" spans="1:12" ht="12.75" customHeight="1" thickBot="1" x14ac:dyDescent="0.25">
      <c r="A69" s="60">
        <v>165</v>
      </c>
      <c r="B69" s="60">
        <v>0</v>
      </c>
      <c r="C69" s="60">
        <v>165</v>
      </c>
      <c r="D69" s="60">
        <v>158</v>
      </c>
      <c r="E69" s="60">
        <v>0</v>
      </c>
      <c r="F69" s="60">
        <v>158</v>
      </c>
      <c r="G69" s="60">
        <v>7</v>
      </c>
      <c r="H69" s="60">
        <v>0</v>
      </c>
      <c r="I69" s="60">
        <v>7</v>
      </c>
      <c r="J69" s="65" t="s">
        <v>221</v>
      </c>
      <c r="K69" s="66"/>
      <c r="L69" s="55"/>
    </row>
    <row r="70" spans="1:12" ht="12.75" customHeight="1" thickBot="1" x14ac:dyDescent="0.25">
      <c r="A70" s="60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5" t="s">
        <v>222</v>
      </c>
      <c r="K70" s="66" t="s">
        <v>347</v>
      </c>
      <c r="L70" s="55"/>
    </row>
    <row r="71" spans="1:12" ht="12.75" customHeight="1" thickBot="1" x14ac:dyDescent="0.25">
      <c r="A71" s="60">
        <v>165</v>
      </c>
      <c r="B71" s="60">
        <v>0</v>
      </c>
      <c r="C71" s="60">
        <v>165</v>
      </c>
      <c r="D71" s="60">
        <v>158</v>
      </c>
      <c r="E71" s="60">
        <v>0</v>
      </c>
      <c r="F71" s="60">
        <v>158</v>
      </c>
      <c r="G71" s="60">
        <v>7</v>
      </c>
      <c r="H71" s="60">
        <v>0</v>
      </c>
      <c r="I71" s="60">
        <v>7</v>
      </c>
      <c r="J71" s="65" t="s">
        <v>13</v>
      </c>
      <c r="K71" s="67"/>
      <c r="L71" s="55"/>
    </row>
    <row r="72" spans="1:12" ht="12.75" customHeight="1" thickBot="1" x14ac:dyDescent="0.25">
      <c r="A72" s="60">
        <v>361</v>
      </c>
      <c r="B72" s="60">
        <v>0</v>
      </c>
      <c r="C72" s="60">
        <v>361</v>
      </c>
      <c r="D72" s="60">
        <v>237</v>
      </c>
      <c r="E72" s="60">
        <v>0</v>
      </c>
      <c r="F72" s="60">
        <v>237</v>
      </c>
      <c r="G72" s="60">
        <v>124</v>
      </c>
      <c r="H72" s="60">
        <v>0</v>
      </c>
      <c r="I72" s="60">
        <v>124</v>
      </c>
      <c r="J72" s="65" t="s">
        <v>221</v>
      </c>
      <c r="K72" s="66"/>
      <c r="L72" s="55"/>
    </row>
    <row r="73" spans="1:12" ht="12.75" customHeight="1" thickBot="1" x14ac:dyDescent="0.25">
      <c r="A73" s="60">
        <v>0</v>
      </c>
      <c r="B73" s="60">
        <v>0</v>
      </c>
      <c r="C73" s="60">
        <v>0</v>
      </c>
      <c r="D73" s="60">
        <v>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5" t="s">
        <v>222</v>
      </c>
      <c r="K73" s="66" t="s">
        <v>348</v>
      </c>
      <c r="L73" s="55"/>
    </row>
    <row r="74" spans="1:12" ht="12.75" customHeight="1" thickBot="1" x14ac:dyDescent="0.25">
      <c r="A74" s="60">
        <v>361</v>
      </c>
      <c r="B74" s="60">
        <v>0</v>
      </c>
      <c r="C74" s="60">
        <v>361</v>
      </c>
      <c r="D74" s="60">
        <v>237</v>
      </c>
      <c r="E74" s="60">
        <v>0</v>
      </c>
      <c r="F74" s="60">
        <v>237</v>
      </c>
      <c r="G74" s="60">
        <v>124</v>
      </c>
      <c r="H74" s="60">
        <v>0</v>
      </c>
      <c r="I74" s="60">
        <v>124</v>
      </c>
      <c r="J74" s="65" t="s">
        <v>13</v>
      </c>
      <c r="K74" s="67"/>
      <c r="L74" s="55"/>
    </row>
    <row r="75" spans="1:12" ht="12.75" customHeight="1" thickBot="1" x14ac:dyDescent="0.25">
      <c r="A75" s="60">
        <v>57</v>
      </c>
      <c r="B75" s="60">
        <v>0</v>
      </c>
      <c r="C75" s="60">
        <v>57</v>
      </c>
      <c r="D75" s="60">
        <v>52</v>
      </c>
      <c r="E75" s="60">
        <v>0</v>
      </c>
      <c r="F75" s="60">
        <v>52</v>
      </c>
      <c r="G75" s="60">
        <v>5</v>
      </c>
      <c r="H75" s="60">
        <v>0</v>
      </c>
      <c r="I75" s="60">
        <v>5</v>
      </c>
      <c r="J75" s="65" t="s">
        <v>221</v>
      </c>
      <c r="K75" s="66"/>
      <c r="L75" s="55"/>
    </row>
    <row r="76" spans="1:12" ht="12.75" customHeight="1" thickBot="1" x14ac:dyDescent="0.25">
      <c r="A76" s="60">
        <v>0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5" t="s">
        <v>222</v>
      </c>
      <c r="K76" s="66" t="s">
        <v>349</v>
      </c>
      <c r="L76" s="55"/>
    </row>
    <row r="77" spans="1:12" ht="12.75" customHeight="1" thickBot="1" x14ac:dyDescent="0.25">
      <c r="A77" s="60">
        <v>57</v>
      </c>
      <c r="B77" s="60">
        <v>0</v>
      </c>
      <c r="C77" s="60">
        <v>57</v>
      </c>
      <c r="D77" s="60">
        <v>52</v>
      </c>
      <c r="E77" s="60">
        <v>0</v>
      </c>
      <c r="F77" s="60">
        <v>52</v>
      </c>
      <c r="G77" s="60">
        <v>5</v>
      </c>
      <c r="H77" s="60">
        <v>0</v>
      </c>
      <c r="I77" s="60">
        <v>5</v>
      </c>
      <c r="J77" s="65" t="s">
        <v>13</v>
      </c>
      <c r="K77" s="67"/>
      <c r="L77" s="55"/>
    </row>
    <row r="78" spans="1:12" ht="12.75" customHeight="1" thickBot="1" x14ac:dyDescent="0.25">
      <c r="A78" s="60">
        <v>125</v>
      </c>
      <c r="B78" s="60">
        <v>0</v>
      </c>
      <c r="C78" s="60">
        <v>125</v>
      </c>
      <c r="D78" s="60">
        <v>20</v>
      </c>
      <c r="E78" s="60">
        <v>0</v>
      </c>
      <c r="F78" s="60">
        <v>20</v>
      </c>
      <c r="G78" s="60">
        <v>105</v>
      </c>
      <c r="H78" s="60">
        <v>0</v>
      </c>
      <c r="I78" s="60">
        <v>105</v>
      </c>
      <c r="J78" s="65" t="s">
        <v>221</v>
      </c>
      <c r="K78" s="66"/>
      <c r="L78" s="55"/>
    </row>
    <row r="79" spans="1:12" ht="12.75" customHeight="1" thickBot="1" x14ac:dyDescent="0.25">
      <c r="A79" s="60">
        <v>0</v>
      </c>
      <c r="B79" s="60">
        <v>0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5" t="s">
        <v>222</v>
      </c>
      <c r="K79" s="66" t="s">
        <v>350</v>
      </c>
      <c r="L79" s="55"/>
    </row>
    <row r="80" spans="1:12" ht="12.75" customHeight="1" thickBot="1" x14ac:dyDescent="0.25">
      <c r="A80" s="60">
        <v>125</v>
      </c>
      <c r="B80" s="60">
        <v>0</v>
      </c>
      <c r="C80" s="60">
        <v>125</v>
      </c>
      <c r="D80" s="60">
        <v>20</v>
      </c>
      <c r="E80" s="60">
        <v>0</v>
      </c>
      <c r="F80" s="60">
        <v>20</v>
      </c>
      <c r="G80" s="60">
        <v>105</v>
      </c>
      <c r="H80" s="60">
        <v>0</v>
      </c>
      <c r="I80" s="60">
        <v>105</v>
      </c>
      <c r="J80" s="65" t="s">
        <v>13</v>
      </c>
      <c r="K80" s="67"/>
      <c r="L80" s="55"/>
    </row>
    <row r="81" spans="1:12" ht="12.75" customHeight="1" thickBot="1" x14ac:dyDescent="0.25">
      <c r="A81" s="60">
        <v>765</v>
      </c>
      <c r="B81" s="60">
        <v>0</v>
      </c>
      <c r="C81" s="60">
        <v>765</v>
      </c>
      <c r="D81" s="60">
        <v>511</v>
      </c>
      <c r="E81" s="60">
        <v>0</v>
      </c>
      <c r="F81" s="60">
        <v>511</v>
      </c>
      <c r="G81" s="60">
        <v>254</v>
      </c>
      <c r="H81" s="60">
        <v>0</v>
      </c>
      <c r="I81" s="60">
        <v>254</v>
      </c>
      <c r="J81" s="65" t="s">
        <v>224</v>
      </c>
      <c r="K81" s="57"/>
      <c r="L81" s="55"/>
    </row>
    <row r="82" spans="1:12" ht="12.75" customHeight="1" thickBot="1" x14ac:dyDescent="0.25">
      <c r="A82" s="60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5" t="s">
        <v>225</v>
      </c>
      <c r="K82" s="68" t="s">
        <v>211</v>
      </c>
      <c r="L82" s="55"/>
    </row>
    <row r="83" spans="1:12" ht="12.75" customHeight="1" thickBot="1" x14ac:dyDescent="0.25">
      <c r="A83" s="60">
        <v>765</v>
      </c>
      <c r="B83" s="60">
        <v>0</v>
      </c>
      <c r="C83" s="60">
        <v>765</v>
      </c>
      <c r="D83" s="60">
        <v>511</v>
      </c>
      <c r="E83" s="60">
        <v>0</v>
      </c>
      <c r="F83" s="60">
        <v>511</v>
      </c>
      <c r="G83" s="60">
        <v>254</v>
      </c>
      <c r="H83" s="60">
        <v>0</v>
      </c>
      <c r="I83" s="60">
        <v>254</v>
      </c>
      <c r="J83" s="65" t="s">
        <v>13</v>
      </c>
      <c r="K83" s="59"/>
      <c r="L83" s="55"/>
    </row>
    <row r="84" spans="1:12" ht="12.75" customHeight="1" x14ac:dyDescent="0.2">
      <c r="A84" s="177" t="s">
        <v>597</v>
      </c>
      <c r="B84" s="177"/>
      <c r="C84" s="177"/>
      <c r="D84" s="177"/>
      <c r="E84" s="177"/>
      <c r="F84" s="177"/>
      <c r="G84" s="177"/>
      <c r="H84" s="177"/>
      <c r="I84" s="177"/>
      <c r="J84" s="177"/>
      <c r="K84" s="177"/>
      <c r="L84" s="55"/>
    </row>
    <row r="85" spans="1:12" ht="12.75" customHeight="1" thickBot="1" x14ac:dyDescent="0.25">
      <c r="A85" s="178" t="s">
        <v>598</v>
      </c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55"/>
    </row>
    <row r="86" spans="1:12" ht="12.75" customHeight="1" thickBot="1" x14ac:dyDescent="0.25">
      <c r="A86" s="179" t="s">
        <v>5</v>
      </c>
      <c r="B86" s="179"/>
      <c r="C86" s="179"/>
      <c r="D86" s="179" t="s">
        <v>162</v>
      </c>
      <c r="E86" s="179"/>
      <c r="F86" s="179"/>
      <c r="G86" s="179" t="s">
        <v>163</v>
      </c>
      <c r="H86" s="179"/>
      <c r="I86" s="179"/>
      <c r="J86" s="179" t="s">
        <v>72</v>
      </c>
      <c r="K86" s="179"/>
      <c r="L86" s="55"/>
    </row>
    <row r="87" spans="1:12" ht="12.75" customHeight="1" thickBot="1" x14ac:dyDescent="0.25">
      <c r="A87" s="58" t="s">
        <v>216</v>
      </c>
      <c r="B87" s="58" t="s">
        <v>11</v>
      </c>
      <c r="C87" s="58" t="s">
        <v>10</v>
      </c>
      <c r="D87" s="58" t="s">
        <v>216</v>
      </c>
      <c r="E87" s="58" t="s">
        <v>11</v>
      </c>
      <c r="F87" s="58" t="s">
        <v>10</v>
      </c>
      <c r="G87" s="58" t="s">
        <v>216</v>
      </c>
      <c r="H87" s="58" t="s">
        <v>11</v>
      </c>
      <c r="I87" s="58" t="s">
        <v>10</v>
      </c>
      <c r="J87" s="180" t="s">
        <v>76</v>
      </c>
      <c r="K87" s="180"/>
      <c r="L87" s="55"/>
    </row>
    <row r="88" spans="1:12" ht="12.75" customHeight="1" thickBot="1" x14ac:dyDescent="0.25">
      <c r="A88" s="60">
        <f>SUM(B88:C88)</f>
        <v>465</v>
      </c>
      <c r="B88" s="60">
        <f>H88+E88</f>
        <v>0</v>
      </c>
      <c r="C88" s="60">
        <f>I88+F88</f>
        <v>465</v>
      </c>
      <c r="D88" s="60">
        <f>SUM(E88:F88)</f>
        <v>2</v>
      </c>
      <c r="E88" s="60">
        <v>0</v>
      </c>
      <c r="F88" s="60">
        <v>2</v>
      </c>
      <c r="G88" s="60">
        <f>SUM(H88:I88)</f>
        <v>463</v>
      </c>
      <c r="H88" s="60">
        <v>0</v>
      </c>
      <c r="I88" s="60">
        <v>463</v>
      </c>
      <c r="J88" s="65" t="s">
        <v>221</v>
      </c>
      <c r="K88" s="66"/>
      <c r="L88" s="55"/>
    </row>
    <row r="89" spans="1:12" ht="12.75" customHeight="1" thickBot="1" x14ac:dyDescent="0.25">
      <c r="A89" s="60">
        <f t="shared" ref="A89:A113" si="23">SUM(B89:C89)</f>
        <v>93</v>
      </c>
      <c r="B89" s="60">
        <f t="shared" ref="B89:C113" si="24">H89+E89</f>
        <v>8</v>
      </c>
      <c r="C89" s="60">
        <f t="shared" si="24"/>
        <v>85</v>
      </c>
      <c r="D89" s="60">
        <f t="shared" ref="D89:D113" si="25">SUM(E89:F89)</f>
        <v>0</v>
      </c>
      <c r="E89" s="60">
        <v>0</v>
      </c>
      <c r="F89" s="60">
        <v>0</v>
      </c>
      <c r="G89" s="60">
        <f t="shared" ref="G89:G113" si="26">SUM(H89:I89)</f>
        <v>93</v>
      </c>
      <c r="H89" s="60">
        <v>8</v>
      </c>
      <c r="I89" s="60">
        <v>85</v>
      </c>
      <c r="J89" s="65" t="s">
        <v>222</v>
      </c>
      <c r="K89" s="66" t="s">
        <v>351</v>
      </c>
      <c r="L89" s="55"/>
    </row>
    <row r="90" spans="1:12" ht="12.75" customHeight="1" thickBot="1" x14ac:dyDescent="0.25">
      <c r="A90" s="60">
        <f t="shared" ref="A90:H90" si="27">SUM(A88:A89)</f>
        <v>558</v>
      </c>
      <c r="B90" s="60">
        <f t="shared" si="27"/>
        <v>8</v>
      </c>
      <c r="C90" s="60">
        <f t="shared" si="27"/>
        <v>550</v>
      </c>
      <c r="D90" s="60">
        <f t="shared" si="27"/>
        <v>2</v>
      </c>
      <c r="E90" s="60">
        <f t="shared" si="27"/>
        <v>0</v>
      </c>
      <c r="F90" s="60">
        <f t="shared" si="27"/>
        <v>2</v>
      </c>
      <c r="G90" s="60">
        <f t="shared" si="27"/>
        <v>556</v>
      </c>
      <c r="H90" s="60">
        <f t="shared" si="27"/>
        <v>8</v>
      </c>
      <c r="I90" s="60">
        <f>SUM(I88:I89)</f>
        <v>548</v>
      </c>
      <c r="J90" s="65" t="s">
        <v>13</v>
      </c>
      <c r="K90" s="67"/>
      <c r="L90" s="55"/>
    </row>
    <row r="91" spans="1:12" ht="12.75" customHeight="1" thickBot="1" x14ac:dyDescent="0.25">
      <c r="A91" s="60">
        <f t="shared" si="23"/>
        <v>302</v>
      </c>
      <c r="B91" s="60">
        <f t="shared" si="24"/>
        <v>175</v>
      </c>
      <c r="C91" s="60">
        <f t="shared" si="24"/>
        <v>127</v>
      </c>
      <c r="D91" s="60">
        <f t="shared" si="25"/>
        <v>9</v>
      </c>
      <c r="E91" s="60">
        <v>2</v>
      </c>
      <c r="F91" s="60">
        <v>7</v>
      </c>
      <c r="G91" s="60">
        <f t="shared" si="26"/>
        <v>293</v>
      </c>
      <c r="H91" s="60">
        <v>173</v>
      </c>
      <c r="I91" s="60">
        <v>120</v>
      </c>
      <c r="J91" s="65" t="s">
        <v>221</v>
      </c>
      <c r="K91" s="66"/>
      <c r="L91" s="55"/>
    </row>
    <row r="92" spans="1:12" ht="12.75" customHeight="1" thickBot="1" x14ac:dyDescent="0.25">
      <c r="A92" s="60">
        <f t="shared" si="23"/>
        <v>83</v>
      </c>
      <c r="B92" s="60">
        <f t="shared" si="24"/>
        <v>36</v>
      </c>
      <c r="C92" s="60">
        <f t="shared" si="24"/>
        <v>47</v>
      </c>
      <c r="D92" s="60">
        <f t="shared" si="25"/>
        <v>0</v>
      </c>
      <c r="E92" s="60">
        <v>0</v>
      </c>
      <c r="F92" s="60">
        <v>0</v>
      </c>
      <c r="G92" s="60">
        <f t="shared" si="26"/>
        <v>83</v>
      </c>
      <c r="H92" s="60">
        <v>36</v>
      </c>
      <c r="I92" s="60">
        <v>47</v>
      </c>
      <c r="J92" s="65" t="s">
        <v>222</v>
      </c>
      <c r="K92" s="66" t="s">
        <v>352</v>
      </c>
      <c r="L92" s="55"/>
    </row>
    <row r="93" spans="1:12" ht="12.75" customHeight="1" thickBot="1" x14ac:dyDescent="0.25">
      <c r="A93" s="60">
        <f t="shared" ref="A93:H93" si="28">SUM(A91:A92)</f>
        <v>385</v>
      </c>
      <c r="B93" s="60">
        <f t="shared" si="28"/>
        <v>211</v>
      </c>
      <c r="C93" s="60">
        <f t="shared" si="28"/>
        <v>174</v>
      </c>
      <c r="D93" s="60">
        <f t="shared" si="28"/>
        <v>9</v>
      </c>
      <c r="E93" s="60">
        <f t="shared" si="28"/>
        <v>2</v>
      </c>
      <c r="F93" s="60">
        <f t="shared" si="28"/>
        <v>7</v>
      </c>
      <c r="G93" s="60">
        <f t="shared" si="28"/>
        <v>376</v>
      </c>
      <c r="H93" s="60">
        <f t="shared" si="28"/>
        <v>209</v>
      </c>
      <c r="I93" s="60">
        <f>SUM(I91:I92)</f>
        <v>167</v>
      </c>
      <c r="J93" s="65" t="s">
        <v>13</v>
      </c>
      <c r="K93" s="67"/>
      <c r="L93" s="55"/>
    </row>
    <row r="94" spans="1:12" ht="12.75" customHeight="1" thickBot="1" x14ac:dyDescent="0.25">
      <c r="A94" s="60">
        <f t="shared" si="23"/>
        <v>642</v>
      </c>
      <c r="B94" s="60">
        <f t="shared" si="24"/>
        <v>408</v>
      </c>
      <c r="C94" s="60">
        <f t="shared" si="24"/>
        <v>234</v>
      </c>
      <c r="D94" s="60">
        <f t="shared" si="25"/>
        <v>17</v>
      </c>
      <c r="E94" s="60">
        <v>2</v>
      </c>
      <c r="F94" s="60">
        <v>15</v>
      </c>
      <c r="G94" s="60">
        <f t="shared" si="26"/>
        <v>625</v>
      </c>
      <c r="H94" s="60">
        <v>406</v>
      </c>
      <c r="I94" s="60">
        <v>219</v>
      </c>
      <c r="J94" s="65" t="s">
        <v>221</v>
      </c>
      <c r="K94" s="66"/>
      <c r="L94" s="55"/>
    </row>
    <row r="95" spans="1:12" ht="12.75" customHeight="1" thickBot="1" x14ac:dyDescent="0.25">
      <c r="A95" s="60">
        <f t="shared" si="23"/>
        <v>128</v>
      </c>
      <c r="B95" s="60">
        <f t="shared" si="24"/>
        <v>67</v>
      </c>
      <c r="C95" s="60">
        <f t="shared" si="24"/>
        <v>61</v>
      </c>
      <c r="D95" s="60">
        <f t="shared" si="25"/>
        <v>0</v>
      </c>
      <c r="E95" s="60">
        <v>0</v>
      </c>
      <c r="F95" s="60">
        <v>0</v>
      </c>
      <c r="G95" s="60">
        <f t="shared" si="26"/>
        <v>128</v>
      </c>
      <c r="H95" s="60">
        <v>67</v>
      </c>
      <c r="I95" s="60">
        <v>61</v>
      </c>
      <c r="J95" s="65" t="s">
        <v>222</v>
      </c>
      <c r="K95" s="66" t="s">
        <v>353</v>
      </c>
      <c r="L95" s="55"/>
    </row>
    <row r="96" spans="1:12" ht="12.75" customHeight="1" thickBot="1" x14ac:dyDescent="0.25">
      <c r="A96" s="60">
        <f t="shared" ref="A96:H96" si="29">SUM(A94:A95)</f>
        <v>770</v>
      </c>
      <c r="B96" s="60">
        <f t="shared" si="29"/>
        <v>475</v>
      </c>
      <c r="C96" s="60">
        <f t="shared" si="29"/>
        <v>295</v>
      </c>
      <c r="D96" s="60">
        <f t="shared" si="29"/>
        <v>17</v>
      </c>
      <c r="E96" s="60">
        <f t="shared" si="29"/>
        <v>2</v>
      </c>
      <c r="F96" s="60">
        <f t="shared" si="29"/>
        <v>15</v>
      </c>
      <c r="G96" s="60">
        <f t="shared" si="29"/>
        <v>753</v>
      </c>
      <c r="H96" s="60">
        <f t="shared" si="29"/>
        <v>473</v>
      </c>
      <c r="I96" s="60">
        <f>SUM(I94:I95)</f>
        <v>280</v>
      </c>
      <c r="J96" s="65" t="s">
        <v>13</v>
      </c>
      <c r="K96" s="67"/>
      <c r="L96" s="55"/>
    </row>
    <row r="97" spans="1:12" ht="12.75" customHeight="1" thickBot="1" x14ac:dyDescent="0.25">
      <c r="A97" s="60">
        <f t="shared" si="23"/>
        <v>252</v>
      </c>
      <c r="B97" s="60">
        <f t="shared" si="24"/>
        <v>190</v>
      </c>
      <c r="C97" s="60">
        <f t="shared" si="24"/>
        <v>62</v>
      </c>
      <c r="D97" s="60">
        <f t="shared" si="25"/>
        <v>1</v>
      </c>
      <c r="E97" s="60">
        <v>1</v>
      </c>
      <c r="F97" s="60">
        <v>0</v>
      </c>
      <c r="G97" s="60">
        <f t="shared" si="26"/>
        <v>251</v>
      </c>
      <c r="H97" s="60">
        <v>189</v>
      </c>
      <c r="I97" s="60">
        <v>62</v>
      </c>
      <c r="J97" s="65" t="s">
        <v>221</v>
      </c>
      <c r="K97" s="66"/>
      <c r="L97" s="55"/>
    </row>
    <row r="98" spans="1:12" ht="12.75" customHeight="1" thickBot="1" x14ac:dyDescent="0.25">
      <c r="A98" s="60">
        <f t="shared" si="23"/>
        <v>0</v>
      </c>
      <c r="B98" s="60">
        <f t="shared" si="24"/>
        <v>0</v>
      </c>
      <c r="C98" s="60">
        <f t="shared" si="24"/>
        <v>0</v>
      </c>
      <c r="D98" s="60">
        <f t="shared" si="25"/>
        <v>0</v>
      </c>
      <c r="E98" s="60">
        <v>0</v>
      </c>
      <c r="F98" s="60">
        <v>0</v>
      </c>
      <c r="G98" s="60">
        <f t="shared" si="26"/>
        <v>0</v>
      </c>
      <c r="H98" s="60">
        <v>0</v>
      </c>
      <c r="I98" s="60">
        <v>0</v>
      </c>
      <c r="J98" s="65" t="s">
        <v>222</v>
      </c>
      <c r="K98" s="66" t="s">
        <v>354</v>
      </c>
      <c r="L98" s="55"/>
    </row>
    <row r="99" spans="1:12" ht="12.75" customHeight="1" thickBot="1" x14ac:dyDescent="0.25">
      <c r="A99" s="60">
        <f t="shared" ref="A99:H99" si="30">SUM(A97:A98)</f>
        <v>252</v>
      </c>
      <c r="B99" s="60">
        <f t="shared" si="30"/>
        <v>190</v>
      </c>
      <c r="C99" s="60">
        <f t="shared" si="30"/>
        <v>62</v>
      </c>
      <c r="D99" s="60">
        <f t="shared" si="30"/>
        <v>1</v>
      </c>
      <c r="E99" s="60">
        <f t="shared" si="30"/>
        <v>1</v>
      </c>
      <c r="F99" s="60">
        <f t="shared" si="30"/>
        <v>0</v>
      </c>
      <c r="G99" s="60">
        <f t="shared" si="30"/>
        <v>251</v>
      </c>
      <c r="H99" s="60">
        <f t="shared" si="30"/>
        <v>189</v>
      </c>
      <c r="I99" s="60">
        <f>SUM(I97:I98)</f>
        <v>62</v>
      </c>
      <c r="J99" s="65" t="s">
        <v>13</v>
      </c>
      <c r="K99" s="67"/>
      <c r="L99" s="55"/>
    </row>
    <row r="100" spans="1:12" ht="12.75" customHeight="1" thickBot="1" x14ac:dyDescent="0.25">
      <c r="A100" s="60">
        <f t="shared" si="23"/>
        <v>180</v>
      </c>
      <c r="B100" s="60">
        <f t="shared" si="24"/>
        <v>124</v>
      </c>
      <c r="C100" s="60">
        <f t="shared" si="24"/>
        <v>56</v>
      </c>
      <c r="D100" s="60">
        <f t="shared" si="25"/>
        <v>0</v>
      </c>
      <c r="E100" s="60">
        <v>0</v>
      </c>
      <c r="F100" s="60">
        <v>0</v>
      </c>
      <c r="G100" s="60">
        <f t="shared" si="26"/>
        <v>180</v>
      </c>
      <c r="H100" s="60">
        <v>124</v>
      </c>
      <c r="I100" s="60">
        <v>56</v>
      </c>
      <c r="J100" s="65" t="s">
        <v>221</v>
      </c>
      <c r="K100" s="66"/>
      <c r="L100" s="55"/>
    </row>
    <row r="101" spans="1:12" ht="12.75" customHeight="1" thickBot="1" x14ac:dyDescent="0.25">
      <c r="A101" s="60">
        <f t="shared" si="23"/>
        <v>0</v>
      </c>
      <c r="B101" s="60">
        <f t="shared" si="24"/>
        <v>0</v>
      </c>
      <c r="C101" s="60">
        <f t="shared" si="24"/>
        <v>0</v>
      </c>
      <c r="D101" s="60">
        <f t="shared" si="25"/>
        <v>0</v>
      </c>
      <c r="E101" s="60">
        <v>0</v>
      </c>
      <c r="F101" s="60">
        <v>0</v>
      </c>
      <c r="G101" s="60">
        <f t="shared" si="26"/>
        <v>0</v>
      </c>
      <c r="H101" s="60">
        <v>0</v>
      </c>
      <c r="I101" s="60">
        <v>0</v>
      </c>
      <c r="J101" s="65" t="s">
        <v>222</v>
      </c>
      <c r="K101" s="66" t="s">
        <v>355</v>
      </c>
      <c r="L101" s="55"/>
    </row>
    <row r="102" spans="1:12" ht="12.75" customHeight="1" thickBot="1" x14ac:dyDescent="0.25">
      <c r="A102" s="60">
        <f t="shared" ref="A102:H102" si="31">SUM(A100:A101)</f>
        <v>180</v>
      </c>
      <c r="B102" s="60">
        <f t="shared" si="31"/>
        <v>124</v>
      </c>
      <c r="C102" s="60">
        <f t="shared" si="31"/>
        <v>56</v>
      </c>
      <c r="D102" s="60">
        <f t="shared" si="31"/>
        <v>0</v>
      </c>
      <c r="E102" s="60">
        <f t="shared" si="31"/>
        <v>0</v>
      </c>
      <c r="F102" s="60">
        <f t="shared" si="31"/>
        <v>0</v>
      </c>
      <c r="G102" s="60">
        <f t="shared" si="31"/>
        <v>180</v>
      </c>
      <c r="H102" s="60">
        <f t="shared" si="31"/>
        <v>124</v>
      </c>
      <c r="I102" s="60">
        <f>SUM(I100:I101)</f>
        <v>56</v>
      </c>
      <c r="J102" s="65" t="s">
        <v>13</v>
      </c>
      <c r="K102" s="67"/>
      <c r="L102" s="55"/>
    </row>
    <row r="103" spans="1:12" ht="12.75" customHeight="1" thickBot="1" x14ac:dyDescent="0.25">
      <c r="A103" s="60">
        <f t="shared" si="23"/>
        <v>490</v>
      </c>
      <c r="B103" s="60">
        <f t="shared" si="24"/>
        <v>188</v>
      </c>
      <c r="C103" s="60">
        <f t="shared" si="24"/>
        <v>302</v>
      </c>
      <c r="D103" s="60">
        <f t="shared" si="25"/>
        <v>12</v>
      </c>
      <c r="E103" s="60">
        <v>7</v>
      </c>
      <c r="F103" s="60">
        <v>5</v>
      </c>
      <c r="G103" s="60">
        <f t="shared" si="26"/>
        <v>478</v>
      </c>
      <c r="H103" s="60">
        <v>181</v>
      </c>
      <c r="I103" s="60">
        <v>297</v>
      </c>
      <c r="J103" s="65" t="s">
        <v>221</v>
      </c>
      <c r="K103" s="66"/>
      <c r="L103" s="55"/>
    </row>
    <row r="104" spans="1:12" ht="12.75" customHeight="1" thickBot="1" x14ac:dyDescent="0.25">
      <c r="A104" s="60">
        <f t="shared" si="23"/>
        <v>24</v>
      </c>
      <c r="B104" s="60">
        <f t="shared" si="24"/>
        <v>9</v>
      </c>
      <c r="C104" s="60">
        <f t="shared" si="24"/>
        <v>15</v>
      </c>
      <c r="D104" s="60">
        <f t="shared" si="25"/>
        <v>0</v>
      </c>
      <c r="E104" s="60">
        <v>0</v>
      </c>
      <c r="F104" s="60">
        <v>0</v>
      </c>
      <c r="G104" s="60">
        <f t="shared" si="26"/>
        <v>24</v>
      </c>
      <c r="H104" s="60">
        <v>9</v>
      </c>
      <c r="I104" s="60">
        <v>15</v>
      </c>
      <c r="J104" s="65" t="s">
        <v>222</v>
      </c>
      <c r="K104" s="66" t="s">
        <v>356</v>
      </c>
      <c r="L104" s="55"/>
    </row>
    <row r="105" spans="1:12" ht="12.75" customHeight="1" thickBot="1" x14ac:dyDescent="0.25">
      <c r="A105" s="60">
        <f t="shared" ref="A105:H105" si="32">SUM(A103:A104)</f>
        <v>514</v>
      </c>
      <c r="B105" s="60">
        <f t="shared" si="32"/>
        <v>197</v>
      </c>
      <c r="C105" s="60">
        <f t="shared" si="32"/>
        <v>317</v>
      </c>
      <c r="D105" s="60">
        <f t="shared" si="32"/>
        <v>12</v>
      </c>
      <c r="E105" s="60">
        <f t="shared" si="32"/>
        <v>7</v>
      </c>
      <c r="F105" s="60">
        <f t="shared" si="32"/>
        <v>5</v>
      </c>
      <c r="G105" s="60">
        <f t="shared" si="32"/>
        <v>502</v>
      </c>
      <c r="H105" s="60">
        <f t="shared" si="32"/>
        <v>190</v>
      </c>
      <c r="I105" s="60">
        <f>SUM(I103:I104)</f>
        <v>312</v>
      </c>
      <c r="J105" s="65" t="s">
        <v>13</v>
      </c>
      <c r="K105" s="67"/>
      <c r="L105" s="55"/>
    </row>
    <row r="106" spans="1:12" ht="12.75" customHeight="1" thickBot="1" x14ac:dyDescent="0.25">
      <c r="A106" s="60">
        <f t="shared" si="23"/>
        <v>547</v>
      </c>
      <c r="B106" s="60">
        <f t="shared" si="24"/>
        <v>230</v>
      </c>
      <c r="C106" s="60">
        <f t="shared" si="24"/>
        <v>317</v>
      </c>
      <c r="D106" s="60">
        <f t="shared" si="25"/>
        <v>30</v>
      </c>
      <c r="E106" s="60">
        <v>6</v>
      </c>
      <c r="F106" s="60">
        <v>24</v>
      </c>
      <c r="G106" s="60">
        <f t="shared" si="26"/>
        <v>517</v>
      </c>
      <c r="H106" s="60">
        <v>224</v>
      </c>
      <c r="I106" s="60">
        <v>293</v>
      </c>
      <c r="J106" s="65" t="s">
        <v>221</v>
      </c>
      <c r="K106" s="66"/>
      <c r="L106" s="55"/>
    </row>
    <row r="107" spans="1:12" ht="12.75" customHeight="1" thickBot="1" x14ac:dyDescent="0.25">
      <c r="A107" s="60">
        <f t="shared" si="23"/>
        <v>55</v>
      </c>
      <c r="B107" s="60">
        <f t="shared" si="24"/>
        <v>24</v>
      </c>
      <c r="C107" s="60">
        <f t="shared" si="24"/>
        <v>31</v>
      </c>
      <c r="D107" s="60">
        <f t="shared" si="25"/>
        <v>0</v>
      </c>
      <c r="E107" s="60">
        <v>0</v>
      </c>
      <c r="F107" s="60">
        <v>0</v>
      </c>
      <c r="G107" s="60">
        <f t="shared" si="26"/>
        <v>55</v>
      </c>
      <c r="H107" s="60">
        <v>24</v>
      </c>
      <c r="I107" s="60">
        <v>31</v>
      </c>
      <c r="J107" s="65" t="s">
        <v>222</v>
      </c>
      <c r="K107" s="66" t="s">
        <v>348</v>
      </c>
      <c r="L107" s="55"/>
    </row>
    <row r="108" spans="1:12" ht="12.75" customHeight="1" thickBot="1" x14ac:dyDescent="0.25">
      <c r="A108" s="60">
        <f t="shared" ref="A108:H108" si="33">SUM(A106:A107)</f>
        <v>602</v>
      </c>
      <c r="B108" s="60">
        <f t="shared" si="33"/>
        <v>254</v>
      </c>
      <c r="C108" s="60">
        <f t="shared" si="33"/>
        <v>348</v>
      </c>
      <c r="D108" s="60">
        <f t="shared" si="33"/>
        <v>30</v>
      </c>
      <c r="E108" s="60">
        <f t="shared" si="33"/>
        <v>6</v>
      </c>
      <c r="F108" s="60">
        <f t="shared" si="33"/>
        <v>24</v>
      </c>
      <c r="G108" s="60">
        <f t="shared" si="33"/>
        <v>572</v>
      </c>
      <c r="H108" s="60">
        <f t="shared" si="33"/>
        <v>248</v>
      </c>
      <c r="I108" s="60">
        <f>SUM(I106:I107)</f>
        <v>324</v>
      </c>
      <c r="J108" s="65" t="s">
        <v>13</v>
      </c>
      <c r="K108" s="67"/>
      <c r="L108" s="55"/>
    </row>
    <row r="109" spans="1:12" ht="12.75" customHeight="1" thickBot="1" x14ac:dyDescent="0.25">
      <c r="A109" s="60">
        <f t="shared" si="23"/>
        <v>223</v>
      </c>
      <c r="B109" s="60">
        <f t="shared" si="24"/>
        <v>134</v>
      </c>
      <c r="C109" s="60">
        <f t="shared" si="24"/>
        <v>89</v>
      </c>
      <c r="D109" s="60">
        <f t="shared" si="25"/>
        <v>0</v>
      </c>
      <c r="E109" s="60">
        <v>0</v>
      </c>
      <c r="F109" s="60">
        <v>0</v>
      </c>
      <c r="G109" s="60">
        <f t="shared" si="26"/>
        <v>223</v>
      </c>
      <c r="H109" s="60">
        <v>134</v>
      </c>
      <c r="I109" s="60">
        <v>89</v>
      </c>
      <c r="J109" s="65" t="s">
        <v>221</v>
      </c>
      <c r="K109" s="66"/>
      <c r="L109" s="55"/>
    </row>
    <row r="110" spans="1:12" ht="12.75" customHeight="1" thickBot="1" x14ac:dyDescent="0.25">
      <c r="A110" s="60">
        <f t="shared" si="23"/>
        <v>0</v>
      </c>
      <c r="B110" s="60">
        <f t="shared" si="24"/>
        <v>0</v>
      </c>
      <c r="C110" s="60">
        <f t="shared" si="24"/>
        <v>0</v>
      </c>
      <c r="D110" s="60">
        <f t="shared" si="25"/>
        <v>0</v>
      </c>
      <c r="E110" s="60">
        <v>0</v>
      </c>
      <c r="F110" s="60">
        <v>0</v>
      </c>
      <c r="G110" s="60">
        <f t="shared" si="26"/>
        <v>0</v>
      </c>
      <c r="H110" s="60">
        <v>0</v>
      </c>
      <c r="I110" s="60">
        <v>0</v>
      </c>
      <c r="J110" s="65" t="s">
        <v>222</v>
      </c>
      <c r="K110" s="66" t="s">
        <v>357</v>
      </c>
      <c r="L110" s="55"/>
    </row>
    <row r="111" spans="1:12" ht="12.75" customHeight="1" thickBot="1" x14ac:dyDescent="0.25">
      <c r="A111" s="60">
        <f t="shared" ref="A111:H111" si="34">SUM(A109:A110)</f>
        <v>223</v>
      </c>
      <c r="B111" s="60">
        <f t="shared" si="34"/>
        <v>134</v>
      </c>
      <c r="C111" s="60">
        <f t="shared" si="34"/>
        <v>89</v>
      </c>
      <c r="D111" s="60">
        <f t="shared" si="34"/>
        <v>0</v>
      </c>
      <c r="E111" s="60">
        <f t="shared" si="34"/>
        <v>0</v>
      </c>
      <c r="F111" s="60">
        <f t="shared" si="34"/>
        <v>0</v>
      </c>
      <c r="G111" s="60">
        <f t="shared" si="34"/>
        <v>223</v>
      </c>
      <c r="H111" s="60">
        <f t="shared" si="34"/>
        <v>134</v>
      </c>
      <c r="I111" s="60">
        <f>SUM(I109:I110)</f>
        <v>89</v>
      </c>
      <c r="J111" s="65" t="s">
        <v>13</v>
      </c>
      <c r="K111" s="67"/>
      <c r="L111" s="55"/>
    </row>
    <row r="112" spans="1:12" ht="12.75" customHeight="1" thickBot="1" x14ac:dyDescent="0.25">
      <c r="A112" s="60">
        <f t="shared" si="23"/>
        <v>62</v>
      </c>
      <c r="B112" s="60">
        <f t="shared" si="24"/>
        <v>0</v>
      </c>
      <c r="C112" s="60">
        <f t="shared" si="24"/>
        <v>62</v>
      </c>
      <c r="D112" s="60">
        <f t="shared" si="25"/>
        <v>0</v>
      </c>
      <c r="E112" s="60">
        <v>0</v>
      </c>
      <c r="F112" s="60">
        <v>0</v>
      </c>
      <c r="G112" s="60">
        <f t="shared" si="26"/>
        <v>62</v>
      </c>
      <c r="H112" s="60">
        <v>0</v>
      </c>
      <c r="I112" s="60">
        <v>62</v>
      </c>
      <c r="J112" s="65" t="s">
        <v>221</v>
      </c>
      <c r="K112" s="66"/>
      <c r="L112" s="55"/>
    </row>
    <row r="113" spans="1:12" ht="12.75" customHeight="1" thickBot="1" x14ac:dyDescent="0.25">
      <c r="A113" s="60">
        <f t="shared" si="23"/>
        <v>0</v>
      </c>
      <c r="B113" s="60">
        <f t="shared" si="24"/>
        <v>0</v>
      </c>
      <c r="C113" s="60">
        <f t="shared" si="24"/>
        <v>0</v>
      </c>
      <c r="D113" s="60">
        <f t="shared" si="25"/>
        <v>0</v>
      </c>
      <c r="E113" s="60">
        <v>0</v>
      </c>
      <c r="F113" s="60">
        <v>0</v>
      </c>
      <c r="G113" s="60">
        <f t="shared" si="26"/>
        <v>0</v>
      </c>
      <c r="H113" s="60">
        <v>0</v>
      </c>
      <c r="I113" s="60">
        <v>0</v>
      </c>
      <c r="J113" s="65" t="s">
        <v>222</v>
      </c>
      <c r="K113" s="66" t="s">
        <v>358</v>
      </c>
      <c r="L113" s="55"/>
    </row>
    <row r="114" spans="1:12" ht="12.75" customHeight="1" thickBot="1" x14ac:dyDescent="0.25">
      <c r="A114" s="60">
        <f t="shared" ref="A114:H114" si="35">SUM(A112:A113)</f>
        <v>62</v>
      </c>
      <c r="B114" s="60">
        <f t="shared" si="35"/>
        <v>0</v>
      </c>
      <c r="C114" s="60">
        <f t="shared" si="35"/>
        <v>62</v>
      </c>
      <c r="D114" s="60">
        <f t="shared" si="35"/>
        <v>0</v>
      </c>
      <c r="E114" s="60">
        <f t="shared" si="35"/>
        <v>0</v>
      </c>
      <c r="F114" s="60">
        <f t="shared" si="35"/>
        <v>0</v>
      </c>
      <c r="G114" s="60">
        <f t="shared" si="35"/>
        <v>62</v>
      </c>
      <c r="H114" s="60">
        <f t="shared" si="35"/>
        <v>0</v>
      </c>
      <c r="I114" s="60">
        <f>SUM(I112:I113)</f>
        <v>62</v>
      </c>
      <c r="J114" s="65" t="s">
        <v>13</v>
      </c>
      <c r="K114" s="67"/>
      <c r="L114" s="55"/>
    </row>
    <row r="115" spans="1:12" ht="12.75" customHeight="1" thickBot="1" x14ac:dyDescent="0.25">
      <c r="A115" s="60">
        <f t="shared" ref="A115:I117" si="36">A88+A91+A94+A97+A100+A103+A106+A109+A112</f>
        <v>3163</v>
      </c>
      <c r="B115" s="60">
        <f t="shared" si="36"/>
        <v>1449</v>
      </c>
      <c r="C115" s="60">
        <f t="shared" si="36"/>
        <v>1714</v>
      </c>
      <c r="D115" s="60">
        <f t="shared" si="36"/>
        <v>71</v>
      </c>
      <c r="E115" s="60">
        <f t="shared" si="36"/>
        <v>18</v>
      </c>
      <c r="F115" s="60">
        <f t="shared" si="36"/>
        <v>53</v>
      </c>
      <c r="G115" s="60">
        <f t="shared" si="36"/>
        <v>3092</v>
      </c>
      <c r="H115" s="60">
        <f t="shared" si="36"/>
        <v>1431</v>
      </c>
      <c r="I115" s="60">
        <f>I88+I91+I94+I97+I100+I103+I106+I109+I112</f>
        <v>1661</v>
      </c>
      <c r="J115" s="65" t="s">
        <v>224</v>
      </c>
      <c r="K115" s="57"/>
      <c r="L115" s="55"/>
    </row>
    <row r="116" spans="1:12" ht="12.75" customHeight="1" thickBot="1" x14ac:dyDescent="0.25">
      <c r="A116" s="60">
        <f t="shared" si="36"/>
        <v>383</v>
      </c>
      <c r="B116" s="60">
        <f t="shared" si="36"/>
        <v>144</v>
      </c>
      <c r="C116" s="60">
        <f t="shared" si="36"/>
        <v>239</v>
      </c>
      <c r="D116" s="60">
        <f t="shared" si="36"/>
        <v>0</v>
      </c>
      <c r="E116" s="60">
        <f t="shared" si="36"/>
        <v>0</v>
      </c>
      <c r="F116" s="60">
        <f t="shared" si="36"/>
        <v>0</v>
      </c>
      <c r="G116" s="60">
        <f t="shared" si="36"/>
        <v>383</v>
      </c>
      <c r="H116" s="60">
        <f t="shared" si="36"/>
        <v>144</v>
      </c>
      <c r="I116" s="60">
        <f t="shared" si="36"/>
        <v>239</v>
      </c>
      <c r="J116" s="65" t="s">
        <v>225</v>
      </c>
      <c r="K116" s="68" t="s">
        <v>211</v>
      </c>
      <c r="L116" s="55"/>
    </row>
    <row r="117" spans="1:12" ht="12.75" customHeight="1" thickBot="1" x14ac:dyDescent="0.25">
      <c r="A117" s="60">
        <f t="shared" si="36"/>
        <v>3546</v>
      </c>
      <c r="B117" s="60">
        <f t="shared" si="36"/>
        <v>1593</v>
      </c>
      <c r="C117" s="60">
        <f t="shared" si="36"/>
        <v>1953</v>
      </c>
      <c r="D117" s="60">
        <f t="shared" si="36"/>
        <v>71</v>
      </c>
      <c r="E117" s="60">
        <f t="shared" si="36"/>
        <v>18</v>
      </c>
      <c r="F117" s="60">
        <f t="shared" si="36"/>
        <v>53</v>
      </c>
      <c r="G117" s="60">
        <f t="shared" si="36"/>
        <v>3475</v>
      </c>
      <c r="H117" s="60">
        <f t="shared" si="36"/>
        <v>1575</v>
      </c>
      <c r="I117" s="60">
        <f t="shared" si="36"/>
        <v>1900</v>
      </c>
      <c r="J117" s="65" t="s">
        <v>13</v>
      </c>
      <c r="K117" s="59"/>
      <c r="L117" s="55"/>
    </row>
    <row r="118" spans="1:12" ht="12.75" customHeight="1" x14ac:dyDescent="0.2">
      <c r="A118" s="177" t="s">
        <v>597</v>
      </c>
      <c r="B118" s="177"/>
      <c r="C118" s="177"/>
      <c r="D118" s="177"/>
      <c r="E118" s="177"/>
      <c r="F118" s="177"/>
      <c r="G118" s="177"/>
      <c r="H118" s="177"/>
      <c r="I118" s="177"/>
      <c r="J118" s="177"/>
      <c r="K118" s="177"/>
      <c r="L118" s="55"/>
    </row>
    <row r="119" spans="1:12" ht="12.75" customHeight="1" thickBot="1" x14ac:dyDescent="0.25">
      <c r="A119" s="178" t="s">
        <v>598</v>
      </c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55"/>
    </row>
    <row r="120" spans="1:12" ht="12.75" customHeight="1" thickBot="1" x14ac:dyDescent="0.25">
      <c r="A120" s="179" t="s">
        <v>5</v>
      </c>
      <c r="B120" s="179"/>
      <c r="C120" s="179"/>
      <c r="D120" s="179" t="s">
        <v>162</v>
      </c>
      <c r="E120" s="179"/>
      <c r="F120" s="179"/>
      <c r="G120" s="179" t="s">
        <v>163</v>
      </c>
      <c r="H120" s="179"/>
      <c r="I120" s="179"/>
      <c r="J120" s="179" t="s">
        <v>72</v>
      </c>
      <c r="K120" s="179"/>
      <c r="L120" s="55"/>
    </row>
    <row r="121" spans="1:12" ht="12.75" customHeight="1" thickBot="1" x14ac:dyDescent="0.25">
      <c r="A121" s="58" t="s">
        <v>216</v>
      </c>
      <c r="B121" s="58" t="s">
        <v>11</v>
      </c>
      <c r="C121" s="58" t="s">
        <v>10</v>
      </c>
      <c r="D121" s="58" t="s">
        <v>216</v>
      </c>
      <c r="E121" s="58" t="s">
        <v>11</v>
      </c>
      <c r="F121" s="58" t="s">
        <v>10</v>
      </c>
      <c r="G121" s="58" t="s">
        <v>216</v>
      </c>
      <c r="H121" s="58" t="s">
        <v>11</v>
      </c>
      <c r="I121" s="58" t="s">
        <v>10</v>
      </c>
      <c r="J121" s="180" t="s">
        <v>78</v>
      </c>
      <c r="K121" s="180"/>
      <c r="L121" s="55"/>
    </row>
    <row r="122" spans="1:12" ht="12.75" customHeight="1" thickBot="1" x14ac:dyDescent="0.25">
      <c r="A122" s="60">
        <f>C122+B122</f>
        <v>130</v>
      </c>
      <c r="B122" s="60">
        <f>H122+E122</f>
        <v>32</v>
      </c>
      <c r="C122" s="60">
        <f>I122+F122</f>
        <v>98</v>
      </c>
      <c r="D122" s="60">
        <f>F122+E122</f>
        <v>2</v>
      </c>
      <c r="E122" s="60">
        <v>0</v>
      </c>
      <c r="F122" s="60">
        <v>2</v>
      </c>
      <c r="G122" s="60">
        <f>I122+H122</f>
        <v>128</v>
      </c>
      <c r="H122" s="60">
        <v>32</v>
      </c>
      <c r="I122" s="60">
        <v>96</v>
      </c>
      <c r="J122" s="65" t="s">
        <v>221</v>
      </c>
      <c r="K122" s="66"/>
      <c r="L122" s="55"/>
    </row>
    <row r="123" spans="1:12" ht="12.75" customHeight="1" thickBot="1" x14ac:dyDescent="0.25">
      <c r="A123" s="60">
        <f t="shared" ref="A123:A162" si="37">C123+B123</f>
        <v>0</v>
      </c>
      <c r="B123" s="60">
        <f t="shared" ref="B123:C163" si="38">H123+E123</f>
        <v>0</v>
      </c>
      <c r="C123" s="60">
        <f t="shared" si="38"/>
        <v>0</v>
      </c>
      <c r="D123" s="60">
        <f t="shared" ref="D123:D162" si="39">F123+E123</f>
        <v>0</v>
      </c>
      <c r="E123" s="60">
        <v>0</v>
      </c>
      <c r="F123" s="60">
        <v>0</v>
      </c>
      <c r="G123" s="60">
        <f t="shared" ref="G123:G162" si="40">I123+H123</f>
        <v>0</v>
      </c>
      <c r="H123" s="60">
        <v>0</v>
      </c>
      <c r="I123" s="60">
        <v>0</v>
      </c>
      <c r="J123" s="65" t="s">
        <v>222</v>
      </c>
      <c r="K123" s="66" t="s">
        <v>360</v>
      </c>
      <c r="L123" s="55"/>
    </row>
    <row r="124" spans="1:12" ht="12.75" customHeight="1" thickBot="1" x14ac:dyDescent="0.25">
      <c r="A124" s="60">
        <f t="shared" ref="A124:H124" si="41">SUM(A122:A123)</f>
        <v>130</v>
      </c>
      <c r="B124" s="60">
        <f t="shared" si="38"/>
        <v>32</v>
      </c>
      <c r="C124" s="60">
        <f t="shared" si="38"/>
        <v>98</v>
      </c>
      <c r="D124" s="60">
        <f t="shared" si="41"/>
        <v>2</v>
      </c>
      <c r="E124" s="60">
        <f t="shared" si="41"/>
        <v>0</v>
      </c>
      <c r="F124" s="60">
        <f t="shared" si="41"/>
        <v>2</v>
      </c>
      <c r="G124" s="60">
        <f t="shared" si="41"/>
        <v>128</v>
      </c>
      <c r="H124" s="60">
        <f t="shared" si="41"/>
        <v>32</v>
      </c>
      <c r="I124" s="60">
        <f>SUM(I122:I123)</f>
        <v>96</v>
      </c>
      <c r="J124" s="65" t="s">
        <v>13</v>
      </c>
      <c r="K124" s="67"/>
      <c r="L124" s="55"/>
    </row>
    <row r="125" spans="1:12" ht="12.75" customHeight="1" thickBot="1" x14ac:dyDescent="0.25">
      <c r="A125" s="60">
        <f t="shared" si="37"/>
        <v>221</v>
      </c>
      <c r="B125" s="60">
        <f t="shared" si="38"/>
        <v>89</v>
      </c>
      <c r="C125" s="60">
        <f t="shared" si="38"/>
        <v>132</v>
      </c>
      <c r="D125" s="60">
        <f t="shared" si="39"/>
        <v>10</v>
      </c>
      <c r="E125" s="60">
        <v>9</v>
      </c>
      <c r="F125" s="60">
        <v>1</v>
      </c>
      <c r="G125" s="60">
        <f t="shared" si="40"/>
        <v>211</v>
      </c>
      <c r="H125" s="60">
        <v>80</v>
      </c>
      <c r="I125" s="60">
        <v>131</v>
      </c>
      <c r="J125" s="65" t="s">
        <v>221</v>
      </c>
      <c r="K125" s="66"/>
      <c r="L125" s="55"/>
    </row>
    <row r="126" spans="1:12" ht="12.75" customHeight="1" thickBot="1" x14ac:dyDescent="0.25">
      <c r="A126" s="60">
        <f t="shared" si="37"/>
        <v>0</v>
      </c>
      <c r="B126" s="60">
        <f t="shared" si="38"/>
        <v>0</v>
      </c>
      <c r="C126" s="60">
        <f t="shared" si="38"/>
        <v>0</v>
      </c>
      <c r="D126" s="60">
        <f t="shared" si="39"/>
        <v>0</v>
      </c>
      <c r="E126" s="60">
        <v>0</v>
      </c>
      <c r="F126" s="60">
        <v>0</v>
      </c>
      <c r="G126" s="60">
        <f t="shared" si="40"/>
        <v>0</v>
      </c>
      <c r="H126" s="60">
        <v>0</v>
      </c>
      <c r="I126" s="60">
        <v>0</v>
      </c>
      <c r="J126" s="65" t="s">
        <v>222</v>
      </c>
      <c r="K126" s="66" t="s">
        <v>337</v>
      </c>
      <c r="L126" s="55"/>
    </row>
    <row r="127" spans="1:12" ht="12.75" customHeight="1" thickBot="1" x14ac:dyDescent="0.25">
      <c r="A127" s="60">
        <f t="shared" ref="A127" si="42">SUM(A125:A126)</f>
        <v>221</v>
      </c>
      <c r="B127" s="60">
        <f t="shared" si="38"/>
        <v>89</v>
      </c>
      <c r="C127" s="60">
        <f t="shared" si="38"/>
        <v>132</v>
      </c>
      <c r="D127" s="60">
        <f t="shared" ref="D127:H127" si="43">SUM(D125:D126)</f>
        <v>10</v>
      </c>
      <c r="E127" s="60">
        <f t="shared" si="43"/>
        <v>9</v>
      </c>
      <c r="F127" s="60">
        <f t="shared" si="43"/>
        <v>1</v>
      </c>
      <c r="G127" s="60">
        <f t="shared" si="43"/>
        <v>211</v>
      </c>
      <c r="H127" s="60">
        <f t="shared" si="43"/>
        <v>80</v>
      </c>
      <c r="I127" s="60">
        <f>SUM(I125:I126)</f>
        <v>131</v>
      </c>
      <c r="J127" s="65" t="s">
        <v>13</v>
      </c>
      <c r="K127" s="67"/>
      <c r="L127" s="55"/>
    </row>
    <row r="128" spans="1:12" ht="12.75" customHeight="1" thickBot="1" x14ac:dyDescent="0.25">
      <c r="A128" s="60">
        <f t="shared" si="37"/>
        <v>384</v>
      </c>
      <c r="B128" s="60">
        <f t="shared" si="38"/>
        <v>199</v>
      </c>
      <c r="C128" s="60">
        <f t="shared" si="38"/>
        <v>185</v>
      </c>
      <c r="D128" s="60">
        <f t="shared" si="39"/>
        <v>12</v>
      </c>
      <c r="E128" s="60">
        <v>8</v>
      </c>
      <c r="F128" s="60">
        <v>4</v>
      </c>
      <c r="G128" s="60">
        <f t="shared" si="40"/>
        <v>372</v>
      </c>
      <c r="H128" s="60">
        <v>191</v>
      </c>
      <c r="I128" s="60">
        <v>181</v>
      </c>
      <c r="J128" s="65" t="s">
        <v>221</v>
      </c>
      <c r="K128" s="66"/>
      <c r="L128" s="55"/>
    </row>
    <row r="129" spans="1:12" ht="12.75" customHeight="1" thickBot="1" x14ac:dyDescent="0.25">
      <c r="A129" s="60">
        <f t="shared" si="37"/>
        <v>0</v>
      </c>
      <c r="B129" s="60">
        <f t="shared" si="38"/>
        <v>0</v>
      </c>
      <c r="C129" s="60">
        <f t="shared" si="38"/>
        <v>0</v>
      </c>
      <c r="D129" s="60">
        <f t="shared" si="39"/>
        <v>0</v>
      </c>
      <c r="E129" s="60">
        <v>0</v>
      </c>
      <c r="F129" s="60">
        <v>0</v>
      </c>
      <c r="G129" s="60">
        <f t="shared" si="40"/>
        <v>0</v>
      </c>
      <c r="H129" s="60">
        <v>0</v>
      </c>
      <c r="I129" s="60">
        <v>0</v>
      </c>
      <c r="J129" s="65" t="s">
        <v>222</v>
      </c>
      <c r="K129" s="66" t="s">
        <v>354</v>
      </c>
      <c r="L129" s="55"/>
    </row>
    <row r="130" spans="1:12" ht="12.75" customHeight="1" thickBot="1" x14ac:dyDescent="0.25">
      <c r="A130" s="60">
        <f t="shared" ref="A130" si="44">SUM(A128:A129)</f>
        <v>384</v>
      </c>
      <c r="B130" s="60">
        <f t="shared" si="38"/>
        <v>199</v>
      </c>
      <c r="C130" s="60">
        <f t="shared" si="38"/>
        <v>185</v>
      </c>
      <c r="D130" s="60">
        <f t="shared" ref="D130:H130" si="45">SUM(D128:D129)</f>
        <v>12</v>
      </c>
      <c r="E130" s="60">
        <f t="shared" si="45"/>
        <v>8</v>
      </c>
      <c r="F130" s="60">
        <f t="shared" si="45"/>
        <v>4</v>
      </c>
      <c r="G130" s="60">
        <f t="shared" si="45"/>
        <v>372</v>
      </c>
      <c r="H130" s="60">
        <f t="shared" si="45"/>
        <v>191</v>
      </c>
      <c r="I130" s="60">
        <f>SUM(I128:I129)</f>
        <v>181</v>
      </c>
      <c r="J130" s="65" t="s">
        <v>13</v>
      </c>
      <c r="K130" s="67"/>
      <c r="L130" s="55"/>
    </row>
    <row r="131" spans="1:12" ht="12.75" customHeight="1" thickBot="1" x14ac:dyDescent="0.25">
      <c r="A131" s="60">
        <f t="shared" si="37"/>
        <v>1073</v>
      </c>
      <c r="B131" s="60">
        <f t="shared" si="38"/>
        <v>529</v>
      </c>
      <c r="C131" s="60">
        <f t="shared" si="38"/>
        <v>544</v>
      </c>
      <c r="D131" s="60">
        <f t="shared" si="39"/>
        <v>11</v>
      </c>
      <c r="E131" s="60">
        <v>7</v>
      </c>
      <c r="F131" s="60">
        <v>4</v>
      </c>
      <c r="G131" s="60">
        <f t="shared" si="40"/>
        <v>1062</v>
      </c>
      <c r="H131" s="60">
        <v>522</v>
      </c>
      <c r="I131" s="60">
        <f>589-49</f>
        <v>540</v>
      </c>
      <c r="J131" s="65" t="s">
        <v>221</v>
      </c>
      <c r="K131" s="66"/>
      <c r="L131" s="55"/>
    </row>
    <row r="132" spans="1:12" ht="12.75" customHeight="1" thickBot="1" x14ac:dyDescent="0.25">
      <c r="A132" s="60">
        <f t="shared" si="37"/>
        <v>0</v>
      </c>
      <c r="B132" s="60">
        <f t="shared" si="38"/>
        <v>0</v>
      </c>
      <c r="C132" s="60">
        <f t="shared" si="38"/>
        <v>0</v>
      </c>
      <c r="D132" s="60">
        <f t="shared" si="39"/>
        <v>0</v>
      </c>
      <c r="E132" s="60">
        <v>0</v>
      </c>
      <c r="F132" s="60">
        <v>0</v>
      </c>
      <c r="G132" s="60">
        <f t="shared" si="40"/>
        <v>0</v>
      </c>
      <c r="H132" s="60">
        <v>0</v>
      </c>
      <c r="I132" s="60">
        <v>0</v>
      </c>
      <c r="J132" s="65" t="s">
        <v>222</v>
      </c>
      <c r="K132" s="66" t="s">
        <v>363</v>
      </c>
      <c r="L132" s="55"/>
    </row>
    <row r="133" spans="1:12" ht="12.75" customHeight="1" thickBot="1" x14ac:dyDescent="0.25">
      <c r="A133" s="60">
        <f t="shared" ref="A133" si="46">SUM(A131:A132)</f>
        <v>1073</v>
      </c>
      <c r="B133" s="60">
        <f t="shared" si="38"/>
        <v>529</v>
      </c>
      <c r="C133" s="60">
        <f t="shared" si="38"/>
        <v>544</v>
      </c>
      <c r="D133" s="60">
        <f t="shared" ref="D133:H133" si="47">SUM(D131:D132)</f>
        <v>11</v>
      </c>
      <c r="E133" s="60">
        <f t="shared" si="47"/>
        <v>7</v>
      </c>
      <c r="F133" s="60">
        <f t="shared" si="47"/>
        <v>4</v>
      </c>
      <c r="G133" s="60">
        <f t="shared" si="47"/>
        <v>1062</v>
      </c>
      <c r="H133" s="60">
        <f t="shared" si="47"/>
        <v>522</v>
      </c>
      <c r="I133" s="60">
        <f>SUM(I131:I132)</f>
        <v>540</v>
      </c>
      <c r="J133" s="65" t="s">
        <v>13</v>
      </c>
      <c r="K133" s="67"/>
      <c r="L133" s="55"/>
    </row>
    <row r="134" spans="1:12" ht="12.75" customHeight="1" thickBot="1" x14ac:dyDescent="0.25">
      <c r="A134" s="60">
        <f t="shared" si="37"/>
        <v>2013</v>
      </c>
      <c r="B134" s="60">
        <f t="shared" si="38"/>
        <v>1476</v>
      </c>
      <c r="C134" s="60">
        <f t="shared" si="38"/>
        <v>537</v>
      </c>
      <c r="D134" s="60">
        <f t="shared" si="39"/>
        <v>37</v>
      </c>
      <c r="E134" s="60">
        <v>11</v>
      </c>
      <c r="F134" s="60">
        <v>26</v>
      </c>
      <c r="G134" s="60">
        <f t="shared" si="40"/>
        <v>1976</v>
      </c>
      <c r="H134" s="60">
        <v>1465</v>
      </c>
      <c r="I134" s="60">
        <v>511</v>
      </c>
      <c r="J134" s="65" t="s">
        <v>221</v>
      </c>
      <c r="K134" s="66"/>
      <c r="L134" s="55"/>
    </row>
    <row r="135" spans="1:12" ht="12.75" customHeight="1" thickBot="1" x14ac:dyDescent="0.25">
      <c r="A135" s="60">
        <f t="shared" si="37"/>
        <v>0</v>
      </c>
      <c r="B135" s="60">
        <f t="shared" si="38"/>
        <v>0</v>
      </c>
      <c r="C135" s="60">
        <f t="shared" si="38"/>
        <v>0</v>
      </c>
      <c r="D135" s="60">
        <f t="shared" si="39"/>
        <v>0</v>
      </c>
      <c r="E135" s="60">
        <v>0</v>
      </c>
      <c r="F135" s="60">
        <v>0</v>
      </c>
      <c r="G135" s="60">
        <f t="shared" si="40"/>
        <v>0</v>
      </c>
      <c r="H135" s="60">
        <v>0</v>
      </c>
      <c r="I135" s="60">
        <v>0</v>
      </c>
      <c r="J135" s="65" t="s">
        <v>222</v>
      </c>
      <c r="K135" s="66" t="s">
        <v>364</v>
      </c>
      <c r="L135" s="55"/>
    </row>
    <row r="136" spans="1:12" ht="12.75" customHeight="1" thickBot="1" x14ac:dyDescent="0.25">
      <c r="A136" s="60">
        <f t="shared" ref="A136" si="48">SUM(A134:A135)</f>
        <v>2013</v>
      </c>
      <c r="B136" s="60">
        <f t="shared" si="38"/>
        <v>1476</v>
      </c>
      <c r="C136" s="60">
        <f t="shared" si="38"/>
        <v>537</v>
      </c>
      <c r="D136" s="60">
        <f t="shared" ref="D136:H136" si="49">SUM(D134:D135)</f>
        <v>37</v>
      </c>
      <c r="E136" s="60">
        <f t="shared" si="49"/>
        <v>11</v>
      </c>
      <c r="F136" s="60">
        <f t="shared" si="49"/>
        <v>26</v>
      </c>
      <c r="G136" s="60">
        <f t="shared" si="49"/>
        <v>1976</v>
      </c>
      <c r="H136" s="60">
        <f t="shared" si="49"/>
        <v>1465</v>
      </c>
      <c r="I136" s="60">
        <f>SUM(I134:I135)</f>
        <v>511</v>
      </c>
      <c r="J136" s="65" t="s">
        <v>13</v>
      </c>
      <c r="K136" s="67"/>
      <c r="L136" s="55"/>
    </row>
    <row r="137" spans="1:12" ht="12.75" customHeight="1" thickBot="1" x14ac:dyDescent="0.25">
      <c r="A137" s="60">
        <f t="shared" si="37"/>
        <v>92</v>
      </c>
      <c r="B137" s="60">
        <f t="shared" si="38"/>
        <v>45</v>
      </c>
      <c r="C137" s="60">
        <f t="shared" si="38"/>
        <v>47</v>
      </c>
      <c r="D137" s="60">
        <f t="shared" si="39"/>
        <v>0</v>
      </c>
      <c r="E137" s="60">
        <v>0</v>
      </c>
      <c r="F137" s="60">
        <v>0</v>
      </c>
      <c r="G137" s="60">
        <f t="shared" si="40"/>
        <v>92</v>
      </c>
      <c r="H137" s="60">
        <v>45</v>
      </c>
      <c r="I137" s="60">
        <v>47</v>
      </c>
      <c r="J137" s="65" t="s">
        <v>221</v>
      </c>
      <c r="K137" s="66"/>
      <c r="L137" s="55"/>
    </row>
    <row r="138" spans="1:12" ht="12.75" customHeight="1" thickBot="1" x14ac:dyDescent="0.25">
      <c r="A138" s="60">
        <f t="shared" si="37"/>
        <v>0</v>
      </c>
      <c r="B138" s="60">
        <f t="shared" si="38"/>
        <v>0</v>
      </c>
      <c r="C138" s="60">
        <f t="shared" si="38"/>
        <v>0</v>
      </c>
      <c r="D138" s="60">
        <f t="shared" si="39"/>
        <v>0</v>
      </c>
      <c r="E138" s="60">
        <v>0</v>
      </c>
      <c r="F138" s="60">
        <v>0</v>
      </c>
      <c r="G138" s="60">
        <f t="shared" si="40"/>
        <v>0</v>
      </c>
      <c r="H138" s="60">
        <v>0</v>
      </c>
      <c r="I138" s="60">
        <v>0</v>
      </c>
      <c r="J138" s="65" t="s">
        <v>222</v>
      </c>
      <c r="K138" s="66" t="s">
        <v>244</v>
      </c>
      <c r="L138" s="55"/>
    </row>
    <row r="139" spans="1:12" ht="12.75" customHeight="1" thickBot="1" x14ac:dyDescent="0.25">
      <c r="A139" s="60">
        <f t="shared" ref="A139" si="50">SUM(A137:A138)</f>
        <v>92</v>
      </c>
      <c r="B139" s="60">
        <f t="shared" si="38"/>
        <v>45</v>
      </c>
      <c r="C139" s="60">
        <f t="shared" si="38"/>
        <v>47</v>
      </c>
      <c r="D139" s="60">
        <f t="shared" ref="D139:H139" si="51">SUM(D137:D138)</f>
        <v>0</v>
      </c>
      <c r="E139" s="60">
        <f t="shared" si="51"/>
        <v>0</v>
      </c>
      <c r="F139" s="60">
        <f t="shared" si="51"/>
        <v>0</v>
      </c>
      <c r="G139" s="60">
        <f t="shared" si="51"/>
        <v>92</v>
      </c>
      <c r="H139" s="60">
        <f t="shared" si="51"/>
        <v>45</v>
      </c>
      <c r="I139" s="60">
        <f>SUM(I137:I138)</f>
        <v>47</v>
      </c>
      <c r="J139" s="65" t="s">
        <v>13</v>
      </c>
      <c r="K139" s="67"/>
      <c r="L139" s="55"/>
    </row>
    <row r="140" spans="1:12" ht="12.75" customHeight="1" thickBot="1" x14ac:dyDescent="0.25">
      <c r="A140" s="60">
        <f t="shared" si="37"/>
        <v>627</v>
      </c>
      <c r="B140" s="60">
        <f t="shared" si="38"/>
        <v>258</v>
      </c>
      <c r="C140" s="60">
        <f t="shared" si="38"/>
        <v>369</v>
      </c>
      <c r="D140" s="60">
        <f t="shared" si="39"/>
        <v>28</v>
      </c>
      <c r="E140" s="60">
        <v>18</v>
      </c>
      <c r="F140" s="60">
        <v>10</v>
      </c>
      <c r="G140" s="60">
        <f t="shared" si="40"/>
        <v>599</v>
      </c>
      <c r="H140" s="60">
        <v>240</v>
      </c>
      <c r="I140" s="60">
        <v>359</v>
      </c>
      <c r="J140" s="65" t="s">
        <v>221</v>
      </c>
      <c r="K140" s="66"/>
      <c r="L140" s="55"/>
    </row>
    <row r="141" spans="1:12" ht="12.75" customHeight="1" thickBot="1" x14ac:dyDescent="0.25">
      <c r="A141" s="60">
        <f t="shared" si="37"/>
        <v>0</v>
      </c>
      <c r="B141" s="60">
        <f t="shared" si="38"/>
        <v>0</v>
      </c>
      <c r="C141" s="60">
        <f t="shared" si="38"/>
        <v>0</v>
      </c>
      <c r="D141" s="60">
        <f t="shared" si="39"/>
        <v>0</v>
      </c>
      <c r="E141" s="60">
        <v>0</v>
      </c>
      <c r="F141" s="60">
        <v>0</v>
      </c>
      <c r="G141" s="60">
        <f t="shared" si="40"/>
        <v>0</v>
      </c>
      <c r="H141" s="60">
        <v>0</v>
      </c>
      <c r="I141" s="60">
        <v>0</v>
      </c>
      <c r="J141" s="65" t="s">
        <v>222</v>
      </c>
      <c r="K141" s="66" t="s">
        <v>365</v>
      </c>
      <c r="L141" s="55"/>
    </row>
    <row r="142" spans="1:12" ht="12.75" customHeight="1" thickBot="1" x14ac:dyDescent="0.25">
      <c r="A142" s="60">
        <f t="shared" ref="A142" si="52">SUM(A140:A141)</f>
        <v>627</v>
      </c>
      <c r="B142" s="60">
        <f t="shared" si="38"/>
        <v>258</v>
      </c>
      <c r="C142" s="60">
        <f t="shared" si="38"/>
        <v>369</v>
      </c>
      <c r="D142" s="60">
        <f t="shared" ref="D142:H142" si="53">SUM(D140:D141)</f>
        <v>28</v>
      </c>
      <c r="E142" s="60">
        <f t="shared" si="53"/>
        <v>18</v>
      </c>
      <c r="F142" s="60">
        <f t="shared" si="53"/>
        <v>10</v>
      </c>
      <c r="G142" s="60">
        <f t="shared" si="53"/>
        <v>599</v>
      </c>
      <c r="H142" s="60">
        <f t="shared" si="53"/>
        <v>240</v>
      </c>
      <c r="I142" s="60">
        <f>SUM(I140:I141)</f>
        <v>359</v>
      </c>
      <c r="J142" s="65" t="s">
        <v>13</v>
      </c>
      <c r="K142" s="67"/>
      <c r="L142" s="55"/>
    </row>
    <row r="143" spans="1:12" ht="12.75" customHeight="1" thickBot="1" x14ac:dyDescent="0.25">
      <c r="A143" s="60">
        <f t="shared" si="37"/>
        <v>1582</v>
      </c>
      <c r="B143" s="60">
        <f t="shared" si="38"/>
        <v>667</v>
      </c>
      <c r="C143" s="60">
        <f t="shared" si="38"/>
        <v>915</v>
      </c>
      <c r="D143" s="60">
        <f t="shared" si="39"/>
        <v>19</v>
      </c>
      <c r="E143" s="60">
        <v>5</v>
      </c>
      <c r="F143" s="60">
        <v>14</v>
      </c>
      <c r="G143" s="60">
        <f t="shared" si="40"/>
        <v>1563</v>
      </c>
      <c r="H143" s="60">
        <v>662</v>
      </c>
      <c r="I143" s="60">
        <f>951-50</f>
        <v>901</v>
      </c>
      <c r="J143" s="65" t="s">
        <v>221</v>
      </c>
      <c r="K143" s="66"/>
      <c r="L143" s="55"/>
    </row>
    <row r="144" spans="1:12" ht="12.75" customHeight="1" thickBot="1" x14ac:dyDescent="0.25">
      <c r="A144" s="60">
        <f t="shared" si="37"/>
        <v>0</v>
      </c>
      <c r="B144" s="60">
        <f t="shared" si="38"/>
        <v>0</v>
      </c>
      <c r="C144" s="60">
        <f t="shared" si="38"/>
        <v>0</v>
      </c>
      <c r="D144" s="60">
        <f t="shared" si="39"/>
        <v>0</v>
      </c>
      <c r="E144" s="60">
        <v>0</v>
      </c>
      <c r="F144" s="60">
        <v>0</v>
      </c>
      <c r="G144" s="60">
        <f t="shared" si="40"/>
        <v>0</v>
      </c>
      <c r="H144" s="60">
        <v>0</v>
      </c>
      <c r="I144" s="60">
        <v>0</v>
      </c>
      <c r="J144" s="65" t="s">
        <v>222</v>
      </c>
      <c r="K144" s="66" t="s">
        <v>366</v>
      </c>
      <c r="L144" s="55"/>
    </row>
    <row r="145" spans="1:12" ht="12.75" customHeight="1" thickBot="1" x14ac:dyDescent="0.25">
      <c r="A145" s="60">
        <f t="shared" ref="A145" si="54">SUM(A143:A144)</f>
        <v>1582</v>
      </c>
      <c r="B145" s="60">
        <f t="shared" si="38"/>
        <v>667</v>
      </c>
      <c r="C145" s="60">
        <f t="shared" si="38"/>
        <v>915</v>
      </c>
      <c r="D145" s="60">
        <f t="shared" ref="D145:H145" si="55">SUM(D143:D144)</f>
        <v>19</v>
      </c>
      <c r="E145" s="60">
        <f t="shared" si="55"/>
        <v>5</v>
      </c>
      <c r="F145" s="60">
        <f t="shared" si="55"/>
        <v>14</v>
      </c>
      <c r="G145" s="60">
        <f t="shared" si="55"/>
        <v>1563</v>
      </c>
      <c r="H145" s="60">
        <f t="shared" si="55"/>
        <v>662</v>
      </c>
      <c r="I145" s="60">
        <f>SUM(I143:I144)</f>
        <v>901</v>
      </c>
      <c r="J145" s="65" t="s">
        <v>13</v>
      </c>
      <c r="K145" s="67"/>
      <c r="L145" s="55"/>
    </row>
    <row r="146" spans="1:12" ht="12.75" customHeight="1" thickBot="1" x14ac:dyDescent="0.25">
      <c r="A146" s="60">
        <f t="shared" si="37"/>
        <v>373</v>
      </c>
      <c r="B146" s="60">
        <f t="shared" si="38"/>
        <v>195</v>
      </c>
      <c r="C146" s="60">
        <f t="shared" si="38"/>
        <v>178</v>
      </c>
      <c r="D146" s="60">
        <f t="shared" si="39"/>
        <v>4</v>
      </c>
      <c r="E146" s="60">
        <v>2</v>
      </c>
      <c r="F146" s="60">
        <v>2</v>
      </c>
      <c r="G146" s="60">
        <f t="shared" si="40"/>
        <v>369</v>
      </c>
      <c r="H146" s="60">
        <v>193</v>
      </c>
      <c r="I146" s="60">
        <v>176</v>
      </c>
      <c r="J146" s="65" t="s">
        <v>221</v>
      </c>
      <c r="K146" s="66"/>
      <c r="L146" s="55"/>
    </row>
    <row r="147" spans="1:12" ht="12.75" customHeight="1" thickBot="1" x14ac:dyDescent="0.25">
      <c r="A147" s="60">
        <f t="shared" si="37"/>
        <v>0</v>
      </c>
      <c r="B147" s="60">
        <f t="shared" si="38"/>
        <v>0</v>
      </c>
      <c r="C147" s="60">
        <f t="shared" si="38"/>
        <v>0</v>
      </c>
      <c r="D147" s="60">
        <f t="shared" si="39"/>
        <v>0</v>
      </c>
      <c r="E147" s="60">
        <v>0</v>
      </c>
      <c r="F147" s="60">
        <v>0</v>
      </c>
      <c r="G147" s="60">
        <f t="shared" si="40"/>
        <v>0</v>
      </c>
      <c r="H147" s="60">
        <v>0</v>
      </c>
      <c r="I147" s="60">
        <v>0</v>
      </c>
      <c r="J147" s="65" t="s">
        <v>222</v>
      </c>
      <c r="K147" s="66" t="s">
        <v>355</v>
      </c>
      <c r="L147" s="55"/>
    </row>
    <row r="148" spans="1:12" ht="12.75" customHeight="1" thickBot="1" x14ac:dyDescent="0.25">
      <c r="A148" s="60">
        <f t="shared" ref="A148" si="56">SUM(A146:A147)</f>
        <v>373</v>
      </c>
      <c r="B148" s="60">
        <f t="shared" si="38"/>
        <v>195</v>
      </c>
      <c r="C148" s="60">
        <f t="shared" si="38"/>
        <v>178</v>
      </c>
      <c r="D148" s="60">
        <f t="shared" ref="D148:H148" si="57">SUM(D146:D147)</f>
        <v>4</v>
      </c>
      <c r="E148" s="60">
        <f t="shared" si="57"/>
        <v>2</v>
      </c>
      <c r="F148" s="60">
        <f t="shared" si="57"/>
        <v>2</v>
      </c>
      <c r="G148" s="60">
        <f t="shared" si="57"/>
        <v>369</v>
      </c>
      <c r="H148" s="60">
        <f t="shared" si="57"/>
        <v>193</v>
      </c>
      <c r="I148" s="60">
        <f>SUM(I146:I147)</f>
        <v>176</v>
      </c>
      <c r="J148" s="65" t="s">
        <v>13</v>
      </c>
      <c r="K148" s="67"/>
      <c r="L148" s="55"/>
    </row>
    <row r="149" spans="1:12" ht="12.75" customHeight="1" thickBot="1" x14ac:dyDescent="0.25">
      <c r="A149" s="60">
        <f t="shared" si="37"/>
        <v>112</v>
      </c>
      <c r="B149" s="60">
        <f t="shared" si="38"/>
        <v>0</v>
      </c>
      <c r="C149" s="60">
        <f t="shared" si="38"/>
        <v>112</v>
      </c>
      <c r="D149" s="60">
        <f t="shared" si="39"/>
        <v>2</v>
      </c>
      <c r="E149" s="60">
        <v>0</v>
      </c>
      <c r="F149" s="60">
        <v>2</v>
      </c>
      <c r="G149" s="60">
        <f t="shared" si="40"/>
        <v>110</v>
      </c>
      <c r="H149" s="60">
        <v>0</v>
      </c>
      <c r="I149" s="60">
        <v>110</v>
      </c>
      <c r="J149" s="65" t="s">
        <v>221</v>
      </c>
      <c r="K149" s="66"/>
      <c r="L149" s="55"/>
    </row>
    <row r="150" spans="1:12" ht="12.75" customHeight="1" thickBot="1" x14ac:dyDescent="0.25">
      <c r="A150" s="60">
        <f t="shared" si="37"/>
        <v>0</v>
      </c>
      <c r="B150" s="60">
        <f t="shared" si="38"/>
        <v>0</v>
      </c>
      <c r="C150" s="60">
        <f t="shared" si="38"/>
        <v>0</v>
      </c>
      <c r="D150" s="60">
        <f t="shared" si="39"/>
        <v>0</v>
      </c>
      <c r="E150" s="60">
        <v>0</v>
      </c>
      <c r="F150" s="60">
        <v>0</v>
      </c>
      <c r="G150" s="60">
        <f t="shared" si="40"/>
        <v>0</v>
      </c>
      <c r="H150" s="60">
        <v>0</v>
      </c>
      <c r="I150" s="60">
        <v>0</v>
      </c>
      <c r="J150" s="65" t="s">
        <v>222</v>
      </c>
      <c r="K150" s="66" t="s">
        <v>535</v>
      </c>
      <c r="L150" s="55"/>
    </row>
    <row r="151" spans="1:12" ht="12.75" customHeight="1" thickBot="1" x14ac:dyDescent="0.25">
      <c r="A151" s="60">
        <f t="shared" ref="A151" si="58">SUM(A149:A150)</f>
        <v>112</v>
      </c>
      <c r="B151" s="60">
        <f t="shared" si="38"/>
        <v>0</v>
      </c>
      <c r="C151" s="60">
        <f t="shared" si="38"/>
        <v>112</v>
      </c>
      <c r="D151" s="60">
        <f t="shared" ref="D151:H151" si="59">SUM(D149:D150)</f>
        <v>2</v>
      </c>
      <c r="E151" s="60">
        <f t="shared" si="59"/>
        <v>0</v>
      </c>
      <c r="F151" s="60">
        <f t="shared" si="59"/>
        <v>2</v>
      </c>
      <c r="G151" s="60">
        <f t="shared" si="59"/>
        <v>110</v>
      </c>
      <c r="H151" s="60">
        <f t="shared" si="59"/>
        <v>0</v>
      </c>
      <c r="I151" s="60">
        <f>SUM(I149:I150)</f>
        <v>110</v>
      </c>
      <c r="J151" s="65" t="s">
        <v>13</v>
      </c>
      <c r="K151" s="67"/>
      <c r="L151" s="55"/>
    </row>
    <row r="152" spans="1:12" ht="12.75" customHeight="1" thickBot="1" x14ac:dyDescent="0.25">
      <c r="A152" s="60">
        <f t="shared" si="37"/>
        <v>437</v>
      </c>
      <c r="B152" s="60">
        <f t="shared" si="38"/>
        <v>0</v>
      </c>
      <c r="C152" s="60">
        <f t="shared" si="38"/>
        <v>437</v>
      </c>
      <c r="D152" s="60">
        <f t="shared" si="39"/>
        <v>1</v>
      </c>
      <c r="E152" s="60">
        <v>0</v>
      </c>
      <c r="F152" s="60">
        <v>1</v>
      </c>
      <c r="G152" s="60">
        <f t="shared" si="40"/>
        <v>436</v>
      </c>
      <c r="H152" s="60">
        <v>0</v>
      </c>
      <c r="I152" s="60">
        <v>436</v>
      </c>
      <c r="J152" s="65" t="s">
        <v>221</v>
      </c>
      <c r="K152" s="66"/>
      <c r="L152" s="55"/>
    </row>
    <row r="153" spans="1:12" ht="12.75" customHeight="1" thickBot="1" x14ac:dyDescent="0.25">
      <c r="A153" s="60">
        <f t="shared" si="37"/>
        <v>0</v>
      </c>
      <c r="B153" s="60">
        <f t="shared" si="38"/>
        <v>0</v>
      </c>
      <c r="C153" s="60">
        <f t="shared" si="38"/>
        <v>0</v>
      </c>
      <c r="D153" s="60">
        <f t="shared" si="39"/>
        <v>0</v>
      </c>
      <c r="E153" s="60">
        <v>0</v>
      </c>
      <c r="F153" s="60">
        <v>0</v>
      </c>
      <c r="G153" s="60">
        <f t="shared" si="40"/>
        <v>0</v>
      </c>
      <c r="H153" s="60">
        <v>0</v>
      </c>
      <c r="I153" s="60">
        <v>0</v>
      </c>
      <c r="J153" s="65" t="s">
        <v>222</v>
      </c>
      <c r="K153" s="66" t="s">
        <v>377</v>
      </c>
      <c r="L153" s="55"/>
    </row>
    <row r="154" spans="1:12" ht="12.75" customHeight="1" thickBot="1" x14ac:dyDescent="0.25">
      <c r="A154" s="60">
        <f t="shared" ref="A154" si="60">SUM(A152:A153)</f>
        <v>437</v>
      </c>
      <c r="B154" s="60">
        <f t="shared" si="38"/>
        <v>0</v>
      </c>
      <c r="C154" s="60">
        <f t="shared" si="38"/>
        <v>437</v>
      </c>
      <c r="D154" s="60">
        <f t="shared" ref="D154:H154" si="61">SUM(D152:D153)</f>
        <v>1</v>
      </c>
      <c r="E154" s="60">
        <f t="shared" si="61"/>
        <v>0</v>
      </c>
      <c r="F154" s="60">
        <f t="shared" si="61"/>
        <v>1</v>
      </c>
      <c r="G154" s="60">
        <f t="shared" si="61"/>
        <v>436</v>
      </c>
      <c r="H154" s="60">
        <f t="shared" si="61"/>
        <v>0</v>
      </c>
      <c r="I154" s="60">
        <f>SUM(I152:I153)</f>
        <v>436</v>
      </c>
      <c r="J154" s="65" t="s">
        <v>13</v>
      </c>
      <c r="K154" s="67"/>
      <c r="L154" s="55"/>
    </row>
    <row r="155" spans="1:12" ht="12.75" customHeight="1" thickBot="1" x14ac:dyDescent="0.25">
      <c r="A155" s="60">
        <f t="shared" si="37"/>
        <v>514</v>
      </c>
      <c r="B155" s="60">
        <f t="shared" si="38"/>
        <v>283</v>
      </c>
      <c r="C155" s="60">
        <f t="shared" si="38"/>
        <v>231</v>
      </c>
      <c r="D155" s="60">
        <f t="shared" si="39"/>
        <v>9</v>
      </c>
      <c r="E155" s="60">
        <v>7</v>
      </c>
      <c r="F155" s="60">
        <v>2</v>
      </c>
      <c r="G155" s="60">
        <f t="shared" si="40"/>
        <v>505</v>
      </c>
      <c r="H155" s="60">
        <v>276</v>
      </c>
      <c r="I155" s="60">
        <v>229</v>
      </c>
      <c r="J155" s="65" t="s">
        <v>221</v>
      </c>
      <c r="K155" s="66"/>
      <c r="L155" s="55"/>
    </row>
    <row r="156" spans="1:12" ht="12.75" customHeight="1" thickBot="1" x14ac:dyDescent="0.25">
      <c r="A156" s="60">
        <f t="shared" si="37"/>
        <v>0</v>
      </c>
      <c r="B156" s="60">
        <f t="shared" si="38"/>
        <v>0</v>
      </c>
      <c r="C156" s="60">
        <f t="shared" si="38"/>
        <v>0</v>
      </c>
      <c r="D156" s="60">
        <f t="shared" si="39"/>
        <v>0</v>
      </c>
      <c r="E156" s="60">
        <v>0</v>
      </c>
      <c r="F156" s="60">
        <v>0</v>
      </c>
      <c r="G156" s="60">
        <f t="shared" si="40"/>
        <v>0</v>
      </c>
      <c r="H156" s="60">
        <v>0</v>
      </c>
      <c r="I156" s="60">
        <v>0</v>
      </c>
      <c r="J156" s="65" t="s">
        <v>222</v>
      </c>
      <c r="K156" s="66" t="s">
        <v>536</v>
      </c>
      <c r="L156" s="55"/>
    </row>
    <row r="157" spans="1:12" ht="12.75" customHeight="1" thickBot="1" x14ac:dyDescent="0.25">
      <c r="A157" s="60">
        <f t="shared" ref="A157" si="62">SUM(A155:A156)</f>
        <v>514</v>
      </c>
      <c r="B157" s="60">
        <f t="shared" si="38"/>
        <v>283</v>
      </c>
      <c r="C157" s="60">
        <f t="shared" si="38"/>
        <v>231</v>
      </c>
      <c r="D157" s="60">
        <f t="shared" ref="D157:H157" si="63">SUM(D155:D156)</f>
        <v>9</v>
      </c>
      <c r="E157" s="60">
        <f t="shared" si="63"/>
        <v>7</v>
      </c>
      <c r="F157" s="60">
        <f t="shared" si="63"/>
        <v>2</v>
      </c>
      <c r="G157" s="60">
        <f t="shared" si="63"/>
        <v>505</v>
      </c>
      <c r="H157" s="60">
        <f t="shared" si="63"/>
        <v>276</v>
      </c>
      <c r="I157" s="60">
        <f>SUM(I155:I156)</f>
        <v>229</v>
      </c>
      <c r="J157" s="65" t="s">
        <v>13</v>
      </c>
      <c r="K157" s="67"/>
      <c r="L157" s="55"/>
    </row>
    <row r="158" spans="1:12" ht="12.75" customHeight="1" thickBot="1" x14ac:dyDescent="0.25">
      <c r="A158" s="60">
        <f t="shared" si="37"/>
        <v>106</v>
      </c>
      <c r="B158" s="60">
        <f t="shared" si="38"/>
        <v>89</v>
      </c>
      <c r="C158" s="60">
        <f t="shared" si="38"/>
        <v>17</v>
      </c>
      <c r="D158" s="60">
        <f t="shared" si="39"/>
        <v>1</v>
      </c>
      <c r="E158" s="60">
        <v>1</v>
      </c>
      <c r="F158" s="60">
        <v>0</v>
      </c>
      <c r="G158" s="60">
        <f t="shared" si="40"/>
        <v>105</v>
      </c>
      <c r="H158" s="60">
        <v>88</v>
      </c>
      <c r="I158" s="60">
        <v>17</v>
      </c>
      <c r="J158" s="65" t="s">
        <v>221</v>
      </c>
      <c r="K158" s="66"/>
      <c r="L158" s="55"/>
    </row>
    <row r="159" spans="1:12" ht="12.75" customHeight="1" thickBot="1" x14ac:dyDescent="0.25">
      <c r="A159" s="60">
        <f t="shared" si="37"/>
        <v>0</v>
      </c>
      <c r="B159" s="60">
        <f t="shared" si="38"/>
        <v>0</v>
      </c>
      <c r="C159" s="60">
        <f t="shared" si="38"/>
        <v>0</v>
      </c>
      <c r="D159" s="60">
        <f t="shared" si="39"/>
        <v>0</v>
      </c>
      <c r="E159" s="60">
        <v>0</v>
      </c>
      <c r="F159" s="60">
        <v>0</v>
      </c>
      <c r="G159" s="60">
        <f t="shared" si="40"/>
        <v>0</v>
      </c>
      <c r="H159" s="60">
        <v>0</v>
      </c>
      <c r="I159" s="60">
        <v>0</v>
      </c>
      <c r="J159" s="65" t="s">
        <v>222</v>
      </c>
      <c r="K159" s="66" t="s">
        <v>367</v>
      </c>
      <c r="L159" s="55"/>
    </row>
    <row r="160" spans="1:12" ht="12.75" customHeight="1" thickBot="1" x14ac:dyDescent="0.25">
      <c r="A160" s="60">
        <f t="shared" ref="A160" si="64">SUM(A158:A159)</f>
        <v>106</v>
      </c>
      <c r="B160" s="60">
        <f t="shared" si="38"/>
        <v>89</v>
      </c>
      <c r="C160" s="60">
        <f t="shared" si="38"/>
        <v>17</v>
      </c>
      <c r="D160" s="60">
        <f t="shared" ref="D160:H160" si="65">SUM(D158:D159)</f>
        <v>1</v>
      </c>
      <c r="E160" s="60">
        <f t="shared" si="65"/>
        <v>1</v>
      </c>
      <c r="F160" s="60">
        <f t="shared" si="65"/>
        <v>0</v>
      </c>
      <c r="G160" s="60">
        <f t="shared" si="65"/>
        <v>105</v>
      </c>
      <c r="H160" s="60">
        <f t="shared" si="65"/>
        <v>88</v>
      </c>
      <c r="I160" s="60">
        <f>SUM(I158:I159)</f>
        <v>17</v>
      </c>
      <c r="J160" s="65" t="s">
        <v>13</v>
      </c>
      <c r="K160" s="67"/>
      <c r="L160" s="55"/>
    </row>
    <row r="161" spans="1:12" ht="12.75" customHeight="1" thickBot="1" x14ac:dyDescent="0.25">
      <c r="A161" s="60">
        <f t="shared" si="37"/>
        <v>5</v>
      </c>
      <c r="B161" s="60">
        <f t="shared" si="38"/>
        <v>0</v>
      </c>
      <c r="C161" s="60">
        <f t="shared" si="38"/>
        <v>5</v>
      </c>
      <c r="D161" s="60">
        <f t="shared" si="39"/>
        <v>0</v>
      </c>
      <c r="E161" s="60">
        <v>0</v>
      </c>
      <c r="F161" s="60">
        <v>0</v>
      </c>
      <c r="G161" s="60">
        <f t="shared" si="40"/>
        <v>5</v>
      </c>
      <c r="H161" s="60">
        <v>0</v>
      </c>
      <c r="I161" s="60">
        <v>5</v>
      </c>
      <c r="J161" s="65" t="s">
        <v>221</v>
      </c>
      <c r="K161" s="66"/>
      <c r="L161" s="55"/>
    </row>
    <row r="162" spans="1:12" ht="12.75" customHeight="1" thickBot="1" x14ac:dyDescent="0.25">
      <c r="A162" s="60">
        <f t="shared" si="37"/>
        <v>0</v>
      </c>
      <c r="B162" s="60">
        <f t="shared" si="38"/>
        <v>0</v>
      </c>
      <c r="C162" s="60">
        <f t="shared" si="38"/>
        <v>0</v>
      </c>
      <c r="D162" s="60">
        <f t="shared" si="39"/>
        <v>0</v>
      </c>
      <c r="E162" s="60">
        <v>0</v>
      </c>
      <c r="F162" s="60">
        <v>0</v>
      </c>
      <c r="G162" s="60">
        <f t="shared" si="40"/>
        <v>0</v>
      </c>
      <c r="H162" s="60">
        <v>0</v>
      </c>
      <c r="I162" s="60">
        <v>0</v>
      </c>
      <c r="J162" s="65" t="s">
        <v>222</v>
      </c>
      <c r="K162" s="66" t="s">
        <v>368</v>
      </c>
      <c r="L162" s="55"/>
    </row>
    <row r="163" spans="1:12" ht="12.75" customHeight="1" thickBot="1" x14ac:dyDescent="0.25">
      <c r="A163" s="60">
        <f t="shared" ref="A163" si="66">SUM(A161:A162)</f>
        <v>5</v>
      </c>
      <c r="B163" s="60">
        <f t="shared" si="38"/>
        <v>0</v>
      </c>
      <c r="C163" s="60">
        <f t="shared" si="38"/>
        <v>5</v>
      </c>
      <c r="D163" s="60">
        <f t="shared" ref="D163:H163" si="67">SUM(D161:D162)</f>
        <v>0</v>
      </c>
      <c r="E163" s="60">
        <f t="shared" si="67"/>
        <v>0</v>
      </c>
      <c r="F163" s="60">
        <f t="shared" si="67"/>
        <v>0</v>
      </c>
      <c r="G163" s="60">
        <f t="shared" si="67"/>
        <v>5</v>
      </c>
      <c r="H163" s="60">
        <f t="shared" si="67"/>
        <v>0</v>
      </c>
      <c r="I163" s="60">
        <f>SUM(I161:I162)</f>
        <v>5</v>
      </c>
      <c r="J163" s="65" t="s">
        <v>13</v>
      </c>
      <c r="K163" s="67"/>
      <c r="L163" s="55"/>
    </row>
    <row r="164" spans="1:12" ht="12.75" customHeight="1" thickBot="1" x14ac:dyDescent="0.25">
      <c r="A164" s="60">
        <f t="shared" ref="A164:A165" si="68">C164+B164</f>
        <v>313</v>
      </c>
      <c r="B164" s="60">
        <f t="shared" ref="B164:C172" si="69">H164+E164</f>
        <v>81</v>
      </c>
      <c r="C164" s="60">
        <f t="shared" si="69"/>
        <v>232</v>
      </c>
      <c r="D164" s="60">
        <f t="shared" ref="D164:D165" si="70">F164+E164</f>
        <v>2</v>
      </c>
      <c r="E164" s="60">
        <v>2</v>
      </c>
      <c r="F164" s="60">
        <v>0</v>
      </c>
      <c r="G164" s="60">
        <f t="shared" ref="G164:G165" si="71">I164+H164</f>
        <v>311</v>
      </c>
      <c r="H164" s="60">
        <v>79</v>
      </c>
      <c r="I164" s="60">
        <v>232</v>
      </c>
      <c r="J164" s="65" t="s">
        <v>221</v>
      </c>
      <c r="K164" s="66"/>
      <c r="L164" s="55"/>
    </row>
    <row r="165" spans="1:12" ht="12.75" customHeight="1" thickBot="1" x14ac:dyDescent="0.25">
      <c r="A165" s="60">
        <f t="shared" si="68"/>
        <v>0</v>
      </c>
      <c r="B165" s="60">
        <f t="shared" si="69"/>
        <v>0</v>
      </c>
      <c r="C165" s="60">
        <f t="shared" si="69"/>
        <v>0</v>
      </c>
      <c r="D165" s="60">
        <f t="shared" si="70"/>
        <v>0</v>
      </c>
      <c r="E165" s="60">
        <v>0</v>
      </c>
      <c r="F165" s="60">
        <v>0</v>
      </c>
      <c r="G165" s="60">
        <f t="shared" si="71"/>
        <v>0</v>
      </c>
      <c r="H165" s="60">
        <v>0</v>
      </c>
      <c r="I165" s="60">
        <v>0</v>
      </c>
      <c r="J165" s="65" t="s">
        <v>222</v>
      </c>
      <c r="K165" s="66" t="s">
        <v>263</v>
      </c>
      <c r="L165" s="55"/>
    </row>
    <row r="166" spans="1:12" ht="12.75" customHeight="1" thickBot="1" x14ac:dyDescent="0.25">
      <c r="A166" s="60">
        <f t="shared" ref="A166" si="72">SUM(A164:A165)</f>
        <v>313</v>
      </c>
      <c r="B166" s="60">
        <f t="shared" si="69"/>
        <v>81</v>
      </c>
      <c r="C166" s="60">
        <f t="shared" si="69"/>
        <v>232</v>
      </c>
      <c r="D166" s="60">
        <f t="shared" ref="D166:H166" si="73">SUM(D164:D165)</f>
        <v>2</v>
      </c>
      <c r="E166" s="60">
        <f t="shared" si="73"/>
        <v>2</v>
      </c>
      <c r="F166" s="60">
        <f t="shared" si="73"/>
        <v>0</v>
      </c>
      <c r="G166" s="60">
        <f t="shared" si="73"/>
        <v>311</v>
      </c>
      <c r="H166" s="60">
        <f t="shared" si="73"/>
        <v>79</v>
      </c>
      <c r="I166" s="60">
        <f>SUM(I164:I165)</f>
        <v>232</v>
      </c>
      <c r="J166" s="65" t="s">
        <v>13</v>
      </c>
      <c r="K166" s="67"/>
      <c r="L166" s="55"/>
    </row>
    <row r="167" spans="1:12" ht="12.75" customHeight="1" thickBot="1" x14ac:dyDescent="0.25">
      <c r="A167" s="60">
        <f t="shared" ref="A167:A168" si="74">C167+B167</f>
        <v>115</v>
      </c>
      <c r="B167" s="60">
        <f t="shared" si="69"/>
        <v>0</v>
      </c>
      <c r="C167" s="60">
        <f t="shared" si="69"/>
        <v>115</v>
      </c>
      <c r="D167" s="60">
        <f t="shared" ref="D167:D168" si="75">F167+E167</f>
        <v>0</v>
      </c>
      <c r="E167" s="60">
        <v>0</v>
      </c>
      <c r="F167" s="60">
        <v>0</v>
      </c>
      <c r="G167" s="60">
        <f t="shared" ref="G167:G168" si="76">I167+H167</f>
        <v>115</v>
      </c>
      <c r="H167" s="60">
        <v>0</v>
      </c>
      <c r="I167" s="60">
        <v>115</v>
      </c>
      <c r="J167" s="65" t="s">
        <v>221</v>
      </c>
      <c r="K167" s="66"/>
      <c r="L167" s="55"/>
    </row>
    <row r="168" spans="1:12" ht="12.75" customHeight="1" thickBot="1" x14ac:dyDescent="0.25">
      <c r="A168" s="60">
        <f t="shared" si="74"/>
        <v>0</v>
      </c>
      <c r="B168" s="60">
        <f t="shared" si="69"/>
        <v>0</v>
      </c>
      <c r="C168" s="60">
        <f t="shared" si="69"/>
        <v>0</v>
      </c>
      <c r="D168" s="60">
        <f t="shared" si="75"/>
        <v>0</v>
      </c>
      <c r="E168" s="60">
        <v>0</v>
      </c>
      <c r="F168" s="60">
        <v>0</v>
      </c>
      <c r="G168" s="60">
        <f t="shared" si="76"/>
        <v>0</v>
      </c>
      <c r="H168" s="60">
        <v>0</v>
      </c>
      <c r="I168" s="60">
        <v>0</v>
      </c>
      <c r="J168" s="65" t="s">
        <v>222</v>
      </c>
      <c r="K168" s="66" t="s">
        <v>601</v>
      </c>
      <c r="L168" s="55"/>
    </row>
    <row r="169" spans="1:12" ht="12.75" customHeight="1" thickBot="1" x14ac:dyDescent="0.25">
      <c r="A169" s="60">
        <f t="shared" ref="A169" si="77">SUM(A167:A168)</f>
        <v>115</v>
      </c>
      <c r="B169" s="60">
        <f t="shared" si="69"/>
        <v>0</v>
      </c>
      <c r="C169" s="60">
        <f t="shared" si="69"/>
        <v>115</v>
      </c>
      <c r="D169" s="60">
        <f t="shared" ref="D169:H169" si="78">SUM(D167:D168)</f>
        <v>0</v>
      </c>
      <c r="E169" s="60">
        <f t="shared" si="78"/>
        <v>0</v>
      </c>
      <c r="F169" s="60">
        <f t="shared" si="78"/>
        <v>0</v>
      </c>
      <c r="G169" s="60">
        <f t="shared" si="78"/>
        <v>115</v>
      </c>
      <c r="H169" s="60">
        <f t="shared" si="78"/>
        <v>0</v>
      </c>
      <c r="I169" s="60">
        <f>SUM(I167:I168)</f>
        <v>115</v>
      </c>
      <c r="J169" s="65" t="s">
        <v>13</v>
      </c>
      <c r="K169" s="67"/>
      <c r="L169" s="55"/>
    </row>
    <row r="170" spans="1:12" ht="12.75" customHeight="1" thickBot="1" x14ac:dyDescent="0.25">
      <c r="A170" s="60">
        <f t="shared" ref="A170:A171" si="79">C170+B170</f>
        <v>780</v>
      </c>
      <c r="B170" s="60">
        <f t="shared" si="69"/>
        <v>0</v>
      </c>
      <c r="C170" s="60">
        <f t="shared" si="69"/>
        <v>780</v>
      </c>
      <c r="D170" s="60">
        <f t="shared" ref="D170:D171" si="80">F170+E170</f>
        <v>19</v>
      </c>
      <c r="E170" s="60">
        <v>0</v>
      </c>
      <c r="F170" s="60">
        <v>19</v>
      </c>
      <c r="G170" s="60">
        <f t="shared" ref="G170:G171" si="81">I170+H170</f>
        <v>761</v>
      </c>
      <c r="H170" s="60">
        <v>0</v>
      </c>
      <c r="I170" s="60">
        <v>761</v>
      </c>
      <c r="J170" s="65" t="s">
        <v>221</v>
      </c>
      <c r="K170" s="66"/>
      <c r="L170" s="55"/>
    </row>
    <row r="171" spans="1:12" ht="12.75" customHeight="1" thickBot="1" x14ac:dyDescent="0.25">
      <c r="A171" s="60">
        <f t="shared" si="79"/>
        <v>0</v>
      </c>
      <c r="B171" s="60">
        <f t="shared" si="69"/>
        <v>0</v>
      </c>
      <c r="C171" s="60">
        <f t="shared" si="69"/>
        <v>0</v>
      </c>
      <c r="D171" s="60">
        <f t="shared" si="80"/>
        <v>0</v>
      </c>
      <c r="E171" s="60">
        <v>0</v>
      </c>
      <c r="F171" s="60">
        <v>0</v>
      </c>
      <c r="G171" s="60">
        <f t="shared" si="81"/>
        <v>0</v>
      </c>
      <c r="H171" s="60">
        <v>0</v>
      </c>
      <c r="I171" s="60">
        <v>0</v>
      </c>
      <c r="J171" s="65" t="s">
        <v>222</v>
      </c>
      <c r="K171" s="66" t="s">
        <v>247</v>
      </c>
      <c r="L171" s="55"/>
    </row>
    <row r="172" spans="1:12" ht="12.75" customHeight="1" thickBot="1" x14ac:dyDescent="0.25">
      <c r="A172" s="60">
        <f t="shared" ref="A172" si="82">SUM(A170:A171)</f>
        <v>780</v>
      </c>
      <c r="B172" s="60">
        <f t="shared" si="69"/>
        <v>0</v>
      </c>
      <c r="C172" s="60">
        <f t="shared" si="69"/>
        <v>780</v>
      </c>
      <c r="D172" s="60">
        <f t="shared" ref="D172:H172" si="83">SUM(D170:D171)</f>
        <v>19</v>
      </c>
      <c r="E172" s="60">
        <f t="shared" si="83"/>
        <v>0</v>
      </c>
      <c r="F172" s="60">
        <f t="shared" si="83"/>
        <v>19</v>
      </c>
      <c r="G172" s="60">
        <f t="shared" si="83"/>
        <v>761</v>
      </c>
      <c r="H172" s="60">
        <f t="shared" si="83"/>
        <v>0</v>
      </c>
      <c r="I172" s="60">
        <f>SUM(I170:I171)</f>
        <v>761</v>
      </c>
      <c r="J172" s="65" t="s">
        <v>13</v>
      </c>
      <c r="K172" s="67"/>
      <c r="L172" s="55"/>
    </row>
    <row r="173" spans="1:12" ht="12.75" customHeight="1" thickBot="1" x14ac:dyDescent="0.25">
      <c r="A173" s="60">
        <f t="shared" ref="A173:I175" si="84">A122+A125+A128+A131+A134+A137+A140+A143+A146+A149+A152+A155+A158+A161+A164+A167+A170</f>
        <v>8877</v>
      </c>
      <c r="B173" s="60">
        <f t="shared" si="84"/>
        <v>3943</v>
      </c>
      <c r="C173" s="60">
        <f t="shared" si="84"/>
        <v>4934</v>
      </c>
      <c r="D173" s="60">
        <f t="shared" si="84"/>
        <v>157</v>
      </c>
      <c r="E173" s="60">
        <f t="shared" si="84"/>
        <v>70</v>
      </c>
      <c r="F173" s="60">
        <f t="shared" si="84"/>
        <v>87</v>
      </c>
      <c r="G173" s="60">
        <f t="shared" si="84"/>
        <v>8720</v>
      </c>
      <c r="H173" s="60">
        <f t="shared" si="84"/>
        <v>3873</v>
      </c>
      <c r="I173" s="60">
        <f>I122+I125+I128+I131+I134+I137+I140+I143+I146+I149+I152+I155+I158+I161+I164+I167+I170</f>
        <v>4847</v>
      </c>
      <c r="J173" s="65" t="s">
        <v>224</v>
      </c>
      <c r="K173" s="57"/>
      <c r="L173" s="55"/>
    </row>
    <row r="174" spans="1:12" ht="12.75" customHeight="1" thickBot="1" x14ac:dyDescent="0.25">
      <c r="A174" s="60">
        <f t="shared" si="84"/>
        <v>0</v>
      </c>
      <c r="B174" s="60">
        <f t="shared" si="84"/>
        <v>0</v>
      </c>
      <c r="C174" s="60">
        <f t="shared" si="84"/>
        <v>0</v>
      </c>
      <c r="D174" s="60">
        <f t="shared" si="84"/>
        <v>0</v>
      </c>
      <c r="E174" s="60">
        <f t="shared" si="84"/>
        <v>0</v>
      </c>
      <c r="F174" s="60">
        <f t="shared" si="84"/>
        <v>0</v>
      </c>
      <c r="G174" s="60">
        <f t="shared" si="84"/>
        <v>0</v>
      </c>
      <c r="H174" s="60">
        <f t="shared" si="84"/>
        <v>0</v>
      </c>
      <c r="I174" s="60">
        <f t="shared" si="84"/>
        <v>0</v>
      </c>
      <c r="J174" s="65" t="s">
        <v>225</v>
      </c>
      <c r="K174" s="68" t="s">
        <v>211</v>
      </c>
      <c r="L174" s="55"/>
    </row>
    <row r="175" spans="1:12" ht="12.75" customHeight="1" thickBot="1" x14ac:dyDescent="0.25">
      <c r="A175" s="60">
        <f t="shared" si="84"/>
        <v>8877</v>
      </c>
      <c r="B175" s="60">
        <f t="shared" si="84"/>
        <v>3943</v>
      </c>
      <c r="C175" s="60">
        <f t="shared" si="84"/>
        <v>4934</v>
      </c>
      <c r="D175" s="60">
        <f t="shared" si="84"/>
        <v>157</v>
      </c>
      <c r="E175" s="60">
        <f t="shared" si="84"/>
        <v>70</v>
      </c>
      <c r="F175" s="60">
        <f t="shared" si="84"/>
        <v>87</v>
      </c>
      <c r="G175" s="60">
        <f t="shared" si="84"/>
        <v>8720</v>
      </c>
      <c r="H175" s="60">
        <f t="shared" si="84"/>
        <v>3873</v>
      </c>
      <c r="I175" s="60">
        <f t="shared" si="84"/>
        <v>4847</v>
      </c>
      <c r="J175" s="65" t="s">
        <v>13</v>
      </c>
      <c r="K175" s="59"/>
      <c r="L175" s="55"/>
    </row>
    <row r="176" spans="1:12" ht="12.75" customHeight="1" x14ac:dyDescent="0.2">
      <c r="A176" s="177" t="s">
        <v>597</v>
      </c>
      <c r="B176" s="177"/>
      <c r="C176" s="177"/>
      <c r="D176" s="177"/>
      <c r="E176" s="177"/>
      <c r="F176" s="177"/>
      <c r="G176" s="177"/>
      <c r="H176" s="177"/>
      <c r="I176" s="177"/>
      <c r="J176" s="177"/>
      <c r="K176" s="177"/>
      <c r="L176" s="55"/>
    </row>
    <row r="177" spans="1:12" ht="12.75" customHeight="1" thickBot="1" x14ac:dyDescent="0.25">
      <c r="A177" s="178" t="s">
        <v>598</v>
      </c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55"/>
    </row>
    <row r="178" spans="1:12" ht="12.75" customHeight="1" thickBot="1" x14ac:dyDescent="0.25">
      <c r="A178" s="179" t="s">
        <v>5</v>
      </c>
      <c r="B178" s="179"/>
      <c r="C178" s="179"/>
      <c r="D178" s="179" t="s">
        <v>162</v>
      </c>
      <c r="E178" s="179"/>
      <c r="F178" s="179"/>
      <c r="G178" s="179" t="s">
        <v>163</v>
      </c>
      <c r="H178" s="179"/>
      <c r="I178" s="179"/>
      <c r="J178" s="179" t="s">
        <v>72</v>
      </c>
      <c r="K178" s="179"/>
      <c r="L178" s="55"/>
    </row>
    <row r="179" spans="1:12" ht="12.75" customHeight="1" thickBot="1" x14ac:dyDescent="0.25">
      <c r="A179" s="58" t="s">
        <v>216</v>
      </c>
      <c r="B179" s="58" t="s">
        <v>11</v>
      </c>
      <c r="C179" s="58" t="s">
        <v>10</v>
      </c>
      <c r="D179" s="58" t="s">
        <v>216</v>
      </c>
      <c r="E179" s="58" t="s">
        <v>11</v>
      </c>
      <c r="F179" s="58" t="s">
        <v>10</v>
      </c>
      <c r="G179" s="58" t="s">
        <v>216</v>
      </c>
      <c r="H179" s="58" t="s">
        <v>11</v>
      </c>
      <c r="I179" s="58" t="s">
        <v>10</v>
      </c>
      <c r="J179" s="180" t="s">
        <v>79</v>
      </c>
      <c r="K179" s="180"/>
      <c r="L179" s="55"/>
    </row>
    <row r="180" spans="1:12" ht="12.75" customHeight="1" thickBot="1" x14ac:dyDescent="0.25">
      <c r="A180" s="60">
        <f>SUM(B180:C180)</f>
        <v>1670</v>
      </c>
      <c r="B180" s="60">
        <f>H180+E180</f>
        <v>1077</v>
      </c>
      <c r="C180" s="60">
        <f>I180+F180</f>
        <v>593</v>
      </c>
      <c r="D180" s="60">
        <f>SUM(E180:F180)</f>
        <v>41</v>
      </c>
      <c r="E180" s="60">
        <v>38</v>
      </c>
      <c r="F180" s="60">
        <v>3</v>
      </c>
      <c r="G180" s="60">
        <f>SUM(H180:I180)</f>
        <v>1629</v>
      </c>
      <c r="H180" s="60">
        <f>1154-115</f>
        <v>1039</v>
      </c>
      <c r="I180" s="60">
        <f>660-70</f>
        <v>590</v>
      </c>
      <c r="J180" s="65" t="s">
        <v>221</v>
      </c>
      <c r="K180" s="66"/>
      <c r="L180" s="55"/>
    </row>
    <row r="181" spans="1:12" ht="12.75" customHeight="1" thickBot="1" x14ac:dyDescent="0.25">
      <c r="A181" s="60">
        <f t="shared" ref="A181:A238" si="85">SUM(B181:C181)</f>
        <v>0</v>
      </c>
      <c r="B181" s="60">
        <f t="shared" ref="B181:C238" si="86">H181+E181</f>
        <v>0</v>
      </c>
      <c r="C181" s="60">
        <f t="shared" si="86"/>
        <v>0</v>
      </c>
      <c r="D181" s="60">
        <f t="shared" ref="D181:D238" si="87">SUM(E181:F181)</f>
        <v>0</v>
      </c>
      <c r="E181" s="60">
        <v>0</v>
      </c>
      <c r="F181" s="60">
        <v>0</v>
      </c>
      <c r="G181" s="60">
        <f t="shared" ref="G181:G238" si="88">SUM(H181:I181)</f>
        <v>0</v>
      </c>
      <c r="H181" s="60">
        <v>0</v>
      </c>
      <c r="I181" s="60">
        <v>0</v>
      </c>
      <c r="J181" s="65" t="s">
        <v>222</v>
      </c>
      <c r="K181" s="66" t="s">
        <v>375</v>
      </c>
      <c r="L181" s="55"/>
    </row>
    <row r="182" spans="1:12" ht="12.75" customHeight="1" thickBot="1" x14ac:dyDescent="0.25">
      <c r="A182" s="60">
        <f t="shared" ref="A182:H182" si="89">SUM(A180:A181)</f>
        <v>1670</v>
      </c>
      <c r="B182" s="60">
        <f t="shared" si="89"/>
        <v>1077</v>
      </c>
      <c r="C182" s="60">
        <f t="shared" si="89"/>
        <v>593</v>
      </c>
      <c r="D182" s="60">
        <f t="shared" si="89"/>
        <v>41</v>
      </c>
      <c r="E182" s="60">
        <f t="shared" si="89"/>
        <v>38</v>
      </c>
      <c r="F182" s="60">
        <f t="shared" si="89"/>
        <v>3</v>
      </c>
      <c r="G182" s="60">
        <f t="shared" si="89"/>
        <v>1629</v>
      </c>
      <c r="H182" s="60">
        <f t="shared" si="89"/>
        <v>1039</v>
      </c>
      <c r="I182" s="60">
        <f>SUM(I180:I181)</f>
        <v>590</v>
      </c>
      <c r="J182" s="65" t="s">
        <v>13</v>
      </c>
      <c r="K182" s="67"/>
      <c r="L182" s="55"/>
    </row>
    <row r="183" spans="1:12" ht="12.75" customHeight="1" thickBot="1" x14ac:dyDescent="0.25">
      <c r="A183" s="60">
        <f t="shared" si="85"/>
        <v>279</v>
      </c>
      <c r="B183" s="60">
        <f t="shared" si="86"/>
        <v>132</v>
      </c>
      <c r="C183" s="60">
        <f t="shared" si="86"/>
        <v>147</v>
      </c>
      <c r="D183" s="60">
        <f t="shared" si="87"/>
        <v>13</v>
      </c>
      <c r="E183" s="60">
        <v>9</v>
      </c>
      <c r="F183" s="60">
        <v>4</v>
      </c>
      <c r="G183" s="60">
        <f t="shared" si="88"/>
        <v>266</v>
      </c>
      <c r="H183" s="60">
        <v>123</v>
      </c>
      <c r="I183" s="60">
        <f>173-30</f>
        <v>143</v>
      </c>
      <c r="J183" s="65" t="s">
        <v>221</v>
      </c>
      <c r="K183" s="66"/>
      <c r="L183" s="55"/>
    </row>
    <row r="184" spans="1:12" ht="12.75" customHeight="1" thickBot="1" x14ac:dyDescent="0.25">
      <c r="A184" s="60">
        <f t="shared" si="85"/>
        <v>0</v>
      </c>
      <c r="B184" s="60">
        <f t="shared" si="86"/>
        <v>0</v>
      </c>
      <c r="C184" s="60">
        <f t="shared" si="86"/>
        <v>0</v>
      </c>
      <c r="D184" s="60">
        <f t="shared" si="87"/>
        <v>0</v>
      </c>
      <c r="E184" s="60">
        <v>0</v>
      </c>
      <c r="F184" s="60">
        <v>0</v>
      </c>
      <c r="G184" s="60">
        <f t="shared" si="88"/>
        <v>0</v>
      </c>
      <c r="H184" s="60">
        <v>0</v>
      </c>
      <c r="I184" s="60">
        <v>0</v>
      </c>
      <c r="J184" s="65" t="s">
        <v>222</v>
      </c>
      <c r="K184" s="66" t="s">
        <v>263</v>
      </c>
      <c r="L184" s="55"/>
    </row>
    <row r="185" spans="1:12" ht="12.75" customHeight="1" thickBot="1" x14ac:dyDescent="0.25">
      <c r="A185" s="60">
        <f t="shared" ref="A185:H185" si="90">SUM(A183:A184)</f>
        <v>279</v>
      </c>
      <c r="B185" s="60">
        <f t="shared" si="90"/>
        <v>132</v>
      </c>
      <c r="C185" s="60">
        <f t="shared" si="90"/>
        <v>147</v>
      </c>
      <c r="D185" s="60">
        <f t="shared" si="90"/>
        <v>13</v>
      </c>
      <c r="E185" s="60">
        <f t="shared" si="90"/>
        <v>9</v>
      </c>
      <c r="F185" s="60">
        <f t="shared" si="90"/>
        <v>4</v>
      </c>
      <c r="G185" s="60">
        <f t="shared" si="90"/>
        <v>266</v>
      </c>
      <c r="H185" s="60">
        <f t="shared" si="90"/>
        <v>123</v>
      </c>
      <c r="I185" s="60">
        <f>SUM(I183:I184)</f>
        <v>143</v>
      </c>
      <c r="J185" s="65" t="s">
        <v>13</v>
      </c>
      <c r="K185" s="67"/>
      <c r="L185" s="55"/>
    </row>
    <row r="186" spans="1:12" ht="12.75" customHeight="1" thickBot="1" x14ac:dyDescent="0.25">
      <c r="A186" s="60">
        <f t="shared" si="85"/>
        <v>82</v>
      </c>
      <c r="B186" s="60">
        <f t="shared" si="86"/>
        <v>56</v>
      </c>
      <c r="C186" s="60">
        <f t="shared" si="86"/>
        <v>26</v>
      </c>
      <c r="D186" s="60">
        <f t="shared" si="87"/>
        <v>4</v>
      </c>
      <c r="E186" s="60">
        <v>2</v>
      </c>
      <c r="F186" s="60">
        <v>2</v>
      </c>
      <c r="G186" s="60">
        <f t="shared" si="88"/>
        <v>78</v>
      </c>
      <c r="H186" s="60">
        <v>54</v>
      </c>
      <c r="I186" s="60">
        <v>24</v>
      </c>
      <c r="J186" s="65" t="s">
        <v>221</v>
      </c>
      <c r="K186" s="66"/>
      <c r="L186" s="55"/>
    </row>
    <row r="187" spans="1:12" ht="12.75" customHeight="1" thickBot="1" x14ac:dyDescent="0.25">
      <c r="A187" s="60">
        <f t="shared" si="85"/>
        <v>0</v>
      </c>
      <c r="B187" s="60">
        <f t="shared" si="86"/>
        <v>0</v>
      </c>
      <c r="C187" s="60">
        <f t="shared" si="86"/>
        <v>0</v>
      </c>
      <c r="D187" s="60">
        <f t="shared" si="87"/>
        <v>0</v>
      </c>
      <c r="E187" s="60">
        <v>0</v>
      </c>
      <c r="F187" s="60">
        <v>0</v>
      </c>
      <c r="G187" s="60">
        <f t="shared" si="88"/>
        <v>0</v>
      </c>
      <c r="H187" s="60">
        <v>0</v>
      </c>
      <c r="I187" s="60">
        <v>0</v>
      </c>
      <c r="J187" s="65" t="s">
        <v>222</v>
      </c>
      <c r="K187" s="66" t="s">
        <v>376</v>
      </c>
      <c r="L187" s="55"/>
    </row>
    <row r="188" spans="1:12" ht="12.75" customHeight="1" thickBot="1" x14ac:dyDescent="0.25">
      <c r="A188" s="60">
        <f t="shared" ref="A188:H188" si="91">SUM(A186:A187)</f>
        <v>82</v>
      </c>
      <c r="B188" s="60">
        <f t="shared" si="91"/>
        <v>56</v>
      </c>
      <c r="C188" s="60">
        <f t="shared" si="91"/>
        <v>26</v>
      </c>
      <c r="D188" s="60">
        <f t="shared" si="91"/>
        <v>4</v>
      </c>
      <c r="E188" s="60">
        <f t="shared" si="91"/>
        <v>2</v>
      </c>
      <c r="F188" s="60">
        <f t="shared" si="91"/>
        <v>2</v>
      </c>
      <c r="G188" s="60">
        <f t="shared" si="91"/>
        <v>78</v>
      </c>
      <c r="H188" s="60">
        <f t="shared" si="91"/>
        <v>54</v>
      </c>
      <c r="I188" s="60">
        <f>SUM(I186:I187)</f>
        <v>24</v>
      </c>
      <c r="J188" s="65" t="s">
        <v>13</v>
      </c>
      <c r="K188" s="67"/>
      <c r="L188" s="55"/>
    </row>
    <row r="189" spans="1:12" ht="12.75" customHeight="1" thickBot="1" x14ac:dyDescent="0.25">
      <c r="A189" s="60">
        <f t="shared" si="85"/>
        <v>1011</v>
      </c>
      <c r="B189" s="60">
        <f t="shared" si="86"/>
        <v>606</v>
      </c>
      <c r="C189" s="60">
        <f t="shared" si="86"/>
        <v>405</v>
      </c>
      <c r="D189" s="60">
        <f t="shared" si="87"/>
        <v>48</v>
      </c>
      <c r="E189" s="60">
        <v>46</v>
      </c>
      <c r="F189" s="60">
        <v>2</v>
      </c>
      <c r="G189" s="60">
        <f t="shared" si="88"/>
        <v>963</v>
      </c>
      <c r="H189" s="60">
        <v>560</v>
      </c>
      <c r="I189" s="60">
        <v>403</v>
      </c>
      <c r="J189" s="65" t="s">
        <v>221</v>
      </c>
      <c r="K189" s="66"/>
      <c r="L189" s="55"/>
    </row>
    <row r="190" spans="1:12" ht="12.75" customHeight="1" thickBot="1" x14ac:dyDescent="0.25">
      <c r="A190" s="60">
        <f t="shared" si="85"/>
        <v>0</v>
      </c>
      <c r="B190" s="60">
        <f t="shared" si="86"/>
        <v>0</v>
      </c>
      <c r="C190" s="60">
        <f t="shared" si="86"/>
        <v>0</v>
      </c>
      <c r="D190" s="60">
        <f t="shared" si="87"/>
        <v>0</v>
      </c>
      <c r="E190" s="60">
        <v>0</v>
      </c>
      <c r="F190" s="60">
        <v>0</v>
      </c>
      <c r="G190" s="60">
        <f t="shared" si="88"/>
        <v>0</v>
      </c>
      <c r="H190" s="60">
        <v>0</v>
      </c>
      <c r="I190" s="60">
        <v>0</v>
      </c>
      <c r="J190" s="65" t="s">
        <v>222</v>
      </c>
      <c r="K190" s="66" t="s">
        <v>359</v>
      </c>
      <c r="L190" s="55"/>
    </row>
    <row r="191" spans="1:12" ht="12.75" customHeight="1" thickBot="1" x14ac:dyDescent="0.25">
      <c r="A191" s="60">
        <f t="shared" ref="A191:H191" si="92">SUM(A189:A190)</f>
        <v>1011</v>
      </c>
      <c r="B191" s="60">
        <f t="shared" si="92"/>
        <v>606</v>
      </c>
      <c r="C191" s="60">
        <f t="shared" si="92"/>
        <v>405</v>
      </c>
      <c r="D191" s="60">
        <f t="shared" si="92"/>
        <v>48</v>
      </c>
      <c r="E191" s="60">
        <f t="shared" si="92"/>
        <v>46</v>
      </c>
      <c r="F191" s="60">
        <f t="shared" si="92"/>
        <v>2</v>
      </c>
      <c r="G191" s="60">
        <f t="shared" si="92"/>
        <v>963</v>
      </c>
      <c r="H191" s="60">
        <f t="shared" si="92"/>
        <v>560</v>
      </c>
      <c r="I191" s="60">
        <f>SUM(I189:I190)</f>
        <v>403</v>
      </c>
      <c r="J191" s="65" t="s">
        <v>13</v>
      </c>
      <c r="K191" s="67"/>
      <c r="L191" s="55"/>
    </row>
    <row r="192" spans="1:12" ht="12.75" customHeight="1" thickBot="1" x14ac:dyDescent="0.25">
      <c r="A192" s="60">
        <f t="shared" si="85"/>
        <v>370</v>
      </c>
      <c r="B192" s="60">
        <f t="shared" si="86"/>
        <v>0</v>
      </c>
      <c r="C192" s="60">
        <f t="shared" si="86"/>
        <v>370</v>
      </c>
      <c r="D192" s="60">
        <f t="shared" si="87"/>
        <v>5</v>
      </c>
      <c r="E192" s="60">
        <v>0</v>
      </c>
      <c r="F192" s="60">
        <v>5</v>
      </c>
      <c r="G192" s="60">
        <f t="shared" si="88"/>
        <v>365</v>
      </c>
      <c r="H192" s="60">
        <v>0</v>
      </c>
      <c r="I192" s="60">
        <v>365</v>
      </c>
      <c r="J192" s="65" t="s">
        <v>221</v>
      </c>
      <c r="K192" s="66"/>
      <c r="L192" s="55"/>
    </row>
    <row r="193" spans="1:12" ht="12.75" customHeight="1" thickBot="1" x14ac:dyDescent="0.25">
      <c r="A193" s="60">
        <f t="shared" si="85"/>
        <v>0</v>
      </c>
      <c r="B193" s="60">
        <f t="shared" si="86"/>
        <v>0</v>
      </c>
      <c r="C193" s="60">
        <f t="shared" si="86"/>
        <v>0</v>
      </c>
      <c r="D193" s="60">
        <f t="shared" si="87"/>
        <v>0</v>
      </c>
      <c r="E193" s="60">
        <v>0</v>
      </c>
      <c r="F193" s="60">
        <v>0</v>
      </c>
      <c r="G193" s="60">
        <f t="shared" si="88"/>
        <v>0</v>
      </c>
      <c r="H193" s="60">
        <v>0</v>
      </c>
      <c r="I193" s="60">
        <v>0</v>
      </c>
      <c r="J193" s="65" t="s">
        <v>222</v>
      </c>
      <c r="K193" s="66" t="s">
        <v>377</v>
      </c>
      <c r="L193" s="55"/>
    </row>
    <row r="194" spans="1:12" ht="12.75" customHeight="1" thickBot="1" x14ac:dyDescent="0.25">
      <c r="A194" s="60">
        <f t="shared" ref="A194:H194" si="93">SUM(A192:A193)</f>
        <v>370</v>
      </c>
      <c r="B194" s="60">
        <f t="shared" si="93"/>
        <v>0</v>
      </c>
      <c r="C194" s="60">
        <f t="shared" si="93"/>
        <v>370</v>
      </c>
      <c r="D194" s="60">
        <f t="shared" si="93"/>
        <v>5</v>
      </c>
      <c r="E194" s="60">
        <f t="shared" si="93"/>
        <v>0</v>
      </c>
      <c r="F194" s="60">
        <f t="shared" si="93"/>
        <v>5</v>
      </c>
      <c r="G194" s="60">
        <f t="shared" si="93"/>
        <v>365</v>
      </c>
      <c r="H194" s="60">
        <f t="shared" si="93"/>
        <v>0</v>
      </c>
      <c r="I194" s="60">
        <f>SUM(I192:I193)</f>
        <v>365</v>
      </c>
      <c r="J194" s="65" t="s">
        <v>13</v>
      </c>
      <c r="K194" s="67"/>
      <c r="L194" s="55"/>
    </row>
    <row r="195" spans="1:12" ht="12.75" customHeight="1" thickBot="1" x14ac:dyDescent="0.25">
      <c r="A195" s="60">
        <f t="shared" si="85"/>
        <v>1376</v>
      </c>
      <c r="B195" s="60">
        <f t="shared" si="86"/>
        <v>749</v>
      </c>
      <c r="C195" s="60">
        <f t="shared" si="86"/>
        <v>627</v>
      </c>
      <c r="D195" s="60">
        <f t="shared" si="87"/>
        <v>43</v>
      </c>
      <c r="E195" s="60">
        <v>31</v>
      </c>
      <c r="F195" s="60">
        <v>12</v>
      </c>
      <c r="G195" s="60">
        <f t="shared" si="88"/>
        <v>1333</v>
      </c>
      <c r="H195" s="60">
        <v>718</v>
      </c>
      <c r="I195" s="60">
        <f>718-103</f>
        <v>615</v>
      </c>
      <c r="J195" s="65" t="s">
        <v>221</v>
      </c>
      <c r="K195" s="66"/>
      <c r="L195" s="55"/>
    </row>
    <row r="196" spans="1:12" ht="12.75" customHeight="1" thickBot="1" x14ac:dyDescent="0.25">
      <c r="A196" s="60">
        <f t="shared" si="85"/>
        <v>0</v>
      </c>
      <c r="B196" s="60">
        <f t="shared" si="86"/>
        <v>0</v>
      </c>
      <c r="C196" s="60">
        <f t="shared" si="86"/>
        <v>0</v>
      </c>
      <c r="D196" s="60">
        <f t="shared" si="87"/>
        <v>0</v>
      </c>
      <c r="E196" s="60">
        <v>0</v>
      </c>
      <c r="F196" s="60">
        <v>0</v>
      </c>
      <c r="G196" s="60">
        <f t="shared" si="88"/>
        <v>0</v>
      </c>
      <c r="H196" s="60">
        <v>0</v>
      </c>
      <c r="I196" s="60">
        <v>0</v>
      </c>
      <c r="J196" s="65" t="s">
        <v>222</v>
      </c>
      <c r="K196" s="66" t="s">
        <v>378</v>
      </c>
      <c r="L196" s="55"/>
    </row>
    <row r="197" spans="1:12" ht="12.75" customHeight="1" thickBot="1" x14ac:dyDescent="0.25">
      <c r="A197" s="60">
        <f t="shared" ref="A197:H197" si="94">SUM(A195:A196)</f>
        <v>1376</v>
      </c>
      <c r="B197" s="60">
        <f t="shared" si="94"/>
        <v>749</v>
      </c>
      <c r="C197" s="60">
        <f t="shared" si="94"/>
        <v>627</v>
      </c>
      <c r="D197" s="60">
        <f t="shared" si="94"/>
        <v>43</v>
      </c>
      <c r="E197" s="60">
        <f t="shared" si="94"/>
        <v>31</v>
      </c>
      <c r="F197" s="60">
        <f t="shared" si="94"/>
        <v>12</v>
      </c>
      <c r="G197" s="60">
        <f t="shared" si="94"/>
        <v>1333</v>
      </c>
      <c r="H197" s="60">
        <f t="shared" si="94"/>
        <v>718</v>
      </c>
      <c r="I197" s="60">
        <f>SUM(I195:I196)</f>
        <v>615</v>
      </c>
      <c r="J197" s="65" t="s">
        <v>13</v>
      </c>
      <c r="K197" s="67"/>
      <c r="L197" s="55"/>
    </row>
    <row r="198" spans="1:12" ht="12.75" customHeight="1" thickBot="1" x14ac:dyDescent="0.25">
      <c r="A198" s="60">
        <f t="shared" si="85"/>
        <v>92</v>
      </c>
      <c r="B198" s="60">
        <f t="shared" si="86"/>
        <v>0</v>
      </c>
      <c r="C198" s="60">
        <f t="shared" si="86"/>
        <v>92</v>
      </c>
      <c r="D198" s="60">
        <f t="shared" si="87"/>
        <v>1</v>
      </c>
      <c r="E198" s="60">
        <v>0</v>
      </c>
      <c r="F198" s="60">
        <v>1</v>
      </c>
      <c r="G198" s="60">
        <f t="shared" si="88"/>
        <v>91</v>
      </c>
      <c r="H198" s="60">
        <v>0</v>
      </c>
      <c r="I198" s="60">
        <v>91</v>
      </c>
      <c r="J198" s="65" t="s">
        <v>221</v>
      </c>
      <c r="K198" s="66"/>
      <c r="L198" s="55"/>
    </row>
    <row r="199" spans="1:12" ht="12.75" customHeight="1" thickBot="1" x14ac:dyDescent="0.25">
      <c r="A199" s="60">
        <f t="shared" si="85"/>
        <v>0</v>
      </c>
      <c r="B199" s="60">
        <f t="shared" si="86"/>
        <v>0</v>
      </c>
      <c r="C199" s="60">
        <f t="shared" si="86"/>
        <v>0</v>
      </c>
      <c r="D199" s="60">
        <f t="shared" si="87"/>
        <v>0</v>
      </c>
      <c r="E199" s="60">
        <v>0</v>
      </c>
      <c r="F199" s="60">
        <v>0</v>
      </c>
      <c r="G199" s="60">
        <f t="shared" si="88"/>
        <v>0</v>
      </c>
      <c r="H199" s="60">
        <v>0</v>
      </c>
      <c r="I199" s="60">
        <v>0</v>
      </c>
      <c r="J199" s="65" t="s">
        <v>222</v>
      </c>
      <c r="K199" s="66" t="s">
        <v>539</v>
      </c>
      <c r="L199" s="55"/>
    </row>
    <row r="200" spans="1:12" ht="12.75" customHeight="1" thickBot="1" x14ac:dyDescent="0.25">
      <c r="A200" s="60">
        <f t="shared" ref="A200:H200" si="95">SUM(A198:A199)</f>
        <v>92</v>
      </c>
      <c r="B200" s="60">
        <f t="shared" si="95"/>
        <v>0</v>
      </c>
      <c r="C200" s="60">
        <f t="shared" si="95"/>
        <v>92</v>
      </c>
      <c r="D200" s="60">
        <f t="shared" si="95"/>
        <v>1</v>
      </c>
      <c r="E200" s="60">
        <f t="shared" si="95"/>
        <v>0</v>
      </c>
      <c r="F200" s="60">
        <f t="shared" si="95"/>
        <v>1</v>
      </c>
      <c r="G200" s="60">
        <f t="shared" si="95"/>
        <v>91</v>
      </c>
      <c r="H200" s="60">
        <f t="shared" si="95"/>
        <v>0</v>
      </c>
      <c r="I200" s="60">
        <f>SUM(I198:I199)</f>
        <v>91</v>
      </c>
      <c r="J200" s="65" t="s">
        <v>13</v>
      </c>
      <c r="K200" s="67"/>
      <c r="L200" s="55"/>
    </row>
    <row r="201" spans="1:12" ht="12.75" customHeight="1" thickBot="1" x14ac:dyDescent="0.25">
      <c r="A201" s="60">
        <f t="shared" si="85"/>
        <v>54</v>
      </c>
      <c r="B201" s="60">
        <f t="shared" si="86"/>
        <v>0</v>
      </c>
      <c r="C201" s="60">
        <f t="shared" si="86"/>
        <v>54</v>
      </c>
      <c r="D201" s="60">
        <f t="shared" si="87"/>
        <v>0</v>
      </c>
      <c r="E201" s="60">
        <v>0</v>
      </c>
      <c r="F201" s="60">
        <v>0</v>
      </c>
      <c r="G201" s="60">
        <f t="shared" si="88"/>
        <v>54</v>
      </c>
      <c r="H201" s="60">
        <v>0</v>
      </c>
      <c r="I201" s="60">
        <v>54</v>
      </c>
      <c r="J201" s="65" t="s">
        <v>221</v>
      </c>
      <c r="K201" s="66"/>
      <c r="L201" s="55"/>
    </row>
    <row r="202" spans="1:12" ht="12.75" customHeight="1" thickBot="1" x14ac:dyDescent="0.25">
      <c r="A202" s="60">
        <f t="shared" si="85"/>
        <v>0</v>
      </c>
      <c r="B202" s="60">
        <f t="shared" si="86"/>
        <v>0</v>
      </c>
      <c r="C202" s="60">
        <f t="shared" si="86"/>
        <v>0</v>
      </c>
      <c r="D202" s="60">
        <f t="shared" si="87"/>
        <v>0</v>
      </c>
      <c r="E202" s="60">
        <v>0</v>
      </c>
      <c r="F202" s="60">
        <v>0</v>
      </c>
      <c r="G202" s="60">
        <f t="shared" si="88"/>
        <v>0</v>
      </c>
      <c r="H202" s="60">
        <v>0</v>
      </c>
      <c r="I202" s="60">
        <v>0</v>
      </c>
      <c r="J202" s="65" t="s">
        <v>222</v>
      </c>
      <c r="K202" s="66" t="s">
        <v>379</v>
      </c>
      <c r="L202" s="55"/>
    </row>
    <row r="203" spans="1:12" ht="12.75" customHeight="1" thickBot="1" x14ac:dyDescent="0.25">
      <c r="A203" s="60">
        <f t="shared" ref="A203:H203" si="96">SUM(A201:A202)</f>
        <v>54</v>
      </c>
      <c r="B203" s="60">
        <f t="shared" si="96"/>
        <v>0</v>
      </c>
      <c r="C203" s="60">
        <f t="shared" si="96"/>
        <v>54</v>
      </c>
      <c r="D203" s="60">
        <f t="shared" si="96"/>
        <v>0</v>
      </c>
      <c r="E203" s="60">
        <f t="shared" si="96"/>
        <v>0</v>
      </c>
      <c r="F203" s="60">
        <f t="shared" si="96"/>
        <v>0</v>
      </c>
      <c r="G203" s="60">
        <f t="shared" si="96"/>
        <v>54</v>
      </c>
      <c r="H203" s="60">
        <f t="shared" si="96"/>
        <v>0</v>
      </c>
      <c r="I203" s="60">
        <f>SUM(I201:I202)</f>
        <v>54</v>
      </c>
      <c r="J203" s="65" t="s">
        <v>13</v>
      </c>
      <c r="K203" s="67"/>
      <c r="L203" s="55"/>
    </row>
    <row r="204" spans="1:12" ht="12.75" customHeight="1" thickBot="1" x14ac:dyDescent="0.25">
      <c r="A204" s="60">
        <f t="shared" si="85"/>
        <v>44</v>
      </c>
      <c r="B204" s="60">
        <f t="shared" si="86"/>
        <v>0</v>
      </c>
      <c r="C204" s="60">
        <f t="shared" si="86"/>
        <v>44</v>
      </c>
      <c r="D204" s="60">
        <f t="shared" si="87"/>
        <v>6</v>
      </c>
      <c r="E204" s="60">
        <v>0</v>
      </c>
      <c r="F204" s="60">
        <v>6</v>
      </c>
      <c r="G204" s="60">
        <f t="shared" si="88"/>
        <v>38</v>
      </c>
      <c r="H204" s="60">
        <v>0</v>
      </c>
      <c r="I204" s="60">
        <v>38</v>
      </c>
      <c r="J204" s="65" t="s">
        <v>221</v>
      </c>
      <c r="K204" s="66"/>
      <c r="L204" s="55"/>
    </row>
    <row r="205" spans="1:12" ht="12.75" customHeight="1" thickBot="1" x14ac:dyDescent="0.25">
      <c r="A205" s="60">
        <f t="shared" si="85"/>
        <v>0</v>
      </c>
      <c r="B205" s="60">
        <f t="shared" si="86"/>
        <v>0</v>
      </c>
      <c r="C205" s="60">
        <f t="shared" si="86"/>
        <v>0</v>
      </c>
      <c r="D205" s="60">
        <f t="shared" si="87"/>
        <v>0</v>
      </c>
      <c r="E205" s="60">
        <v>0</v>
      </c>
      <c r="F205" s="60">
        <v>0</v>
      </c>
      <c r="G205" s="60">
        <f t="shared" si="88"/>
        <v>0</v>
      </c>
      <c r="H205" s="60">
        <v>0</v>
      </c>
      <c r="I205" s="60">
        <v>0</v>
      </c>
      <c r="J205" s="65" t="s">
        <v>222</v>
      </c>
      <c r="K205" s="66" t="s">
        <v>566</v>
      </c>
      <c r="L205" s="55"/>
    </row>
    <row r="206" spans="1:12" ht="12.75" customHeight="1" thickBot="1" x14ac:dyDescent="0.25">
      <c r="A206" s="60">
        <f t="shared" ref="A206:H206" si="97">SUM(A204:A205)</f>
        <v>44</v>
      </c>
      <c r="B206" s="60">
        <f t="shared" si="97"/>
        <v>0</v>
      </c>
      <c r="C206" s="60">
        <f t="shared" si="97"/>
        <v>44</v>
      </c>
      <c r="D206" s="60">
        <f t="shared" si="97"/>
        <v>6</v>
      </c>
      <c r="E206" s="60">
        <f t="shared" si="97"/>
        <v>0</v>
      </c>
      <c r="F206" s="60">
        <f t="shared" si="97"/>
        <v>6</v>
      </c>
      <c r="G206" s="60">
        <f t="shared" si="97"/>
        <v>38</v>
      </c>
      <c r="H206" s="60">
        <f t="shared" si="97"/>
        <v>0</v>
      </c>
      <c r="I206" s="60">
        <f>SUM(I204:I205)</f>
        <v>38</v>
      </c>
      <c r="J206" s="65" t="s">
        <v>13</v>
      </c>
      <c r="K206" s="67"/>
      <c r="L206" s="55"/>
    </row>
    <row r="207" spans="1:12" ht="12.75" customHeight="1" thickBot="1" x14ac:dyDescent="0.25">
      <c r="A207" s="60">
        <f t="shared" si="85"/>
        <v>35</v>
      </c>
      <c r="B207" s="60">
        <f t="shared" si="86"/>
        <v>0</v>
      </c>
      <c r="C207" s="60">
        <f t="shared" si="86"/>
        <v>35</v>
      </c>
      <c r="D207" s="60">
        <f t="shared" si="87"/>
        <v>0</v>
      </c>
      <c r="E207" s="60">
        <v>0</v>
      </c>
      <c r="F207" s="60">
        <v>0</v>
      </c>
      <c r="G207" s="60">
        <f t="shared" si="88"/>
        <v>35</v>
      </c>
      <c r="H207" s="60">
        <v>0</v>
      </c>
      <c r="I207" s="60">
        <v>35</v>
      </c>
      <c r="J207" s="65" t="s">
        <v>221</v>
      </c>
      <c r="K207" s="66"/>
      <c r="L207" s="55"/>
    </row>
    <row r="208" spans="1:12" ht="12.75" customHeight="1" thickBot="1" x14ac:dyDescent="0.25">
      <c r="A208" s="60">
        <f t="shared" si="85"/>
        <v>0</v>
      </c>
      <c r="B208" s="60">
        <f t="shared" si="86"/>
        <v>0</v>
      </c>
      <c r="C208" s="60">
        <f t="shared" si="86"/>
        <v>0</v>
      </c>
      <c r="D208" s="60">
        <f t="shared" si="87"/>
        <v>0</v>
      </c>
      <c r="E208" s="60">
        <v>0</v>
      </c>
      <c r="F208" s="60">
        <v>0</v>
      </c>
      <c r="G208" s="60">
        <f t="shared" si="88"/>
        <v>0</v>
      </c>
      <c r="H208" s="60">
        <v>0</v>
      </c>
      <c r="I208" s="60">
        <v>0</v>
      </c>
      <c r="J208" s="65" t="s">
        <v>222</v>
      </c>
      <c r="K208" s="66" t="s">
        <v>538</v>
      </c>
      <c r="L208" s="55"/>
    </row>
    <row r="209" spans="1:12" ht="12.75" customHeight="1" thickBot="1" x14ac:dyDescent="0.25">
      <c r="A209" s="60">
        <f t="shared" ref="A209:H209" si="98">SUM(A207:A208)</f>
        <v>35</v>
      </c>
      <c r="B209" s="60">
        <f t="shared" si="98"/>
        <v>0</v>
      </c>
      <c r="C209" s="60">
        <f t="shared" si="98"/>
        <v>35</v>
      </c>
      <c r="D209" s="60">
        <f t="shared" si="98"/>
        <v>0</v>
      </c>
      <c r="E209" s="60">
        <f t="shared" si="98"/>
        <v>0</v>
      </c>
      <c r="F209" s="60">
        <f t="shared" si="98"/>
        <v>0</v>
      </c>
      <c r="G209" s="60">
        <f t="shared" si="98"/>
        <v>35</v>
      </c>
      <c r="H209" s="60">
        <f t="shared" si="98"/>
        <v>0</v>
      </c>
      <c r="I209" s="60">
        <f>SUM(I207:I208)</f>
        <v>35</v>
      </c>
      <c r="J209" s="65" t="s">
        <v>13</v>
      </c>
      <c r="K209" s="67"/>
      <c r="L209" s="55"/>
    </row>
    <row r="210" spans="1:12" ht="12.75" customHeight="1" thickBot="1" x14ac:dyDescent="0.25">
      <c r="A210" s="60">
        <f t="shared" si="85"/>
        <v>286</v>
      </c>
      <c r="B210" s="60">
        <f t="shared" si="86"/>
        <v>286</v>
      </c>
      <c r="C210" s="60">
        <f t="shared" si="86"/>
        <v>0</v>
      </c>
      <c r="D210" s="60">
        <f t="shared" si="87"/>
        <v>7</v>
      </c>
      <c r="E210" s="60">
        <v>7</v>
      </c>
      <c r="F210" s="60">
        <v>0</v>
      </c>
      <c r="G210" s="60">
        <f t="shared" si="88"/>
        <v>279</v>
      </c>
      <c r="H210" s="60">
        <v>279</v>
      </c>
      <c r="I210" s="60">
        <v>0</v>
      </c>
      <c r="J210" s="65" t="s">
        <v>221</v>
      </c>
      <c r="K210" s="66"/>
      <c r="L210" s="55"/>
    </row>
    <row r="211" spans="1:12" ht="12.75" customHeight="1" thickBot="1" x14ac:dyDescent="0.25">
      <c r="A211" s="60">
        <f t="shared" si="85"/>
        <v>0</v>
      </c>
      <c r="B211" s="60">
        <f t="shared" si="86"/>
        <v>0</v>
      </c>
      <c r="C211" s="60">
        <f t="shared" si="86"/>
        <v>0</v>
      </c>
      <c r="D211" s="60">
        <f t="shared" si="87"/>
        <v>0</v>
      </c>
      <c r="E211" s="60">
        <v>0</v>
      </c>
      <c r="F211" s="60">
        <v>0</v>
      </c>
      <c r="G211" s="60">
        <f t="shared" si="88"/>
        <v>0</v>
      </c>
      <c r="H211" s="60">
        <v>0</v>
      </c>
      <c r="I211" s="60">
        <v>0</v>
      </c>
      <c r="J211" s="65" t="s">
        <v>222</v>
      </c>
      <c r="K211" s="66" t="s">
        <v>380</v>
      </c>
      <c r="L211" s="55"/>
    </row>
    <row r="212" spans="1:12" ht="12.75" customHeight="1" thickBot="1" x14ac:dyDescent="0.25">
      <c r="A212" s="60">
        <f t="shared" ref="A212:H212" si="99">SUM(A210:A211)</f>
        <v>286</v>
      </c>
      <c r="B212" s="60">
        <f t="shared" si="99"/>
        <v>286</v>
      </c>
      <c r="C212" s="60">
        <f t="shared" si="99"/>
        <v>0</v>
      </c>
      <c r="D212" s="60">
        <f t="shared" si="99"/>
        <v>7</v>
      </c>
      <c r="E212" s="60">
        <f t="shared" si="99"/>
        <v>7</v>
      </c>
      <c r="F212" s="60">
        <f t="shared" si="99"/>
        <v>0</v>
      </c>
      <c r="G212" s="60">
        <f t="shared" si="99"/>
        <v>279</v>
      </c>
      <c r="H212" s="60">
        <f t="shared" si="99"/>
        <v>279</v>
      </c>
      <c r="I212" s="60">
        <f>SUM(I210:I211)</f>
        <v>0</v>
      </c>
      <c r="J212" s="65" t="s">
        <v>13</v>
      </c>
      <c r="K212" s="67"/>
      <c r="L212" s="55"/>
    </row>
    <row r="213" spans="1:12" ht="12.75" customHeight="1" thickBot="1" x14ac:dyDescent="0.25">
      <c r="A213" s="60">
        <f t="shared" si="85"/>
        <v>264</v>
      </c>
      <c r="B213" s="60">
        <f t="shared" si="86"/>
        <v>197</v>
      </c>
      <c r="C213" s="60">
        <f t="shared" si="86"/>
        <v>67</v>
      </c>
      <c r="D213" s="60">
        <f t="shared" si="87"/>
        <v>5</v>
      </c>
      <c r="E213" s="60">
        <v>5</v>
      </c>
      <c r="F213" s="60">
        <v>0</v>
      </c>
      <c r="G213" s="60">
        <f t="shared" si="88"/>
        <v>259</v>
      </c>
      <c r="H213" s="60">
        <v>192</v>
      </c>
      <c r="I213" s="60">
        <v>67</v>
      </c>
      <c r="J213" s="65" t="s">
        <v>221</v>
      </c>
      <c r="K213" s="66"/>
      <c r="L213" s="55"/>
    </row>
    <row r="214" spans="1:12" ht="12.75" customHeight="1" thickBot="1" x14ac:dyDescent="0.25">
      <c r="A214" s="60">
        <f t="shared" si="85"/>
        <v>0</v>
      </c>
      <c r="B214" s="60">
        <f t="shared" si="86"/>
        <v>0</v>
      </c>
      <c r="C214" s="60">
        <f t="shared" si="86"/>
        <v>0</v>
      </c>
      <c r="D214" s="60">
        <f t="shared" si="87"/>
        <v>0</v>
      </c>
      <c r="E214" s="60">
        <v>0</v>
      </c>
      <c r="F214" s="60">
        <v>0</v>
      </c>
      <c r="G214" s="60">
        <f t="shared" si="88"/>
        <v>0</v>
      </c>
      <c r="H214" s="60">
        <v>0</v>
      </c>
      <c r="I214" s="60">
        <v>0</v>
      </c>
      <c r="J214" s="65" t="s">
        <v>222</v>
      </c>
      <c r="K214" s="66" t="s">
        <v>264</v>
      </c>
      <c r="L214" s="55"/>
    </row>
    <row r="215" spans="1:12" ht="12.75" customHeight="1" thickBot="1" x14ac:dyDescent="0.25">
      <c r="A215" s="60">
        <f t="shared" ref="A215:H215" si="100">SUM(A213:A214)</f>
        <v>264</v>
      </c>
      <c r="B215" s="60">
        <f t="shared" si="100"/>
        <v>197</v>
      </c>
      <c r="C215" s="60">
        <f t="shared" si="100"/>
        <v>67</v>
      </c>
      <c r="D215" s="60">
        <f t="shared" si="100"/>
        <v>5</v>
      </c>
      <c r="E215" s="60">
        <f t="shared" si="100"/>
        <v>5</v>
      </c>
      <c r="F215" s="60">
        <f t="shared" si="100"/>
        <v>0</v>
      </c>
      <c r="G215" s="60">
        <f t="shared" si="100"/>
        <v>259</v>
      </c>
      <c r="H215" s="60">
        <f t="shared" si="100"/>
        <v>192</v>
      </c>
      <c r="I215" s="60">
        <f>SUM(I213:I214)</f>
        <v>67</v>
      </c>
      <c r="J215" s="65" t="s">
        <v>13</v>
      </c>
      <c r="K215" s="67"/>
      <c r="L215" s="55"/>
    </row>
    <row r="216" spans="1:12" ht="12.75" customHeight="1" thickBot="1" x14ac:dyDescent="0.25">
      <c r="A216" s="60">
        <f t="shared" si="85"/>
        <v>56</v>
      </c>
      <c r="B216" s="60">
        <f t="shared" si="86"/>
        <v>42</v>
      </c>
      <c r="C216" s="60">
        <f t="shared" si="86"/>
        <v>14</v>
      </c>
      <c r="D216" s="60">
        <f t="shared" si="87"/>
        <v>2</v>
      </c>
      <c r="E216" s="60">
        <v>2</v>
      </c>
      <c r="F216" s="60">
        <v>0</v>
      </c>
      <c r="G216" s="60">
        <f t="shared" si="88"/>
        <v>54</v>
      </c>
      <c r="H216" s="60">
        <v>40</v>
      </c>
      <c r="I216" s="60">
        <v>14</v>
      </c>
      <c r="J216" s="65" t="s">
        <v>221</v>
      </c>
      <c r="K216" s="66"/>
      <c r="L216" s="55"/>
    </row>
    <row r="217" spans="1:12" ht="12.75" customHeight="1" thickBot="1" x14ac:dyDescent="0.25">
      <c r="A217" s="60">
        <f t="shared" si="85"/>
        <v>0</v>
      </c>
      <c r="B217" s="60">
        <f t="shared" si="86"/>
        <v>0</v>
      </c>
      <c r="C217" s="60">
        <f t="shared" si="86"/>
        <v>0</v>
      </c>
      <c r="D217" s="60">
        <f t="shared" si="87"/>
        <v>0</v>
      </c>
      <c r="E217" s="60">
        <v>0</v>
      </c>
      <c r="F217" s="60">
        <v>0</v>
      </c>
      <c r="G217" s="60">
        <f t="shared" si="88"/>
        <v>0</v>
      </c>
      <c r="H217" s="60">
        <v>0</v>
      </c>
      <c r="I217" s="60">
        <v>0</v>
      </c>
      <c r="J217" s="65" t="s">
        <v>222</v>
      </c>
      <c r="K217" s="66" t="s">
        <v>337</v>
      </c>
      <c r="L217" s="55"/>
    </row>
    <row r="218" spans="1:12" ht="12.75" customHeight="1" thickBot="1" x14ac:dyDescent="0.25">
      <c r="A218" s="60">
        <f t="shared" ref="A218:H218" si="101">SUM(A216:A217)</f>
        <v>56</v>
      </c>
      <c r="B218" s="60">
        <f t="shared" si="101"/>
        <v>42</v>
      </c>
      <c r="C218" s="60">
        <f t="shared" si="101"/>
        <v>14</v>
      </c>
      <c r="D218" s="60">
        <f t="shared" si="101"/>
        <v>2</v>
      </c>
      <c r="E218" s="60">
        <f t="shared" si="101"/>
        <v>2</v>
      </c>
      <c r="F218" s="60">
        <f t="shared" si="101"/>
        <v>0</v>
      </c>
      <c r="G218" s="60">
        <f t="shared" si="101"/>
        <v>54</v>
      </c>
      <c r="H218" s="60">
        <f t="shared" si="101"/>
        <v>40</v>
      </c>
      <c r="I218" s="60">
        <f>SUM(I216:I217)</f>
        <v>14</v>
      </c>
      <c r="J218" s="65" t="s">
        <v>13</v>
      </c>
      <c r="K218" s="67"/>
      <c r="L218" s="55"/>
    </row>
    <row r="219" spans="1:12" ht="12.75" customHeight="1" thickBot="1" x14ac:dyDescent="0.25">
      <c r="A219" s="60">
        <f t="shared" si="85"/>
        <v>0</v>
      </c>
      <c r="B219" s="60">
        <f t="shared" si="86"/>
        <v>0</v>
      </c>
      <c r="C219" s="60">
        <f t="shared" si="86"/>
        <v>0</v>
      </c>
      <c r="D219" s="60">
        <f t="shared" si="87"/>
        <v>0</v>
      </c>
      <c r="E219" s="60">
        <v>0</v>
      </c>
      <c r="F219" s="60">
        <v>0</v>
      </c>
      <c r="G219" s="60">
        <f t="shared" si="88"/>
        <v>0</v>
      </c>
      <c r="H219" s="60">
        <v>0</v>
      </c>
      <c r="I219" s="60">
        <v>0</v>
      </c>
      <c r="J219" s="65" t="s">
        <v>221</v>
      </c>
      <c r="K219" s="66"/>
      <c r="L219" s="55"/>
    </row>
    <row r="220" spans="1:12" ht="12.75" customHeight="1" thickBot="1" x14ac:dyDescent="0.25">
      <c r="A220" s="60">
        <f t="shared" si="85"/>
        <v>2118</v>
      </c>
      <c r="B220" s="60">
        <f t="shared" si="86"/>
        <v>774</v>
      </c>
      <c r="C220" s="60">
        <f t="shared" si="86"/>
        <v>1344</v>
      </c>
      <c r="D220" s="60">
        <f t="shared" si="87"/>
        <v>201</v>
      </c>
      <c r="E220" s="60">
        <v>161</v>
      </c>
      <c r="F220" s="60">
        <v>40</v>
      </c>
      <c r="G220" s="60">
        <f t="shared" si="88"/>
        <v>1917</v>
      </c>
      <c r="H220" s="60">
        <v>613</v>
      </c>
      <c r="I220" s="60">
        <f>1429-125</f>
        <v>1304</v>
      </c>
      <c r="J220" s="65" t="s">
        <v>222</v>
      </c>
      <c r="K220" s="66" t="s">
        <v>75</v>
      </c>
      <c r="L220" s="55"/>
    </row>
    <row r="221" spans="1:12" ht="12.75" customHeight="1" thickBot="1" x14ac:dyDescent="0.25">
      <c r="A221" s="60">
        <f t="shared" ref="A221:H221" si="102">SUM(A219:A220)</f>
        <v>2118</v>
      </c>
      <c r="B221" s="60">
        <f t="shared" si="102"/>
        <v>774</v>
      </c>
      <c r="C221" s="60">
        <f t="shared" si="102"/>
        <v>1344</v>
      </c>
      <c r="D221" s="60">
        <f t="shared" si="102"/>
        <v>201</v>
      </c>
      <c r="E221" s="60">
        <f t="shared" si="102"/>
        <v>161</v>
      </c>
      <c r="F221" s="60">
        <f t="shared" si="102"/>
        <v>40</v>
      </c>
      <c r="G221" s="60">
        <f t="shared" si="102"/>
        <v>1917</v>
      </c>
      <c r="H221" s="60">
        <f t="shared" si="102"/>
        <v>613</v>
      </c>
      <c r="I221" s="60">
        <f>SUM(I219:I220)</f>
        <v>1304</v>
      </c>
      <c r="J221" s="65" t="s">
        <v>13</v>
      </c>
      <c r="K221" s="67"/>
      <c r="L221" s="55"/>
    </row>
    <row r="222" spans="1:12" ht="12.75" customHeight="1" thickBot="1" x14ac:dyDescent="0.25">
      <c r="A222" s="60">
        <f t="shared" si="85"/>
        <v>161</v>
      </c>
      <c r="B222" s="60">
        <f t="shared" si="86"/>
        <v>68</v>
      </c>
      <c r="C222" s="60">
        <f t="shared" si="86"/>
        <v>93</v>
      </c>
      <c r="D222" s="60">
        <f t="shared" si="87"/>
        <v>1</v>
      </c>
      <c r="E222" s="60">
        <v>0</v>
      </c>
      <c r="F222" s="60">
        <v>1</v>
      </c>
      <c r="G222" s="60">
        <f t="shared" si="88"/>
        <v>160</v>
      </c>
      <c r="H222" s="60">
        <v>68</v>
      </c>
      <c r="I222" s="60">
        <v>92</v>
      </c>
      <c r="J222" s="65" t="s">
        <v>221</v>
      </c>
      <c r="K222" s="66"/>
      <c r="L222" s="55"/>
    </row>
    <row r="223" spans="1:12" ht="12.75" customHeight="1" thickBot="1" x14ac:dyDescent="0.25">
      <c r="A223" s="60">
        <f t="shared" si="85"/>
        <v>0</v>
      </c>
      <c r="B223" s="60">
        <f t="shared" si="86"/>
        <v>0</v>
      </c>
      <c r="C223" s="60">
        <f t="shared" si="86"/>
        <v>0</v>
      </c>
      <c r="D223" s="60">
        <f t="shared" si="87"/>
        <v>0</v>
      </c>
      <c r="E223" s="60">
        <v>0</v>
      </c>
      <c r="F223" s="60">
        <v>0</v>
      </c>
      <c r="G223" s="60">
        <f t="shared" si="88"/>
        <v>0</v>
      </c>
      <c r="H223" s="60">
        <v>0</v>
      </c>
      <c r="I223" s="60">
        <v>0</v>
      </c>
      <c r="J223" s="65" t="s">
        <v>222</v>
      </c>
      <c r="K223" s="66" t="s">
        <v>381</v>
      </c>
      <c r="L223" s="55"/>
    </row>
    <row r="224" spans="1:12" ht="12.75" customHeight="1" thickBot="1" x14ac:dyDescent="0.25">
      <c r="A224" s="60">
        <f t="shared" ref="A224:H224" si="103">SUM(A222:A223)</f>
        <v>161</v>
      </c>
      <c r="B224" s="60">
        <f t="shared" si="103"/>
        <v>68</v>
      </c>
      <c r="C224" s="60">
        <f t="shared" si="103"/>
        <v>93</v>
      </c>
      <c r="D224" s="60">
        <f t="shared" si="103"/>
        <v>1</v>
      </c>
      <c r="E224" s="60">
        <f t="shared" si="103"/>
        <v>0</v>
      </c>
      <c r="F224" s="60">
        <f t="shared" si="103"/>
        <v>1</v>
      </c>
      <c r="G224" s="60">
        <f t="shared" si="103"/>
        <v>160</v>
      </c>
      <c r="H224" s="60">
        <f t="shared" si="103"/>
        <v>68</v>
      </c>
      <c r="I224" s="60">
        <f>SUM(I222:I223)</f>
        <v>92</v>
      </c>
      <c r="J224" s="65" t="s">
        <v>13</v>
      </c>
      <c r="K224" s="67"/>
      <c r="L224" s="55"/>
    </row>
    <row r="225" spans="1:12" ht="12.75" customHeight="1" thickBot="1" x14ac:dyDescent="0.25">
      <c r="A225" s="60">
        <f t="shared" si="85"/>
        <v>855</v>
      </c>
      <c r="B225" s="60">
        <f t="shared" si="86"/>
        <v>855</v>
      </c>
      <c r="C225" s="60">
        <f t="shared" si="86"/>
        <v>0</v>
      </c>
      <c r="D225" s="60">
        <f t="shared" si="87"/>
        <v>10</v>
      </c>
      <c r="E225" s="60">
        <v>10</v>
      </c>
      <c r="F225" s="60">
        <v>0</v>
      </c>
      <c r="G225" s="60">
        <f t="shared" si="88"/>
        <v>845</v>
      </c>
      <c r="H225" s="60">
        <v>845</v>
      </c>
      <c r="I225" s="60">
        <v>0</v>
      </c>
      <c r="J225" s="65" t="s">
        <v>221</v>
      </c>
      <c r="K225" s="66"/>
      <c r="L225" s="55"/>
    </row>
    <row r="226" spans="1:12" ht="12.75" customHeight="1" thickBot="1" x14ac:dyDescent="0.25">
      <c r="A226" s="60">
        <f t="shared" si="85"/>
        <v>0</v>
      </c>
      <c r="B226" s="60">
        <f t="shared" si="86"/>
        <v>0</v>
      </c>
      <c r="C226" s="60">
        <f t="shared" si="86"/>
        <v>0</v>
      </c>
      <c r="D226" s="60">
        <f t="shared" si="87"/>
        <v>0</v>
      </c>
      <c r="E226" s="60">
        <v>0</v>
      </c>
      <c r="F226" s="60">
        <v>0</v>
      </c>
      <c r="G226" s="60">
        <f t="shared" si="88"/>
        <v>0</v>
      </c>
      <c r="H226" s="60">
        <v>0</v>
      </c>
      <c r="I226" s="60">
        <v>0</v>
      </c>
      <c r="J226" s="65" t="s">
        <v>222</v>
      </c>
      <c r="K226" s="66" t="s">
        <v>383</v>
      </c>
      <c r="L226" s="55"/>
    </row>
    <row r="227" spans="1:12" ht="12.75" customHeight="1" thickBot="1" x14ac:dyDescent="0.25">
      <c r="A227" s="60">
        <f t="shared" ref="A227:H227" si="104">SUM(A225:A226)</f>
        <v>855</v>
      </c>
      <c r="B227" s="60">
        <f t="shared" si="104"/>
        <v>855</v>
      </c>
      <c r="C227" s="60">
        <f t="shared" si="104"/>
        <v>0</v>
      </c>
      <c r="D227" s="60">
        <f t="shared" si="104"/>
        <v>10</v>
      </c>
      <c r="E227" s="60">
        <f t="shared" si="104"/>
        <v>10</v>
      </c>
      <c r="F227" s="60">
        <f t="shared" si="104"/>
        <v>0</v>
      </c>
      <c r="G227" s="60">
        <f t="shared" si="104"/>
        <v>845</v>
      </c>
      <c r="H227" s="60">
        <f t="shared" si="104"/>
        <v>845</v>
      </c>
      <c r="I227" s="60">
        <f>SUM(I225:I226)</f>
        <v>0</v>
      </c>
      <c r="J227" s="65" t="s">
        <v>13</v>
      </c>
      <c r="K227" s="67"/>
      <c r="L227" s="55"/>
    </row>
    <row r="228" spans="1:12" ht="12.75" customHeight="1" thickBot="1" x14ac:dyDescent="0.25">
      <c r="A228" s="60">
        <f t="shared" si="85"/>
        <v>503</v>
      </c>
      <c r="B228" s="60">
        <f t="shared" si="86"/>
        <v>503</v>
      </c>
      <c r="C228" s="60">
        <f t="shared" si="86"/>
        <v>0</v>
      </c>
      <c r="D228" s="60">
        <f t="shared" si="87"/>
        <v>3</v>
      </c>
      <c r="E228" s="60">
        <v>3</v>
      </c>
      <c r="F228" s="60">
        <v>0</v>
      </c>
      <c r="G228" s="60">
        <f t="shared" si="88"/>
        <v>500</v>
      </c>
      <c r="H228" s="60">
        <v>500</v>
      </c>
      <c r="I228" s="60">
        <v>0</v>
      </c>
      <c r="J228" s="65" t="s">
        <v>221</v>
      </c>
      <c r="K228" s="66"/>
      <c r="L228" s="55"/>
    </row>
    <row r="229" spans="1:12" ht="12.75" customHeight="1" thickBot="1" x14ac:dyDescent="0.25">
      <c r="A229" s="60">
        <f t="shared" si="85"/>
        <v>0</v>
      </c>
      <c r="B229" s="60">
        <f t="shared" si="86"/>
        <v>0</v>
      </c>
      <c r="C229" s="60">
        <f t="shared" si="86"/>
        <v>0</v>
      </c>
      <c r="D229" s="60">
        <f t="shared" si="87"/>
        <v>0</v>
      </c>
      <c r="E229" s="60">
        <v>0</v>
      </c>
      <c r="F229" s="60">
        <v>0</v>
      </c>
      <c r="G229" s="60">
        <f t="shared" si="88"/>
        <v>0</v>
      </c>
      <c r="H229" s="60">
        <v>0</v>
      </c>
      <c r="I229" s="60">
        <v>0</v>
      </c>
      <c r="J229" s="65" t="s">
        <v>222</v>
      </c>
      <c r="K229" s="66" t="s">
        <v>384</v>
      </c>
      <c r="L229" s="55"/>
    </row>
    <row r="230" spans="1:12" ht="12.75" customHeight="1" thickBot="1" x14ac:dyDescent="0.25">
      <c r="A230" s="60">
        <f t="shared" ref="A230:H230" si="105">SUM(A228:A229)</f>
        <v>503</v>
      </c>
      <c r="B230" s="60">
        <f t="shared" si="105"/>
        <v>503</v>
      </c>
      <c r="C230" s="60">
        <f t="shared" si="105"/>
        <v>0</v>
      </c>
      <c r="D230" s="60">
        <f t="shared" si="105"/>
        <v>3</v>
      </c>
      <c r="E230" s="60">
        <f t="shared" si="105"/>
        <v>3</v>
      </c>
      <c r="F230" s="60">
        <f t="shared" si="105"/>
        <v>0</v>
      </c>
      <c r="G230" s="60">
        <f t="shared" si="105"/>
        <v>500</v>
      </c>
      <c r="H230" s="60">
        <f t="shared" si="105"/>
        <v>500</v>
      </c>
      <c r="I230" s="60">
        <f>SUM(I228:I229)</f>
        <v>0</v>
      </c>
      <c r="J230" s="65" t="s">
        <v>13</v>
      </c>
      <c r="K230" s="67"/>
      <c r="L230" s="55"/>
    </row>
    <row r="231" spans="1:12" ht="12.75" customHeight="1" thickBot="1" x14ac:dyDescent="0.25">
      <c r="A231" s="60">
        <f t="shared" si="85"/>
        <v>528</v>
      </c>
      <c r="B231" s="60">
        <f t="shared" si="86"/>
        <v>528</v>
      </c>
      <c r="C231" s="60">
        <f t="shared" si="86"/>
        <v>0</v>
      </c>
      <c r="D231" s="60">
        <f t="shared" si="87"/>
        <v>10</v>
      </c>
      <c r="E231" s="60">
        <v>10</v>
      </c>
      <c r="F231" s="60">
        <v>0</v>
      </c>
      <c r="G231" s="60">
        <f t="shared" si="88"/>
        <v>518</v>
      </c>
      <c r="H231" s="60">
        <v>518</v>
      </c>
      <c r="I231" s="60">
        <v>0</v>
      </c>
      <c r="J231" s="65" t="s">
        <v>221</v>
      </c>
      <c r="K231" s="66"/>
      <c r="L231" s="55"/>
    </row>
    <row r="232" spans="1:12" ht="12.75" customHeight="1" thickBot="1" x14ac:dyDescent="0.25">
      <c r="A232" s="60">
        <f t="shared" si="85"/>
        <v>0</v>
      </c>
      <c r="B232" s="60">
        <f t="shared" si="86"/>
        <v>0</v>
      </c>
      <c r="C232" s="60">
        <f t="shared" si="86"/>
        <v>0</v>
      </c>
      <c r="D232" s="60">
        <f t="shared" si="87"/>
        <v>0</v>
      </c>
      <c r="E232" s="60">
        <v>0</v>
      </c>
      <c r="F232" s="60">
        <v>0</v>
      </c>
      <c r="G232" s="60">
        <f t="shared" si="88"/>
        <v>0</v>
      </c>
      <c r="H232" s="60">
        <v>0</v>
      </c>
      <c r="I232" s="60">
        <v>0</v>
      </c>
      <c r="J232" s="65" t="s">
        <v>222</v>
      </c>
      <c r="K232" s="66" t="s">
        <v>602</v>
      </c>
      <c r="L232" s="55"/>
    </row>
    <row r="233" spans="1:12" ht="12.75" customHeight="1" thickBot="1" x14ac:dyDescent="0.25">
      <c r="A233" s="60">
        <f t="shared" ref="A233:H233" si="106">SUM(A231:A232)</f>
        <v>528</v>
      </c>
      <c r="B233" s="60">
        <f t="shared" si="106"/>
        <v>528</v>
      </c>
      <c r="C233" s="60">
        <f t="shared" si="106"/>
        <v>0</v>
      </c>
      <c r="D233" s="60">
        <f t="shared" si="106"/>
        <v>10</v>
      </c>
      <c r="E233" s="60">
        <f t="shared" si="106"/>
        <v>10</v>
      </c>
      <c r="F233" s="60">
        <f t="shared" si="106"/>
        <v>0</v>
      </c>
      <c r="G233" s="60">
        <f t="shared" si="106"/>
        <v>518</v>
      </c>
      <c r="H233" s="60">
        <f t="shared" si="106"/>
        <v>518</v>
      </c>
      <c r="I233" s="60">
        <f>SUM(I231:I232)</f>
        <v>0</v>
      </c>
      <c r="J233" s="65" t="s">
        <v>13</v>
      </c>
      <c r="K233" s="67"/>
      <c r="L233" s="55"/>
    </row>
    <row r="234" spans="1:12" ht="12.75" customHeight="1" thickBot="1" x14ac:dyDescent="0.25">
      <c r="A234" s="60">
        <f t="shared" si="85"/>
        <v>873</v>
      </c>
      <c r="B234" s="60">
        <f t="shared" si="86"/>
        <v>873</v>
      </c>
      <c r="C234" s="60">
        <f t="shared" si="86"/>
        <v>0</v>
      </c>
      <c r="D234" s="60">
        <f t="shared" si="87"/>
        <v>17</v>
      </c>
      <c r="E234" s="60">
        <v>17</v>
      </c>
      <c r="F234" s="60">
        <v>0</v>
      </c>
      <c r="G234" s="60">
        <f t="shared" si="88"/>
        <v>856</v>
      </c>
      <c r="H234" s="60">
        <f>956-100</f>
        <v>856</v>
      </c>
      <c r="I234" s="60">
        <v>0</v>
      </c>
      <c r="J234" s="65" t="s">
        <v>221</v>
      </c>
      <c r="K234" s="66"/>
      <c r="L234" s="55"/>
    </row>
    <row r="235" spans="1:12" ht="12.75" customHeight="1" thickBot="1" x14ac:dyDescent="0.25">
      <c r="A235" s="60">
        <f t="shared" si="85"/>
        <v>21</v>
      </c>
      <c r="B235" s="60">
        <f t="shared" si="86"/>
        <v>21</v>
      </c>
      <c r="C235" s="60">
        <f t="shared" si="86"/>
        <v>0</v>
      </c>
      <c r="D235" s="60">
        <f t="shared" si="87"/>
        <v>0</v>
      </c>
      <c r="E235" s="60">
        <v>0</v>
      </c>
      <c r="F235" s="60">
        <v>0</v>
      </c>
      <c r="G235" s="60">
        <f t="shared" si="88"/>
        <v>21</v>
      </c>
      <c r="H235" s="60">
        <v>21</v>
      </c>
      <c r="I235" s="60">
        <v>0</v>
      </c>
      <c r="J235" s="65" t="s">
        <v>222</v>
      </c>
      <c r="K235" s="66" t="s">
        <v>386</v>
      </c>
      <c r="L235" s="55"/>
    </row>
    <row r="236" spans="1:12" ht="12.75" customHeight="1" thickBot="1" x14ac:dyDescent="0.25">
      <c r="A236" s="60">
        <f t="shared" ref="A236:H236" si="107">SUM(A234:A235)</f>
        <v>894</v>
      </c>
      <c r="B236" s="60">
        <f t="shared" si="107"/>
        <v>894</v>
      </c>
      <c r="C236" s="60">
        <f t="shared" si="107"/>
        <v>0</v>
      </c>
      <c r="D236" s="60">
        <f t="shared" si="107"/>
        <v>17</v>
      </c>
      <c r="E236" s="60">
        <f t="shared" si="107"/>
        <v>17</v>
      </c>
      <c r="F236" s="60">
        <f t="shared" si="107"/>
        <v>0</v>
      </c>
      <c r="G236" s="60">
        <f t="shared" si="107"/>
        <v>877</v>
      </c>
      <c r="H236" s="60">
        <f t="shared" si="107"/>
        <v>877</v>
      </c>
      <c r="I236" s="60">
        <f>SUM(I234:I235)</f>
        <v>0</v>
      </c>
      <c r="J236" s="65" t="s">
        <v>13</v>
      </c>
      <c r="K236" s="67"/>
      <c r="L236" s="55"/>
    </row>
    <row r="237" spans="1:12" ht="12.75" customHeight="1" thickBot="1" x14ac:dyDescent="0.25">
      <c r="A237" s="60">
        <f t="shared" si="85"/>
        <v>94</v>
      </c>
      <c r="B237" s="60">
        <f t="shared" si="86"/>
        <v>0</v>
      </c>
      <c r="C237" s="60">
        <f t="shared" si="86"/>
        <v>94</v>
      </c>
      <c r="D237" s="60">
        <f t="shared" si="87"/>
        <v>17</v>
      </c>
      <c r="E237" s="60">
        <v>0</v>
      </c>
      <c r="F237" s="60">
        <v>17</v>
      </c>
      <c r="G237" s="60">
        <f t="shared" si="88"/>
        <v>77</v>
      </c>
      <c r="H237" s="60">
        <v>0</v>
      </c>
      <c r="I237" s="60">
        <v>77</v>
      </c>
      <c r="J237" s="65" t="s">
        <v>221</v>
      </c>
      <c r="K237" s="66"/>
      <c r="L237" s="55"/>
    </row>
    <row r="238" spans="1:12" ht="12.75" customHeight="1" thickBot="1" x14ac:dyDescent="0.25">
      <c r="A238" s="60">
        <f t="shared" si="85"/>
        <v>0</v>
      </c>
      <c r="B238" s="60">
        <f t="shared" si="86"/>
        <v>0</v>
      </c>
      <c r="C238" s="60">
        <f t="shared" si="86"/>
        <v>0</v>
      </c>
      <c r="D238" s="60">
        <f t="shared" si="87"/>
        <v>0</v>
      </c>
      <c r="E238" s="60">
        <v>0</v>
      </c>
      <c r="F238" s="60">
        <v>0</v>
      </c>
      <c r="G238" s="60">
        <f t="shared" si="88"/>
        <v>0</v>
      </c>
      <c r="H238" s="60">
        <v>0</v>
      </c>
      <c r="I238" s="60">
        <v>0</v>
      </c>
      <c r="J238" s="65" t="s">
        <v>222</v>
      </c>
      <c r="K238" s="66" t="s">
        <v>248</v>
      </c>
      <c r="L238" s="55"/>
    </row>
    <row r="239" spans="1:12" ht="12.75" customHeight="1" thickBot="1" x14ac:dyDescent="0.25">
      <c r="A239" s="60">
        <f t="shared" ref="A239:H239" si="108">SUM(A237:A238)</f>
        <v>94</v>
      </c>
      <c r="B239" s="60">
        <f t="shared" si="108"/>
        <v>0</v>
      </c>
      <c r="C239" s="60">
        <f t="shared" si="108"/>
        <v>94</v>
      </c>
      <c r="D239" s="60">
        <f t="shared" si="108"/>
        <v>17</v>
      </c>
      <c r="E239" s="60">
        <f t="shared" si="108"/>
        <v>0</v>
      </c>
      <c r="F239" s="60">
        <f t="shared" si="108"/>
        <v>17</v>
      </c>
      <c r="G239" s="60">
        <f t="shared" si="108"/>
        <v>77</v>
      </c>
      <c r="H239" s="60">
        <f t="shared" si="108"/>
        <v>0</v>
      </c>
      <c r="I239" s="60">
        <f>SUM(I237:I238)</f>
        <v>77</v>
      </c>
      <c r="J239" s="65" t="s">
        <v>13</v>
      </c>
      <c r="K239" s="67"/>
      <c r="L239" s="55"/>
    </row>
    <row r="240" spans="1:12" ht="12.75" customHeight="1" thickBot="1" x14ac:dyDescent="0.25">
      <c r="A240" s="60">
        <f t="shared" ref="A240:I242" si="109">A180+A183+A186+A189+A192+A195+A198+A201+A204+A207+A210+A213+A216+A219+A222+A225+A228+A231+A234+A237</f>
        <v>8633</v>
      </c>
      <c r="B240" s="60">
        <f t="shared" si="109"/>
        <v>5972</v>
      </c>
      <c r="C240" s="60">
        <f t="shared" si="109"/>
        <v>2661</v>
      </c>
      <c r="D240" s="60">
        <f t="shared" si="109"/>
        <v>233</v>
      </c>
      <c r="E240" s="60">
        <f t="shared" si="109"/>
        <v>180</v>
      </c>
      <c r="F240" s="60">
        <f t="shared" si="109"/>
        <v>53</v>
      </c>
      <c r="G240" s="60">
        <f t="shared" si="109"/>
        <v>8400</v>
      </c>
      <c r="H240" s="60">
        <f t="shared" si="109"/>
        <v>5792</v>
      </c>
      <c r="I240" s="60">
        <f>I180+I183+I186+I189+I192+I195+I198+I201+I204+I207+I210+I213+I216+I219+I222+I225+I228+I231+I234+I237</f>
        <v>2608</v>
      </c>
      <c r="J240" s="65" t="s">
        <v>224</v>
      </c>
      <c r="K240" s="57"/>
      <c r="L240" s="55"/>
    </row>
    <row r="241" spans="1:12" ht="12.75" customHeight="1" thickBot="1" x14ac:dyDescent="0.25">
      <c r="A241" s="60">
        <f t="shared" si="109"/>
        <v>2139</v>
      </c>
      <c r="B241" s="60">
        <f t="shared" si="109"/>
        <v>795</v>
      </c>
      <c r="C241" s="60">
        <f t="shared" si="109"/>
        <v>1344</v>
      </c>
      <c r="D241" s="60">
        <f t="shared" si="109"/>
        <v>201</v>
      </c>
      <c r="E241" s="60">
        <f t="shared" si="109"/>
        <v>161</v>
      </c>
      <c r="F241" s="60">
        <f t="shared" si="109"/>
        <v>40</v>
      </c>
      <c r="G241" s="60">
        <f t="shared" si="109"/>
        <v>1938</v>
      </c>
      <c r="H241" s="60">
        <f t="shared" si="109"/>
        <v>634</v>
      </c>
      <c r="I241" s="60">
        <f t="shared" si="109"/>
        <v>1304</v>
      </c>
      <c r="J241" s="65" t="s">
        <v>225</v>
      </c>
      <c r="K241" s="68" t="s">
        <v>211</v>
      </c>
      <c r="L241" s="55"/>
    </row>
    <row r="242" spans="1:12" ht="12.75" customHeight="1" thickBot="1" x14ac:dyDescent="0.25">
      <c r="A242" s="60">
        <f t="shared" si="109"/>
        <v>10772</v>
      </c>
      <c r="B242" s="60">
        <f t="shared" si="109"/>
        <v>6767</v>
      </c>
      <c r="C242" s="60">
        <f t="shared" si="109"/>
        <v>4005</v>
      </c>
      <c r="D242" s="60">
        <f t="shared" si="109"/>
        <v>434</v>
      </c>
      <c r="E242" s="60">
        <f t="shared" si="109"/>
        <v>341</v>
      </c>
      <c r="F242" s="60">
        <f t="shared" si="109"/>
        <v>93</v>
      </c>
      <c r="G242" s="60">
        <f t="shared" si="109"/>
        <v>10338</v>
      </c>
      <c r="H242" s="60">
        <f t="shared" si="109"/>
        <v>6426</v>
      </c>
      <c r="I242" s="60">
        <f t="shared" si="109"/>
        <v>3912</v>
      </c>
      <c r="J242" s="65" t="s">
        <v>13</v>
      </c>
      <c r="K242" s="59"/>
      <c r="L242" s="55"/>
    </row>
    <row r="243" spans="1:12" ht="12.75" customHeight="1" x14ac:dyDescent="0.2">
      <c r="A243" s="177" t="s">
        <v>597</v>
      </c>
      <c r="B243" s="177"/>
      <c r="C243" s="177"/>
      <c r="D243" s="177"/>
      <c r="E243" s="177"/>
      <c r="F243" s="177"/>
      <c r="G243" s="177"/>
      <c r="H243" s="177"/>
      <c r="I243" s="177"/>
      <c r="J243" s="177"/>
      <c r="K243" s="177"/>
      <c r="L243" s="55"/>
    </row>
    <row r="244" spans="1:12" ht="12.75" customHeight="1" thickBot="1" x14ac:dyDescent="0.25">
      <c r="A244" s="178" t="s">
        <v>598</v>
      </c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55"/>
    </row>
    <row r="245" spans="1:12" ht="12.75" customHeight="1" thickBot="1" x14ac:dyDescent="0.25">
      <c r="A245" s="179" t="s">
        <v>5</v>
      </c>
      <c r="B245" s="179"/>
      <c r="C245" s="179"/>
      <c r="D245" s="179" t="s">
        <v>162</v>
      </c>
      <c r="E245" s="179"/>
      <c r="F245" s="179"/>
      <c r="G245" s="179" t="s">
        <v>163</v>
      </c>
      <c r="H245" s="179"/>
      <c r="I245" s="179"/>
      <c r="J245" s="179" t="s">
        <v>72</v>
      </c>
      <c r="K245" s="179"/>
      <c r="L245" s="55"/>
    </row>
    <row r="246" spans="1:12" ht="12.75" customHeight="1" thickBot="1" x14ac:dyDescent="0.25">
      <c r="A246" s="58" t="s">
        <v>216</v>
      </c>
      <c r="B246" s="58" t="s">
        <v>11</v>
      </c>
      <c r="C246" s="58" t="s">
        <v>10</v>
      </c>
      <c r="D246" s="58" t="s">
        <v>216</v>
      </c>
      <c r="E246" s="58" t="s">
        <v>11</v>
      </c>
      <c r="F246" s="58" t="s">
        <v>10</v>
      </c>
      <c r="G246" s="58" t="s">
        <v>216</v>
      </c>
      <c r="H246" s="58" t="s">
        <v>11</v>
      </c>
      <c r="I246" s="58" t="s">
        <v>10</v>
      </c>
      <c r="J246" s="180" t="s">
        <v>98</v>
      </c>
      <c r="K246" s="180"/>
      <c r="L246" s="55"/>
    </row>
    <row r="247" spans="1:12" ht="12.75" customHeight="1" thickBot="1" x14ac:dyDescent="0.25">
      <c r="A247" s="60">
        <f>SUM(B247:C247)</f>
        <v>316</v>
      </c>
      <c r="B247" s="60">
        <f>H247+E247</f>
        <v>0</v>
      </c>
      <c r="C247" s="60">
        <f>I247+F247</f>
        <v>316</v>
      </c>
      <c r="D247" s="60">
        <f>SUM(E247:F247)</f>
        <v>6</v>
      </c>
      <c r="E247" s="60">
        <v>0</v>
      </c>
      <c r="F247" s="60">
        <v>6</v>
      </c>
      <c r="G247" s="60">
        <f>SUM(H247:I247)</f>
        <v>310</v>
      </c>
      <c r="H247" s="60">
        <v>0</v>
      </c>
      <c r="I247" s="60">
        <v>310</v>
      </c>
      <c r="J247" s="65" t="s">
        <v>221</v>
      </c>
      <c r="K247" s="66"/>
      <c r="L247" s="55"/>
    </row>
    <row r="248" spans="1:12" ht="12.75" customHeight="1" thickBot="1" x14ac:dyDescent="0.25">
      <c r="A248" s="60">
        <f t="shared" ref="A248:A263" si="110">SUM(B248:C248)</f>
        <v>0</v>
      </c>
      <c r="B248" s="60">
        <f t="shared" ref="B248:C263" si="111">H248+E248</f>
        <v>0</v>
      </c>
      <c r="C248" s="60">
        <f t="shared" si="111"/>
        <v>0</v>
      </c>
      <c r="D248" s="60">
        <f t="shared" ref="D248:D263" si="112">SUM(E248:F248)</f>
        <v>0</v>
      </c>
      <c r="E248" s="60">
        <v>0</v>
      </c>
      <c r="F248" s="60">
        <v>0</v>
      </c>
      <c r="G248" s="60">
        <f t="shared" ref="G248:G263" si="113">SUM(H248:I248)</f>
        <v>0</v>
      </c>
      <c r="H248" s="60">
        <v>0</v>
      </c>
      <c r="I248" s="60">
        <v>0</v>
      </c>
      <c r="J248" s="65" t="s">
        <v>222</v>
      </c>
      <c r="K248" s="66" t="s">
        <v>388</v>
      </c>
      <c r="L248" s="55"/>
    </row>
    <row r="249" spans="1:12" ht="12.75" customHeight="1" thickBot="1" x14ac:dyDescent="0.25">
      <c r="A249" s="60">
        <f t="shared" ref="A249:H249" si="114">SUM(A247:A248)</f>
        <v>316</v>
      </c>
      <c r="B249" s="60">
        <f t="shared" si="114"/>
        <v>0</v>
      </c>
      <c r="C249" s="60">
        <f t="shared" si="114"/>
        <v>316</v>
      </c>
      <c r="D249" s="60">
        <f t="shared" si="114"/>
        <v>6</v>
      </c>
      <c r="E249" s="60">
        <f t="shared" si="114"/>
        <v>0</v>
      </c>
      <c r="F249" s="60">
        <f t="shared" si="114"/>
        <v>6</v>
      </c>
      <c r="G249" s="60">
        <f t="shared" si="114"/>
        <v>310</v>
      </c>
      <c r="H249" s="60">
        <f t="shared" si="114"/>
        <v>0</v>
      </c>
      <c r="I249" s="60">
        <f>SUM(I247:I248)</f>
        <v>310</v>
      </c>
      <c r="J249" s="65" t="s">
        <v>13</v>
      </c>
      <c r="K249" s="67"/>
      <c r="L249" s="55"/>
    </row>
    <row r="250" spans="1:12" ht="12.75" customHeight="1" thickBot="1" x14ac:dyDescent="0.25">
      <c r="A250" s="60">
        <f t="shared" si="110"/>
        <v>133</v>
      </c>
      <c r="B250" s="60">
        <f t="shared" si="111"/>
        <v>0</v>
      </c>
      <c r="C250" s="60">
        <f t="shared" si="111"/>
        <v>133</v>
      </c>
      <c r="D250" s="60">
        <f t="shared" si="112"/>
        <v>2</v>
      </c>
      <c r="E250" s="60">
        <v>0</v>
      </c>
      <c r="F250" s="60">
        <v>2</v>
      </c>
      <c r="G250" s="60">
        <f t="shared" si="113"/>
        <v>131</v>
      </c>
      <c r="H250" s="60">
        <v>0</v>
      </c>
      <c r="I250" s="60">
        <v>131</v>
      </c>
      <c r="J250" s="65" t="s">
        <v>221</v>
      </c>
      <c r="K250" s="66"/>
      <c r="L250" s="55"/>
    </row>
    <row r="251" spans="1:12" ht="12.75" customHeight="1" thickBot="1" x14ac:dyDescent="0.25">
      <c r="A251" s="60">
        <f t="shared" si="110"/>
        <v>0</v>
      </c>
      <c r="B251" s="60">
        <f t="shared" si="111"/>
        <v>0</v>
      </c>
      <c r="C251" s="60">
        <f t="shared" si="111"/>
        <v>0</v>
      </c>
      <c r="D251" s="60">
        <f t="shared" si="112"/>
        <v>0</v>
      </c>
      <c r="E251" s="60">
        <v>0</v>
      </c>
      <c r="F251" s="60">
        <v>0</v>
      </c>
      <c r="G251" s="60">
        <f t="shared" si="113"/>
        <v>0</v>
      </c>
      <c r="H251" s="60">
        <v>0</v>
      </c>
      <c r="I251" s="60">
        <v>0</v>
      </c>
      <c r="J251" s="65" t="s">
        <v>222</v>
      </c>
      <c r="K251" s="66" t="s">
        <v>389</v>
      </c>
      <c r="L251" s="55"/>
    </row>
    <row r="252" spans="1:12" ht="12.75" customHeight="1" thickBot="1" x14ac:dyDescent="0.25">
      <c r="A252" s="60">
        <f t="shared" ref="A252:H252" si="115">SUM(A250:A251)</f>
        <v>133</v>
      </c>
      <c r="B252" s="60">
        <f t="shared" si="115"/>
        <v>0</v>
      </c>
      <c r="C252" s="60">
        <f t="shared" si="115"/>
        <v>133</v>
      </c>
      <c r="D252" s="60">
        <f t="shared" si="115"/>
        <v>2</v>
      </c>
      <c r="E252" s="60">
        <f t="shared" si="115"/>
        <v>0</v>
      </c>
      <c r="F252" s="60">
        <f t="shared" si="115"/>
        <v>2</v>
      </c>
      <c r="G252" s="60">
        <f t="shared" si="115"/>
        <v>131</v>
      </c>
      <c r="H252" s="60">
        <f t="shared" si="115"/>
        <v>0</v>
      </c>
      <c r="I252" s="60">
        <f>SUM(I250:I251)</f>
        <v>131</v>
      </c>
      <c r="J252" s="65" t="s">
        <v>13</v>
      </c>
      <c r="K252" s="67"/>
      <c r="L252" s="55"/>
    </row>
    <row r="253" spans="1:12" ht="12.75" customHeight="1" thickBot="1" x14ac:dyDescent="0.25">
      <c r="A253" s="60">
        <f t="shared" si="110"/>
        <v>290</v>
      </c>
      <c r="B253" s="60">
        <f t="shared" si="111"/>
        <v>0</v>
      </c>
      <c r="C253" s="60">
        <f t="shared" si="111"/>
        <v>290</v>
      </c>
      <c r="D253" s="60">
        <f t="shared" si="112"/>
        <v>15</v>
      </c>
      <c r="E253" s="60">
        <v>0</v>
      </c>
      <c r="F253" s="60">
        <v>15</v>
      </c>
      <c r="G253" s="60">
        <f t="shared" si="113"/>
        <v>275</v>
      </c>
      <c r="H253" s="60">
        <v>0</v>
      </c>
      <c r="I253" s="60">
        <v>275</v>
      </c>
      <c r="J253" s="65" t="s">
        <v>221</v>
      </c>
      <c r="K253" s="66"/>
      <c r="L253" s="55"/>
    </row>
    <row r="254" spans="1:12" ht="12.75" customHeight="1" thickBot="1" x14ac:dyDescent="0.25">
      <c r="A254" s="60">
        <f t="shared" si="110"/>
        <v>0</v>
      </c>
      <c r="B254" s="60">
        <f t="shared" si="111"/>
        <v>0</v>
      </c>
      <c r="C254" s="60">
        <f t="shared" si="111"/>
        <v>0</v>
      </c>
      <c r="D254" s="60">
        <f t="shared" si="112"/>
        <v>0</v>
      </c>
      <c r="E254" s="60">
        <v>0</v>
      </c>
      <c r="F254" s="60">
        <v>0</v>
      </c>
      <c r="G254" s="60">
        <f t="shared" si="113"/>
        <v>0</v>
      </c>
      <c r="H254" s="60">
        <v>0</v>
      </c>
      <c r="I254" s="60">
        <v>0</v>
      </c>
      <c r="J254" s="65" t="s">
        <v>222</v>
      </c>
      <c r="K254" s="66" t="s">
        <v>390</v>
      </c>
      <c r="L254" s="55"/>
    </row>
    <row r="255" spans="1:12" ht="12.75" customHeight="1" thickBot="1" x14ac:dyDescent="0.25">
      <c r="A255" s="60">
        <f t="shared" ref="A255:H255" si="116">SUM(A253:A254)</f>
        <v>290</v>
      </c>
      <c r="B255" s="60">
        <f t="shared" si="116"/>
        <v>0</v>
      </c>
      <c r="C255" s="60">
        <f t="shared" si="116"/>
        <v>290</v>
      </c>
      <c r="D255" s="60">
        <f t="shared" si="116"/>
        <v>15</v>
      </c>
      <c r="E255" s="60">
        <f t="shared" si="116"/>
        <v>0</v>
      </c>
      <c r="F255" s="60">
        <f t="shared" si="116"/>
        <v>15</v>
      </c>
      <c r="G255" s="60">
        <f t="shared" si="116"/>
        <v>275</v>
      </c>
      <c r="H255" s="60">
        <f t="shared" si="116"/>
        <v>0</v>
      </c>
      <c r="I255" s="60">
        <f>SUM(I253:I254)</f>
        <v>275</v>
      </c>
      <c r="J255" s="65" t="s">
        <v>13</v>
      </c>
      <c r="K255" s="67"/>
      <c r="L255" s="55"/>
    </row>
    <row r="256" spans="1:12" ht="12.75" customHeight="1" thickBot="1" x14ac:dyDescent="0.25">
      <c r="A256" s="60">
        <f t="shared" si="110"/>
        <v>181</v>
      </c>
      <c r="B256" s="60">
        <f t="shared" si="111"/>
        <v>0</v>
      </c>
      <c r="C256" s="60">
        <f t="shared" si="111"/>
        <v>181</v>
      </c>
      <c r="D256" s="60">
        <f t="shared" si="112"/>
        <v>53</v>
      </c>
      <c r="E256" s="60">
        <v>0</v>
      </c>
      <c r="F256" s="60">
        <v>53</v>
      </c>
      <c r="G256" s="60">
        <f t="shared" si="113"/>
        <v>128</v>
      </c>
      <c r="H256" s="60">
        <v>0</v>
      </c>
      <c r="I256" s="60">
        <v>128</v>
      </c>
      <c r="J256" s="65" t="s">
        <v>221</v>
      </c>
      <c r="K256" s="66"/>
      <c r="L256" s="55"/>
    </row>
    <row r="257" spans="1:12" ht="12.75" customHeight="1" thickBot="1" x14ac:dyDescent="0.25">
      <c r="A257" s="60">
        <f t="shared" si="110"/>
        <v>0</v>
      </c>
      <c r="B257" s="60">
        <f t="shared" si="111"/>
        <v>0</v>
      </c>
      <c r="C257" s="60">
        <f t="shared" si="111"/>
        <v>0</v>
      </c>
      <c r="D257" s="60">
        <f t="shared" si="112"/>
        <v>0</v>
      </c>
      <c r="E257" s="60">
        <v>0</v>
      </c>
      <c r="F257" s="60">
        <v>0</v>
      </c>
      <c r="G257" s="60">
        <f t="shared" si="113"/>
        <v>0</v>
      </c>
      <c r="H257" s="60">
        <v>0</v>
      </c>
      <c r="I257" s="60">
        <v>0</v>
      </c>
      <c r="J257" s="65" t="s">
        <v>222</v>
      </c>
      <c r="K257" s="66" t="s">
        <v>391</v>
      </c>
      <c r="L257" s="55"/>
    </row>
    <row r="258" spans="1:12" ht="12.75" customHeight="1" thickBot="1" x14ac:dyDescent="0.25">
      <c r="A258" s="60">
        <f t="shared" ref="A258:H258" si="117">SUM(A256:A257)</f>
        <v>181</v>
      </c>
      <c r="B258" s="60">
        <f t="shared" si="117"/>
        <v>0</v>
      </c>
      <c r="C258" s="60">
        <f t="shared" si="117"/>
        <v>181</v>
      </c>
      <c r="D258" s="60">
        <f t="shared" si="117"/>
        <v>53</v>
      </c>
      <c r="E258" s="60">
        <f t="shared" si="117"/>
        <v>0</v>
      </c>
      <c r="F258" s="60">
        <f t="shared" si="117"/>
        <v>53</v>
      </c>
      <c r="G258" s="60">
        <f t="shared" si="117"/>
        <v>128</v>
      </c>
      <c r="H258" s="60">
        <f t="shared" si="117"/>
        <v>0</v>
      </c>
      <c r="I258" s="60">
        <f>SUM(I256:I257)</f>
        <v>128</v>
      </c>
      <c r="J258" s="65" t="s">
        <v>13</v>
      </c>
      <c r="K258" s="67"/>
      <c r="L258" s="55"/>
    </row>
    <row r="259" spans="1:12" ht="12.75" customHeight="1" thickBot="1" x14ac:dyDescent="0.25">
      <c r="A259" s="60">
        <f t="shared" si="110"/>
        <v>15</v>
      </c>
      <c r="B259" s="60">
        <f t="shared" si="111"/>
        <v>0</v>
      </c>
      <c r="C259" s="60">
        <f t="shared" si="111"/>
        <v>15</v>
      </c>
      <c r="D259" s="60">
        <f t="shared" si="112"/>
        <v>2</v>
      </c>
      <c r="E259" s="60">
        <v>0</v>
      </c>
      <c r="F259" s="60">
        <v>2</v>
      </c>
      <c r="G259" s="60">
        <f t="shared" si="113"/>
        <v>13</v>
      </c>
      <c r="H259" s="60">
        <v>0</v>
      </c>
      <c r="I259" s="60">
        <v>13</v>
      </c>
      <c r="J259" s="65" t="s">
        <v>221</v>
      </c>
      <c r="K259" s="66"/>
      <c r="L259" s="55"/>
    </row>
    <row r="260" spans="1:12" ht="12.75" customHeight="1" thickBot="1" x14ac:dyDescent="0.25">
      <c r="A260" s="60">
        <f t="shared" si="110"/>
        <v>0</v>
      </c>
      <c r="B260" s="60">
        <f t="shared" si="111"/>
        <v>0</v>
      </c>
      <c r="C260" s="60">
        <f t="shared" si="111"/>
        <v>0</v>
      </c>
      <c r="D260" s="60">
        <f t="shared" si="112"/>
        <v>0</v>
      </c>
      <c r="E260" s="60">
        <v>0</v>
      </c>
      <c r="F260" s="60">
        <v>0</v>
      </c>
      <c r="G260" s="60">
        <f t="shared" si="113"/>
        <v>0</v>
      </c>
      <c r="H260" s="60">
        <v>0</v>
      </c>
      <c r="I260" s="60">
        <v>0</v>
      </c>
      <c r="J260" s="65" t="s">
        <v>222</v>
      </c>
      <c r="K260" s="66" t="s">
        <v>359</v>
      </c>
      <c r="L260" s="55"/>
    </row>
    <row r="261" spans="1:12" ht="12.75" customHeight="1" thickBot="1" x14ac:dyDescent="0.25">
      <c r="A261" s="60">
        <f t="shared" ref="A261:H261" si="118">SUM(A259:A260)</f>
        <v>15</v>
      </c>
      <c r="B261" s="60">
        <f t="shared" si="118"/>
        <v>0</v>
      </c>
      <c r="C261" s="60">
        <f t="shared" si="118"/>
        <v>15</v>
      </c>
      <c r="D261" s="60">
        <f t="shared" si="118"/>
        <v>2</v>
      </c>
      <c r="E261" s="60">
        <f t="shared" si="118"/>
        <v>0</v>
      </c>
      <c r="F261" s="60">
        <f t="shared" si="118"/>
        <v>2</v>
      </c>
      <c r="G261" s="60">
        <f t="shared" si="118"/>
        <v>13</v>
      </c>
      <c r="H261" s="60">
        <f t="shared" si="118"/>
        <v>0</v>
      </c>
      <c r="I261" s="60">
        <f>SUM(I259:I260)</f>
        <v>13</v>
      </c>
      <c r="J261" s="65" t="s">
        <v>13</v>
      </c>
      <c r="K261" s="67"/>
      <c r="L261" s="55"/>
    </row>
    <row r="262" spans="1:12" ht="12.75" customHeight="1" thickBot="1" x14ac:dyDescent="0.25">
      <c r="A262" s="60">
        <f t="shared" si="110"/>
        <v>25</v>
      </c>
      <c r="B262" s="60">
        <f t="shared" si="111"/>
        <v>0</v>
      </c>
      <c r="C262" s="60">
        <f t="shared" si="111"/>
        <v>25</v>
      </c>
      <c r="D262" s="60">
        <f t="shared" si="112"/>
        <v>8</v>
      </c>
      <c r="E262" s="60">
        <v>0</v>
      </c>
      <c r="F262" s="60">
        <v>8</v>
      </c>
      <c r="G262" s="60">
        <f t="shared" si="113"/>
        <v>17</v>
      </c>
      <c r="H262" s="60">
        <v>0</v>
      </c>
      <c r="I262" s="60">
        <v>17</v>
      </c>
      <c r="J262" s="65" t="s">
        <v>221</v>
      </c>
      <c r="K262" s="66"/>
      <c r="L262" s="55"/>
    </row>
    <row r="263" spans="1:12" ht="12.75" customHeight="1" thickBot="1" x14ac:dyDescent="0.25">
      <c r="A263" s="60">
        <f t="shared" si="110"/>
        <v>0</v>
      </c>
      <c r="B263" s="60">
        <f t="shared" si="111"/>
        <v>0</v>
      </c>
      <c r="C263" s="60">
        <f t="shared" si="111"/>
        <v>0</v>
      </c>
      <c r="D263" s="60">
        <f t="shared" si="112"/>
        <v>0</v>
      </c>
      <c r="E263" s="60">
        <v>0</v>
      </c>
      <c r="F263" s="60">
        <v>0</v>
      </c>
      <c r="G263" s="60">
        <f t="shared" si="113"/>
        <v>0</v>
      </c>
      <c r="H263" s="60">
        <v>0</v>
      </c>
      <c r="I263" s="60">
        <v>0</v>
      </c>
      <c r="J263" s="65" t="s">
        <v>222</v>
      </c>
      <c r="K263" s="66" t="s">
        <v>539</v>
      </c>
      <c r="L263" s="55"/>
    </row>
    <row r="264" spans="1:12" ht="12.75" customHeight="1" thickBot="1" x14ac:dyDescent="0.25">
      <c r="A264" s="60">
        <f t="shared" ref="A264:H264" si="119">SUM(A262:A263)</f>
        <v>25</v>
      </c>
      <c r="B264" s="60">
        <f t="shared" si="119"/>
        <v>0</v>
      </c>
      <c r="C264" s="60">
        <f t="shared" si="119"/>
        <v>25</v>
      </c>
      <c r="D264" s="60">
        <f t="shared" si="119"/>
        <v>8</v>
      </c>
      <c r="E264" s="60">
        <f t="shared" si="119"/>
        <v>0</v>
      </c>
      <c r="F264" s="60">
        <f t="shared" si="119"/>
        <v>8</v>
      </c>
      <c r="G264" s="60">
        <f t="shared" si="119"/>
        <v>17</v>
      </c>
      <c r="H264" s="60">
        <f t="shared" si="119"/>
        <v>0</v>
      </c>
      <c r="I264" s="60">
        <f>SUM(I262:I263)</f>
        <v>17</v>
      </c>
      <c r="J264" s="65" t="s">
        <v>13</v>
      </c>
      <c r="K264" s="67"/>
      <c r="L264" s="55"/>
    </row>
    <row r="265" spans="1:12" ht="12.75" customHeight="1" thickBot="1" x14ac:dyDescent="0.25">
      <c r="A265" s="60">
        <f t="shared" ref="A265:I267" si="120">A247+A250+A253+A256+A259+A262</f>
        <v>960</v>
      </c>
      <c r="B265" s="60">
        <f t="shared" si="120"/>
        <v>0</v>
      </c>
      <c r="C265" s="60">
        <f t="shared" si="120"/>
        <v>960</v>
      </c>
      <c r="D265" s="60">
        <f t="shared" si="120"/>
        <v>86</v>
      </c>
      <c r="E265" s="60">
        <f t="shared" si="120"/>
        <v>0</v>
      </c>
      <c r="F265" s="60">
        <f t="shared" si="120"/>
        <v>86</v>
      </c>
      <c r="G265" s="60">
        <f t="shared" si="120"/>
        <v>874</v>
      </c>
      <c r="H265" s="60">
        <f t="shared" si="120"/>
        <v>0</v>
      </c>
      <c r="I265" s="60">
        <f>I247+I250+I253+I256+I259+I262</f>
        <v>874</v>
      </c>
      <c r="J265" s="65" t="s">
        <v>224</v>
      </c>
      <c r="K265" s="57"/>
      <c r="L265" s="55"/>
    </row>
    <row r="266" spans="1:12" ht="12.75" customHeight="1" thickBot="1" x14ac:dyDescent="0.25">
      <c r="A266" s="60">
        <f t="shared" si="120"/>
        <v>0</v>
      </c>
      <c r="B266" s="60">
        <f t="shared" si="120"/>
        <v>0</v>
      </c>
      <c r="C266" s="60">
        <f t="shared" si="120"/>
        <v>0</v>
      </c>
      <c r="D266" s="60">
        <f t="shared" si="120"/>
        <v>0</v>
      </c>
      <c r="E266" s="60">
        <f t="shared" si="120"/>
        <v>0</v>
      </c>
      <c r="F266" s="60">
        <f t="shared" si="120"/>
        <v>0</v>
      </c>
      <c r="G266" s="60">
        <f t="shared" si="120"/>
        <v>0</v>
      </c>
      <c r="H266" s="60">
        <f t="shared" si="120"/>
        <v>0</v>
      </c>
      <c r="I266" s="60">
        <f t="shared" si="120"/>
        <v>0</v>
      </c>
      <c r="J266" s="65" t="s">
        <v>225</v>
      </c>
      <c r="K266" s="68" t="s">
        <v>211</v>
      </c>
      <c r="L266" s="55"/>
    </row>
    <row r="267" spans="1:12" ht="12.75" customHeight="1" thickBot="1" x14ac:dyDescent="0.25">
      <c r="A267" s="60">
        <f t="shared" si="120"/>
        <v>960</v>
      </c>
      <c r="B267" s="60">
        <f t="shared" si="120"/>
        <v>0</v>
      </c>
      <c r="C267" s="60">
        <f t="shared" si="120"/>
        <v>960</v>
      </c>
      <c r="D267" s="60">
        <f t="shared" si="120"/>
        <v>86</v>
      </c>
      <c r="E267" s="60">
        <f t="shared" si="120"/>
        <v>0</v>
      </c>
      <c r="F267" s="60">
        <f t="shared" si="120"/>
        <v>86</v>
      </c>
      <c r="G267" s="60">
        <f t="shared" si="120"/>
        <v>874</v>
      </c>
      <c r="H267" s="60">
        <f t="shared" si="120"/>
        <v>0</v>
      </c>
      <c r="I267" s="60">
        <f t="shared" si="120"/>
        <v>874</v>
      </c>
      <c r="J267" s="65" t="s">
        <v>13</v>
      </c>
      <c r="K267" s="59"/>
      <c r="L267" s="55"/>
    </row>
    <row r="268" spans="1:12" ht="12.75" customHeight="1" x14ac:dyDescent="0.2">
      <c r="A268" s="177" t="s">
        <v>597</v>
      </c>
      <c r="B268" s="177"/>
      <c r="C268" s="177"/>
      <c r="D268" s="177"/>
      <c r="E268" s="177"/>
      <c r="F268" s="177"/>
      <c r="G268" s="177"/>
      <c r="H268" s="177"/>
      <c r="I268" s="177"/>
      <c r="J268" s="177"/>
      <c r="K268" s="177"/>
      <c r="L268" s="55"/>
    </row>
    <row r="269" spans="1:12" ht="12.75" customHeight="1" thickBot="1" x14ac:dyDescent="0.25">
      <c r="A269" s="178" t="s">
        <v>598</v>
      </c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55"/>
    </row>
    <row r="270" spans="1:12" ht="12.75" customHeight="1" thickBot="1" x14ac:dyDescent="0.25">
      <c r="A270" s="179" t="s">
        <v>5</v>
      </c>
      <c r="B270" s="179"/>
      <c r="C270" s="179"/>
      <c r="D270" s="179" t="s">
        <v>162</v>
      </c>
      <c r="E270" s="179"/>
      <c r="F270" s="179"/>
      <c r="G270" s="179" t="s">
        <v>163</v>
      </c>
      <c r="H270" s="179"/>
      <c r="I270" s="179"/>
      <c r="J270" s="179" t="s">
        <v>72</v>
      </c>
      <c r="K270" s="179"/>
      <c r="L270" s="55"/>
    </row>
    <row r="271" spans="1:12" ht="12.75" customHeight="1" thickBot="1" x14ac:dyDescent="0.25">
      <c r="A271" s="58" t="s">
        <v>216</v>
      </c>
      <c r="B271" s="58" t="s">
        <v>11</v>
      </c>
      <c r="C271" s="58" t="s">
        <v>10</v>
      </c>
      <c r="D271" s="58" t="s">
        <v>216</v>
      </c>
      <c r="E271" s="58" t="s">
        <v>11</v>
      </c>
      <c r="F271" s="58" t="s">
        <v>10</v>
      </c>
      <c r="G271" s="58" t="s">
        <v>216</v>
      </c>
      <c r="H271" s="58" t="s">
        <v>11</v>
      </c>
      <c r="I271" s="58" t="s">
        <v>10</v>
      </c>
      <c r="J271" s="180" t="s">
        <v>80</v>
      </c>
      <c r="K271" s="180"/>
      <c r="L271" s="55"/>
    </row>
    <row r="272" spans="1:12" ht="12.75" customHeight="1" thickBot="1" x14ac:dyDescent="0.25">
      <c r="A272" s="60">
        <f>SUM(B272:C272)</f>
        <v>272</v>
      </c>
      <c r="B272" s="60">
        <f>H272+E272</f>
        <v>0</v>
      </c>
      <c r="C272" s="60">
        <f>I272+F272</f>
        <v>272</v>
      </c>
      <c r="D272" s="60">
        <f>SUM(E272:F272)</f>
        <v>0</v>
      </c>
      <c r="E272" s="60">
        <v>0</v>
      </c>
      <c r="F272" s="60">
        <v>0</v>
      </c>
      <c r="G272" s="60">
        <f>SUM(H272:I272)</f>
        <v>272</v>
      </c>
      <c r="H272" s="60">
        <v>0</v>
      </c>
      <c r="I272" s="60">
        <v>272</v>
      </c>
      <c r="J272" s="65" t="s">
        <v>221</v>
      </c>
      <c r="K272" s="66"/>
      <c r="L272" s="55"/>
    </row>
    <row r="273" spans="1:12" ht="12.75" customHeight="1" thickBot="1" x14ac:dyDescent="0.25">
      <c r="A273" s="60">
        <f t="shared" ref="A273:A330" si="121">SUM(B273:C273)</f>
        <v>0</v>
      </c>
      <c r="B273" s="60">
        <f t="shared" ref="B273:C330" si="122">H273+E273</f>
        <v>0</v>
      </c>
      <c r="C273" s="60">
        <f t="shared" si="122"/>
        <v>0</v>
      </c>
      <c r="D273" s="60">
        <f t="shared" ref="D273:D330" si="123">SUM(E273:F273)</f>
        <v>0</v>
      </c>
      <c r="E273" s="60">
        <v>0</v>
      </c>
      <c r="F273" s="60">
        <v>0</v>
      </c>
      <c r="G273" s="60">
        <f t="shared" ref="G273:G330" si="124">SUM(H273:I273)</f>
        <v>0</v>
      </c>
      <c r="H273" s="60">
        <v>0</v>
      </c>
      <c r="I273" s="60">
        <v>0</v>
      </c>
      <c r="J273" s="65" t="s">
        <v>222</v>
      </c>
      <c r="K273" s="66" t="s">
        <v>558</v>
      </c>
      <c r="L273" s="55"/>
    </row>
    <row r="274" spans="1:12" ht="12.75" customHeight="1" thickBot="1" x14ac:dyDescent="0.25">
      <c r="A274" s="60">
        <f t="shared" ref="A274:H274" si="125">SUM(A272:A273)</f>
        <v>272</v>
      </c>
      <c r="B274" s="60">
        <f t="shared" si="125"/>
        <v>0</v>
      </c>
      <c r="C274" s="60">
        <f t="shared" si="125"/>
        <v>272</v>
      </c>
      <c r="D274" s="60">
        <f t="shared" si="125"/>
        <v>0</v>
      </c>
      <c r="E274" s="60">
        <f t="shared" si="125"/>
        <v>0</v>
      </c>
      <c r="F274" s="60">
        <f t="shared" si="125"/>
        <v>0</v>
      </c>
      <c r="G274" s="60">
        <f t="shared" si="125"/>
        <v>272</v>
      </c>
      <c r="H274" s="60">
        <f t="shared" si="125"/>
        <v>0</v>
      </c>
      <c r="I274" s="60">
        <f>SUM(I272:I273)</f>
        <v>272</v>
      </c>
      <c r="J274" s="65" t="s">
        <v>13</v>
      </c>
      <c r="K274" s="67"/>
      <c r="L274" s="55"/>
    </row>
    <row r="275" spans="1:12" ht="12.75" customHeight="1" thickBot="1" x14ac:dyDescent="0.25">
      <c r="A275" s="60">
        <f t="shared" si="121"/>
        <v>54</v>
      </c>
      <c r="B275" s="60">
        <f t="shared" si="122"/>
        <v>0</v>
      </c>
      <c r="C275" s="60">
        <f t="shared" si="122"/>
        <v>54</v>
      </c>
      <c r="D275" s="60">
        <f t="shared" si="123"/>
        <v>6</v>
      </c>
      <c r="E275" s="60">
        <v>0</v>
      </c>
      <c r="F275" s="60">
        <v>6</v>
      </c>
      <c r="G275" s="60">
        <f t="shared" si="124"/>
        <v>48</v>
      </c>
      <c r="H275" s="60">
        <v>0</v>
      </c>
      <c r="I275" s="60">
        <v>48</v>
      </c>
      <c r="J275" s="65" t="s">
        <v>221</v>
      </c>
      <c r="K275" s="66"/>
      <c r="L275" s="55"/>
    </row>
    <row r="276" spans="1:12" ht="12.75" customHeight="1" thickBot="1" x14ac:dyDescent="0.25">
      <c r="A276" s="60">
        <f t="shared" si="121"/>
        <v>0</v>
      </c>
      <c r="B276" s="60">
        <f t="shared" si="122"/>
        <v>0</v>
      </c>
      <c r="C276" s="60">
        <f t="shared" si="122"/>
        <v>0</v>
      </c>
      <c r="D276" s="60">
        <f t="shared" si="123"/>
        <v>0</v>
      </c>
      <c r="E276" s="60">
        <v>0</v>
      </c>
      <c r="F276" s="60">
        <v>0</v>
      </c>
      <c r="G276" s="60">
        <f t="shared" si="124"/>
        <v>0</v>
      </c>
      <c r="H276" s="60">
        <v>0</v>
      </c>
      <c r="I276" s="60">
        <v>0</v>
      </c>
      <c r="J276" s="65" t="s">
        <v>222</v>
      </c>
      <c r="K276" s="66" t="s">
        <v>393</v>
      </c>
      <c r="L276" s="55"/>
    </row>
    <row r="277" spans="1:12" ht="12.75" customHeight="1" thickBot="1" x14ac:dyDescent="0.25">
      <c r="A277" s="60">
        <f t="shared" ref="A277:H277" si="126">SUM(A275:A276)</f>
        <v>54</v>
      </c>
      <c r="B277" s="60">
        <f t="shared" si="126"/>
        <v>0</v>
      </c>
      <c r="C277" s="60">
        <f t="shared" si="126"/>
        <v>54</v>
      </c>
      <c r="D277" s="60">
        <f t="shared" si="126"/>
        <v>6</v>
      </c>
      <c r="E277" s="60">
        <f t="shared" si="126"/>
        <v>0</v>
      </c>
      <c r="F277" s="60">
        <f t="shared" si="126"/>
        <v>6</v>
      </c>
      <c r="G277" s="60">
        <f t="shared" si="126"/>
        <v>48</v>
      </c>
      <c r="H277" s="60">
        <f t="shared" si="126"/>
        <v>0</v>
      </c>
      <c r="I277" s="60">
        <f>SUM(I275:I276)</f>
        <v>48</v>
      </c>
      <c r="J277" s="65" t="s">
        <v>13</v>
      </c>
      <c r="K277" s="67"/>
      <c r="L277" s="55"/>
    </row>
    <row r="278" spans="1:12" ht="12.75" customHeight="1" thickBot="1" x14ac:dyDescent="0.25">
      <c r="A278" s="60">
        <f t="shared" si="121"/>
        <v>368</v>
      </c>
      <c r="B278" s="60">
        <f t="shared" si="122"/>
        <v>267</v>
      </c>
      <c r="C278" s="60">
        <f t="shared" si="122"/>
        <v>101</v>
      </c>
      <c r="D278" s="60">
        <f t="shared" si="123"/>
        <v>4</v>
      </c>
      <c r="E278" s="60">
        <v>3</v>
      </c>
      <c r="F278" s="60">
        <v>1</v>
      </c>
      <c r="G278" s="60">
        <f t="shared" si="124"/>
        <v>364</v>
      </c>
      <c r="H278" s="60">
        <v>264</v>
      </c>
      <c r="I278" s="60">
        <v>100</v>
      </c>
      <c r="J278" s="65" t="s">
        <v>221</v>
      </c>
      <c r="K278" s="66"/>
      <c r="L278" s="55"/>
    </row>
    <row r="279" spans="1:12" ht="12.75" customHeight="1" thickBot="1" x14ac:dyDescent="0.25">
      <c r="A279" s="60">
        <f t="shared" si="121"/>
        <v>0</v>
      </c>
      <c r="B279" s="60">
        <f t="shared" si="122"/>
        <v>0</v>
      </c>
      <c r="C279" s="60">
        <f t="shared" si="122"/>
        <v>0</v>
      </c>
      <c r="D279" s="60">
        <f t="shared" si="123"/>
        <v>0</v>
      </c>
      <c r="E279" s="60">
        <v>0</v>
      </c>
      <c r="F279" s="60">
        <v>0</v>
      </c>
      <c r="G279" s="60">
        <f t="shared" si="124"/>
        <v>0</v>
      </c>
      <c r="H279" s="60">
        <v>0</v>
      </c>
      <c r="I279" s="60">
        <v>0</v>
      </c>
      <c r="J279" s="65" t="s">
        <v>222</v>
      </c>
      <c r="K279" s="66" t="s">
        <v>394</v>
      </c>
      <c r="L279" s="55"/>
    </row>
    <row r="280" spans="1:12" ht="12.75" customHeight="1" thickBot="1" x14ac:dyDescent="0.25">
      <c r="A280" s="60">
        <f t="shared" ref="A280:H280" si="127">SUM(A278:A279)</f>
        <v>368</v>
      </c>
      <c r="B280" s="60">
        <f t="shared" si="127"/>
        <v>267</v>
      </c>
      <c r="C280" s="60">
        <f t="shared" si="127"/>
        <v>101</v>
      </c>
      <c r="D280" s="60">
        <f t="shared" si="127"/>
        <v>4</v>
      </c>
      <c r="E280" s="60">
        <f t="shared" si="127"/>
        <v>3</v>
      </c>
      <c r="F280" s="60">
        <f t="shared" si="127"/>
        <v>1</v>
      </c>
      <c r="G280" s="60">
        <f t="shared" si="127"/>
        <v>364</v>
      </c>
      <c r="H280" s="60">
        <f t="shared" si="127"/>
        <v>264</v>
      </c>
      <c r="I280" s="60">
        <f>SUM(I278:I279)</f>
        <v>100</v>
      </c>
      <c r="J280" s="65" t="s">
        <v>13</v>
      </c>
      <c r="K280" s="67"/>
      <c r="L280" s="55"/>
    </row>
    <row r="281" spans="1:12" ht="12.75" customHeight="1" thickBot="1" x14ac:dyDescent="0.25">
      <c r="A281" s="60">
        <f t="shared" si="121"/>
        <v>225</v>
      </c>
      <c r="B281" s="60">
        <f t="shared" si="122"/>
        <v>0</v>
      </c>
      <c r="C281" s="60">
        <f t="shared" si="122"/>
        <v>225</v>
      </c>
      <c r="D281" s="60">
        <f t="shared" si="123"/>
        <v>4</v>
      </c>
      <c r="E281" s="60">
        <v>0</v>
      </c>
      <c r="F281" s="60">
        <v>4</v>
      </c>
      <c r="G281" s="60">
        <f t="shared" si="124"/>
        <v>221</v>
      </c>
      <c r="H281" s="60">
        <v>0</v>
      </c>
      <c r="I281" s="60">
        <v>221</v>
      </c>
      <c r="J281" s="65" t="s">
        <v>221</v>
      </c>
      <c r="K281" s="66"/>
      <c r="L281" s="55"/>
    </row>
    <row r="282" spans="1:12" ht="12.75" customHeight="1" thickBot="1" x14ac:dyDescent="0.25">
      <c r="A282" s="60">
        <f t="shared" si="121"/>
        <v>0</v>
      </c>
      <c r="B282" s="60">
        <f t="shared" si="122"/>
        <v>0</v>
      </c>
      <c r="C282" s="60">
        <f t="shared" si="122"/>
        <v>0</v>
      </c>
      <c r="D282" s="60">
        <f t="shared" si="123"/>
        <v>0</v>
      </c>
      <c r="E282" s="60">
        <v>0</v>
      </c>
      <c r="F282" s="60">
        <v>0</v>
      </c>
      <c r="G282" s="60">
        <f t="shared" si="124"/>
        <v>0</v>
      </c>
      <c r="H282" s="60">
        <v>0</v>
      </c>
      <c r="I282" s="60">
        <v>0</v>
      </c>
      <c r="J282" s="65" t="s">
        <v>222</v>
      </c>
      <c r="K282" s="66" t="s">
        <v>395</v>
      </c>
      <c r="L282" s="55"/>
    </row>
    <row r="283" spans="1:12" ht="12.75" customHeight="1" thickBot="1" x14ac:dyDescent="0.25">
      <c r="A283" s="60">
        <f t="shared" ref="A283:H283" si="128">SUM(A281:A282)</f>
        <v>225</v>
      </c>
      <c r="B283" s="60">
        <f t="shared" si="128"/>
        <v>0</v>
      </c>
      <c r="C283" s="60">
        <f t="shared" si="128"/>
        <v>225</v>
      </c>
      <c r="D283" s="60">
        <f t="shared" si="128"/>
        <v>4</v>
      </c>
      <c r="E283" s="60">
        <f t="shared" si="128"/>
        <v>0</v>
      </c>
      <c r="F283" s="60">
        <f t="shared" si="128"/>
        <v>4</v>
      </c>
      <c r="G283" s="60">
        <f t="shared" si="128"/>
        <v>221</v>
      </c>
      <c r="H283" s="60">
        <f t="shared" si="128"/>
        <v>0</v>
      </c>
      <c r="I283" s="60">
        <f>SUM(I281:I282)</f>
        <v>221</v>
      </c>
      <c r="J283" s="65" t="s">
        <v>13</v>
      </c>
      <c r="K283" s="67"/>
      <c r="L283" s="55"/>
    </row>
    <row r="284" spans="1:12" ht="12.75" customHeight="1" thickBot="1" x14ac:dyDescent="0.25">
      <c r="A284" s="60">
        <f t="shared" si="121"/>
        <v>576</v>
      </c>
      <c r="B284" s="60">
        <f t="shared" si="122"/>
        <v>381</v>
      </c>
      <c r="C284" s="60">
        <f t="shared" si="122"/>
        <v>195</v>
      </c>
      <c r="D284" s="60">
        <f t="shared" si="123"/>
        <v>3</v>
      </c>
      <c r="E284" s="60">
        <v>3</v>
      </c>
      <c r="F284" s="60">
        <v>0</v>
      </c>
      <c r="G284" s="60">
        <f t="shared" si="124"/>
        <v>573</v>
      </c>
      <c r="H284" s="60">
        <v>378</v>
      </c>
      <c r="I284" s="60">
        <v>195</v>
      </c>
      <c r="J284" s="65" t="s">
        <v>221</v>
      </c>
      <c r="K284" s="66"/>
      <c r="L284" s="55"/>
    </row>
    <row r="285" spans="1:12" ht="12.75" customHeight="1" thickBot="1" x14ac:dyDescent="0.25">
      <c r="A285" s="60">
        <f t="shared" si="121"/>
        <v>0</v>
      </c>
      <c r="B285" s="60">
        <f t="shared" si="122"/>
        <v>0</v>
      </c>
      <c r="C285" s="60">
        <f t="shared" si="122"/>
        <v>0</v>
      </c>
      <c r="D285" s="60">
        <f t="shared" si="123"/>
        <v>0</v>
      </c>
      <c r="E285" s="60">
        <v>0</v>
      </c>
      <c r="F285" s="60">
        <v>0</v>
      </c>
      <c r="G285" s="60">
        <f t="shared" si="124"/>
        <v>0</v>
      </c>
      <c r="H285" s="60">
        <v>0</v>
      </c>
      <c r="I285" s="60">
        <v>0</v>
      </c>
      <c r="J285" s="65" t="s">
        <v>222</v>
      </c>
      <c r="K285" s="66" t="s">
        <v>396</v>
      </c>
      <c r="L285" s="55"/>
    </row>
    <row r="286" spans="1:12" ht="12.75" customHeight="1" thickBot="1" x14ac:dyDescent="0.25">
      <c r="A286" s="60">
        <f t="shared" ref="A286:H286" si="129">SUM(A284:A285)</f>
        <v>576</v>
      </c>
      <c r="B286" s="60">
        <f t="shared" si="129"/>
        <v>381</v>
      </c>
      <c r="C286" s="60">
        <f t="shared" si="129"/>
        <v>195</v>
      </c>
      <c r="D286" s="60">
        <f t="shared" si="129"/>
        <v>3</v>
      </c>
      <c r="E286" s="60">
        <f t="shared" si="129"/>
        <v>3</v>
      </c>
      <c r="F286" s="60">
        <f t="shared" si="129"/>
        <v>0</v>
      </c>
      <c r="G286" s="60">
        <f t="shared" si="129"/>
        <v>573</v>
      </c>
      <c r="H286" s="60">
        <f t="shared" si="129"/>
        <v>378</v>
      </c>
      <c r="I286" s="60">
        <f>SUM(I284:I285)</f>
        <v>195</v>
      </c>
      <c r="J286" s="65" t="s">
        <v>13</v>
      </c>
      <c r="K286" s="67"/>
      <c r="L286" s="55"/>
    </row>
    <row r="287" spans="1:12" ht="12.75" customHeight="1" thickBot="1" x14ac:dyDescent="0.25">
      <c r="A287" s="60">
        <f t="shared" si="121"/>
        <v>413</v>
      </c>
      <c r="B287" s="60">
        <f t="shared" si="122"/>
        <v>140</v>
      </c>
      <c r="C287" s="60">
        <f t="shared" si="122"/>
        <v>273</v>
      </c>
      <c r="D287" s="60">
        <f t="shared" si="123"/>
        <v>8</v>
      </c>
      <c r="E287" s="60">
        <v>3</v>
      </c>
      <c r="F287" s="60">
        <v>5</v>
      </c>
      <c r="G287" s="60">
        <f t="shared" si="124"/>
        <v>405</v>
      </c>
      <c r="H287" s="60">
        <v>137</v>
      </c>
      <c r="I287" s="60">
        <v>268</v>
      </c>
      <c r="J287" s="65" t="s">
        <v>221</v>
      </c>
      <c r="K287" s="66"/>
      <c r="L287" s="55"/>
    </row>
    <row r="288" spans="1:12" ht="12.75" customHeight="1" thickBot="1" x14ac:dyDescent="0.25">
      <c r="A288" s="60">
        <f t="shared" si="121"/>
        <v>0</v>
      </c>
      <c r="B288" s="60">
        <f t="shared" si="122"/>
        <v>0</v>
      </c>
      <c r="C288" s="60">
        <f t="shared" si="122"/>
        <v>0</v>
      </c>
      <c r="D288" s="60">
        <f t="shared" si="123"/>
        <v>0</v>
      </c>
      <c r="E288" s="60">
        <v>0</v>
      </c>
      <c r="F288" s="60">
        <v>0</v>
      </c>
      <c r="G288" s="60">
        <f t="shared" si="124"/>
        <v>0</v>
      </c>
      <c r="H288" s="60">
        <v>0</v>
      </c>
      <c r="I288" s="60">
        <v>0</v>
      </c>
      <c r="J288" s="65" t="s">
        <v>222</v>
      </c>
      <c r="K288" s="66" t="s">
        <v>397</v>
      </c>
      <c r="L288" s="55"/>
    </row>
    <row r="289" spans="1:12" ht="12.75" customHeight="1" thickBot="1" x14ac:dyDescent="0.25">
      <c r="A289" s="60">
        <f t="shared" ref="A289:H289" si="130">SUM(A287:A288)</f>
        <v>413</v>
      </c>
      <c r="B289" s="60">
        <f t="shared" si="130"/>
        <v>140</v>
      </c>
      <c r="C289" s="60">
        <f t="shared" si="130"/>
        <v>273</v>
      </c>
      <c r="D289" s="60">
        <f t="shared" si="130"/>
        <v>8</v>
      </c>
      <c r="E289" s="60">
        <f t="shared" si="130"/>
        <v>3</v>
      </c>
      <c r="F289" s="60">
        <f t="shared" si="130"/>
        <v>5</v>
      </c>
      <c r="G289" s="60">
        <f t="shared" si="130"/>
        <v>405</v>
      </c>
      <c r="H289" s="60">
        <f t="shared" si="130"/>
        <v>137</v>
      </c>
      <c r="I289" s="60">
        <f>SUM(I287:I288)</f>
        <v>268</v>
      </c>
      <c r="J289" s="65" t="s">
        <v>13</v>
      </c>
      <c r="K289" s="67"/>
      <c r="L289" s="55"/>
    </row>
    <row r="290" spans="1:12" ht="12.75" customHeight="1" thickBot="1" x14ac:dyDescent="0.25">
      <c r="A290" s="60">
        <f t="shared" si="121"/>
        <v>286</v>
      </c>
      <c r="B290" s="60">
        <f t="shared" si="122"/>
        <v>186</v>
      </c>
      <c r="C290" s="60">
        <f t="shared" si="122"/>
        <v>100</v>
      </c>
      <c r="D290" s="60">
        <f t="shared" si="123"/>
        <v>5</v>
      </c>
      <c r="E290" s="60">
        <v>4</v>
      </c>
      <c r="F290" s="60">
        <v>1</v>
      </c>
      <c r="G290" s="60">
        <f t="shared" si="124"/>
        <v>281</v>
      </c>
      <c r="H290" s="60">
        <v>182</v>
      </c>
      <c r="I290" s="60">
        <v>99</v>
      </c>
      <c r="J290" s="65" t="s">
        <v>221</v>
      </c>
      <c r="K290" s="66"/>
      <c r="L290" s="55"/>
    </row>
    <row r="291" spans="1:12" ht="12.75" customHeight="1" thickBot="1" x14ac:dyDescent="0.25">
      <c r="A291" s="60">
        <f t="shared" si="121"/>
        <v>0</v>
      </c>
      <c r="B291" s="60">
        <f t="shared" si="122"/>
        <v>0</v>
      </c>
      <c r="C291" s="60">
        <f t="shared" si="122"/>
        <v>0</v>
      </c>
      <c r="D291" s="60">
        <f t="shared" si="123"/>
        <v>0</v>
      </c>
      <c r="E291" s="60">
        <v>0</v>
      </c>
      <c r="F291" s="60">
        <v>0</v>
      </c>
      <c r="G291" s="60">
        <f t="shared" si="124"/>
        <v>0</v>
      </c>
      <c r="H291" s="60">
        <v>0</v>
      </c>
      <c r="I291" s="60">
        <v>0</v>
      </c>
      <c r="J291" s="65" t="s">
        <v>222</v>
      </c>
      <c r="K291" s="66" t="s">
        <v>399</v>
      </c>
      <c r="L291" s="55"/>
    </row>
    <row r="292" spans="1:12" ht="12.75" customHeight="1" thickBot="1" x14ac:dyDescent="0.25">
      <c r="A292" s="60">
        <f t="shared" ref="A292:H292" si="131">SUM(A290:A291)</f>
        <v>286</v>
      </c>
      <c r="B292" s="60">
        <f t="shared" si="131"/>
        <v>186</v>
      </c>
      <c r="C292" s="60">
        <f t="shared" si="131"/>
        <v>100</v>
      </c>
      <c r="D292" s="60">
        <f t="shared" si="131"/>
        <v>5</v>
      </c>
      <c r="E292" s="60">
        <f t="shared" si="131"/>
        <v>4</v>
      </c>
      <c r="F292" s="60">
        <f t="shared" si="131"/>
        <v>1</v>
      </c>
      <c r="G292" s="60">
        <f t="shared" si="131"/>
        <v>281</v>
      </c>
      <c r="H292" s="60">
        <f t="shared" si="131"/>
        <v>182</v>
      </c>
      <c r="I292" s="60">
        <f>SUM(I290:I291)</f>
        <v>99</v>
      </c>
      <c r="J292" s="65" t="s">
        <v>13</v>
      </c>
      <c r="K292" s="67"/>
      <c r="L292" s="55"/>
    </row>
    <row r="293" spans="1:12" ht="12.75" customHeight="1" thickBot="1" x14ac:dyDescent="0.25">
      <c r="A293" s="60">
        <f t="shared" si="121"/>
        <v>138</v>
      </c>
      <c r="B293" s="60">
        <f t="shared" si="122"/>
        <v>47</v>
      </c>
      <c r="C293" s="60">
        <f t="shared" si="122"/>
        <v>91</v>
      </c>
      <c r="D293" s="60">
        <f t="shared" si="123"/>
        <v>4</v>
      </c>
      <c r="E293" s="60">
        <v>1</v>
      </c>
      <c r="F293" s="60">
        <v>3</v>
      </c>
      <c r="G293" s="60">
        <f t="shared" si="124"/>
        <v>134</v>
      </c>
      <c r="H293" s="60">
        <v>46</v>
      </c>
      <c r="I293" s="60">
        <v>88</v>
      </c>
      <c r="J293" s="65" t="s">
        <v>221</v>
      </c>
      <c r="K293" s="66"/>
      <c r="L293" s="55"/>
    </row>
    <row r="294" spans="1:12" ht="12.75" customHeight="1" thickBot="1" x14ac:dyDescent="0.25">
      <c r="A294" s="60">
        <f t="shared" si="121"/>
        <v>0</v>
      </c>
      <c r="B294" s="60">
        <f t="shared" si="122"/>
        <v>0</v>
      </c>
      <c r="C294" s="60">
        <f t="shared" si="122"/>
        <v>0</v>
      </c>
      <c r="D294" s="60">
        <f t="shared" si="123"/>
        <v>0</v>
      </c>
      <c r="E294" s="60">
        <v>0</v>
      </c>
      <c r="F294" s="60">
        <v>0</v>
      </c>
      <c r="G294" s="60">
        <f t="shared" si="124"/>
        <v>0</v>
      </c>
      <c r="H294" s="60">
        <v>0</v>
      </c>
      <c r="I294" s="60">
        <v>0</v>
      </c>
      <c r="J294" s="65" t="s">
        <v>222</v>
      </c>
      <c r="K294" s="66" t="s">
        <v>401</v>
      </c>
      <c r="L294" s="55"/>
    </row>
    <row r="295" spans="1:12" ht="12.75" customHeight="1" thickBot="1" x14ac:dyDescent="0.25">
      <c r="A295" s="60">
        <f t="shared" ref="A295:H295" si="132">SUM(A293:A294)</f>
        <v>138</v>
      </c>
      <c r="B295" s="60">
        <f t="shared" si="132"/>
        <v>47</v>
      </c>
      <c r="C295" s="60">
        <f t="shared" si="132"/>
        <v>91</v>
      </c>
      <c r="D295" s="60">
        <f t="shared" si="132"/>
        <v>4</v>
      </c>
      <c r="E295" s="60">
        <f t="shared" si="132"/>
        <v>1</v>
      </c>
      <c r="F295" s="60">
        <f t="shared" si="132"/>
        <v>3</v>
      </c>
      <c r="G295" s="60">
        <f t="shared" si="132"/>
        <v>134</v>
      </c>
      <c r="H295" s="60">
        <f t="shared" si="132"/>
        <v>46</v>
      </c>
      <c r="I295" s="60">
        <f>SUM(I293:I294)</f>
        <v>88</v>
      </c>
      <c r="J295" s="65" t="s">
        <v>13</v>
      </c>
      <c r="K295" s="67"/>
      <c r="L295" s="55"/>
    </row>
    <row r="296" spans="1:12" ht="12.75" customHeight="1" thickBot="1" x14ac:dyDescent="0.25">
      <c r="A296" s="60">
        <f t="shared" si="121"/>
        <v>173</v>
      </c>
      <c r="B296" s="60">
        <f t="shared" si="122"/>
        <v>73</v>
      </c>
      <c r="C296" s="60">
        <f t="shared" si="122"/>
        <v>100</v>
      </c>
      <c r="D296" s="60">
        <f t="shared" si="123"/>
        <v>9</v>
      </c>
      <c r="E296" s="60">
        <v>6</v>
      </c>
      <c r="F296" s="60">
        <v>3</v>
      </c>
      <c r="G296" s="60">
        <f t="shared" si="124"/>
        <v>164</v>
      </c>
      <c r="H296" s="60">
        <v>67</v>
      </c>
      <c r="I296" s="60">
        <v>97</v>
      </c>
      <c r="J296" s="65" t="s">
        <v>221</v>
      </c>
      <c r="K296" s="66"/>
      <c r="L296" s="55"/>
    </row>
    <row r="297" spans="1:12" ht="12.75" customHeight="1" thickBot="1" x14ac:dyDescent="0.25">
      <c r="A297" s="60">
        <f t="shared" si="121"/>
        <v>0</v>
      </c>
      <c r="B297" s="60">
        <f t="shared" si="122"/>
        <v>0</v>
      </c>
      <c r="C297" s="60">
        <f t="shared" si="122"/>
        <v>0</v>
      </c>
      <c r="D297" s="60">
        <f t="shared" si="123"/>
        <v>0</v>
      </c>
      <c r="E297" s="60">
        <v>0</v>
      </c>
      <c r="F297" s="60">
        <v>0</v>
      </c>
      <c r="G297" s="60">
        <f t="shared" si="124"/>
        <v>0</v>
      </c>
      <c r="H297" s="60">
        <v>0</v>
      </c>
      <c r="I297" s="60">
        <v>0</v>
      </c>
      <c r="J297" s="65" t="s">
        <v>222</v>
      </c>
      <c r="K297" s="66" t="s">
        <v>402</v>
      </c>
      <c r="L297" s="55"/>
    </row>
    <row r="298" spans="1:12" ht="12.75" customHeight="1" thickBot="1" x14ac:dyDescent="0.25">
      <c r="A298" s="60">
        <f t="shared" ref="A298:H298" si="133">SUM(A296:A297)</f>
        <v>173</v>
      </c>
      <c r="B298" s="60">
        <f t="shared" si="133"/>
        <v>73</v>
      </c>
      <c r="C298" s="60">
        <f t="shared" si="133"/>
        <v>100</v>
      </c>
      <c r="D298" s="60">
        <f t="shared" si="133"/>
        <v>9</v>
      </c>
      <c r="E298" s="60">
        <f t="shared" si="133"/>
        <v>6</v>
      </c>
      <c r="F298" s="60">
        <f t="shared" si="133"/>
        <v>3</v>
      </c>
      <c r="G298" s="60">
        <f t="shared" si="133"/>
        <v>164</v>
      </c>
      <c r="H298" s="60">
        <f t="shared" si="133"/>
        <v>67</v>
      </c>
      <c r="I298" s="60">
        <f>SUM(I296:I297)</f>
        <v>97</v>
      </c>
      <c r="J298" s="65" t="s">
        <v>13</v>
      </c>
      <c r="K298" s="67"/>
      <c r="L298" s="55"/>
    </row>
    <row r="299" spans="1:12" ht="12.75" customHeight="1" thickBot="1" x14ac:dyDescent="0.25">
      <c r="A299" s="60">
        <f t="shared" si="121"/>
        <v>116</v>
      </c>
      <c r="B299" s="60">
        <f t="shared" si="122"/>
        <v>65</v>
      </c>
      <c r="C299" s="60">
        <f t="shared" si="122"/>
        <v>51</v>
      </c>
      <c r="D299" s="60">
        <f t="shared" si="123"/>
        <v>0</v>
      </c>
      <c r="E299" s="60">
        <v>0</v>
      </c>
      <c r="F299" s="60">
        <v>0</v>
      </c>
      <c r="G299" s="60">
        <f t="shared" si="124"/>
        <v>116</v>
      </c>
      <c r="H299" s="60">
        <v>65</v>
      </c>
      <c r="I299" s="60">
        <v>51</v>
      </c>
      <c r="J299" s="65" t="s">
        <v>221</v>
      </c>
      <c r="K299" s="66"/>
      <c r="L299" s="55"/>
    </row>
    <row r="300" spans="1:12" ht="12.75" customHeight="1" thickBot="1" x14ac:dyDescent="0.25">
      <c r="A300" s="60">
        <f t="shared" si="121"/>
        <v>0</v>
      </c>
      <c r="B300" s="60">
        <f t="shared" si="122"/>
        <v>0</v>
      </c>
      <c r="C300" s="60">
        <f t="shared" si="122"/>
        <v>0</v>
      </c>
      <c r="D300" s="60">
        <f t="shared" si="123"/>
        <v>0</v>
      </c>
      <c r="E300" s="60">
        <v>0</v>
      </c>
      <c r="F300" s="60">
        <v>0</v>
      </c>
      <c r="G300" s="60">
        <f t="shared" si="124"/>
        <v>0</v>
      </c>
      <c r="H300" s="60">
        <v>0</v>
      </c>
      <c r="I300" s="60">
        <v>0</v>
      </c>
      <c r="J300" s="65" t="s">
        <v>222</v>
      </c>
      <c r="K300" s="66" t="s">
        <v>404</v>
      </c>
      <c r="L300" s="55"/>
    </row>
    <row r="301" spans="1:12" ht="12.75" customHeight="1" thickBot="1" x14ac:dyDescent="0.25">
      <c r="A301" s="60">
        <f t="shared" ref="A301:H301" si="134">SUM(A299:A300)</f>
        <v>116</v>
      </c>
      <c r="B301" s="60">
        <f t="shared" si="134"/>
        <v>65</v>
      </c>
      <c r="C301" s="60">
        <f t="shared" si="134"/>
        <v>51</v>
      </c>
      <c r="D301" s="60">
        <f t="shared" si="134"/>
        <v>0</v>
      </c>
      <c r="E301" s="60">
        <f t="shared" si="134"/>
        <v>0</v>
      </c>
      <c r="F301" s="60">
        <f t="shared" si="134"/>
        <v>0</v>
      </c>
      <c r="G301" s="60">
        <f t="shared" si="134"/>
        <v>116</v>
      </c>
      <c r="H301" s="60">
        <f t="shared" si="134"/>
        <v>65</v>
      </c>
      <c r="I301" s="60">
        <f>SUM(I299:I300)</f>
        <v>51</v>
      </c>
      <c r="J301" s="65" t="s">
        <v>13</v>
      </c>
      <c r="K301" s="67"/>
      <c r="L301" s="55"/>
    </row>
    <row r="302" spans="1:12" ht="12.75" customHeight="1" thickBot="1" x14ac:dyDescent="0.25">
      <c r="A302" s="60">
        <f t="shared" si="121"/>
        <v>50</v>
      </c>
      <c r="B302" s="60">
        <f t="shared" si="122"/>
        <v>50</v>
      </c>
      <c r="C302" s="60">
        <f t="shared" si="122"/>
        <v>0</v>
      </c>
      <c r="D302" s="60">
        <f t="shared" si="123"/>
        <v>0</v>
      </c>
      <c r="E302" s="60">
        <v>0</v>
      </c>
      <c r="F302" s="60">
        <v>0</v>
      </c>
      <c r="G302" s="60">
        <f t="shared" si="124"/>
        <v>50</v>
      </c>
      <c r="H302" s="60">
        <v>50</v>
      </c>
      <c r="I302" s="60">
        <v>0</v>
      </c>
      <c r="J302" s="65" t="s">
        <v>221</v>
      </c>
      <c r="K302" s="66"/>
      <c r="L302" s="55"/>
    </row>
    <row r="303" spans="1:12" ht="12.75" customHeight="1" thickBot="1" x14ac:dyDescent="0.25">
      <c r="A303" s="60">
        <f t="shared" si="121"/>
        <v>0</v>
      </c>
      <c r="B303" s="60">
        <f t="shared" si="122"/>
        <v>0</v>
      </c>
      <c r="C303" s="60">
        <f t="shared" si="122"/>
        <v>0</v>
      </c>
      <c r="D303" s="60">
        <f t="shared" si="123"/>
        <v>0</v>
      </c>
      <c r="E303" s="60">
        <v>0</v>
      </c>
      <c r="F303" s="60">
        <v>0</v>
      </c>
      <c r="G303" s="60">
        <f t="shared" si="124"/>
        <v>0</v>
      </c>
      <c r="H303" s="60">
        <v>0</v>
      </c>
      <c r="I303" s="60">
        <v>0</v>
      </c>
      <c r="J303" s="65" t="s">
        <v>222</v>
      </c>
      <c r="K303" s="66" t="s">
        <v>405</v>
      </c>
      <c r="L303" s="55"/>
    </row>
    <row r="304" spans="1:12" ht="12.75" customHeight="1" thickBot="1" x14ac:dyDescent="0.25">
      <c r="A304" s="60">
        <f t="shared" ref="A304:H304" si="135">SUM(A302:A303)</f>
        <v>50</v>
      </c>
      <c r="B304" s="60">
        <f t="shared" si="135"/>
        <v>50</v>
      </c>
      <c r="C304" s="60">
        <f t="shared" si="135"/>
        <v>0</v>
      </c>
      <c r="D304" s="60">
        <f t="shared" si="135"/>
        <v>0</v>
      </c>
      <c r="E304" s="60">
        <f t="shared" si="135"/>
        <v>0</v>
      </c>
      <c r="F304" s="60">
        <f t="shared" si="135"/>
        <v>0</v>
      </c>
      <c r="G304" s="60">
        <f t="shared" si="135"/>
        <v>50</v>
      </c>
      <c r="H304" s="60">
        <f t="shared" si="135"/>
        <v>50</v>
      </c>
      <c r="I304" s="60">
        <f>SUM(I302:I303)</f>
        <v>0</v>
      </c>
      <c r="J304" s="65" t="s">
        <v>13</v>
      </c>
      <c r="K304" s="67"/>
      <c r="L304" s="55"/>
    </row>
    <row r="305" spans="1:12" ht="12.75" customHeight="1" thickBot="1" x14ac:dyDescent="0.25">
      <c r="A305" s="60">
        <f t="shared" si="121"/>
        <v>1382</v>
      </c>
      <c r="B305" s="60">
        <f t="shared" si="122"/>
        <v>1382</v>
      </c>
      <c r="C305" s="60">
        <f t="shared" si="122"/>
        <v>0</v>
      </c>
      <c r="D305" s="60">
        <f t="shared" si="123"/>
        <v>0</v>
      </c>
      <c r="E305" s="60">
        <v>0</v>
      </c>
      <c r="F305" s="60">
        <v>0</v>
      </c>
      <c r="G305" s="60">
        <f t="shared" si="124"/>
        <v>1382</v>
      </c>
      <c r="H305" s="60">
        <f>1479-97</f>
        <v>1382</v>
      </c>
      <c r="I305" s="60">
        <v>0</v>
      </c>
      <c r="J305" s="65" t="s">
        <v>221</v>
      </c>
      <c r="K305" s="66"/>
      <c r="L305" s="55"/>
    </row>
    <row r="306" spans="1:12" ht="12.75" customHeight="1" thickBot="1" x14ac:dyDescent="0.25">
      <c r="A306" s="60">
        <f t="shared" si="121"/>
        <v>68</v>
      </c>
      <c r="B306" s="60">
        <f t="shared" si="122"/>
        <v>68</v>
      </c>
      <c r="C306" s="60">
        <f t="shared" si="122"/>
        <v>0</v>
      </c>
      <c r="D306" s="60">
        <f t="shared" si="123"/>
        <v>0</v>
      </c>
      <c r="E306" s="60">
        <v>0</v>
      </c>
      <c r="F306" s="60">
        <v>0</v>
      </c>
      <c r="G306" s="60">
        <f t="shared" si="124"/>
        <v>68</v>
      </c>
      <c r="H306" s="60">
        <v>68</v>
      </c>
      <c r="I306" s="60">
        <v>0</v>
      </c>
      <c r="J306" s="65" t="s">
        <v>222</v>
      </c>
      <c r="K306" s="66" t="s">
        <v>407</v>
      </c>
      <c r="L306" s="55"/>
    </row>
    <row r="307" spans="1:12" ht="12.75" customHeight="1" thickBot="1" x14ac:dyDescent="0.25">
      <c r="A307" s="60">
        <f t="shared" ref="A307:H307" si="136">SUM(A305:A306)</f>
        <v>1450</v>
      </c>
      <c r="B307" s="60">
        <f t="shared" si="136"/>
        <v>1450</v>
      </c>
      <c r="C307" s="60">
        <f t="shared" si="136"/>
        <v>0</v>
      </c>
      <c r="D307" s="60">
        <f t="shared" si="136"/>
        <v>0</v>
      </c>
      <c r="E307" s="60">
        <f t="shared" si="136"/>
        <v>0</v>
      </c>
      <c r="F307" s="60">
        <f t="shared" si="136"/>
        <v>0</v>
      </c>
      <c r="G307" s="60">
        <f t="shared" si="136"/>
        <v>1450</v>
      </c>
      <c r="H307" s="60">
        <f t="shared" si="136"/>
        <v>1450</v>
      </c>
      <c r="I307" s="60">
        <f>SUM(I305:I306)</f>
        <v>0</v>
      </c>
      <c r="J307" s="65" t="s">
        <v>13</v>
      </c>
      <c r="K307" s="67"/>
      <c r="L307" s="55"/>
    </row>
    <row r="308" spans="1:12" ht="12.75" customHeight="1" thickBot="1" x14ac:dyDescent="0.25">
      <c r="A308" s="60">
        <f t="shared" si="121"/>
        <v>336</v>
      </c>
      <c r="B308" s="60">
        <f t="shared" si="122"/>
        <v>336</v>
      </c>
      <c r="C308" s="60">
        <f t="shared" si="122"/>
        <v>0</v>
      </c>
      <c r="D308" s="60">
        <f t="shared" si="123"/>
        <v>0</v>
      </c>
      <c r="E308" s="60">
        <v>0</v>
      </c>
      <c r="F308" s="60">
        <v>0</v>
      </c>
      <c r="G308" s="60">
        <f t="shared" si="124"/>
        <v>336</v>
      </c>
      <c r="H308" s="60">
        <v>336</v>
      </c>
      <c r="I308" s="60">
        <v>0</v>
      </c>
      <c r="J308" s="65" t="s">
        <v>221</v>
      </c>
      <c r="K308" s="66"/>
      <c r="L308" s="55"/>
    </row>
    <row r="309" spans="1:12" ht="12.75" customHeight="1" thickBot="1" x14ac:dyDescent="0.25">
      <c r="A309" s="60">
        <f t="shared" si="121"/>
        <v>1</v>
      </c>
      <c r="B309" s="60">
        <f t="shared" si="122"/>
        <v>1</v>
      </c>
      <c r="C309" s="60">
        <f t="shared" si="122"/>
        <v>0</v>
      </c>
      <c r="D309" s="60">
        <f t="shared" si="123"/>
        <v>0</v>
      </c>
      <c r="E309" s="60">
        <v>0</v>
      </c>
      <c r="F309" s="60">
        <v>0</v>
      </c>
      <c r="G309" s="60">
        <f t="shared" si="124"/>
        <v>1</v>
      </c>
      <c r="H309" s="60">
        <v>1</v>
      </c>
      <c r="I309" s="60">
        <v>0</v>
      </c>
      <c r="J309" s="65" t="s">
        <v>222</v>
      </c>
      <c r="K309" s="66" t="s">
        <v>408</v>
      </c>
      <c r="L309" s="55"/>
    </row>
    <row r="310" spans="1:12" ht="12.75" customHeight="1" thickBot="1" x14ac:dyDescent="0.25">
      <c r="A310" s="60">
        <f t="shared" ref="A310:H310" si="137">SUM(A308:A309)</f>
        <v>337</v>
      </c>
      <c r="B310" s="60">
        <f t="shared" si="137"/>
        <v>337</v>
      </c>
      <c r="C310" s="60">
        <f t="shared" si="137"/>
        <v>0</v>
      </c>
      <c r="D310" s="60">
        <f t="shared" si="137"/>
        <v>0</v>
      </c>
      <c r="E310" s="60">
        <f t="shared" si="137"/>
        <v>0</v>
      </c>
      <c r="F310" s="60">
        <f t="shared" si="137"/>
        <v>0</v>
      </c>
      <c r="G310" s="60">
        <f t="shared" si="137"/>
        <v>337</v>
      </c>
      <c r="H310" s="60">
        <f t="shared" si="137"/>
        <v>337</v>
      </c>
      <c r="I310" s="60">
        <f>SUM(I308:I309)</f>
        <v>0</v>
      </c>
      <c r="J310" s="65" t="s">
        <v>13</v>
      </c>
      <c r="K310" s="67"/>
      <c r="L310" s="55"/>
    </row>
    <row r="311" spans="1:12" ht="12.75" customHeight="1" thickBot="1" x14ac:dyDescent="0.25">
      <c r="A311" s="60">
        <f t="shared" si="121"/>
        <v>300</v>
      </c>
      <c r="B311" s="60">
        <f t="shared" si="122"/>
        <v>300</v>
      </c>
      <c r="C311" s="60">
        <f t="shared" si="122"/>
        <v>0</v>
      </c>
      <c r="D311" s="60">
        <f t="shared" si="123"/>
        <v>0</v>
      </c>
      <c r="E311" s="60">
        <v>0</v>
      </c>
      <c r="F311" s="60">
        <v>0</v>
      </c>
      <c r="G311" s="60">
        <f t="shared" si="124"/>
        <v>300</v>
      </c>
      <c r="H311" s="60">
        <v>300</v>
      </c>
      <c r="I311" s="60">
        <v>0</v>
      </c>
      <c r="J311" s="65" t="s">
        <v>221</v>
      </c>
      <c r="K311" s="66"/>
      <c r="L311" s="55"/>
    </row>
    <row r="312" spans="1:12" ht="12.75" customHeight="1" thickBot="1" x14ac:dyDescent="0.25">
      <c r="A312" s="60">
        <f t="shared" si="121"/>
        <v>4</v>
      </c>
      <c r="B312" s="60">
        <f t="shared" si="122"/>
        <v>4</v>
      </c>
      <c r="C312" s="60">
        <f t="shared" si="122"/>
        <v>0</v>
      </c>
      <c r="D312" s="60">
        <f t="shared" si="123"/>
        <v>0</v>
      </c>
      <c r="E312" s="60">
        <v>0</v>
      </c>
      <c r="F312" s="60">
        <v>0</v>
      </c>
      <c r="G312" s="60">
        <f t="shared" si="124"/>
        <v>4</v>
      </c>
      <c r="H312" s="60">
        <v>4</v>
      </c>
      <c r="I312" s="60">
        <v>0</v>
      </c>
      <c r="J312" s="65" t="s">
        <v>222</v>
      </c>
      <c r="K312" s="66" t="s">
        <v>409</v>
      </c>
      <c r="L312" s="55"/>
    </row>
    <row r="313" spans="1:12" ht="12.75" customHeight="1" thickBot="1" x14ac:dyDescent="0.25">
      <c r="A313" s="60">
        <f t="shared" ref="A313:H313" si="138">SUM(A311:A312)</f>
        <v>304</v>
      </c>
      <c r="B313" s="60">
        <f t="shared" si="138"/>
        <v>304</v>
      </c>
      <c r="C313" s="60">
        <f t="shared" si="138"/>
        <v>0</v>
      </c>
      <c r="D313" s="60">
        <f t="shared" si="138"/>
        <v>0</v>
      </c>
      <c r="E313" s="60">
        <f t="shared" si="138"/>
        <v>0</v>
      </c>
      <c r="F313" s="60">
        <f t="shared" si="138"/>
        <v>0</v>
      </c>
      <c r="G313" s="60">
        <f t="shared" si="138"/>
        <v>304</v>
      </c>
      <c r="H313" s="60">
        <f t="shared" si="138"/>
        <v>304</v>
      </c>
      <c r="I313" s="60">
        <f>SUM(I311:I312)</f>
        <v>0</v>
      </c>
      <c r="J313" s="65" t="s">
        <v>13</v>
      </c>
      <c r="K313" s="67"/>
      <c r="L313" s="55"/>
    </row>
    <row r="314" spans="1:12" ht="12.75" customHeight="1" thickBot="1" x14ac:dyDescent="0.25">
      <c r="A314" s="60">
        <f t="shared" si="121"/>
        <v>587</v>
      </c>
      <c r="B314" s="60">
        <f t="shared" si="122"/>
        <v>587</v>
      </c>
      <c r="C314" s="60">
        <f t="shared" si="122"/>
        <v>0</v>
      </c>
      <c r="D314" s="60">
        <f t="shared" si="123"/>
        <v>0</v>
      </c>
      <c r="E314" s="60">
        <v>0</v>
      </c>
      <c r="F314" s="60">
        <v>0</v>
      </c>
      <c r="G314" s="60">
        <f t="shared" si="124"/>
        <v>587</v>
      </c>
      <c r="H314" s="60">
        <v>587</v>
      </c>
      <c r="I314" s="60">
        <v>0</v>
      </c>
      <c r="J314" s="65" t="s">
        <v>221</v>
      </c>
      <c r="K314" s="66"/>
      <c r="L314" s="55"/>
    </row>
    <row r="315" spans="1:12" ht="12.75" customHeight="1" thickBot="1" x14ac:dyDescent="0.25">
      <c r="A315" s="60">
        <f t="shared" si="121"/>
        <v>28</v>
      </c>
      <c r="B315" s="60">
        <f t="shared" si="122"/>
        <v>28</v>
      </c>
      <c r="C315" s="60">
        <f t="shared" si="122"/>
        <v>0</v>
      </c>
      <c r="D315" s="60">
        <f t="shared" si="123"/>
        <v>0</v>
      </c>
      <c r="E315" s="60">
        <v>0</v>
      </c>
      <c r="F315" s="60">
        <v>0</v>
      </c>
      <c r="G315" s="60">
        <f t="shared" si="124"/>
        <v>28</v>
      </c>
      <c r="H315" s="60">
        <v>28</v>
      </c>
      <c r="I315" s="60">
        <v>0</v>
      </c>
      <c r="J315" s="65" t="s">
        <v>222</v>
      </c>
      <c r="K315" s="66" t="s">
        <v>410</v>
      </c>
      <c r="L315" s="55"/>
    </row>
    <row r="316" spans="1:12" ht="12.75" customHeight="1" thickBot="1" x14ac:dyDescent="0.25">
      <c r="A316" s="60">
        <f t="shared" ref="A316:H316" si="139">SUM(A314:A315)</f>
        <v>615</v>
      </c>
      <c r="B316" s="60">
        <f t="shared" si="139"/>
        <v>615</v>
      </c>
      <c r="C316" s="60">
        <f t="shared" si="139"/>
        <v>0</v>
      </c>
      <c r="D316" s="60">
        <f t="shared" si="139"/>
        <v>0</v>
      </c>
      <c r="E316" s="60">
        <f t="shared" si="139"/>
        <v>0</v>
      </c>
      <c r="F316" s="60">
        <f t="shared" si="139"/>
        <v>0</v>
      </c>
      <c r="G316" s="60">
        <f t="shared" si="139"/>
        <v>615</v>
      </c>
      <c r="H316" s="60">
        <f t="shared" si="139"/>
        <v>615</v>
      </c>
      <c r="I316" s="60">
        <f>SUM(I314:I315)</f>
        <v>0</v>
      </c>
      <c r="J316" s="65" t="s">
        <v>13</v>
      </c>
      <c r="K316" s="67"/>
      <c r="L316" s="55"/>
    </row>
    <row r="317" spans="1:12" ht="12.75" customHeight="1" thickBot="1" x14ac:dyDescent="0.25">
      <c r="A317" s="60">
        <f t="shared" si="121"/>
        <v>973</v>
      </c>
      <c r="B317" s="60">
        <f t="shared" si="122"/>
        <v>973</v>
      </c>
      <c r="C317" s="60">
        <f t="shared" si="122"/>
        <v>0</v>
      </c>
      <c r="D317" s="60">
        <f t="shared" si="123"/>
        <v>3</v>
      </c>
      <c r="E317" s="60">
        <v>3</v>
      </c>
      <c r="F317" s="60">
        <v>0</v>
      </c>
      <c r="G317" s="60">
        <f t="shared" si="124"/>
        <v>970</v>
      </c>
      <c r="H317" s="60">
        <f>1067-97</f>
        <v>970</v>
      </c>
      <c r="I317" s="60">
        <v>0</v>
      </c>
      <c r="J317" s="65" t="s">
        <v>221</v>
      </c>
      <c r="K317" s="66"/>
      <c r="L317" s="55"/>
    </row>
    <row r="318" spans="1:12" ht="12.75" customHeight="1" thickBot="1" x14ac:dyDescent="0.25">
      <c r="A318" s="60">
        <f t="shared" si="121"/>
        <v>161</v>
      </c>
      <c r="B318" s="60">
        <f t="shared" si="122"/>
        <v>161</v>
      </c>
      <c r="C318" s="60">
        <f t="shared" si="122"/>
        <v>0</v>
      </c>
      <c r="D318" s="60">
        <f t="shared" si="123"/>
        <v>2</v>
      </c>
      <c r="E318" s="60">
        <v>2</v>
      </c>
      <c r="F318" s="60">
        <v>0</v>
      </c>
      <c r="G318" s="60">
        <f t="shared" si="124"/>
        <v>159</v>
      </c>
      <c r="H318" s="60">
        <v>159</v>
      </c>
      <c r="I318" s="60">
        <v>0</v>
      </c>
      <c r="J318" s="65" t="s">
        <v>222</v>
      </c>
      <c r="K318" s="66" t="s">
        <v>411</v>
      </c>
      <c r="L318" s="55"/>
    </row>
    <row r="319" spans="1:12" ht="12.75" customHeight="1" thickBot="1" x14ac:dyDescent="0.25">
      <c r="A319" s="60">
        <f t="shared" ref="A319:H319" si="140">SUM(A317:A318)</f>
        <v>1134</v>
      </c>
      <c r="B319" s="60">
        <f t="shared" si="140"/>
        <v>1134</v>
      </c>
      <c r="C319" s="60">
        <f t="shared" si="140"/>
        <v>0</v>
      </c>
      <c r="D319" s="60">
        <f t="shared" si="140"/>
        <v>5</v>
      </c>
      <c r="E319" s="60">
        <f t="shared" si="140"/>
        <v>5</v>
      </c>
      <c r="F319" s="60">
        <f t="shared" si="140"/>
        <v>0</v>
      </c>
      <c r="G319" s="60">
        <f t="shared" si="140"/>
        <v>1129</v>
      </c>
      <c r="H319" s="60">
        <f t="shared" si="140"/>
        <v>1129</v>
      </c>
      <c r="I319" s="60">
        <f>SUM(I317:I318)</f>
        <v>0</v>
      </c>
      <c r="J319" s="65" t="s">
        <v>13</v>
      </c>
      <c r="K319" s="67"/>
      <c r="L319" s="55"/>
    </row>
    <row r="320" spans="1:12" ht="12.75" customHeight="1" thickBot="1" x14ac:dyDescent="0.25">
      <c r="A320" s="60">
        <f t="shared" si="121"/>
        <v>225</v>
      </c>
      <c r="B320" s="60">
        <f t="shared" si="122"/>
        <v>225</v>
      </c>
      <c r="C320" s="60">
        <f t="shared" si="122"/>
        <v>0</v>
      </c>
      <c r="D320" s="60">
        <f t="shared" si="123"/>
        <v>0</v>
      </c>
      <c r="E320" s="60">
        <v>0</v>
      </c>
      <c r="F320" s="60">
        <v>0</v>
      </c>
      <c r="G320" s="60">
        <f t="shared" si="124"/>
        <v>225</v>
      </c>
      <c r="H320" s="60">
        <v>225</v>
      </c>
      <c r="I320" s="60">
        <v>0</v>
      </c>
      <c r="J320" s="65" t="s">
        <v>221</v>
      </c>
      <c r="K320" s="66"/>
      <c r="L320" s="55"/>
    </row>
    <row r="321" spans="1:12" ht="12.75" customHeight="1" thickBot="1" x14ac:dyDescent="0.25">
      <c r="A321" s="60">
        <f t="shared" si="121"/>
        <v>0</v>
      </c>
      <c r="B321" s="60">
        <f t="shared" si="122"/>
        <v>0</v>
      </c>
      <c r="C321" s="60">
        <f t="shared" si="122"/>
        <v>0</v>
      </c>
      <c r="D321" s="60">
        <f t="shared" si="123"/>
        <v>0</v>
      </c>
      <c r="E321" s="60">
        <v>0</v>
      </c>
      <c r="F321" s="60">
        <v>0</v>
      </c>
      <c r="G321" s="60">
        <f t="shared" si="124"/>
        <v>0</v>
      </c>
      <c r="H321" s="60">
        <v>0</v>
      </c>
      <c r="I321" s="60">
        <v>0</v>
      </c>
      <c r="J321" s="65" t="s">
        <v>222</v>
      </c>
      <c r="K321" s="66" t="s">
        <v>412</v>
      </c>
      <c r="L321" s="55"/>
    </row>
    <row r="322" spans="1:12" ht="12.75" customHeight="1" thickBot="1" x14ac:dyDescent="0.25">
      <c r="A322" s="60">
        <f t="shared" ref="A322:H322" si="141">SUM(A320:A321)</f>
        <v>225</v>
      </c>
      <c r="B322" s="60">
        <f t="shared" si="141"/>
        <v>225</v>
      </c>
      <c r="C322" s="60">
        <f t="shared" si="141"/>
        <v>0</v>
      </c>
      <c r="D322" s="60">
        <f t="shared" si="141"/>
        <v>0</v>
      </c>
      <c r="E322" s="60">
        <f t="shared" si="141"/>
        <v>0</v>
      </c>
      <c r="F322" s="60">
        <f t="shared" si="141"/>
        <v>0</v>
      </c>
      <c r="G322" s="60">
        <f t="shared" si="141"/>
        <v>225</v>
      </c>
      <c r="H322" s="60">
        <f t="shared" si="141"/>
        <v>225</v>
      </c>
      <c r="I322" s="60">
        <f>SUM(I320:I321)</f>
        <v>0</v>
      </c>
      <c r="J322" s="65" t="s">
        <v>13</v>
      </c>
      <c r="K322" s="67"/>
      <c r="L322" s="55"/>
    </row>
    <row r="323" spans="1:12" ht="12.75" customHeight="1" thickBot="1" x14ac:dyDescent="0.25">
      <c r="A323" s="60">
        <f t="shared" si="121"/>
        <v>663</v>
      </c>
      <c r="B323" s="60">
        <f t="shared" si="122"/>
        <v>663</v>
      </c>
      <c r="C323" s="60">
        <f t="shared" si="122"/>
        <v>0</v>
      </c>
      <c r="D323" s="60">
        <f t="shared" si="123"/>
        <v>0</v>
      </c>
      <c r="E323" s="60">
        <v>0</v>
      </c>
      <c r="F323" s="60">
        <v>0</v>
      </c>
      <c r="G323" s="60">
        <f t="shared" si="124"/>
        <v>663</v>
      </c>
      <c r="H323" s="60">
        <v>663</v>
      </c>
      <c r="I323" s="60">
        <v>0</v>
      </c>
      <c r="J323" s="65" t="s">
        <v>221</v>
      </c>
      <c r="K323" s="66"/>
      <c r="L323" s="55"/>
    </row>
    <row r="324" spans="1:12" ht="12.75" customHeight="1" thickBot="1" x14ac:dyDescent="0.25">
      <c r="A324" s="60">
        <f t="shared" si="121"/>
        <v>0</v>
      </c>
      <c r="B324" s="60">
        <f t="shared" si="122"/>
        <v>0</v>
      </c>
      <c r="C324" s="60">
        <f t="shared" si="122"/>
        <v>0</v>
      </c>
      <c r="D324" s="60">
        <f t="shared" si="123"/>
        <v>0</v>
      </c>
      <c r="E324" s="60">
        <v>0</v>
      </c>
      <c r="F324" s="60">
        <v>0</v>
      </c>
      <c r="G324" s="60">
        <f t="shared" si="124"/>
        <v>0</v>
      </c>
      <c r="H324" s="60">
        <v>0</v>
      </c>
      <c r="I324" s="60">
        <v>0</v>
      </c>
      <c r="J324" s="65" t="s">
        <v>222</v>
      </c>
      <c r="K324" s="66" t="s">
        <v>413</v>
      </c>
      <c r="L324" s="55"/>
    </row>
    <row r="325" spans="1:12" ht="12.75" customHeight="1" thickBot="1" x14ac:dyDescent="0.25">
      <c r="A325" s="60">
        <f t="shared" ref="A325:H325" si="142">SUM(A323:A324)</f>
        <v>663</v>
      </c>
      <c r="B325" s="60">
        <f t="shared" si="142"/>
        <v>663</v>
      </c>
      <c r="C325" s="60">
        <f t="shared" si="142"/>
        <v>0</v>
      </c>
      <c r="D325" s="60">
        <f t="shared" si="142"/>
        <v>0</v>
      </c>
      <c r="E325" s="60">
        <f t="shared" si="142"/>
        <v>0</v>
      </c>
      <c r="F325" s="60">
        <f t="shared" si="142"/>
        <v>0</v>
      </c>
      <c r="G325" s="60">
        <f t="shared" si="142"/>
        <v>663</v>
      </c>
      <c r="H325" s="60">
        <f t="shared" si="142"/>
        <v>663</v>
      </c>
      <c r="I325" s="60">
        <f>SUM(I323:I324)</f>
        <v>0</v>
      </c>
      <c r="J325" s="65" t="s">
        <v>13</v>
      </c>
      <c r="K325" s="67"/>
      <c r="L325" s="55"/>
    </row>
    <row r="326" spans="1:12" ht="12.75" customHeight="1" thickBot="1" x14ac:dyDescent="0.25">
      <c r="A326" s="60">
        <f t="shared" si="121"/>
        <v>237</v>
      </c>
      <c r="B326" s="60">
        <f t="shared" si="122"/>
        <v>237</v>
      </c>
      <c r="C326" s="60">
        <f t="shared" si="122"/>
        <v>0</v>
      </c>
      <c r="D326" s="60">
        <f t="shared" si="123"/>
        <v>0</v>
      </c>
      <c r="E326" s="60">
        <v>0</v>
      </c>
      <c r="F326" s="60">
        <v>0</v>
      </c>
      <c r="G326" s="60">
        <f t="shared" si="124"/>
        <v>237</v>
      </c>
      <c r="H326" s="60">
        <v>237</v>
      </c>
      <c r="I326" s="60">
        <v>0</v>
      </c>
      <c r="J326" s="65" t="s">
        <v>221</v>
      </c>
      <c r="K326" s="66"/>
      <c r="L326" s="55"/>
    </row>
    <row r="327" spans="1:12" ht="12.75" customHeight="1" thickBot="1" x14ac:dyDescent="0.25">
      <c r="A327" s="60">
        <f t="shared" si="121"/>
        <v>16</v>
      </c>
      <c r="B327" s="60">
        <f t="shared" si="122"/>
        <v>16</v>
      </c>
      <c r="C327" s="60">
        <f t="shared" si="122"/>
        <v>0</v>
      </c>
      <c r="D327" s="60">
        <f t="shared" si="123"/>
        <v>0</v>
      </c>
      <c r="E327" s="60">
        <v>0</v>
      </c>
      <c r="F327" s="60">
        <v>0</v>
      </c>
      <c r="G327" s="60">
        <f t="shared" si="124"/>
        <v>16</v>
      </c>
      <c r="H327" s="60">
        <v>16</v>
      </c>
      <c r="I327" s="60">
        <v>0</v>
      </c>
      <c r="J327" s="65" t="s">
        <v>222</v>
      </c>
      <c r="K327" s="66" t="s">
        <v>414</v>
      </c>
      <c r="L327" s="55"/>
    </row>
    <row r="328" spans="1:12" ht="12.75" customHeight="1" thickBot="1" x14ac:dyDescent="0.25">
      <c r="A328" s="60">
        <f t="shared" ref="A328:H328" si="143">SUM(A326:A327)</f>
        <v>253</v>
      </c>
      <c r="B328" s="60">
        <f t="shared" si="143"/>
        <v>253</v>
      </c>
      <c r="C328" s="60">
        <f t="shared" si="143"/>
        <v>0</v>
      </c>
      <c r="D328" s="60">
        <f t="shared" si="143"/>
        <v>0</v>
      </c>
      <c r="E328" s="60">
        <f t="shared" si="143"/>
        <v>0</v>
      </c>
      <c r="F328" s="60">
        <f t="shared" si="143"/>
        <v>0</v>
      </c>
      <c r="G328" s="60">
        <f t="shared" si="143"/>
        <v>253</v>
      </c>
      <c r="H328" s="60">
        <f t="shared" si="143"/>
        <v>253</v>
      </c>
      <c r="I328" s="60">
        <f>SUM(I326:I327)</f>
        <v>0</v>
      </c>
      <c r="J328" s="65" t="s">
        <v>13</v>
      </c>
      <c r="K328" s="67"/>
      <c r="L328" s="55"/>
    </row>
    <row r="329" spans="1:12" ht="12.75" customHeight="1" thickBot="1" x14ac:dyDescent="0.25">
      <c r="A329" s="60">
        <f t="shared" si="121"/>
        <v>844</v>
      </c>
      <c r="B329" s="60">
        <f t="shared" si="122"/>
        <v>844</v>
      </c>
      <c r="C329" s="60">
        <f t="shared" si="122"/>
        <v>0</v>
      </c>
      <c r="D329" s="60">
        <f t="shared" si="123"/>
        <v>0</v>
      </c>
      <c r="E329" s="60">
        <v>0</v>
      </c>
      <c r="F329" s="60">
        <v>0</v>
      </c>
      <c r="G329" s="60">
        <f t="shared" si="124"/>
        <v>844</v>
      </c>
      <c r="H329" s="60">
        <v>844</v>
      </c>
      <c r="I329" s="60">
        <v>0</v>
      </c>
      <c r="J329" s="65" t="s">
        <v>221</v>
      </c>
      <c r="K329" s="66"/>
      <c r="L329" s="55"/>
    </row>
    <row r="330" spans="1:12" ht="12.75" customHeight="1" thickBot="1" x14ac:dyDescent="0.25">
      <c r="A330" s="60">
        <f t="shared" si="121"/>
        <v>0</v>
      </c>
      <c r="B330" s="60">
        <f t="shared" si="122"/>
        <v>0</v>
      </c>
      <c r="C330" s="60">
        <f t="shared" si="122"/>
        <v>0</v>
      </c>
      <c r="D330" s="60">
        <f t="shared" si="123"/>
        <v>0</v>
      </c>
      <c r="E330" s="60">
        <v>0</v>
      </c>
      <c r="F330" s="60">
        <v>0</v>
      </c>
      <c r="G330" s="60">
        <f t="shared" si="124"/>
        <v>0</v>
      </c>
      <c r="H330" s="60">
        <v>0</v>
      </c>
      <c r="I330" s="60">
        <v>0</v>
      </c>
      <c r="J330" s="65" t="s">
        <v>222</v>
      </c>
      <c r="K330" s="66" t="s">
        <v>415</v>
      </c>
      <c r="L330" s="55"/>
    </row>
    <row r="331" spans="1:12" ht="12.75" customHeight="1" thickBot="1" x14ac:dyDescent="0.25">
      <c r="A331" s="60">
        <f t="shared" ref="A331:H331" si="144">SUM(A329:A330)</f>
        <v>844</v>
      </c>
      <c r="B331" s="60">
        <f t="shared" si="144"/>
        <v>844</v>
      </c>
      <c r="C331" s="60">
        <f t="shared" si="144"/>
        <v>0</v>
      </c>
      <c r="D331" s="60">
        <f t="shared" si="144"/>
        <v>0</v>
      </c>
      <c r="E331" s="60">
        <f t="shared" si="144"/>
        <v>0</v>
      </c>
      <c r="F331" s="60">
        <f t="shared" si="144"/>
        <v>0</v>
      </c>
      <c r="G331" s="60">
        <f t="shared" si="144"/>
        <v>844</v>
      </c>
      <c r="H331" s="60">
        <f t="shared" si="144"/>
        <v>844</v>
      </c>
      <c r="I331" s="60">
        <f>SUM(I329:I330)</f>
        <v>0</v>
      </c>
      <c r="J331" s="65" t="s">
        <v>13</v>
      </c>
      <c r="K331" s="67"/>
      <c r="L331" s="55"/>
    </row>
    <row r="332" spans="1:12" ht="12.75" customHeight="1" thickBot="1" x14ac:dyDescent="0.25">
      <c r="A332" s="60">
        <f t="shared" ref="A332:I334" si="145">A272+A275+A278+A281+A284+A287+A290+A293+A296+A299+A302+A305+A308+A311+A314+A317+A320+A323+A326+A329</f>
        <v>8218</v>
      </c>
      <c r="B332" s="60">
        <f t="shared" si="145"/>
        <v>6756</v>
      </c>
      <c r="C332" s="60">
        <f t="shared" si="145"/>
        <v>1462</v>
      </c>
      <c r="D332" s="60">
        <f t="shared" si="145"/>
        <v>46</v>
      </c>
      <c r="E332" s="60">
        <f t="shared" si="145"/>
        <v>23</v>
      </c>
      <c r="F332" s="60">
        <f t="shared" si="145"/>
        <v>23</v>
      </c>
      <c r="G332" s="60">
        <f t="shared" si="145"/>
        <v>8172</v>
      </c>
      <c r="H332" s="60">
        <f t="shared" si="145"/>
        <v>6733</v>
      </c>
      <c r="I332" s="60">
        <f>I272+I275+I278+I281+I284+I287+I290+I293+I296+I299+I302+I305+I308+I311+I314+I317+I320+I323+I326+I329</f>
        <v>1439</v>
      </c>
      <c r="J332" s="65" t="s">
        <v>224</v>
      </c>
      <c r="K332" s="57"/>
      <c r="L332" s="55"/>
    </row>
    <row r="333" spans="1:12" ht="12.75" customHeight="1" thickBot="1" x14ac:dyDescent="0.25">
      <c r="A333" s="60">
        <f t="shared" si="145"/>
        <v>278</v>
      </c>
      <c r="B333" s="60">
        <f t="shared" si="145"/>
        <v>278</v>
      </c>
      <c r="C333" s="60">
        <f t="shared" si="145"/>
        <v>0</v>
      </c>
      <c r="D333" s="60">
        <f t="shared" si="145"/>
        <v>2</v>
      </c>
      <c r="E333" s="60">
        <f t="shared" si="145"/>
        <v>2</v>
      </c>
      <c r="F333" s="60">
        <f t="shared" si="145"/>
        <v>0</v>
      </c>
      <c r="G333" s="60">
        <f t="shared" si="145"/>
        <v>276</v>
      </c>
      <c r="H333" s="60">
        <f t="shared" si="145"/>
        <v>276</v>
      </c>
      <c r="I333" s="60">
        <f t="shared" si="145"/>
        <v>0</v>
      </c>
      <c r="J333" s="65" t="s">
        <v>225</v>
      </c>
      <c r="K333" s="68" t="s">
        <v>211</v>
      </c>
      <c r="L333" s="55"/>
    </row>
    <row r="334" spans="1:12" ht="12.75" customHeight="1" thickBot="1" x14ac:dyDescent="0.25">
      <c r="A334" s="60">
        <f t="shared" si="145"/>
        <v>8496</v>
      </c>
      <c r="B334" s="60">
        <f t="shared" si="145"/>
        <v>7034</v>
      </c>
      <c r="C334" s="60">
        <f t="shared" si="145"/>
        <v>1462</v>
      </c>
      <c r="D334" s="60">
        <f t="shared" si="145"/>
        <v>48</v>
      </c>
      <c r="E334" s="60">
        <f t="shared" si="145"/>
        <v>25</v>
      </c>
      <c r="F334" s="60">
        <f t="shared" si="145"/>
        <v>23</v>
      </c>
      <c r="G334" s="60">
        <f t="shared" si="145"/>
        <v>8448</v>
      </c>
      <c r="H334" s="60">
        <f t="shared" si="145"/>
        <v>7009</v>
      </c>
      <c r="I334" s="60">
        <f t="shared" si="145"/>
        <v>1439</v>
      </c>
      <c r="J334" s="65" t="s">
        <v>13</v>
      </c>
      <c r="K334" s="59"/>
      <c r="L334" s="55"/>
    </row>
    <row r="335" spans="1:12" ht="12.75" customHeight="1" x14ac:dyDescent="0.2">
      <c r="A335" s="177" t="s">
        <v>597</v>
      </c>
      <c r="B335" s="177"/>
      <c r="C335" s="177"/>
      <c r="D335" s="177"/>
      <c r="E335" s="177"/>
      <c r="F335" s="177"/>
      <c r="G335" s="177"/>
      <c r="H335" s="177"/>
      <c r="I335" s="177"/>
      <c r="J335" s="177"/>
      <c r="K335" s="177"/>
      <c r="L335" s="55"/>
    </row>
    <row r="336" spans="1:12" ht="12.75" customHeight="1" thickBot="1" x14ac:dyDescent="0.25">
      <c r="A336" s="178" t="s">
        <v>598</v>
      </c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55"/>
    </row>
    <row r="337" spans="1:12" ht="12.75" customHeight="1" thickBot="1" x14ac:dyDescent="0.25">
      <c r="A337" s="179" t="s">
        <v>592</v>
      </c>
      <c r="B337" s="179"/>
      <c r="C337" s="179"/>
      <c r="D337" s="179" t="s">
        <v>162</v>
      </c>
      <c r="E337" s="179"/>
      <c r="F337" s="179"/>
      <c r="G337" s="179" t="s">
        <v>163</v>
      </c>
      <c r="H337" s="179"/>
      <c r="I337" s="179"/>
      <c r="J337" s="179" t="s">
        <v>72</v>
      </c>
      <c r="K337" s="179"/>
      <c r="L337" s="55"/>
    </row>
    <row r="338" spans="1:12" ht="12.75" customHeight="1" thickBot="1" x14ac:dyDescent="0.25">
      <c r="A338" s="58" t="s">
        <v>216</v>
      </c>
      <c r="B338" s="58" t="s">
        <v>11</v>
      </c>
      <c r="C338" s="58" t="s">
        <v>10</v>
      </c>
      <c r="D338" s="58" t="s">
        <v>216</v>
      </c>
      <c r="E338" s="58" t="s">
        <v>11</v>
      </c>
      <c r="F338" s="58" t="s">
        <v>10</v>
      </c>
      <c r="G338" s="58" t="s">
        <v>216</v>
      </c>
      <c r="H338" s="58" t="s">
        <v>11</v>
      </c>
      <c r="I338" s="58" t="s">
        <v>10</v>
      </c>
      <c r="J338" s="180" t="s">
        <v>81</v>
      </c>
      <c r="K338" s="180"/>
      <c r="L338" s="55"/>
    </row>
    <row r="339" spans="1:12" ht="12.75" customHeight="1" thickBot="1" x14ac:dyDescent="0.25">
      <c r="A339" s="60">
        <f>SUM(B339:C339)</f>
        <v>135</v>
      </c>
      <c r="B339" s="60">
        <f>H339+E339</f>
        <v>49</v>
      </c>
      <c r="C339" s="60">
        <f>I339+F339</f>
        <v>86</v>
      </c>
      <c r="D339" s="60">
        <f>SUM(E339:F339)</f>
        <v>86</v>
      </c>
      <c r="E339" s="60">
        <v>0</v>
      </c>
      <c r="F339" s="60">
        <v>86</v>
      </c>
      <c r="G339" s="60">
        <f>SUM(H339:I339)</f>
        <v>49</v>
      </c>
      <c r="H339" s="60">
        <v>49</v>
      </c>
      <c r="I339" s="60">
        <v>0</v>
      </c>
      <c r="J339" s="65" t="s">
        <v>221</v>
      </c>
      <c r="K339" s="66"/>
      <c r="L339" s="55"/>
    </row>
    <row r="340" spans="1:12" ht="12.75" customHeight="1" thickBot="1" x14ac:dyDescent="0.25">
      <c r="A340" s="60">
        <f t="shared" ref="A340:A403" si="146">SUM(B340:C340)</f>
        <v>0</v>
      </c>
      <c r="B340" s="60">
        <f t="shared" ref="B340:C403" si="147">H340+E340</f>
        <v>0</v>
      </c>
      <c r="C340" s="60">
        <f t="shared" si="147"/>
        <v>0</v>
      </c>
      <c r="D340" s="60">
        <f t="shared" ref="D340:D403" si="148">SUM(E340:F340)</f>
        <v>0</v>
      </c>
      <c r="E340" s="60">
        <v>0</v>
      </c>
      <c r="F340" s="60">
        <v>0</v>
      </c>
      <c r="G340" s="60">
        <f t="shared" ref="G340:G403" si="149">SUM(H340:I340)</f>
        <v>0</v>
      </c>
      <c r="H340" s="60">
        <v>0</v>
      </c>
      <c r="I340" s="60">
        <v>0</v>
      </c>
      <c r="J340" s="65" t="s">
        <v>222</v>
      </c>
      <c r="K340" s="66" t="s">
        <v>416</v>
      </c>
      <c r="L340" s="55"/>
    </row>
    <row r="341" spans="1:12" ht="12.75" customHeight="1" thickBot="1" x14ac:dyDescent="0.25">
      <c r="A341" s="60">
        <f t="shared" ref="A341:H341" si="150">SUM(A339:A340)</f>
        <v>135</v>
      </c>
      <c r="B341" s="60">
        <f t="shared" si="150"/>
        <v>49</v>
      </c>
      <c r="C341" s="60">
        <f t="shared" si="150"/>
        <v>86</v>
      </c>
      <c r="D341" s="60">
        <f t="shared" si="150"/>
        <v>86</v>
      </c>
      <c r="E341" s="60">
        <f t="shared" si="150"/>
        <v>0</v>
      </c>
      <c r="F341" s="60">
        <f t="shared" si="150"/>
        <v>86</v>
      </c>
      <c r="G341" s="60">
        <f t="shared" si="150"/>
        <v>49</v>
      </c>
      <c r="H341" s="60">
        <f t="shared" si="150"/>
        <v>49</v>
      </c>
      <c r="I341" s="60">
        <f>SUM(I339:I340)</f>
        <v>0</v>
      </c>
      <c r="J341" s="65" t="s">
        <v>13</v>
      </c>
      <c r="K341" s="67"/>
      <c r="L341" s="55"/>
    </row>
    <row r="342" spans="1:12" ht="12.75" customHeight="1" thickBot="1" x14ac:dyDescent="0.25">
      <c r="A342" s="60">
        <f t="shared" si="146"/>
        <v>253</v>
      </c>
      <c r="B342" s="60">
        <f t="shared" si="147"/>
        <v>0</v>
      </c>
      <c r="C342" s="60">
        <f t="shared" si="147"/>
        <v>253</v>
      </c>
      <c r="D342" s="60">
        <f t="shared" si="148"/>
        <v>0</v>
      </c>
      <c r="E342" s="60">
        <v>0</v>
      </c>
      <c r="F342" s="60">
        <v>0</v>
      </c>
      <c r="G342" s="60">
        <f t="shared" si="149"/>
        <v>253</v>
      </c>
      <c r="H342" s="60">
        <v>0</v>
      </c>
      <c r="I342" s="60">
        <f>329-76</f>
        <v>253</v>
      </c>
      <c r="J342" s="65" t="s">
        <v>221</v>
      </c>
      <c r="K342" s="66"/>
      <c r="L342" s="55"/>
    </row>
    <row r="343" spans="1:12" ht="12.75" customHeight="1" thickBot="1" x14ac:dyDescent="0.25">
      <c r="A343" s="60">
        <f t="shared" si="146"/>
        <v>0</v>
      </c>
      <c r="B343" s="60">
        <f t="shared" si="147"/>
        <v>0</v>
      </c>
      <c r="C343" s="60">
        <f t="shared" si="147"/>
        <v>0</v>
      </c>
      <c r="D343" s="60">
        <f t="shared" si="148"/>
        <v>0</v>
      </c>
      <c r="E343" s="60">
        <v>0</v>
      </c>
      <c r="F343" s="60">
        <v>0</v>
      </c>
      <c r="G343" s="60">
        <f t="shared" si="149"/>
        <v>0</v>
      </c>
      <c r="H343" s="60">
        <v>0</v>
      </c>
      <c r="I343" s="60">
        <v>0</v>
      </c>
      <c r="J343" s="65" t="s">
        <v>222</v>
      </c>
      <c r="K343" s="66" t="s">
        <v>417</v>
      </c>
      <c r="L343" s="55"/>
    </row>
    <row r="344" spans="1:12" ht="12.75" customHeight="1" thickBot="1" x14ac:dyDescent="0.25">
      <c r="A344" s="60">
        <f t="shared" ref="A344:H344" si="151">SUM(A342:A343)</f>
        <v>253</v>
      </c>
      <c r="B344" s="60">
        <f t="shared" si="151"/>
        <v>0</v>
      </c>
      <c r="C344" s="60">
        <f t="shared" si="151"/>
        <v>253</v>
      </c>
      <c r="D344" s="60">
        <f t="shared" si="151"/>
        <v>0</v>
      </c>
      <c r="E344" s="60">
        <f t="shared" si="151"/>
        <v>0</v>
      </c>
      <c r="F344" s="60">
        <f t="shared" si="151"/>
        <v>0</v>
      </c>
      <c r="G344" s="60">
        <f t="shared" si="151"/>
        <v>253</v>
      </c>
      <c r="H344" s="60">
        <f t="shared" si="151"/>
        <v>0</v>
      </c>
      <c r="I344" s="60">
        <f>SUM(I342:I343)</f>
        <v>253</v>
      </c>
      <c r="J344" s="65" t="s">
        <v>13</v>
      </c>
      <c r="K344" s="67"/>
      <c r="L344" s="55"/>
    </row>
    <row r="345" spans="1:12" ht="12.75" customHeight="1" thickBot="1" x14ac:dyDescent="0.25">
      <c r="A345" s="60">
        <f t="shared" si="146"/>
        <v>407</v>
      </c>
      <c r="B345" s="60">
        <f t="shared" si="147"/>
        <v>0</v>
      </c>
      <c r="C345" s="60">
        <f t="shared" si="147"/>
        <v>407</v>
      </c>
      <c r="D345" s="60">
        <f t="shared" si="148"/>
        <v>5</v>
      </c>
      <c r="E345" s="60">
        <v>0</v>
      </c>
      <c r="F345" s="60">
        <v>5</v>
      </c>
      <c r="G345" s="60">
        <f t="shared" si="149"/>
        <v>402</v>
      </c>
      <c r="H345" s="60">
        <v>0</v>
      </c>
      <c r="I345" s="60">
        <f>402</f>
        <v>402</v>
      </c>
      <c r="J345" s="65" t="s">
        <v>221</v>
      </c>
      <c r="K345" s="66"/>
      <c r="L345" s="55"/>
    </row>
    <row r="346" spans="1:12" ht="12.75" customHeight="1" thickBot="1" x14ac:dyDescent="0.25">
      <c r="A346" s="60">
        <f t="shared" si="146"/>
        <v>0</v>
      </c>
      <c r="B346" s="60">
        <f t="shared" si="147"/>
        <v>0</v>
      </c>
      <c r="C346" s="60">
        <f t="shared" si="147"/>
        <v>0</v>
      </c>
      <c r="D346" s="60">
        <f t="shared" si="148"/>
        <v>0</v>
      </c>
      <c r="E346" s="60">
        <v>0</v>
      </c>
      <c r="F346" s="60">
        <v>0</v>
      </c>
      <c r="G346" s="60">
        <f t="shared" si="149"/>
        <v>0</v>
      </c>
      <c r="H346" s="60">
        <v>0</v>
      </c>
      <c r="I346" s="60">
        <v>0</v>
      </c>
      <c r="J346" s="65" t="s">
        <v>222</v>
      </c>
      <c r="K346" s="66" t="s">
        <v>257</v>
      </c>
      <c r="L346" s="55"/>
    </row>
    <row r="347" spans="1:12" ht="12.75" customHeight="1" thickBot="1" x14ac:dyDescent="0.25">
      <c r="A347" s="60">
        <f t="shared" ref="A347:H347" si="152">SUM(A345:A346)</f>
        <v>407</v>
      </c>
      <c r="B347" s="60">
        <f t="shared" si="152"/>
        <v>0</v>
      </c>
      <c r="C347" s="60">
        <f t="shared" si="152"/>
        <v>407</v>
      </c>
      <c r="D347" s="60">
        <f t="shared" si="152"/>
        <v>5</v>
      </c>
      <c r="E347" s="60">
        <f t="shared" si="152"/>
        <v>0</v>
      </c>
      <c r="F347" s="60">
        <f t="shared" si="152"/>
        <v>5</v>
      </c>
      <c r="G347" s="60">
        <f t="shared" si="152"/>
        <v>402</v>
      </c>
      <c r="H347" s="60">
        <f t="shared" si="152"/>
        <v>0</v>
      </c>
      <c r="I347" s="60">
        <f>SUM(I345:I346)</f>
        <v>402</v>
      </c>
      <c r="J347" s="65" t="s">
        <v>13</v>
      </c>
      <c r="K347" s="67"/>
      <c r="L347" s="55"/>
    </row>
    <row r="348" spans="1:12" ht="12.75" customHeight="1" thickBot="1" x14ac:dyDescent="0.25">
      <c r="A348" s="60">
        <f t="shared" si="146"/>
        <v>414</v>
      </c>
      <c r="B348" s="60">
        <f t="shared" si="147"/>
        <v>0</v>
      </c>
      <c r="C348" s="60">
        <f t="shared" si="147"/>
        <v>414</v>
      </c>
      <c r="D348" s="60">
        <f t="shared" si="148"/>
        <v>2</v>
      </c>
      <c r="E348" s="60">
        <v>0</v>
      </c>
      <c r="F348" s="60">
        <v>2</v>
      </c>
      <c r="G348" s="60">
        <f t="shared" si="149"/>
        <v>412</v>
      </c>
      <c r="H348" s="60">
        <v>0</v>
      </c>
      <c r="I348" s="60">
        <f>487-75</f>
        <v>412</v>
      </c>
      <c r="J348" s="65" t="s">
        <v>221</v>
      </c>
      <c r="K348" s="66"/>
      <c r="L348" s="55"/>
    </row>
    <row r="349" spans="1:12" ht="12.75" customHeight="1" thickBot="1" x14ac:dyDescent="0.25">
      <c r="A349" s="60">
        <f t="shared" si="146"/>
        <v>0</v>
      </c>
      <c r="B349" s="60">
        <f t="shared" si="147"/>
        <v>0</v>
      </c>
      <c r="C349" s="60">
        <f t="shared" si="147"/>
        <v>0</v>
      </c>
      <c r="D349" s="60">
        <f t="shared" si="148"/>
        <v>0</v>
      </c>
      <c r="E349" s="60">
        <v>0</v>
      </c>
      <c r="F349" s="60">
        <v>0</v>
      </c>
      <c r="G349" s="60">
        <f t="shared" si="149"/>
        <v>0</v>
      </c>
      <c r="H349" s="60">
        <v>0</v>
      </c>
      <c r="I349" s="60">
        <v>0</v>
      </c>
      <c r="J349" s="65" t="s">
        <v>222</v>
      </c>
      <c r="K349" s="66" t="s">
        <v>418</v>
      </c>
      <c r="L349" s="55"/>
    </row>
    <row r="350" spans="1:12" ht="12.75" customHeight="1" thickBot="1" x14ac:dyDescent="0.25">
      <c r="A350" s="60">
        <f t="shared" ref="A350:H350" si="153">SUM(A348:A349)</f>
        <v>414</v>
      </c>
      <c r="B350" s="60">
        <f t="shared" si="153"/>
        <v>0</v>
      </c>
      <c r="C350" s="60">
        <f t="shared" si="153"/>
        <v>414</v>
      </c>
      <c r="D350" s="60">
        <f t="shared" si="153"/>
        <v>2</v>
      </c>
      <c r="E350" s="60">
        <f t="shared" si="153"/>
        <v>0</v>
      </c>
      <c r="F350" s="60">
        <f t="shared" si="153"/>
        <v>2</v>
      </c>
      <c r="G350" s="60">
        <f t="shared" si="153"/>
        <v>412</v>
      </c>
      <c r="H350" s="60">
        <f t="shared" si="153"/>
        <v>0</v>
      </c>
      <c r="I350" s="60">
        <f>SUM(I348:I349)</f>
        <v>412</v>
      </c>
      <c r="J350" s="65" t="s">
        <v>13</v>
      </c>
      <c r="K350" s="67"/>
      <c r="L350" s="55"/>
    </row>
    <row r="351" spans="1:12" ht="12.75" customHeight="1" thickBot="1" x14ac:dyDescent="0.25">
      <c r="A351" s="60">
        <f t="shared" si="146"/>
        <v>263</v>
      </c>
      <c r="B351" s="60">
        <f t="shared" si="147"/>
        <v>0</v>
      </c>
      <c r="C351" s="60">
        <f t="shared" si="147"/>
        <v>263</v>
      </c>
      <c r="D351" s="60">
        <f t="shared" si="148"/>
        <v>1</v>
      </c>
      <c r="E351" s="60">
        <v>0</v>
      </c>
      <c r="F351" s="60">
        <v>1</v>
      </c>
      <c r="G351" s="60">
        <f t="shared" si="149"/>
        <v>262</v>
      </c>
      <c r="H351" s="60">
        <v>0</v>
      </c>
      <c r="I351" s="60">
        <v>262</v>
      </c>
      <c r="J351" s="65" t="s">
        <v>221</v>
      </c>
      <c r="K351" s="66"/>
      <c r="L351" s="55"/>
    </row>
    <row r="352" spans="1:12" ht="12.75" customHeight="1" thickBot="1" x14ac:dyDescent="0.25">
      <c r="A352" s="60">
        <f t="shared" si="146"/>
        <v>0</v>
      </c>
      <c r="B352" s="60">
        <f t="shared" si="147"/>
        <v>0</v>
      </c>
      <c r="C352" s="60">
        <f t="shared" si="147"/>
        <v>0</v>
      </c>
      <c r="D352" s="60">
        <f t="shared" si="148"/>
        <v>0</v>
      </c>
      <c r="E352" s="60">
        <v>0</v>
      </c>
      <c r="F352" s="60">
        <v>0</v>
      </c>
      <c r="G352" s="60">
        <f t="shared" si="149"/>
        <v>0</v>
      </c>
      <c r="H352" s="60">
        <v>0</v>
      </c>
      <c r="I352" s="60">
        <v>0</v>
      </c>
      <c r="J352" s="65" t="s">
        <v>222</v>
      </c>
      <c r="K352" s="66" t="s">
        <v>419</v>
      </c>
      <c r="L352" s="55"/>
    </row>
    <row r="353" spans="1:12" ht="12.75" customHeight="1" thickBot="1" x14ac:dyDescent="0.25">
      <c r="A353" s="60">
        <f t="shared" ref="A353:H353" si="154">SUM(A351:A352)</f>
        <v>263</v>
      </c>
      <c r="B353" s="60">
        <f t="shared" si="154"/>
        <v>0</v>
      </c>
      <c r="C353" s="60">
        <f t="shared" si="154"/>
        <v>263</v>
      </c>
      <c r="D353" s="60">
        <f t="shared" si="154"/>
        <v>1</v>
      </c>
      <c r="E353" s="60">
        <f t="shared" si="154"/>
        <v>0</v>
      </c>
      <c r="F353" s="60">
        <f t="shared" si="154"/>
        <v>1</v>
      </c>
      <c r="G353" s="60">
        <f t="shared" si="154"/>
        <v>262</v>
      </c>
      <c r="H353" s="60">
        <f t="shared" si="154"/>
        <v>0</v>
      </c>
      <c r="I353" s="60">
        <f>SUM(I351:I352)</f>
        <v>262</v>
      </c>
      <c r="J353" s="65" t="s">
        <v>13</v>
      </c>
      <c r="K353" s="67"/>
      <c r="L353" s="55"/>
    </row>
    <row r="354" spans="1:12" ht="12.75" customHeight="1" thickBot="1" x14ac:dyDescent="0.25">
      <c r="A354" s="60">
        <f t="shared" si="146"/>
        <v>68</v>
      </c>
      <c r="B354" s="60">
        <f t="shared" si="147"/>
        <v>0</v>
      </c>
      <c r="C354" s="60">
        <f t="shared" si="147"/>
        <v>68</v>
      </c>
      <c r="D354" s="60">
        <f t="shared" si="148"/>
        <v>0</v>
      </c>
      <c r="E354" s="60">
        <v>0</v>
      </c>
      <c r="F354" s="60">
        <v>0</v>
      </c>
      <c r="G354" s="60">
        <f t="shared" si="149"/>
        <v>68</v>
      </c>
      <c r="H354" s="60">
        <v>0</v>
      </c>
      <c r="I354" s="60">
        <v>68</v>
      </c>
      <c r="J354" s="65" t="s">
        <v>221</v>
      </c>
      <c r="K354" s="66"/>
      <c r="L354" s="55"/>
    </row>
    <row r="355" spans="1:12" ht="12.75" customHeight="1" thickBot="1" x14ac:dyDescent="0.25">
      <c r="A355" s="60">
        <f t="shared" si="146"/>
        <v>0</v>
      </c>
      <c r="B355" s="60">
        <f t="shared" si="147"/>
        <v>0</v>
      </c>
      <c r="C355" s="60">
        <f t="shared" si="147"/>
        <v>0</v>
      </c>
      <c r="D355" s="60">
        <f t="shared" si="148"/>
        <v>0</v>
      </c>
      <c r="E355" s="60">
        <v>0</v>
      </c>
      <c r="F355" s="60">
        <v>0</v>
      </c>
      <c r="G355" s="60">
        <f t="shared" si="149"/>
        <v>0</v>
      </c>
      <c r="H355" s="60">
        <v>0</v>
      </c>
      <c r="I355" s="60">
        <v>0</v>
      </c>
      <c r="J355" s="65" t="s">
        <v>222</v>
      </c>
      <c r="K355" s="66" t="s">
        <v>337</v>
      </c>
      <c r="L355" s="55"/>
    </row>
    <row r="356" spans="1:12" ht="12.75" customHeight="1" thickBot="1" x14ac:dyDescent="0.25">
      <c r="A356" s="60">
        <f t="shared" ref="A356:H356" si="155">SUM(A354:A355)</f>
        <v>68</v>
      </c>
      <c r="B356" s="60">
        <f t="shared" si="155"/>
        <v>0</v>
      </c>
      <c r="C356" s="60">
        <f t="shared" si="155"/>
        <v>68</v>
      </c>
      <c r="D356" s="60">
        <f t="shared" si="155"/>
        <v>0</v>
      </c>
      <c r="E356" s="60">
        <f t="shared" si="155"/>
        <v>0</v>
      </c>
      <c r="F356" s="60">
        <f t="shared" si="155"/>
        <v>0</v>
      </c>
      <c r="G356" s="60">
        <f t="shared" si="155"/>
        <v>68</v>
      </c>
      <c r="H356" s="60">
        <f t="shared" si="155"/>
        <v>0</v>
      </c>
      <c r="I356" s="60">
        <f>SUM(I354:I355)</f>
        <v>68</v>
      </c>
      <c r="J356" s="65" t="s">
        <v>13</v>
      </c>
      <c r="K356" s="67"/>
      <c r="L356" s="55"/>
    </row>
    <row r="357" spans="1:12" ht="12.75" customHeight="1" thickBot="1" x14ac:dyDescent="0.25">
      <c r="A357" s="60">
        <f t="shared" si="146"/>
        <v>82</v>
      </c>
      <c r="B357" s="60">
        <f t="shared" si="147"/>
        <v>0</v>
      </c>
      <c r="C357" s="60">
        <f t="shared" si="147"/>
        <v>82</v>
      </c>
      <c r="D357" s="60">
        <f t="shared" si="148"/>
        <v>0</v>
      </c>
      <c r="E357" s="60">
        <v>0</v>
      </c>
      <c r="F357" s="60">
        <v>0</v>
      </c>
      <c r="G357" s="60">
        <f t="shared" si="149"/>
        <v>82</v>
      </c>
      <c r="H357" s="60">
        <v>0</v>
      </c>
      <c r="I357" s="60">
        <v>82</v>
      </c>
      <c r="J357" s="65" t="s">
        <v>221</v>
      </c>
      <c r="K357" s="66"/>
      <c r="L357" s="55"/>
    </row>
    <row r="358" spans="1:12" ht="12.75" customHeight="1" thickBot="1" x14ac:dyDescent="0.25">
      <c r="A358" s="60">
        <f t="shared" si="146"/>
        <v>0</v>
      </c>
      <c r="B358" s="60">
        <f t="shared" si="147"/>
        <v>0</v>
      </c>
      <c r="C358" s="60">
        <f t="shared" si="147"/>
        <v>0</v>
      </c>
      <c r="D358" s="60">
        <f t="shared" si="148"/>
        <v>0</v>
      </c>
      <c r="E358" s="60">
        <v>0</v>
      </c>
      <c r="F358" s="60">
        <v>0</v>
      </c>
      <c r="G358" s="60">
        <f t="shared" si="149"/>
        <v>0</v>
      </c>
      <c r="H358" s="60">
        <v>0</v>
      </c>
      <c r="I358" s="60">
        <v>0</v>
      </c>
      <c r="J358" s="65" t="s">
        <v>222</v>
      </c>
      <c r="K358" s="66" t="s">
        <v>264</v>
      </c>
      <c r="L358" s="55"/>
    </row>
    <row r="359" spans="1:12" ht="12.75" customHeight="1" thickBot="1" x14ac:dyDescent="0.25">
      <c r="A359" s="60">
        <f t="shared" ref="A359:H359" si="156">SUM(A357:A358)</f>
        <v>82</v>
      </c>
      <c r="B359" s="60">
        <f t="shared" si="156"/>
        <v>0</v>
      </c>
      <c r="C359" s="60">
        <f t="shared" si="156"/>
        <v>82</v>
      </c>
      <c r="D359" s="60">
        <f t="shared" si="156"/>
        <v>0</v>
      </c>
      <c r="E359" s="60">
        <f t="shared" si="156"/>
        <v>0</v>
      </c>
      <c r="F359" s="60">
        <f t="shared" si="156"/>
        <v>0</v>
      </c>
      <c r="G359" s="60">
        <f t="shared" si="156"/>
        <v>82</v>
      </c>
      <c r="H359" s="60">
        <f t="shared" si="156"/>
        <v>0</v>
      </c>
      <c r="I359" s="60">
        <f>SUM(I357:I358)</f>
        <v>82</v>
      </c>
      <c r="J359" s="65" t="s">
        <v>13</v>
      </c>
      <c r="K359" s="67"/>
      <c r="L359" s="55"/>
    </row>
    <row r="360" spans="1:12" ht="12.75" customHeight="1" thickBot="1" x14ac:dyDescent="0.25">
      <c r="A360" s="60">
        <f t="shared" si="146"/>
        <v>85</v>
      </c>
      <c r="B360" s="60">
        <f t="shared" si="147"/>
        <v>0</v>
      </c>
      <c r="C360" s="60">
        <f t="shared" si="147"/>
        <v>85</v>
      </c>
      <c r="D360" s="60">
        <f t="shared" si="148"/>
        <v>1</v>
      </c>
      <c r="E360" s="60">
        <v>0</v>
      </c>
      <c r="F360" s="60">
        <v>1</v>
      </c>
      <c r="G360" s="60">
        <f t="shared" si="149"/>
        <v>84</v>
      </c>
      <c r="H360" s="60">
        <v>0</v>
      </c>
      <c r="I360" s="60">
        <v>84</v>
      </c>
      <c r="J360" s="65" t="s">
        <v>221</v>
      </c>
      <c r="K360" s="66"/>
      <c r="L360" s="55"/>
    </row>
    <row r="361" spans="1:12" ht="12.75" customHeight="1" thickBot="1" x14ac:dyDescent="0.25">
      <c r="A361" s="60">
        <f t="shared" si="146"/>
        <v>0</v>
      </c>
      <c r="B361" s="60">
        <f t="shared" si="147"/>
        <v>0</v>
      </c>
      <c r="C361" s="60">
        <f t="shared" si="147"/>
        <v>0</v>
      </c>
      <c r="D361" s="60">
        <f t="shared" si="148"/>
        <v>0</v>
      </c>
      <c r="E361" s="60">
        <v>0</v>
      </c>
      <c r="F361" s="60">
        <v>0</v>
      </c>
      <c r="G361" s="60">
        <f t="shared" si="149"/>
        <v>0</v>
      </c>
      <c r="H361" s="60">
        <v>0</v>
      </c>
      <c r="I361" s="60">
        <v>0</v>
      </c>
      <c r="J361" s="65" t="s">
        <v>222</v>
      </c>
      <c r="K361" s="66" t="s">
        <v>377</v>
      </c>
      <c r="L361" s="55"/>
    </row>
    <row r="362" spans="1:12" ht="12.75" customHeight="1" thickBot="1" x14ac:dyDescent="0.25">
      <c r="A362" s="60">
        <f t="shared" ref="A362:H362" si="157">SUM(A360:A361)</f>
        <v>85</v>
      </c>
      <c r="B362" s="60">
        <f t="shared" si="157"/>
        <v>0</v>
      </c>
      <c r="C362" s="60">
        <f t="shared" si="157"/>
        <v>85</v>
      </c>
      <c r="D362" s="60">
        <f t="shared" si="157"/>
        <v>1</v>
      </c>
      <c r="E362" s="60">
        <f t="shared" si="157"/>
        <v>0</v>
      </c>
      <c r="F362" s="60">
        <f t="shared" si="157"/>
        <v>1</v>
      </c>
      <c r="G362" s="60">
        <f t="shared" si="157"/>
        <v>84</v>
      </c>
      <c r="H362" s="60">
        <f t="shared" si="157"/>
        <v>0</v>
      </c>
      <c r="I362" s="60">
        <f>SUM(I360:I361)</f>
        <v>84</v>
      </c>
      <c r="J362" s="65" t="s">
        <v>13</v>
      </c>
      <c r="K362" s="67"/>
      <c r="L362" s="55"/>
    </row>
    <row r="363" spans="1:12" ht="12.75" customHeight="1" thickBot="1" x14ac:dyDescent="0.25">
      <c r="A363" s="60">
        <f t="shared" si="146"/>
        <v>46</v>
      </c>
      <c r="B363" s="60">
        <f t="shared" si="147"/>
        <v>46</v>
      </c>
      <c r="C363" s="60">
        <f t="shared" si="147"/>
        <v>0</v>
      </c>
      <c r="D363" s="60">
        <f t="shared" si="148"/>
        <v>1</v>
      </c>
      <c r="E363" s="60">
        <v>1</v>
      </c>
      <c r="F363" s="60">
        <v>0</v>
      </c>
      <c r="G363" s="60">
        <f t="shared" si="149"/>
        <v>45</v>
      </c>
      <c r="H363" s="60">
        <v>45</v>
      </c>
      <c r="I363" s="60">
        <v>0</v>
      </c>
      <c r="J363" s="65" t="s">
        <v>221</v>
      </c>
      <c r="K363" s="66"/>
      <c r="L363" s="55"/>
    </row>
    <row r="364" spans="1:12" ht="12.75" customHeight="1" thickBot="1" x14ac:dyDescent="0.25">
      <c r="A364" s="60">
        <f t="shared" si="146"/>
        <v>0</v>
      </c>
      <c r="B364" s="60">
        <f t="shared" si="147"/>
        <v>0</v>
      </c>
      <c r="C364" s="60">
        <f t="shared" si="147"/>
        <v>0</v>
      </c>
      <c r="D364" s="60">
        <f t="shared" si="148"/>
        <v>0</v>
      </c>
      <c r="E364" s="60">
        <v>0</v>
      </c>
      <c r="F364" s="60">
        <v>0</v>
      </c>
      <c r="G364" s="60">
        <f t="shared" si="149"/>
        <v>0</v>
      </c>
      <c r="H364" s="60">
        <v>0</v>
      </c>
      <c r="I364" s="60">
        <v>0</v>
      </c>
      <c r="J364" s="65" t="s">
        <v>222</v>
      </c>
      <c r="K364" s="66" t="s">
        <v>354</v>
      </c>
      <c r="L364" s="55"/>
    </row>
    <row r="365" spans="1:12" ht="12.75" customHeight="1" thickBot="1" x14ac:dyDescent="0.25">
      <c r="A365" s="60">
        <f t="shared" ref="A365:H365" si="158">SUM(A363:A364)</f>
        <v>46</v>
      </c>
      <c r="B365" s="60">
        <f t="shared" si="158"/>
        <v>46</v>
      </c>
      <c r="C365" s="60">
        <f t="shared" si="158"/>
        <v>0</v>
      </c>
      <c r="D365" s="60">
        <f t="shared" si="158"/>
        <v>1</v>
      </c>
      <c r="E365" s="60">
        <f t="shared" si="158"/>
        <v>1</v>
      </c>
      <c r="F365" s="60">
        <f t="shared" si="158"/>
        <v>0</v>
      </c>
      <c r="G365" s="60">
        <f t="shared" si="158"/>
        <v>45</v>
      </c>
      <c r="H365" s="60">
        <f t="shared" si="158"/>
        <v>45</v>
      </c>
      <c r="I365" s="60">
        <f>SUM(I363:I364)</f>
        <v>0</v>
      </c>
      <c r="J365" s="65" t="s">
        <v>13</v>
      </c>
      <c r="K365" s="67"/>
      <c r="L365" s="55"/>
    </row>
    <row r="366" spans="1:12" ht="12.75" customHeight="1" thickBot="1" x14ac:dyDescent="0.25">
      <c r="A366" s="60">
        <f t="shared" si="146"/>
        <v>309</v>
      </c>
      <c r="B366" s="60">
        <f t="shared" si="147"/>
        <v>84</v>
      </c>
      <c r="C366" s="60">
        <f t="shared" si="147"/>
        <v>225</v>
      </c>
      <c r="D366" s="60">
        <f t="shared" si="148"/>
        <v>2</v>
      </c>
      <c r="E366" s="60">
        <v>0</v>
      </c>
      <c r="F366" s="60">
        <v>2</v>
      </c>
      <c r="G366" s="60">
        <f t="shared" si="149"/>
        <v>307</v>
      </c>
      <c r="H366" s="60">
        <v>84</v>
      </c>
      <c r="I366" s="60">
        <v>223</v>
      </c>
      <c r="J366" s="65" t="s">
        <v>221</v>
      </c>
      <c r="K366" s="66"/>
      <c r="L366" s="55"/>
    </row>
    <row r="367" spans="1:12" ht="12.75" customHeight="1" thickBot="1" x14ac:dyDescent="0.25">
      <c r="A367" s="60">
        <f t="shared" si="146"/>
        <v>0</v>
      </c>
      <c r="B367" s="60">
        <f t="shared" si="147"/>
        <v>0</v>
      </c>
      <c r="C367" s="60">
        <f t="shared" si="147"/>
        <v>0</v>
      </c>
      <c r="D367" s="60">
        <f t="shared" si="148"/>
        <v>0</v>
      </c>
      <c r="E367" s="60">
        <v>0</v>
      </c>
      <c r="F367" s="60">
        <v>0</v>
      </c>
      <c r="G367" s="60">
        <f t="shared" si="149"/>
        <v>0</v>
      </c>
      <c r="H367" s="60">
        <v>0</v>
      </c>
      <c r="I367" s="60">
        <v>0</v>
      </c>
      <c r="J367" s="65" t="s">
        <v>222</v>
      </c>
      <c r="K367" s="66" t="s">
        <v>365</v>
      </c>
      <c r="L367" s="55"/>
    </row>
    <row r="368" spans="1:12" ht="12.75" customHeight="1" thickBot="1" x14ac:dyDescent="0.25">
      <c r="A368" s="60">
        <f t="shared" ref="A368:H368" si="159">SUM(A366:A367)</f>
        <v>309</v>
      </c>
      <c r="B368" s="60">
        <f t="shared" si="159"/>
        <v>84</v>
      </c>
      <c r="C368" s="60">
        <f t="shared" si="159"/>
        <v>225</v>
      </c>
      <c r="D368" s="60">
        <f t="shared" si="159"/>
        <v>2</v>
      </c>
      <c r="E368" s="60">
        <f t="shared" si="159"/>
        <v>0</v>
      </c>
      <c r="F368" s="60">
        <f t="shared" si="159"/>
        <v>2</v>
      </c>
      <c r="G368" s="60">
        <f t="shared" si="159"/>
        <v>307</v>
      </c>
      <c r="H368" s="60">
        <f t="shared" si="159"/>
        <v>84</v>
      </c>
      <c r="I368" s="60">
        <f>SUM(I366:I367)</f>
        <v>223</v>
      </c>
      <c r="J368" s="65" t="s">
        <v>13</v>
      </c>
      <c r="K368" s="67"/>
      <c r="L368" s="55"/>
    </row>
    <row r="369" spans="1:12" ht="12.75" customHeight="1" thickBot="1" x14ac:dyDescent="0.25">
      <c r="A369" s="60">
        <f t="shared" si="146"/>
        <v>74</v>
      </c>
      <c r="B369" s="60">
        <f t="shared" si="147"/>
        <v>0</v>
      </c>
      <c r="C369" s="60">
        <f t="shared" si="147"/>
        <v>74</v>
      </c>
      <c r="D369" s="60">
        <f t="shared" si="148"/>
        <v>0</v>
      </c>
      <c r="E369" s="60">
        <v>0</v>
      </c>
      <c r="F369" s="60">
        <v>0</v>
      </c>
      <c r="G369" s="60">
        <f t="shared" si="149"/>
        <v>74</v>
      </c>
      <c r="H369" s="60">
        <v>0</v>
      </c>
      <c r="I369" s="60">
        <v>74</v>
      </c>
      <c r="J369" s="65" t="s">
        <v>221</v>
      </c>
      <c r="K369" s="66"/>
      <c r="L369" s="55"/>
    </row>
    <row r="370" spans="1:12" ht="12.75" customHeight="1" thickBot="1" x14ac:dyDescent="0.25">
      <c r="A370" s="60">
        <f t="shared" si="146"/>
        <v>0</v>
      </c>
      <c r="B370" s="60">
        <f t="shared" si="147"/>
        <v>0</v>
      </c>
      <c r="C370" s="60">
        <f t="shared" si="147"/>
        <v>0</v>
      </c>
      <c r="D370" s="60">
        <f t="shared" si="148"/>
        <v>0</v>
      </c>
      <c r="E370" s="60">
        <v>0</v>
      </c>
      <c r="F370" s="60">
        <v>0</v>
      </c>
      <c r="G370" s="60">
        <f t="shared" si="149"/>
        <v>0</v>
      </c>
      <c r="H370" s="60">
        <v>0</v>
      </c>
      <c r="I370" s="60">
        <v>0</v>
      </c>
      <c r="J370" s="65" t="s">
        <v>222</v>
      </c>
      <c r="K370" s="66" t="s">
        <v>263</v>
      </c>
      <c r="L370" s="55"/>
    </row>
    <row r="371" spans="1:12" ht="12.75" customHeight="1" thickBot="1" x14ac:dyDescent="0.25">
      <c r="A371" s="60">
        <f t="shared" ref="A371:H371" si="160">SUM(A369:A370)</f>
        <v>74</v>
      </c>
      <c r="B371" s="60">
        <f t="shared" si="160"/>
        <v>0</v>
      </c>
      <c r="C371" s="60">
        <f t="shared" si="160"/>
        <v>74</v>
      </c>
      <c r="D371" s="60">
        <f t="shared" si="160"/>
        <v>0</v>
      </c>
      <c r="E371" s="60">
        <f t="shared" si="160"/>
        <v>0</v>
      </c>
      <c r="F371" s="60">
        <f t="shared" si="160"/>
        <v>0</v>
      </c>
      <c r="G371" s="60">
        <f t="shared" si="160"/>
        <v>74</v>
      </c>
      <c r="H371" s="60">
        <f t="shared" si="160"/>
        <v>0</v>
      </c>
      <c r="I371" s="60">
        <f>SUM(I369:I370)</f>
        <v>74</v>
      </c>
      <c r="J371" s="65" t="s">
        <v>13</v>
      </c>
      <c r="K371" s="67"/>
      <c r="L371" s="55"/>
    </row>
    <row r="372" spans="1:12" ht="12.75" customHeight="1" thickBot="1" x14ac:dyDescent="0.25">
      <c r="A372" s="60">
        <f t="shared" si="146"/>
        <v>111</v>
      </c>
      <c r="B372" s="60">
        <f t="shared" si="147"/>
        <v>111</v>
      </c>
      <c r="C372" s="60">
        <f t="shared" si="147"/>
        <v>0</v>
      </c>
      <c r="D372" s="60">
        <f t="shared" si="148"/>
        <v>0</v>
      </c>
      <c r="E372" s="60">
        <v>0</v>
      </c>
      <c r="F372" s="60">
        <v>0</v>
      </c>
      <c r="G372" s="60">
        <f t="shared" si="149"/>
        <v>111</v>
      </c>
      <c r="H372" s="60">
        <v>111</v>
      </c>
      <c r="I372" s="60">
        <v>0</v>
      </c>
      <c r="J372" s="65" t="s">
        <v>221</v>
      </c>
      <c r="K372" s="66"/>
      <c r="L372" s="55"/>
    </row>
    <row r="373" spans="1:12" ht="12.75" customHeight="1" thickBot="1" x14ac:dyDescent="0.25">
      <c r="A373" s="60">
        <f t="shared" si="146"/>
        <v>5</v>
      </c>
      <c r="B373" s="60">
        <f t="shared" si="147"/>
        <v>5</v>
      </c>
      <c r="C373" s="60">
        <f t="shared" si="147"/>
        <v>0</v>
      </c>
      <c r="D373" s="60">
        <f t="shared" si="148"/>
        <v>0</v>
      </c>
      <c r="E373" s="60">
        <v>0</v>
      </c>
      <c r="F373" s="60">
        <v>0</v>
      </c>
      <c r="G373" s="60">
        <f t="shared" si="149"/>
        <v>5</v>
      </c>
      <c r="H373" s="60">
        <v>5</v>
      </c>
      <c r="I373" s="60">
        <v>0</v>
      </c>
      <c r="J373" s="65" t="s">
        <v>222</v>
      </c>
      <c r="K373" s="66" t="s">
        <v>420</v>
      </c>
      <c r="L373" s="55"/>
    </row>
    <row r="374" spans="1:12" ht="12.75" customHeight="1" thickBot="1" x14ac:dyDescent="0.25">
      <c r="A374" s="60">
        <f t="shared" ref="A374:H374" si="161">SUM(A372:A373)</f>
        <v>116</v>
      </c>
      <c r="B374" s="60">
        <f t="shared" si="161"/>
        <v>116</v>
      </c>
      <c r="C374" s="60">
        <f t="shared" si="161"/>
        <v>0</v>
      </c>
      <c r="D374" s="60">
        <f t="shared" si="161"/>
        <v>0</v>
      </c>
      <c r="E374" s="60">
        <f t="shared" si="161"/>
        <v>0</v>
      </c>
      <c r="F374" s="60">
        <f t="shared" si="161"/>
        <v>0</v>
      </c>
      <c r="G374" s="60">
        <f t="shared" si="161"/>
        <v>116</v>
      </c>
      <c r="H374" s="60">
        <f t="shared" si="161"/>
        <v>116</v>
      </c>
      <c r="I374" s="60">
        <f>SUM(I372:I373)</f>
        <v>0</v>
      </c>
      <c r="J374" s="65" t="s">
        <v>13</v>
      </c>
      <c r="K374" s="67"/>
      <c r="L374" s="55"/>
    </row>
    <row r="375" spans="1:12" ht="12.75" customHeight="1" thickBot="1" x14ac:dyDescent="0.25">
      <c r="A375" s="60">
        <f t="shared" si="146"/>
        <v>685</v>
      </c>
      <c r="B375" s="60">
        <f t="shared" si="147"/>
        <v>685</v>
      </c>
      <c r="C375" s="60">
        <f t="shared" si="147"/>
        <v>0</v>
      </c>
      <c r="D375" s="60">
        <f t="shared" si="148"/>
        <v>0</v>
      </c>
      <c r="E375" s="60">
        <v>0</v>
      </c>
      <c r="F375" s="60">
        <v>0</v>
      </c>
      <c r="G375" s="60">
        <f t="shared" si="149"/>
        <v>685</v>
      </c>
      <c r="H375" s="60">
        <f>685</f>
        <v>685</v>
      </c>
      <c r="I375" s="60">
        <v>0</v>
      </c>
      <c r="J375" s="65" t="s">
        <v>221</v>
      </c>
      <c r="K375" s="66"/>
      <c r="L375" s="55"/>
    </row>
    <row r="376" spans="1:12" ht="12.75" customHeight="1" thickBot="1" x14ac:dyDescent="0.25">
      <c r="A376" s="60">
        <f t="shared" si="146"/>
        <v>0</v>
      </c>
      <c r="B376" s="60">
        <f t="shared" si="147"/>
        <v>0</v>
      </c>
      <c r="C376" s="60">
        <f t="shared" si="147"/>
        <v>0</v>
      </c>
      <c r="D376" s="60">
        <f t="shared" si="148"/>
        <v>0</v>
      </c>
      <c r="E376" s="60">
        <v>0</v>
      </c>
      <c r="F376" s="60">
        <v>0</v>
      </c>
      <c r="G376" s="60">
        <f t="shared" si="149"/>
        <v>0</v>
      </c>
      <c r="H376" s="60">
        <v>0</v>
      </c>
      <c r="I376" s="60">
        <v>0</v>
      </c>
      <c r="J376" s="65" t="s">
        <v>222</v>
      </c>
      <c r="K376" s="66" t="s">
        <v>421</v>
      </c>
      <c r="L376" s="55"/>
    </row>
    <row r="377" spans="1:12" ht="12.75" customHeight="1" thickBot="1" x14ac:dyDescent="0.25">
      <c r="A377" s="60">
        <f t="shared" ref="A377:H377" si="162">SUM(A375:A376)</f>
        <v>685</v>
      </c>
      <c r="B377" s="60">
        <f t="shared" si="162"/>
        <v>685</v>
      </c>
      <c r="C377" s="60">
        <f t="shared" si="162"/>
        <v>0</v>
      </c>
      <c r="D377" s="60">
        <f t="shared" si="162"/>
        <v>0</v>
      </c>
      <c r="E377" s="60">
        <f t="shared" si="162"/>
        <v>0</v>
      </c>
      <c r="F377" s="60">
        <f t="shared" si="162"/>
        <v>0</v>
      </c>
      <c r="G377" s="60">
        <f t="shared" si="162"/>
        <v>685</v>
      </c>
      <c r="H377" s="60">
        <f t="shared" si="162"/>
        <v>685</v>
      </c>
      <c r="I377" s="60">
        <f>SUM(I375:I376)</f>
        <v>0</v>
      </c>
      <c r="J377" s="65" t="s">
        <v>13</v>
      </c>
      <c r="K377" s="67"/>
      <c r="L377" s="55"/>
    </row>
    <row r="378" spans="1:12" ht="12.75" customHeight="1" thickBot="1" x14ac:dyDescent="0.25">
      <c r="A378" s="60">
        <f t="shared" si="146"/>
        <v>1110</v>
      </c>
      <c r="B378" s="60">
        <f t="shared" si="147"/>
        <v>1110</v>
      </c>
      <c r="C378" s="60">
        <f t="shared" si="147"/>
        <v>0</v>
      </c>
      <c r="D378" s="60">
        <f t="shared" si="148"/>
        <v>0</v>
      </c>
      <c r="E378" s="60">
        <v>0</v>
      </c>
      <c r="F378" s="60">
        <v>0</v>
      </c>
      <c r="G378" s="60">
        <f t="shared" si="149"/>
        <v>1110</v>
      </c>
      <c r="H378" s="60">
        <f>1110</f>
        <v>1110</v>
      </c>
      <c r="I378" s="60">
        <v>0</v>
      </c>
      <c r="J378" s="65" t="s">
        <v>221</v>
      </c>
      <c r="K378" s="66"/>
      <c r="L378" s="55"/>
    </row>
    <row r="379" spans="1:12" ht="12.75" customHeight="1" thickBot="1" x14ac:dyDescent="0.25">
      <c r="A379" s="60">
        <f t="shared" si="146"/>
        <v>75</v>
      </c>
      <c r="B379" s="60">
        <f t="shared" si="147"/>
        <v>75</v>
      </c>
      <c r="C379" s="60">
        <f t="shared" si="147"/>
        <v>0</v>
      </c>
      <c r="D379" s="60">
        <f t="shared" si="148"/>
        <v>0</v>
      </c>
      <c r="E379" s="60">
        <v>0</v>
      </c>
      <c r="F379" s="60">
        <v>0</v>
      </c>
      <c r="G379" s="60">
        <f t="shared" si="149"/>
        <v>75</v>
      </c>
      <c r="H379" s="60">
        <v>75</v>
      </c>
      <c r="I379" s="60">
        <v>0</v>
      </c>
      <c r="J379" s="65" t="s">
        <v>222</v>
      </c>
      <c r="K379" s="66" t="s">
        <v>422</v>
      </c>
      <c r="L379" s="55"/>
    </row>
    <row r="380" spans="1:12" ht="12.75" customHeight="1" thickBot="1" x14ac:dyDescent="0.25">
      <c r="A380" s="60">
        <f t="shared" ref="A380:H380" si="163">SUM(A378:A379)</f>
        <v>1185</v>
      </c>
      <c r="B380" s="60">
        <f t="shared" si="163"/>
        <v>1185</v>
      </c>
      <c r="C380" s="60">
        <f t="shared" si="163"/>
        <v>0</v>
      </c>
      <c r="D380" s="60">
        <f t="shared" si="163"/>
        <v>0</v>
      </c>
      <c r="E380" s="60">
        <f t="shared" si="163"/>
        <v>0</v>
      </c>
      <c r="F380" s="60">
        <f t="shared" si="163"/>
        <v>0</v>
      </c>
      <c r="G380" s="60">
        <f t="shared" si="163"/>
        <v>1185</v>
      </c>
      <c r="H380" s="60">
        <f t="shared" si="163"/>
        <v>1185</v>
      </c>
      <c r="I380" s="60">
        <f>SUM(I378:I379)</f>
        <v>0</v>
      </c>
      <c r="J380" s="65" t="s">
        <v>13</v>
      </c>
      <c r="K380" s="67"/>
      <c r="L380" s="55"/>
    </row>
    <row r="381" spans="1:12" ht="12.75" customHeight="1" thickBot="1" x14ac:dyDescent="0.25">
      <c r="A381" s="60">
        <f t="shared" si="146"/>
        <v>344</v>
      </c>
      <c r="B381" s="60">
        <f t="shared" si="147"/>
        <v>344</v>
      </c>
      <c r="C381" s="60">
        <f t="shared" si="147"/>
        <v>0</v>
      </c>
      <c r="D381" s="60">
        <f t="shared" si="148"/>
        <v>0</v>
      </c>
      <c r="E381" s="60">
        <v>0</v>
      </c>
      <c r="F381" s="60">
        <v>0</v>
      </c>
      <c r="G381" s="60">
        <f t="shared" si="149"/>
        <v>344</v>
      </c>
      <c r="H381" s="60">
        <v>344</v>
      </c>
      <c r="I381" s="60">
        <v>0</v>
      </c>
      <c r="J381" s="65" t="s">
        <v>221</v>
      </c>
      <c r="K381" s="66"/>
      <c r="L381" s="55"/>
    </row>
    <row r="382" spans="1:12" ht="12.75" customHeight="1" thickBot="1" x14ac:dyDescent="0.25">
      <c r="A382" s="60">
        <f t="shared" si="146"/>
        <v>0</v>
      </c>
      <c r="B382" s="60">
        <f t="shared" si="147"/>
        <v>0</v>
      </c>
      <c r="C382" s="60">
        <f t="shared" si="147"/>
        <v>0</v>
      </c>
      <c r="D382" s="60">
        <f t="shared" si="148"/>
        <v>0</v>
      </c>
      <c r="E382" s="60">
        <v>0</v>
      </c>
      <c r="F382" s="60">
        <v>0</v>
      </c>
      <c r="G382" s="60">
        <f t="shared" si="149"/>
        <v>0</v>
      </c>
      <c r="H382" s="60">
        <v>0</v>
      </c>
      <c r="I382" s="60">
        <v>0</v>
      </c>
      <c r="J382" s="65" t="s">
        <v>222</v>
      </c>
      <c r="K382" s="66" t="s">
        <v>423</v>
      </c>
      <c r="L382" s="55"/>
    </row>
    <row r="383" spans="1:12" ht="12.75" customHeight="1" thickBot="1" x14ac:dyDescent="0.25">
      <c r="A383" s="60">
        <f t="shared" ref="A383:H383" si="164">SUM(A381:A382)</f>
        <v>344</v>
      </c>
      <c r="B383" s="60">
        <f t="shared" si="164"/>
        <v>344</v>
      </c>
      <c r="C383" s="60">
        <f t="shared" si="164"/>
        <v>0</v>
      </c>
      <c r="D383" s="60">
        <f t="shared" si="164"/>
        <v>0</v>
      </c>
      <c r="E383" s="60">
        <f t="shared" si="164"/>
        <v>0</v>
      </c>
      <c r="F383" s="60">
        <f t="shared" si="164"/>
        <v>0</v>
      </c>
      <c r="G383" s="60">
        <f t="shared" si="164"/>
        <v>344</v>
      </c>
      <c r="H383" s="60">
        <f t="shared" si="164"/>
        <v>344</v>
      </c>
      <c r="I383" s="60">
        <f>SUM(I381:I382)</f>
        <v>0</v>
      </c>
      <c r="J383" s="65" t="s">
        <v>13</v>
      </c>
      <c r="K383" s="67"/>
      <c r="L383" s="55"/>
    </row>
    <row r="384" spans="1:12" ht="12.75" customHeight="1" thickBot="1" x14ac:dyDescent="0.25">
      <c r="A384" s="60">
        <f t="shared" si="146"/>
        <v>375</v>
      </c>
      <c r="B384" s="60">
        <f t="shared" si="147"/>
        <v>375</v>
      </c>
      <c r="C384" s="60">
        <f t="shared" si="147"/>
        <v>0</v>
      </c>
      <c r="D384" s="60">
        <f t="shared" si="148"/>
        <v>0</v>
      </c>
      <c r="E384" s="60">
        <v>0</v>
      </c>
      <c r="F384" s="60">
        <v>0</v>
      </c>
      <c r="G384" s="60">
        <f t="shared" si="149"/>
        <v>375</v>
      </c>
      <c r="H384" s="60">
        <v>375</v>
      </c>
      <c r="I384" s="60">
        <v>0</v>
      </c>
      <c r="J384" s="65" t="s">
        <v>221</v>
      </c>
      <c r="K384" s="66"/>
      <c r="L384" s="55"/>
    </row>
    <row r="385" spans="1:12" ht="12.75" customHeight="1" thickBot="1" x14ac:dyDescent="0.25">
      <c r="A385" s="60">
        <f t="shared" si="146"/>
        <v>0</v>
      </c>
      <c r="B385" s="60">
        <f t="shared" si="147"/>
        <v>0</v>
      </c>
      <c r="C385" s="60">
        <f t="shared" si="147"/>
        <v>0</v>
      </c>
      <c r="D385" s="60">
        <f t="shared" si="148"/>
        <v>0</v>
      </c>
      <c r="E385" s="60">
        <v>0</v>
      </c>
      <c r="F385" s="60">
        <v>0</v>
      </c>
      <c r="G385" s="60">
        <f t="shared" si="149"/>
        <v>0</v>
      </c>
      <c r="H385" s="60">
        <v>0</v>
      </c>
      <c r="I385" s="60">
        <v>0</v>
      </c>
      <c r="J385" s="65" t="s">
        <v>222</v>
      </c>
      <c r="K385" s="66" t="s">
        <v>424</v>
      </c>
      <c r="L385" s="55"/>
    </row>
    <row r="386" spans="1:12" ht="12.75" customHeight="1" thickBot="1" x14ac:dyDescent="0.25">
      <c r="A386" s="60">
        <f t="shared" ref="A386:H386" si="165">SUM(A384:A385)</f>
        <v>375</v>
      </c>
      <c r="B386" s="60">
        <f t="shared" si="165"/>
        <v>375</v>
      </c>
      <c r="C386" s="60">
        <f t="shared" si="165"/>
        <v>0</v>
      </c>
      <c r="D386" s="60">
        <f t="shared" si="165"/>
        <v>0</v>
      </c>
      <c r="E386" s="60">
        <f t="shared" si="165"/>
        <v>0</v>
      </c>
      <c r="F386" s="60">
        <f t="shared" si="165"/>
        <v>0</v>
      </c>
      <c r="G386" s="60">
        <f t="shared" si="165"/>
        <v>375</v>
      </c>
      <c r="H386" s="60">
        <f t="shared" si="165"/>
        <v>375</v>
      </c>
      <c r="I386" s="60">
        <f>SUM(I384:I385)</f>
        <v>0</v>
      </c>
      <c r="J386" s="65" t="s">
        <v>13</v>
      </c>
      <c r="K386" s="67"/>
      <c r="L386" s="55"/>
    </row>
    <row r="387" spans="1:12" ht="12.75" customHeight="1" thickBot="1" x14ac:dyDescent="0.25">
      <c r="A387" s="60">
        <f t="shared" si="146"/>
        <v>243</v>
      </c>
      <c r="B387" s="60">
        <f t="shared" si="147"/>
        <v>243</v>
      </c>
      <c r="C387" s="60">
        <f t="shared" si="147"/>
        <v>0</v>
      </c>
      <c r="D387" s="60">
        <f t="shared" si="148"/>
        <v>0</v>
      </c>
      <c r="E387" s="60">
        <v>0</v>
      </c>
      <c r="F387" s="60">
        <v>0</v>
      </c>
      <c r="G387" s="60">
        <f t="shared" si="149"/>
        <v>243</v>
      </c>
      <c r="H387" s="60">
        <v>243</v>
      </c>
      <c r="I387" s="60">
        <v>0</v>
      </c>
      <c r="J387" s="65" t="s">
        <v>221</v>
      </c>
      <c r="K387" s="66"/>
      <c r="L387" s="55"/>
    </row>
    <row r="388" spans="1:12" ht="12.75" customHeight="1" thickBot="1" x14ac:dyDescent="0.25">
      <c r="A388" s="60">
        <f t="shared" si="146"/>
        <v>5</v>
      </c>
      <c r="B388" s="60">
        <f t="shared" si="147"/>
        <v>5</v>
      </c>
      <c r="C388" s="60">
        <f t="shared" si="147"/>
        <v>0</v>
      </c>
      <c r="D388" s="60">
        <f t="shared" si="148"/>
        <v>0</v>
      </c>
      <c r="E388" s="60">
        <v>0</v>
      </c>
      <c r="F388" s="60">
        <v>0</v>
      </c>
      <c r="G388" s="60">
        <f t="shared" si="149"/>
        <v>5</v>
      </c>
      <c r="H388" s="60">
        <v>5</v>
      </c>
      <c r="I388" s="60">
        <v>0</v>
      </c>
      <c r="J388" s="65" t="s">
        <v>222</v>
      </c>
      <c r="K388" s="66" t="s">
        <v>425</v>
      </c>
      <c r="L388" s="55"/>
    </row>
    <row r="389" spans="1:12" ht="12.75" customHeight="1" thickBot="1" x14ac:dyDescent="0.25">
      <c r="A389" s="60">
        <f t="shared" ref="A389:H389" si="166">SUM(A387:A388)</f>
        <v>248</v>
      </c>
      <c r="B389" s="60">
        <f t="shared" si="166"/>
        <v>248</v>
      </c>
      <c r="C389" s="60">
        <f t="shared" si="166"/>
        <v>0</v>
      </c>
      <c r="D389" s="60">
        <f t="shared" si="166"/>
        <v>0</v>
      </c>
      <c r="E389" s="60">
        <f t="shared" si="166"/>
        <v>0</v>
      </c>
      <c r="F389" s="60">
        <f t="shared" si="166"/>
        <v>0</v>
      </c>
      <c r="G389" s="60">
        <f t="shared" si="166"/>
        <v>248</v>
      </c>
      <c r="H389" s="60">
        <f t="shared" si="166"/>
        <v>248</v>
      </c>
      <c r="I389" s="60">
        <f>SUM(I387:I388)</f>
        <v>0</v>
      </c>
      <c r="J389" s="65" t="s">
        <v>13</v>
      </c>
      <c r="K389" s="67"/>
      <c r="L389" s="55"/>
    </row>
    <row r="390" spans="1:12" ht="12.75" customHeight="1" thickBot="1" x14ac:dyDescent="0.25">
      <c r="A390" s="60">
        <f t="shared" si="146"/>
        <v>390</v>
      </c>
      <c r="B390" s="60">
        <f t="shared" si="147"/>
        <v>390</v>
      </c>
      <c r="C390" s="60">
        <f t="shared" si="147"/>
        <v>0</v>
      </c>
      <c r="D390" s="60">
        <f t="shared" si="148"/>
        <v>0</v>
      </c>
      <c r="E390" s="60">
        <v>0</v>
      </c>
      <c r="F390" s="60">
        <v>0</v>
      </c>
      <c r="G390" s="60">
        <f t="shared" si="149"/>
        <v>390</v>
      </c>
      <c r="H390" s="60">
        <v>390</v>
      </c>
      <c r="I390" s="60">
        <v>0</v>
      </c>
      <c r="J390" s="65" t="s">
        <v>221</v>
      </c>
      <c r="K390" s="66"/>
      <c r="L390" s="55"/>
    </row>
    <row r="391" spans="1:12" ht="12.75" customHeight="1" thickBot="1" x14ac:dyDescent="0.25">
      <c r="A391" s="60">
        <f t="shared" si="146"/>
        <v>21</v>
      </c>
      <c r="B391" s="60">
        <f t="shared" si="147"/>
        <v>21</v>
      </c>
      <c r="C391" s="60">
        <f t="shared" si="147"/>
        <v>0</v>
      </c>
      <c r="D391" s="60">
        <f t="shared" si="148"/>
        <v>0</v>
      </c>
      <c r="E391" s="60">
        <v>0</v>
      </c>
      <c r="F391" s="60">
        <v>0</v>
      </c>
      <c r="G391" s="60">
        <f t="shared" si="149"/>
        <v>21</v>
      </c>
      <c r="H391" s="60">
        <v>21</v>
      </c>
      <c r="I391" s="60">
        <v>0</v>
      </c>
      <c r="J391" s="65" t="s">
        <v>222</v>
      </c>
      <c r="K391" s="66" t="s">
        <v>426</v>
      </c>
      <c r="L391" s="55"/>
    </row>
    <row r="392" spans="1:12" ht="12.75" customHeight="1" thickBot="1" x14ac:dyDescent="0.25">
      <c r="A392" s="60">
        <f t="shared" ref="A392:H392" si="167">SUM(A390:A391)</f>
        <v>411</v>
      </c>
      <c r="B392" s="60">
        <f t="shared" si="167"/>
        <v>411</v>
      </c>
      <c r="C392" s="60">
        <f t="shared" si="167"/>
        <v>0</v>
      </c>
      <c r="D392" s="60">
        <f t="shared" si="167"/>
        <v>0</v>
      </c>
      <c r="E392" s="60">
        <f t="shared" si="167"/>
        <v>0</v>
      </c>
      <c r="F392" s="60">
        <f t="shared" si="167"/>
        <v>0</v>
      </c>
      <c r="G392" s="60">
        <f t="shared" si="167"/>
        <v>411</v>
      </c>
      <c r="H392" s="60">
        <f t="shared" si="167"/>
        <v>411</v>
      </c>
      <c r="I392" s="60">
        <f>SUM(I390:I391)</f>
        <v>0</v>
      </c>
      <c r="J392" s="65" t="s">
        <v>13</v>
      </c>
      <c r="K392" s="67"/>
      <c r="L392" s="55"/>
    </row>
    <row r="393" spans="1:12" ht="12.75" customHeight="1" thickBot="1" x14ac:dyDescent="0.25">
      <c r="A393" s="60">
        <f t="shared" si="146"/>
        <v>286</v>
      </c>
      <c r="B393" s="60">
        <f t="shared" si="147"/>
        <v>286</v>
      </c>
      <c r="C393" s="60">
        <f t="shared" si="147"/>
        <v>0</v>
      </c>
      <c r="D393" s="60">
        <f t="shared" si="148"/>
        <v>0</v>
      </c>
      <c r="E393" s="60">
        <v>0</v>
      </c>
      <c r="F393" s="60">
        <v>0</v>
      </c>
      <c r="G393" s="60">
        <f t="shared" si="149"/>
        <v>286</v>
      </c>
      <c r="H393" s="60">
        <v>286</v>
      </c>
      <c r="I393" s="60">
        <v>0</v>
      </c>
      <c r="J393" s="65" t="s">
        <v>221</v>
      </c>
      <c r="K393" s="66"/>
      <c r="L393" s="55"/>
    </row>
    <row r="394" spans="1:12" ht="12.75" customHeight="1" thickBot="1" x14ac:dyDescent="0.25">
      <c r="A394" s="60">
        <f t="shared" si="146"/>
        <v>29</v>
      </c>
      <c r="B394" s="60">
        <f t="shared" si="147"/>
        <v>29</v>
      </c>
      <c r="C394" s="60">
        <f t="shared" si="147"/>
        <v>0</v>
      </c>
      <c r="D394" s="60">
        <f t="shared" si="148"/>
        <v>0</v>
      </c>
      <c r="E394" s="60">
        <v>0</v>
      </c>
      <c r="F394" s="60">
        <v>0</v>
      </c>
      <c r="G394" s="60">
        <f t="shared" si="149"/>
        <v>29</v>
      </c>
      <c r="H394" s="60">
        <v>29</v>
      </c>
      <c r="I394" s="60">
        <v>0</v>
      </c>
      <c r="J394" s="65" t="s">
        <v>222</v>
      </c>
      <c r="K394" s="66" t="s">
        <v>427</v>
      </c>
      <c r="L394" s="55"/>
    </row>
    <row r="395" spans="1:12" ht="12.75" customHeight="1" thickBot="1" x14ac:dyDescent="0.25">
      <c r="A395" s="60">
        <f t="shared" ref="A395:H395" si="168">SUM(A393:A394)</f>
        <v>315</v>
      </c>
      <c r="B395" s="60">
        <f t="shared" si="168"/>
        <v>315</v>
      </c>
      <c r="C395" s="60">
        <f t="shared" si="168"/>
        <v>0</v>
      </c>
      <c r="D395" s="60">
        <f t="shared" si="168"/>
        <v>0</v>
      </c>
      <c r="E395" s="60">
        <f t="shared" si="168"/>
        <v>0</v>
      </c>
      <c r="F395" s="60">
        <f t="shared" si="168"/>
        <v>0</v>
      </c>
      <c r="G395" s="60">
        <f t="shared" si="168"/>
        <v>315</v>
      </c>
      <c r="H395" s="60">
        <f t="shared" si="168"/>
        <v>315</v>
      </c>
      <c r="I395" s="60">
        <f>SUM(I393:I394)</f>
        <v>0</v>
      </c>
      <c r="J395" s="65" t="s">
        <v>13</v>
      </c>
      <c r="K395" s="67"/>
      <c r="L395" s="55"/>
    </row>
    <row r="396" spans="1:12" ht="12.75" customHeight="1" thickBot="1" x14ac:dyDescent="0.25">
      <c r="A396" s="60">
        <f t="shared" si="146"/>
        <v>440</v>
      </c>
      <c r="B396" s="60">
        <f t="shared" si="147"/>
        <v>440</v>
      </c>
      <c r="C396" s="60">
        <f t="shared" si="147"/>
        <v>0</v>
      </c>
      <c r="D396" s="60">
        <f t="shared" si="148"/>
        <v>0</v>
      </c>
      <c r="E396" s="60">
        <v>0</v>
      </c>
      <c r="F396" s="60">
        <v>0</v>
      </c>
      <c r="G396" s="60">
        <f t="shared" si="149"/>
        <v>440</v>
      </c>
      <c r="H396" s="60">
        <v>440</v>
      </c>
      <c r="I396" s="60">
        <v>0</v>
      </c>
      <c r="J396" s="65" t="s">
        <v>221</v>
      </c>
      <c r="K396" s="66"/>
      <c r="L396" s="55"/>
    </row>
    <row r="397" spans="1:12" ht="12.75" customHeight="1" thickBot="1" x14ac:dyDescent="0.25">
      <c r="A397" s="60">
        <f t="shared" si="146"/>
        <v>7</v>
      </c>
      <c r="B397" s="60">
        <f t="shared" si="147"/>
        <v>7</v>
      </c>
      <c r="C397" s="60">
        <f t="shared" si="147"/>
        <v>0</v>
      </c>
      <c r="D397" s="60">
        <f t="shared" si="148"/>
        <v>0</v>
      </c>
      <c r="E397" s="60">
        <v>0</v>
      </c>
      <c r="F397" s="60">
        <v>0</v>
      </c>
      <c r="G397" s="60">
        <f t="shared" si="149"/>
        <v>7</v>
      </c>
      <c r="H397" s="60">
        <v>7</v>
      </c>
      <c r="I397" s="60">
        <v>0</v>
      </c>
      <c r="J397" s="65" t="s">
        <v>222</v>
      </c>
      <c r="K397" s="66" t="s">
        <v>429</v>
      </c>
      <c r="L397" s="55"/>
    </row>
    <row r="398" spans="1:12" ht="12.75" customHeight="1" thickBot="1" x14ac:dyDescent="0.25">
      <c r="A398" s="60">
        <f t="shared" ref="A398:H398" si="169">SUM(A396:A397)</f>
        <v>447</v>
      </c>
      <c r="B398" s="60">
        <f t="shared" si="169"/>
        <v>447</v>
      </c>
      <c r="C398" s="60">
        <f t="shared" si="169"/>
        <v>0</v>
      </c>
      <c r="D398" s="60">
        <f t="shared" si="169"/>
        <v>0</v>
      </c>
      <c r="E398" s="60">
        <f t="shared" si="169"/>
        <v>0</v>
      </c>
      <c r="F398" s="60">
        <f t="shared" si="169"/>
        <v>0</v>
      </c>
      <c r="G398" s="60">
        <f t="shared" si="169"/>
        <v>447</v>
      </c>
      <c r="H398" s="60">
        <f t="shared" si="169"/>
        <v>447</v>
      </c>
      <c r="I398" s="60">
        <f>SUM(I396:I397)</f>
        <v>0</v>
      </c>
      <c r="J398" s="65" t="s">
        <v>13</v>
      </c>
      <c r="K398" s="67"/>
      <c r="L398" s="55"/>
    </row>
    <row r="399" spans="1:12" ht="12.75" customHeight="1" thickBot="1" x14ac:dyDescent="0.25">
      <c r="A399" s="60">
        <f t="shared" si="146"/>
        <v>204</v>
      </c>
      <c r="B399" s="60">
        <f t="shared" si="147"/>
        <v>204</v>
      </c>
      <c r="C399" s="60">
        <f t="shared" si="147"/>
        <v>0</v>
      </c>
      <c r="D399" s="60">
        <f t="shared" si="148"/>
        <v>0</v>
      </c>
      <c r="E399" s="60">
        <v>0</v>
      </c>
      <c r="F399" s="60">
        <v>0</v>
      </c>
      <c r="G399" s="60">
        <f t="shared" si="149"/>
        <v>204</v>
      </c>
      <c r="H399" s="60">
        <v>204</v>
      </c>
      <c r="I399" s="60">
        <v>0</v>
      </c>
      <c r="J399" s="65" t="s">
        <v>221</v>
      </c>
      <c r="K399" s="66"/>
      <c r="L399" s="55"/>
    </row>
    <row r="400" spans="1:12" ht="12.75" customHeight="1" thickBot="1" x14ac:dyDescent="0.25">
      <c r="A400" s="60">
        <f t="shared" si="146"/>
        <v>13</v>
      </c>
      <c r="B400" s="60">
        <f t="shared" si="147"/>
        <v>13</v>
      </c>
      <c r="C400" s="60">
        <f t="shared" si="147"/>
        <v>0</v>
      </c>
      <c r="D400" s="60">
        <f t="shared" si="148"/>
        <v>0</v>
      </c>
      <c r="E400" s="60">
        <v>0</v>
      </c>
      <c r="F400" s="60">
        <v>0</v>
      </c>
      <c r="G400" s="60">
        <f t="shared" si="149"/>
        <v>13</v>
      </c>
      <c r="H400" s="60">
        <v>13</v>
      </c>
      <c r="I400" s="60">
        <v>0</v>
      </c>
      <c r="J400" s="65" t="s">
        <v>222</v>
      </c>
      <c r="K400" s="66" t="s">
        <v>431</v>
      </c>
      <c r="L400" s="55"/>
    </row>
    <row r="401" spans="1:12" ht="12.75" customHeight="1" thickBot="1" x14ac:dyDescent="0.25">
      <c r="A401" s="60">
        <f t="shared" ref="A401:H401" si="170">SUM(A399:A400)</f>
        <v>217</v>
      </c>
      <c r="B401" s="60">
        <f t="shared" si="170"/>
        <v>217</v>
      </c>
      <c r="C401" s="60">
        <f t="shared" si="170"/>
        <v>0</v>
      </c>
      <c r="D401" s="60">
        <f t="shared" si="170"/>
        <v>0</v>
      </c>
      <c r="E401" s="60">
        <f t="shared" si="170"/>
        <v>0</v>
      </c>
      <c r="F401" s="60">
        <f t="shared" si="170"/>
        <v>0</v>
      </c>
      <c r="G401" s="60">
        <f t="shared" si="170"/>
        <v>217</v>
      </c>
      <c r="H401" s="60">
        <f t="shared" si="170"/>
        <v>217</v>
      </c>
      <c r="I401" s="60">
        <f>SUM(I399:I400)</f>
        <v>0</v>
      </c>
      <c r="J401" s="65" t="s">
        <v>13</v>
      </c>
      <c r="K401" s="67"/>
      <c r="L401" s="55"/>
    </row>
    <row r="402" spans="1:12" ht="12.75" customHeight="1" thickBot="1" x14ac:dyDescent="0.25">
      <c r="A402" s="60">
        <f t="shared" si="146"/>
        <v>138</v>
      </c>
      <c r="B402" s="60">
        <f t="shared" si="147"/>
        <v>0</v>
      </c>
      <c r="C402" s="60">
        <f t="shared" si="147"/>
        <v>138</v>
      </c>
      <c r="D402" s="60">
        <f t="shared" si="148"/>
        <v>0</v>
      </c>
      <c r="E402" s="60">
        <v>0</v>
      </c>
      <c r="F402" s="60">
        <v>0</v>
      </c>
      <c r="G402" s="60">
        <f t="shared" si="149"/>
        <v>138</v>
      </c>
      <c r="H402" s="60">
        <v>0</v>
      </c>
      <c r="I402" s="60">
        <v>138</v>
      </c>
      <c r="J402" s="65" t="s">
        <v>221</v>
      </c>
      <c r="K402" s="66"/>
      <c r="L402" s="55"/>
    </row>
    <row r="403" spans="1:12" ht="12.75" customHeight="1" thickBot="1" x14ac:dyDescent="0.25">
      <c r="A403" s="60">
        <f t="shared" si="146"/>
        <v>0</v>
      </c>
      <c r="B403" s="60">
        <f t="shared" si="147"/>
        <v>0</v>
      </c>
      <c r="C403" s="60">
        <f t="shared" si="147"/>
        <v>0</v>
      </c>
      <c r="D403" s="60">
        <f t="shared" si="148"/>
        <v>0</v>
      </c>
      <c r="E403" s="60">
        <v>0</v>
      </c>
      <c r="F403" s="60">
        <v>0</v>
      </c>
      <c r="G403" s="60">
        <f t="shared" si="149"/>
        <v>0</v>
      </c>
      <c r="H403" s="60">
        <v>0</v>
      </c>
      <c r="I403" s="60">
        <v>0</v>
      </c>
      <c r="J403" s="65" t="s">
        <v>222</v>
      </c>
      <c r="K403" s="66" t="s">
        <v>432</v>
      </c>
      <c r="L403" s="55"/>
    </row>
    <row r="404" spans="1:12" ht="12.75" customHeight="1" thickBot="1" x14ac:dyDescent="0.25">
      <c r="A404" s="60">
        <f t="shared" ref="A404:H404" si="171">SUM(A402:A403)</f>
        <v>138</v>
      </c>
      <c r="B404" s="60">
        <f t="shared" si="171"/>
        <v>0</v>
      </c>
      <c r="C404" s="60">
        <f t="shared" si="171"/>
        <v>138</v>
      </c>
      <c r="D404" s="60">
        <f t="shared" si="171"/>
        <v>0</v>
      </c>
      <c r="E404" s="60">
        <f t="shared" si="171"/>
        <v>0</v>
      </c>
      <c r="F404" s="60">
        <f t="shared" si="171"/>
        <v>0</v>
      </c>
      <c r="G404" s="60">
        <f t="shared" si="171"/>
        <v>138</v>
      </c>
      <c r="H404" s="60">
        <f t="shared" si="171"/>
        <v>0</v>
      </c>
      <c r="I404" s="60">
        <f>SUM(I402:I403)</f>
        <v>138</v>
      </c>
      <c r="J404" s="65" t="s">
        <v>13</v>
      </c>
      <c r="K404" s="67"/>
      <c r="L404" s="55"/>
    </row>
    <row r="405" spans="1:12" ht="12.75" customHeight="1" thickBot="1" x14ac:dyDescent="0.25">
      <c r="A405" s="60">
        <f t="shared" ref="A405:I407" si="172">A339+A342+A345+A348+A351+A354+A357+A360+A363+A366+A369+A372+A375+A378+A381+A384+A387+A390+A393+A396+A399+A402</f>
        <v>6462</v>
      </c>
      <c r="B405" s="60">
        <f t="shared" si="172"/>
        <v>4367</v>
      </c>
      <c r="C405" s="60">
        <f t="shared" si="172"/>
        <v>2095</v>
      </c>
      <c r="D405" s="60">
        <f t="shared" si="172"/>
        <v>98</v>
      </c>
      <c r="E405" s="60">
        <f t="shared" si="172"/>
        <v>1</v>
      </c>
      <c r="F405" s="60">
        <f t="shared" si="172"/>
        <v>97</v>
      </c>
      <c r="G405" s="60">
        <f t="shared" si="172"/>
        <v>6364</v>
      </c>
      <c r="H405" s="60">
        <f t="shared" si="172"/>
        <v>4366</v>
      </c>
      <c r="I405" s="60">
        <f>I339+I342+I345+I348+I351+I354+I357+I360+I363+I366+I369+I372+I375+I378+I381+I384+I387+I390+I393+I396+I399+I402</f>
        <v>1998</v>
      </c>
      <c r="J405" s="65" t="s">
        <v>224</v>
      </c>
      <c r="K405" s="57"/>
      <c r="L405" s="55"/>
    </row>
    <row r="406" spans="1:12" ht="12.75" customHeight="1" thickBot="1" x14ac:dyDescent="0.25">
      <c r="A406" s="60">
        <f t="shared" si="172"/>
        <v>155</v>
      </c>
      <c r="B406" s="60">
        <f t="shared" si="172"/>
        <v>155</v>
      </c>
      <c r="C406" s="60">
        <f t="shared" si="172"/>
        <v>0</v>
      </c>
      <c r="D406" s="60">
        <f t="shared" si="172"/>
        <v>0</v>
      </c>
      <c r="E406" s="60">
        <f t="shared" si="172"/>
        <v>0</v>
      </c>
      <c r="F406" s="60">
        <f t="shared" si="172"/>
        <v>0</v>
      </c>
      <c r="G406" s="60">
        <f t="shared" si="172"/>
        <v>155</v>
      </c>
      <c r="H406" s="60">
        <f t="shared" si="172"/>
        <v>155</v>
      </c>
      <c r="I406" s="60">
        <f t="shared" si="172"/>
        <v>0</v>
      </c>
      <c r="J406" s="65" t="s">
        <v>225</v>
      </c>
      <c r="K406" s="68" t="s">
        <v>211</v>
      </c>
      <c r="L406" s="55"/>
    </row>
    <row r="407" spans="1:12" ht="12.75" customHeight="1" thickBot="1" x14ac:dyDescent="0.25">
      <c r="A407" s="60">
        <f t="shared" si="172"/>
        <v>6617</v>
      </c>
      <c r="B407" s="60">
        <f t="shared" si="172"/>
        <v>4522</v>
      </c>
      <c r="C407" s="60">
        <f t="shared" si="172"/>
        <v>2095</v>
      </c>
      <c r="D407" s="60">
        <f t="shared" si="172"/>
        <v>98</v>
      </c>
      <c r="E407" s="60">
        <f t="shared" si="172"/>
        <v>1</v>
      </c>
      <c r="F407" s="60">
        <f t="shared" si="172"/>
        <v>97</v>
      </c>
      <c r="G407" s="60">
        <f t="shared" si="172"/>
        <v>6519</v>
      </c>
      <c r="H407" s="60">
        <f t="shared" si="172"/>
        <v>4521</v>
      </c>
      <c r="I407" s="60">
        <f t="shared" si="172"/>
        <v>1998</v>
      </c>
      <c r="J407" s="65" t="s">
        <v>13</v>
      </c>
      <c r="K407" s="59"/>
      <c r="L407" s="55"/>
    </row>
    <row r="408" spans="1:12" ht="12.75" customHeight="1" x14ac:dyDescent="0.2">
      <c r="A408" s="177" t="s">
        <v>597</v>
      </c>
      <c r="B408" s="177"/>
      <c r="C408" s="177"/>
      <c r="D408" s="177"/>
      <c r="E408" s="177"/>
      <c r="F408" s="177"/>
      <c r="G408" s="177"/>
      <c r="H408" s="177"/>
      <c r="I408" s="177"/>
      <c r="J408" s="177"/>
      <c r="K408" s="177"/>
      <c r="L408" s="55"/>
    </row>
    <row r="409" spans="1:12" ht="12.75" customHeight="1" thickBot="1" x14ac:dyDescent="0.25">
      <c r="A409" s="178" t="s">
        <v>598</v>
      </c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55"/>
    </row>
    <row r="410" spans="1:12" ht="12.75" customHeight="1" thickBot="1" x14ac:dyDescent="0.25">
      <c r="A410" s="179" t="s">
        <v>5</v>
      </c>
      <c r="B410" s="179"/>
      <c r="C410" s="179"/>
      <c r="D410" s="179" t="s">
        <v>162</v>
      </c>
      <c r="E410" s="179"/>
      <c r="F410" s="179"/>
      <c r="G410" s="179" t="s">
        <v>163</v>
      </c>
      <c r="H410" s="179"/>
      <c r="I410" s="179"/>
      <c r="J410" s="179" t="s">
        <v>72</v>
      </c>
      <c r="K410" s="179"/>
      <c r="L410" s="55"/>
    </row>
    <row r="411" spans="1:12" ht="12.75" customHeight="1" thickBot="1" x14ac:dyDescent="0.25">
      <c r="A411" s="58" t="s">
        <v>216</v>
      </c>
      <c r="B411" s="58" t="s">
        <v>11</v>
      </c>
      <c r="C411" s="58" t="s">
        <v>10</v>
      </c>
      <c r="D411" s="58" t="s">
        <v>216</v>
      </c>
      <c r="E411" s="58" t="s">
        <v>11</v>
      </c>
      <c r="F411" s="58" t="s">
        <v>10</v>
      </c>
      <c r="G411" s="58" t="s">
        <v>216</v>
      </c>
      <c r="H411" s="58" t="s">
        <v>11</v>
      </c>
      <c r="I411" s="58" t="s">
        <v>10</v>
      </c>
      <c r="J411" s="180" t="s">
        <v>108</v>
      </c>
      <c r="K411" s="180"/>
      <c r="L411" s="55"/>
    </row>
    <row r="412" spans="1:12" ht="12.75" customHeight="1" thickBot="1" x14ac:dyDescent="0.25">
      <c r="A412" s="60">
        <f>SUM(B412:C412)</f>
        <v>192</v>
      </c>
      <c r="B412" s="60">
        <f>H412+E412</f>
        <v>0</v>
      </c>
      <c r="C412" s="60">
        <f>I412+F412</f>
        <v>192</v>
      </c>
      <c r="D412" s="60">
        <f>SUM(E412:F412)</f>
        <v>0</v>
      </c>
      <c r="E412" s="60">
        <v>0</v>
      </c>
      <c r="F412" s="60">
        <v>0</v>
      </c>
      <c r="G412" s="60">
        <f>SUM(H412:I412)</f>
        <v>192</v>
      </c>
      <c r="H412" s="60">
        <v>0</v>
      </c>
      <c r="I412" s="60">
        <f>356-65-99</f>
        <v>192</v>
      </c>
      <c r="J412" s="65" t="s">
        <v>221</v>
      </c>
      <c r="K412" s="66"/>
      <c r="L412" s="55"/>
    </row>
    <row r="413" spans="1:12" ht="12.75" customHeight="1" thickBot="1" x14ac:dyDescent="0.25">
      <c r="A413" s="60">
        <f t="shared" ref="A413:A461" si="173">SUM(B413:C413)</f>
        <v>0</v>
      </c>
      <c r="B413" s="60">
        <f t="shared" ref="B413:C461" si="174">H413+E413</f>
        <v>0</v>
      </c>
      <c r="C413" s="60">
        <f t="shared" si="174"/>
        <v>0</v>
      </c>
      <c r="D413" s="60">
        <f t="shared" ref="D413:D461" si="175">SUM(E413:F413)</f>
        <v>0</v>
      </c>
      <c r="E413" s="60">
        <v>0</v>
      </c>
      <c r="F413" s="60">
        <v>0</v>
      </c>
      <c r="G413" s="60">
        <f t="shared" ref="G413:G461" si="176">SUM(H413:I413)</f>
        <v>0</v>
      </c>
      <c r="H413" s="60">
        <v>0</v>
      </c>
      <c r="I413" s="60">
        <v>0</v>
      </c>
      <c r="J413" s="65" t="s">
        <v>222</v>
      </c>
      <c r="K413" s="66" t="s">
        <v>437</v>
      </c>
      <c r="L413" s="55"/>
    </row>
    <row r="414" spans="1:12" ht="12.75" customHeight="1" thickBot="1" x14ac:dyDescent="0.25">
      <c r="A414" s="60">
        <f t="shared" ref="A414:H414" si="177">SUM(A412:A413)</f>
        <v>192</v>
      </c>
      <c r="B414" s="60">
        <f t="shared" si="177"/>
        <v>0</v>
      </c>
      <c r="C414" s="60">
        <f t="shared" si="177"/>
        <v>192</v>
      </c>
      <c r="D414" s="60">
        <f t="shared" si="177"/>
        <v>0</v>
      </c>
      <c r="E414" s="60">
        <f t="shared" si="177"/>
        <v>0</v>
      </c>
      <c r="F414" s="60">
        <f t="shared" si="177"/>
        <v>0</v>
      </c>
      <c r="G414" s="60">
        <f t="shared" si="177"/>
        <v>192</v>
      </c>
      <c r="H414" s="60">
        <f t="shared" si="177"/>
        <v>0</v>
      </c>
      <c r="I414" s="60">
        <f>SUM(I412:I413)</f>
        <v>192</v>
      </c>
      <c r="J414" s="65" t="s">
        <v>13</v>
      </c>
      <c r="K414" s="67"/>
      <c r="L414" s="55"/>
    </row>
    <row r="415" spans="1:12" ht="12.75" customHeight="1" thickBot="1" x14ac:dyDescent="0.25">
      <c r="A415" s="60">
        <f t="shared" si="173"/>
        <v>120</v>
      </c>
      <c r="B415" s="60">
        <f t="shared" si="174"/>
        <v>0</v>
      </c>
      <c r="C415" s="60">
        <f t="shared" si="174"/>
        <v>120</v>
      </c>
      <c r="D415" s="60">
        <f t="shared" si="175"/>
        <v>1</v>
      </c>
      <c r="E415" s="60">
        <v>0</v>
      </c>
      <c r="F415" s="60">
        <v>1</v>
      </c>
      <c r="G415" s="60">
        <f t="shared" si="176"/>
        <v>119</v>
      </c>
      <c r="H415" s="60">
        <v>0</v>
      </c>
      <c r="I415" s="60">
        <f>170-51</f>
        <v>119</v>
      </c>
      <c r="J415" s="65" t="s">
        <v>221</v>
      </c>
      <c r="K415" s="66"/>
      <c r="L415" s="55"/>
    </row>
    <row r="416" spans="1:12" ht="12.75" customHeight="1" thickBot="1" x14ac:dyDescent="0.25">
      <c r="A416" s="60">
        <f t="shared" si="173"/>
        <v>47</v>
      </c>
      <c r="B416" s="60">
        <f t="shared" si="174"/>
        <v>14</v>
      </c>
      <c r="C416" s="60">
        <f t="shared" si="174"/>
        <v>33</v>
      </c>
      <c r="D416" s="60">
        <f t="shared" si="175"/>
        <v>0</v>
      </c>
      <c r="E416" s="60">
        <v>0</v>
      </c>
      <c r="F416" s="60">
        <v>0</v>
      </c>
      <c r="G416" s="60">
        <f t="shared" si="176"/>
        <v>47</v>
      </c>
      <c r="H416" s="60">
        <v>14</v>
      </c>
      <c r="I416" s="60">
        <v>33</v>
      </c>
      <c r="J416" s="65" t="s">
        <v>222</v>
      </c>
      <c r="K416" s="66" t="s">
        <v>419</v>
      </c>
      <c r="L416" s="55"/>
    </row>
    <row r="417" spans="1:12" ht="12.75" customHeight="1" thickBot="1" x14ac:dyDescent="0.25">
      <c r="A417" s="60">
        <f t="shared" ref="A417:H417" si="178">SUM(A415:A416)</f>
        <v>167</v>
      </c>
      <c r="B417" s="60">
        <f t="shared" si="178"/>
        <v>14</v>
      </c>
      <c r="C417" s="60">
        <f t="shared" si="178"/>
        <v>153</v>
      </c>
      <c r="D417" s="60">
        <f t="shared" si="178"/>
        <v>1</v>
      </c>
      <c r="E417" s="60">
        <f t="shared" si="178"/>
        <v>0</v>
      </c>
      <c r="F417" s="60">
        <f t="shared" si="178"/>
        <v>1</v>
      </c>
      <c r="G417" s="60">
        <f t="shared" si="178"/>
        <v>166</v>
      </c>
      <c r="H417" s="60">
        <f t="shared" si="178"/>
        <v>14</v>
      </c>
      <c r="I417" s="60">
        <f>SUM(I415:I416)</f>
        <v>152</v>
      </c>
      <c r="J417" s="65" t="s">
        <v>13</v>
      </c>
      <c r="K417" s="67"/>
      <c r="L417" s="55"/>
    </row>
    <row r="418" spans="1:12" ht="12.75" customHeight="1" thickBot="1" x14ac:dyDescent="0.25">
      <c r="A418" s="60">
        <f t="shared" si="173"/>
        <v>230</v>
      </c>
      <c r="B418" s="60">
        <f t="shared" si="174"/>
        <v>0</v>
      </c>
      <c r="C418" s="60">
        <f t="shared" si="174"/>
        <v>230</v>
      </c>
      <c r="D418" s="60">
        <f t="shared" si="175"/>
        <v>0</v>
      </c>
      <c r="E418" s="60">
        <v>0</v>
      </c>
      <c r="F418" s="60">
        <v>0</v>
      </c>
      <c r="G418" s="60">
        <f t="shared" si="176"/>
        <v>230</v>
      </c>
      <c r="H418" s="60">
        <v>0</v>
      </c>
      <c r="I418" s="60">
        <f>356-75-51</f>
        <v>230</v>
      </c>
      <c r="J418" s="65" t="s">
        <v>221</v>
      </c>
      <c r="K418" s="66"/>
      <c r="L418" s="55"/>
    </row>
    <row r="419" spans="1:12" ht="12.75" customHeight="1" thickBot="1" x14ac:dyDescent="0.25">
      <c r="A419" s="60">
        <f t="shared" si="173"/>
        <v>9</v>
      </c>
      <c r="B419" s="60">
        <f t="shared" si="174"/>
        <v>4</v>
      </c>
      <c r="C419" s="60">
        <f t="shared" si="174"/>
        <v>5</v>
      </c>
      <c r="D419" s="60">
        <f t="shared" si="175"/>
        <v>0</v>
      </c>
      <c r="E419" s="60">
        <v>0</v>
      </c>
      <c r="F419" s="60">
        <v>0</v>
      </c>
      <c r="G419" s="60">
        <f t="shared" si="176"/>
        <v>9</v>
      </c>
      <c r="H419" s="60">
        <v>4</v>
      </c>
      <c r="I419" s="60">
        <v>5</v>
      </c>
      <c r="J419" s="65" t="s">
        <v>222</v>
      </c>
      <c r="K419" s="66" t="s">
        <v>438</v>
      </c>
      <c r="L419" s="55"/>
    </row>
    <row r="420" spans="1:12" ht="12.75" customHeight="1" thickBot="1" x14ac:dyDescent="0.25">
      <c r="A420" s="60">
        <f t="shared" ref="A420:H420" si="179">SUM(A418:A419)</f>
        <v>239</v>
      </c>
      <c r="B420" s="60">
        <f t="shared" si="179"/>
        <v>4</v>
      </c>
      <c r="C420" s="60">
        <f t="shared" si="179"/>
        <v>235</v>
      </c>
      <c r="D420" s="60">
        <f t="shared" si="179"/>
        <v>0</v>
      </c>
      <c r="E420" s="60">
        <f t="shared" si="179"/>
        <v>0</v>
      </c>
      <c r="F420" s="60">
        <f t="shared" si="179"/>
        <v>0</v>
      </c>
      <c r="G420" s="60">
        <f t="shared" si="179"/>
        <v>239</v>
      </c>
      <c r="H420" s="60">
        <f t="shared" si="179"/>
        <v>4</v>
      </c>
      <c r="I420" s="60">
        <f>SUM(I418:I419)</f>
        <v>235</v>
      </c>
      <c r="J420" s="65" t="s">
        <v>13</v>
      </c>
      <c r="K420" s="67"/>
      <c r="L420" s="55"/>
    </row>
    <row r="421" spans="1:12" ht="12.75" customHeight="1" thickBot="1" x14ac:dyDescent="0.25">
      <c r="A421" s="60">
        <f t="shared" si="173"/>
        <v>288</v>
      </c>
      <c r="B421" s="60">
        <f t="shared" si="174"/>
        <v>119</v>
      </c>
      <c r="C421" s="60">
        <f t="shared" si="174"/>
        <v>169</v>
      </c>
      <c r="D421" s="60">
        <f t="shared" si="175"/>
        <v>0</v>
      </c>
      <c r="E421" s="60">
        <v>0</v>
      </c>
      <c r="F421" s="60">
        <v>0</v>
      </c>
      <c r="G421" s="60">
        <f t="shared" si="176"/>
        <v>288</v>
      </c>
      <c r="H421" s="60">
        <v>119</v>
      </c>
      <c r="I421" s="60">
        <v>169</v>
      </c>
      <c r="J421" s="65" t="s">
        <v>221</v>
      </c>
      <c r="K421" s="66"/>
      <c r="L421" s="55"/>
    </row>
    <row r="422" spans="1:12" ht="12.75" customHeight="1" thickBot="1" x14ac:dyDescent="0.25">
      <c r="A422" s="60">
        <f t="shared" si="173"/>
        <v>0</v>
      </c>
      <c r="B422" s="60">
        <f t="shared" si="174"/>
        <v>0</v>
      </c>
      <c r="C422" s="60">
        <f t="shared" si="174"/>
        <v>0</v>
      </c>
      <c r="D422" s="60">
        <f t="shared" si="175"/>
        <v>0</v>
      </c>
      <c r="E422" s="60">
        <v>0</v>
      </c>
      <c r="F422" s="60">
        <v>0</v>
      </c>
      <c r="G422" s="60">
        <f t="shared" si="176"/>
        <v>0</v>
      </c>
      <c r="H422" s="60">
        <v>0</v>
      </c>
      <c r="I422" s="60">
        <v>0</v>
      </c>
      <c r="J422" s="65" t="s">
        <v>222</v>
      </c>
      <c r="K422" s="66" t="s">
        <v>439</v>
      </c>
      <c r="L422" s="55"/>
    </row>
    <row r="423" spans="1:12" ht="12.75" customHeight="1" thickBot="1" x14ac:dyDescent="0.25">
      <c r="A423" s="60">
        <f t="shared" ref="A423:H423" si="180">SUM(A421:A422)</f>
        <v>288</v>
      </c>
      <c r="B423" s="60">
        <f t="shared" si="180"/>
        <v>119</v>
      </c>
      <c r="C423" s="60">
        <f t="shared" si="180"/>
        <v>169</v>
      </c>
      <c r="D423" s="60">
        <f t="shared" si="180"/>
        <v>0</v>
      </c>
      <c r="E423" s="60">
        <f t="shared" si="180"/>
        <v>0</v>
      </c>
      <c r="F423" s="60">
        <f t="shared" si="180"/>
        <v>0</v>
      </c>
      <c r="G423" s="60">
        <f t="shared" si="180"/>
        <v>288</v>
      </c>
      <c r="H423" s="60">
        <f t="shared" si="180"/>
        <v>119</v>
      </c>
      <c r="I423" s="60">
        <f>SUM(I421:I422)</f>
        <v>169</v>
      </c>
      <c r="J423" s="65" t="s">
        <v>13</v>
      </c>
      <c r="K423" s="67"/>
      <c r="L423" s="55"/>
    </row>
    <row r="424" spans="1:12" ht="12.75" customHeight="1" thickBot="1" x14ac:dyDescent="0.25">
      <c r="A424" s="60">
        <f t="shared" si="173"/>
        <v>102</v>
      </c>
      <c r="B424" s="60">
        <f t="shared" si="174"/>
        <v>0</v>
      </c>
      <c r="C424" s="60">
        <f t="shared" si="174"/>
        <v>102</v>
      </c>
      <c r="D424" s="60">
        <f t="shared" si="175"/>
        <v>0</v>
      </c>
      <c r="E424" s="60">
        <v>0</v>
      </c>
      <c r="F424" s="60">
        <v>0</v>
      </c>
      <c r="G424" s="60">
        <f t="shared" si="176"/>
        <v>102</v>
      </c>
      <c r="H424" s="60">
        <v>0</v>
      </c>
      <c r="I424" s="60">
        <v>102</v>
      </c>
      <c r="J424" s="65" t="s">
        <v>221</v>
      </c>
      <c r="K424" s="66"/>
      <c r="L424" s="55"/>
    </row>
    <row r="425" spans="1:12" ht="12.75" customHeight="1" thickBot="1" x14ac:dyDescent="0.25">
      <c r="A425" s="60">
        <f t="shared" si="173"/>
        <v>0</v>
      </c>
      <c r="B425" s="60">
        <f t="shared" si="174"/>
        <v>0</v>
      </c>
      <c r="C425" s="60">
        <f t="shared" si="174"/>
        <v>0</v>
      </c>
      <c r="D425" s="60">
        <f t="shared" si="175"/>
        <v>0</v>
      </c>
      <c r="E425" s="60">
        <v>0</v>
      </c>
      <c r="F425" s="60">
        <v>0</v>
      </c>
      <c r="G425" s="60">
        <f t="shared" si="176"/>
        <v>0</v>
      </c>
      <c r="H425" s="60">
        <v>0</v>
      </c>
      <c r="I425" s="60">
        <v>0</v>
      </c>
      <c r="J425" s="65" t="s">
        <v>222</v>
      </c>
      <c r="K425" s="66" t="s">
        <v>440</v>
      </c>
      <c r="L425" s="55"/>
    </row>
    <row r="426" spans="1:12" ht="12.75" customHeight="1" thickBot="1" x14ac:dyDescent="0.25">
      <c r="A426" s="60">
        <f t="shared" ref="A426:H426" si="181">SUM(A424:A425)</f>
        <v>102</v>
      </c>
      <c r="B426" s="60">
        <f t="shared" si="181"/>
        <v>0</v>
      </c>
      <c r="C426" s="60">
        <f t="shared" si="181"/>
        <v>102</v>
      </c>
      <c r="D426" s="60">
        <f t="shared" si="181"/>
        <v>0</v>
      </c>
      <c r="E426" s="60">
        <f t="shared" si="181"/>
        <v>0</v>
      </c>
      <c r="F426" s="60">
        <f t="shared" si="181"/>
        <v>0</v>
      </c>
      <c r="G426" s="60">
        <f t="shared" si="181"/>
        <v>102</v>
      </c>
      <c r="H426" s="60">
        <f t="shared" si="181"/>
        <v>0</v>
      </c>
      <c r="I426" s="60">
        <f>SUM(I424:I425)</f>
        <v>102</v>
      </c>
      <c r="J426" s="65" t="s">
        <v>13</v>
      </c>
      <c r="K426" s="67"/>
      <c r="L426" s="55"/>
    </row>
    <row r="427" spans="1:12" ht="12.75" customHeight="1" thickBot="1" x14ac:dyDescent="0.25">
      <c r="A427" s="60">
        <f t="shared" si="173"/>
        <v>76</v>
      </c>
      <c r="B427" s="60">
        <f t="shared" si="174"/>
        <v>21</v>
      </c>
      <c r="C427" s="60">
        <f t="shared" si="174"/>
        <v>55</v>
      </c>
      <c r="D427" s="60">
        <f t="shared" si="175"/>
        <v>0</v>
      </c>
      <c r="E427" s="60">
        <v>0</v>
      </c>
      <c r="F427" s="60">
        <v>0</v>
      </c>
      <c r="G427" s="60">
        <f t="shared" si="176"/>
        <v>76</v>
      </c>
      <c r="H427" s="60">
        <v>21</v>
      </c>
      <c r="I427" s="60">
        <v>55</v>
      </c>
      <c r="J427" s="65" t="s">
        <v>221</v>
      </c>
      <c r="K427" s="66"/>
      <c r="L427" s="55"/>
    </row>
    <row r="428" spans="1:12" ht="12.75" customHeight="1" thickBot="1" x14ac:dyDescent="0.25">
      <c r="A428" s="60">
        <f t="shared" si="173"/>
        <v>0</v>
      </c>
      <c r="B428" s="60">
        <f t="shared" si="174"/>
        <v>0</v>
      </c>
      <c r="C428" s="60">
        <f t="shared" si="174"/>
        <v>0</v>
      </c>
      <c r="D428" s="60">
        <f t="shared" si="175"/>
        <v>0</v>
      </c>
      <c r="E428" s="60">
        <v>0</v>
      </c>
      <c r="F428" s="60">
        <v>0</v>
      </c>
      <c r="G428" s="60">
        <f t="shared" si="176"/>
        <v>0</v>
      </c>
      <c r="H428" s="60">
        <v>0</v>
      </c>
      <c r="I428" s="60">
        <v>0</v>
      </c>
      <c r="J428" s="65" t="s">
        <v>222</v>
      </c>
      <c r="K428" s="66" t="s">
        <v>441</v>
      </c>
      <c r="L428" s="55"/>
    </row>
    <row r="429" spans="1:12" ht="12.75" customHeight="1" thickBot="1" x14ac:dyDescent="0.25">
      <c r="A429" s="60">
        <f t="shared" ref="A429:H429" si="182">SUM(A427:A428)</f>
        <v>76</v>
      </c>
      <c r="B429" s="60">
        <f t="shared" si="182"/>
        <v>21</v>
      </c>
      <c r="C429" s="60">
        <f t="shared" si="182"/>
        <v>55</v>
      </c>
      <c r="D429" s="60">
        <f t="shared" si="182"/>
        <v>0</v>
      </c>
      <c r="E429" s="60">
        <f t="shared" si="182"/>
        <v>0</v>
      </c>
      <c r="F429" s="60">
        <f t="shared" si="182"/>
        <v>0</v>
      </c>
      <c r="G429" s="60">
        <f t="shared" si="182"/>
        <v>76</v>
      </c>
      <c r="H429" s="60">
        <f t="shared" si="182"/>
        <v>21</v>
      </c>
      <c r="I429" s="60">
        <f>SUM(I427:I428)</f>
        <v>55</v>
      </c>
      <c r="J429" s="65" t="s">
        <v>13</v>
      </c>
      <c r="K429" s="67"/>
      <c r="L429" s="55"/>
    </row>
    <row r="430" spans="1:12" ht="12.75" customHeight="1" thickBot="1" x14ac:dyDescent="0.25">
      <c r="A430" s="60">
        <f t="shared" si="173"/>
        <v>34</v>
      </c>
      <c r="B430" s="60">
        <f t="shared" si="174"/>
        <v>0</v>
      </c>
      <c r="C430" s="60">
        <f t="shared" si="174"/>
        <v>34</v>
      </c>
      <c r="D430" s="60">
        <f t="shared" si="175"/>
        <v>0</v>
      </c>
      <c r="E430" s="60">
        <v>0</v>
      </c>
      <c r="F430" s="60">
        <v>0</v>
      </c>
      <c r="G430" s="60">
        <f t="shared" si="176"/>
        <v>34</v>
      </c>
      <c r="H430" s="60">
        <v>0</v>
      </c>
      <c r="I430" s="60">
        <v>34</v>
      </c>
      <c r="J430" s="65" t="s">
        <v>221</v>
      </c>
      <c r="K430" s="66"/>
      <c r="L430" s="55"/>
    </row>
    <row r="431" spans="1:12" ht="12.75" customHeight="1" thickBot="1" x14ac:dyDescent="0.25">
      <c r="A431" s="60">
        <f t="shared" si="173"/>
        <v>0</v>
      </c>
      <c r="B431" s="60">
        <f t="shared" si="174"/>
        <v>0</v>
      </c>
      <c r="C431" s="60">
        <f t="shared" si="174"/>
        <v>0</v>
      </c>
      <c r="D431" s="60">
        <f t="shared" si="175"/>
        <v>0</v>
      </c>
      <c r="E431" s="60">
        <v>0</v>
      </c>
      <c r="F431" s="60">
        <v>0</v>
      </c>
      <c r="G431" s="60">
        <f t="shared" si="176"/>
        <v>0</v>
      </c>
      <c r="H431" s="60">
        <v>0</v>
      </c>
      <c r="I431" s="60">
        <v>0</v>
      </c>
      <c r="J431" s="65" t="s">
        <v>222</v>
      </c>
      <c r="K431" s="66" t="s">
        <v>377</v>
      </c>
      <c r="L431" s="55"/>
    </row>
    <row r="432" spans="1:12" ht="12.75" customHeight="1" thickBot="1" x14ac:dyDescent="0.25">
      <c r="A432" s="60">
        <f t="shared" ref="A432:H432" si="183">SUM(A430:A431)</f>
        <v>34</v>
      </c>
      <c r="B432" s="60">
        <f t="shared" si="183"/>
        <v>0</v>
      </c>
      <c r="C432" s="60">
        <f t="shared" si="183"/>
        <v>34</v>
      </c>
      <c r="D432" s="60">
        <f t="shared" si="183"/>
        <v>0</v>
      </c>
      <c r="E432" s="60">
        <f t="shared" si="183"/>
        <v>0</v>
      </c>
      <c r="F432" s="60">
        <f t="shared" si="183"/>
        <v>0</v>
      </c>
      <c r="G432" s="60">
        <f t="shared" si="183"/>
        <v>34</v>
      </c>
      <c r="H432" s="60">
        <f t="shared" si="183"/>
        <v>0</v>
      </c>
      <c r="I432" s="60">
        <f>SUM(I430:I431)</f>
        <v>34</v>
      </c>
      <c r="J432" s="65" t="s">
        <v>13</v>
      </c>
      <c r="K432" s="67"/>
      <c r="L432" s="55"/>
    </row>
    <row r="433" spans="1:12" ht="12.75" customHeight="1" thickBot="1" x14ac:dyDescent="0.25">
      <c r="A433" s="60">
        <f t="shared" si="173"/>
        <v>121</v>
      </c>
      <c r="B433" s="60">
        <f t="shared" si="174"/>
        <v>0</v>
      </c>
      <c r="C433" s="60">
        <f t="shared" si="174"/>
        <v>121</v>
      </c>
      <c r="D433" s="60">
        <f t="shared" si="175"/>
        <v>0</v>
      </c>
      <c r="E433" s="60">
        <v>0</v>
      </c>
      <c r="F433" s="60">
        <v>0</v>
      </c>
      <c r="G433" s="60">
        <f t="shared" si="176"/>
        <v>121</v>
      </c>
      <c r="H433" s="60">
        <v>0</v>
      </c>
      <c r="I433" s="60">
        <f>171-50</f>
        <v>121</v>
      </c>
      <c r="J433" s="65" t="s">
        <v>221</v>
      </c>
      <c r="K433" s="66"/>
      <c r="L433" s="55"/>
    </row>
    <row r="434" spans="1:12" ht="12.75" customHeight="1" thickBot="1" x14ac:dyDescent="0.25">
      <c r="A434" s="60">
        <f t="shared" si="173"/>
        <v>0</v>
      </c>
      <c r="B434" s="60">
        <f t="shared" si="174"/>
        <v>0</v>
      </c>
      <c r="C434" s="60">
        <f t="shared" si="174"/>
        <v>0</v>
      </c>
      <c r="D434" s="60">
        <f t="shared" si="175"/>
        <v>0</v>
      </c>
      <c r="E434" s="60">
        <v>0</v>
      </c>
      <c r="F434" s="60">
        <v>0</v>
      </c>
      <c r="G434" s="60">
        <f t="shared" si="176"/>
        <v>0</v>
      </c>
      <c r="H434" s="60">
        <v>0</v>
      </c>
      <c r="I434" s="60">
        <v>0</v>
      </c>
      <c r="J434" s="65" t="s">
        <v>222</v>
      </c>
      <c r="K434" s="66" t="s">
        <v>359</v>
      </c>
      <c r="L434" s="55"/>
    </row>
    <row r="435" spans="1:12" ht="12.75" customHeight="1" thickBot="1" x14ac:dyDescent="0.25">
      <c r="A435" s="60">
        <f t="shared" ref="A435:H435" si="184">SUM(A433:A434)</f>
        <v>121</v>
      </c>
      <c r="B435" s="60">
        <f t="shared" si="184"/>
        <v>0</v>
      </c>
      <c r="C435" s="60">
        <f t="shared" si="184"/>
        <v>121</v>
      </c>
      <c r="D435" s="60">
        <f t="shared" si="184"/>
        <v>0</v>
      </c>
      <c r="E435" s="60">
        <f t="shared" si="184"/>
        <v>0</v>
      </c>
      <c r="F435" s="60">
        <f t="shared" si="184"/>
        <v>0</v>
      </c>
      <c r="G435" s="60">
        <f t="shared" si="184"/>
        <v>121</v>
      </c>
      <c r="H435" s="60">
        <f t="shared" si="184"/>
        <v>0</v>
      </c>
      <c r="I435" s="60">
        <f>SUM(I433:I434)</f>
        <v>121</v>
      </c>
      <c r="J435" s="65" t="s">
        <v>13</v>
      </c>
      <c r="K435" s="67"/>
      <c r="L435" s="55"/>
    </row>
    <row r="436" spans="1:12" ht="12.75" customHeight="1" thickBot="1" x14ac:dyDescent="0.25">
      <c r="A436" s="60">
        <f t="shared" si="173"/>
        <v>230</v>
      </c>
      <c r="B436" s="60">
        <f t="shared" si="174"/>
        <v>83</v>
      </c>
      <c r="C436" s="60">
        <f t="shared" si="174"/>
        <v>147</v>
      </c>
      <c r="D436" s="60">
        <f t="shared" si="175"/>
        <v>2</v>
      </c>
      <c r="E436" s="60">
        <v>0</v>
      </c>
      <c r="F436" s="60">
        <v>2</v>
      </c>
      <c r="G436" s="60">
        <f t="shared" si="176"/>
        <v>228</v>
      </c>
      <c r="H436" s="60">
        <v>83</v>
      </c>
      <c r="I436" s="60">
        <v>145</v>
      </c>
      <c r="J436" s="65" t="s">
        <v>221</v>
      </c>
      <c r="K436" s="66"/>
      <c r="L436" s="55"/>
    </row>
    <row r="437" spans="1:12" ht="12.75" customHeight="1" thickBot="1" x14ac:dyDescent="0.25">
      <c r="A437" s="60">
        <f t="shared" si="173"/>
        <v>0</v>
      </c>
      <c r="B437" s="60">
        <f t="shared" si="174"/>
        <v>0</v>
      </c>
      <c r="C437" s="60">
        <f t="shared" si="174"/>
        <v>0</v>
      </c>
      <c r="D437" s="60">
        <f t="shared" si="175"/>
        <v>0</v>
      </c>
      <c r="E437" s="60">
        <v>0</v>
      </c>
      <c r="F437" s="60">
        <v>0</v>
      </c>
      <c r="G437" s="60">
        <f t="shared" si="176"/>
        <v>0</v>
      </c>
      <c r="H437" s="60">
        <v>0</v>
      </c>
      <c r="I437" s="60">
        <v>0</v>
      </c>
      <c r="J437" s="65" t="s">
        <v>222</v>
      </c>
      <c r="K437" s="66" t="s">
        <v>443</v>
      </c>
      <c r="L437" s="55"/>
    </row>
    <row r="438" spans="1:12" ht="12.75" customHeight="1" thickBot="1" x14ac:dyDescent="0.25">
      <c r="A438" s="60">
        <f t="shared" ref="A438:H438" si="185">SUM(A436:A437)</f>
        <v>230</v>
      </c>
      <c r="B438" s="60">
        <f t="shared" si="185"/>
        <v>83</v>
      </c>
      <c r="C438" s="60">
        <f t="shared" si="185"/>
        <v>147</v>
      </c>
      <c r="D438" s="60">
        <f t="shared" si="185"/>
        <v>2</v>
      </c>
      <c r="E438" s="60">
        <f t="shared" si="185"/>
        <v>0</v>
      </c>
      <c r="F438" s="60">
        <f t="shared" si="185"/>
        <v>2</v>
      </c>
      <c r="G438" s="60">
        <f t="shared" si="185"/>
        <v>228</v>
      </c>
      <c r="H438" s="60">
        <f t="shared" si="185"/>
        <v>83</v>
      </c>
      <c r="I438" s="60">
        <f>SUM(I436:I437)</f>
        <v>145</v>
      </c>
      <c r="J438" s="65" t="s">
        <v>13</v>
      </c>
      <c r="K438" s="67"/>
      <c r="L438" s="55"/>
    </row>
    <row r="439" spans="1:12" ht="12.75" customHeight="1" thickBot="1" x14ac:dyDescent="0.25">
      <c r="A439" s="60">
        <f t="shared" si="173"/>
        <v>285</v>
      </c>
      <c r="B439" s="60">
        <f t="shared" si="174"/>
        <v>285</v>
      </c>
      <c r="C439" s="60">
        <f t="shared" si="174"/>
        <v>0</v>
      </c>
      <c r="D439" s="60">
        <f t="shared" si="175"/>
        <v>0</v>
      </c>
      <c r="E439" s="60">
        <v>0</v>
      </c>
      <c r="F439" s="60">
        <v>0</v>
      </c>
      <c r="G439" s="60">
        <f t="shared" si="176"/>
        <v>285</v>
      </c>
      <c r="H439" s="60">
        <v>285</v>
      </c>
      <c r="I439" s="60">
        <v>0</v>
      </c>
      <c r="J439" s="65" t="s">
        <v>221</v>
      </c>
      <c r="K439" s="66"/>
      <c r="L439" s="55"/>
    </row>
    <row r="440" spans="1:12" ht="12.75" customHeight="1" thickBot="1" x14ac:dyDescent="0.25">
      <c r="A440" s="60">
        <f t="shared" si="173"/>
        <v>0</v>
      </c>
      <c r="B440" s="60">
        <f t="shared" si="174"/>
        <v>0</v>
      </c>
      <c r="C440" s="60">
        <f t="shared" si="174"/>
        <v>0</v>
      </c>
      <c r="D440" s="60">
        <f t="shared" si="175"/>
        <v>0</v>
      </c>
      <c r="E440" s="60">
        <v>0</v>
      </c>
      <c r="F440" s="60">
        <v>0</v>
      </c>
      <c r="G440" s="60">
        <f t="shared" si="176"/>
        <v>0</v>
      </c>
      <c r="H440" s="60">
        <v>0</v>
      </c>
      <c r="I440" s="60">
        <v>0</v>
      </c>
      <c r="J440" s="65" t="s">
        <v>222</v>
      </c>
      <c r="K440" s="66" t="s">
        <v>444</v>
      </c>
      <c r="L440" s="55"/>
    </row>
    <row r="441" spans="1:12" ht="12.75" customHeight="1" thickBot="1" x14ac:dyDescent="0.25">
      <c r="A441" s="60">
        <f t="shared" ref="A441:H441" si="186">SUM(A439:A440)</f>
        <v>285</v>
      </c>
      <c r="B441" s="60">
        <f t="shared" si="186"/>
        <v>285</v>
      </c>
      <c r="C441" s="60">
        <f t="shared" si="186"/>
        <v>0</v>
      </c>
      <c r="D441" s="60">
        <f t="shared" si="186"/>
        <v>0</v>
      </c>
      <c r="E441" s="60">
        <f t="shared" si="186"/>
        <v>0</v>
      </c>
      <c r="F441" s="60">
        <f t="shared" si="186"/>
        <v>0</v>
      </c>
      <c r="G441" s="60">
        <f t="shared" si="186"/>
        <v>285</v>
      </c>
      <c r="H441" s="60">
        <f t="shared" si="186"/>
        <v>285</v>
      </c>
      <c r="I441" s="60">
        <f>SUM(I439:I440)</f>
        <v>0</v>
      </c>
      <c r="J441" s="65" t="s">
        <v>13</v>
      </c>
      <c r="K441" s="67"/>
      <c r="L441" s="55"/>
    </row>
    <row r="442" spans="1:12" ht="12.75" customHeight="1" thickBot="1" x14ac:dyDescent="0.25">
      <c r="A442" s="60">
        <f t="shared" si="173"/>
        <v>263</v>
      </c>
      <c r="B442" s="60">
        <f t="shared" si="174"/>
        <v>263</v>
      </c>
      <c r="C442" s="60">
        <f t="shared" si="174"/>
        <v>0</v>
      </c>
      <c r="D442" s="60">
        <f t="shared" si="175"/>
        <v>0</v>
      </c>
      <c r="E442" s="60">
        <v>0</v>
      </c>
      <c r="F442" s="60">
        <v>0</v>
      </c>
      <c r="G442" s="60">
        <f t="shared" si="176"/>
        <v>263</v>
      </c>
      <c r="H442" s="60">
        <v>263</v>
      </c>
      <c r="I442" s="60">
        <v>0</v>
      </c>
      <c r="J442" s="65" t="s">
        <v>221</v>
      </c>
      <c r="K442" s="66"/>
      <c r="L442" s="55"/>
    </row>
    <row r="443" spans="1:12" ht="12.75" customHeight="1" thickBot="1" x14ac:dyDescent="0.25">
      <c r="A443" s="60">
        <f t="shared" si="173"/>
        <v>0</v>
      </c>
      <c r="B443" s="60">
        <f t="shared" si="174"/>
        <v>0</v>
      </c>
      <c r="C443" s="60">
        <f t="shared" si="174"/>
        <v>0</v>
      </c>
      <c r="D443" s="60">
        <f t="shared" si="175"/>
        <v>0</v>
      </c>
      <c r="E443" s="60">
        <v>0</v>
      </c>
      <c r="F443" s="60">
        <v>0</v>
      </c>
      <c r="G443" s="60">
        <f t="shared" si="176"/>
        <v>0</v>
      </c>
      <c r="H443" s="60">
        <v>0</v>
      </c>
      <c r="I443" s="60">
        <v>0</v>
      </c>
      <c r="J443" s="65" t="s">
        <v>222</v>
      </c>
      <c r="K443" s="66" t="s">
        <v>445</v>
      </c>
      <c r="L443" s="55"/>
    </row>
    <row r="444" spans="1:12" ht="12.75" customHeight="1" thickBot="1" x14ac:dyDescent="0.25">
      <c r="A444" s="60">
        <f t="shared" ref="A444:H444" si="187">SUM(A442:A443)</f>
        <v>263</v>
      </c>
      <c r="B444" s="60">
        <f t="shared" si="187"/>
        <v>263</v>
      </c>
      <c r="C444" s="60">
        <f t="shared" si="187"/>
        <v>0</v>
      </c>
      <c r="D444" s="60">
        <f t="shared" si="187"/>
        <v>0</v>
      </c>
      <c r="E444" s="60">
        <f t="shared" si="187"/>
        <v>0</v>
      </c>
      <c r="F444" s="60">
        <f t="shared" si="187"/>
        <v>0</v>
      </c>
      <c r="G444" s="60">
        <f t="shared" si="187"/>
        <v>263</v>
      </c>
      <c r="H444" s="60">
        <f t="shared" si="187"/>
        <v>263</v>
      </c>
      <c r="I444" s="60">
        <f>SUM(I442:I443)</f>
        <v>0</v>
      </c>
      <c r="J444" s="65" t="s">
        <v>13</v>
      </c>
      <c r="K444" s="67"/>
      <c r="L444" s="55"/>
    </row>
    <row r="445" spans="1:12" ht="12.75" customHeight="1" thickBot="1" x14ac:dyDescent="0.25">
      <c r="A445" s="60">
        <f t="shared" si="173"/>
        <v>454</v>
      </c>
      <c r="B445" s="60">
        <f t="shared" si="174"/>
        <v>454</v>
      </c>
      <c r="C445" s="60">
        <f t="shared" si="174"/>
        <v>0</v>
      </c>
      <c r="D445" s="60">
        <f t="shared" si="175"/>
        <v>0</v>
      </c>
      <c r="E445" s="60">
        <v>0</v>
      </c>
      <c r="F445" s="60">
        <v>0</v>
      </c>
      <c r="G445" s="60">
        <f t="shared" si="176"/>
        <v>454</v>
      </c>
      <c r="H445" s="60">
        <v>454</v>
      </c>
      <c r="I445" s="60">
        <v>0</v>
      </c>
      <c r="J445" s="65" t="s">
        <v>221</v>
      </c>
      <c r="K445" s="66"/>
      <c r="L445" s="55"/>
    </row>
    <row r="446" spans="1:12" ht="12.75" customHeight="1" thickBot="1" x14ac:dyDescent="0.25">
      <c r="A446" s="60">
        <f t="shared" si="173"/>
        <v>6</v>
      </c>
      <c r="B446" s="60">
        <f t="shared" si="174"/>
        <v>6</v>
      </c>
      <c r="C446" s="60">
        <f t="shared" si="174"/>
        <v>0</v>
      </c>
      <c r="D446" s="60">
        <f t="shared" si="175"/>
        <v>0</v>
      </c>
      <c r="E446" s="60">
        <v>0</v>
      </c>
      <c r="F446" s="60">
        <v>0</v>
      </c>
      <c r="G446" s="60">
        <f t="shared" si="176"/>
        <v>6</v>
      </c>
      <c r="H446" s="60">
        <v>6</v>
      </c>
      <c r="I446" s="60">
        <v>0</v>
      </c>
      <c r="J446" s="65" t="s">
        <v>222</v>
      </c>
      <c r="K446" s="66" t="s">
        <v>451</v>
      </c>
      <c r="L446" s="55"/>
    </row>
    <row r="447" spans="1:12" ht="12.75" customHeight="1" thickBot="1" x14ac:dyDescent="0.25">
      <c r="A447" s="60">
        <f t="shared" ref="A447:H447" si="188">SUM(A445:A446)</f>
        <v>460</v>
      </c>
      <c r="B447" s="60">
        <f t="shared" si="188"/>
        <v>460</v>
      </c>
      <c r="C447" s="60">
        <f t="shared" si="188"/>
        <v>0</v>
      </c>
      <c r="D447" s="60">
        <f t="shared" si="188"/>
        <v>0</v>
      </c>
      <c r="E447" s="60">
        <f t="shared" si="188"/>
        <v>0</v>
      </c>
      <c r="F447" s="60">
        <f t="shared" si="188"/>
        <v>0</v>
      </c>
      <c r="G447" s="60">
        <f t="shared" si="188"/>
        <v>460</v>
      </c>
      <c r="H447" s="60">
        <f t="shared" si="188"/>
        <v>460</v>
      </c>
      <c r="I447" s="60">
        <f>SUM(I445:I446)</f>
        <v>0</v>
      </c>
      <c r="J447" s="65" t="s">
        <v>13</v>
      </c>
      <c r="K447" s="67"/>
      <c r="L447" s="55"/>
    </row>
    <row r="448" spans="1:12" ht="12.75" customHeight="1" thickBot="1" x14ac:dyDescent="0.25">
      <c r="A448" s="60">
        <f t="shared" si="173"/>
        <v>307</v>
      </c>
      <c r="B448" s="60">
        <f t="shared" si="174"/>
        <v>307</v>
      </c>
      <c r="C448" s="60">
        <f t="shared" si="174"/>
        <v>0</v>
      </c>
      <c r="D448" s="60">
        <f t="shared" si="175"/>
        <v>0</v>
      </c>
      <c r="E448" s="60">
        <v>0</v>
      </c>
      <c r="F448" s="60">
        <v>0</v>
      </c>
      <c r="G448" s="60">
        <f t="shared" si="176"/>
        <v>307</v>
      </c>
      <c r="H448" s="60">
        <v>307</v>
      </c>
      <c r="I448" s="60">
        <v>0</v>
      </c>
      <c r="J448" s="65" t="s">
        <v>221</v>
      </c>
      <c r="K448" s="66"/>
      <c r="L448" s="55"/>
    </row>
    <row r="449" spans="1:12" ht="12.75" customHeight="1" thickBot="1" x14ac:dyDescent="0.25">
      <c r="A449" s="60">
        <f t="shared" si="173"/>
        <v>2</v>
      </c>
      <c r="B449" s="60">
        <f t="shared" si="174"/>
        <v>2</v>
      </c>
      <c r="C449" s="60">
        <f t="shared" si="174"/>
        <v>0</v>
      </c>
      <c r="D449" s="60">
        <f t="shared" si="175"/>
        <v>0</v>
      </c>
      <c r="E449" s="60">
        <v>0</v>
      </c>
      <c r="F449" s="60">
        <v>0</v>
      </c>
      <c r="G449" s="60">
        <f t="shared" si="176"/>
        <v>2</v>
      </c>
      <c r="H449" s="60">
        <v>2</v>
      </c>
      <c r="I449" s="60">
        <v>0</v>
      </c>
      <c r="J449" s="65" t="s">
        <v>222</v>
      </c>
      <c r="K449" s="66" t="s">
        <v>446</v>
      </c>
      <c r="L449" s="55"/>
    </row>
    <row r="450" spans="1:12" ht="12.75" customHeight="1" thickBot="1" x14ac:dyDescent="0.25">
      <c r="A450" s="60">
        <f t="shared" ref="A450:H450" si="189">SUM(A448:A449)</f>
        <v>309</v>
      </c>
      <c r="B450" s="60">
        <f t="shared" si="189"/>
        <v>309</v>
      </c>
      <c r="C450" s="60">
        <f t="shared" si="189"/>
        <v>0</v>
      </c>
      <c r="D450" s="60">
        <f t="shared" si="189"/>
        <v>0</v>
      </c>
      <c r="E450" s="60">
        <f t="shared" si="189"/>
        <v>0</v>
      </c>
      <c r="F450" s="60">
        <f t="shared" si="189"/>
        <v>0</v>
      </c>
      <c r="G450" s="60">
        <f t="shared" si="189"/>
        <v>309</v>
      </c>
      <c r="H450" s="60">
        <f t="shared" si="189"/>
        <v>309</v>
      </c>
      <c r="I450" s="60">
        <f>SUM(I448:I449)</f>
        <v>0</v>
      </c>
      <c r="J450" s="65" t="s">
        <v>13</v>
      </c>
      <c r="K450" s="67"/>
      <c r="L450" s="55"/>
    </row>
    <row r="451" spans="1:12" ht="12.75" customHeight="1" thickBot="1" x14ac:dyDescent="0.25">
      <c r="A451" s="60">
        <f t="shared" si="173"/>
        <v>183</v>
      </c>
      <c r="B451" s="60">
        <f t="shared" si="174"/>
        <v>183</v>
      </c>
      <c r="C451" s="60">
        <f t="shared" si="174"/>
        <v>0</v>
      </c>
      <c r="D451" s="60">
        <f t="shared" si="175"/>
        <v>0</v>
      </c>
      <c r="E451" s="60">
        <v>0</v>
      </c>
      <c r="F451" s="60">
        <v>0</v>
      </c>
      <c r="G451" s="60">
        <f t="shared" si="176"/>
        <v>183</v>
      </c>
      <c r="H451" s="60">
        <v>183</v>
      </c>
      <c r="I451" s="60">
        <v>0</v>
      </c>
      <c r="J451" s="65" t="s">
        <v>221</v>
      </c>
      <c r="K451" s="66"/>
      <c r="L451" s="55"/>
    </row>
    <row r="452" spans="1:12" ht="12.75" customHeight="1" thickBot="1" x14ac:dyDescent="0.25">
      <c r="A452" s="60">
        <f t="shared" si="173"/>
        <v>1</v>
      </c>
      <c r="B452" s="60">
        <f t="shared" si="174"/>
        <v>1</v>
      </c>
      <c r="C452" s="60">
        <f t="shared" si="174"/>
        <v>0</v>
      </c>
      <c r="D452" s="60">
        <f t="shared" si="175"/>
        <v>0</v>
      </c>
      <c r="E452" s="60">
        <v>0</v>
      </c>
      <c r="F452" s="60">
        <v>0</v>
      </c>
      <c r="G452" s="60">
        <f t="shared" si="176"/>
        <v>1</v>
      </c>
      <c r="H452" s="60">
        <v>1</v>
      </c>
      <c r="I452" s="60">
        <v>0</v>
      </c>
      <c r="J452" s="65" t="s">
        <v>222</v>
      </c>
      <c r="K452" s="66" t="s">
        <v>447</v>
      </c>
      <c r="L452" s="55"/>
    </row>
    <row r="453" spans="1:12" ht="12.75" customHeight="1" thickBot="1" x14ac:dyDescent="0.25">
      <c r="A453" s="60">
        <f t="shared" ref="A453:H453" si="190">SUM(A451:A452)</f>
        <v>184</v>
      </c>
      <c r="B453" s="60">
        <f t="shared" si="190"/>
        <v>184</v>
      </c>
      <c r="C453" s="60">
        <f t="shared" si="190"/>
        <v>0</v>
      </c>
      <c r="D453" s="60">
        <f t="shared" si="190"/>
        <v>0</v>
      </c>
      <c r="E453" s="60">
        <f t="shared" si="190"/>
        <v>0</v>
      </c>
      <c r="F453" s="60">
        <f t="shared" si="190"/>
        <v>0</v>
      </c>
      <c r="G453" s="60">
        <f t="shared" si="190"/>
        <v>184</v>
      </c>
      <c r="H453" s="60">
        <f t="shared" si="190"/>
        <v>184</v>
      </c>
      <c r="I453" s="60">
        <f>SUM(I451:I452)</f>
        <v>0</v>
      </c>
      <c r="J453" s="65" t="s">
        <v>13</v>
      </c>
      <c r="K453" s="67"/>
      <c r="L453" s="55"/>
    </row>
    <row r="454" spans="1:12" ht="12.75" customHeight="1" thickBot="1" x14ac:dyDescent="0.25">
      <c r="A454" s="60">
        <f t="shared" si="173"/>
        <v>412</v>
      </c>
      <c r="B454" s="60">
        <f t="shared" si="174"/>
        <v>0</v>
      </c>
      <c r="C454" s="60">
        <f t="shared" si="174"/>
        <v>412</v>
      </c>
      <c r="D454" s="60">
        <f t="shared" si="175"/>
        <v>0</v>
      </c>
      <c r="E454" s="60">
        <v>0</v>
      </c>
      <c r="F454" s="60">
        <v>0</v>
      </c>
      <c r="G454" s="60">
        <f t="shared" si="176"/>
        <v>412</v>
      </c>
      <c r="H454" s="60">
        <v>0</v>
      </c>
      <c r="I454" s="60">
        <f>632-120-100</f>
        <v>412</v>
      </c>
      <c r="J454" s="65" t="s">
        <v>221</v>
      </c>
      <c r="K454" s="66"/>
      <c r="L454" s="55"/>
    </row>
    <row r="455" spans="1:12" ht="12.75" customHeight="1" thickBot="1" x14ac:dyDescent="0.25">
      <c r="A455" s="60">
        <f t="shared" si="173"/>
        <v>12</v>
      </c>
      <c r="B455" s="60">
        <f t="shared" si="174"/>
        <v>12</v>
      </c>
      <c r="C455" s="60">
        <f t="shared" si="174"/>
        <v>0</v>
      </c>
      <c r="D455" s="60">
        <f t="shared" si="175"/>
        <v>0</v>
      </c>
      <c r="E455" s="60">
        <v>0</v>
      </c>
      <c r="F455" s="60">
        <v>0</v>
      </c>
      <c r="G455" s="60">
        <f t="shared" si="176"/>
        <v>12</v>
      </c>
      <c r="H455" s="60">
        <v>12</v>
      </c>
      <c r="I455" s="60">
        <v>0</v>
      </c>
      <c r="J455" s="65" t="s">
        <v>222</v>
      </c>
      <c r="K455" s="66" t="s">
        <v>449</v>
      </c>
      <c r="L455" s="55"/>
    </row>
    <row r="456" spans="1:12" ht="12.75" customHeight="1" thickBot="1" x14ac:dyDescent="0.25">
      <c r="A456" s="60">
        <f t="shared" ref="A456:H456" si="191">SUM(A454:A455)</f>
        <v>424</v>
      </c>
      <c r="B456" s="60">
        <f t="shared" si="191"/>
        <v>12</v>
      </c>
      <c r="C456" s="60">
        <f t="shared" si="191"/>
        <v>412</v>
      </c>
      <c r="D456" s="60">
        <f t="shared" si="191"/>
        <v>0</v>
      </c>
      <c r="E456" s="60">
        <f t="shared" si="191"/>
        <v>0</v>
      </c>
      <c r="F456" s="60">
        <f t="shared" si="191"/>
        <v>0</v>
      </c>
      <c r="G456" s="60">
        <f t="shared" si="191"/>
        <v>424</v>
      </c>
      <c r="H456" s="60">
        <f t="shared" si="191"/>
        <v>12</v>
      </c>
      <c r="I456" s="60">
        <f>SUM(I454:I455)</f>
        <v>412</v>
      </c>
      <c r="J456" s="65" t="s">
        <v>13</v>
      </c>
      <c r="K456" s="67"/>
      <c r="L456" s="55"/>
    </row>
    <row r="457" spans="1:12" ht="12.75" customHeight="1" thickBot="1" x14ac:dyDescent="0.25">
      <c r="A457" s="60">
        <f t="shared" si="173"/>
        <v>76</v>
      </c>
      <c r="B457" s="60">
        <f t="shared" si="174"/>
        <v>0</v>
      </c>
      <c r="C457" s="60">
        <f t="shared" si="174"/>
        <v>76</v>
      </c>
      <c r="D457" s="60">
        <f t="shared" si="175"/>
        <v>0</v>
      </c>
      <c r="E457" s="60">
        <v>0</v>
      </c>
      <c r="F457" s="60">
        <v>0</v>
      </c>
      <c r="G457" s="60">
        <f t="shared" si="176"/>
        <v>76</v>
      </c>
      <c r="H457" s="60">
        <v>0</v>
      </c>
      <c r="I457" s="60">
        <v>76</v>
      </c>
      <c r="J457" s="65" t="s">
        <v>221</v>
      </c>
      <c r="K457" s="66"/>
      <c r="L457" s="55"/>
    </row>
    <row r="458" spans="1:12" ht="12.75" customHeight="1" thickBot="1" x14ac:dyDescent="0.25">
      <c r="A458" s="60">
        <f t="shared" si="173"/>
        <v>0</v>
      </c>
      <c r="B458" s="60">
        <f t="shared" si="174"/>
        <v>0</v>
      </c>
      <c r="C458" s="60">
        <f t="shared" si="174"/>
        <v>0</v>
      </c>
      <c r="D458" s="60">
        <f t="shared" si="175"/>
        <v>0</v>
      </c>
      <c r="E458" s="60">
        <v>0</v>
      </c>
      <c r="F458" s="60">
        <v>0</v>
      </c>
      <c r="G458" s="60">
        <f t="shared" si="176"/>
        <v>0</v>
      </c>
      <c r="H458" s="60">
        <v>0</v>
      </c>
      <c r="I458" s="60">
        <v>0</v>
      </c>
      <c r="J458" s="65" t="s">
        <v>222</v>
      </c>
      <c r="K458" s="66" t="s">
        <v>264</v>
      </c>
      <c r="L458" s="55"/>
    </row>
    <row r="459" spans="1:12" ht="12.75" customHeight="1" thickBot="1" x14ac:dyDescent="0.25">
      <c r="A459" s="60">
        <f t="shared" ref="A459:H459" si="192">SUM(A457:A458)</f>
        <v>76</v>
      </c>
      <c r="B459" s="60">
        <f t="shared" si="192"/>
        <v>0</v>
      </c>
      <c r="C459" s="60">
        <f t="shared" si="192"/>
        <v>76</v>
      </c>
      <c r="D459" s="60">
        <f t="shared" si="192"/>
        <v>0</v>
      </c>
      <c r="E459" s="60">
        <f t="shared" si="192"/>
        <v>0</v>
      </c>
      <c r="F459" s="60">
        <f t="shared" si="192"/>
        <v>0</v>
      </c>
      <c r="G459" s="60">
        <f t="shared" si="192"/>
        <v>76</v>
      </c>
      <c r="H459" s="60">
        <f t="shared" si="192"/>
        <v>0</v>
      </c>
      <c r="I459" s="60">
        <f>SUM(I457:I458)</f>
        <v>76</v>
      </c>
      <c r="J459" s="65" t="s">
        <v>13</v>
      </c>
      <c r="K459" s="67"/>
      <c r="L459" s="55"/>
    </row>
    <row r="460" spans="1:12" ht="12.75" customHeight="1" thickBot="1" x14ac:dyDescent="0.25">
      <c r="A460" s="60">
        <f t="shared" si="173"/>
        <v>253</v>
      </c>
      <c r="B460" s="60">
        <f t="shared" si="174"/>
        <v>253</v>
      </c>
      <c r="C460" s="60">
        <f t="shared" si="174"/>
        <v>0</v>
      </c>
      <c r="D460" s="60">
        <f t="shared" si="175"/>
        <v>0</v>
      </c>
      <c r="E460" s="60">
        <v>0</v>
      </c>
      <c r="F460" s="60">
        <v>0</v>
      </c>
      <c r="G460" s="60">
        <f t="shared" si="176"/>
        <v>253</v>
      </c>
      <c r="H460" s="60">
        <v>253</v>
      </c>
      <c r="I460" s="60">
        <v>0</v>
      </c>
      <c r="J460" s="65" t="s">
        <v>221</v>
      </c>
      <c r="K460" s="66"/>
      <c r="L460" s="55"/>
    </row>
    <row r="461" spans="1:12" ht="12.75" customHeight="1" thickBot="1" x14ac:dyDescent="0.25">
      <c r="A461" s="60">
        <f t="shared" si="173"/>
        <v>16</v>
      </c>
      <c r="B461" s="60">
        <f t="shared" si="174"/>
        <v>16</v>
      </c>
      <c r="C461" s="60">
        <f t="shared" si="174"/>
        <v>0</v>
      </c>
      <c r="D461" s="60">
        <f t="shared" si="175"/>
        <v>0</v>
      </c>
      <c r="E461" s="60">
        <v>0</v>
      </c>
      <c r="F461" s="60">
        <v>0</v>
      </c>
      <c r="G461" s="60">
        <f t="shared" si="176"/>
        <v>16</v>
      </c>
      <c r="H461" s="60">
        <v>16</v>
      </c>
      <c r="I461" s="60">
        <v>0</v>
      </c>
      <c r="J461" s="65" t="s">
        <v>222</v>
      </c>
      <c r="K461" s="66" t="s">
        <v>452</v>
      </c>
      <c r="L461" s="55"/>
    </row>
    <row r="462" spans="1:12" ht="12.75" customHeight="1" thickBot="1" x14ac:dyDescent="0.25">
      <c r="A462" s="60">
        <f t="shared" ref="A462:H462" si="193">SUM(A460:A461)</f>
        <v>269</v>
      </c>
      <c r="B462" s="60">
        <f t="shared" si="193"/>
        <v>269</v>
      </c>
      <c r="C462" s="60">
        <f t="shared" si="193"/>
        <v>0</v>
      </c>
      <c r="D462" s="60">
        <f t="shared" si="193"/>
        <v>0</v>
      </c>
      <c r="E462" s="60">
        <f t="shared" si="193"/>
        <v>0</v>
      </c>
      <c r="F462" s="60">
        <f t="shared" si="193"/>
        <v>0</v>
      </c>
      <c r="G462" s="60">
        <f t="shared" si="193"/>
        <v>269</v>
      </c>
      <c r="H462" s="60">
        <f t="shared" si="193"/>
        <v>269</v>
      </c>
      <c r="I462" s="60">
        <f>SUM(I460:I461)</f>
        <v>0</v>
      </c>
      <c r="J462" s="65" t="s">
        <v>13</v>
      </c>
      <c r="K462" s="67"/>
      <c r="L462" s="55"/>
    </row>
    <row r="463" spans="1:12" ht="12.75" customHeight="1" thickBot="1" x14ac:dyDescent="0.25">
      <c r="A463" s="60">
        <f t="shared" ref="A463:I465" si="194">A412+A415+A418+A421+A424+A427+A430+A433+A436+A439+A442+A445+A448+A451+A454+A457+A460</f>
        <v>3626</v>
      </c>
      <c r="B463" s="60">
        <f t="shared" si="194"/>
        <v>1968</v>
      </c>
      <c r="C463" s="60">
        <f t="shared" si="194"/>
        <v>1658</v>
      </c>
      <c r="D463" s="60">
        <f t="shared" si="194"/>
        <v>3</v>
      </c>
      <c r="E463" s="60">
        <f t="shared" si="194"/>
        <v>0</v>
      </c>
      <c r="F463" s="60">
        <f t="shared" si="194"/>
        <v>3</v>
      </c>
      <c r="G463" s="60">
        <f t="shared" si="194"/>
        <v>3623</v>
      </c>
      <c r="H463" s="60">
        <f t="shared" si="194"/>
        <v>1968</v>
      </c>
      <c r="I463" s="60">
        <f>I412+I415+I418+I421+I424+I427+I430+I433+I436+I439+I442+I445+I448+I451+I454+I457+I460</f>
        <v>1655</v>
      </c>
      <c r="J463" s="65" t="s">
        <v>224</v>
      </c>
      <c r="K463" s="57"/>
      <c r="L463" s="55"/>
    </row>
    <row r="464" spans="1:12" ht="12.75" customHeight="1" thickBot="1" x14ac:dyDescent="0.25">
      <c r="A464" s="60">
        <f t="shared" si="194"/>
        <v>93</v>
      </c>
      <c r="B464" s="60">
        <f t="shared" si="194"/>
        <v>55</v>
      </c>
      <c r="C464" s="60">
        <f t="shared" si="194"/>
        <v>38</v>
      </c>
      <c r="D464" s="60">
        <f t="shared" si="194"/>
        <v>0</v>
      </c>
      <c r="E464" s="60">
        <f t="shared" si="194"/>
        <v>0</v>
      </c>
      <c r="F464" s="60">
        <f t="shared" si="194"/>
        <v>0</v>
      </c>
      <c r="G464" s="60">
        <f t="shared" si="194"/>
        <v>93</v>
      </c>
      <c r="H464" s="60">
        <f t="shared" si="194"/>
        <v>55</v>
      </c>
      <c r="I464" s="60">
        <f t="shared" si="194"/>
        <v>38</v>
      </c>
      <c r="J464" s="65" t="s">
        <v>225</v>
      </c>
      <c r="K464" s="68" t="s">
        <v>211</v>
      </c>
      <c r="L464" s="55"/>
    </row>
    <row r="465" spans="1:12" ht="12.75" customHeight="1" thickBot="1" x14ac:dyDescent="0.25">
      <c r="A465" s="60">
        <f t="shared" si="194"/>
        <v>3719</v>
      </c>
      <c r="B465" s="60">
        <f t="shared" si="194"/>
        <v>2023</v>
      </c>
      <c r="C465" s="60">
        <f t="shared" si="194"/>
        <v>1696</v>
      </c>
      <c r="D465" s="60">
        <f t="shared" si="194"/>
        <v>3</v>
      </c>
      <c r="E465" s="60">
        <f t="shared" si="194"/>
        <v>0</v>
      </c>
      <c r="F465" s="60">
        <f t="shared" si="194"/>
        <v>3</v>
      </c>
      <c r="G465" s="60">
        <f t="shared" si="194"/>
        <v>3716</v>
      </c>
      <c r="H465" s="60">
        <f t="shared" si="194"/>
        <v>2023</v>
      </c>
      <c r="I465" s="60">
        <f t="shared" si="194"/>
        <v>1693</v>
      </c>
      <c r="J465" s="65" t="s">
        <v>13</v>
      </c>
      <c r="K465" s="59"/>
      <c r="L465" s="55"/>
    </row>
    <row r="466" spans="1:12" ht="12.75" customHeight="1" x14ac:dyDescent="0.2">
      <c r="A466" s="177" t="s">
        <v>597</v>
      </c>
      <c r="B466" s="177"/>
      <c r="C466" s="177"/>
      <c r="D466" s="177"/>
      <c r="E466" s="177"/>
      <c r="F466" s="177"/>
      <c r="G466" s="177"/>
      <c r="H466" s="177"/>
      <c r="I466" s="177"/>
      <c r="J466" s="177"/>
      <c r="K466" s="177"/>
      <c r="L466" s="55"/>
    </row>
    <row r="467" spans="1:12" ht="12.75" customHeight="1" thickBot="1" x14ac:dyDescent="0.25">
      <c r="A467" s="178" t="s">
        <v>598</v>
      </c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55"/>
    </row>
    <row r="468" spans="1:12" ht="12.75" customHeight="1" thickBot="1" x14ac:dyDescent="0.25">
      <c r="A468" s="179" t="s">
        <v>5</v>
      </c>
      <c r="B468" s="179"/>
      <c r="C468" s="179"/>
      <c r="D468" s="179" t="s">
        <v>162</v>
      </c>
      <c r="E468" s="179"/>
      <c r="F468" s="179"/>
      <c r="G468" s="179" t="s">
        <v>163</v>
      </c>
      <c r="H468" s="179"/>
      <c r="I468" s="179"/>
      <c r="J468" s="179" t="s">
        <v>72</v>
      </c>
      <c r="K468" s="179"/>
      <c r="L468" s="55"/>
    </row>
    <row r="469" spans="1:12" ht="12.75" customHeight="1" thickBot="1" x14ac:dyDescent="0.25">
      <c r="A469" s="58" t="s">
        <v>216</v>
      </c>
      <c r="B469" s="58" t="s">
        <v>11</v>
      </c>
      <c r="C469" s="58" t="s">
        <v>10</v>
      </c>
      <c r="D469" s="58" t="s">
        <v>216</v>
      </c>
      <c r="E469" s="58" t="s">
        <v>11</v>
      </c>
      <c r="F469" s="58" t="s">
        <v>10</v>
      </c>
      <c r="G469" s="58" t="s">
        <v>216</v>
      </c>
      <c r="H469" s="58" t="s">
        <v>11</v>
      </c>
      <c r="I469" s="58" t="s">
        <v>10</v>
      </c>
      <c r="J469" s="180" t="s">
        <v>82</v>
      </c>
      <c r="K469" s="180"/>
      <c r="L469" s="55"/>
    </row>
    <row r="470" spans="1:12" ht="12.75" customHeight="1" thickBot="1" x14ac:dyDescent="0.25">
      <c r="A470" s="60">
        <f>SUM(B470:C470)</f>
        <v>278</v>
      </c>
      <c r="B470" s="60">
        <f>H470+E470</f>
        <v>0</v>
      </c>
      <c r="C470" s="60">
        <f>I470+F470</f>
        <v>278</v>
      </c>
      <c r="D470" s="60">
        <f>SUM(E470:F470)</f>
        <v>0</v>
      </c>
      <c r="E470" s="60">
        <v>0</v>
      </c>
      <c r="F470" s="60">
        <v>0</v>
      </c>
      <c r="G470" s="60">
        <f>SUM(H470:I470)</f>
        <v>278</v>
      </c>
      <c r="H470" s="60">
        <v>0</v>
      </c>
      <c r="I470" s="60">
        <f>423-95-50</f>
        <v>278</v>
      </c>
      <c r="J470" s="65" t="s">
        <v>221</v>
      </c>
      <c r="K470" s="66"/>
      <c r="L470" s="55"/>
    </row>
    <row r="471" spans="1:12" ht="12.75" customHeight="1" thickBot="1" x14ac:dyDescent="0.25">
      <c r="A471" s="60">
        <f t="shared" ref="A471:A519" si="195">SUM(B471:C471)</f>
        <v>0</v>
      </c>
      <c r="B471" s="60">
        <f t="shared" ref="B471:C519" si="196">H471+E471</f>
        <v>0</v>
      </c>
      <c r="C471" s="60">
        <f t="shared" si="196"/>
        <v>0</v>
      </c>
      <c r="D471" s="60">
        <f t="shared" ref="D471:D519" si="197">SUM(E471:F471)</f>
        <v>0</v>
      </c>
      <c r="E471" s="60">
        <v>0</v>
      </c>
      <c r="F471" s="60">
        <v>0</v>
      </c>
      <c r="G471" s="60">
        <f t="shared" ref="G471:G519" si="198">SUM(H471:I471)</f>
        <v>0</v>
      </c>
      <c r="H471" s="60">
        <v>0</v>
      </c>
      <c r="I471" s="60">
        <v>0</v>
      </c>
      <c r="J471" s="65" t="s">
        <v>222</v>
      </c>
      <c r="K471" s="66" t="s">
        <v>454</v>
      </c>
      <c r="L471" s="55"/>
    </row>
    <row r="472" spans="1:12" ht="12.75" customHeight="1" thickBot="1" x14ac:dyDescent="0.25">
      <c r="A472" s="60">
        <f t="shared" ref="A472:H472" si="199">SUM(A470:A471)</f>
        <v>278</v>
      </c>
      <c r="B472" s="60">
        <f t="shared" si="199"/>
        <v>0</v>
      </c>
      <c r="C472" s="60">
        <f t="shared" si="199"/>
        <v>278</v>
      </c>
      <c r="D472" s="60">
        <f t="shared" si="199"/>
        <v>0</v>
      </c>
      <c r="E472" s="60">
        <f t="shared" si="199"/>
        <v>0</v>
      </c>
      <c r="F472" s="60">
        <f t="shared" si="199"/>
        <v>0</v>
      </c>
      <c r="G472" s="60">
        <f t="shared" si="199"/>
        <v>278</v>
      </c>
      <c r="H472" s="60">
        <f t="shared" si="199"/>
        <v>0</v>
      </c>
      <c r="I472" s="60">
        <f>SUM(I470:I471)</f>
        <v>278</v>
      </c>
      <c r="J472" s="65" t="s">
        <v>13</v>
      </c>
      <c r="K472" s="67"/>
      <c r="L472" s="55"/>
    </row>
    <row r="473" spans="1:12" ht="12.75" customHeight="1" thickBot="1" x14ac:dyDescent="0.25">
      <c r="A473" s="60">
        <f t="shared" si="195"/>
        <v>311</v>
      </c>
      <c r="B473" s="60">
        <f t="shared" si="196"/>
        <v>198</v>
      </c>
      <c r="C473" s="60">
        <f t="shared" si="196"/>
        <v>113</v>
      </c>
      <c r="D473" s="60">
        <f t="shared" si="197"/>
        <v>7</v>
      </c>
      <c r="E473" s="60">
        <v>7</v>
      </c>
      <c r="F473" s="60">
        <v>0</v>
      </c>
      <c r="G473" s="60">
        <f t="shared" si="198"/>
        <v>304</v>
      </c>
      <c r="H473" s="60">
        <v>191</v>
      </c>
      <c r="I473" s="60">
        <f>163-25-25</f>
        <v>113</v>
      </c>
      <c r="J473" s="65" t="s">
        <v>221</v>
      </c>
      <c r="K473" s="66"/>
      <c r="L473" s="55"/>
    </row>
    <row r="474" spans="1:12" ht="12.75" customHeight="1" thickBot="1" x14ac:dyDescent="0.25">
      <c r="A474" s="60">
        <f t="shared" si="195"/>
        <v>0</v>
      </c>
      <c r="B474" s="60">
        <f t="shared" si="196"/>
        <v>0</v>
      </c>
      <c r="C474" s="60">
        <f t="shared" si="196"/>
        <v>0</v>
      </c>
      <c r="D474" s="60">
        <f t="shared" si="197"/>
        <v>0</v>
      </c>
      <c r="E474" s="60">
        <v>0</v>
      </c>
      <c r="F474" s="60">
        <v>0</v>
      </c>
      <c r="G474" s="60">
        <f t="shared" si="198"/>
        <v>0</v>
      </c>
      <c r="H474" s="60">
        <v>0</v>
      </c>
      <c r="I474" s="60">
        <v>0</v>
      </c>
      <c r="J474" s="65" t="s">
        <v>222</v>
      </c>
      <c r="K474" s="66" t="s">
        <v>359</v>
      </c>
      <c r="L474" s="55"/>
    </row>
    <row r="475" spans="1:12" ht="12.75" customHeight="1" thickBot="1" x14ac:dyDescent="0.25">
      <c r="A475" s="60">
        <f t="shared" ref="A475:H475" si="200">SUM(A473:A474)</f>
        <v>311</v>
      </c>
      <c r="B475" s="60">
        <f t="shared" si="200"/>
        <v>198</v>
      </c>
      <c r="C475" s="60">
        <f t="shared" si="200"/>
        <v>113</v>
      </c>
      <c r="D475" s="60">
        <f t="shared" si="200"/>
        <v>7</v>
      </c>
      <c r="E475" s="60">
        <f t="shared" si="200"/>
        <v>7</v>
      </c>
      <c r="F475" s="60">
        <f t="shared" si="200"/>
        <v>0</v>
      </c>
      <c r="G475" s="60">
        <f t="shared" si="200"/>
        <v>304</v>
      </c>
      <c r="H475" s="60">
        <f t="shared" si="200"/>
        <v>191</v>
      </c>
      <c r="I475" s="60">
        <f>SUM(I473:I474)</f>
        <v>113</v>
      </c>
      <c r="J475" s="65" t="s">
        <v>13</v>
      </c>
      <c r="K475" s="67"/>
      <c r="L475" s="55"/>
    </row>
    <row r="476" spans="1:12" ht="12.75" customHeight="1" thickBot="1" x14ac:dyDescent="0.25">
      <c r="A476" s="60">
        <f t="shared" si="195"/>
        <v>41</v>
      </c>
      <c r="B476" s="60">
        <f t="shared" si="196"/>
        <v>18</v>
      </c>
      <c r="C476" s="60">
        <f t="shared" si="196"/>
        <v>23</v>
      </c>
      <c r="D476" s="60">
        <f t="shared" si="197"/>
        <v>0</v>
      </c>
      <c r="E476" s="60">
        <v>0</v>
      </c>
      <c r="F476" s="60">
        <v>0</v>
      </c>
      <c r="G476" s="60">
        <f t="shared" si="198"/>
        <v>41</v>
      </c>
      <c r="H476" s="60">
        <v>18</v>
      </c>
      <c r="I476" s="60">
        <v>23</v>
      </c>
      <c r="J476" s="65" t="s">
        <v>221</v>
      </c>
      <c r="K476" s="66"/>
      <c r="L476" s="55"/>
    </row>
    <row r="477" spans="1:12" ht="12.75" customHeight="1" thickBot="1" x14ac:dyDescent="0.25">
      <c r="A477" s="60">
        <f t="shared" si="195"/>
        <v>0</v>
      </c>
      <c r="B477" s="60">
        <f t="shared" si="196"/>
        <v>0</v>
      </c>
      <c r="C477" s="60">
        <f t="shared" si="196"/>
        <v>0</v>
      </c>
      <c r="D477" s="60">
        <f t="shared" si="197"/>
        <v>0</v>
      </c>
      <c r="E477" s="60">
        <v>0</v>
      </c>
      <c r="F477" s="60">
        <v>0</v>
      </c>
      <c r="G477" s="60">
        <f t="shared" si="198"/>
        <v>0</v>
      </c>
      <c r="H477" s="60">
        <v>0</v>
      </c>
      <c r="I477" s="60">
        <v>0</v>
      </c>
      <c r="J477" s="65" t="s">
        <v>222</v>
      </c>
      <c r="K477" s="66" t="s">
        <v>441</v>
      </c>
      <c r="L477" s="55"/>
    </row>
    <row r="478" spans="1:12" ht="12.75" customHeight="1" thickBot="1" x14ac:dyDescent="0.25">
      <c r="A478" s="60">
        <f t="shared" ref="A478:H478" si="201">SUM(A476:A477)</f>
        <v>41</v>
      </c>
      <c r="B478" s="60">
        <f t="shared" si="201"/>
        <v>18</v>
      </c>
      <c r="C478" s="60">
        <f t="shared" si="201"/>
        <v>23</v>
      </c>
      <c r="D478" s="60">
        <f t="shared" si="201"/>
        <v>0</v>
      </c>
      <c r="E478" s="60">
        <f t="shared" si="201"/>
        <v>0</v>
      </c>
      <c r="F478" s="60">
        <f t="shared" si="201"/>
        <v>0</v>
      </c>
      <c r="G478" s="60">
        <f t="shared" si="201"/>
        <v>41</v>
      </c>
      <c r="H478" s="60">
        <f t="shared" si="201"/>
        <v>18</v>
      </c>
      <c r="I478" s="60">
        <f>SUM(I476:I477)</f>
        <v>23</v>
      </c>
      <c r="J478" s="65" t="s">
        <v>13</v>
      </c>
      <c r="K478" s="67"/>
      <c r="L478" s="55"/>
    </row>
    <row r="479" spans="1:12" ht="12.75" customHeight="1" thickBot="1" x14ac:dyDescent="0.25">
      <c r="A479" s="60">
        <f t="shared" si="195"/>
        <v>40</v>
      </c>
      <c r="B479" s="60">
        <f t="shared" si="196"/>
        <v>0</v>
      </c>
      <c r="C479" s="60">
        <f t="shared" si="196"/>
        <v>40</v>
      </c>
      <c r="D479" s="60">
        <f t="shared" si="197"/>
        <v>1</v>
      </c>
      <c r="E479" s="60">
        <v>0</v>
      </c>
      <c r="F479" s="60">
        <v>1</v>
      </c>
      <c r="G479" s="60">
        <f t="shared" si="198"/>
        <v>39</v>
      </c>
      <c r="H479" s="60">
        <v>0</v>
      </c>
      <c r="I479" s="60">
        <v>39</v>
      </c>
      <c r="J479" s="65" t="s">
        <v>221</v>
      </c>
      <c r="K479" s="66"/>
      <c r="L479" s="55"/>
    </row>
    <row r="480" spans="1:12" ht="12.75" customHeight="1" thickBot="1" x14ac:dyDescent="0.25">
      <c r="A480" s="60">
        <f t="shared" si="195"/>
        <v>0</v>
      </c>
      <c r="B480" s="60">
        <f t="shared" si="196"/>
        <v>0</v>
      </c>
      <c r="C480" s="60">
        <f t="shared" si="196"/>
        <v>0</v>
      </c>
      <c r="D480" s="60">
        <f t="shared" si="197"/>
        <v>0</v>
      </c>
      <c r="E480" s="60">
        <v>0</v>
      </c>
      <c r="F480" s="60">
        <v>0</v>
      </c>
      <c r="G480" s="60">
        <f t="shared" si="198"/>
        <v>0</v>
      </c>
      <c r="H480" s="60">
        <v>0</v>
      </c>
      <c r="I480" s="60">
        <v>0</v>
      </c>
      <c r="J480" s="65" t="s">
        <v>222</v>
      </c>
      <c r="K480" s="66" t="s">
        <v>455</v>
      </c>
      <c r="L480" s="55"/>
    </row>
    <row r="481" spans="1:12" ht="12.75" customHeight="1" thickBot="1" x14ac:dyDescent="0.25">
      <c r="A481" s="60">
        <f t="shared" ref="A481:H481" si="202">SUM(A479:A480)</f>
        <v>40</v>
      </c>
      <c r="B481" s="60">
        <f t="shared" si="202"/>
        <v>0</v>
      </c>
      <c r="C481" s="60">
        <f t="shared" si="202"/>
        <v>40</v>
      </c>
      <c r="D481" s="60">
        <f t="shared" si="202"/>
        <v>1</v>
      </c>
      <c r="E481" s="60">
        <f t="shared" si="202"/>
        <v>0</v>
      </c>
      <c r="F481" s="60">
        <f t="shared" si="202"/>
        <v>1</v>
      </c>
      <c r="G481" s="60">
        <f t="shared" si="202"/>
        <v>39</v>
      </c>
      <c r="H481" s="60">
        <f t="shared" si="202"/>
        <v>0</v>
      </c>
      <c r="I481" s="60">
        <f>SUM(I479:I480)</f>
        <v>39</v>
      </c>
      <c r="J481" s="65" t="s">
        <v>13</v>
      </c>
      <c r="K481" s="67"/>
      <c r="L481" s="55"/>
    </row>
    <row r="482" spans="1:12" ht="12.75" customHeight="1" thickBot="1" x14ac:dyDescent="0.25">
      <c r="A482" s="60">
        <f t="shared" si="195"/>
        <v>343</v>
      </c>
      <c r="B482" s="60">
        <f t="shared" si="196"/>
        <v>226</v>
      </c>
      <c r="C482" s="60">
        <f t="shared" si="196"/>
        <v>117</v>
      </c>
      <c r="D482" s="60">
        <f t="shared" si="197"/>
        <v>3</v>
      </c>
      <c r="E482" s="60">
        <v>2</v>
      </c>
      <c r="F482" s="60">
        <v>1</v>
      </c>
      <c r="G482" s="60">
        <f t="shared" si="198"/>
        <v>340</v>
      </c>
      <c r="H482" s="60">
        <f>224</f>
        <v>224</v>
      </c>
      <c r="I482" s="60">
        <f>156-40</f>
        <v>116</v>
      </c>
      <c r="J482" s="65" t="s">
        <v>221</v>
      </c>
      <c r="K482" s="66"/>
      <c r="L482" s="55"/>
    </row>
    <row r="483" spans="1:12" ht="12.75" customHeight="1" thickBot="1" x14ac:dyDescent="0.25">
      <c r="A483" s="60">
        <f t="shared" si="195"/>
        <v>0</v>
      </c>
      <c r="B483" s="60">
        <f t="shared" si="196"/>
        <v>0</v>
      </c>
      <c r="C483" s="60">
        <f t="shared" si="196"/>
        <v>0</v>
      </c>
      <c r="D483" s="60">
        <f t="shared" si="197"/>
        <v>0</v>
      </c>
      <c r="E483" s="60">
        <v>0</v>
      </c>
      <c r="F483" s="60">
        <v>0</v>
      </c>
      <c r="G483" s="60">
        <f t="shared" si="198"/>
        <v>0</v>
      </c>
      <c r="H483" s="60">
        <v>0</v>
      </c>
      <c r="I483" s="60">
        <v>0</v>
      </c>
      <c r="J483" s="65" t="s">
        <v>222</v>
      </c>
      <c r="K483" s="66" t="s">
        <v>456</v>
      </c>
      <c r="L483" s="55"/>
    </row>
    <row r="484" spans="1:12" ht="12.75" customHeight="1" thickBot="1" x14ac:dyDescent="0.25">
      <c r="A484" s="60">
        <f t="shared" ref="A484:H484" si="203">SUM(A482:A483)</f>
        <v>343</v>
      </c>
      <c r="B484" s="60">
        <f t="shared" si="203"/>
        <v>226</v>
      </c>
      <c r="C484" s="60">
        <f t="shared" si="203"/>
        <v>117</v>
      </c>
      <c r="D484" s="60">
        <f t="shared" si="203"/>
        <v>3</v>
      </c>
      <c r="E484" s="60">
        <f t="shared" si="203"/>
        <v>2</v>
      </c>
      <c r="F484" s="60">
        <f t="shared" si="203"/>
        <v>1</v>
      </c>
      <c r="G484" s="60">
        <f t="shared" si="203"/>
        <v>340</v>
      </c>
      <c r="H484" s="60">
        <f t="shared" si="203"/>
        <v>224</v>
      </c>
      <c r="I484" s="60">
        <f>SUM(I482:I483)</f>
        <v>116</v>
      </c>
      <c r="J484" s="65" t="s">
        <v>13</v>
      </c>
      <c r="K484" s="67"/>
      <c r="L484" s="55"/>
    </row>
    <row r="485" spans="1:12" ht="12.75" customHeight="1" thickBot="1" x14ac:dyDescent="0.25">
      <c r="A485" s="60">
        <f t="shared" si="195"/>
        <v>253</v>
      </c>
      <c r="B485" s="60">
        <f t="shared" si="196"/>
        <v>253</v>
      </c>
      <c r="C485" s="60">
        <f t="shared" si="196"/>
        <v>0</v>
      </c>
      <c r="D485" s="60">
        <f t="shared" si="197"/>
        <v>0</v>
      </c>
      <c r="E485" s="60">
        <v>0</v>
      </c>
      <c r="F485" s="60">
        <v>0</v>
      </c>
      <c r="G485" s="60">
        <f t="shared" si="198"/>
        <v>253</v>
      </c>
      <c r="H485" s="60">
        <v>253</v>
      </c>
      <c r="I485" s="60">
        <v>0</v>
      </c>
      <c r="J485" s="65" t="s">
        <v>221</v>
      </c>
      <c r="K485" s="66"/>
      <c r="L485" s="55"/>
    </row>
    <row r="486" spans="1:12" ht="12.75" customHeight="1" thickBot="1" x14ac:dyDescent="0.25">
      <c r="A486" s="60">
        <f t="shared" si="195"/>
        <v>0</v>
      </c>
      <c r="B486" s="60">
        <f t="shared" si="196"/>
        <v>0</v>
      </c>
      <c r="C486" s="60">
        <f t="shared" si="196"/>
        <v>0</v>
      </c>
      <c r="D486" s="60">
        <f t="shared" si="197"/>
        <v>0</v>
      </c>
      <c r="E486" s="60">
        <v>0</v>
      </c>
      <c r="F486" s="60">
        <v>0</v>
      </c>
      <c r="G486" s="60">
        <f t="shared" si="198"/>
        <v>0</v>
      </c>
      <c r="H486" s="60">
        <v>0</v>
      </c>
      <c r="I486" s="60">
        <v>0</v>
      </c>
      <c r="J486" s="65" t="s">
        <v>222</v>
      </c>
      <c r="K486" s="66" t="s">
        <v>457</v>
      </c>
      <c r="L486" s="55"/>
    </row>
    <row r="487" spans="1:12" ht="12.75" customHeight="1" thickBot="1" x14ac:dyDescent="0.25">
      <c r="A487" s="60">
        <f t="shared" ref="A487:H487" si="204">SUM(A485:A486)</f>
        <v>253</v>
      </c>
      <c r="B487" s="60">
        <f t="shared" si="204"/>
        <v>253</v>
      </c>
      <c r="C487" s="60">
        <f t="shared" si="204"/>
        <v>0</v>
      </c>
      <c r="D487" s="60">
        <f t="shared" si="204"/>
        <v>0</v>
      </c>
      <c r="E487" s="60">
        <f t="shared" si="204"/>
        <v>0</v>
      </c>
      <c r="F487" s="60">
        <f t="shared" si="204"/>
        <v>0</v>
      </c>
      <c r="G487" s="60">
        <f t="shared" si="204"/>
        <v>253</v>
      </c>
      <c r="H487" s="60">
        <f t="shared" si="204"/>
        <v>253</v>
      </c>
      <c r="I487" s="60">
        <f>SUM(I485:I486)</f>
        <v>0</v>
      </c>
      <c r="J487" s="65" t="s">
        <v>13</v>
      </c>
      <c r="K487" s="67"/>
      <c r="L487" s="55"/>
    </row>
    <row r="488" spans="1:12" ht="12.75" customHeight="1" thickBot="1" x14ac:dyDescent="0.25">
      <c r="A488" s="60">
        <f t="shared" si="195"/>
        <v>919</v>
      </c>
      <c r="B488" s="60">
        <f t="shared" si="196"/>
        <v>919</v>
      </c>
      <c r="C488" s="60">
        <f t="shared" si="196"/>
        <v>0</v>
      </c>
      <c r="D488" s="60">
        <f t="shared" si="197"/>
        <v>0</v>
      </c>
      <c r="E488" s="60">
        <v>0</v>
      </c>
      <c r="F488" s="60">
        <v>0</v>
      </c>
      <c r="G488" s="60">
        <f t="shared" si="198"/>
        <v>919</v>
      </c>
      <c r="H488" s="60">
        <f>1013-94</f>
        <v>919</v>
      </c>
      <c r="I488" s="60">
        <v>0</v>
      </c>
      <c r="J488" s="65" t="s">
        <v>221</v>
      </c>
      <c r="K488" s="66"/>
      <c r="L488" s="55"/>
    </row>
    <row r="489" spans="1:12" ht="12.75" customHeight="1" thickBot="1" x14ac:dyDescent="0.25">
      <c r="A489" s="60">
        <f t="shared" si="195"/>
        <v>0</v>
      </c>
      <c r="B489" s="60">
        <f t="shared" si="196"/>
        <v>0</v>
      </c>
      <c r="C489" s="60">
        <f t="shared" si="196"/>
        <v>0</v>
      </c>
      <c r="D489" s="60">
        <f t="shared" si="197"/>
        <v>0</v>
      </c>
      <c r="E489" s="60">
        <v>0</v>
      </c>
      <c r="F489" s="60">
        <v>0</v>
      </c>
      <c r="G489" s="60">
        <f t="shared" si="198"/>
        <v>0</v>
      </c>
      <c r="H489" s="60">
        <v>0</v>
      </c>
      <c r="I489" s="60">
        <v>0</v>
      </c>
      <c r="J489" s="65" t="s">
        <v>222</v>
      </c>
      <c r="K489" s="66" t="s">
        <v>573</v>
      </c>
      <c r="L489" s="55"/>
    </row>
    <row r="490" spans="1:12" ht="12.75" customHeight="1" thickBot="1" x14ac:dyDescent="0.25">
      <c r="A490" s="60">
        <f t="shared" ref="A490:H490" si="205">SUM(A488:A489)</f>
        <v>919</v>
      </c>
      <c r="B490" s="60">
        <f t="shared" si="205"/>
        <v>919</v>
      </c>
      <c r="C490" s="60">
        <f t="shared" si="205"/>
        <v>0</v>
      </c>
      <c r="D490" s="60">
        <f t="shared" si="205"/>
        <v>0</v>
      </c>
      <c r="E490" s="60">
        <f t="shared" si="205"/>
        <v>0</v>
      </c>
      <c r="F490" s="60">
        <f t="shared" si="205"/>
        <v>0</v>
      </c>
      <c r="G490" s="60">
        <f t="shared" si="205"/>
        <v>919</v>
      </c>
      <c r="H490" s="60">
        <f t="shared" si="205"/>
        <v>919</v>
      </c>
      <c r="I490" s="60">
        <f>SUM(I488:I489)</f>
        <v>0</v>
      </c>
      <c r="J490" s="65" t="s">
        <v>13</v>
      </c>
      <c r="K490" s="67"/>
      <c r="L490" s="55"/>
    </row>
    <row r="491" spans="1:12" ht="12.75" customHeight="1" thickBot="1" x14ac:dyDescent="0.25">
      <c r="A491" s="60">
        <f t="shared" si="195"/>
        <v>288</v>
      </c>
      <c r="B491" s="60">
        <f t="shared" si="196"/>
        <v>288</v>
      </c>
      <c r="C491" s="60">
        <f t="shared" si="196"/>
        <v>0</v>
      </c>
      <c r="D491" s="60">
        <f t="shared" si="197"/>
        <v>0</v>
      </c>
      <c r="E491" s="60">
        <v>0</v>
      </c>
      <c r="F491" s="60">
        <v>0</v>
      </c>
      <c r="G491" s="60">
        <f t="shared" si="198"/>
        <v>288</v>
      </c>
      <c r="H491" s="60">
        <v>288</v>
      </c>
      <c r="I491" s="60">
        <v>0</v>
      </c>
      <c r="J491" s="65" t="s">
        <v>221</v>
      </c>
      <c r="K491" s="66"/>
      <c r="L491" s="55"/>
    </row>
    <row r="492" spans="1:12" ht="12.75" customHeight="1" thickBot="1" x14ac:dyDescent="0.25">
      <c r="A492" s="60">
        <f t="shared" si="195"/>
        <v>0</v>
      </c>
      <c r="B492" s="60">
        <f t="shared" si="196"/>
        <v>0</v>
      </c>
      <c r="C492" s="60">
        <f t="shared" si="196"/>
        <v>0</v>
      </c>
      <c r="D492" s="60">
        <f t="shared" si="197"/>
        <v>0</v>
      </c>
      <c r="E492" s="60">
        <v>0</v>
      </c>
      <c r="F492" s="60">
        <v>0</v>
      </c>
      <c r="G492" s="60">
        <f t="shared" si="198"/>
        <v>0</v>
      </c>
      <c r="H492" s="60">
        <v>0</v>
      </c>
      <c r="I492" s="60">
        <v>0</v>
      </c>
      <c r="J492" s="65" t="s">
        <v>222</v>
      </c>
      <c r="K492" s="66" t="s">
        <v>460</v>
      </c>
      <c r="L492" s="55"/>
    </row>
    <row r="493" spans="1:12" ht="12.75" customHeight="1" thickBot="1" x14ac:dyDescent="0.25">
      <c r="A493" s="60">
        <f t="shared" ref="A493:H493" si="206">SUM(A491:A492)</f>
        <v>288</v>
      </c>
      <c r="B493" s="60">
        <f t="shared" si="206"/>
        <v>288</v>
      </c>
      <c r="C493" s="60">
        <f t="shared" si="206"/>
        <v>0</v>
      </c>
      <c r="D493" s="60">
        <f t="shared" si="206"/>
        <v>0</v>
      </c>
      <c r="E493" s="60">
        <f t="shared" si="206"/>
        <v>0</v>
      </c>
      <c r="F493" s="60">
        <f t="shared" si="206"/>
        <v>0</v>
      </c>
      <c r="G493" s="60">
        <f t="shared" si="206"/>
        <v>288</v>
      </c>
      <c r="H493" s="60">
        <f t="shared" si="206"/>
        <v>288</v>
      </c>
      <c r="I493" s="60">
        <f>SUM(I491:I492)</f>
        <v>0</v>
      </c>
      <c r="J493" s="65" t="s">
        <v>13</v>
      </c>
      <c r="K493" s="67"/>
      <c r="L493" s="55"/>
    </row>
    <row r="494" spans="1:12" ht="12.75" customHeight="1" thickBot="1" x14ac:dyDescent="0.25">
      <c r="A494" s="60">
        <f t="shared" si="195"/>
        <v>639</v>
      </c>
      <c r="B494" s="60">
        <f t="shared" si="196"/>
        <v>639</v>
      </c>
      <c r="C494" s="60">
        <f t="shared" si="196"/>
        <v>0</v>
      </c>
      <c r="D494" s="60">
        <f t="shared" si="197"/>
        <v>0</v>
      </c>
      <c r="E494" s="60">
        <v>0</v>
      </c>
      <c r="F494" s="60">
        <v>0</v>
      </c>
      <c r="G494" s="60">
        <f t="shared" si="198"/>
        <v>639</v>
      </c>
      <c r="H494" s="60">
        <v>639</v>
      </c>
      <c r="I494" s="60">
        <v>0</v>
      </c>
      <c r="J494" s="65" t="s">
        <v>221</v>
      </c>
      <c r="K494" s="66"/>
      <c r="L494" s="55"/>
    </row>
    <row r="495" spans="1:12" ht="12.75" customHeight="1" thickBot="1" x14ac:dyDescent="0.25">
      <c r="A495" s="60">
        <f t="shared" si="195"/>
        <v>0</v>
      </c>
      <c r="B495" s="60">
        <f t="shared" si="196"/>
        <v>0</v>
      </c>
      <c r="C495" s="60">
        <f t="shared" si="196"/>
        <v>0</v>
      </c>
      <c r="D495" s="60">
        <f t="shared" si="197"/>
        <v>0</v>
      </c>
      <c r="E495" s="60">
        <v>0</v>
      </c>
      <c r="F495" s="60">
        <v>0</v>
      </c>
      <c r="G495" s="60">
        <f t="shared" si="198"/>
        <v>0</v>
      </c>
      <c r="H495" s="60">
        <v>0</v>
      </c>
      <c r="I495" s="60">
        <v>0</v>
      </c>
      <c r="J495" s="65" t="s">
        <v>222</v>
      </c>
      <c r="K495" s="66" t="s">
        <v>461</v>
      </c>
      <c r="L495" s="55"/>
    </row>
    <row r="496" spans="1:12" ht="12.75" customHeight="1" thickBot="1" x14ac:dyDescent="0.25">
      <c r="A496" s="60">
        <f t="shared" ref="A496:H496" si="207">SUM(A494:A495)</f>
        <v>639</v>
      </c>
      <c r="B496" s="60">
        <f t="shared" si="207"/>
        <v>639</v>
      </c>
      <c r="C496" s="60">
        <f t="shared" si="207"/>
        <v>0</v>
      </c>
      <c r="D496" s="60">
        <f t="shared" si="207"/>
        <v>0</v>
      </c>
      <c r="E496" s="60">
        <f t="shared" si="207"/>
        <v>0</v>
      </c>
      <c r="F496" s="60">
        <f t="shared" si="207"/>
        <v>0</v>
      </c>
      <c r="G496" s="60">
        <f t="shared" si="207"/>
        <v>639</v>
      </c>
      <c r="H496" s="60">
        <f t="shared" si="207"/>
        <v>639</v>
      </c>
      <c r="I496" s="60">
        <f>SUM(I494:I495)</f>
        <v>0</v>
      </c>
      <c r="J496" s="65" t="s">
        <v>13</v>
      </c>
      <c r="K496" s="67"/>
      <c r="L496" s="55"/>
    </row>
    <row r="497" spans="1:12" ht="12.75" customHeight="1" thickBot="1" x14ac:dyDescent="0.25">
      <c r="A497" s="60">
        <f t="shared" si="195"/>
        <v>100</v>
      </c>
      <c r="B497" s="60">
        <f t="shared" si="196"/>
        <v>0</v>
      </c>
      <c r="C497" s="60">
        <f t="shared" si="196"/>
        <v>100</v>
      </c>
      <c r="D497" s="60">
        <f t="shared" si="197"/>
        <v>0</v>
      </c>
      <c r="E497" s="60">
        <v>0</v>
      </c>
      <c r="F497" s="60">
        <v>0</v>
      </c>
      <c r="G497" s="60">
        <f t="shared" si="198"/>
        <v>100</v>
      </c>
      <c r="H497" s="60">
        <v>0</v>
      </c>
      <c r="I497" s="60">
        <f>151-51</f>
        <v>100</v>
      </c>
      <c r="J497" s="65" t="s">
        <v>221</v>
      </c>
      <c r="K497" s="66"/>
      <c r="L497" s="55"/>
    </row>
    <row r="498" spans="1:12" ht="12.75" customHeight="1" thickBot="1" x14ac:dyDescent="0.25">
      <c r="A498" s="60">
        <f t="shared" si="195"/>
        <v>0</v>
      </c>
      <c r="B498" s="60">
        <f t="shared" si="196"/>
        <v>0</v>
      </c>
      <c r="C498" s="60">
        <f t="shared" si="196"/>
        <v>0</v>
      </c>
      <c r="D498" s="60">
        <f t="shared" si="197"/>
        <v>0</v>
      </c>
      <c r="E498" s="60">
        <v>0</v>
      </c>
      <c r="F498" s="60">
        <v>0</v>
      </c>
      <c r="G498" s="60">
        <f t="shared" si="198"/>
        <v>0</v>
      </c>
      <c r="H498" s="60">
        <v>0</v>
      </c>
      <c r="I498" s="60">
        <v>0</v>
      </c>
      <c r="J498" s="65" t="s">
        <v>222</v>
      </c>
      <c r="K498" s="66" t="s">
        <v>463</v>
      </c>
      <c r="L498" s="55"/>
    </row>
    <row r="499" spans="1:12" ht="12.75" customHeight="1" thickBot="1" x14ac:dyDescent="0.25">
      <c r="A499" s="60">
        <f t="shared" ref="A499:H499" si="208">SUM(A497:A498)</f>
        <v>100</v>
      </c>
      <c r="B499" s="60">
        <f t="shared" si="208"/>
        <v>0</v>
      </c>
      <c r="C499" s="60">
        <f t="shared" si="208"/>
        <v>100</v>
      </c>
      <c r="D499" s="60">
        <f t="shared" si="208"/>
        <v>0</v>
      </c>
      <c r="E499" s="60">
        <f t="shared" si="208"/>
        <v>0</v>
      </c>
      <c r="F499" s="60">
        <f t="shared" si="208"/>
        <v>0</v>
      </c>
      <c r="G499" s="60">
        <f t="shared" si="208"/>
        <v>100</v>
      </c>
      <c r="H499" s="60">
        <f t="shared" si="208"/>
        <v>0</v>
      </c>
      <c r="I499" s="60">
        <f>SUM(I497:I498)</f>
        <v>100</v>
      </c>
      <c r="J499" s="65" t="s">
        <v>13</v>
      </c>
      <c r="K499" s="67"/>
      <c r="L499" s="55"/>
    </row>
    <row r="500" spans="1:12" ht="12.75" customHeight="1" thickBot="1" x14ac:dyDescent="0.25">
      <c r="A500" s="60">
        <f t="shared" si="195"/>
        <v>116</v>
      </c>
      <c r="B500" s="60">
        <f t="shared" si="196"/>
        <v>116</v>
      </c>
      <c r="C500" s="60">
        <f t="shared" si="196"/>
        <v>0</v>
      </c>
      <c r="D500" s="60">
        <f t="shared" si="197"/>
        <v>0</v>
      </c>
      <c r="E500" s="60">
        <v>0</v>
      </c>
      <c r="F500" s="60">
        <v>0</v>
      </c>
      <c r="G500" s="60">
        <f t="shared" si="198"/>
        <v>116</v>
      </c>
      <c r="H500" s="60">
        <v>116</v>
      </c>
      <c r="I500" s="60">
        <v>0</v>
      </c>
      <c r="J500" s="65" t="s">
        <v>221</v>
      </c>
      <c r="K500" s="66"/>
      <c r="L500" s="55"/>
    </row>
    <row r="501" spans="1:12" ht="12.75" customHeight="1" thickBot="1" x14ac:dyDescent="0.25">
      <c r="A501" s="60">
        <f t="shared" si="195"/>
        <v>0</v>
      </c>
      <c r="B501" s="60">
        <f t="shared" si="196"/>
        <v>0</v>
      </c>
      <c r="C501" s="60">
        <f t="shared" si="196"/>
        <v>0</v>
      </c>
      <c r="D501" s="60">
        <f t="shared" si="197"/>
        <v>0</v>
      </c>
      <c r="E501" s="60">
        <v>0</v>
      </c>
      <c r="F501" s="60">
        <v>0</v>
      </c>
      <c r="G501" s="60">
        <f t="shared" si="198"/>
        <v>0</v>
      </c>
      <c r="H501" s="60">
        <v>0</v>
      </c>
      <c r="I501" s="60">
        <v>0</v>
      </c>
      <c r="J501" s="65" t="s">
        <v>222</v>
      </c>
      <c r="K501" s="66" t="s">
        <v>464</v>
      </c>
      <c r="L501" s="55"/>
    </row>
    <row r="502" spans="1:12" ht="12.75" customHeight="1" thickBot="1" x14ac:dyDescent="0.25">
      <c r="A502" s="60">
        <f t="shared" ref="A502:H502" si="209">SUM(A500:A501)</f>
        <v>116</v>
      </c>
      <c r="B502" s="60">
        <f t="shared" si="209"/>
        <v>116</v>
      </c>
      <c r="C502" s="60">
        <f t="shared" si="209"/>
        <v>0</v>
      </c>
      <c r="D502" s="60">
        <f t="shared" si="209"/>
        <v>0</v>
      </c>
      <c r="E502" s="60">
        <f t="shared" si="209"/>
        <v>0</v>
      </c>
      <c r="F502" s="60">
        <f t="shared" si="209"/>
        <v>0</v>
      </c>
      <c r="G502" s="60">
        <f t="shared" si="209"/>
        <v>116</v>
      </c>
      <c r="H502" s="60">
        <f t="shared" si="209"/>
        <v>116</v>
      </c>
      <c r="I502" s="60">
        <f>SUM(I500:I501)</f>
        <v>0</v>
      </c>
      <c r="J502" s="65" t="s">
        <v>13</v>
      </c>
      <c r="K502" s="67"/>
      <c r="L502" s="55"/>
    </row>
    <row r="503" spans="1:12" ht="12.75" customHeight="1" thickBot="1" x14ac:dyDescent="0.25">
      <c r="A503" s="60">
        <f t="shared" si="195"/>
        <v>38</v>
      </c>
      <c r="B503" s="60">
        <f t="shared" si="196"/>
        <v>38</v>
      </c>
      <c r="C503" s="60">
        <f t="shared" si="196"/>
        <v>0</v>
      </c>
      <c r="D503" s="60">
        <f t="shared" si="197"/>
        <v>0</v>
      </c>
      <c r="E503" s="60">
        <v>0</v>
      </c>
      <c r="F503" s="60">
        <v>0</v>
      </c>
      <c r="G503" s="60">
        <f t="shared" si="198"/>
        <v>38</v>
      </c>
      <c r="H503" s="60">
        <v>38</v>
      </c>
      <c r="I503" s="60">
        <v>0</v>
      </c>
      <c r="J503" s="65" t="s">
        <v>221</v>
      </c>
      <c r="K503" s="66"/>
      <c r="L503" s="55"/>
    </row>
    <row r="504" spans="1:12" ht="12.75" customHeight="1" thickBot="1" x14ac:dyDescent="0.25">
      <c r="A504" s="60">
        <f t="shared" si="195"/>
        <v>0</v>
      </c>
      <c r="B504" s="60">
        <f t="shared" si="196"/>
        <v>0</v>
      </c>
      <c r="C504" s="60">
        <f t="shared" si="196"/>
        <v>0</v>
      </c>
      <c r="D504" s="60">
        <f t="shared" si="197"/>
        <v>0</v>
      </c>
      <c r="E504" s="60">
        <v>0</v>
      </c>
      <c r="F504" s="60">
        <v>0</v>
      </c>
      <c r="G504" s="60">
        <f t="shared" si="198"/>
        <v>0</v>
      </c>
      <c r="H504" s="60">
        <v>0</v>
      </c>
      <c r="I504" s="60">
        <v>0</v>
      </c>
      <c r="J504" s="65" t="s">
        <v>222</v>
      </c>
      <c r="K504" s="66" t="s">
        <v>465</v>
      </c>
      <c r="L504" s="55"/>
    </row>
    <row r="505" spans="1:12" ht="12.75" customHeight="1" thickBot="1" x14ac:dyDescent="0.25">
      <c r="A505" s="60">
        <f t="shared" ref="A505:H505" si="210">SUM(A503:A504)</f>
        <v>38</v>
      </c>
      <c r="B505" s="60">
        <f t="shared" si="210"/>
        <v>38</v>
      </c>
      <c r="C505" s="60">
        <f t="shared" si="210"/>
        <v>0</v>
      </c>
      <c r="D505" s="60">
        <f t="shared" si="210"/>
        <v>0</v>
      </c>
      <c r="E505" s="60">
        <f t="shared" si="210"/>
        <v>0</v>
      </c>
      <c r="F505" s="60">
        <f t="shared" si="210"/>
        <v>0</v>
      </c>
      <c r="G505" s="60">
        <f t="shared" si="210"/>
        <v>38</v>
      </c>
      <c r="H505" s="60">
        <f t="shared" si="210"/>
        <v>38</v>
      </c>
      <c r="I505" s="60">
        <f>SUM(I503:I504)</f>
        <v>0</v>
      </c>
      <c r="J505" s="65" t="s">
        <v>13</v>
      </c>
      <c r="K505" s="67"/>
      <c r="L505" s="55"/>
    </row>
    <row r="506" spans="1:12" ht="12.75" customHeight="1" thickBot="1" x14ac:dyDescent="0.25">
      <c r="A506" s="60">
        <f t="shared" si="195"/>
        <v>10</v>
      </c>
      <c r="B506" s="60">
        <f t="shared" si="196"/>
        <v>2</v>
      </c>
      <c r="C506" s="60">
        <f t="shared" si="196"/>
        <v>8</v>
      </c>
      <c r="D506" s="60">
        <f t="shared" si="197"/>
        <v>10</v>
      </c>
      <c r="E506" s="60">
        <v>2</v>
      </c>
      <c r="F506" s="60">
        <v>8</v>
      </c>
      <c r="G506" s="60">
        <f t="shared" si="198"/>
        <v>0</v>
      </c>
      <c r="H506" s="60">
        <v>0</v>
      </c>
      <c r="I506" s="60">
        <v>0</v>
      </c>
      <c r="J506" s="65" t="s">
        <v>221</v>
      </c>
      <c r="K506" s="66"/>
      <c r="L506" s="55"/>
    </row>
    <row r="507" spans="1:12" ht="12.75" customHeight="1" thickBot="1" x14ac:dyDescent="0.25">
      <c r="A507" s="60">
        <f t="shared" si="195"/>
        <v>0</v>
      </c>
      <c r="B507" s="60">
        <f t="shared" si="196"/>
        <v>0</v>
      </c>
      <c r="C507" s="60">
        <f t="shared" si="196"/>
        <v>0</v>
      </c>
      <c r="D507" s="60">
        <f t="shared" si="197"/>
        <v>0</v>
      </c>
      <c r="E507" s="60">
        <v>0</v>
      </c>
      <c r="F507" s="60">
        <v>0</v>
      </c>
      <c r="G507" s="60">
        <f t="shared" si="198"/>
        <v>0</v>
      </c>
      <c r="H507" s="60">
        <v>0</v>
      </c>
      <c r="I507" s="60">
        <v>0</v>
      </c>
      <c r="J507" s="65" t="s">
        <v>222</v>
      </c>
      <c r="K507" s="66" t="s">
        <v>112</v>
      </c>
      <c r="L507" s="55"/>
    </row>
    <row r="508" spans="1:12" ht="12.75" customHeight="1" thickBot="1" x14ac:dyDescent="0.25">
      <c r="A508" s="60">
        <f t="shared" ref="A508:H508" si="211">SUM(A506:A507)</f>
        <v>10</v>
      </c>
      <c r="B508" s="60">
        <f t="shared" si="211"/>
        <v>2</v>
      </c>
      <c r="C508" s="60">
        <f t="shared" si="211"/>
        <v>8</v>
      </c>
      <c r="D508" s="60">
        <f t="shared" si="211"/>
        <v>10</v>
      </c>
      <c r="E508" s="60">
        <f t="shared" si="211"/>
        <v>2</v>
      </c>
      <c r="F508" s="60">
        <f t="shared" si="211"/>
        <v>8</v>
      </c>
      <c r="G508" s="60">
        <f t="shared" si="211"/>
        <v>0</v>
      </c>
      <c r="H508" s="60">
        <f t="shared" si="211"/>
        <v>0</v>
      </c>
      <c r="I508" s="60">
        <f>SUM(I506:I507)</f>
        <v>0</v>
      </c>
      <c r="J508" s="65" t="s">
        <v>13</v>
      </c>
      <c r="K508" s="67"/>
      <c r="L508" s="55"/>
    </row>
    <row r="509" spans="1:12" ht="12.75" customHeight="1" thickBot="1" x14ac:dyDescent="0.25">
      <c r="A509" s="60">
        <f t="shared" si="195"/>
        <v>468</v>
      </c>
      <c r="B509" s="60">
        <f t="shared" si="196"/>
        <v>280</v>
      </c>
      <c r="C509" s="60">
        <f t="shared" si="196"/>
        <v>188</v>
      </c>
      <c r="D509" s="60">
        <f t="shared" si="197"/>
        <v>5</v>
      </c>
      <c r="E509" s="60">
        <v>4</v>
      </c>
      <c r="F509" s="60">
        <v>1</v>
      </c>
      <c r="G509" s="60">
        <f t="shared" si="198"/>
        <v>463</v>
      </c>
      <c r="H509" s="60">
        <v>276</v>
      </c>
      <c r="I509" s="60">
        <f>271-59-25</f>
        <v>187</v>
      </c>
      <c r="J509" s="65" t="s">
        <v>221</v>
      </c>
      <c r="K509" s="66"/>
      <c r="L509" s="55"/>
    </row>
    <row r="510" spans="1:12" ht="12.75" customHeight="1" thickBot="1" x14ac:dyDescent="0.25">
      <c r="A510" s="60">
        <f t="shared" si="195"/>
        <v>0</v>
      </c>
      <c r="B510" s="60">
        <f t="shared" si="196"/>
        <v>0</v>
      </c>
      <c r="C510" s="60">
        <f t="shared" si="196"/>
        <v>0</v>
      </c>
      <c r="D510" s="60">
        <f t="shared" si="197"/>
        <v>0</v>
      </c>
      <c r="E510" s="60">
        <v>0</v>
      </c>
      <c r="F510" s="60">
        <v>0</v>
      </c>
      <c r="G510" s="60">
        <f t="shared" si="198"/>
        <v>0</v>
      </c>
      <c r="H510" s="60">
        <v>0</v>
      </c>
      <c r="I510" s="60">
        <v>0</v>
      </c>
      <c r="J510" s="65" t="s">
        <v>222</v>
      </c>
      <c r="K510" s="66" t="s">
        <v>466</v>
      </c>
      <c r="L510" s="55"/>
    </row>
    <row r="511" spans="1:12" ht="12.75" customHeight="1" thickBot="1" x14ac:dyDescent="0.25">
      <c r="A511" s="60">
        <f t="shared" ref="A511:H511" si="212">SUM(A509:A510)</f>
        <v>468</v>
      </c>
      <c r="B511" s="60">
        <f t="shared" si="212"/>
        <v>280</v>
      </c>
      <c r="C511" s="60">
        <f t="shared" si="212"/>
        <v>188</v>
      </c>
      <c r="D511" s="60">
        <f t="shared" si="212"/>
        <v>5</v>
      </c>
      <c r="E511" s="60">
        <f t="shared" si="212"/>
        <v>4</v>
      </c>
      <c r="F511" s="60">
        <f t="shared" si="212"/>
        <v>1</v>
      </c>
      <c r="G511" s="60">
        <f t="shared" si="212"/>
        <v>463</v>
      </c>
      <c r="H511" s="60">
        <f t="shared" si="212"/>
        <v>276</v>
      </c>
      <c r="I511" s="60">
        <f>SUM(I509:I510)</f>
        <v>187</v>
      </c>
      <c r="J511" s="65" t="s">
        <v>13</v>
      </c>
      <c r="K511" s="67"/>
      <c r="L511" s="55"/>
    </row>
    <row r="512" spans="1:12" ht="12.75" customHeight="1" thickBot="1" x14ac:dyDescent="0.25">
      <c r="A512" s="60">
        <f t="shared" si="195"/>
        <v>53</v>
      </c>
      <c r="B512" s="60">
        <f t="shared" si="196"/>
        <v>23</v>
      </c>
      <c r="C512" s="60">
        <f t="shared" si="196"/>
        <v>30</v>
      </c>
      <c r="D512" s="60">
        <f t="shared" si="197"/>
        <v>53</v>
      </c>
      <c r="E512" s="60">
        <v>23</v>
      </c>
      <c r="F512" s="60">
        <v>30</v>
      </c>
      <c r="G512" s="60">
        <f t="shared" si="198"/>
        <v>0</v>
      </c>
      <c r="H512" s="60">
        <v>0</v>
      </c>
      <c r="I512" s="60">
        <v>0</v>
      </c>
      <c r="J512" s="65" t="s">
        <v>221</v>
      </c>
      <c r="K512" s="66"/>
      <c r="L512" s="55"/>
    </row>
    <row r="513" spans="1:12" ht="12.75" customHeight="1" thickBot="1" x14ac:dyDescent="0.25">
      <c r="A513" s="60">
        <f t="shared" si="195"/>
        <v>0</v>
      </c>
      <c r="B513" s="60">
        <f t="shared" si="196"/>
        <v>0</v>
      </c>
      <c r="C513" s="60">
        <f t="shared" si="196"/>
        <v>0</v>
      </c>
      <c r="D513" s="60">
        <f t="shared" si="197"/>
        <v>0</v>
      </c>
      <c r="E513" s="60">
        <v>0</v>
      </c>
      <c r="F513" s="60">
        <v>0</v>
      </c>
      <c r="G513" s="60">
        <f t="shared" si="198"/>
        <v>0</v>
      </c>
      <c r="H513" s="60">
        <v>0</v>
      </c>
      <c r="I513" s="60">
        <v>0</v>
      </c>
      <c r="J513" s="65" t="s">
        <v>222</v>
      </c>
      <c r="K513" s="66" t="s">
        <v>213</v>
      </c>
      <c r="L513" s="55"/>
    </row>
    <row r="514" spans="1:12" ht="12.75" customHeight="1" thickBot="1" x14ac:dyDescent="0.25">
      <c r="A514" s="60">
        <f t="shared" ref="A514:H514" si="213">SUM(A512:A513)</f>
        <v>53</v>
      </c>
      <c r="B514" s="60">
        <f t="shared" si="213"/>
        <v>23</v>
      </c>
      <c r="C514" s="60">
        <f t="shared" si="213"/>
        <v>30</v>
      </c>
      <c r="D514" s="60">
        <f t="shared" si="213"/>
        <v>53</v>
      </c>
      <c r="E514" s="60">
        <f t="shared" si="213"/>
        <v>23</v>
      </c>
      <c r="F514" s="60">
        <f t="shared" si="213"/>
        <v>30</v>
      </c>
      <c r="G514" s="60">
        <f t="shared" si="213"/>
        <v>0</v>
      </c>
      <c r="H514" s="60">
        <f t="shared" si="213"/>
        <v>0</v>
      </c>
      <c r="I514" s="60">
        <f>SUM(I512:I513)</f>
        <v>0</v>
      </c>
      <c r="J514" s="65" t="s">
        <v>13</v>
      </c>
      <c r="K514" s="67"/>
      <c r="L514" s="55"/>
    </row>
    <row r="515" spans="1:12" ht="12.75" customHeight="1" thickBot="1" x14ac:dyDescent="0.25">
      <c r="A515" s="60">
        <f t="shared" si="195"/>
        <v>59</v>
      </c>
      <c r="B515" s="60">
        <f t="shared" si="196"/>
        <v>59</v>
      </c>
      <c r="C515" s="60">
        <f t="shared" si="196"/>
        <v>0</v>
      </c>
      <c r="D515" s="60">
        <f t="shared" si="197"/>
        <v>0</v>
      </c>
      <c r="E515" s="60">
        <v>0</v>
      </c>
      <c r="F515" s="60">
        <v>0</v>
      </c>
      <c r="G515" s="60">
        <f t="shared" si="198"/>
        <v>59</v>
      </c>
      <c r="H515" s="60">
        <v>59</v>
      </c>
      <c r="I515" s="60">
        <v>0</v>
      </c>
      <c r="J515" s="65" t="s">
        <v>221</v>
      </c>
      <c r="K515" s="66"/>
      <c r="L515" s="55"/>
    </row>
    <row r="516" spans="1:12" ht="12.75" customHeight="1" thickBot="1" x14ac:dyDescent="0.25">
      <c r="A516" s="60">
        <f t="shared" si="195"/>
        <v>0</v>
      </c>
      <c r="B516" s="60">
        <f t="shared" si="196"/>
        <v>0</v>
      </c>
      <c r="C516" s="60">
        <f t="shared" si="196"/>
        <v>0</v>
      </c>
      <c r="D516" s="60">
        <f t="shared" si="197"/>
        <v>0</v>
      </c>
      <c r="E516" s="60">
        <v>0</v>
      </c>
      <c r="F516" s="60">
        <v>0</v>
      </c>
      <c r="G516" s="60">
        <f t="shared" si="198"/>
        <v>0</v>
      </c>
      <c r="H516" s="60">
        <v>0</v>
      </c>
      <c r="I516" s="60">
        <v>0</v>
      </c>
      <c r="J516" s="65" t="s">
        <v>222</v>
      </c>
      <c r="K516" s="66" t="s">
        <v>468</v>
      </c>
      <c r="L516" s="55"/>
    </row>
    <row r="517" spans="1:12" ht="12.75" customHeight="1" thickBot="1" x14ac:dyDescent="0.25">
      <c r="A517" s="60">
        <f t="shared" ref="A517:H517" si="214">SUM(A515:A516)</f>
        <v>59</v>
      </c>
      <c r="B517" s="60">
        <f t="shared" si="214"/>
        <v>59</v>
      </c>
      <c r="C517" s="60">
        <f t="shared" si="214"/>
        <v>0</v>
      </c>
      <c r="D517" s="60">
        <f t="shared" si="214"/>
        <v>0</v>
      </c>
      <c r="E517" s="60">
        <f t="shared" si="214"/>
        <v>0</v>
      </c>
      <c r="F517" s="60">
        <f t="shared" si="214"/>
        <v>0</v>
      </c>
      <c r="G517" s="60">
        <f t="shared" si="214"/>
        <v>59</v>
      </c>
      <c r="H517" s="60">
        <f t="shared" si="214"/>
        <v>59</v>
      </c>
      <c r="I517" s="60">
        <f>SUM(I515:I516)</f>
        <v>0</v>
      </c>
      <c r="J517" s="65" t="s">
        <v>13</v>
      </c>
      <c r="K517" s="67"/>
      <c r="L517" s="55"/>
    </row>
    <row r="518" spans="1:12" ht="12.75" customHeight="1" thickBot="1" x14ac:dyDescent="0.25">
      <c r="A518" s="60">
        <f t="shared" si="195"/>
        <v>907</v>
      </c>
      <c r="B518" s="60">
        <f t="shared" si="196"/>
        <v>907</v>
      </c>
      <c r="C518" s="60">
        <f t="shared" si="196"/>
        <v>0</v>
      </c>
      <c r="D518" s="60">
        <f t="shared" si="197"/>
        <v>0</v>
      </c>
      <c r="E518" s="60">
        <v>0</v>
      </c>
      <c r="F518" s="60">
        <v>0</v>
      </c>
      <c r="G518" s="60">
        <f t="shared" si="198"/>
        <v>907</v>
      </c>
      <c r="H518" s="60">
        <v>907</v>
      </c>
      <c r="I518" s="60">
        <v>0</v>
      </c>
      <c r="J518" s="65" t="s">
        <v>221</v>
      </c>
      <c r="K518" s="66"/>
      <c r="L518" s="55"/>
    </row>
    <row r="519" spans="1:12" ht="12.75" customHeight="1" thickBot="1" x14ac:dyDescent="0.25">
      <c r="A519" s="60">
        <f t="shared" si="195"/>
        <v>0</v>
      </c>
      <c r="B519" s="60">
        <f t="shared" si="196"/>
        <v>0</v>
      </c>
      <c r="C519" s="60">
        <f t="shared" si="196"/>
        <v>0</v>
      </c>
      <c r="D519" s="60">
        <f t="shared" si="197"/>
        <v>0</v>
      </c>
      <c r="E519" s="60">
        <v>0</v>
      </c>
      <c r="F519" s="60">
        <v>0</v>
      </c>
      <c r="G519" s="60">
        <f t="shared" si="198"/>
        <v>0</v>
      </c>
      <c r="H519" s="60">
        <v>0</v>
      </c>
      <c r="I519" s="60">
        <v>0</v>
      </c>
      <c r="J519" s="65" t="s">
        <v>222</v>
      </c>
      <c r="K519" s="66" t="s">
        <v>469</v>
      </c>
      <c r="L519" s="55"/>
    </row>
    <row r="520" spans="1:12" ht="12.75" customHeight="1" thickBot="1" x14ac:dyDescent="0.25">
      <c r="A520" s="60">
        <f t="shared" ref="A520:H520" si="215">SUM(A518:A519)</f>
        <v>907</v>
      </c>
      <c r="B520" s="60">
        <f t="shared" si="215"/>
        <v>907</v>
      </c>
      <c r="C520" s="60">
        <f t="shared" si="215"/>
        <v>0</v>
      </c>
      <c r="D520" s="60">
        <f t="shared" si="215"/>
        <v>0</v>
      </c>
      <c r="E520" s="60">
        <f t="shared" si="215"/>
        <v>0</v>
      </c>
      <c r="F520" s="60">
        <f t="shared" si="215"/>
        <v>0</v>
      </c>
      <c r="G520" s="60">
        <f t="shared" si="215"/>
        <v>907</v>
      </c>
      <c r="H520" s="60">
        <f t="shared" si="215"/>
        <v>907</v>
      </c>
      <c r="I520" s="60">
        <f>SUM(I518:I519)</f>
        <v>0</v>
      </c>
      <c r="J520" s="65" t="s">
        <v>13</v>
      </c>
      <c r="K520" s="67"/>
      <c r="L520" s="55"/>
    </row>
    <row r="521" spans="1:12" ht="12.75" customHeight="1" thickBot="1" x14ac:dyDescent="0.25">
      <c r="A521" s="60">
        <f t="shared" ref="A521:I523" si="216">A470+A473+A476+A479+A482+A485+A488+A491+A494+A497+A500+A503+A506+A509+A512+A515+A518</f>
        <v>4863</v>
      </c>
      <c r="B521" s="60">
        <f t="shared" si="216"/>
        <v>3966</v>
      </c>
      <c r="C521" s="60">
        <f t="shared" si="216"/>
        <v>897</v>
      </c>
      <c r="D521" s="60">
        <f t="shared" si="216"/>
        <v>79</v>
      </c>
      <c r="E521" s="60">
        <f t="shared" si="216"/>
        <v>38</v>
      </c>
      <c r="F521" s="60">
        <f t="shared" si="216"/>
        <v>41</v>
      </c>
      <c r="G521" s="60">
        <f t="shared" si="216"/>
        <v>4784</v>
      </c>
      <c r="H521" s="60">
        <f t="shared" si="216"/>
        <v>3928</v>
      </c>
      <c r="I521" s="60">
        <f>I470+I473+I476+I479+I482+I485+I488+I491+I494+I497+I500+I503+I506+I509+I512+I515+I518</f>
        <v>856</v>
      </c>
      <c r="J521" s="65" t="s">
        <v>224</v>
      </c>
      <c r="K521" s="57"/>
      <c r="L521" s="55"/>
    </row>
    <row r="522" spans="1:12" ht="12.75" customHeight="1" thickBot="1" x14ac:dyDescent="0.25">
      <c r="A522" s="60">
        <f t="shared" si="216"/>
        <v>0</v>
      </c>
      <c r="B522" s="60">
        <f t="shared" si="216"/>
        <v>0</v>
      </c>
      <c r="C522" s="60">
        <f t="shared" si="216"/>
        <v>0</v>
      </c>
      <c r="D522" s="60">
        <f t="shared" si="216"/>
        <v>0</v>
      </c>
      <c r="E522" s="60">
        <f t="shared" si="216"/>
        <v>0</v>
      </c>
      <c r="F522" s="60">
        <f t="shared" si="216"/>
        <v>0</v>
      </c>
      <c r="G522" s="60">
        <f t="shared" si="216"/>
        <v>0</v>
      </c>
      <c r="H522" s="60">
        <f t="shared" si="216"/>
        <v>0</v>
      </c>
      <c r="I522" s="60">
        <f t="shared" si="216"/>
        <v>0</v>
      </c>
      <c r="J522" s="65" t="s">
        <v>225</v>
      </c>
      <c r="K522" s="68" t="s">
        <v>211</v>
      </c>
      <c r="L522" s="55"/>
    </row>
    <row r="523" spans="1:12" ht="12.75" customHeight="1" thickBot="1" x14ac:dyDescent="0.25">
      <c r="A523" s="60">
        <f t="shared" si="216"/>
        <v>4863</v>
      </c>
      <c r="B523" s="60">
        <f t="shared" si="216"/>
        <v>3966</v>
      </c>
      <c r="C523" s="60">
        <f t="shared" si="216"/>
        <v>897</v>
      </c>
      <c r="D523" s="60">
        <f t="shared" si="216"/>
        <v>79</v>
      </c>
      <c r="E523" s="60">
        <f t="shared" si="216"/>
        <v>38</v>
      </c>
      <c r="F523" s="60">
        <f t="shared" si="216"/>
        <v>41</v>
      </c>
      <c r="G523" s="60">
        <f t="shared" si="216"/>
        <v>4784</v>
      </c>
      <c r="H523" s="60">
        <f t="shared" si="216"/>
        <v>3928</v>
      </c>
      <c r="I523" s="60">
        <f t="shared" si="216"/>
        <v>856</v>
      </c>
      <c r="J523" s="65" t="s">
        <v>13</v>
      </c>
      <c r="K523" s="59"/>
      <c r="L523" s="55"/>
    </row>
    <row r="524" spans="1:12" ht="12.75" customHeight="1" x14ac:dyDescent="0.2">
      <c r="A524" s="177" t="s">
        <v>597</v>
      </c>
      <c r="B524" s="177"/>
      <c r="C524" s="177"/>
      <c r="D524" s="177"/>
      <c r="E524" s="177"/>
      <c r="F524" s="177"/>
      <c r="G524" s="177"/>
      <c r="H524" s="177"/>
      <c r="I524" s="177"/>
      <c r="J524" s="177"/>
      <c r="K524" s="177"/>
      <c r="L524" s="55"/>
    </row>
    <row r="525" spans="1:12" ht="12.75" customHeight="1" thickBot="1" x14ac:dyDescent="0.25">
      <c r="A525" s="178" t="s">
        <v>598</v>
      </c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55"/>
    </row>
    <row r="526" spans="1:12" ht="12.75" customHeight="1" thickBot="1" x14ac:dyDescent="0.25">
      <c r="A526" s="179" t="s">
        <v>5</v>
      </c>
      <c r="B526" s="179"/>
      <c r="C526" s="179"/>
      <c r="D526" s="179" t="s">
        <v>162</v>
      </c>
      <c r="E526" s="179"/>
      <c r="F526" s="179"/>
      <c r="G526" s="179" t="s">
        <v>163</v>
      </c>
      <c r="H526" s="179"/>
      <c r="I526" s="179"/>
      <c r="J526" s="179" t="s">
        <v>72</v>
      </c>
      <c r="K526" s="179"/>
      <c r="L526" s="55"/>
    </row>
    <row r="527" spans="1:12" ht="12.75" customHeight="1" thickBot="1" x14ac:dyDescent="0.25">
      <c r="A527" s="58" t="s">
        <v>216</v>
      </c>
      <c r="B527" s="58" t="s">
        <v>11</v>
      </c>
      <c r="C527" s="58" t="s">
        <v>10</v>
      </c>
      <c r="D527" s="58" t="s">
        <v>216</v>
      </c>
      <c r="E527" s="58" t="s">
        <v>11</v>
      </c>
      <c r="F527" s="58" t="s">
        <v>10</v>
      </c>
      <c r="G527" s="58" t="s">
        <v>216</v>
      </c>
      <c r="H527" s="58" t="s">
        <v>11</v>
      </c>
      <c r="I527" s="58" t="s">
        <v>10</v>
      </c>
      <c r="J527" s="180" t="s">
        <v>83</v>
      </c>
      <c r="K527" s="180"/>
      <c r="L527" s="55"/>
    </row>
    <row r="528" spans="1:12" ht="12.75" customHeight="1" thickBot="1" x14ac:dyDescent="0.25">
      <c r="A528" s="60">
        <f>SUM(B528:C528)</f>
        <v>969</v>
      </c>
      <c r="B528" s="60">
        <f>H528+E528</f>
        <v>710</v>
      </c>
      <c r="C528" s="60">
        <f>I528+F528</f>
        <v>259</v>
      </c>
      <c r="D528" s="60">
        <f>SUM(E528:F528)</f>
        <v>4</v>
      </c>
      <c r="E528" s="60">
        <v>3</v>
      </c>
      <c r="F528" s="60">
        <v>1</v>
      </c>
      <c r="G528" s="60">
        <f>SUM(H528:I528)</f>
        <v>965</v>
      </c>
      <c r="H528" s="60">
        <f>755-48</f>
        <v>707</v>
      </c>
      <c r="I528" s="60">
        <v>258</v>
      </c>
      <c r="J528" s="65" t="s">
        <v>221</v>
      </c>
      <c r="K528" s="66"/>
      <c r="L528" s="55"/>
    </row>
    <row r="529" spans="1:12" ht="12.75" customHeight="1" thickBot="1" x14ac:dyDescent="0.25">
      <c r="A529" s="60">
        <f t="shared" ref="A529:A547" si="217">SUM(B529:C529)</f>
        <v>0</v>
      </c>
      <c r="B529" s="60">
        <f t="shared" ref="B529:C547" si="218">H529+E529</f>
        <v>0</v>
      </c>
      <c r="C529" s="60">
        <f t="shared" si="218"/>
        <v>0</v>
      </c>
      <c r="D529" s="60">
        <f t="shared" ref="D529:D547" si="219">SUM(E529:F529)</f>
        <v>0</v>
      </c>
      <c r="E529" s="60">
        <v>0</v>
      </c>
      <c r="F529" s="60">
        <v>0</v>
      </c>
      <c r="G529" s="60">
        <f t="shared" ref="G529:G547" si="220">SUM(H529:I529)</f>
        <v>0</v>
      </c>
      <c r="H529" s="60">
        <v>0</v>
      </c>
      <c r="I529" s="60">
        <v>0</v>
      </c>
      <c r="J529" s="65" t="s">
        <v>222</v>
      </c>
      <c r="K529" s="66" t="s">
        <v>364</v>
      </c>
      <c r="L529" s="55"/>
    </row>
    <row r="530" spans="1:12" ht="12.75" customHeight="1" thickBot="1" x14ac:dyDescent="0.25">
      <c r="A530" s="60">
        <f t="shared" ref="A530:H530" si="221">SUM(A528:A529)</f>
        <v>969</v>
      </c>
      <c r="B530" s="60">
        <f t="shared" si="221"/>
        <v>710</v>
      </c>
      <c r="C530" s="60">
        <f t="shared" si="221"/>
        <v>259</v>
      </c>
      <c r="D530" s="60">
        <f t="shared" si="221"/>
        <v>4</v>
      </c>
      <c r="E530" s="60">
        <f t="shared" si="221"/>
        <v>3</v>
      </c>
      <c r="F530" s="60">
        <f t="shared" si="221"/>
        <v>1</v>
      </c>
      <c r="G530" s="60">
        <f t="shared" si="221"/>
        <v>965</v>
      </c>
      <c r="H530" s="60">
        <f t="shared" si="221"/>
        <v>707</v>
      </c>
      <c r="I530" s="60">
        <f>SUM(I528:I529)</f>
        <v>258</v>
      </c>
      <c r="J530" s="65" t="s">
        <v>13</v>
      </c>
      <c r="K530" s="67"/>
      <c r="L530" s="55"/>
    </row>
    <row r="531" spans="1:12" ht="12.75" customHeight="1" thickBot="1" x14ac:dyDescent="0.25">
      <c r="A531" s="60">
        <f t="shared" si="217"/>
        <v>540</v>
      </c>
      <c r="B531" s="60">
        <f t="shared" si="218"/>
        <v>327</v>
      </c>
      <c r="C531" s="60">
        <f t="shared" si="218"/>
        <v>213</v>
      </c>
      <c r="D531" s="60">
        <f t="shared" si="219"/>
        <v>2</v>
      </c>
      <c r="E531" s="60">
        <v>1</v>
      </c>
      <c r="F531" s="60">
        <v>1</v>
      </c>
      <c r="G531" s="60">
        <f t="shared" si="220"/>
        <v>538</v>
      </c>
      <c r="H531" s="60">
        <v>326</v>
      </c>
      <c r="I531" s="60">
        <v>212</v>
      </c>
      <c r="J531" s="65" t="s">
        <v>221</v>
      </c>
      <c r="K531" s="66"/>
      <c r="L531" s="55"/>
    </row>
    <row r="532" spans="1:12" ht="12.75" customHeight="1" thickBot="1" x14ac:dyDescent="0.25">
      <c r="A532" s="60">
        <f t="shared" si="217"/>
        <v>0</v>
      </c>
      <c r="B532" s="60">
        <f t="shared" si="218"/>
        <v>0</v>
      </c>
      <c r="C532" s="60">
        <f t="shared" si="218"/>
        <v>0</v>
      </c>
      <c r="D532" s="60">
        <f t="shared" si="219"/>
        <v>0</v>
      </c>
      <c r="E532" s="60">
        <v>0</v>
      </c>
      <c r="F532" s="60">
        <v>0</v>
      </c>
      <c r="G532" s="60">
        <f t="shared" si="220"/>
        <v>0</v>
      </c>
      <c r="H532" s="60">
        <v>0</v>
      </c>
      <c r="I532" s="60">
        <v>0</v>
      </c>
      <c r="J532" s="65" t="s">
        <v>222</v>
      </c>
      <c r="K532" s="66" t="s">
        <v>359</v>
      </c>
      <c r="L532" s="55"/>
    </row>
    <row r="533" spans="1:12" ht="12.75" customHeight="1" thickBot="1" x14ac:dyDescent="0.25">
      <c r="A533" s="60">
        <f t="shared" ref="A533:H533" si="222">SUM(A531:A532)</f>
        <v>540</v>
      </c>
      <c r="B533" s="60">
        <f t="shared" si="222"/>
        <v>327</v>
      </c>
      <c r="C533" s="60">
        <f t="shared" si="222"/>
        <v>213</v>
      </c>
      <c r="D533" s="60">
        <f t="shared" si="222"/>
        <v>2</v>
      </c>
      <c r="E533" s="60">
        <f t="shared" si="222"/>
        <v>1</v>
      </c>
      <c r="F533" s="60">
        <f t="shared" si="222"/>
        <v>1</v>
      </c>
      <c r="G533" s="60">
        <f t="shared" si="222"/>
        <v>538</v>
      </c>
      <c r="H533" s="60">
        <f t="shared" si="222"/>
        <v>326</v>
      </c>
      <c r="I533" s="60">
        <f>SUM(I531:I532)</f>
        <v>212</v>
      </c>
      <c r="J533" s="65" t="s">
        <v>13</v>
      </c>
      <c r="K533" s="67"/>
      <c r="L533" s="55"/>
    </row>
    <row r="534" spans="1:12" ht="12.75" customHeight="1" thickBot="1" x14ac:dyDescent="0.25">
      <c r="A534" s="60">
        <f t="shared" si="217"/>
        <v>574</v>
      </c>
      <c r="B534" s="60">
        <f t="shared" si="218"/>
        <v>324</v>
      </c>
      <c r="C534" s="60">
        <f t="shared" si="218"/>
        <v>250</v>
      </c>
      <c r="D534" s="60">
        <f t="shared" si="219"/>
        <v>5</v>
      </c>
      <c r="E534" s="60">
        <v>5</v>
      </c>
      <c r="F534" s="60">
        <v>0</v>
      </c>
      <c r="G534" s="60">
        <f t="shared" si="220"/>
        <v>569</v>
      </c>
      <c r="H534" s="60">
        <v>319</v>
      </c>
      <c r="I534" s="60">
        <v>250</v>
      </c>
      <c r="J534" s="65" t="s">
        <v>221</v>
      </c>
      <c r="K534" s="66"/>
      <c r="L534" s="55"/>
    </row>
    <row r="535" spans="1:12" ht="12.75" customHeight="1" thickBot="1" x14ac:dyDescent="0.25">
      <c r="A535" s="60">
        <f t="shared" si="217"/>
        <v>0</v>
      </c>
      <c r="B535" s="60">
        <f t="shared" si="218"/>
        <v>0</v>
      </c>
      <c r="C535" s="60">
        <f t="shared" si="218"/>
        <v>0</v>
      </c>
      <c r="D535" s="60">
        <f t="shared" si="219"/>
        <v>0</v>
      </c>
      <c r="E535" s="60">
        <v>0</v>
      </c>
      <c r="F535" s="60">
        <v>0</v>
      </c>
      <c r="G535" s="60">
        <f t="shared" si="220"/>
        <v>0</v>
      </c>
      <c r="H535" s="60">
        <v>0</v>
      </c>
      <c r="I535" s="60">
        <v>0</v>
      </c>
      <c r="J535" s="65" t="s">
        <v>222</v>
      </c>
      <c r="K535" s="66" t="s">
        <v>363</v>
      </c>
      <c r="L535" s="55"/>
    </row>
    <row r="536" spans="1:12" ht="12.75" customHeight="1" thickBot="1" x14ac:dyDescent="0.25">
      <c r="A536" s="60">
        <f t="shared" ref="A536:H536" si="223">SUM(A534:A535)</f>
        <v>574</v>
      </c>
      <c r="B536" s="60">
        <f t="shared" si="223"/>
        <v>324</v>
      </c>
      <c r="C536" s="60">
        <f t="shared" si="223"/>
        <v>250</v>
      </c>
      <c r="D536" s="60">
        <f t="shared" si="223"/>
        <v>5</v>
      </c>
      <c r="E536" s="60">
        <f t="shared" si="223"/>
        <v>5</v>
      </c>
      <c r="F536" s="60">
        <f t="shared" si="223"/>
        <v>0</v>
      </c>
      <c r="G536" s="60">
        <f t="shared" si="223"/>
        <v>569</v>
      </c>
      <c r="H536" s="60">
        <f t="shared" si="223"/>
        <v>319</v>
      </c>
      <c r="I536" s="60">
        <f>SUM(I534:I535)</f>
        <v>250</v>
      </c>
      <c r="J536" s="65" t="s">
        <v>13</v>
      </c>
      <c r="K536" s="67"/>
      <c r="L536" s="55"/>
    </row>
    <row r="537" spans="1:12" ht="12.75" customHeight="1" thickBot="1" x14ac:dyDescent="0.25">
      <c r="A537" s="60">
        <f t="shared" si="217"/>
        <v>254</v>
      </c>
      <c r="B537" s="60">
        <f t="shared" si="218"/>
        <v>254</v>
      </c>
      <c r="C537" s="60">
        <f t="shared" si="218"/>
        <v>0</v>
      </c>
      <c r="D537" s="60">
        <f t="shared" si="219"/>
        <v>0</v>
      </c>
      <c r="E537" s="60">
        <v>0</v>
      </c>
      <c r="F537" s="60">
        <v>0</v>
      </c>
      <c r="G537" s="60">
        <f t="shared" si="220"/>
        <v>254</v>
      </c>
      <c r="H537" s="60">
        <v>254</v>
      </c>
      <c r="I537" s="60">
        <v>0</v>
      </c>
      <c r="J537" s="65" t="s">
        <v>221</v>
      </c>
      <c r="K537" s="66"/>
      <c r="L537" s="55"/>
    </row>
    <row r="538" spans="1:12" ht="12.75" customHeight="1" thickBot="1" x14ac:dyDescent="0.25">
      <c r="A538" s="60">
        <f t="shared" si="217"/>
        <v>0</v>
      </c>
      <c r="B538" s="60">
        <f t="shared" si="218"/>
        <v>0</v>
      </c>
      <c r="C538" s="60">
        <f t="shared" si="218"/>
        <v>0</v>
      </c>
      <c r="D538" s="60">
        <f t="shared" si="219"/>
        <v>0</v>
      </c>
      <c r="E538" s="60">
        <v>0</v>
      </c>
      <c r="F538" s="60">
        <v>0</v>
      </c>
      <c r="G538" s="60">
        <f t="shared" si="220"/>
        <v>0</v>
      </c>
      <c r="H538" s="60">
        <v>0</v>
      </c>
      <c r="I538" s="60">
        <v>0</v>
      </c>
      <c r="J538" s="65" t="s">
        <v>222</v>
      </c>
      <c r="K538" s="66" t="s">
        <v>603</v>
      </c>
      <c r="L538" s="55"/>
    </row>
    <row r="539" spans="1:12" ht="12.75" customHeight="1" thickBot="1" x14ac:dyDescent="0.25">
      <c r="A539" s="60">
        <f t="shared" ref="A539:H539" si="224">SUM(A537:A538)</f>
        <v>254</v>
      </c>
      <c r="B539" s="60">
        <f t="shared" si="224"/>
        <v>254</v>
      </c>
      <c r="C539" s="60">
        <f t="shared" si="224"/>
        <v>0</v>
      </c>
      <c r="D539" s="60">
        <f t="shared" si="224"/>
        <v>0</v>
      </c>
      <c r="E539" s="60">
        <f t="shared" si="224"/>
        <v>0</v>
      </c>
      <c r="F539" s="60">
        <f t="shared" si="224"/>
        <v>0</v>
      </c>
      <c r="G539" s="60">
        <f t="shared" si="224"/>
        <v>254</v>
      </c>
      <c r="H539" s="60">
        <f t="shared" si="224"/>
        <v>254</v>
      </c>
      <c r="I539" s="60">
        <f>SUM(I537:I538)</f>
        <v>0</v>
      </c>
      <c r="J539" s="65" t="s">
        <v>13</v>
      </c>
      <c r="K539" s="67"/>
      <c r="L539" s="55"/>
    </row>
    <row r="540" spans="1:12" ht="12.75" customHeight="1" thickBot="1" x14ac:dyDescent="0.25">
      <c r="A540" s="60">
        <f t="shared" si="217"/>
        <v>154</v>
      </c>
      <c r="B540" s="60">
        <f t="shared" si="218"/>
        <v>154</v>
      </c>
      <c r="C540" s="60">
        <f t="shared" si="218"/>
        <v>0</v>
      </c>
      <c r="D540" s="60">
        <f t="shared" si="219"/>
        <v>0</v>
      </c>
      <c r="E540" s="60">
        <v>0</v>
      </c>
      <c r="F540" s="60">
        <v>0</v>
      </c>
      <c r="G540" s="60">
        <f t="shared" si="220"/>
        <v>154</v>
      </c>
      <c r="H540" s="60">
        <v>154</v>
      </c>
      <c r="I540" s="60">
        <v>0</v>
      </c>
      <c r="J540" s="65" t="s">
        <v>221</v>
      </c>
      <c r="K540" s="66"/>
      <c r="L540" s="55"/>
    </row>
    <row r="541" spans="1:12" ht="12.75" customHeight="1" thickBot="1" x14ac:dyDescent="0.25">
      <c r="A541" s="60">
        <f t="shared" si="217"/>
        <v>0</v>
      </c>
      <c r="B541" s="60">
        <f t="shared" si="218"/>
        <v>0</v>
      </c>
      <c r="C541" s="60">
        <f t="shared" si="218"/>
        <v>0</v>
      </c>
      <c r="D541" s="60">
        <f t="shared" si="219"/>
        <v>0</v>
      </c>
      <c r="E541" s="60">
        <v>0</v>
      </c>
      <c r="F541" s="60">
        <v>0</v>
      </c>
      <c r="G541" s="60">
        <f t="shared" si="220"/>
        <v>0</v>
      </c>
      <c r="H541" s="60">
        <v>0</v>
      </c>
      <c r="I541" s="60">
        <v>0</v>
      </c>
      <c r="J541" s="65" t="s">
        <v>222</v>
      </c>
      <c r="K541" s="66" t="s">
        <v>604</v>
      </c>
      <c r="L541" s="55"/>
    </row>
    <row r="542" spans="1:12" ht="12.75" customHeight="1" thickBot="1" x14ac:dyDescent="0.25">
      <c r="A542" s="60">
        <f t="shared" ref="A542:H542" si="225">SUM(A540:A541)</f>
        <v>154</v>
      </c>
      <c r="B542" s="60">
        <f t="shared" si="225"/>
        <v>154</v>
      </c>
      <c r="C542" s="60">
        <f t="shared" si="225"/>
        <v>0</v>
      </c>
      <c r="D542" s="60">
        <f t="shared" si="225"/>
        <v>0</v>
      </c>
      <c r="E542" s="60">
        <f t="shared" si="225"/>
        <v>0</v>
      </c>
      <c r="F542" s="60">
        <f t="shared" si="225"/>
        <v>0</v>
      </c>
      <c r="G542" s="60">
        <f t="shared" si="225"/>
        <v>154</v>
      </c>
      <c r="H542" s="60">
        <f t="shared" si="225"/>
        <v>154</v>
      </c>
      <c r="I542" s="60">
        <f>SUM(I540:I541)</f>
        <v>0</v>
      </c>
      <c r="J542" s="65" t="s">
        <v>13</v>
      </c>
      <c r="K542" s="67"/>
      <c r="L542" s="55"/>
    </row>
    <row r="543" spans="1:12" ht="12.75" customHeight="1" thickBot="1" x14ac:dyDescent="0.25">
      <c r="A543" s="60">
        <f t="shared" si="217"/>
        <v>746</v>
      </c>
      <c r="B543" s="60">
        <f t="shared" si="218"/>
        <v>746</v>
      </c>
      <c r="C543" s="60">
        <f t="shared" si="218"/>
        <v>0</v>
      </c>
      <c r="D543" s="60">
        <f t="shared" si="219"/>
        <v>0</v>
      </c>
      <c r="E543" s="60">
        <v>0</v>
      </c>
      <c r="F543" s="60">
        <v>0</v>
      </c>
      <c r="G543" s="60">
        <f t="shared" si="220"/>
        <v>746</v>
      </c>
      <c r="H543" s="60">
        <f>793-47</f>
        <v>746</v>
      </c>
      <c r="I543" s="60">
        <v>0</v>
      </c>
      <c r="J543" s="65" t="s">
        <v>221</v>
      </c>
      <c r="K543" s="66"/>
      <c r="L543" s="55"/>
    </row>
    <row r="544" spans="1:12" ht="12.75" customHeight="1" thickBot="1" x14ac:dyDescent="0.25">
      <c r="A544" s="60">
        <f t="shared" si="217"/>
        <v>0</v>
      </c>
      <c r="B544" s="60">
        <f t="shared" si="218"/>
        <v>0</v>
      </c>
      <c r="C544" s="60">
        <f t="shared" si="218"/>
        <v>0</v>
      </c>
      <c r="D544" s="60">
        <f t="shared" si="219"/>
        <v>0</v>
      </c>
      <c r="E544" s="60">
        <v>0</v>
      </c>
      <c r="F544" s="60">
        <v>0</v>
      </c>
      <c r="G544" s="60">
        <f t="shared" si="220"/>
        <v>0</v>
      </c>
      <c r="H544" s="60">
        <v>0</v>
      </c>
      <c r="I544" s="60">
        <v>0</v>
      </c>
      <c r="J544" s="65" t="s">
        <v>222</v>
      </c>
      <c r="K544" s="66" t="s">
        <v>472</v>
      </c>
      <c r="L544" s="55"/>
    </row>
    <row r="545" spans="1:12" ht="12.75" customHeight="1" thickBot="1" x14ac:dyDescent="0.25">
      <c r="A545" s="60">
        <f t="shared" ref="A545:H545" si="226">SUM(A543:A544)</f>
        <v>746</v>
      </c>
      <c r="B545" s="60">
        <f t="shared" si="226"/>
        <v>746</v>
      </c>
      <c r="C545" s="60">
        <f t="shared" si="226"/>
        <v>0</v>
      </c>
      <c r="D545" s="60">
        <f t="shared" si="226"/>
        <v>0</v>
      </c>
      <c r="E545" s="60">
        <f t="shared" si="226"/>
        <v>0</v>
      </c>
      <c r="F545" s="60">
        <f t="shared" si="226"/>
        <v>0</v>
      </c>
      <c r="G545" s="60">
        <f t="shared" si="226"/>
        <v>746</v>
      </c>
      <c r="H545" s="60">
        <f t="shared" si="226"/>
        <v>746</v>
      </c>
      <c r="I545" s="60">
        <f>SUM(I543:I544)</f>
        <v>0</v>
      </c>
      <c r="J545" s="65" t="s">
        <v>13</v>
      </c>
      <c r="K545" s="67"/>
      <c r="L545" s="55"/>
    </row>
    <row r="546" spans="1:12" ht="12.75" customHeight="1" thickBot="1" x14ac:dyDescent="0.25">
      <c r="A546" s="60">
        <f t="shared" si="217"/>
        <v>328</v>
      </c>
      <c r="B546" s="60">
        <f t="shared" si="218"/>
        <v>328</v>
      </c>
      <c r="C546" s="60">
        <f t="shared" si="218"/>
        <v>0</v>
      </c>
      <c r="D546" s="60">
        <f t="shared" si="219"/>
        <v>0</v>
      </c>
      <c r="E546" s="60">
        <v>0</v>
      </c>
      <c r="F546" s="60">
        <v>0</v>
      </c>
      <c r="G546" s="60">
        <f t="shared" si="220"/>
        <v>328</v>
      </c>
      <c r="H546" s="60">
        <v>328</v>
      </c>
      <c r="I546" s="60">
        <v>0</v>
      </c>
      <c r="J546" s="65" t="s">
        <v>221</v>
      </c>
      <c r="K546" s="66"/>
      <c r="L546" s="55"/>
    </row>
    <row r="547" spans="1:12" ht="12.75" customHeight="1" thickBot="1" x14ac:dyDescent="0.25">
      <c r="A547" s="60">
        <f t="shared" si="217"/>
        <v>0</v>
      </c>
      <c r="B547" s="60">
        <f t="shared" si="218"/>
        <v>0</v>
      </c>
      <c r="C547" s="60">
        <f t="shared" si="218"/>
        <v>0</v>
      </c>
      <c r="D547" s="60">
        <f t="shared" si="219"/>
        <v>0</v>
      </c>
      <c r="E547" s="60">
        <v>0</v>
      </c>
      <c r="F547" s="60">
        <v>0</v>
      </c>
      <c r="G547" s="60">
        <f t="shared" si="220"/>
        <v>0</v>
      </c>
      <c r="H547" s="60">
        <v>0</v>
      </c>
      <c r="I547" s="60">
        <v>0</v>
      </c>
      <c r="J547" s="65" t="s">
        <v>222</v>
      </c>
      <c r="K547" s="66" t="s">
        <v>473</v>
      </c>
      <c r="L547" s="55"/>
    </row>
    <row r="548" spans="1:12" ht="12.75" customHeight="1" thickBot="1" x14ac:dyDescent="0.25">
      <c r="A548" s="60">
        <f t="shared" ref="A548:H548" si="227">SUM(A546:A547)</f>
        <v>328</v>
      </c>
      <c r="B548" s="60">
        <f t="shared" si="227"/>
        <v>328</v>
      </c>
      <c r="C548" s="60">
        <f t="shared" si="227"/>
        <v>0</v>
      </c>
      <c r="D548" s="60">
        <f t="shared" si="227"/>
        <v>0</v>
      </c>
      <c r="E548" s="60">
        <f t="shared" si="227"/>
        <v>0</v>
      </c>
      <c r="F548" s="60">
        <f t="shared" si="227"/>
        <v>0</v>
      </c>
      <c r="G548" s="60">
        <f t="shared" si="227"/>
        <v>328</v>
      </c>
      <c r="H548" s="60">
        <f t="shared" si="227"/>
        <v>328</v>
      </c>
      <c r="I548" s="60">
        <f>SUM(I546:I547)</f>
        <v>0</v>
      </c>
      <c r="J548" s="65" t="s">
        <v>13</v>
      </c>
      <c r="K548" s="67"/>
      <c r="L548" s="55"/>
    </row>
    <row r="549" spans="1:12" ht="12.75" customHeight="1" thickBot="1" x14ac:dyDescent="0.25">
      <c r="A549" s="60">
        <f t="shared" ref="A549:I551" si="228">A528+A531+A534+A537+A540+A543+A546</f>
        <v>3565</v>
      </c>
      <c r="B549" s="60">
        <f t="shared" si="228"/>
        <v>2843</v>
      </c>
      <c r="C549" s="60">
        <f t="shared" si="228"/>
        <v>722</v>
      </c>
      <c r="D549" s="60">
        <f t="shared" si="228"/>
        <v>11</v>
      </c>
      <c r="E549" s="60">
        <f t="shared" si="228"/>
        <v>9</v>
      </c>
      <c r="F549" s="60">
        <f t="shared" si="228"/>
        <v>2</v>
      </c>
      <c r="G549" s="60">
        <f t="shared" si="228"/>
        <v>3554</v>
      </c>
      <c r="H549" s="60">
        <f t="shared" si="228"/>
        <v>2834</v>
      </c>
      <c r="I549" s="60">
        <f>I528+I531+I534+I537+I540+I543+I546</f>
        <v>720</v>
      </c>
      <c r="J549" s="65" t="s">
        <v>224</v>
      </c>
      <c r="K549" s="57"/>
      <c r="L549" s="55"/>
    </row>
    <row r="550" spans="1:12" ht="12.75" customHeight="1" thickBot="1" x14ac:dyDescent="0.25">
      <c r="A550" s="60">
        <f t="shared" si="228"/>
        <v>0</v>
      </c>
      <c r="B550" s="60">
        <f t="shared" si="228"/>
        <v>0</v>
      </c>
      <c r="C550" s="60">
        <f t="shared" si="228"/>
        <v>0</v>
      </c>
      <c r="D550" s="60">
        <f t="shared" si="228"/>
        <v>0</v>
      </c>
      <c r="E550" s="60">
        <f t="shared" si="228"/>
        <v>0</v>
      </c>
      <c r="F550" s="60">
        <f t="shared" si="228"/>
        <v>0</v>
      </c>
      <c r="G550" s="60">
        <f t="shared" si="228"/>
        <v>0</v>
      </c>
      <c r="H550" s="60">
        <f t="shared" si="228"/>
        <v>0</v>
      </c>
      <c r="I550" s="60">
        <f t="shared" si="228"/>
        <v>0</v>
      </c>
      <c r="J550" s="65" t="s">
        <v>225</v>
      </c>
      <c r="K550" s="68" t="s">
        <v>211</v>
      </c>
      <c r="L550" s="55"/>
    </row>
    <row r="551" spans="1:12" ht="12.75" customHeight="1" thickBot="1" x14ac:dyDescent="0.25">
      <c r="A551" s="60">
        <f t="shared" si="228"/>
        <v>3565</v>
      </c>
      <c r="B551" s="60">
        <f t="shared" si="228"/>
        <v>2843</v>
      </c>
      <c r="C551" s="60">
        <f t="shared" si="228"/>
        <v>722</v>
      </c>
      <c r="D551" s="60">
        <f t="shared" si="228"/>
        <v>11</v>
      </c>
      <c r="E551" s="60">
        <f t="shared" si="228"/>
        <v>9</v>
      </c>
      <c r="F551" s="60">
        <f t="shared" si="228"/>
        <v>2</v>
      </c>
      <c r="G551" s="60">
        <f t="shared" si="228"/>
        <v>3554</v>
      </c>
      <c r="H551" s="60">
        <f t="shared" si="228"/>
        <v>2834</v>
      </c>
      <c r="I551" s="60">
        <f t="shared" si="228"/>
        <v>720</v>
      </c>
      <c r="J551" s="65" t="s">
        <v>13</v>
      </c>
      <c r="K551" s="59"/>
      <c r="L551" s="55"/>
    </row>
    <row r="552" spans="1:12" ht="12.75" customHeight="1" x14ac:dyDescent="0.2">
      <c r="A552" s="177" t="s">
        <v>597</v>
      </c>
      <c r="B552" s="177"/>
      <c r="C552" s="177"/>
      <c r="D552" s="177"/>
      <c r="E552" s="177"/>
      <c r="F552" s="177"/>
      <c r="G552" s="177"/>
      <c r="H552" s="177"/>
      <c r="I552" s="177"/>
      <c r="J552" s="177"/>
      <c r="K552" s="177"/>
      <c r="L552" s="55"/>
    </row>
    <row r="553" spans="1:12" ht="12.75" customHeight="1" thickBot="1" x14ac:dyDescent="0.25">
      <c r="A553" s="178" t="s">
        <v>598</v>
      </c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55"/>
    </row>
    <row r="554" spans="1:12" ht="12.75" customHeight="1" thickBot="1" x14ac:dyDescent="0.25">
      <c r="A554" s="179" t="s">
        <v>5</v>
      </c>
      <c r="B554" s="179"/>
      <c r="C554" s="179"/>
      <c r="D554" s="179" t="s">
        <v>162</v>
      </c>
      <c r="E554" s="179"/>
      <c r="F554" s="179"/>
      <c r="G554" s="179" t="s">
        <v>163</v>
      </c>
      <c r="H554" s="179"/>
      <c r="I554" s="179"/>
      <c r="J554" s="179" t="s">
        <v>72</v>
      </c>
      <c r="K554" s="179"/>
      <c r="L554" s="55"/>
    </row>
    <row r="555" spans="1:12" ht="12.75" customHeight="1" thickBot="1" x14ac:dyDescent="0.25">
      <c r="A555" s="58" t="s">
        <v>216</v>
      </c>
      <c r="B555" s="58" t="s">
        <v>11</v>
      </c>
      <c r="C555" s="58" t="s">
        <v>10</v>
      </c>
      <c r="D555" s="58" t="s">
        <v>216</v>
      </c>
      <c r="E555" s="58" t="s">
        <v>11</v>
      </c>
      <c r="F555" s="58" t="s">
        <v>10</v>
      </c>
      <c r="G555" s="58" t="s">
        <v>216</v>
      </c>
      <c r="H555" s="58" t="s">
        <v>11</v>
      </c>
      <c r="I555" s="58" t="s">
        <v>10</v>
      </c>
      <c r="J555" s="180" t="s">
        <v>165</v>
      </c>
      <c r="K555" s="180"/>
      <c r="L555" s="55"/>
    </row>
    <row r="556" spans="1:12" ht="12.75" customHeight="1" thickBot="1" x14ac:dyDescent="0.25">
      <c r="A556" s="60">
        <f>SUM(B556:C556)</f>
        <v>56</v>
      </c>
      <c r="B556" s="60">
        <f t="shared" ref="B556:C558" si="229">H556+E556</f>
        <v>56</v>
      </c>
      <c r="C556" s="60">
        <f>I556+F556</f>
        <v>0</v>
      </c>
      <c r="D556" s="60">
        <f>SUM(E556:F556)</f>
        <v>0</v>
      </c>
      <c r="E556" s="60">
        <v>0</v>
      </c>
      <c r="F556" s="60">
        <v>0</v>
      </c>
      <c r="G556" s="60">
        <f>SUM(H556:I556)</f>
        <v>56</v>
      </c>
      <c r="H556" s="60">
        <v>56</v>
      </c>
      <c r="I556" s="60">
        <v>0</v>
      </c>
      <c r="J556" s="65" t="s">
        <v>221</v>
      </c>
      <c r="K556" s="66"/>
      <c r="L556" s="55"/>
    </row>
    <row r="557" spans="1:12" ht="12.75" customHeight="1" thickBot="1" x14ac:dyDescent="0.25">
      <c r="A557" s="60">
        <f t="shared" ref="A557:A558" si="230">SUM(B557:C557)</f>
        <v>0</v>
      </c>
      <c r="B557" s="60">
        <f t="shared" si="229"/>
        <v>0</v>
      </c>
      <c r="C557" s="60">
        <f t="shared" si="229"/>
        <v>0</v>
      </c>
      <c r="D557" s="60">
        <f t="shared" ref="D557:D558" si="231">SUM(E557:F557)</f>
        <v>0</v>
      </c>
      <c r="E557" s="60">
        <v>0</v>
      </c>
      <c r="F557" s="60">
        <v>0</v>
      </c>
      <c r="G557" s="60">
        <f t="shared" ref="G557:G558" si="232">SUM(H557:I557)</f>
        <v>0</v>
      </c>
      <c r="H557" s="60">
        <v>0</v>
      </c>
      <c r="I557" s="60">
        <v>0</v>
      </c>
      <c r="J557" s="65" t="s">
        <v>222</v>
      </c>
      <c r="K557" s="66" t="s">
        <v>477</v>
      </c>
      <c r="L557" s="55"/>
    </row>
    <row r="558" spans="1:12" ht="12.75" customHeight="1" thickBot="1" x14ac:dyDescent="0.25">
      <c r="A558" s="60">
        <f t="shared" si="230"/>
        <v>56</v>
      </c>
      <c r="B558" s="60">
        <f t="shared" si="229"/>
        <v>56</v>
      </c>
      <c r="C558" s="60">
        <f t="shared" si="229"/>
        <v>0</v>
      </c>
      <c r="D558" s="60">
        <f t="shared" si="231"/>
        <v>0</v>
      </c>
      <c r="E558" s="60">
        <v>0</v>
      </c>
      <c r="F558" s="60">
        <v>0</v>
      </c>
      <c r="G558" s="60">
        <f t="shared" si="232"/>
        <v>56</v>
      </c>
      <c r="H558" s="60">
        <v>56</v>
      </c>
      <c r="I558" s="60">
        <v>0</v>
      </c>
      <c r="J558" s="65" t="s">
        <v>13</v>
      </c>
      <c r="K558" s="67"/>
      <c r="L558" s="55"/>
    </row>
    <row r="559" spans="1:12" ht="12.75" customHeight="1" thickBot="1" x14ac:dyDescent="0.25">
      <c r="A559" s="60">
        <f t="shared" ref="A559:I561" si="233">A556</f>
        <v>56</v>
      </c>
      <c r="B559" s="60">
        <f t="shared" si="233"/>
        <v>56</v>
      </c>
      <c r="C559" s="60">
        <f t="shared" si="233"/>
        <v>0</v>
      </c>
      <c r="D559" s="60">
        <f t="shared" si="233"/>
        <v>0</v>
      </c>
      <c r="E559" s="60">
        <f t="shared" si="233"/>
        <v>0</v>
      </c>
      <c r="F559" s="60">
        <f t="shared" si="233"/>
        <v>0</v>
      </c>
      <c r="G559" s="60">
        <f t="shared" si="233"/>
        <v>56</v>
      </c>
      <c r="H559" s="60">
        <f t="shared" si="233"/>
        <v>56</v>
      </c>
      <c r="I559" s="60">
        <f>I556</f>
        <v>0</v>
      </c>
      <c r="J559" s="65" t="s">
        <v>224</v>
      </c>
      <c r="K559" s="57"/>
      <c r="L559" s="55"/>
    </row>
    <row r="560" spans="1:12" ht="12.75" customHeight="1" thickBot="1" x14ac:dyDescent="0.25">
      <c r="A560" s="60">
        <f t="shared" si="233"/>
        <v>0</v>
      </c>
      <c r="B560" s="60">
        <f t="shared" si="233"/>
        <v>0</v>
      </c>
      <c r="C560" s="60">
        <f t="shared" si="233"/>
        <v>0</v>
      </c>
      <c r="D560" s="60">
        <f t="shared" si="233"/>
        <v>0</v>
      </c>
      <c r="E560" s="60">
        <f t="shared" si="233"/>
        <v>0</v>
      </c>
      <c r="F560" s="60">
        <f t="shared" si="233"/>
        <v>0</v>
      </c>
      <c r="G560" s="60">
        <f t="shared" si="233"/>
        <v>0</v>
      </c>
      <c r="H560" s="60">
        <f t="shared" si="233"/>
        <v>0</v>
      </c>
      <c r="I560" s="60">
        <f t="shared" si="233"/>
        <v>0</v>
      </c>
      <c r="J560" s="65" t="s">
        <v>225</v>
      </c>
      <c r="K560" s="68" t="s">
        <v>211</v>
      </c>
      <c r="L560" s="55"/>
    </row>
    <row r="561" spans="1:12" ht="12.75" customHeight="1" thickBot="1" x14ac:dyDescent="0.25">
      <c r="A561" s="60">
        <f t="shared" si="233"/>
        <v>56</v>
      </c>
      <c r="B561" s="60">
        <f t="shared" si="233"/>
        <v>56</v>
      </c>
      <c r="C561" s="60">
        <f t="shared" si="233"/>
        <v>0</v>
      </c>
      <c r="D561" s="60">
        <f t="shared" si="233"/>
        <v>0</v>
      </c>
      <c r="E561" s="60">
        <f t="shared" si="233"/>
        <v>0</v>
      </c>
      <c r="F561" s="60">
        <f t="shared" si="233"/>
        <v>0</v>
      </c>
      <c r="G561" s="60">
        <f t="shared" si="233"/>
        <v>56</v>
      </c>
      <c r="H561" s="60">
        <f t="shared" si="233"/>
        <v>56</v>
      </c>
      <c r="I561" s="60">
        <f t="shared" si="233"/>
        <v>0</v>
      </c>
      <c r="J561" s="65" t="s">
        <v>13</v>
      </c>
      <c r="K561" s="59"/>
      <c r="L561" s="55"/>
    </row>
    <row r="562" spans="1:12" ht="12.75" customHeight="1" x14ac:dyDescent="0.2">
      <c r="A562" s="177" t="s">
        <v>597</v>
      </c>
      <c r="B562" s="177"/>
      <c r="C562" s="177"/>
      <c r="D562" s="177"/>
      <c r="E562" s="177"/>
      <c r="F562" s="177"/>
      <c r="G562" s="177"/>
      <c r="H562" s="177"/>
      <c r="I562" s="177"/>
      <c r="J562" s="177"/>
      <c r="K562" s="177"/>
      <c r="L562" s="55"/>
    </row>
    <row r="563" spans="1:12" ht="12.75" customHeight="1" thickBot="1" x14ac:dyDescent="0.25">
      <c r="A563" s="178" t="s">
        <v>598</v>
      </c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55"/>
    </row>
    <row r="564" spans="1:12" ht="12.75" customHeight="1" thickBot="1" x14ac:dyDescent="0.25">
      <c r="A564" s="179" t="s">
        <v>5</v>
      </c>
      <c r="B564" s="179"/>
      <c r="C564" s="179"/>
      <c r="D564" s="179" t="s">
        <v>162</v>
      </c>
      <c r="E564" s="179"/>
      <c r="F564" s="179"/>
      <c r="G564" s="179" t="s">
        <v>163</v>
      </c>
      <c r="H564" s="179"/>
      <c r="I564" s="179"/>
      <c r="J564" s="179" t="s">
        <v>72</v>
      </c>
      <c r="K564" s="179"/>
      <c r="L564" s="55"/>
    </row>
    <row r="565" spans="1:12" ht="12.75" customHeight="1" thickBot="1" x14ac:dyDescent="0.25">
      <c r="A565" s="58" t="s">
        <v>216</v>
      </c>
      <c r="B565" s="58" t="s">
        <v>11</v>
      </c>
      <c r="C565" s="58" t="s">
        <v>10</v>
      </c>
      <c r="D565" s="58" t="s">
        <v>216</v>
      </c>
      <c r="E565" s="58" t="s">
        <v>11</v>
      </c>
      <c r="F565" s="58" t="s">
        <v>10</v>
      </c>
      <c r="G565" s="58" t="s">
        <v>216</v>
      </c>
      <c r="H565" s="58" t="s">
        <v>11</v>
      </c>
      <c r="I565" s="58" t="s">
        <v>10</v>
      </c>
      <c r="J565" s="180" t="s">
        <v>115</v>
      </c>
      <c r="K565" s="180"/>
      <c r="L565" s="55"/>
    </row>
    <row r="566" spans="1:12" ht="12.75" customHeight="1" thickBot="1" x14ac:dyDescent="0.25">
      <c r="A566" s="60">
        <f>SUM(B566:C566)</f>
        <v>28</v>
      </c>
      <c r="B566" s="60">
        <f>H566+E566</f>
        <v>0</v>
      </c>
      <c r="C566" s="60">
        <f>I566+F566</f>
        <v>28</v>
      </c>
      <c r="D566" s="60">
        <f>SUM(E566:F566)</f>
        <v>0</v>
      </c>
      <c r="E566" s="60">
        <v>0</v>
      </c>
      <c r="F566" s="60">
        <v>0</v>
      </c>
      <c r="G566" s="60">
        <f>SUM(H566:I566)</f>
        <v>28</v>
      </c>
      <c r="H566" s="60">
        <v>0</v>
      </c>
      <c r="I566" s="60">
        <v>28</v>
      </c>
      <c r="J566" s="65" t="s">
        <v>221</v>
      </c>
      <c r="K566" s="66"/>
      <c r="L566" s="55"/>
    </row>
    <row r="567" spans="1:12" ht="12.75" customHeight="1" thickBot="1" x14ac:dyDescent="0.25">
      <c r="A567" s="60">
        <f t="shared" ref="A567:A585" si="234">SUM(B567:C567)</f>
        <v>0</v>
      </c>
      <c r="B567" s="60">
        <f t="shared" ref="B567:C585" si="235">H567+E567</f>
        <v>0</v>
      </c>
      <c r="C567" s="60">
        <f t="shared" si="235"/>
        <v>0</v>
      </c>
      <c r="D567" s="60">
        <f t="shared" ref="D567:D585" si="236">SUM(E567:F567)</f>
        <v>0</v>
      </c>
      <c r="E567" s="60">
        <v>0</v>
      </c>
      <c r="F567" s="60">
        <v>0</v>
      </c>
      <c r="G567" s="60">
        <f t="shared" ref="G567:G585" si="237">SUM(H567:I567)</f>
        <v>0</v>
      </c>
      <c r="H567" s="60">
        <v>0</v>
      </c>
      <c r="I567" s="60">
        <v>0</v>
      </c>
      <c r="J567" s="65" t="s">
        <v>222</v>
      </c>
      <c r="K567" s="66" t="s">
        <v>263</v>
      </c>
      <c r="L567" s="55"/>
    </row>
    <row r="568" spans="1:12" ht="12.75" customHeight="1" thickBot="1" x14ac:dyDescent="0.25">
      <c r="A568" s="60">
        <f t="shared" ref="A568:H568" si="238">SUM(A566:A567)</f>
        <v>28</v>
      </c>
      <c r="B568" s="60">
        <f t="shared" si="238"/>
        <v>0</v>
      </c>
      <c r="C568" s="60">
        <f t="shared" si="238"/>
        <v>28</v>
      </c>
      <c r="D568" s="60">
        <f t="shared" si="238"/>
        <v>0</v>
      </c>
      <c r="E568" s="60">
        <f t="shared" si="238"/>
        <v>0</v>
      </c>
      <c r="F568" s="60">
        <f t="shared" si="238"/>
        <v>0</v>
      </c>
      <c r="G568" s="60">
        <f t="shared" si="238"/>
        <v>28</v>
      </c>
      <c r="H568" s="60">
        <f t="shared" si="238"/>
        <v>0</v>
      </c>
      <c r="I568" s="60">
        <f>SUM(I566:I567)</f>
        <v>28</v>
      </c>
      <c r="J568" s="65" t="s">
        <v>13</v>
      </c>
      <c r="K568" s="67"/>
      <c r="L568" s="55"/>
    </row>
    <row r="569" spans="1:12" ht="12.75" customHeight="1" thickBot="1" x14ac:dyDescent="0.25">
      <c r="A569" s="60">
        <f t="shared" si="234"/>
        <v>717</v>
      </c>
      <c r="B569" s="60">
        <f t="shared" si="235"/>
        <v>0</v>
      </c>
      <c r="C569" s="60">
        <f t="shared" si="235"/>
        <v>717</v>
      </c>
      <c r="D569" s="60">
        <f t="shared" si="236"/>
        <v>0</v>
      </c>
      <c r="E569" s="60">
        <v>0</v>
      </c>
      <c r="F569" s="60">
        <v>0</v>
      </c>
      <c r="G569" s="60">
        <f t="shared" si="237"/>
        <v>717</v>
      </c>
      <c r="H569" s="60">
        <v>0</v>
      </c>
      <c r="I569" s="60">
        <f>495+203+19</f>
        <v>717</v>
      </c>
      <c r="J569" s="65" t="s">
        <v>221</v>
      </c>
      <c r="K569" s="66"/>
      <c r="L569" s="55"/>
    </row>
    <row r="570" spans="1:12" ht="12.75" customHeight="1" thickBot="1" x14ac:dyDescent="0.25">
      <c r="A570" s="60">
        <f t="shared" si="234"/>
        <v>0</v>
      </c>
      <c r="B570" s="60">
        <f t="shared" si="235"/>
        <v>0</v>
      </c>
      <c r="C570" s="60">
        <f t="shared" si="235"/>
        <v>0</v>
      </c>
      <c r="D570" s="60">
        <f t="shared" si="236"/>
        <v>0</v>
      </c>
      <c r="E570" s="60">
        <v>0</v>
      </c>
      <c r="F570" s="60">
        <v>0</v>
      </c>
      <c r="G570" s="60">
        <f t="shared" si="237"/>
        <v>0</v>
      </c>
      <c r="H570" s="60">
        <v>0</v>
      </c>
      <c r="I570" s="60">
        <v>0</v>
      </c>
      <c r="J570" s="65" t="s">
        <v>222</v>
      </c>
      <c r="K570" s="66" t="s">
        <v>247</v>
      </c>
      <c r="L570" s="55"/>
    </row>
    <row r="571" spans="1:12" ht="12.75" customHeight="1" thickBot="1" x14ac:dyDescent="0.25">
      <c r="A571" s="60">
        <f t="shared" ref="A571:H571" si="239">SUM(A569:A570)</f>
        <v>717</v>
      </c>
      <c r="B571" s="60">
        <f t="shared" si="239"/>
        <v>0</v>
      </c>
      <c r="C571" s="60">
        <f t="shared" si="239"/>
        <v>717</v>
      </c>
      <c r="D571" s="60">
        <f t="shared" si="239"/>
        <v>0</v>
      </c>
      <c r="E571" s="60">
        <f t="shared" si="239"/>
        <v>0</v>
      </c>
      <c r="F571" s="60">
        <f t="shared" si="239"/>
        <v>0</v>
      </c>
      <c r="G571" s="60">
        <f t="shared" si="239"/>
        <v>717</v>
      </c>
      <c r="H571" s="60">
        <f t="shared" si="239"/>
        <v>0</v>
      </c>
      <c r="I571" s="60">
        <f>SUM(I569:I570)</f>
        <v>717</v>
      </c>
      <c r="J571" s="65" t="s">
        <v>13</v>
      </c>
      <c r="K571" s="67"/>
      <c r="L571" s="55"/>
    </row>
    <row r="572" spans="1:12" ht="12.75" customHeight="1" thickBot="1" x14ac:dyDescent="0.25">
      <c r="A572" s="60">
        <f t="shared" si="234"/>
        <v>1</v>
      </c>
      <c r="B572" s="60">
        <f t="shared" si="235"/>
        <v>1</v>
      </c>
      <c r="C572" s="60">
        <f t="shared" si="235"/>
        <v>0</v>
      </c>
      <c r="D572" s="60">
        <f t="shared" si="236"/>
        <v>1</v>
      </c>
      <c r="E572" s="60">
        <v>1</v>
      </c>
      <c r="F572" s="60">
        <v>0</v>
      </c>
      <c r="G572" s="60">
        <f t="shared" si="237"/>
        <v>0</v>
      </c>
      <c r="H572" s="60">
        <v>0</v>
      </c>
      <c r="I572" s="60">
        <v>0</v>
      </c>
      <c r="J572" s="65" t="s">
        <v>221</v>
      </c>
      <c r="K572" s="66"/>
      <c r="L572" s="55"/>
    </row>
    <row r="573" spans="1:12" ht="12.75" customHeight="1" thickBot="1" x14ac:dyDescent="0.25">
      <c r="A573" s="60">
        <f t="shared" si="234"/>
        <v>9</v>
      </c>
      <c r="B573" s="60">
        <f t="shared" si="235"/>
        <v>9</v>
      </c>
      <c r="C573" s="60">
        <f t="shared" si="235"/>
        <v>0</v>
      </c>
      <c r="D573" s="60">
        <f t="shared" si="236"/>
        <v>0</v>
      </c>
      <c r="E573" s="60">
        <v>0</v>
      </c>
      <c r="F573" s="60">
        <v>0</v>
      </c>
      <c r="G573" s="60">
        <f t="shared" si="237"/>
        <v>9</v>
      </c>
      <c r="H573" s="60">
        <v>9</v>
      </c>
      <c r="I573" s="60">
        <v>0</v>
      </c>
      <c r="J573" s="65" t="s">
        <v>222</v>
      </c>
      <c r="K573" s="66" t="s">
        <v>479</v>
      </c>
      <c r="L573" s="55"/>
    </row>
    <row r="574" spans="1:12" ht="12.75" customHeight="1" thickBot="1" x14ac:dyDescent="0.25">
      <c r="A574" s="60">
        <f t="shared" ref="A574:H574" si="240">SUM(A572:A573)</f>
        <v>10</v>
      </c>
      <c r="B574" s="60">
        <f t="shared" si="240"/>
        <v>10</v>
      </c>
      <c r="C574" s="60">
        <f t="shared" si="240"/>
        <v>0</v>
      </c>
      <c r="D574" s="60">
        <f t="shared" si="240"/>
        <v>1</v>
      </c>
      <c r="E574" s="60">
        <f t="shared" si="240"/>
        <v>1</v>
      </c>
      <c r="F574" s="60">
        <f t="shared" si="240"/>
        <v>0</v>
      </c>
      <c r="G574" s="60">
        <f t="shared" si="240"/>
        <v>9</v>
      </c>
      <c r="H574" s="60">
        <f t="shared" si="240"/>
        <v>9</v>
      </c>
      <c r="I574" s="60">
        <f>SUM(I572:I573)</f>
        <v>0</v>
      </c>
      <c r="J574" s="65" t="s">
        <v>13</v>
      </c>
      <c r="K574" s="67"/>
      <c r="L574" s="55"/>
    </row>
    <row r="575" spans="1:12" ht="12.75" customHeight="1" thickBot="1" x14ac:dyDescent="0.25">
      <c r="A575" s="60">
        <f t="shared" si="234"/>
        <v>231</v>
      </c>
      <c r="B575" s="60">
        <f t="shared" si="235"/>
        <v>231</v>
      </c>
      <c r="C575" s="60">
        <f t="shared" si="235"/>
        <v>0</v>
      </c>
      <c r="D575" s="60">
        <f t="shared" si="236"/>
        <v>0</v>
      </c>
      <c r="E575" s="60">
        <v>0</v>
      </c>
      <c r="F575" s="60">
        <v>0</v>
      </c>
      <c r="G575" s="60">
        <f t="shared" si="237"/>
        <v>231</v>
      </c>
      <c r="H575" s="60">
        <f>61+190-20</f>
        <v>231</v>
      </c>
      <c r="I575" s="60">
        <v>0</v>
      </c>
      <c r="J575" s="65" t="s">
        <v>221</v>
      </c>
      <c r="K575" s="66"/>
      <c r="L575" s="55"/>
    </row>
    <row r="576" spans="1:12" ht="12.75" customHeight="1" thickBot="1" x14ac:dyDescent="0.25">
      <c r="A576" s="60">
        <f t="shared" si="234"/>
        <v>0</v>
      </c>
      <c r="B576" s="60">
        <f t="shared" si="235"/>
        <v>0</v>
      </c>
      <c r="C576" s="60">
        <f t="shared" si="235"/>
        <v>0</v>
      </c>
      <c r="D576" s="60">
        <f t="shared" si="236"/>
        <v>0</v>
      </c>
      <c r="E576" s="60">
        <v>0</v>
      </c>
      <c r="F576" s="60">
        <v>0</v>
      </c>
      <c r="G576" s="60">
        <f t="shared" si="237"/>
        <v>0</v>
      </c>
      <c r="H576" s="60">
        <v>0</v>
      </c>
      <c r="I576" s="60">
        <v>0</v>
      </c>
      <c r="J576" s="65" t="s">
        <v>222</v>
      </c>
      <c r="K576" s="66" t="s">
        <v>480</v>
      </c>
      <c r="L576" s="55"/>
    </row>
    <row r="577" spans="1:12" ht="12.75" customHeight="1" thickBot="1" x14ac:dyDescent="0.25">
      <c r="A577" s="60">
        <f t="shared" ref="A577:H577" si="241">SUM(A575:A576)</f>
        <v>231</v>
      </c>
      <c r="B577" s="60">
        <f t="shared" si="241"/>
        <v>231</v>
      </c>
      <c r="C577" s="60">
        <f t="shared" si="241"/>
        <v>0</v>
      </c>
      <c r="D577" s="60">
        <f t="shared" si="241"/>
        <v>0</v>
      </c>
      <c r="E577" s="60">
        <f t="shared" si="241"/>
        <v>0</v>
      </c>
      <c r="F577" s="60">
        <f t="shared" si="241"/>
        <v>0</v>
      </c>
      <c r="G577" s="60">
        <f t="shared" si="241"/>
        <v>231</v>
      </c>
      <c r="H577" s="60">
        <f t="shared" si="241"/>
        <v>231</v>
      </c>
      <c r="I577" s="60">
        <f>SUM(I575:I576)</f>
        <v>0</v>
      </c>
      <c r="J577" s="65" t="s">
        <v>13</v>
      </c>
      <c r="K577" s="67"/>
      <c r="L577" s="55"/>
    </row>
    <row r="578" spans="1:12" ht="12.75" customHeight="1" thickBot="1" x14ac:dyDescent="0.25">
      <c r="A578" s="60">
        <f t="shared" si="234"/>
        <v>520</v>
      </c>
      <c r="B578" s="60">
        <f t="shared" si="235"/>
        <v>520</v>
      </c>
      <c r="C578" s="60">
        <f t="shared" si="235"/>
        <v>0</v>
      </c>
      <c r="D578" s="60">
        <f t="shared" si="236"/>
        <v>6</v>
      </c>
      <c r="E578" s="60">
        <v>6</v>
      </c>
      <c r="F578" s="60">
        <v>0</v>
      </c>
      <c r="G578" s="60">
        <f t="shared" si="237"/>
        <v>514</v>
      </c>
      <c r="H578" s="60">
        <f>501+13</f>
        <v>514</v>
      </c>
      <c r="I578" s="60">
        <v>0</v>
      </c>
      <c r="J578" s="65" t="s">
        <v>221</v>
      </c>
      <c r="K578" s="66"/>
      <c r="L578" s="55"/>
    </row>
    <row r="579" spans="1:12" ht="12.75" customHeight="1" thickBot="1" x14ac:dyDescent="0.25">
      <c r="A579" s="60">
        <f t="shared" si="234"/>
        <v>0</v>
      </c>
      <c r="B579" s="60">
        <f t="shared" si="235"/>
        <v>0</v>
      </c>
      <c r="C579" s="60">
        <f t="shared" si="235"/>
        <v>0</v>
      </c>
      <c r="D579" s="60">
        <f t="shared" si="236"/>
        <v>0</v>
      </c>
      <c r="E579" s="60">
        <v>0</v>
      </c>
      <c r="F579" s="60">
        <v>0</v>
      </c>
      <c r="G579" s="60">
        <f t="shared" si="237"/>
        <v>0</v>
      </c>
      <c r="H579" s="60">
        <v>0</v>
      </c>
      <c r="I579" s="60">
        <v>0</v>
      </c>
      <c r="J579" s="65" t="s">
        <v>222</v>
      </c>
      <c r="K579" s="66" t="s">
        <v>481</v>
      </c>
      <c r="L579" s="55"/>
    </row>
    <row r="580" spans="1:12" ht="12.75" customHeight="1" thickBot="1" x14ac:dyDescent="0.25">
      <c r="A580" s="60">
        <f t="shared" ref="A580:H580" si="242">SUM(A578:A579)</f>
        <v>520</v>
      </c>
      <c r="B580" s="60">
        <f t="shared" si="242"/>
        <v>520</v>
      </c>
      <c r="C580" s="60">
        <f t="shared" si="242"/>
        <v>0</v>
      </c>
      <c r="D580" s="60">
        <f t="shared" si="242"/>
        <v>6</v>
      </c>
      <c r="E580" s="60">
        <f t="shared" si="242"/>
        <v>6</v>
      </c>
      <c r="F580" s="60">
        <f t="shared" si="242"/>
        <v>0</v>
      </c>
      <c r="G580" s="60">
        <f t="shared" si="242"/>
        <v>514</v>
      </c>
      <c r="H580" s="60">
        <f t="shared" si="242"/>
        <v>514</v>
      </c>
      <c r="I580" s="60">
        <f>SUM(I578:I579)</f>
        <v>0</v>
      </c>
      <c r="J580" s="65" t="s">
        <v>13</v>
      </c>
      <c r="K580" s="67"/>
      <c r="L580" s="55"/>
    </row>
    <row r="581" spans="1:12" ht="12.75" customHeight="1" thickBot="1" x14ac:dyDescent="0.25">
      <c r="A581" s="60">
        <f t="shared" si="234"/>
        <v>574</v>
      </c>
      <c r="B581" s="60">
        <f t="shared" si="235"/>
        <v>574</v>
      </c>
      <c r="C581" s="60">
        <f t="shared" si="235"/>
        <v>0</v>
      </c>
      <c r="D581" s="60">
        <f t="shared" si="236"/>
        <v>0</v>
      </c>
      <c r="E581" s="60">
        <v>0</v>
      </c>
      <c r="F581" s="60">
        <v>0</v>
      </c>
      <c r="G581" s="60">
        <f t="shared" si="237"/>
        <v>574</v>
      </c>
      <c r="H581" s="60">
        <v>574</v>
      </c>
      <c r="I581" s="60">
        <v>0</v>
      </c>
      <c r="J581" s="65" t="s">
        <v>221</v>
      </c>
      <c r="K581" s="66"/>
      <c r="L581" s="55"/>
    </row>
    <row r="582" spans="1:12" ht="12.75" customHeight="1" thickBot="1" x14ac:dyDescent="0.25">
      <c r="A582" s="60">
        <f t="shared" si="234"/>
        <v>5</v>
      </c>
      <c r="B582" s="60">
        <f t="shared" si="235"/>
        <v>5</v>
      </c>
      <c r="C582" s="60">
        <f t="shared" si="235"/>
        <v>0</v>
      </c>
      <c r="D582" s="60">
        <f t="shared" si="236"/>
        <v>0</v>
      </c>
      <c r="E582" s="60">
        <v>0</v>
      </c>
      <c r="F582" s="60">
        <v>0</v>
      </c>
      <c r="G582" s="60">
        <f t="shared" si="237"/>
        <v>5</v>
      </c>
      <c r="H582" s="60">
        <v>5</v>
      </c>
      <c r="I582" s="60">
        <v>0</v>
      </c>
      <c r="J582" s="65" t="s">
        <v>222</v>
      </c>
      <c r="K582" s="66" t="s">
        <v>482</v>
      </c>
      <c r="L582" s="55"/>
    </row>
    <row r="583" spans="1:12" ht="12.75" customHeight="1" thickBot="1" x14ac:dyDescent="0.25">
      <c r="A583" s="60">
        <f t="shared" ref="A583:H583" si="243">SUM(A581:A582)</f>
        <v>579</v>
      </c>
      <c r="B583" s="60">
        <f t="shared" si="243"/>
        <v>579</v>
      </c>
      <c r="C583" s="60">
        <f t="shared" si="243"/>
        <v>0</v>
      </c>
      <c r="D583" s="60">
        <f t="shared" si="243"/>
        <v>0</v>
      </c>
      <c r="E583" s="60">
        <f t="shared" si="243"/>
        <v>0</v>
      </c>
      <c r="F583" s="60">
        <f t="shared" si="243"/>
        <v>0</v>
      </c>
      <c r="G583" s="60">
        <f t="shared" si="243"/>
        <v>579</v>
      </c>
      <c r="H583" s="60">
        <f t="shared" si="243"/>
        <v>579</v>
      </c>
      <c r="I583" s="60">
        <f>SUM(I581:I582)</f>
        <v>0</v>
      </c>
      <c r="J583" s="65" t="s">
        <v>13</v>
      </c>
      <c r="K583" s="67"/>
      <c r="L583" s="55"/>
    </row>
    <row r="584" spans="1:12" ht="12.75" customHeight="1" thickBot="1" x14ac:dyDescent="0.25">
      <c r="A584" s="60">
        <f t="shared" si="234"/>
        <v>1301</v>
      </c>
      <c r="B584" s="60">
        <f t="shared" si="235"/>
        <v>1301</v>
      </c>
      <c r="C584" s="60">
        <f t="shared" si="235"/>
        <v>0</v>
      </c>
      <c r="D584" s="60">
        <f t="shared" si="236"/>
        <v>11</v>
      </c>
      <c r="E584" s="60">
        <v>11</v>
      </c>
      <c r="F584" s="60">
        <v>0</v>
      </c>
      <c r="G584" s="60">
        <f t="shared" si="237"/>
        <v>1290</v>
      </c>
      <c r="H584" s="60">
        <f>1290</f>
        <v>1290</v>
      </c>
      <c r="I584" s="60">
        <v>0</v>
      </c>
      <c r="J584" s="65" t="s">
        <v>221</v>
      </c>
      <c r="K584" s="66"/>
      <c r="L584" s="55"/>
    </row>
    <row r="585" spans="1:12" ht="12.75" customHeight="1" thickBot="1" x14ac:dyDescent="0.25">
      <c r="A585" s="60">
        <f t="shared" si="234"/>
        <v>61</v>
      </c>
      <c r="B585" s="60">
        <f t="shared" si="235"/>
        <v>61</v>
      </c>
      <c r="C585" s="60">
        <f t="shared" si="235"/>
        <v>0</v>
      </c>
      <c r="D585" s="60">
        <f t="shared" si="236"/>
        <v>0</v>
      </c>
      <c r="E585" s="60">
        <v>0</v>
      </c>
      <c r="F585" s="60">
        <v>0</v>
      </c>
      <c r="G585" s="60">
        <f t="shared" si="237"/>
        <v>61</v>
      </c>
      <c r="H585" s="60">
        <v>61</v>
      </c>
      <c r="I585" s="60">
        <v>0</v>
      </c>
      <c r="J585" s="65" t="s">
        <v>222</v>
      </c>
      <c r="K585" s="66" t="s">
        <v>483</v>
      </c>
      <c r="L585" s="55"/>
    </row>
    <row r="586" spans="1:12" ht="12.75" customHeight="1" thickBot="1" x14ac:dyDescent="0.25">
      <c r="A586" s="60">
        <f t="shared" ref="A586:H586" si="244">SUM(A584:A585)</f>
        <v>1362</v>
      </c>
      <c r="B586" s="60">
        <f t="shared" si="244"/>
        <v>1362</v>
      </c>
      <c r="C586" s="60">
        <f t="shared" si="244"/>
        <v>0</v>
      </c>
      <c r="D586" s="60">
        <f t="shared" si="244"/>
        <v>11</v>
      </c>
      <c r="E586" s="60">
        <f t="shared" si="244"/>
        <v>11</v>
      </c>
      <c r="F586" s="60">
        <f t="shared" si="244"/>
        <v>0</v>
      </c>
      <c r="G586" s="60">
        <f t="shared" si="244"/>
        <v>1351</v>
      </c>
      <c r="H586" s="60">
        <f t="shared" si="244"/>
        <v>1351</v>
      </c>
      <c r="I586" s="60">
        <f>SUM(I584:I585)</f>
        <v>0</v>
      </c>
      <c r="J586" s="65" t="s">
        <v>13</v>
      </c>
      <c r="K586" s="67"/>
      <c r="L586" s="55"/>
    </row>
    <row r="587" spans="1:12" ht="12.75" customHeight="1" thickBot="1" x14ac:dyDescent="0.25">
      <c r="A587" s="60">
        <f t="shared" ref="A587:I589" si="245">A566+A569+A572+A575+A578+A581+A584</f>
        <v>3372</v>
      </c>
      <c r="B587" s="60">
        <f t="shared" si="245"/>
        <v>2627</v>
      </c>
      <c r="C587" s="60">
        <f t="shared" si="245"/>
        <v>745</v>
      </c>
      <c r="D587" s="60">
        <f t="shared" si="245"/>
        <v>18</v>
      </c>
      <c r="E587" s="60">
        <f t="shared" si="245"/>
        <v>18</v>
      </c>
      <c r="F587" s="60">
        <f t="shared" si="245"/>
        <v>0</v>
      </c>
      <c r="G587" s="60">
        <f t="shared" si="245"/>
        <v>3354</v>
      </c>
      <c r="H587" s="60">
        <f t="shared" si="245"/>
        <v>2609</v>
      </c>
      <c r="I587" s="60">
        <f>I566+I569+I572+I575+I578+I581+I584</f>
        <v>745</v>
      </c>
      <c r="J587" s="65" t="s">
        <v>224</v>
      </c>
      <c r="K587" s="57"/>
      <c r="L587" s="55"/>
    </row>
    <row r="588" spans="1:12" ht="12.75" customHeight="1" thickBot="1" x14ac:dyDescent="0.25">
      <c r="A588" s="60">
        <f t="shared" si="245"/>
        <v>75</v>
      </c>
      <c r="B588" s="60">
        <f t="shared" si="245"/>
        <v>75</v>
      </c>
      <c r="C588" s="60">
        <f t="shared" si="245"/>
        <v>0</v>
      </c>
      <c r="D588" s="60">
        <f t="shared" si="245"/>
        <v>0</v>
      </c>
      <c r="E588" s="60">
        <f t="shared" si="245"/>
        <v>0</v>
      </c>
      <c r="F588" s="60">
        <f t="shared" si="245"/>
        <v>0</v>
      </c>
      <c r="G588" s="60">
        <f t="shared" si="245"/>
        <v>75</v>
      </c>
      <c r="H588" s="60">
        <f t="shared" si="245"/>
        <v>75</v>
      </c>
      <c r="I588" s="60">
        <f t="shared" si="245"/>
        <v>0</v>
      </c>
      <c r="J588" s="65" t="s">
        <v>225</v>
      </c>
      <c r="K588" s="68" t="s">
        <v>211</v>
      </c>
      <c r="L588" s="55"/>
    </row>
    <row r="589" spans="1:12" ht="12.75" customHeight="1" thickBot="1" x14ac:dyDescent="0.25">
      <c r="A589" s="60">
        <f t="shared" si="245"/>
        <v>3447</v>
      </c>
      <c r="B589" s="60">
        <f t="shared" si="245"/>
        <v>2702</v>
      </c>
      <c r="C589" s="60">
        <f t="shared" si="245"/>
        <v>745</v>
      </c>
      <c r="D589" s="60">
        <f t="shared" si="245"/>
        <v>18</v>
      </c>
      <c r="E589" s="60">
        <f t="shared" si="245"/>
        <v>18</v>
      </c>
      <c r="F589" s="60">
        <f t="shared" si="245"/>
        <v>0</v>
      </c>
      <c r="G589" s="60">
        <f t="shared" si="245"/>
        <v>3429</v>
      </c>
      <c r="H589" s="60">
        <f t="shared" si="245"/>
        <v>2684</v>
      </c>
      <c r="I589" s="60">
        <f t="shared" si="245"/>
        <v>745</v>
      </c>
      <c r="J589" s="65" t="s">
        <v>13</v>
      </c>
      <c r="K589" s="59"/>
      <c r="L589" s="55"/>
    </row>
    <row r="590" spans="1:12" ht="12.75" customHeight="1" x14ac:dyDescent="0.2">
      <c r="A590" s="177" t="s">
        <v>597</v>
      </c>
      <c r="B590" s="177"/>
      <c r="C590" s="177"/>
      <c r="D590" s="177"/>
      <c r="E590" s="177"/>
      <c r="F590" s="177"/>
      <c r="G590" s="177"/>
      <c r="H590" s="177"/>
      <c r="I590" s="177"/>
      <c r="J590" s="177"/>
      <c r="K590" s="177"/>
      <c r="L590" s="55"/>
    </row>
    <row r="591" spans="1:12" ht="12.75" customHeight="1" thickBot="1" x14ac:dyDescent="0.25">
      <c r="A591" s="178" t="s">
        <v>598</v>
      </c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55"/>
    </row>
    <row r="592" spans="1:12" ht="12.75" customHeight="1" thickBot="1" x14ac:dyDescent="0.25">
      <c r="A592" s="179" t="s">
        <v>5</v>
      </c>
      <c r="B592" s="179"/>
      <c r="C592" s="179"/>
      <c r="D592" s="179" t="s">
        <v>162</v>
      </c>
      <c r="E592" s="179"/>
      <c r="F592" s="179"/>
      <c r="G592" s="179" t="s">
        <v>163</v>
      </c>
      <c r="H592" s="179"/>
      <c r="I592" s="179"/>
      <c r="J592" s="179" t="s">
        <v>72</v>
      </c>
      <c r="K592" s="179"/>
      <c r="L592" s="55"/>
    </row>
    <row r="593" spans="1:12" ht="12.75" customHeight="1" thickBot="1" x14ac:dyDescent="0.25">
      <c r="A593" s="58" t="s">
        <v>216</v>
      </c>
      <c r="B593" s="58" t="s">
        <v>11</v>
      </c>
      <c r="C593" s="58" t="s">
        <v>10</v>
      </c>
      <c r="D593" s="58" t="s">
        <v>216</v>
      </c>
      <c r="E593" s="58" t="s">
        <v>11</v>
      </c>
      <c r="F593" s="58" t="s">
        <v>10</v>
      </c>
      <c r="G593" s="58" t="s">
        <v>216</v>
      </c>
      <c r="H593" s="58" t="s">
        <v>11</v>
      </c>
      <c r="I593" s="58" t="s">
        <v>10</v>
      </c>
      <c r="J593" s="180" t="s">
        <v>118</v>
      </c>
      <c r="K593" s="180"/>
      <c r="L593" s="55"/>
    </row>
    <row r="594" spans="1:12" ht="12.75" customHeight="1" thickBot="1" x14ac:dyDescent="0.25">
      <c r="A594" s="60">
        <f>SUM(B594:C594)</f>
        <v>15</v>
      </c>
      <c r="B594" s="60">
        <f>H594+E594</f>
        <v>0</v>
      </c>
      <c r="C594" s="60">
        <f>I594+F594</f>
        <v>15</v>
      </c>
      <c r="D594" s="60">
        <f>SUM(E594:F594)</f>
        <v>0</v>
      </c>
      <c r="E594" s="60">
        <v>0</v>
      </c>
      <c r="F594" s="60">
        <v>0</v>
      </c>
      <c r="G594" s="60">
        <f>SUM(H594:I594)</f>
        <v>15</v>
      </c>
      <c r="H594" s="60">
        <v>0</v>
      </c>
      <c r="I594" s="60">
        <v>15</v>
      </c>
      <c r="J594" s="65" t="s">
        <v>221</v>
      </c>
      <c r="K594" s="66"/>
      <c r="L594" s="55"/>
    </row>
    <row r="595" spans="1:12" ht="12.75" customHeight="1" thickBot="1" x14ac:dyDescent="0.25">
      <c r="A595" s="60">
        <f t="shared" ref="A595:A607" si="246">SUM(B595:C595)</f>
        <v>0</v>
      </c>
      <c r="B595" s="60">
        <f t="shared" ref="B595:C607" si="247">H595+E595</f>
        <v>0</v>
      </c>
      <c r="C595" s="60">
        <f t="shared" si="247"/>
        <v>0</v>
      </c>
      <c r="D595" s="60">
        <f t="shared" ref="D595:D607" si="248">SUM(E595:F595)</f>
        <v>0</v>
      </c>
      <c r="E595" s="60">
        <v>0</v>
      </c>
      <c r="F595" s="60">
        <v>0</v>
      </c>
      <c r="G595" s="60">
        <f t="shared" ref="G595:G607" si="249">SUM(H595:I595)</f>
        <v>0</v>
      </c>
      <c r="H595" s="60">
        <v>0</v>
      </c>
      <c r="I595" s="60">
        <v>0</v>
      </c>
      <c r="J595" s="65" t="s">
        <v>222</v>
      </c>
      <c r="K595" s="66" t="s">
        <v>377</v>
      </c>
      <c r="L595" s="55"/>
    </row>
    <row r="596" spans="1:12" ht="12.75" customHeight="1" thickBot="1" x14ac:dyDescent="0.25">
      <c r="A596" s="60">
        <f t="shared" ref="A596:H596" si="250">SUM(A594:A595)</f>
        <v>15</v>
      </c>
      <c r="B596" s="60">
        <f t="shared" si="250"/>
        <v>0</v>
      </c>
      <c r="C596" s="60">
        <f t="shared" si="250"/>
        <v>15</v>
      </c>
      <c r="D596" s="60">
        <f t="shared" si="250"/>
        <v>0</v>
      </c>
      <c r="E596" s="60">
        <f t="shared" si="250"/>
        <v>0</v>
      </c>
      <c r="F596" s="60">
        <f t="shared" si="250"/>
        <v>0</v>
      </c>
      <c r="G596" s="60">
        <f t="shared" si="250"/>
        <v>15</v>
      </c>
      <c r="H596" s="60">
        <f t="shared" si="250"/>
        <v>0</v>
      </c>
      <c r="I596" s="60">
        <f>SUM(I594:I595)</f>
        <v>15</v>
      </c>
      <c r="J596" s="65" t="s">
        <v>13</v>
      </c>
      <c r="K596" s="67"/>
      <c r="L596" s="55"/>
    </row>
    <row r="597" spans="1:12" ht="12.75" customHeight="1" thickBot="1" x14ac:dyDescent="0.25">
      <c r="A597" s="60">
        <f t="shared" si="246"/>
        <v>101</v>
      </c>
      <c r="B597" s="60">
        <f t="shared" si="247"/>
        <v>0</v>
      </c>
      <c r="C597" s="60">
        <f t="shared" si="247"/>
        <v>101</v>
      </c>
      <c r="D597" s="60">
        <f t="shared" si="248"/>
        <v>27</v>
      </c>
      <c r="E597" s="60">
        <v>0</v>
      </c>
      <c r="F597" s="60">
        <v>27</v>
      </c>
      <c r="G597" s="60">
        <f t="shared" si="249"/>
        <v>74</v>
      </c>
      <c r="H597" s="60">
        <v>0</v>
      </c>
      <c r="I597" s="60">
        <v>74</v>
      </c>
      <c r="J597" s="65" t="s">
        <v>221</v>
      </c>
      <c r="K597" s="66"/>
      <c r="L597" s="55"/>
    </row>
    <row r="598" spans="1:12" ht="12.75" customHeight="1" thickBot="1" x14ac:dyDescent="0.25">
      <c r="A598" s="60">
        <f t="shared" si="246"/>
        <v>0</v>
      </c>
      <c r="B598" s="60">
        <f t="shared" si="247"/>
        <v>0</v>
      </c>
      <c r="C598" s="60">
        <f t="shared" si="247"/>
        <v>0</v>
      </c>
      <c r="D598" s="60">
        <f t="shared" si="248"/>
        <v>0</v>
      </c>
      <c r="E598" s="60">
        <v>0</v>
      </c>
      <c r="F598" s="60">
        <v>0</v>
      </c>
      <c r="G598" s="60">
        <f t="shared" si="249"/>
        <v>0</v>
      </c>
      <c r="H598" s="60">
        <v>0</v>
      </c>
      <c r="I598" s="60">
        <v>0</v>
      </c>
      <c r="J598" s="65" t="s">
        <v>222</v>
      </c>
      <c r="K598" s="66" t="s">
        <v>268</v>
      </c>
      <c r="L598" s="55"/>
    </row>
    <row r="599" spans="1:12" ht="12.75" customHeight="1" thickBot="1" x14ac:dyDescent="0.25">
      <c r="A599" s="60">
        <f t="shared" ref="A599:H599" si="251">SUM(A597:A598)</f>
        <v>101</v>
      </c>
      <c r="B599" s="60">
        <f t="shared" si="251"/>
        <v>0</v>
      </c>
      <c r="C599" s="60">
        <f t="shared" si="251"/>
        <v>101</v>
      </c>
      <c r="D599" s="60">
        <f t="shared" si="251"/>
        <v>27</v>
      </c>
      <c r="E599" s="60">
        <f t="shared" si="251"/>
        <v>0</v>
      </c>
      <c r="F599" s="60">
        <f t="shared" si="251"/>
        <v>27</v>
      </c>
      <c r="G599" s="60">
        <f t="shared" si="251"/>
        <v>74</v>
      </c>
      <c r="H599" s="60">
        <f t="shared" si="251"/>
        <v>0</v>
      </c>
      <c r="I599" s="60">
        <f>SUM(I597:I598)</f>
        <v>74</v>
      </c>
      <c r="J599" s="65" t="s">
        <v>13</v>
      </c>
      <c r="K599" s="67"/>
      <c r="L599" s="55"/>
    </row>
    <row r="600" spans="1:12" ht="12.75" customHeight="1" thickBot="1" x14ac:dyDescent="0.25">
      <c r="A600" s="60">
        <f t="shared" si="246"/>
        <v>968</v>
      </c>
      <c r="B600" s="60">
        <f t="shared" si="247"/>
        <v>968</v>
      </c>
      <c r="C600" s="60">
        <f t="shared" si="247"/>
        <v>0</v>
      </c>
      <c r="D600" s="60">
        <f t="shared" si="248"/>
        <v>0</v>
      </c>
      <c r="E600" s="60">
        <v>0</v>
      </c>
      <c r="F600" s="60">
        <v>0</v>
      </c>
      <c r="G600" s="60">
        <f t="shared" si="249"/>
        <v>968</v>
      </c>
      <c r="H600" s="60">
        <f>1016-48</f>
        <v>968</v>
      </c>
      <c r="I600" s="60">
        <v>0</v>
      </c>
      <c r="J600" s="65" t="s">
        <v>221</v>
      </c>
      <c r="K600" s="66"/>
      <c r="L600" s="55"/>
    </row>
    <row r="601" spans="1:12" ht="12.75" customHeight="1" thickBot="1" x14ac:dyDescent="0.25">
      <c r="A601" s="60">
        <f t="shared" si="246"/>
        <v>40</v>
      </c>
      <c r="B601" s="60">
        <f t="shared" si="247"/>
        <v>40</v>
      </c>
      <c r="C601" s="60">
        <f t="shared" si="247"/>
        <v>0</v>
      </c>
      <c r="D601" s="60">
        <f t="shared" si="248"/>
        <v>0</v>
      </c>
      <c r="E601" s="60">
        <v>0</v>
      </c>
      <c r="F601" s="60">
        <v>0</v>
      </c>
      <c r="G601" s="60">
        <f t="shared" si="249"/>
        <v>40</v>
      </c>
      <c r="H601" s="60">
        <v>40</v>
      </c>
      <c r="I601" s="60">
        <v>0</v>
      </c>
      <c r="J601" s="65" t="s">
        <v>222</v>
      </c>
      <c r="K601" s="66" t="s">
        <v>484</v>
      </c>
      <c r="L601" s="55"/>
    </row>
    <row r="602" spans="1:12" ht="12.75" customHeight="1" thickBot="1" x14ac:dyDescent="0.25">
      <c r="A602" s="60">
        <f t="shared" ref="A602:H602" si="252">SUM(A600:A601)</f>
        <v>1008</v>
      </c>
      <c r="B602" s="60">
        <f t="shared" si="252"/>
        <v>1008</v>
      </c>
      <c r="C602" s="60">
        <f t="shared" si="252"/>
        <v>0</v>
      </c>
      <c r="D602" s="60">
        <f t="shared" si="252"/>
        <v>0</v>
      </c>
      <c r="E602" s="60">
        <f t="shared" si="252"/>
        <v>0</v>
      </c>
      <c r="F602" s="60">
        <f t="shared" si="252"/>
        <v>0</v>
      </c>
      <c r="G602" s="60">
        <f t="shared" si="252"/>
        <v>1008</v>
      </c>
      <c r="H602" s="60">
        <f t="shared" si="252"/>
        <v>1008</v>
      </c>
      <c r="I602" s="60">
        <f>SUM(I600:I601)</f>
        <v>0</v>
      </c>
      <c r="J602" s="65" t="s">
        <v>13</v>
      </c>
      <c r="K602" s="67"/>
      <c r="L602" s="55"/>
    </row>
    <row r="603" spans="1:12" ht="12.75" customHeight="1" thickBot="1" x14ac:dyDescent="0.25">
      <c r="A603" s="60">
        <f t="shared" si="246"/>
        <v>807</v>
      </c>
      <c r="B603" s="60">
        <f t="shared" si="247"/>
        <v>807</v>
      </c>
      <c r="C603" s="60">
        <f t="shared" si="247"/>
        <v>0</v>
      </c>
      <c r="D603" s="60">
        <f t="shared" si="248"/>
        <v>0</v>
      </c>
      <c r="E603" s="60">
        <v>0</v>
      </c>
      <c r="F603" s="60">
        <v>0</v>
      </c>
      <c r="G603" s="60">
        <f t="shared" si="249"/>
        <v>807</v>
      </c>
      <c r="H603" s="60">
        <f>651+203-47</f>
        <v>807</v>
      </c>
      <c r="I603" s="60">
        <v>0</v>
      </c>
      <c r="J603" s="65" t="s">
        <v>221</v>
      </c>
      <c r="K603" s="66"/>
      <c r="L603" s="55"/>
    </row>
    <row r="604" spans="1:12" ht="12.75" customHeight="1" thickBot="1" x14ac:dyDescent="0.25">
      <c r="A604" s="60">
        <f t="shared" si="246"/>
        <v>0</v>
      </c>
      <c r="B604" s="60">
        <f t="shared" si="247"/>
        <v>0</v>
      </c>
      <c r="C604" s="60">
        <f t="shared" si="247"/>
        <v>0</v>
      </c>
      <c r="D604" s="60">
        <f t="shared" si="248"/>
        <v>0</v>
      </c>
      <c r="E604" s="60">
        <v>0</v>
      </c>
      <c r="F604" s="60">
        <v>0</v>
      </c>
      <c r="G604" s="60">
        <f t="shared" si="249"/>
        <v>0</v>
      </c>
      <c r="H604" s="60">
        <v>0</v>
      </c>
      <c r="I604" s="60">
        <v>0</v>
      </c>
      <c r="J604" s="65" t="s">
        <v>222</v>
      </c>
      <c r="K604" s="66" t="s">
        <v>575</v>
      </c>
      <c r="L604" s="55"/>
    </row>
    <row r="605" spans="1:12" ht="12.75" customHeight="1" thickBot="1" x14ac:dyDescent="0.25">
      <c r="A605" s="60">
        <f t="shared" ref="A605:H605" si="253">SUM(A603:A604)</f>
        <v>807</v>
      </c>
      <c r="B605" s="60">
        <f t="shared" si="253"/>
        <v>807</v>
      </c>
      <c r="C605" s="60">
        <f t="shared" si="253"/>
        <v>0</v>
      </c>
      <c r="D605" s="60">
        <f t="shared" si="253"/>
        <v>0</v>
      </c>
      <c r="E605" s="60">
        <f t="shared" si="253"/>
        <v>0</v>
      </c>
      <c r="F605" s="60">
        <f t="shared" si="253"/>
        <v>0</v>
      </c>
      <c r="G605" s="60">
        <f t="shared" si="253"/>
        <v>807</v>
      </c>
      <c r="H605" s="60">
        <f t="shared" si="253"/>
        <v>807</v>
      </c>
      <c r="I605" s="60">
        <f>SUM(I603:I604)</f>
        <v>0</v>
      </c>
      <c r="J605" s="65" t="s">
        <v>13</v>
      </c>
      <c r="K605" s="67"/>
      <c r="L605" s="55"/>
    </row>
    <row r="606" spans="1:12" ht="12.75" customHeight="1" thickBot="1" x14ac:dyDescent="0.25">
      <c r="A606" s="60">
        <f t="shared" si="246"/>
        <v>552</v>
      </c>
      <c r="B606" s="60">
        <f t="shared" si="247"/>
        <v>0</v>
      </c>
      <c r="C606" s="60">
        <f t="shared" si="247"/>
        <v>552</v>
      </c>
      <c r="D606" s="60">
        <f t="shared" si="248"/>
        <v>6</v>
      </c>
      <c r="E606" s="60">
        <v>0</v>
      </c>
      <c r="F606" s="60">
        <v>6</v>
      </c>
      <c r="G606" s="60">
        <f t="shared" si="249"/>
        <v>546</v>
      </c>
      <c r="H606" s="60">
        <v>0</v>
      </c>
      <c r="I606" s="60">
        <f>593+203-99-151</f>
        <v>546</v>
      </c>
      <c r="J606" s="65" t="s">
        <v>221</v>
      </c>
      <c r="K606" s="66"/>
      <c r="L606" s="55"/>
    </row>
    <row r="607" spans="1:12" ht="12.75" customHeight="1" thickBot="1" x14ac:dyDescent="0.25">
      <c r="A607" s="60">
        <f t="shared" si="246"/>
        <v>0</v>
      </c>
      <c r="B607" s="60">
        <f t="shared" si="247"/>
        <v>0</v>
      </c>
      <c r="C607" s="60">
        <f t="shared" si="247"/>
        <v>0</v>
      </c>
      <c r="D607" s="60">
        <f t="shared" si="248"/>
        <v>0</v>
      </c>
      <c r="E607" s="60">
        <v>0</v>
      </c>
      <c r="F607" s="60">
        <v>0</v>
      </c>
      <c r="G607" s="60">
        <f t="shared" si="249"/>
        <v>0</v>
      </c>
      <c r="H607" s="60">
        <v>0</v>
      </c>
      <c r="I607" s="60">
        <v>0</v>
      </c>
      <c r="J607" s="65" t="s">
        <v>222</v>
      </c>
      <c r="K607" s="66" t="s">
        <v>486</v>
      </c>
      <c r="L607" s="55"/>
    </row>
    <row r="608" spans="1:12" ht="12.75" customHeight="1" thickBot="1" x14ac:dyDescent="0.25">
      <c r="A608" s="60">
        <f t="shared" ref="A608:H608" si="254">SUM(A606:A607)</f>
        <v>552</v>
      </c>
      <c r="B608" s="60">
        <f t="shared" si="254"/>
        <v>0</v>
      </c>
      <c r="C608" s="60">
        <f t="shared" si="254"/>
        <v>552</v>
      </c>
      <c r="D608" s="60">
        <f t="shared" si="254"/>
        <v>6</v>
      </c>
      <c r="E608" s="60">
        <f t="shared" si="254"/>
        <v>0</v>
      </c>
      <c r="F608" s="60">
        <f t="shared" si="254"/>
        <v>6</v>
      </c>
      <c r="G608" s="60">
        <f t="shared" si="254"/>
        <v>546</v>
      </c>
      <c r="H608" s="60">
        <f t="shared" si="254"/>
        <v>0</v>
      </c>
      <c r="I608" s="60">
        <f>SUM(I606:I607)</f>
        <v>546</v>
      </c>
      <c r="J608" s="65" t="s">
        <v>13</v>
      </c>
      <c r="K608" s="67"/>
      <c r="L608" s="55"/>
    </row>
    <row r="609" spans="1:12" ht="12.75" customHeight="1" thickBot="1" x14ac:dyDescent="0.25">
      <c r="A609" s="60">
        <f t="shared" ref="A609:I611" si="255">A594+A597+A600+A603+A606</f>
        <v>2443</v>
      </c>
      <c r="B609" s="60">
        <f t="shared" si="255"/>
        <v>1775</v>
      </c>
      <c r="C609" s="60">
        <f t="shared" si="255"/>
        <v>668</v>
      </c>
      <c r="D609" s="60">
        <f t="shared" si="255"/>
        <v>33</v>
      </c>
      <c r="E609" s="60">
        <f t="shared" si="255"/>
        <v>0</v>
      </c>
      <c r="F609" s="60">
        <f t="shared" si="255"/>
        <v>33</v>
      </c>
      <c r="G609" s="60">
        <f t="shared" si="255"/>
        <v>2410</v>
      </c>
      <c r="H609" s="60">
        <f t="shared" si="255"/>
        <v>1775</v>
      </c>
      <c r="I609" s="60">
        <f>I594+I597+I600+I603+I606</f>
        <v>635</v>
      </c>
      <c r="J609" s="65" t="s">
        <v>224</v>
      </c>
      <c r="K609" s="57"/>
      <c r="L609" s="55"/>
    </row>
    <row r="610" spans="1:12" ht="12.75" customHeight="1" thickBot="1" x14ac:dyDescent="0.25">
      <c r="A610" s="60">
        <f t="shared" si="255"/>
        <v>40</v>
      </c>
      <c r="B610" s="60">
        <f t="shared" si="255"/>
        <v>40</v>
      </c>
      <c r="C610" s="60">
        <f t="shared" si="255"/>
        <v>0</v>
      </c>
      <c r="D610" s="60">
        <f t="shared" si="255"/>
        <v>0</v>
      </c>
      <c r="E610" s="60">
        <f t="shared" si="255"/>
        <v>0</v>
      </c>
      <c r="F610" s="60">
        <f t="shared" si="255"/>
        <v>0</v>
      </c>
      <c r="G610" s="60">
        <f t="shared" si="255"/>
        <v>40</v>
      </c>
      <c r="H610" s="60">
        <f t="shared" si="255"/>
        <v>40</v>
      </c>
      <c r="I610" s="60">
        <f t="shared" si="255"/>
        <v>0</v>
      </c>
      <c r="J610" s="65" t="s">
        <v>225</v>
      </c>
      <c r="K610" s="68" t="s">
        <v>211</v>
      </c>
      <c r="L610" s="55"/>
    </row>
    <row r="611" spans="1:12" ht="12.75" customHeight="1" thickBot="1" x14ac:dyDescent="0.25">
      <c r="A611" s="60">
        <f t="shared" si="255"/>
        <v>2483</v>
      </c>
      <c r="B611" s="60">
        <f t="shared" si="255"/>
        <v>1815</v>
      </c>
      <c r="C611" s="60">
        <f t="shared" si="255"/>
        <v>668</v>
      </c>
      <c r="D611" s="60">
        <f t="shared" si="255"/>
        <v>33</v>
      </c>
      <c r="E611" s="60">
        <f t="shared" si="255"/>
        <v>0</v>
      </c>
      <c r="F611" s="60">
        <f t="shared" si="255"/>
        <v>33</v>
      </c>
      <c r="G611" s="60">
        <f t="shared" si="255"/>
        <v>2450</v>
      </c>
      <c r="H611" s="60">
        <f t="shared" si="255"/>
        <v>1815</v>
      </c>
      <c r="I611" s="60">
        <f t="shared" si="255"/>
        <v>635</v>
      </c>
      <c r="J611" s="65" t="s">
        <v>13</v>
      </c>
      <c r="K611" s="59"/>
      <c r="L611" s="55"/>
    </row>
    <row r="612" spans="1:12" ht="12.75" customHeight="1" x14ac:dyDescent="0.2">
      <c r="A612" s="177" t="s">
        <v>597</v>
      </c>
      <c r="B612" s="177"/>
      <c r="C612" s="177"/>
      <c r="D612" s="177"/>
      <c r="E612" s="177"/>
      <c r="F612" s="177"/>
      <c r="G612" s="177"/>
      <c r="H612" s="177"/>
      <c r="I612" s="177"/>
      <c r="J612" s="177"/>
      <c r="K612" s="177"/>
      <c r="L612" s="55"/>
    </row>
    <row r="613" spans="1:12" ht="12.75" customHeight="1" thickBot="1" x14ac:dyDescent="0.25">
      <c r="A613" s="178" t="s">
        <v>598</v>
      </c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55"/>
    </row>
    <row r="614" spans="1:12" ht="12.75" customHeight="1" thickBot="1" x14ac:dyDescent="0.25">
      <c r="A614" s="179" t="s">
        <v>5</v>
      </c>
      <c r="B614" s="179"/>
      <c r="C614" s="179"/>
      <c r="D614" s="179" t="s">
        <v>162</v>
      </c>
      <c r="E614" s="179"/>
      <c r="F614" s="179"/>
      <c r="G614" s="179" t="s">
        <v>163</v>
      </c>
      <c r="H614" s="179"/>
      <c r="I614" s="179"/>
      <c r="J614" s="179" t="s">
        <v>72</v>
      </c>
      <c r="K614" s="179"/>
      <c r="L614" s="55"/>
    </row>
    <row r="615" spans="1:12" ht="12.75" customHeight="1" thickBot="1" x14ac:dyDescent="0.25">
      <c r="A615" s="58" t="s">
        <v>216</v>
      </c>
      <c r="B615" s="58" t="s">
        <v>11</v>
      </c>
      <c r="C615" s="58" t="s">
        <v>10</v>
      </c>
      <c r="D615" s="58" t="s">
        <v>216</v>
      </c>
      <c r="E615" s="58" t="s">
        <v>11</v>
      </c>
      <c r="F615" s="58" t="s">
        <v>10</v>
      </c>
      <c r="G615" s="58" t="s">
        <v>216</v>
      </c>
      <c r="H615" s="58" t="s">
        <v>11</v>
      </c>
      <c r="I615" s="58" t="s">
        <v>10</v>
      </c>
      <c r="J615" s="180" t="s">
        <v>120</v>
      </c>
      <c r="K615" s="180"/>
      <c r="L615" s="55"/>
    </row>
    <row r="616" spans="1:12" ht="12.75" customHeight="1" thickBot="1" x14ac:dyDescent="0.25">
      <c r="A616" s="60">
        <f>SUM(B616:C616)</f>
        <v>85</v>
      </c>
      <c r="B616" s="60">
        <f>H616+E616</f>
        <v>0</v>
      </c>
      <c r="C616" s="60">
        <f>I616+F616</f>
        <v>85</v>
      </c>
      <c r="D616" s="60">
        <f>SUM(E616:F616)</f>
        <v>12</v>
      </c>
      <c r="E616" s="60">
        <v>0</v>
      </c>
      <c r="F616" s="60">
        <v>12</v>
      </c>
      <c r="G616" s="60">
        <f>SUM(H616:I616)</f>
        <v>73</v>
      </c>
      <c r="H616" s="60">
        <v>0</v>
      </c>
      <c r="I616" s="60">
        <f>23+50</f>
        <v>73</v>
      </c>
      <c r="J616" s="65" t="s">
        <v>221</v>
      </c>
      <c r="K616" s="66"/>
      <c r="L616" s="55"/>
    </row>
    <row r="617" spans="1:12" ht="12.75" customHeight="1" thickBot="1" x14ac:dyDescent="0.25">
      <c r="A617" s="60">
        <f t="shared" ref="A617:A629" si="256">SUM(B617:C617)</f>
        <v>0</v>
      </c>
      <c r="B617" s="60">
        <f t="shared" ref="B617:C629" si="257">H617+E617</f>
        <v>0</v>
      </c>
      <c r="C617" s="60">
        <f t="shared" si="257"/>
        <v>0</v>
      </c>
      <c r="D617" s="60">
        <f t="shared" ref="D617:D629" si="258">SUM(E617:F617)</f>
        <v>0</v>
      </c>
      <c r="E617" s="60">
        <v>0</v>
      </c>
      <c r="F617" s="60">
        <v>0</v>
      </c>
      <c r="G617" s="60">
        <f t="shared" ref="G617:G629" si="259">SUM(H617:I617)</f>
        <v>0</v>
      </c>
      <c r="H617" s="60">
        <v>0</v>
      </c>
      <c r="I617" s="60">
        <v>0</v>
      </c>
      <c r="J617" s="65" t="s">
        <v>222</v>
      </c>
      <c r="K617" s="66" t="s">
        <v>359</v>
      </c>
      <c r="L617" s="55"/>
    </row>
    <row r="618" spans="1:12" ht="12.75" customHeight="1" thickBot="1" x14ac:dyDescent="0.25">
      <c r="A618" s="60">
        <f t="shared" ref="A618:H618" si="260">SUM(A616:A617)</f>
        <v>85</v>
      </c>
      <c r="B618" s="60">
        <f t="shared" si="260"/>
        <v>0</v>
      </c>
      <c r="C618" s="60">
        <f t="shared" si="260"/>
        <v>85</v>
      </c>
      <c r="D618" s="60">
        <f t="shared" si="260"/>
        <v>12</v>
      </c>
      <c r="E618" s="60">
        <f t="shared" si="260"/>
        <v>0</v>
      </c>
      <c r="F618" s="60">
        <f t="shared" si="260"/>
        <v>12</v>
      </c>
      <c r="G618" s="60">
        <f t="shared" si="260"/>
        <v>73</v>
      </c>
      <c r="H618" s="60">
        <f t="shared" si="260"/>
        <v>0</v>
      </c>
      <c r="I618" s="60">
        <f>SUM(I616:I617)</f>
        <v>73</v>
      </c>
      <c r="J618" s="65" t="s">
        <v>13</v>
      </c>
      <c r="K618" s="67"/>
      <c r="L618" s="55"/>
    </row>
    <row r="619" spans="1:12" ht="12.75" customHeight="1" thickBot="1" x14ac:dyDescent="0.25">
      <c r="A619" s="60">
        <f t="shared" si="256"/>
        <v>258</v>
      </c>
      <c r="B619" s="60">
        <f t="shared" si="257"/>
        <v>258</v>
      </c>
      <c r="C619" s="60">
        <f t="shared" si="257"/>
        <v>0</v>
      </c>
      <c r="D619" s="60">
        <f t="shared" si="258"/>
        <v>0</v>
      </c>
      <c r="E619" s="60">
        <v>0</v>
      </c>
      <c r="F619" s="60">
        <v>0</v>
      </c>
      <c r="G619" s="60">
        <f t="shared" si="259"/>
        <v>258</v>
      </c>
      <c r="H619" s="60">
        <f>158+100</f>
        <v>258</v>
      </c>
      <c r="I619" s="60">
        <v>0</v>
      </c>
      <c r="J619" s="65" t="s">
        <v>221</v>
      </c>
      <c r="K619" s="66"/>
      <c r="L619" s="55"/>
    </row>
    <row r="620" spans="1:12" ht="12.75" customHeight="1" thickBot="1" x14ac:dyDescent="0.25">
      <c r="A620" s="60">
        <f t="shared" si="256"/>
        <v>2</v>
      </c>
      <c r="B620" s="60">
        <f t="shared" si="257"/>
        <v>2</v>
      </c>
      <c r="C620" s="60">
        <f t="shared" si="257"/>
        <v>0</v>
      </c>
      <c r="D620" s="60">
        <f t="shared" si="258"/>
        <v>0</v>
      </c>
      <c r="E620" s="60">
        <v>0</v>
      </c>
      <c r="F620" s="60">
        <v>0</v>
      </c>
      <c r="G620" s="60">
        <f t="shared" si="259"/>
        <v>2</v>
      </c>
      <c r="H620" s="60">
        <v>2</v>
      </c>
      <c r="I620" s="60">
        <v>0</v>
      </c>
      <c r="J620" s="65" t="s">
        <v>222</v>
      </c>
      <c r="K620" s="66" t="s">
        <v>487</v>
      </c>
      <c r="L620" s="55"/>
    </row>
    <row r="621" spans="1:12" ht="12.75" customHeight="1" thickBot="1" x14ac:dyDescent="0.25">
      <c r="A621" s="60">
        <f t="shared" ref="A621:H621" si="261">SUM(A619:A620)</f>
        <v>260</v>
      </c>
      <c r="B621" s="60">
        <f t="shared" si="261"/>
        <v>260</v>
      </c>
      <c r="C621" s="60">
        <f t="shared" si="261"/>
        <v>0</v>
      </c>
      <c r="D621" s="60">
        <f t="shared" si="261"/>
        <v>0</v>
      </c>
      <c r="E621" s="60">
        <f t="shared" si="261"/>
        <v>0</v>
      </c>
      <c r="F621" s="60">
        <f t="shared" si="261"/>
        <v>0</v>
      </c>
      <c r="G621" s="60">
        <f t="shared" si="261"/>
        <v>260</v>
      </c>
      <c r="H621" s="60">
        <f t="shared" si="261"/>
        <v>260</v>
      </c>
      <c r="I621" s="60">
        <f>SUM(I619:I620)</f>
        <v>0</v>
      </c>
      <c r="J621" s="65" t="s">
        <v>13</v>
      </c>
      <c r="K621" s="67"/>
      <c r="L621" s="55"/>
    </row>
    <row r="622" spans="1:12" ht="12.75" customHeight="1" thickBot="1" x14ac:dyDescent="0.25">
      <c r="A622" s="60">
        <f t="shared" si="256"/>
        <v>455</v>
      </c>
      <c r="B622" s="60">
        <f t="shared" si="257"/>
        <v>455</v>
      </c>
      <c r="C622" s="60">
        <f t="shared" si="257"/>
        <v>0</v>
      </c>
      <c r="D622" s="60">
        <f t="shared" si="258"/>
        <v>0</v>
      </c>
      <c r="E622" s="60">
        <v>0</v>
      </c>
      <c r="F622" s="60">
        <v>0</v>
      </c>
      <c r="G622" s="60">
        <f t="shared" si="259"/>
        <v>455</v>
      </c>
      <c r="H622" s="60">
        <f>398+103-46</f>
        <v>455</v>
      </c>
      <c r="I622" s="60">
        <v>0</v>
      </c>
      <c r="J622" s="65" t="s">
        <v>221</v>
      </c>
      <c r="K622" s="66"/>
      <c r="L622" s="55"/>
    </row>
    <row r="623" spans="1:12" ht="12.75" customHeight="1" thickBot="1" x14ac:dyDescent="0.25">
      <c r="A623" s="60">
        <f t="shared" si="256"/>
        <v>10</v>
      </c>
      <c r="B623" s="60">
        <f t="shared" si="257"/>
        <v>10</v>
      </c>
      <c r="C623" s="60">
        <f t="shared" si="257"/>
        <v>0</v>
      </c>
      <c r="D623" s="60">
        <f t="shared" si="258"/>
        <v>0</v>
      </c>
      <c r="E623" s="60">
        <v>0</v>
      </c>
      <c r="F623" s="60">
        <v>0</v>
      </c>
      <c r="G623" s="60">
        <f t="shared" si="259"/>
        <v>10</v>
      </c>
      <c r="H623" s="60">
        <v>10</v>
      </c>
      <c r="I623" s="60">
        <v>0</v>
      </c>
      <c r="J623" s="65" t="s">
        <v>222</v>
      </c>
      <c r="K623" s="66" t="s">
        <v>488</v>
      </c>
      <c r="L623" s="55"/>
    </row>
    <row r="624" spans="1:12" ht="12.75" customHeight="1" thickBot="1" x14ac:dyDescent="0.25">
      <c r="A624" s="60">
        <f t="shared" ref="A624:H624" si="262">SUM(A622:A623)</f>
        <v>465</v>
      </c>
      <c r="B624" s="60">
        <f t="shared" si="262"/>
        <v>465</v>
      </c>
      <c r="C624" s="60">
        <f t="shared" si="262"/>
        <v>0</v>
      </c>
      <c r="D624" s="60">
        <f t="shared" si="262"/>
        <v>0</v>
      </c>
      <c r="E624" s="60">
        <f t="shared" si="262"/>
        <v>0</v>
      </c>
      <c r="F624" s="60">
        <f t="shared" si="262"/>
        <v>0</v>
      </c>
      <c r="G624" s="60">
        <f t="shared" si="262"/>
        <v>465</v>
      </c>
      <c r="H624" s="60">
        <f t="shared" si="262"/>
        <v>465</v>
      </c>
      <c r="I624" s="60">
        <f>SUM(I622:I623)</f>
        <v>0</v>
      </c>
      <c r="J624" s="65" t="s">
        <v>13</v>
      </c>
      <c r="K624" s="67"/>
      <c r="L624" s="55"/>
    </row>
    <row r="625" spans="1:12" ht="12.75" customHeight="1" thickBot="1" x14ac:dyDescent="0.25">
      <c r="A625" s="60">
        <f t="shared" si="256"/>
        <v>291</v>
      </c>
      <c r="B625" s="60">
        <f t="shared" si="257"/>
        <v>0</v>
      </c>
      <c r="C625" s="60">
        <f t="shared" si="257"/>
        <v>291</v>
      </c>
      <c r="D625" s="60">
        <f t="shared" si="258"/>
        <v>0</v>
      </c>
      <c r="E625" s="60">
        <v>0</v>
      </c>
      <c r="F625" s="60">
        <v>0</v>
      </c>
      <c r="G625" s="60">
        <f t="shared" si="259"/>
        <v>291</v>
      </c>
      <c r="H625" s="60">
        <v>0</v>
      </c>
      <c r="I625" s="60">
        <f>387+154-99-151</f>
        <v>291</v>
      </c>
      <c r="J625" s="65" t="s">
        <v>221</v>
      </c>
      <c r="K625" s="66"/>
      <c r="L625" s="55"/>
    </row>
    <row r="626" spans="1:12" ht="12.75" customHeight="1" thickBot="1" x14ac:dyDescent="0.25">
      <c r="A626" s="60">
        <f t="shared" si="256"/>
        <v>0</v>
      </c>
      <c r="B626" s="60">
        <f t="shared" si="257"/>
        <v>0</v>
      </c>
      <c r="C626" s="60">
        <f t="shared" si="257"/>
        <v>0</v>
      </c>
      <c r="D626" s="60">
        <f t="shared" si="258"/>
        <v>0</v>
      </c>
      <c r="E626" s="60">
        <v>0</v>
      </c>
      <c r="F626" s="60">
        <v>0</v>
      </c>
      <c r="G626" s="60">
        <f t="shared" si="259"/>
        <v>0</v>
      </c>
      <c r="H626" s="60">
        <v>0</v>
      </c>
      <c r="I626" s="60">
        <v>0</v>
      </c>
      <c r="J626" s="65" t="s">
        <v>222</v>
      </c>
      <c r="K626" s="66" t="s">
        <v>270</v>
      </c>
      <c r="L626" s="55"/>
    </row>
    <row r="627" spans="1:12" ht="12.75" customHeight="1" thickBot="1" x14ac:dyDescent="0.25">
      <c r="A627" s="60">
        <f t="shared" ref="A627:H627" si="263">SUM(A625:A626)</f>
        <v>291</v>
      </c>
      <c r="B627" s="60">
        <f t="shared" si="263"/>
        <v>0</v>
      </c>
      <c r="C627" s="60">
        <f t="shared" si="263"/>
        <v>291</v>
      </c>
      <c r="D627" s="60">
        <f t="shared" si="263"/>
        <v>0</v>
      </c>
      <c r="E627" s="60">
        <f t="shared" si="263"/>
        <v>0</v>
      </c>
      <c r="F627" s="60">
        <f t="shared" si="263"/>
        <v>0</v>
      </c>
      <c r="G627" s="60">
        <f t="shared" si="263"/>
        <v>291</v>
      </c>
      <c r="H627" s="60">
        <f t="shared" si="263"/>
        <v>0</v>
      </c>
      <c r="I627" s="60">
        <f>SUM(I625:I626)</f>
        <v>291</v>
      </c>
      <c r="J627" s="65" t="s">
        <v>13</v>
      </c>
      <c r="K627" s="67"/>
      <c r="L627" s="55"/>
    </row>
    <row r="628" spans="1:12" ht="12.75" customHeight="1" thickBot="1" x14ac:dyDescent="0.25">
      <c r="A628" s="60">
        <f t="shared" si="256"/>
        <v>488</v>
      </c>
      <c r="B628" s="60">
        <f t="shared" si="257"/>
        <v>488</v>
      </c>
      <c r="C628" s="60">
        <f t="shared" si="257"/>
        <v>0</v>
      </c>
      <c r="D628" s="60">
        <f t="shared" si="258"/>
        <v>41</v>
      </c>
      <c r="E628" s="60">
        <v>41</v>
      </c>
      <c r="F628" s="60">
        <v>0</v>
      </c>
      <c r="G628" s="60">
        <f t="shared" si="259"/>
        <v>447</v>
      </c>
      <c r="H628" s="60">
        <f>496-49</f>
        <v>447</v>
      </c>
      <c r="I628" s="60">
        <v>0</v>
      </c>
      <c r="J628" s="65" t="s">
        <v>221</v>
      </c>
      <c r="K628" s="66"/>
      <c r="L628" s="55"/>
    </row>
    <row r="629" spans="1:12" ht="12.75" customHeight="1" thickBot="1" x14ac:dyDescent="0.25">
      <c r="A629" s="60">
        <f t="shared" si="256"/>
        <v>6</v>
      </c>
      <c r="B629" s="60">
        <f t="shared" si="257"/>
        <v>6</v>
      </c>
      <c r="C629" s="60">
        <f t="shared" si="257"/>
        <v>0</v>
      </c>
      <c r="D629" s="60">
        <f t="shared" si="258"/>
        <v>0</v>
      </c>
      <c r="E629" s="60">
        <v>0</v>
      </c>
      <c r="F629" s="60">
        <v>0</v>
      </c>
      <c r="G629" s="60">
        <f t="shared" si="259"/>
        <v>6</v>
      </c>
      <c r="H629" s="60">
        <v>6</v>
      </c>
      <c r="I629" s="60">
        <v>0</v>
      </c>
      <c r="J629" s="65" t="s">
        <v>222</v>
      </c>
      <c r="K629" s="66" t="s">
        <v>489</v>
      </c>
      <c r="L629" s="55"/>
    </row>
    <row r="630" spans="1:12" ht="12.75" customHeight="1" thickBot="1" x14ac:dyDescent="0.25">
      <c r="A630" s="60">
        <f t="shared" ref="A630:H630" si="264">SUM(A628:A629)</f>
        <v>494</v>
      </c>
      <c r="B630" s="60">
        <f t="shared" si="264"/>
        <v>494</v>
      </c>
      <c r="C630" s="60">
        <f t="shared" si="264"/>
        <v>0</v>
      </c>
      <c r="D630" s="60">
        <f t="shared" si="264"/>
        <v>41</v>
      </c>
      <c r="E630" s="60">
        <f t="shared" si="264"/>
        <v>41</v>
      </c>
      <c r="F630" s="60">
        <f t="shared" si="264"/>
        <v>0</v>
      </c>
      <c r="G630" s="60">
        <f t="shared" si="264"/>
        <v>453</v>
      </c>
      <c r="H630" s="60">
        <f t="shared" si="264"/>
        <v>453</v>
      </c>
      <c r="I630" s="60">
        <f>SUM(I628:I629)</f>
        <v>0</v>
      </c>
      <c r="J630" s="65" t="s">
        <v>13</v>
      </c>
      <c r="K630" s="67"/>
      <c r="L630" s="55"/>
    </row>
    <row r="631" spans="1:12" ht="12.75" customHeight="1" thickBot="1" x14ac:dyDescent="0.25">
      <c r="A631" s="60">
        <f t="shared" ref="A631:I633" si="265">A616+A619+A622+A625+A628</f>
        <v>1577</v>
      </c>
      <c r="B631" s="60">
        <f t="shared" si="265"/>
        <v>1201</v>
      </c>
      <c r="C631" s="60">
        <f t="shared" si="265"/>
        <v>376</v>
      </c>
      <c r="D631" s="60">
        <f t="shared" si="265"/>
        <v>53</v>
      </c>
      <c r="E631" s="60">
        <f t="shared" si="265"/>
        <v>41</v>
      </c>
      <c r="F631" s="60">
        <f t="shared" si="265"/>
        <v>12</v>
      </c>
      <c r="G631" s="60">
        <f t="shared" si="265"/>
        <v>1524</v>
      </c>
      <c r="H631" s="60">
        <f t="shared" si="265"/>
        <v>1160</v>
      </c>
      <c r="I631" s="60">
        <f>I616+I619+I622+I625+I628</f>
        <v>364</v>
      </c>
      <c r="J631" s="65" t="s">
        <v>224</v>
      </c>
      <c r="K631" s="57"/>
      <c r="L631" s="55"/>
    </row>
    <row r="632" spans="1:12" ht="12.75" customHeight="1" thickBot="1" x14ac:dyDescent="0.25">
      <c r="A632" s="60">
        <f t="shared" si="265"/>
        <v>18</v>
      </c>
      <c r="B632" s="60">
        <f t="shared" si="265"/>
        <v>18</v>
      </c>
      <c r="C632" s="60">
        <f t="shared" si="265"/>
        <v>0</v>
      </c>
      <c r="D632" s="60">
        <f t="shared" si="265"/>
        <v>0</v>
      </c>
      <c r="E632" s="60">
        <f t="shared" si="265"/>
        <v>0</v>
      </c>
      <c r="F632" s="60">
        <f t="shared" si="265"/>
        <v>0</v>
      </c>
      <c r="G632" s="60">
        <f t="shared" si="265"/>
        <v>18</v>
      </c>
      <c r="H632" s="60">
        <f t="shared" si="265"/>
        <v>18</v>
      </c>
      <c r="I632" s="60">
        <f t="shared" si="265"/>
        <v>0</v>
      </c>
      <c r="J632" s="65" t="s">
        <v>225</v>
      </c>
      <c r="K632" s="68" t="s">
        <v>211</v>
      </c>
      <c r="L632" s="55"/>
    </row>
    <row r="633" spans="1:12" ht="12.75" customHeight="1" thickBot="1" x14ac:dyDescent="0.25">
      <c r="A633" s="60">
        <f t="shared" si="265"/>
        <v>1595</v>
      </c>
      <c r="B633" s="60">
        <f t="shared" si="265"/>
        <v>1219</v>
      </c>
      <c r="C633" s="60">
        <f t="shared" si="265"/>
        <v>376</v>
      </c>
      <c r="D633" s="60">
        <f t="shared" si="265"/>
        <v>53</v>
      </c>
      <c r="E633" s="60">
        <f t="shared" si="265"/>
        <v>41</v>
      </c>
      <c r="F633" s="60">
        <f t="shared" si="265"/>
        <v>12</v>
      </c>
      <c r="G633" s="60">
        <f t="shared" si="265"/>
        <v>1542</v>
      </c>
      <c r="H633" s="60">
        <f t="shared" si="265"/>
        <v>1178</v>
      </c>
      <c r="I633" s="60">
        <f t="shared" si="265"/>
        <v>364</v>
      </c>
      <c r="J633" s="65" t="s">
        <v>13</v>
      </c>
      <c r="K633" s="59"/>
      <c r="L633" s="55"/>
    </row>
    <row r="634" spans="1:12" ht="12.75" customHeight="1" x14ac:dyDescent="0.2">
      <c r="A634" s="177" t="s">
        <v>597</v>
      </c>
      <c r="B634" s="177"/>
      <c r="C634" s="177"/>
      <c r="D634" s="177"/>
      <c r="E634" s="177"/>
      <c r="F634" s="177"/>
      <c r="G634" s="177"/>
      <c r="H634" s="177"/>
      <c r="I634" s="177"/>
      <c r="J634" s="177"/>
      <c r="K634" s="177"/>
      <c r="L634" s="55"/>
    </row>
    <row r="635" spans="1:12" ht="12.75" customHeight="1" thickBot="1" x14ac:dyDescent="0.25">
      <c r="A635" s="178" t="s">
        <v>598</v>
      </c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55"/>
    </row>
    <row r="636" spans="1:12" ht="12.75" customHeight="1" thickBot="1" x14ac:dyDescent="0.25">
      <c r="A636" s="179" t="s">
        <v>5</v>
      </c>
      <c r="B636" s="179"/>
      <c r="C636" s="179"/>
      <c r="D636" s="179" t="s">
        <v>162</v>
      </c>
      <c r="E636" s="179"/>
      <c r="F636" s="179"/>
      <c r="G636" s="179" t="s">
        <v>163</v>
      </c>
      <c r="H636" s="179"/>
      <c r="I636" s="179"/>
      <c r="J636" s="179" t="s">
        <v>72</v>
      </c>
      <c r="K636" s="179"/>
      <c r="L636" s="55"/>
    </row>
    <row r="637" spans="1:12" ht="12.75" customHeight="1" thickBot="1" x14ac:dyDescent="0.25">
      <c r="A637" s="58" t="s">
        <v>216</v>
      </c>
      <c r="B637" s="58" t="s">
        <v>11</v>
      </c>
      <c r="C637" s="58" t="s">
        <v>10</v>
      </c>
      <c r="D637" s="58" t="s">
        <v>216</v>
      </c>
      <c r="E637" s="58" t="s">
        <v>11</v>
      </c>
      <c r="F637" s="58" t="s">
        <v>10</v>
      </c>
      <c r="G637" s="58" t="s">
        <v>216</v>
      </c>
      <c r="H637" s="58" t="s">
        <v>11</v>
      </c>
      <c r="I637" s="58" t="s">
        <v>10</v>
      </c>
      <c r="J637" s="180" t="s">
        <v>124</v>
      </c>
      <c r="K637" s="180"/>
      <c r="L637" s="55"/>
    </row>
    <row r="638" spans="1:12" ht="12.75" customHeight="1" thickBot="1" x14ac:dyDescent="0.25">
      <c r="A638" s="60">
        <f>SUM(B638:C638)</f>
        <v>878</v>
      </c>
      <c r="B638" s="60">
        <f>H638+E638</f>
        <v>878</v>
      </c>
      <c r="C638" s="60">
        <f>I638+F638</f>
        <v>0</v>
      </c>
      <c r="D638" s="60">
        <f>SUM(E638:F638)</f>
        <v>1</v>
      </c>
      <c r="E638" s="60">
        <v>1</v>
      </c>
      <c r="F638" s="60">
        <v>0</v>
      </c>
      <c r="G638" s="60">
        <f>SUM(H638:I638)</f>
        <v>877</v>
      </c>
      <c r="H638" s="60">
        <f>777+100</f>
        <v>877</v>
      </c>
      <c r="I638" s="60">
        <v>0</v>
      </c>
      <c r="J638" s="65" t="s">
        <v>221</v>
      </c>
      <c r="K638" s="66"/>
      <c r="L638" s="55"/>
    </row>
    <row r="639" spans="1:12" ht="12.75" customHeight="1" thickBot="1" x14ac:dyDescent="0.25">
      <c r="A639" s="60">
        <f t="shared" ref="A639:A648" si="266">SUM(B639:C639)</f>
        <v>0</v>
      </c>
      <c r="B639" s="60">
        <f t="shared" ref="B639:C648" si="267">H639+E639</f>
        <v>0</v>
      </c>
      <c r="C639" s="60">
        <f t="shared" si="267"/>
        <v>0</v>
      </c>
      <c r="D639" s="60">
        <f t="shared" ref="D639:D648" si="268">SUM(E639:F639)</f>
        <v>0</v>
      </c>
      <c r="E639" s="60">
        <v>0</v>
      </c>
      <c r="F639" s="60">
        <v>0</v>
      </c>
      <c r="G639" s="60">
        <f t="shared" ref="G639:G648" si="269">SUM(H639:I639)</f>
        <v>0</v>
      </c>
      <c r="H639" s="60">
        <v>0</v>
      </c>
      <c r="I639" s="60">
        <v>0</v>
      </c>
      <c r="J639" s="65" t="s">
        <v>222</v>
      </c>
      <c r="K639" s="66" t="s">
        <v>491</v>
      </c>
      <c r="L639" s="55"/>
    </row>
    <row r="640" spans="1:12" ht="12.75" customHeight="1" thickBot="1" x14ac:dyDescent="0.25">
      <c r="A640" s="60">
        <f t="shared" ref="A640:H640" si="270">SUM(A638:A639)</f>
        <v>878</v>
      </c>
      <c r="B640" s="60">
        <f t="shared" si="270"/>
        <v>878</v>
      </c>
      <c r="C640" s="60">
        <f t="shared" si="270"/>
        <v>0</v>
      </c>
      <c r="D640" s="60">
        <f t="shared" si="270"/>
        <v>1</v>
      </c>
      <c r="E640" s="60">
        <f t="shared" si="270"/>
        <v>1</v>
      </c>
      <c r="F640" s="60">
        <f t="shared" si="270"/>
        <v>0</v>
      </c>
      <c r="G640" s="60">
        <f t="shared" si="270"/>
        <v>877</v>
      </c>
      <c r="H640" s="60">
        <f t="shared" si="270"/>
        <v>877</v>
      </c>
      <c r="I640" s="60">
        <f>SUM(I638:I639)</f>
        <v>0</v>
      </c>
      <c r="J640" s="65" t="s">
        <v>13</v>
      </c>
      <c r="K640" s="67"/>
      <c r="L640" s="55"/>
    </row>
    <row r="641" spans="1:12" ht="12.75" customHeight="1" thickBot="1" x14ac:dyDescent="0.25">
      <c r="A641" s="60">
        <f t="shared" si="266"/>
        <v>663</v>
      </c>
      <c r="B641" s="60">
        <f t="shared" si="267"/>
        <v>663</v>
      </c>
      <c r="C641" s="60">
        <f t="shared" si="267"/>
        <v>0</v>
      </c>
      <c r="D641" s="60">
        <f t="shared" si="268"/>
        <v>0</v>
      </c>
      <c r="E641" s="60">
        <v>0</v>
      </c>
      <c r="F641" s="60">
        <v>0</v>
      </c>
      <c r="G641" s="60">
        <f t="shared" si="269"/>
        <v>663</v>
      </c>
      <c r="H641" s="60">
        <v>663</v>
      </c>
      <c r="I641" s="60">
        <v>0</v>
      </c>
      <c r="J641" s="65" t="s">
        <v>221</v>
      </c>
      <c r="K641" s="66"/>
      <c r="L641" s="55"/>
    </row>
    <row r="642" spans="1:12" ht="12.75" customHeight="1" thickBot="1" x14ac:dyDescent="0.25">
      <c r="A642" s="60">
        <f t="shared" si="266"/>
        <v>11</v>
      </c>
      <c r="B642" s="60">
        <f t="shared" si="267"/>
        <v>11</v>
      </c>
      <c r="C642" s="60">
        <f t="shared" si="267"/>
        <v>0</v>
      </c>
      <c r="D642" s="60">
        <f t="shared" si="268"/>
        <v>0</v>
      </c>
      <c r="E642" s="60">
        <v>0</v>
      </c>
      <c r="F642" s="60">
        <v>0</v>
      </c>
      <c r="G642" s="60">
        <f t="shared" si="269"/>
        <v>11</v>
      </c>
      <c r="H642" s="60">
        <v>11</v>
      </c>
      <c r="I642" s="60">
        <v>0</v>
      </c>
      <c r="J642" s="65" t="s">
        <v>222</v>
      </c>
      <c r="K642" s="66" t="s">
        <v>492</v>
      </c>
      <c r="L642" s="55"/>
    </row>
    <row r="643" spans="1:12" ht="12.75" customHeight="1" thickBot="1" x14ac:dyDescent="0.25">
      <c r="A643" s="60">
        <f t="shared" ref="A643:H643" si="271">SUM(A641:A642)</f>
        <v>674</v>
      </c>
      <c r="B643" s="60">
        <f t="shared" si="271"/>
        <v>674</v>
      </c>
      <c r="C643" s="60">
        <f t="shared" si="271"/>
        <v>0</v>
      </c>
      <c r="D643" s="60">
        <f t="shared" si="271"/>
        <v>0</v>
      </c>
      <c r="E643" s="60">
        <f t="shared" si="271"/>
        <v>0</v>
      </c>
      <c r="F643" s="60">
        <f t="shared" si="271"/>
        <v>0</v>
      </c>
      <c r="G643" s="60">
        <f t="shared" si="271"/>
        <v>674</v>
      </c>
      <c r="H643" s="60">
        <f t="shared" si="271"/>
        <v>674</v>
      </c>
      <c r="I643" s="60">
        <f>SUM(I641:I642)</f>
        <v>0</v>
      </c>
      <c r="J643" s="65" t="s">
        <v>13</v>
      </c>
      <c r="K643" s="67"/>
      <c r="L643" s="55"/>
    </row>
    <row r="644" spans="1:12" ht="12.75" customHeight="1" thickBot="1" x14ac:dyDescent="0.25">
      <c r="A644" s="60">
        <f t="shared" si="266"/>
        <v>531</v>
      </c>
      <c r="B644" s="60">
        <f t="shared" si="267"/>
        <v>0</v>
      </c>
      <c r="C644" s="60">
        <f t="shared" si="267"/>
        <v>531</v>
      </c>
      <c r="D644" s="60">
        <f t="shared" si="268"/>
        <v>409</v>
      </c>
      <c r="E644" s="60">
        <v>0</v>
      </c>
      <c r="F644" s="60">
        <v>409</v>
      </c>
      <c r="G644" s="60">
        <f t="shared" si="269"/>
        <v>122</v>
      </c>
      <c r="H644" s="60">
        <v>0</v>
      </c>
      <c r="I644" s="60">
        <f>268+203-99-99-151</f>
        <v>122</v>
      </c>
      <c r="J644" s="65" t="s">
        <v>221</v>
      </c>
      <c r="K644" s="66"/>
      <c r="L644" s="55"/>
    </row>
    <row r="645" spans="1:12" ht="12.75" customHeight="1" thickBot="1" x14ac:dyDescent="0.25">
      <c r="A645" s="60">
        <f t="shared" si="266"/>
        <v>0</v>
      </c>
      <c r="B645" s="60">
        <f t="shared" si="267"/>
        <v>0</v>
      </c>
      <c r="C645" s="60">
        <f t="shared" si="267"/>
        <v>0</v>
      </c>
      <c r="D645" s="60">
        <f t="shared" si="268"/>
        <v>0</v>
      </c>
      <c r="E645" s="60">
        <v>0</v>
      </c>
      <c r="F645" s="60">
        <v>0</v>
      </c>
      <c r="G645" s="60">
        <f t="shared" si="269"/>
        <v>0</v>
      </c>
      <c r="H645" s="60">
        <v>0</v>
      </c>
      <c r="I645" s="60">
        <v>0</v>
      </c>
      <c r="J645" s="65" t="s">
        <v>222</v>
      </c>
      <c r="K645" s="66" t="s">
        <v>247</v>
      </c>
      <c r="L645" s="55"/>
    </row>
    <row r="646" spans="1:12" ht="12.75" customHeight="1" thickBot="1" x14ac:dyDescent="0.25">
      <c r="A646" s="60">
        <f t="shared" ref="A646" si="272">SUM(A644:A645)</f>
        <v>531</v>
      </c>
      <c r="B646" s="60">
        <f t="shared" ref="B646:H646" si="273">SUM(B644:B645)</f>
        <v>0</v>
      </c>
      <c r="C646" s="60">
        <f t="shared" si="273"/>
        <v>531</v>
      </c>
      <c r="D646" s="60">
        <f t="shared" si="273"/>
        <v>409</v>
      </c>
      <c r="E646" s="60">
        <f t="shared" si="273"/>
        <v>0</v>
      </c>
      <c r="F646" s="60">
        <f t="shared" si="273"/>
        <v>409</v>
      </c>
      <c r="G646" s="60">
        <f t="shared" si="273"/>
        <v>122</v>
      </c>
      <c r="H646" s="60">
        <f t="shared" si="273"/>
        <v>0</v>
      </c>
      <c r="I646" s="60">
        <f>SUM(I644:I645)</f>
        <v>122</v>
      </c>
      <c r="J646" s="65" t="s">
        <v>13</v>
      </c>
      <c r="K646" s="67"/>
      <c r="L646" s="55"/>
    </row>
    <row r="647" spans="1:12" ht="12.75" customHeight="1" thickBot="1" x14ac:dyDescent="0.25">
      <c r="A647" s="60">
        <f t="shared" si="266"/>
        <v>319</v>
      </c>
      <c r="B647" s="60">
        <f t="shared" si="267"/>
        <v>319</v>
      </c>
      <c r="C647" s="60">
        <f t="shared" si="267"/>
        <v>0</v>
      </c>
      <c r="D647" s="60">
        <f t="shared" si="268"/>
        <v>0</v>
      </c>
      <c r="E647" s="60">
        <v>0</v>
      </c>
      <c r="F647" s="60">
        <v>0</v>
      </c>
      <c r="G647" s="60">
        <f t="shared" si="269"/>
        <v>319</v>
      </c>
      <c r="H647" s="60">
        <f>217+102</f>
        <v>319</v>
      </c>
      <c r="I647" s="60">
        <v>0</v>
      </c>
      <c r="J647" s="65" t="s">
        <v>221</v>
      </c>
      <c r="K647" s="66"/>
      <c r="L647" s="55"/>
    </row>
    <row r="648" spans="1:12" ht="12.75" customHeight="1" thickBot="1" x14ac:dyDescent="0.25">
      <c r="A648" s="60">
        <f t="shared" si="266"/>
        <v>3</v>
      </c>
      <c r="B648" s="60">
        <f t="shared" si="267"/>
        <v>3</v>
      </c>
      <c r="C648" s="60">
        <f t="shared" si="267"/>
        <v>0</v>
      </c>
      <c r="D648" s="60">
        <f t="shared" si="268"/>
        <v>0</v>
      </c>
      <c r="E648" s="60">
        <v>0</v>
      </c>
      <c r="F648" s="60">
        <v>0</v>
      </c>
      <c r="G648" s="60">
        <f t="shared" si="269"/>
        <v>3</v>
      </c>
      <c r="H648" s="60">
        <v>3</v>
      </c>
      <c r="I648" s="60">
        <v>0</v>
      </c>
      <c r="J648" s="65" t="s">
        <v>222</v>
      </c>
      <c r="K648" s="66" t="s">
        <v>493</v>
      </c>
      <c r="L648" s="55"/>
    </row>
    <row r="649" spans="1:12" ht="12.75" customHeight="1" thickBot="1" x14ac:dyDescent="0.25">
      <c r="A649" s="60">
        <f t="shared" ref="A649:H649" si="274">SUM(A647:A648)</f>
        <v>322</v>
      </c>
      <c r="B649" s="60">
        <f t="shared" si="274"/>
        <v>322</v>
      </c>
      <c r="C649" s="60">
        <f t="shared" si="274"/>
        <v>0</v>
      </c>
      <c r="D649" s="60">
        <f t="shared" si="274"/>
        <v>0</v>
      </c>
      <c r="E649" s="60">
        <f t="shared" si="274"/>
        <v>0</v>
      </c>
      <c r="F649" s="60">
        <f t="shared" si="274"/>
        <v>0</v>
      </c>
      <c r="G649" s="60">
        <f t="shared" si="274"/>
        <v>322</v>
      </c>
      <c r="H649" s="60">
        <f t="shared" si="274"/>
        <v>322</v>
      </c>
      <c r="I649" s="60">
        <f>SUM(I647:I648)</f>
        <v>0</v>
      </c>
      <c r="J649" s="65" t="s">
        <v>13</v>
      </c>
      <c r="K649" s="67"/>
      <c r="L649" s="55"/>
    </row>
    <row r="650" spans="1:12" ht="12.75" customHeight="1" thickBot="1" x14ac:dyDescent="0.25">
      <c r="A650" s="60">
        <f t="shared" ref="A650:I652" si="275">A638+A641+A644+A647</f>
        <v>2391</v>
      </c>
      <c r="B650" s="60">
        <f t="shared" si="275"/>
        <v>1860</v>
      </c>
      <c r="C650" s="60">
        <f t="shared" si="275"/>
        <v>531</v>
      </c>
      <c r="D650" s="60">
        <f t="shared" si="275"/>
        <v>410</v>
      </c>
      <c r="E650" s="60">
        <f t="shared" si="275"/>
        <v>1</v>
      </c>
      <c r="F650" s="60">
        <f t="shared" si="275"/>
        <v>409</v>
      </c>
      <c r="G650" s="60">
        <f t="shared" si="275"/>
        <v>1981</v>
      </c>
      <c r="H650" s="60">
        <f t="shared" si="275"/>
        <v>1859</v>
      </c>
      <c r="I650" s="60">
        <f>I638+I641+I644+I647</f>
        <v>122</v>
      </c>
      <c r="J650" s="65" t="s">
        <v>224</v>
      </c>
      <c r="K650" s="57"/>
      <c r="L650" s="55"/>
    </row>
    <row r="651" spans="1:12" ht="12.75" customHeight="1" thickBot="1" x14ac:dyDescent="0.25">
      <c r="A651" s="60">
        <f t="shared" si="275"/>
        <v>14</v>
      </c>
      <c r="B651" s="60">
        <f t="shared" si="275"/>
        <v>14</v>
      </c>
      <c r="C651" s="60">
        <f t="shared" si="275"/>
        <v>0</v>
      </c>
      <c r="D651" s="60">
        <f t="shared" si="275"/>
        <v>0</v>
      </c>
      <c r="E651" s="60">
        <f t="shared" si="275"/>
        <v>0</v>
      </c>
      <c r="F651" s="60">
        <f t="shared" si="275"/>
        <v>0</v>
      </c>
      <c r="G651" s="60">
        <f t="shared" si="275"/>
        <v>14</v>
      </c>
      <c r="H651" s="60">
        <f t="shared" si="275"/>
        <v>14</v>
      </c>
      <c r="I651" s="60">
        <f t="shared" si="275"/>
        <v>0</v>
      </c>
      <c r="J651" s="65" t="s">
        <v>225</v>
      </c>
      <c r="K651" s="68" t="s">
        <v>211</v>
      </c>
      <c r="L651" s="55"/>
    </row>
    <row r="652" spans="1:12" ht="12.75" customHeight="1" thickBot="1" x14ac:dyDescent="0.25">
      <c r="A652" s="60">
        <f t="shared" si="275"/>
        <v>2405</v>
      </c>
      <c r="B652" s="60">
        <f t="shared" si="275"/>
        <v>1874</v>
      </c>
      <c r="C652" s="60">
        <f t="shared" si="275"/>
        <v>531</v>
      </c>
      <c r="D652" s="60">
        <f t="shared" si="275"/>
        <v>410</v>
      </c>
      <c r="E652" s="60">
        <f t="shared" si="275"/>
        <v>1</v>
      </c>
      <c r="F652" s="60">
        <f t="shared" si="275"/>
        <v>409</v>
      </c>
      <c r="G652" s="60">
        <f t="shared" si="275"/>
        <v>1995</v>
      </c>
      <c r="H652" s="60">
        <f t="shared" si="275"/>
        <v>1873</v>
      </c>
      <c r="I652" s="60">
        <f t="shared" si="275"/>
        <v>122</v>
      </c>
      <c r="J652" s="65" t="s">
        <v>13</v>
      </c>
      <c r="K652" s="59"/>
      <c r="L652" s="55"/>
    </row>
    <row r="653" spans="1:12" ht="12.75" customHeight="1" x14ac:dyDescent="0.2">
      <c r="A653" s="177" t="s">
        <v>597</v>
      </c>
      <c r="B653" s="177"/>
      <c r="C653" s="177"/>
      <c r="D653" s="177"/>
      <c r="E653" s="177"/>
      <c r="F653" s="177"/>
      <c r="G653" s="177"/>
      <c r="H653" s="177"/>
      <c r="I653" s="177"/>
      <c r="J653" s="177"/>
      <c r="K653" s="177"/>
      <c r="L653" s="55"/>
    </row>
    <row r="654" spans="1:12" ht="12.75" customHeight="1" thickBot="1" x14ac:dyDescent="0.25">
      <c r="A654" s="178" t="s">
        <v>598</v>
      </c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55"/>
    </row>
    <row r="655" spans="1:12" ht="12.75" customHeight="1" thickBot="1" x14ac:dyDescent="0.25">
      <c r="A655" s="179" t="s">
        <v>5</v>
      </c>
      <c r="B655" s="179"/>
      <c r="C655" s="179"/>
      <c r="D655" s="179" t="s">
        <v>162</v>
      </c>
      <c r="E655" s="179"/>
      <c r="F655" s="179"/>
      <c r="G655" s="179" t="s">
        <v>163</v>
      </c>
      <c r="H655" s="179"/>
      <c r="I655" s="179"/>
      <c r="J655" s="179" t="s">
        <v>72</v>
      </c>
      <c r="K655" s="179"/>
      <c r="L655" s="55"/>
    </row>
    <row r="656" spans="1:12" ht="12.75" customHeight="1" thickBot="1" x14ac:dyDescent="0.25">
      <c r="A656" s="58" t="s">
        <v>216</v>
      </c>
      <c r="B656" s="58" t="s">
        <v>11</v>
      </c>
      <c r="C656" s="58" t="s">
        <v>10</v>
      </c>
      <c r="D656" s="58" t="s">
        <v>216</v>
      </c>
      <c r="E656" s="58" t="s">
        <v>11</v>
      </c>
      <c r="F656" s="58" t="s">
        <v>10</v>
      </c>
      <c r="G656" s="58" t="s">
        <v>216</v>
      </c>
      <c r="H656" s="58" t="s">
        <v>11</v>
      </c>
      <c r="I656" s="58" t="s">
        <v>10</v>
      </c>
      <c r="J656" s="180" t="s">
        <v>126</v>
      </c>
      <c r="K656" s="180"/>
      <c r="L656" s="55"/>
    </row>
    <row r="657" spans="1:12" ht="12.75" customHeight="1" thickBot="1" x14ac:dyDescent="0.25">
      <c r="A657" s="60">
        <f>SUM(B657:C657)</f>
        <v>274</v>
      </c>
      <c r="B657" s="60">
        <f>H657+E657</f>
        <v>0</v>
      </c>
      <c r="C657" s="60">
        <f>I657+F657</f>
        <v>274</v>
      </c>
      <c r="D657" s="60">
        <f>SUM(E657:F657)</f>
        <v>0</v>
      </c>
      <c r="E657" s="60">
        <v>0</v>
      </c>
      <c r="F657" s="60">
        <v>0</v>
      </c>
      <c r="G657" s="60">
        <f>SUM(H657:I657)</f>
        <v>274</v>
      </c>
      <c r="H657" s="60">
        <v>0</v>
      </c>
      <c r="I657" s="60">
        <f>294+155-99-76</f>
        <v>274</v>
      </c>
      <c r="J657" s="65" t="s">
        <v>221</v>
      </c>
      <c r="K657" s="66"/>
      <c r="L657" s="55"/>
    </row>
    <row r="658" spans="1:12" ht="12.75" customHeight="1" thickBot="1" x14ac:dyDescent="0.25">
      <c r="A658" s="60">
        <f t="shared" ref="A658:A673" si="276">SUM(B658:C658)</f>
        <v>0</v>
      </c>
      <c r="B658" s="60">
        <f t="shared" ref="B658:C674" si="277">H658+E658</f>
        <v>0</v>
      </c>
      <c r="C658" s="60">
        <f t="shared" si="277"/>
        <v>0</v>
      </c>
      <c r="D658" s="60">
        <f t="shared" ref="D658:D673" si="278">SUM(E658:F658)</f>
        <v>0</v>
      </c>
      <c r="E658" s="60">
        <v>0</v>
      </c>
      <c r="F658" s="60">
        <v>0</v>
      </c>
      <c r="G658" s="60">
        <f t="shared" ref="G658:G673" si="279">SUM(H658:I658)</f>
        <v>0</v>
      </c>
      <c r="H658" s="60">
        <v>0</v>
      </c>
      <c r="I658" s="60">
        <v>0</v>
      </c>
      <c r="J658" s="65" t="s">
        <v>222</v>
      </c>
      <c r="K658" s="66" t="s">
        <v>494</v>
      </c>
      <c r="L658" s="55"/>
    </row>
    <row r="659" spans="1:12" ht="12.75" customHeight="1" thickBot="1" x14ac:dyDescent="0.25">
      <c r="A659" s="60">
        <f t="shared" ref="A659:H659" si="280">SUM(A657:A658)</f>
        <v>274</v>
      </c>
      <c r="B659" s="60">
        <f t="shared" si="277"/>
        <v>0</v>
      </c>
      <c r="C659" s="60">
        <f t="shared" si="277"/>
        <v>274</v>
      </c>
      <c r="D659" s="60">
        <f t="shared" si="280"/>
        <v>0</v>
      </c>
      <c r="E659" s="60">
        <f t="shared" si="280"/>
        <v>0</v>
      </c>
      <c r="F659" s="60">
        <f t="shared" si="280"/>
        <v>0</v>
      </c>
      <c r="G659" s="60">
        <f t="shared" si="280"/>
        <v>274</v>
      </c>
      <c r="H659" s="60">
        <f t="shared" si="280"/>
        <v>0</v>
      </c>
      <c r="I659" s="60">
        <f>SUM(I657:I658)</f>
        <v>274</v>
      </c>
      <c r="J659" s="65" t="s">
        <v>13</v>
      </c>
      <c r="K659" s="67"/>
      <c r="L659" s="55"/>
    </row>
    <row r="660" spans="1:12" ht="12.75" customHeight="1" thickBot="1" x14ac:dyDescent="0.25">
      <c r="A660" s="60">
        <f t="shared" si="276"/>
        <v>89</v>
      </c>
      <c r="B660" s="60">
        <f t="shared" si="277"/>
        <v>0</v>
      </c>
      <c r="C660" s="60">
        <f t="shared" si="277"/>
        <v>89</v>
      </c>
      <c r="D660" s="60">
        <f t="shared" si="278"/>
        <v>0</v>
      </c>
      <c r="E660" s="60">
        <v>0</v>
      </c>
      <c r="F660" s="60">
        <v>0</v>
      </c>
      <c r="G660" s="60">
        <f t="shared" si="279"/>
        <v>89</v>
      </c>
      <c r="H660" s="60">
        <v>0</v>
      </c>
      <c r="I660" s="60">
        <f>114+50-75</f>
        <v>89</v>
      </c>
      <c r="J660" s="65" t="s">
        <v>221</v>
      </c>
      <c r="K660" s="66"/>
      <c r="L660" s="55"/>
    </row>
    <row r="661" spans="1:12" ht="12.75" customHeight="1" thickBot="1" x14ac:dyDescent="0.25">
      <c r="A661" s="60">
        <f t="shared" si="276"/>
        <v>0</v>
      </c>
      <c r="B661" s="60">
        <f t="shared" si="277"/>
        <v>0</v>
      </c>
      <c r="C661" s="60">
        <f t="shared" si="277"/>
        <v>0</v>
      </c>
      <c r="D661" s="60">
        <f t="shared" si="278"/>
        <v>0</v>
      </c>
      <c r="E661" s="60">
        <v>0</v>
      </c>
      <c r="F661" s="60">
        <v>0</v>
      </c>
      <c r="G661" s="60">
        <f t="shared" si="279"/>
        <v>0</v>
      </c>
      <c r="H661" s="60">
        <v>0</v>
      </c>
      <c r="I661" s="60">
        <v>0</v>
      </c>
      <c r="J661" s="65" t="s">
        <v>222</v>
      </c>
      <c r="K661" s="66" t="s">
        <v>264</v>
      </c>
      <c r="L661" s="55"/>
    </row>
    <row r="662" spans="1:12" ht="12.75" customHeight="1" thickBot="1" x14ac:dyDescent="0.25">
      <c r="A662" s="60">
        <f t="shared" ref="A662" si="281">SUM(A660:A661)</f>
        <v>89</v>
      </c>
      <c r="B662" s="60">
        <f t="shared" si="277"/>
        <v>0</v>
      </c>
      <c r="C662" s="60">
        <f t="shared" si="277"/>
        <v>89</v>
      </c>
      <c r="D662" s="60">
        <f t="shared" ref="D662:H662" si="282">SUM(D660:D661)</f>
        <v>0</v>
      </c>
      <c r="E662" s="60">
        <f t="shared" si="282"/>
        <v>0</v>
      </c>
      <c r="F662" s="60">
        <f t="shared" si="282"/>
        <v>0</v>
      </c>
      <c r="G662" s="60">
        <f t="shared" si="282"/>
        <v>89</v>
      </c>
      <c r="H662" s="60">
        <f t="shared" si="282"/>
        <v>0</v>
      </c>
      <c r="I662" s="60">
        <f>SUM(I660:I661)</f>
        <v>89</v>
      </c>
      <c r="J662" s="65" t="s">
        <v>13</v>
      </c>
      <c r="K662" s="67"/>
      <c r="L662" s="55"/>
    </row>
    <row r="663" spans="1:12" ht="12.75" customHeight="1" thickBot="1" x14ac:dyDescent="0.25">
      <c r="A663" s="60">
        <f t="shared" si="276"/>
        <v>457</v>
      </c>
      <c r="B663" s="60">
        <f t="shared" si="277"/>
        <v>457</v>
      </c>
      <c r="C663" s="60">
        <f t="shared" si="277"/>
        <v>0</v>
      </c>
      <c r="D663" s="60">
        <f t="shared" si="278"/>
        <v>0</v>
      </c>
      <c r="E663" s="60">
        <v>0</v>
      </c>
      <c r="F663" s="60">
        <v>0</v>
      </c>
      <c r="G663" s="60">
        <f t="shared" si="279"/>
        <v>457</v>
      </c>
      <c r="H663" s="60">
        <f>481-24</f>
        <v>457</v>
      </c>
      <c r="I663" s="60">
        <v>0</v>
      </c>
      <c r="J663" s="65" t="s">
        <v>221</v>
      </c>
      <c r="K663" s="66"/>
      <c r="L663" s="55"/>
    </row>
    <row r="664" spans="1:12" ht="12.75" customHeight="1" thickBot="1" x14ac:dyDescent="0.25">
      <c r="A664" s="60">
        <f t="shared" si="276"/>
        <v>0</v>
      </c>
      <c r="B664" s="60">
        <f t="shared" si="277"/>
        <v>0</v>
      </c>
      <c r="C664" s="60">
        <f t="shared" si="277"/>
        <v>0</v>
      </c>
      <c r="D664" s="60">
        <f t="shared" si="278"/>
        <v>0</v>
      </c>
      <c r="E664" s="60">
        <v>0</v>
      </c>
      <c r="F664" s="60">
        <v>0</v>
      </c>
      <c r="G664" s="60">
        <f t="shared" si="279"/>
        <v>0</v>
      </c>
      <c r="H664" s="60">
        <v>0</v>
      </c>
      <c r="I664" s="60">
        <v>0</v>
      </c>
      <c r="J664" s="65" t="s">
        <v>222</v>
      </c>
      <c r="K664" s="66" t="s">
        <v>495</v>
      </c>
      <c r="L664" s="55"/>
    </row>
    <row r="665" spans="1:12" ht="12.75" customHeight="1" thickBot="1" x14ac:dyDescent="0.25">
      <c r="A665" s="60">
        <f t="shared" ref="A665" si="283">SUM(A663:A664)</f>
        <v>457</v>
      </c>
      <c r="B665" s="60">
        <f t="shared" si="277"/>
        <v>457</v>
      </c>
      <c r="C665" s="60">
        <f t="shared" si="277"/>
        <v>0</v>
      </c>
      <c r="D665" s="60">
        <f t="shared" ref="D665:H665" si="284">SUM(D663:D664)</f>
        <v>0</v>
      </c>
      <c r="E665" s="60">
        <f t="shared" si="284"/>
        <v>0</v>
      </c>
      <c r="F665" s="60">
        <f t="shared" si="284"/>
        <v>0</v>
      </c>
      <c r="G665" s="60">
        <f t="shared" si="284"/>
        <v>457</v>
      </c>
      <c r="H665" s="60">
        <f t="shared" si="284"/>
        <v>457</v>
      </c>
      <c r="I665" s="60">
        <f>SUM(I663:I664)</f>
        <v>0</v>
      </c>
      <c r="J665" s="65" t="s">
        <v>13</v>
      </c>
      <c r="K665" s="67"/>
      <c r="L665" s="55"/>
    </row>
    <row r="666" spans="1:12" ht="12.75" customHeight="1" thickBot="1" x14ac:dyDescent="0.25">
      <c r="A666" s="60">
        <f t="shared" si="276"/>
        <v>407</v>
      </c>
      <c r="B666" s="60">
        <f t="shared" si="277"/>
        <v>407</v>
      </c>
      <c r="C666" s="60">
        <f t="shared" si="277"/>
        <v>0</v>
      </c>
      <c r="D666" s="60">
        <f t="shared" si="278"/>
        <v>0</v>
      </c>
      <c r="E666" s="60">
        <v>0</v>
      </c>
      <c r="F666" s="60">
        <v>0</v>
      </c>
      <c r="G666" s="60">
        <f t="shared" si="279"/>
        <v>407</v>
      </c>
      <c r="H666" s="60">
        <f>252+203-24-24</f>
        <v>407</v>
      </c>
      <c r="I666" s="60">
        <v>0</v>
      </c>
      <c r="J666" s="65" t="s">
        <v>221</v>
      </c>
      <c r="K666" s="66"/>
      <c r="L666" s="55"/>
    </row>
    <row r="667" spans="1:12" ht="12.75" customHeight="1" thickBot="1" x14ac:dyDescent="0.25">
      <c r="A667" s="60">
        <f t="shared" si="276"/>
        <v>13</v>
      </c>
      <c r="B667" s="60">
        <f t="shared" si="277"/>
        <v>13</v>
      </c>
      <c r="C667" s="60">
        <f t="shared" si="277"/>
        <v>0</v>
      </c>
      <c r="D667" s="60">
        <f t="shared" si="278"/>
        <v>0</v>
      </c>
      <c r="E667" s="60">
        <v>0</v>
      </c>
      <c r="F667" s="60">
        <v>0</v>
      </c>
      <c r="G667" s="60">
        <f t="shared" si="279"/>
        <v>13</v>
      </c>
      <c r="H667" s="60">
        <v>13</v>
      </c>
      <c r="I667" s="60">
        <v>0</v>
      </c>
      <c r="J667" s="65" t="s">
        <v>222</v>
      </c>
      <c r="K667" s="66" t="s">
        <v>496</v>
      </c>
      <c r="L667" s="55"/>
    </row>
    <row r="668" spans="1:12" ht="12.75" customHeight="1" thickBot="1" x14ac:dyDescent="0.25">
      <c r="A668" s="60">
        <f t="shared" ref="A668" si="285">SUM(A666:A667)</f>
        <v>420</v>
      </c>
      <c r="B668" s="60">
        <f t="shared" si="277"/>
        <v>420</v>
      </c>
      <c r="C668" s="60">
        <f t="shared" si="277"/>
        <v>0</v>
      </c>
      <c r="D668" s="60">
        <f t="shared" ref="D668:H668" si="286">SUM(D666:D667)</f>
        <v>0</v>
      </c>
      <c r="E668" s="60">
        <f t="shared" si="286"/>
        <v>0</v>
      </c>
      <c r="F668" s="60">
        <f t="shared" si="286"/>
        <v>0</v>
      </c>
      <c r="G668" s="60">
        <f t="shared" si="286"/>
        <v>420</v>
      </c>
      <c r="H668" s="60">
        <f t="shared" si="286"/>
        <v>420</v>
      </c>
      <c r="I668" s="60">
        <f>SUM(I666:I667)</f>
        <v>0</v>
      </c>
      <c r="J668" s="65" t="s">
        <v>13</v>
      </c>
      <c r="K668" s="67"/>
      <c r="L668" s="55"/>
    </row>
    <row r="669" spans="1:12" ht="12.75" customHeight="1" thickBot="1" x14ac:dyDescent="0.25">
      <c r="A669" s="60">
        <f t="shared" si="276"/>
        <v>465</v>
      </c>
      <c r="B669" s="60">
        <f t="shared" si="277"/>
        <v>465</v>
      </c>
      <c r="C669" s="60">
        <f t="shared" si="277"/>
        <v>0</v>
      </c>
      <c r="D669" s="60">
        <f t="shared" si="278"/>
        <v>0</v>
      </c>
      <c r="E669" s="60">
        <v>0</v>
      </c>
      <c r="F669" s="60">
        <v>0</v>
      </c>
      <c r="G669" s="60">
        <f t="shared" si="279"/>
        <v>465</v>
      </c>
      <c r="H669" s="60">
        <v>465</v>
      </c>
      <c r="I669" s="60">
        <v>0</v>
      </c>
      <c r="J669" s="65" t="s">
        <v>221</v>
      </c>
      <c r="K669" s="66"/>
      <c r="L669" s="55"/>
    </row>
    <row r="670" spans="1:12" ht="12.75" customHeight="1" thickBot="1" x14ac:dyDescent="0.25">
      <c r="A670" s="60">
        <f t="shared" si="276"/>
        <v>0</v>
      </c>
      <c r="B670" s="60">
        <f t="shared" si="277"/>
        <v>0</v>
      </c>
      <c r="C670" s="60">
        <f t="shared" si="277"/>
        <v>0</v>
      </c>
      <c r="D670" s="60">
        <f t="shared" si="278"/>
        <v>0</v>
      </c>
      <c r="E670" s="60">
        <v>0</v>
      </c>
      <c r="F670" s="60">
        <v>0</v>
      </c>
      <c r="G670" s="60">
        <f t="shared" si="279"/>
        <v>0</v>
      </c>
      <c r="H670" s="60">
        <v>0</v>
      </c>
      <c r="I670" s="60">
        <v>0</v>
      </c>
      <c r="J670" s="65" t="s">
        <v>222</v>
      </c>
      <c r="K670" s="66" t="s">
        <v>497</v>
      </c>
      <c r="L670" s="55"/>
    </row>
    <row r="671" spans="1:12" ht="12.75" customHeight="1" thickBot="1" x14ac:dyDescent="0.25">
      <c r="A671" s="60">
        <f t="shared" ref="A671" si="287">SUM(A669:A670)</f>
        <v>465</v>
      </c>
      <c r="B671" s="60">
        <f t="shared" si="277"/>
        <v>465</v>
      </c>
      <c r="C671" s="60">
        <f t="shared" si="277"/>
        <v>0</v>
      </c>
      <c r="D671" s="60">
        <f t="shared" ref="D671:H671" si="288">SUM(D669:D670)</f>
        <v>0</v>
      </c>
      <c r="E671" s="60">
        <f t="shared" si="288"/>
        <v>0</v>
      </c>
      <c r="F671" s="60">
        <f t="shared" si="288"/>
        <v>0</v>
      </c>
      <c r="G671" s="60">
        <f t="shared" si="288"/>
        <v>465</v>
      </c>
      <c r="H671" s="60">
        <f t="shared" si="288"/>
        <v>465</v>
      </c>
      <c r="I671" s="60">
        <f>SUM(I669:I670)</f>
        <v>0</v>
      </c>
      <c r="J671" s="65" t="s">
        <v>13</v>
      </c>
      <c r="K671" s="67"/>
      <c r="L671" s="55"/>
    </row>
    <row r="672" spans="1:12" ht="12.75" customHeight="1" thickBot="1" x14ac:dyDescent="0.25">
      <c r="A672" s="60">
        <f t="shared" si="276"/>
        <v>448</v>
      </c>
      <c r="B672" s="60">
        <f t="shared" si="277"/>
        <v>448</v>
      </c>
      <c r="C672" s="60">
        <f t="shared" si="277"/>
        <v>0</v>
      </c>
      <c r="D672" s="60">
        <f t="shared" si="278"/>
        <v>0</v>
      </c>
      <c r="E672" s="60">
        <v>0</v>
      </c>
      <c r="F672" s="60">
        <v>0</v>
      </c>
      <c r="G672" s="60">
        <f t="shared" si="279"/>
        <v>448</v>
      </c>
      <c r="H672" s="60">
        <f>471-23</f>
        <v>448</v>
      </c>
      <c r="I672" s="60">
        <v>0</v>
      </c>
      <c r="J672" s="65" t="s">
        <v>221</v>
      </c>
      <c r="K672" s="66"/>
      <c r="L672" s="55"/>
    </row>
    <row r="673" spans="1:12" ht="12.75" customHeight="1" thickBot="1" x14ac:dyDescent="0.25">
      <c r="A673" s="60">
        <f t="shared" si="276"/>
        <v>6</v>
      </c>
      <c r="B673" s="60">
        <f t="shared" si="277"/>
        <v>6</v>
      </c>
      <c r="C673" s="60">
        <f t="shared" si="277"/>
        <v>0</v>
      </c>
      <c r="D673" s="60">
        <f t="shared" si="278"/>
        <v>0</v>
      </c>
      <c r="E673" s="60">
        <v>0</v>
      </c>
      <c r="F673" s="60">
        <v>0</v>
      </c>
      <c r="G673" s="60">
        <f t="shared" si="279"/>
        <v>6</v>
      </c>
      <c r="H673" s="60">
        <v>6</v>
      </c>
      <c r="I673" s="60">
        <v>0</v>
      </c>
      <c r="J673" s="65" t="s">
        <v>222</v>
      </c>
      <c r="K673" s="66" t="s">
        <v>498</v>
      </c>
      <c r="L673" s="55"/>
    </row>
    <row r="674" spans="1:12" ht="12.75" customHeight="1" thickBot="1" x14ac:dyDescent="0.25">
      <c r="A674" s="60">
        <f t="shared" ref="A674" si="289">SUM(A672:A673)</f>
        <v>454</v>
      </c>
      <c r="B674" s="60">
        <f t="shared" si="277"/>
        <v>454</v>
      </c>
      <c r="C674" s="60">
        <f t="shared" si="277"/>
        <v>0</v>
      </c>
      <c r="D674" s="60">
        <f t="shared" ref="D674:H674" si="290">SUM(D672:D673)</f>
        <v>0</v>
      </c>
      <c r="E674" s="60">
        <f t="shared" si="290"/>
        <v>0</v>
      </c>
      <c r="F674" s="60">
        <f t="shared" si="290"/>
        <v>0</v>
      </c>
      <c r="G674" s="60">
        <f t="shared" si="290"/>
        <v>454</v>
      </c>
      <c r="H674" s="60">
        <f t="shared" si="290"/>
        <v>454</v>
      </c>
      <c r="I674" s="60">
        <f>SUM(I672:I673)</f>
        <v>0</v>
      </c>
      <c r="J674" s="65" t="s">
        <v>13</v>
      </c>
      <c r="K674" s="67"/>
      <c r="L674" s="55"/>
    </row>
    <row r="675" spans="1:12" ht="12.75" customHeight="1" thickBot="1" x14ac:dyDescent="0.25">
      <c r="A675" s="60">
        <f t="shared" ref="A675:I677" si="291">A657+A660+A663+A666+A669+A672</f>
        <v>2140</v>
      </c>
      <c r="B675" s="60">
        <f t="shared" si="291"/>
        <v>1777</v>
      </c>
      <c r="C675" s="60">
        <f t="shared" si="291"/>
        <v>363</v>
      </c>
      <c r="D675" s="60">
        <f t="shared" si="291"/>
        <v>0</v>
      </c>
      <c r="E675" s="60">
        <f t="shared" si="291"/>
        <v>0</v>
      </c>
      <c r="F675" s="60">
        <f t="shared" si="291"/>
        <v>0</v>
      </c>
      <c r="G675" s="60">
        <f t="shared" si="291"/>
        <v>2140</v>
      </c>
      <c r="H675" s="60">
        <f t="shared" si="291"/>
        <v>1777</v>
      </c>
      <c r="I675" s="60">
        <f>I657+I660+I663+I666+I669+I672</f>
        <v>363</v>
      </c>
      <c r="J675" s="65" t="s">
        <v>224</v>
      </c>
      <c r="K675" s="57"/>
      <c r="L675" s="55"/>
    </row>
    <row r="676" spans="1:12" ht="12.75" customHeight="1" thickBot="1" x14ac:dyDescent="0.25">
      <c r="A676" s="60">
        <f t="shared" si="291"/>
        <v>19</v>
      </c>
      <c r="B676" s="60">
        <f t="shared" si="291"/>
        <v>19</v>
      </c>
      <c r="C676" s="60">
        <f t="shared" si="291"/>
        <v>0</v>
      </c>
      <c r="D676" s="60">
        <f t="shared" si="291"/>
        <v>0</v>
      </c>
      <c r="E676" s="60">
        <f t="shared" si="291"/>
        <v>0</v>
      </c>
      <c r="F676" s="60">
        <f t="shared" si="291"/>
        <v>0</v>
      </c>
      <c r="G676" s="60">
        <f t="shared" si="291"/>
        <v>19</v>
      </c>
      <c r="H676" s="60">
        <f t="shared" si="291"/>
        <v>19</v>
      </c>
      <c r="I676" s="60">
        <f t="shared" si="291"/>
        <v>0</v>
      </c>
      <c r="J676" s="65" t="s">
        <v>225</v>
      </c>
      <c r="K676" s="68" t="s">
        <v>211</v>
      </c>
      <c r="L676" s="55"/>
    </row>
    <row r="677" spans="1:12" ht="12.75" customHeight="1" thickBot="1" x14ac:dyDescent="0.25">
      <c r="A677" s="60">
        <f t="shared" si="291"/>
        <v>2159</v>
      </c>
      <c r="B677" s="60">
        <f t="shared" si="291"/>
        <v>1796</v>
      </c>
      <c r="C677" s="60">
        <f t="shared" si="291"/>
        <v>363</v>
      </c>
      <c r="D677" s="60">
        <f t="shared" si="291"/>
        <v>0</v>
      </c>
      <c r="E677" s="60">
        <f t="shared" si="291"/>
        <v>0</v>
      </c>
      <c r="F677" s="60">
        <f t="shared" si="291"/>
        <v>0</v>
      </c>
      <c r="G677" s="60">
        <f t="shared" si="291"/>
        <v>2159</v>
      </c>
      <c r="H677" s="60">
        <f t="shared" si="291"/>
        <v>1796</v>
      </c>
      <c r="I677" s="60">
        <f t="shared" si="291"/>
        <v>363</v>
      </c>
      <c r="J677" s="65" t="s">
        <v>13</v>
      </c>
      <c r="K677" s="59"/>
      <c r="L677" s="55"/>
    </row>
    <row r="678" spans="1:12" ht="12.75" customHeight="1" x14ac:dyDescent="0.2">
      <c r="A678" s="177" t="s">
        <v>597</v>
      </c>
      <c r="B678" s="177"/>
      <c r="C678" s="177"/>
      <c r="D678" s="177"/>
      <c r="E678" s="177"/>
      <c r="F678" s="177"/>
      <c r="G678" s="177"/>
      <c r="H678" s="177"/>
      <c r="I678" s="177"/>
      <c r="J678" s="177"/>
      <c r="K678" s="177"/>
      <c r="L678" s="55"/>
    </row>
    <row r="679" spans="1:12" ht="12.75" customHeight="1" thickBot="1" x14ac:dyDescent="0.25">
      <c r="A679" s="178" t="s">
        <v>598</v>
      </c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55"/>
    </row>
    <row r="680" spans="1:12" ht="12.75" customHeight="1" thickBot="1" x14ac:dyDescent="0.25">
      <c r="A680" s="179" t="s">
        <v>5</v>
      </c>
      <c r="B680" s="179"/>
      <c r="C680" s="179"/>
      <c r="D680" s="179" t="s">
        <v>162</v>
      </c>
      <c r="E680" s="179"/>
      <c r="F680" s="179"/>
      <c r="G680" s="179" t="s">
        <v>163</v>
      </c>
      <c r="H680" s="179"/>
      <c r="I680" s="179"/>
      <c r="J680" s="179" t="s">
        <v>72</v>
      </c>
      <c r="K680" s="179"/>
      <c r="L680" s="55"/>
    </row>
    <row r="681" spans="1:12" ht="12.75" customHeight="1" thickBot="1" x14ac:dyDescent="0.25">
      <c r="A681" s="58" t="s">
        <v>216</v>
      </c>
      <c r="B681" s="58" t="s">
        <v>11</v>
      </c>
      <c r="C681" s="58" t="s">
        <v>10</v>
      </c>
      <c r="D681" s="58" t="s">
        <v>216</v>
      </c>
      <c r="E681" s="58" t="s">
        <v>11</v>
      </c>
      <c r="F681" s="58" t="s">
        <v>10</v>
      </c>
      <c r="G681" s="58" t="s">
        <v>216</v>
      </c>
      <c r="H681" s="58" t="s">
        <v>11</v>
      </c>
      <c r="I681" s="58" t="s">
        <v>10</v>
      </c>
      <c r="J681" s="180" t="s">
        <v>129</v>
      </c>
      <c r="K681" s="180"/>
      <c r="L681" s="55"/>
    </row>
    <row r="682" spans="1:12" ht="12.75" customHeight="1" thickBot="1" x14ac:dyDescent="0.25">
      <c r="A682" s="60">
        <v>477</v>
      </c>
      <c r="B682" s="60">
        <v>477</v>
      </c>
      <c r="C682" s="60">
        <v>0</v>
      </c>
      <c r="D682" s="60">
        <v>4</v>
      </c>
      <c r="E682" s="60">
        <v>4</v>
      </c>
      <c r="F682" s="60">
        <v>0</v>
      </c>
      <c r="G682" s="60">
        <v>473</v>
      </c>
      <c r="H682" s="60">
        <v>473</v>
      </c>
      <c r="I682" s="60">
        <v>0</v>
      </c>
      <c r="J682" s="65" t="s">
        <v>221</v>
      </c>
      <c r="K682" s="66"/>
      <c r="L682" s="55"/>
    </row>
    <row r="683" spans="1:12" ht="12.75" customHeight="1" thickBot="1" x14ac:dyDescent="0.25">
      <c r="A683" s="60">
        <v>30</v>
      </c>
      <c r="B683" s="60">
        <v>30</v>
      </c>
      <c r="C683" s="60">
        <v>0</v>
      </c>
      <c r="D683" s="60">
        <v>3</v>
      </c>
      <c r="E683" s="60">
        <v>3</v>
      </c>
      <c r="F683" s="60">
        <v>0</v>
      </c>
      <c r="G683" s="60">
        <v>27</v>
      </c>
      <c r="H683" s="60">
        <v>27</v>
      </c>
      <c r="I683" s="60">
        <v>0</v>
      </c>
      <c r="J683" s="65" t="s">
        <v>222</v>
      </c>
      <c r="K683" s="66" t="s">
        <v>499</v>
      </c>
      <c r="L683" s="55"/>
    </row>
    <row r="684" spans="1:12" ht="12.75" customHeight="1" thickBot="1" x14ac:dyDescent="0.25">
      <c r="A684" s="60">
        <v>507</v>
      </c>
      <c r="B684" s="60">
        <v>507</v>
      </c>
      <c r="C684" s="60">
        <v>0</v>
      </c>
      <c r="D684" s="60">
        <v>7</v>
      </c>
      <c r="E684" s="60">
        <v>7</v>
      </c>
      <c r="F684" s="60">
        <v>0</v>
      </c>
      <c r="G684" s="60">
        <v>500</v>
      </c>
      <c r="H684" s="60">
        <v>500</v>
      </c>
      <c r="I684" s="60">
        <v>0</v>
      </c>
      <c r="J684" s="65" t="s">
        <v>13</v>
      </c>
      <c r="K684" s="67"/>
      <c r="L684" s="55"/>
    </row>
    <row r="685" spans="1:12" ht="12.75" customHeight="1" thickBot="1" x14ac:dyDescent="0.25">
      <c r="A685" s="60">
        <v>250</v>
      </c>
      <c r="B685" s="60">
        <v>250</v>
      </c>
      <c r="C685" s="60">
        <v>0</v>
      </c>
      <c r="D685" s="60">
        <v>0</v>
      </c>
      <c r="E685" s="60">
        <v>0</v>
      </c>
      <c r="F685" s="60">
        <v>0</v>
      </c>
      <c r="G685" s="60">
        <v>250</v>
      </c>
      <c r="H685" s="60">
        <v>250</v>
      </c>
      <c r="I685" s="60">
        <v>0</v>
      </c>
      <c r="J685" s="65" t="s">
        <v>221</v>
      </c>
      <c r="K685" s="66"/>
      <c r="L685" s="55"/>
    </row>
    <row r="686" spans="1:12" ht="12.75" customHeight="1" thickBot="1" x14ac:dyDescent="0.25">
      <c r="A686" s="60">
        <v>15</v>
      </c>
      <c r="B686" s="60">
        <v>15</v>
      </c>
      <c r="C686" s="60">
        <v>0</v>
      </c>
      <c r="D686" s="60">
        <v>0</v>
      </c>
      <c r="E686" s="60">
        <v>0</v>
      </c>
      <c r="F686" s="60">
        <v>0</v>
      </c>
      <c r="G686" s="60">
        <v>15</v>
      </c>
      <c r="H686" s="60">
        <v>15</v>
      </c>
      <c r="I686" s="60">
        <v>0</v>
      </c>
      <c r="J686" s="65" t="s">
        <v>222</v>
      </c>
      <c r="K686" s="66" t="s">
        <v>500</v>
      </c>
      <c r="L686" s="55"/>
    </row>
    <row r="687" spans="1:12" ht="12.75" customHeight="1" thickBot="1" x14ac:dyDescent="0.25">
      <c r="A687" s="60">
        <v>265</v>
      </c>
      <c r="B687" s="60">
        <v>265</v>
      </c>
      <c r="C687" s="60">
        <v>0</v>
      </c>
      <c r="D687" s="60">
        <v>0</v>
      </c>
      <c r="E687" s="60">
        <v>0</v>
      </c>
      <c r="F687" s="60">
        <v>0</v>
      </c>
      <c r="G687" s="60">
        <v>265</v>
      </c>
      <c r="H687" s="60">
        <v>265</v>
      </c>
      <c r="I687" s="60">
        <v>0</v>
      </c>
      <c r="J687" s="65" t="s">
        <v>13</v>
      </c>
      <c r="K687" s="67"/>
      <c r="L687" s="55"/>
    </row>
    <row r="688" spans="1:12" ht="12.75" customHeight="1" thickBot="1" x14ac:dyDescent="0.25">
      <c r="A688" s="60">
        <v>727</v>
      </c>
      <c r="B688" s="60">
        <v>727</v>
      </c>
      <c r="C688" s="60">
        <v>0</v>
      </c>
      <c r="D688" s="60">
        <v>4</v>
      </c>
      <c r="E688" s="60">
        <v>4</v>
      </c>
      <c r="F688" s="60">
        <v>0</v>
      </c>
      <c r="G688" s="60">
        <v>723</v>
      </c>
      <c r="H688" s="60">
        <v>723</v>
      </c>
      <c r="I688" s="60">
        <v>0</v>
      </c>
      <c r="J688" s="65" t="s">
        <v>224</v>
      </c>
      <c r="K688" s="57"/>
      <c r="L688" s="55"/>
    </row>
    <row r="689" spans="1:12" ht="12.75" customHeight="1" thickBot="1" x14ac:dyDescent="0.25">
      <c r="A689" s="60">
        <v>45</v>
      </c>
      <c r="B689" s="60">
        <v>45</v>
      </c>
      <c r="C689" s="60">
        <v>0</v>
      </c>
      <c r="D689" s="60">
        <v>3</v>
      </c>
      <c r="E689" s="60">
        <v>3</v>
      </c>
      <c r="F689" s="60">
        <v>0</v>
      </c>
      <c r="G689" s="60">
        <v>42</v>
      </c>
      <c r="H689" s="60">
        <v>42</v>
      </c>
      <c r="I689" s="60">
        <v>0</v>
      </c>
      <c r="J689" s="65" t="s">
        <v>225</v>
      </c>
      <c r="K689" s="68" t="s">
        <v>211</v>
      </c>
      <c r="L689" s="55"/>
    </row>
    <row r="690" spans="1:12" ht="12.75" customHeight="1" thickBot="1" x14ac:dyDescent="0.25">
      <c r="A690" s="60">
        <v>772</v>
      </c>
      <c r="B690" s="60">
        <v>772</v>
      </c>
      <c r="C690" s="60">
        <v>0</v>
      </c>
      <c r="D690" s="60">
        <v>7</v>
      </c>
      <c r="E690" s="60">
        <v>7</v>
      </c>
      <c r="F690" s="60">
        <v>0</v>
      </c>
      <c r="G690" s="60">
        <v>765</v>
      </c>
      <c r="H690" s="60">
        <v>765</v>
      </c>
      <c r="I690" s="60">
        <v>0</v>
      </c>
      <c r="J690" s="65" t="s">
        <v>13</v>
      </c>
      <c r="K690" s="59"/>
      <c r="L690" s="55"/>
    </row>
    <row r="691" spans="1:12" ht="12.75" customHeight="1" x14ac:dyDescent="0.2">
      <c r="A691" s="177" t="s">
        <v>597</v>
      </c>
      <c r="B691" s="177"/>
      <c r="C691" s="177"/>
      <c r="D691" s="177"/>
      <c r="E691" s="177"/>
      <c r="F691" s="177"/>
      <c r="G691" s="177"/>
      <c r="H691" s="177"/>
      <c r="I691" s="177"/>
      <c r="J691" s="177"/>
      <c r="K691" s="177"/>
      <c r="L691" s="55"/>
    </row>
    <row r="692" spans="1:12" ht="12.75" customHeight="1" thickBot="1" x14ac:dyDescent="0.25">
      <c r="A692" s="178" t="s">
        <v>598</v>
      </c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55"/>
    </row>
    <row r="693" spans="1:12" ht="12.75" customHeight="1" thickBot="1" x14ac:dyDescent="0.25">
      <c r="A693" s="179" t="s">
        <v>5</v>
      </c>
      <c r="B693" s="179"/>
      <c r="C693" s="179"/>
      <c r="D693" s="179" t="s">
        <v>162</v>
      </c>
      <c r="E693" s="179"/>
      <c r="F693" s="179"/>
      <c r="G693" s="179" t="s">
        <v>163</v>
      </c>
      <c r="H693" s="179"/>
      <c r="I693" s="179"/>
      <c r="J693" s="179" t="s">
        <v>72</v>
      </c>
      <c r="K693" s="179"/>
      <c r="L693" s="55"/>
    </row>
    <row r="694" spans="1:12" ht="12.75" customHeight="1" thickBot="1" x14ac:dyDescent="0.25">
      <c r="A694" s="58" t="s">
        <v>216</v>
      </c>
      <c r="B694" s="58" t="s">
        <v>11</v>
      </c>
      <c r="C694" s="58" t="s">
        <v>10</v>
      </c>
      <c r="D694" s="58" t="s">
        <v>216</v>
      </c>
      <c r="E694" s="58" t="s">
        <v>11</v>
      </c>
      <c r="F694" s="58" t="s">
        <v>10</v>
      </c>
      <c r="G694" s="58" t="s">
        <v>216</v>
      </c>
      <c r="H694" s="58" t="s">
        <v>11</v>
      </c>
      <c r="I694" s="58" t="s">
        <v>10</v>
      </c>
      <c r="J694" s="180" t="s">
        <v>131</v>
      </c>
      <c r="K694" s="180"/>
      <c r="L694" s="55"/>
    </row>
    <row r="695" spans="1:12" ht="12.75" customHeight="1" thickBot="1" x14ac:dyDescent="0.25">
      <c r="A695" s="60">
        <f>SUM(B695:C695)</f>
        <v>492</v>
      </c>
      <c r="B695" s="60">
        <f>H695+E695</f>
        <v>492</v>
      </c>
      <c r="C695" s="60">
        <f>I695+F695</f>
        <v>0</v>
      </c>
      <c r="D695" s="60">
        <f>SUM(E695:F695)</f>
        <v>6</v>
      </c>
      <c r="E695" s="60">
        <v>6</v>
      </c>
      <c r="F695" s="60">
        <v>0</v>
      </c>
      <c r="G695" s="60">
        <f>SUM(H695:I695)</f>
        <v>486</v>
      </c>
      <c r="H695" s="60">
        <v>486</v>
      </c>
      <c r="I695" s="60">
        <v>0</v>
      </c>
      <c r="J695" s="65" t="s">
        <v>221</v>
      </c>
      <c r="K695" s="66"/>
      <c r="L695" s="55"/>
    </row>
    <row r="696" spans="1:12" ht="12.75" customHeight="1" thickBot="1" x14ac:dyDescent="0.25">
      <c r="A696" s="60">
        <f t="shared" ref="A696:A759" si="292">SUM(B696:C696)</f>
        <v>0</v>
      </c>
      <c r="B696" s="60">
        <f t="shared" ref="B696:C759" si="293">H696+E696</f>
        <v>0</v>
      </c>
      <c r="C696" s="60">
        <f t="shared" si="293"/>
        <v>0</v>
      </c>
      <c r="D696" s="60">
        <f t="shared" ref="D696:D759" si="294">SUM(E696:F696)</f>
        <v>0</v>
      </c>
      <c r="E696" s="60">
        <v>0</v>
      </c>
      <c r="F696" s="60">
        <v>0</v>
      </c>
      <c r="G696" s="60">
        <f t="shared" ref="G696:G759" si="295">SUM(H696:I696)</f>
        <v>0</v>
      </c>
      <c r="H696" s="60">
        <v>0</v>
      </c>
      <c r="I696" s="60">
        <v>0</v>
      </c>
      <c r="J696" s="65" t="s">
        <v>222</v>
      </c>
      <c r="K696" s="66" t="s">
        <v>502</v>
      </c>
      <c r="L696" s="55"/>
    </row>
    <row r="697" spans="1:12" ht="12.75" customHeight="1" thickBot="1" x14ac:dyDescent="0.25">
      <c r="A697" s="60">
        <f t="shared" ref="A697:H697" si="296">SUM(A695:A696)</f>
        <v>492</v>
      </c>
      <c r="B697" s="60">
        <f t="shared" si="296"/>
        <v>492</v>
      </c>
      <c r="C697" s="60">
        <f t="shared" si="296"/>
        <v>0</v>
      </c>
      <c r="D697" s="60">
        <f t="shared" si="296"/>
        <v>6</v>
      </c>
      <c r="E697" s="60">
        <f t="shared" si="296"/>
        <v>6</v>
      </c>
      <c r="F697" s="60">
        <f t="shared" si="296"/>
        <v>0</v>
      </c>
      <c r="G697" s="60">
        <f t="shared" si="296"/>
        <v>486</v>
      </c>
      <c r="H697" s="60">
        <f t="shared" si="296"/>
        <v>486</v>
      </c>
      <c r="I697" s="60">
        <f>SUM(I695:I696)</f>
        <v>0</v>
      </c>
      <c r="J697" s="65" t="s">
        <v>13</v>
      </c>
      <c r="K697" s="67"/>
      <c r="L697" s="55"/>
    </row>
    <row r="698" spans="1:12" ht="12.75" customHeight="1" thickBot="1" x14ac:dyDescent="0.25">
      <c r="A698" s="60">
        <f t="shared" si="292"/>
        <v>879</v>
      </c>
      <c r="B698" s="60">
        <f t="shared" si="293"/>
        <v>879</v>
      </c>
      <c r="C698" s="60">
        <f t="shared" si="293"/>
        <v>0</v>
      </c>
      <c r="D698" s="60">
        <f t="shared" si="294"/>
        <v>11</v>
      </c>
      <c r="E698" s="60">
        <v>11</v>
      </c>
      <c r="F698" s="60">
        <v>0</v>
      </c>
      <c r="G698" s="60">
        <f t="shared" si="295"/>
        <v>868</v>
      </c>
      <c r="H698" s="60">
        <v>868</v>
      </c>
      <c r="I698" s="60">
        <v>0</v>
      </c>
      <c r="J698" s="65" t="s">
        <v>221</v>
      </c>
      <c r="K698" s="66"/>
      <c r="L698" s="55"/>
    </row>
    <row r="699" spans="1:12" ht="12.75" customHeight="1" thickBot="1" x14ac:dyDescent="0.25">
      <c r="A699" s="60">
        <f t="shared" si="292"/>
        <v>59</v>
      </c>
      <c r="B699" s="60">
        <f t="shared" si="293"/>
        <v>59</v>
      </c>
      <c r="C699" s="60">
        <f t="shared" si="293"/>
        <v>0</v>
      </c>
      <c r="D699" s="60">
        <f t="shared" si="294"/>
        <v>0</v>
      </c>
      <c r="E699" s="60">
        <v>0</v>
      </c>
      <c r="F699" s="60">
        <v>0</v>
      </c>
      <c r="G699" s="60">
        <f t="shared" si="295"/>
        <v>59</v>
      </c>
      <c r="H699" s="60">
        <v>59</v>
      </c>
      <c r="I699" s="60">
        <v>0</v>
      </c>
      <c r="J699" s="65" t="s">
        <v>222</v>
      </c>
      <c r="K699" s="66" t="s">
        <v>503</v>
      </c>
      <c r="L699" s="55"/>
    </row>
    <row r="700" spans="1:12" ht="12.75" customHeight="1" thickBot="1" x14ac:dyDescent="0.25">
      <c r="A700" s="60">
        <f t="shared" ref="A700:H700" si="297">SUM(A698:A699)</f>
        <v>938</v>
      </c>
      <c r="B700" s="60">
        <f t="shared" si="297"/>
        <v>938</v>
      </c>
      <c r="C700" s="60">
        <f t="shared" si="297"/>
        <v>0</v>
      </c>
      <c r="D700" s="60">
        <f t="shared" si="297"/>
        <v>11</v>
      </c>
      <c r="E700" s="60">
        <f t="shared" si="297"/>
        <v>11</v>
      </c>
      <c r="F700" s="60">
        <f t="shared" si="297"/>
        <v>0</v>
      </c>
      <c r="G700" s="60">
        <f t="shared" si="297"/>
        <v>927</v>
      </c>
      <c r="H700" s="60">
        <f t="shared" si="297"/>
        <v>927</v>
      </c>
      <c r="I700" s="60">
        <f>SUM(I698:I699)</f>
        <v>0</v>
      </c>
      <c r="J700" s="65" t="s">
        <v>13</v>
      </c>
      <c r="K700" s="67"/>
      <c r="L700" s="55"/>
    </row>
    <row r="701" spans="1:12" ht="12.75" customHeight="1" thickBot="1" x14ac:dyDescent="0.25">
      <c r="A701" s="60">
        <f t="shared" si="292"/>
        <v>587</v>
      </c>
      <c r="B701" s="60">
        <f t="shared" si="293"/>
        <v>587</v>
      </c>
      <c r="C701" s="60">
        <f t="shared" si="293"/>
        <v>0</v>
      </c>
      <c r="D701" s="60">
        <f t="shared" si="294"/>
        <v>1</v>
      </c>
      <c r="E701" s="60">
        <v>1</v>
      </c>
      <c r="F701" s="60">
        <v>0</v>
      </c>
      <c r="G701" s="60">
        <f t="shared" si="295"/>
        <v>586</v>
      </c>
      <c r="H701" s="60">
        <v>586</v>
      </c>
      <c r="I701" s="60">
        <v>0</v>
      </c>
      <c r="J701" s="65" t="s">
        <v>221</v>
      </c>
      <c r="K701" s="66"/>
      <c r="L701" s="55"/>
    </row>
    <row r="702" spans="1:12" ht="12.75" customHeight="1" thickBot="1" x14ac:dyDescent="0.25">
      <c r="A702" s="60">
        <f t="shared" si="292"/>
        <v>0</v>
      </c>
      <c r="B702" s="60">
        <f t="shared" si="293"/>
        <v>0</v>
      </c>
      <c r="C702" s="60">
        <f t="shared" si="293"/>
        <v>0</v>
      </c>
      <c r="D702" s="60">
        <f t="shared" si="294"/>
        <v>0</v>
      </c>
      <c r="E702" s="60">
        <v>0</v>
      </c>
      <c r="F702" s="60">
        <v>0</v>
      </c>
      <c r="G702" s="60">
        <f t="shared" si="295"/>
        <v>0</v>
      </c>
      <c r="H702" s="60">
        <v>0</v>
      </c>
      <c r="I702" s="60">
        <v>0</v>
      </c>
      <c r="J702" s="65" t="s">
        <v>222</v>
      </c>
      <c r="K702" s="66" t="s">
        <v>504</v>
      </c>
      <c r="L702" s="55"/>
    </row>
    <row r="703" spans="1:12" ht="12.75" customHeight="1" thickBot="1" x14ac:dyDescent="0.25">
      <c r="A703" s="60">
        <f t="shared" ref="A703:H703" si="298">SUM(A701:A702)</f>
        <v>587</v>
      </c>
      <c r="B703" s="60">
        <f t="shared" si="298"/>
        <v>587</v>
      </c>
      <c r="C703" s="60">
        <f t="shared" si="298"/>
        <v>0</v>
      </c>
      <c r="D703" s="60">
        <f t="shared" si="298"/>
        <v>1</v>
      </c>
      <c r="E703" s="60">
        <f t="shared" si="298"/>
        <v>1</v>
      </c>
      <c r="F703" s="60">
        <f t="shared" si="298"/>
        <v>0</v>
      </c>
      <c r="G703" s="60">
        <f t="shared" si="298"/>
        <v>586</v>
      </c>
      <c r="H703" s="60">
        <f t="shared" si="298"/>
        <v>586</v>
      </c>
      <c r="I703" s="60">
        <f>SUM(I701:I702)</f>
        <v>0</v>
      </c>
      <c r="J703" s="65" t="s">
        <v>13</v>
      </c>
      <c r="K703" s="67"/>
      <c r="L703" s="55"/>
    </row>
    <row r="704" spans="1:12" ht="12.75" customHeight="1" thickBot="1" x14ac:dyDescent="0.25">
      <c r="A704" s="60">
        <f t="shared" si="292"/>
        <v>295</v>
      </c>
      <c r="B704" s="60">
        <f t="shared" si="293"/>
        <v>295</v>
      </c>
      <c r="C704" s="60">
        <f t="shared" si="293"/>
        <v>0</v>
      </c>
      <c r="D704" s="60">
        <f t="shared" si="294"/>
        <v>0</v>
      </c>
      <c r="E704" s="60">
        <v>0</v>
      </c>
      <c r="F704" s="60">
        <v>0</v>
      </c>
      <c r="G704" s="60">
        <f t="shared" si="295"/>
        <v>295</v>
      </c>
      <c r="H704" s="60">
        <v>295</v>
      </c>
      <c r="I704" s="60">
        <v>0</v>
      </c>
      <c r="J704" s="65" t="s">
        <v>221</v>
      </c>
      <c r="K704" s="66"/>
      <c r="L704" s="55"/>
    </row>
    <row r="705" spans="1:12" ht="12.75" customHeight="1" thickBot="1" x14ac:dyDescent="0.25">
      <c r="A705" s="60">
        <f t="shared" si="292"/>
        <v>0</v>
      </c>
      <c r="B705" s="60">
        <f t="shared" si="293"/>
        <v>0</v>
      </c>
      <c r="C705" s="60">
        <f t="shared" si="293"/>
        <v>0</v>
      </c>
      <c r="D705" s="60">
        <f t="shared" si="294"/>
        <v>0</v>
      </c>
      <c r="E705" s="60">
        <v>0</v>
      </c>
      <c r="F705" s="60">
        <v>0</v>
      </c>
      <c r="G705" s="60">
        <f t="shared" si="295"/>
        <v>0</v>
      </c>
      <c r="H705" s="60">
        <v>0</v>
      </c>
      <c r="I705" s="60">
        <v>0</v>
      </c>
      <c r="J705" s="65" t="s">
        <v>222</v>
      </c>
      <c r="K705" s="66" t="s">
        <v>505</v>
      </c>
      <c r="L705" s="55"/>
    </row>
    <row r="706" spans="1:12" ht="12.75" customHeight="1" thickBot="1" x14ac:dyDescent="0.25">
      <c r="A706" s="60">
        <f t="shared" ref="A706:H706" si="299">SUM(A704:A705)</f>
        <v>295</v>
      </c>
      <c r="B706" s="60">
        <f t="shared" si="299"/>
        <v>295</v>
      </c>
      <c r="C706" s="60">
        <f t="shared" si="299"/>
        <v>0</v>
      </c>
      <c r="D706" s="60">
        <f t="shared" si="299"/>
        <v>0</v>
      </c>
      <c r="E706" s="60">
        <f t="shared" si="299"/>
        <v>0</v>
      </c>
      <c r="F706" s="60">
        <f t="shared" si="299"/>
        <v>0</v>
      </c>
      <c r="G706" s="60">
        <f t="shared" si="299"/>
        <v>295</v>
      </c>
      <c r="H706" s="60">
        <f t="shared" si="299"/>
        <v>295</v>
      </c>
      <c r="I706" s="60">
        <f>SUM(I704:I705)</f>
        <v>0</v>
      </c>
      <c r="J706" s="65" t="s">
        <v>13</v>
      </c>
      <c r="K706" s="67"/>
      <c r="L706" s="55"/>
    </row>
    <row r="707" spans="1:12" ht="12.75" customHeight="1" thickBot="1" x14ac:dyDescent="0.25">
      <c r="A707" s="60">
        <f t="shared" si="292"/>
        <v>1113</v>
      </c>
      <c r="B707" s="60">
        <f t="shared" si="293"/>
        <v>1113</v>
      </c>
      <c r="C707" s="60">
        <f t="shared" si="293"/>
        <v>0</v>
      </c>
      <c r="D707" s="60">
        <f t="shared" si="294"/>
        <v>1</v>
      </c>
      <c r="E707" s="60">
        <v>1</v>
      </c>
      <c r="F707" s="60">
        <v>0</v>
      </c>
      <c r="G707" s="60">
        <f t="shared" si="295"/>
        <v>1112</v>
      </c>
      <c r="H707" s="60">
        <v>1112</v>
      </c>
      <c r="I707" s="60">
        <v>0</v>
      </c>
      <c r="J707" s="65" t="s">
        <v>221</v>
      </c>
      <c r="K707" s="66"/>
      <c r="L707" s="55"/>
    </row>
    <row r="708" spans="1:12" ht="12.75" customHeight="1" thickBot="1" x14ac:dyDescent="0.25">
      <c r="A708" s="60">
        <f t="shared" si="292"/>
        <v>53</v>
      </c>
      <c r="B708" s="60">
        <f t="shared" si="293"/>
        <v>53</v>
      </c>
      <c r="C708" s="60">
        <f t="shared" si="293"/>
        <v>0</v>
      </c>
      <c r="D708" s="60">
        <f t="shared" si="294"/>
        <v>0</v>
      </c>
      <c r="E708" s="60">
        <v>0</v>
      </c>
      <c r="F708" s="60">
        <v>0</v>
      </c>
      <c r="G708" s="60">
        <f t="shared" si="295"/>
        <v>53</v>
      </c>
      <c r="H708" s="60">
        <v>53</v>
      </c>
      <c r="I708" s="60">
        <v>0</v>
      </c>
      <c r="J708" s="65" t="s">
        <v>222</v>
      </c>
      <c r="K708" s="66" t="s">
        <v>506</v>
      </c>
      <c r="L708" s="55"/>
    </row>
    <row r="709" spans="1:12" ht="12.75" customHeight="1" thickBot="1" x14ac:dyDescent="0.25">
      <c r="A709" s="60">
        <f t="shared" ref="A709:H709" si="300">SUM(A707:A708)</f>
        <v>1166</v>
      </c>
      <c r="B709" s="60">
        <f t="shared" si="300"/>
        <v>1166</v>
      </c>
      <c r="C709" s="60">
        <f t="shared" si="300"/>
        <v>0</v>
      </c>
      <c r="D709" s="60">
        <f t="shared" si="300"/>
        <v>1</v>
      </c>
      <c r="E709" s="60">
        <f t="shared" si="300"/>
        <v>1</v>
      </c>
      <c r="F709" s="60">
        <f t="shared" si="300"/>
        <v>0</v>
      </c>
      <c r="G709" s="60">
        <f t="shared" si="300"/>
        <v>1165</v>
      </c>
      <c r="H709" s="60">
        <f t="shared" si="300"/>
        <v>1165</v>
      </c>
      <c r="I709" s="60">
        <f>SUM(I707:I708)</f>
        <v>0</v>
      </c>
      <c r="J709" s="65" t="s">
        <v>13</v>
      </c>
      <c r="K709" s="67"/>
      <c r="L709" s="55"/>
    </row>
    <row r="710" spans="1:12" ht="12.75" customHeight="1" thickBot="1" x14ac:dyDescent="0.25">
      <c r="A710" s="60">
        <f t="shared" si="292"/>
        <v>167</v>
      </c>
      <c r="B710" s="60">
        <f t="shared" si="293"/>
        <v>167</v>
      </c>
      <c r="C710" s="60">
        <f t="shared" si="293"/>
        <v>0</v>
      </c>
      <c r="D710" s="60">
        <f t="shared" si="294"/>
        <v>0</v>
      </c>
      <c r="E710" s="60">
        <v>0</v>
      </c>
      <c r="F710" s="60">
        <v>0</v>
      </c>
      <c r="G710" s="60">
        <f t="shared" si="295"/>
        <v>167</v>
      </c>
      <c r="H710" s="60">
        <v>167</v>
      </c>
      <c r="I710" s="60">
        <v>0</v>
      </c>
      <c r="J710" s="65" t="s">
        <v>221</v>
      </c>
      <c r="K710" s="66"/>
      <c r="L710" s="55"/>
    </row>
    <row r="711" spans="1:12" ht="12.75" customHeight="1" thickBot="1" x14ac:dyDescent="0.25">
      <c r="A711" s="60">
        <f t="shared" si="292"/>
        <v>7</v>
      </c>
      <c r="B711" s="60">
        <f t="shared" si="293"/>
        <v>7</v>
      </c>
      <c r="C711" s="60">
        <f t="shared" si="293"/>
        <v>0</v>
      </c>
      <c r="D711" s="60">
        <f t="shared" si="294"/>
        <v>0</v>
      </c>
      <c r="E711" s="60">
        <v>0</v>
      </c>
      <c r="F711" s="60">
        <v>0</v>
      </c>
      <c r="G711" s="60">
        <f t="shared" si="295"/>
        <v>7</v>
      </c>
      <c r="H711" s="60">
        <v>7</v>
      </c>
      <c r="I711" s="60">
        <v>0</v>
      </c>
      <c r="J711" s="65" t="s">
        <v>222</v>
      </c>
      <c r="K711" s="66" t="s">
        <v>507</v>
      </c>
      <c r="L711" s="55"/>
    </row>
    <row r="712" spans="1:12" ht="12.75" customHeight="1" thickBot="1" x14ac:dyDescent="0.25">
      <c r="A712" s="60">
        <f t="shared" ref="A712:H712" si="301">SUM(A710:A711)</f>
        <v>174</v>
      </c>
      <c r="B712" s="60">
        <f t="shared" si="301"/>
        <v>174</v>
      </c>
      <c r="C712" s="60">
        <f t="shared" si="301"/>
        <v>0</v>
      </c>
      <c r="D712" s="60">
        <f t="shared" si="301"/>
        <v>0</v>
      </c>
      <c r="E712" s="60">
        <f t="shared" si="301"/>
        <v>0</v>
      </c>
      <c r="F712" s="60">
        <f t="shared" si="301"/>
        <v>0</v>
      </c>
      <c r="G712" s="60">
        <f t="shared" si="301"/>
        <v>174</v>
      </c>
      <c r="H712" s="60">
        <f t="shared" si="301"/>
        <v>174</v>
      </c>
      <c r="I712" s="60">
        <f>SUM(I710:I711)</f>
        <v>0</v>
      </c>
      <c r="J712" s="65" t="s">
        <v>13</v>
      </c>
      <c r="K712" s="67"/>
      <c r="L712" s="55"/>
    </row>
    <row r="713" spans="1:12" ht="12.75" customHeight="1" thickBot="1" x14ac:dyDescent="0.25">
      <c r="A713" s="60">
        <f t="shared" si="292"/>
        <v>211</v>
      </c>
      <c r="B713" s="60">
        <f t="shared" si="293"/>
        <v>211</v>
      </c>
      <c r="C713" s="60">
        <f t="shared" si="293"/>
        <v>0</v>
      </c>
      <c r="D713" s="60">
        <f t="shared" si="294"/>
        <v>0</v>
      </c>
      <c r="E713" s="60">
        <v>0</v>
      </c>
      <c r="F713" s="60">
        <v>0</v>
      </c>
      <c r="G713" s="60">
        <f t="shared" si="295"/>
        <v>211</v>
      </c>
      <c r="H713" s="60">
        <v>211</v>
      </c>
      <c r="I713" s="60">
        <v>0</v>
      </c>
      <c r="J713" s="65" t="s">
        <v>221</v>
      </c>
      <c r="K713" s="66"/>
      <c r="L713" s="55"/>
    </row>
    <row r="714" spans="1:12" ht="12.75" customHeight="1" thickBot="1" x14ac:dyDescent="0.25">
      <c r="A714" s="60">
        <f t="shared" si="292"/>
        <v>25</v>
      </c>
      <c r="B714" s="60">
        <f t="shared" si="293"/>
        <v>25</v>
      </c>
      <c r="C714" s="60">
        <f t="shared" si="293"/>
        <v>0</v>
      </c>
      <c r="D714" s="60">
        <f t="shared" si="294"/>
        <v>0</v>
      </c>
      <c r="E714" s="60">
        <v>0</v>
      </c>
      <c r="F714" s="60">
        <v>0</v>
      </c>
      <c r="G714" s="60">
        <f t="shared" si="295"/>
        <v>25</v>
      </c>
      <c r="H714" s="60">
        <v>25</v>
      </c>
      <c r="I714" s="60">
        <v>0</v>
      </c>
      <c r="J714" s="65" t="s">
        <v>222</v>
      </c>
      <c r="K714" s="66" t="s">
        <v>508</v>
      </c>
      <c r="L714" s="55"/>
    </row>
    <row r="715" spans="1:12" ht="12.75" customHeight="1" thickBot="1" x14ac:dyDescent="0.25">
      <c r="A715" s="60">
        <f t="shared" ref="A715:H715" si="302">SUM(A713:A714)</f>
        <v>236</v>
      </c>
      <c r="B715" s="60">
        <f t="shared" si="302"/>
        <v>236</v>
      </c>
      <c r="C715" s="60">
        <f t="shared" si="302"/>
        <v>0</v>
      </c>
      <c r="D715" s="60">
        <f t="shared" si="302"/>
        <v>0</v>
      </c>
      <c r="E715" s="60">
        <f t="shared" si="302"/>
        <v>0</v>
      </c>
      <c r="F715" s="60">
        <f t="shared" si="302"/>
        <v>0</v>
      </c>
      <c r="G715" s="60">
        <f t="shared" si="302"/>
        <v>236</v>
      </c>
      <c r="H715" s="60">
        <f t="shared" si="302"/>
        <v>236</v>
      </c>
      <c r="I715" s="60">
        <f>SUM(I713:I714)</f>
        <v>0</v>
      </c>
      <c r="J715" s="65" t="s">
        <v>13</v>
      </c>
      <c r="K715" s="67"/>
      <c r="L715" s="55"/>
    </row>
    <row r="716" spans="1:12" ht="12.75" customHeight="1" thickBot="1" x14ac:dyDescent="0.25">
      <c r="A716" s="60">
        <f t="shared" si="292"/>
        <v>48</v>
      </c>
      <c r="B716" s="60">
        <f t="shared" si="293"/>
        <v>48</v>
      </c>
      <c r="C716" s="60">
        <f t="shared" si="293"/>
        <v>0</v>
      </c>
      <c r="D716" s="60">
        <f t="shared" si="294"/>
        <v>0</v>
      </c>
      <c r="E716" s="60">
        <v>0</v>
      </c>
      <c r="F716" s="60">
        <v>0</v>
      </c>
      <c r="G716" s="60">
        <f t="shared" si="295"/>
        <v>48</v>
      </c>
      <c r="H716" s="60">
        <v>48</v>
      </c>
      <c r="I716" s="60">
        <v>0</v>
      </c>
      <c r="J716" s="65" t="s">
        <v>221</v>
      </c>
      <c r="K716" s="66"/>
      <c r="L716" s="55"/>
    </row>
    <row r="717" spans="1:12" ht="12.75" customHeight="1" thickBot="1" x14ac:dyDescent="0.25">
      <c r="A717" s="60">
        <f t="shared" si="292"/>
        <v>0</v>
      </c>
      <c r="B717" s="60">
        <f t="shared" si="293"/>
        <v>0</v>
      </c>
      <c r="C717" s="60">
        <f t="shared" si="293"/>
        <v>0</v>
      </c>
      <c r="D717" s="60">
        <f t="shared" si="294"/>
        <v>0</v>
      </c>
      <c r="E717" s="60">
        <v>0</v>
      </c>
      <c r="F717" s="60">
        <v>0</v>
      </c>
      <c r="G717" s="60">
        <f t="shared" si="295"/>
        <v>0</v>
      </c>
      <c r="H717" s="60">
        <v>0</v>
      </c>
      <c r="I717" s="60">
        <v>0</v>
      </c>
      <c r="J717" s="65" t="s">
        <v>222</v>
      </c>
      <c r="K717" s="66" t="s">
        <v>509</v>
      </c>
      <c r="L717" s="55"/>
    </row>
    <row r="718" spans="1:12" ht="12.75" customHeight="1" thickBot="1" x14ac:dyDescent="0.25">
      <c r="A718" s="60">
        <f t="shared" ref="A718:H718" si="303">SUM(A716:A717)</f>
        <v>48</v>
      </c>
      <c r="B718" s="60">
        <f t="shared" si="303"/>
        <v>48</v>
      </c>
      <c r="C718" s="60">
        <f t="shared" si="303"/>
        <v>0</v>
      </c>
      <c r="D718" s="60">
        <f t="shared" si="303"/>
        <v>0</v>
      </c>
      <c r="E718" s="60">
        <f t="shared" si="303"/>
        <v>0</v>
      </c>
      <c r="F718" s="60">
        <f t="shared" si="303"/>
        <v>0</v>
      </c>
      <c r="G718" s="60">
        <f t="shared" si="303"/>
        <v>48</v>
      </c>
      <c r="H718" s="60">
        <f t="shared" si="303"/>
        <v>48</v>
      </c>
      <c r="I718" s="60">
        <f>SUM(I716:I717)</f>
        <v>0</v>
      </c>
      <c r="J718" s="65" t="s">
        <v>13</v>
      </c>
      <c r="K718" s="67"/>
      <c r="L718" s="55"/>
    </row>
    <row r="719" spans="1:12" ht="12.75" customHeight="1" thickBot="1" x14ac:dyDescent="0.25">
      <c r="A719" s="60">
        <f t="shared" si="292"/>
        <v>215</v>
      </c>
      <c r="B719" s="60">
        <f t="shared" si="293"/>
        <v>215</v>
      </c>
      <c r="C719" s="60">
        <f t="shared" si="293"/>
        <v>0</v>
      </c>
      <c r="D719" s="60">
        <f t="shared" si="294"/>
        <v>0</v>
      </c>
      <c r="E719" s="60">
        <v>0</v>
      </c>
      <c r="F719" s="60">
        <v>0</v>
      </c>
      <c r="G719" s="60">
        <f t="shared" si="295"/>
        <v>215</v>
      </c>
      <c r="H719" s="60">
        <v>215</v>
      </c>
      <c r="I719" s="60">
        <v>0</v>
      </c>
      <c r="J719" s="65" t="s">
        <v>221</v>
      </c>
      <c r="K719" s="66"/>
      <c r="L719" s="55"/>
    </row>
    <row r="720" spans="1:12" ht="12.75" customHeight="1" thickBot="1" x14ac:dyDescent="0.25">
      <c r="A720" s="60">
        <f t="shared" si="292"/>
        <v>5</v>
      </c>
      <c r="B720" s="60">
        <f t="shared" si="293"/>
        <v>5</v>
      </c>
      <c r="C720" s="60">
        <f t="shared" si="293"/>
        <v>0</v>
      </c>
      <c r="D720" s="60">
        <f t="shared" si="294"/>
        <v>0</v>
      </c>
      <c r="E720" s="60">
        <v>0</v>
      </c>
      <c r="F720" s="60">
        <v>0</v>
      </c>
      <c r="G720" s="60">
        <f t="shared" si="295"/>
        <v>5</v>
      </c>
      <c r="H720" s="60">
        <v>5</v>
      </c>
      <c r="I720" s="60">
        <v>0</v>
      </c>
      <c r="J720" s="65" t="s">
        <v>222</v>
      </c>
      <c r="K720" s="66" t="s">
        <v>510</v>
      </c>
      <c r="L720" s="55"/>
    </row>
    <row r="721" spans="1:12" ht="12.75" customHeight="1" thickBot="1" x14ac:dyDescent="0.25">
      <c r="A721" s="60">
        <f t="shared" ref="A721:H721" si="304">SUM(A719:A720)</f>
        <v>220</v>
      </c>
      <c r="B721" s="60">
        <f t="shared" si="304"/>
        <v>220</v>
      </c>
      <c r="C721" s="60">
        <f t="shared" si="304"/>
        <v>0</v>
      </c>
      <c r="D721" s="60">
        <f t="shared" si="304"/>
        <v>0</v>
      </c>
      <c r="E721" s="60">
        <f t="shared" si="304"/>
        <v>0</v>
      </c>
      <c r="F721" s="60">
        <f t="shared" si="304"/>
        <v>0</v>
      </c>
      <c r="G721" s="60">
        <f t="shared" si="304"/>
        <v>220</v>
      </c>
      <c r="H721" s="60">
        <f t="shared" si="304"/>
        <v>220</v>
      </c>
      <c r="I721" s="60">
        <f>SUM(I719:I720)</f>
        <v>0</v>
      </c>
      <c r="J721" s="65" t="s">
        <v>13</v>
      </c>
      <c r="K721" s="67"/>
      <c r="L721" s="55"/>
    </row>
    <row r="722" spans="1:12" ht="12.75" customHeight="1" thickBot="1" x14ac:dyDescent="0.25">
      <c r="A722" s="60">
        <f t="shared" si="292"/>
        <v>271</v>
      </c>
      <c r="B722" s="60">
        <f t="shared" si="293"/>
        <v>271</v>
      </c>
      <c r="C722" s="60">
        <f t="shared" si="293"/>
        <v>0</v>
      </c>
      <c r="D722" s="60">
        <f t="shared" si="294"/>
        <v>1</v>
      </c>
      <c r="E722" s="60">
        <v>1</v>
      </c>
      <c r="F722" s="60">
        <v>0</v>
      </c>
      <c r="G722" s="60">
        <f t="shared" si="295"/>
        <v>270</v>
      </c>
      <c r="H722" s="60">
        <v>270</v>
      </c>
      <c r="I722" s="60">
        <v>0</v>
      </c>
      <c r="J722" s="65" t="s">
        <v>221</v>
      </c>
      <c r="K722" s="66"/>
      <c r="L722" s="55"/>
    </row>
    <row r="723" spans="1:12" ht="12.75" customHeight="1" thickBot="1" x14ac:dyDescent="0.25">
      <c r="A723" s="60">
        <f t="shared" si="292"/>
        <v>5</v>
      </c>
      <c r="B723" s="60">
        <f t="shared" si="293"/>
        <v>5</v>
      </c>
      <c r="C723" s="60">
        <f t="shared" si="293"/>
        <v>0</v>
      </c>
      <c r="D723" s="60">
        <f t="shared" si="294"/>
        <v>0</v>
      </c>
      <c r="E723" s="60">
        <v>0</v>
      </c>
      <c r="F723" s="60">
        <v>0</v>
      </c>
      <c r="G723" s="60">
        <f t="shared" si="295"/>
        <v>5</v>
      </c>
      <c r="H723" s="60">
        <v>5</v>
      </c>
      <c r="I723" s="60">
        <v>0</v>
      </c>
      <c r="J723" s="65" t="s">
        <v>222</v>
      </c>
      <c r="K723" s="66" t="s">
        <v>511</v>
      </c>
      <c r="L723" s="55"/>
    </row>
    <row r="724" spans="1:12" ht="12.75" customHeight="1" thickBot="1" x14ac:dyDescent="0.25">
      <c r="A724" s="60">
        <f t="shared" ref="A724:H724" si="305">SUM(A722:A723)</f>
        <v>276</v>
      </c>
      <c r="B724" s="60">
        <f t="shared" si="305"/>
        <v>276</v>
      </c>
      <c r="C724" s="60">
        <f t="shared" si="305"/>
        <v>0</v>
      </c>
      <c r="D724" s="60">
        <f t="shared" si="305"/>
        <v>1</v>
      </c>
      <c r="E724" s="60">
        <f t="shared" si="305"/>
        <v>1</v>
      </c>
      <c r="F724" s="60">
        <f t="shared" si="305"/>
        <v>0</v>
      </c>
      <c r="G724" s="60">
        <f t="shared" si="305"/>
        <v>275</v>
      </c>
      <c r="H724" s="60">
        <f t="shared" si="305"/>
        <v>275</v>
      </c>
      <c r="I724" s="60">
        <f>SUM(I722:I723)</f>
        <v>0</v>
      </c>
      <c r="J724" s="65" t="s">
        <v>13</v>
      </c>
      <c r="K724" s="67"/>
      <c r="L724" s="55"/>
    </row>
    <row r="725" spans="1:12" ht="12.75" customHeight="1" thickBot="1" x14ac:dyDescent="0.25">
      <c r="A725" s="60">
        <f t="shared" si="292"/>
        <v>141</v>
      </c>
      <c r="B725" s="60">
        <f t="shared" si="293"/>
        <v>141</v>
      </c>
      <c r="C725" s="60">
        <f t="shared" si="293"/>
        <v>0</v>
      </c>
      <c r="D725" s="60">
        <f t="shared" si="294"/>
        <v>0</v>
      </c>
      <c r="E725" s="60">
        <v>0</v>
      </c>
      <c r="F725" s="60">
        <v>0</v>
      </c>
      <c r="G725" s="60">
        <f t="shared" si="295"/>
        <v>141</v>
      </c>
      <c r="H725" s="60">
        <v>141</v>
      </c>
      <c r="I725" s="60">
        <v>0</v>
      </c>
      <c r="J725" s="65" t="s">
        <v>221</v>
      </c>
      <c r="K725" s="66"/>
      <c r="L725" s="55"/>
    </row>
    <row r="726" spans="1:12" ht="12.75" customHeight="1" thickBot="1" x14ac:dyDescent="0.25">
      <c r="A726" s="60">
        <f t="shared" si="292"/>
        <v>0</v>
      </c>
      <c r="B726" s="60">
        <f t="shared" si="293"/>
        <v>0</v>
      </c>
      <c r="C726" s="60">
        <f t="shared" si="293"/>
        <v>0</v>
      </c>
      <c r="D726" s="60">
        <f t="shared" si="294"/>
        <v>0</v>
      </c>
      <c r="E726" s="60">
        <v>0</v>
      </c>
      <c r="F726" s="60">
        <v>0</v>
      </c>
      <c r="G726" s="60">
        <f t="shared" si="295"/>
        <v>0</v>
      </c>
      <c r="H726" s="60">
        <v>0</v>
      </c>
      <c r="I726" s="60">
        <v>0</v>
      </c>
      <c r="J726" s="65" t="s">
        <v>222</v>
      </c>
      <c r="K726" s="66" t="s">
        <v>512</v>
      </c>
      <c r="L726" s="55"/>
    </row>
    <row r="727" spans="1:12" ht="12.75" customHeight="1" thickBot="1" x14ac:dyDescent="0.25">
      <c r="A727" s="60">
        <f t="shared" ref="A727:H727" si="306">SUM(A725:A726)</f>
        <v>141</v>
      </c>
      <c r="B727" s="60">
        <f t="shared" si="306"/>
        <v>141</v>
      </c>
      <c r="C727" s="60">
        <f t="shared" si="306"/>
        <v>0</v>
      </c>
      <c r="D727" s="60">
        <f t="shared" si="306"/>
        <v>0</v>
      </c>
      <c r="E727" s="60">
        <f t="shared" si="306"/>
        <v>0</v>
      </c>
      <c r="F727" s="60">
        <f t="shared" si="306"/>
        <v>0</v>
      </c>
      <c r="G727" s="60">
        <f t="shared" si="306"/>
        <v>141</v>
      </c>
      <c r="H727" s="60">
        <f t="shared" si="306"/>
        <v>141</v>
      </c>
      <c r="I727" s="60">
        <f>SUM(I725:I726)</f>
        <v>0</v>
      </c>
      <c r="J727" s="65" t="s">
        <v>13</v>
      </c>
      <c r="K727" s="67"/>
      <c r="L727" s="55"/>
    </row>
    <row r="728" spans="1:12" ht="12.75" customHeight="1" thickBot="1" x14ac:dyDescent="0.25">
      <c r="A728" s="60">
        <f t="shared" si="292"/>
        <v>281</v>
      </c>
      <c r="B728" s="60">
        <f t="shared" si="293"/>
        <v>281</v>
      </c>
      <c r="C728" s="60">
        <f t="shared" si="293"/>
        <v>0</v>
      </c>
      <c r="D728" s="60">
        <f t="shared" si="294"/>
        <v>0</v>
      </c>
      <c r="E728" s="60">
        <v>0</v>
      </c>
      <c r="F728" s="60">
        <v>0</v>
      </c>
      <c r="G728" s="60">
        <f t="shared" si="295"/>
        <v>281</v>
      </c>
      <c r="H728" s="60">
        <v>281</v>
      </c>
      <c r="I728" s="60">
        <v>0</v>
      </c>
      <c r="J728" s="65" t="s">
        <v>221</v>
      </c>
      <c r="K728" s="66"/>
      <c r="L728" s="55"/>
    </row>
    <row r="729" spans="1:12" ht="12.75" customHeight="1" thickBot="1" x14ac:dyDescent="0.25">
      <c r="A729" s="60">
        <f t="shared" si="292"/>
        <v>15</v>
      </c>
      <c r="B729" s="60">
        <f t="shared" si="293"/>
        <v>15</v>
      </c>
      <c r="C729" s="60">
        <f t="shared" si="293"/>
        <v>0</v>
      </c>
      <c r="D729" s="60">
        <f t="shared" si="294"/>
        <v>0</v>
      </c>
      <c r="E729" s="60">
        <v>0</v>
      </c>
      <c r="F729" s="60">
        <v>0</v>
      </c>
      <c r="G729" s="60">
        <f t="shared" si="295"/>
        <v>15</v>
      </c>
      <c r="H729" s="60">
        <v>15</v>
      </c>
      <c r="I729" s="60">
        <v>0</v>
      </c>
      <c r="J729" s="65" t="s">
        <v>222</v>
      </c>
      <c r="K729" s="66" t="s">
        <v>513</v>
      </c>
      <c r="L729" s="55"/>
    </row>
    <row r="730" spans="1:12" ht="12.75" customHeight="1" thickBot="1" x14ac:dyDescent="0.25">
      <c r="A730" s="60">
        <f t="shared" ref="A730:H730" si="307">SUM(A728:A729)</f>
        <v>296</v>
      </c>
      <c r="B730" s="60">
        <f t="shared" si="307"/>
        <v>296</v>
      </c>
      <c r="C730" s="60">
        <f t="shared" si="307"/>
        <v>0</v>
      </c>
      <c r="D730" s="60">
        <f t="shared" si="307"/>
        <v>0</v>
      </c>
      <c r="E730" s="60">
        <f t="shared" si="307"/>
        <v>0</v>
      </c>
      <c r="F730" s="60">
        <f t="shared" si="307"/>
        <v>0</v>
      </c>
      <c r="G730" s="60">
        <f t="shared" si="307"/>
        <v>296</v>
      </c>
      <c r="H730" s="60">
        <f t="shared" si="307"/>
        <v>296</v>
      </c>
      <c r="I730" s="60">
        <f>SUM(I728:I729)</f>
        <v>0</v>
      </c>
      <c r="J730" s="65" t="s">
        <v>13</v>
      </c>
      <c r="K730" s="67"/>
      <c r="L730" s="55"/>
    </row>
    <row r="731" spans="1:12" ht="12.75" customHeight="1" thickBot="1" x14ac:dyDescent="0.25">
      <c r="A731" s="60">
        <f t="shared" si="292"/>
        <v>190</v>
      </c>
      <c r="B731" s="60">
        <f t="shared" si="293"/>
        <v>190</v>
      </c>
      <c r="C731" s="60">
        <f t="shared" si="293"/>
        <v>0</v>
      </c>
      <c r="D731" s="60">
        <f t="shared" si="294"/>
        <v>0</v>
      </c>
      <c r="E731" s="60">
        <v>0</v>
      </c>
      <c r="F731" s="60">
        <v>0</v>
      </c>
      <c r="G731" s="60">
        <f t="shared" si="295"/>
        <v>190</v>
      </c>
      <c r="H731" s="60">
        <v>190</v>
      </c>
      <c r="I731" s="60">
        <v>0</v>
      </c>
      <c r="J731" s="65" t="s">
        <v>221</v>
      </c>
      <c r="K731" s="66"/>
      <c r="L731" s="55"/>
    </row>
    <row r="732" spans="1:12" ht="12.75" customHeight="1" thickBot="1" x14ac:dyDescent="0.25">
      <c r="A732" s="60">
        <f t="shared" si="292"/>
        <v>8</v>
      </c>
      <c r="B732" s="60">
        <f t="shared" si="293"/>
        <v>8</v>
      </c>
      <c r="C732" s="60">
        <f t="shared" si="293"/>
        <v>0</v>
      </c>
      <c r="D732" s="60">
        <f t="shared" si="294"/>
        <v>0</v>
      </c>
      <c r="E732" s="60">
        <v>0</v>
      </c>
      <c r="F732" s="60">
        <v>0</v>
      </c>
      <c r="G732" s="60">
        <f t="shared" si="295"/>
        <v>8</v>
      </c>
      <c r="H732" s="60">
        <v>8</v>
      </c>
      <c r="I732" s="60">
        <v>0</v>
      </c>
      <c r="J732" s="65" t="s">
        <v>222</v>
      </c>
      <c r="K732" s="66" t="s">
        <v>514</v>
      </c>
      <c r="L732" s="55"/>
    </row>
    <row r="733" spans="1:12" ht="12.75" customHeight="1" thickBot="1" x14ac:dyDescent="0.25">
      <c r="A733" s="60">
        <f t="shared" ref="A733:H733" si="308">SUM(A731:A732)</f>
        <v>198</v>
      </c>
      <c r="B733" s="60">
        <f t="shared" si="308"/>
        <v>198</v>
      </c>
      <c r="C733" s="60">
        <f t="shared" si="308"/>
        <v>0</v>
      </c>
      <c r="D733" s="60">
        <f t="shared" si="308"/>
        <v>0</v>
      </c>
      <c r="E733" s="60">
        <f t="shared" si="308"/>
        <v>0</v>
      </c>
      <c r="F733" s="60">
        <f t="shared" si="308"/>
        <v>0</v>
      </c>
      <c r="G733" s="60">
        <f t="shared" si="308"/>
        <v>198</v>
      </c>
      <c r="H733" s="60">
        <f t="shared" si="308"/>
        <v>198</v>
      </c>
      <c r="I733" s="60">
        <f>SUM(I731:I732)</f>
        <v>0</v>
      </c>
      <c r="J733" s="65" t="s">
        <v>13</v>
      </c>
      <c r="K733" s="67"/>
      <c r="L733" s="55"/>
    </row>
    <row r="734" spans="1:12" ht="12.75" customHeight="1" thickBot="1" x14ac:dyDescent="0.25">
      <c r="A734" s="60">
        <f t="shared" si="292"/>
        <v>270</v>
      </c>
      <c r="B734" s="60">
        <f t="shared" si="293"/>
        <v>270</v>
      </c>
      <c r="C734" s="60">
        <f t="shared" si="293"/>
        <v>0</v>
      </c>
      <c r="D734" s="60">
        <f t="shared" si="294"/>
        <v>0</v>
      </c>
      <c r="E734" s="60">
        <v>0</v>
      </c>
      <c r="F734" s="60">
        <v>0</v>
      </c>
      <c r="G734" s="60">
        <f t="shared" si="295"/>
        <v>270</v>
      </c>
      <c r="H734" s="60">
        <v>270</v>
      </c>
      <c r="I734" s="60">
        <v>0</v>
      </c>
      <c r="J734" s="65" t="s">
        <v>221</v>
      </c>
      <c r="K734" s="66"/>
      <c r="L734" s="55"/>
    </row>
    <row r="735" spans="1:12" ht="12.75" customHeight="1" thickBot="1" x14ac:dyDescent="0.25">
      <c r="A735" s="60">
        <f t="shared" si="292"/>
        <v>6</v>
      </c>
      <c r="B735" s="60">
        <f t="shared" si="293"/>
        <v>6</v>
      </c>
      <c r="C735" s="60">
        <f t="shared" si="293"/>
        <v>0</v>
      </c>
      <c r="D735" s="60">
        <f t="shared" si="294"/>
        <v>0</v>
      </c>
      <c r="E735" s="60">
        <v>0</v>
      </c>
      <c r="F735" s="60">
        <v>0</v>
      </c>
      <c r="G735" s="60">
        <f t="shared" si="295"/>
        <v>6</v>
      </c>
      <c r="H735" s="60">
        <v>6</v>
      </c>
      <c r="I735" s="60">
        <v>0</v>
      </c>
      <c r="J735" s="65" t="s">
        <v>222</v>
      </c>
      <c r="K735" s="66" t="s">
        <v>515</v>
      </c>
      <c r="L735" s="55"/>
    </row>
    <row r="736" spans="1:12" ht="12.75" customHeight="1" thickBot="1" x14ac:dyDescent="0.25">
      <c r="A736" s="60">
        <f t="shared" ref="A736:H736" si="309">SUM(A734:A735)</f>
        <v>276</v>
      </c>
      <c r="B736" s="60">
        <f t="shared" si="309"/>
        <v>276</v>
      </c>
      <c r="C736" s="60">
        <f t="shared" si="309"/>
        <v>0</v>
      </c>
      <c r="D736" s="60">
        <f t="shared" si="309"/>
        <v>0</v>
      </c>
      <c r="E736" s="60">
        <f t="shared" si="309"/>
        <v>0</v>
      </c>
      <c r="F736" s="60">
        <f t="shared" si="309"/>
        <v>0</v>
      </c>
      <c r="G736" s="60">
        <f t="shared" si="309"/>
        <v>276</v>
      </c>
      <c r="H736" s="60">
        <f t="shared" si="309"/>
        <v>276</v>
      </c>
      <c r="I736" s="60">
        <f>SUM(I734:I735)</f>
        <v>0</v>
      </c>
      <c r="J736" s="65" t="s">
        <v>13</v>
      </c>
      <c r="K736" s="67"/>
      <c r="L736" s="55"/>
    </row>
    <row r="737" spans="1:12" ht="12.75" customHeight="1" thickBot="1" x14ac:dyDescent="0.25">
      <c r="A737" s="60">
        <f t="shared" si="292"/>
        <v>395</v>
      </c>
      <c r="B737" s="60">
        <f t="shared" si="293"/>
        <v>395</v>
      </c>
      <c r="C737" s="60">
        <f t="shared" si="293"/>
        <v>0</v>
      </c>
      <c r="D737" s="60">
        <f t="shared" si="294"/>
        <v>2</v>
      </c>
      <c r="E737" s="60">
        <v>2</v>
      </c>
      <c r="F737" s="60">
        <v>0</v>
      </c>
      <c r="G737" s="60">
        <f t="shared" si="295"/>
        <v>393</v>
      </c>
      <c r="H737" s="60">
        <v>393</v>
      </c>
      <c r="I737" s="60">
        <v>0</v>
      </c>
      <c r="J737" s="65" t="s">
        <v>221</v>
      </c>
      <c r="K737" s="66"/>
      <c r="L737" s="55"/>
    </row>
    <row r="738" spans="1:12" ht="12.75" customHeight="1" thickBot="1" x14ac:dyDescent="0.25">
      <c r="A738" s="60">
        <f t="shared" si="292"/>
        <v>5</v>
      </c>
      <c r="B738" s="60">
        <f t="shared" si="293"/>
        <v>5</v>
      </c>
      <c r="C738" s="60">
        <f t="shared" si="293"/>
        <v>0</v>
      </c>
      <c r="D738" s="60">
        <f t="shared" si="294"/>
        <v>0</v>
      </c>
      <c r="E738" s="60">
        <v>0</v>
      </c>
      <c r="F738" s="60">
        <v>0</v>
      </c>
      <c r="G738" s="60">
        <f t="shared" si="295"/>
        <v>5</v>
      </c>
      <c r="H738" s="60">
        <v>5</v>
      </c>
      <c r="I738" s="60">
        <v>0</v>
      </c>
      <c r="J738" s="65" t="s">
        <v>222</v>
      </c>
      <c r="K738" s="66" t="s">
        <v>516</v>
      </c>
      <c r="L738" s="55"/>
    </row>
    <row r="739" spans="1:12" ht="12.75" customHeight="1" thickBot="1" x14ac:dyDescent="0.25">
      <c r="A739" s="60">
        <f t="shared" ref="A739:H739" si="310">SUM(A737:A738)</f>
        <v>400</v>
      </c>
      <c r="B739" s="60">
        <f t="shared" si="310"/>
        <v>400</v>
      </c>
      <c r="C739" s="60">
        <f t="shared" si="310"/>
        <v>0</v>
      </c>
      <c r="D739" s="60">
        <f t="shared" si="310"/>
        <v>2</v>
      </c>
      <c r="E739" s="60">
        <f t="shared" si="310"/>
        <v>2</v>
      </c>
      <c r="F739" s="60">
        <f t="shared" si="310"/>
        <v>0</v>
      </c>
      <c r="G739" s="60">
        <f t="shared" si="310"/>
        <v>398</v>
      </c>
      <c r="H739" s="60">
        <f t="shared" si="310"/>
        <v>398</v>
      </c>
      <c r="I739" s="60">
        <f>SUM(I737:I738)</f>
        <v>0</v>
      </c>
      <c r="J739" s="65" t="s">
        <v>13</v>
      </c>
      <c r="K739" s="67"/>
      <c r="L739" s="55"/>
    </row>
    <row r="740" spans="1:12" ht="12.75" customHeight="1" thickBot="1" x14ac:dyDescent="0.25">
      <c r="A740" s="60">
        <f t="shared" si="292"/>
        <v>269</v>
      </c>
      <c r="B740" s="60">
        <f t="shared" si="293"/>
        <v>269</v>
      </c>
      <c r="C740" s="60">
        <f t="shared" si="293"/>
        <v>0</v>
      </c>
      <c r="D740" s="60">
        <f t="shared" si="294"/>
        <v>0</v>
      </c>
      <c r="E740" s="60">
        <v>0</v>
      </c>
      <c r="F740" s="60">
        <v>0</v>
      </c>
      <c r="G740" s="60">
        <f t="shared" si="295"/>
        <v>269</v>
      </c>
      <c r="H740" s="60">
        <v>269</v>
      </c>
      <c r="I740" s="60">
        <v>0</v>
      </c>
      <c r="J740" s="65" t="s">
        <v>221</v>
      </c>
      <c r="K740" s="66"/>
      <c r="L740" s="55"/>
    </row>
    <row r="741" spans="1:12" ht="12.75" customHeight="1" thickBot="1" x14ac:dyDescent="0.25">
      <c r="A741" s="60">
        <f t="shared" si="292"/>
        <v>3</v>
      </c>
      <c r="B741" s="60">
        <f t="shared" si="293"/>
        <v>3</v>
      </c>
      <c r="C741" s="60">
        <f t="shared" si="293"/>
        <v>0</v>
      </c>
      <c r="D741" s="60">
        <f t="shared" si="294"/>
        <v>0</v>
      </c>
      <c r="E741" s="60">
        <v>0</v>
      </c>
      <c r="F741" s="60">
        <v>0</v>
      </c>
      <c r="G741" s="60">
        <f t="shared" si="295"/>
        <v>3</v>
      </c>
      <c r="H741" s="60">
        <v>3</v>
      </c>
      <c r="I741" s="60">
        <v>0</v>
      </c>
      <c r="J741" s="65" t="s">
        <v>222</v>
      </c>
      <c r="K741" s="66" t="s">
        <v>517</v>
      </c>
      <c r="L741" s="55"/>
    </row>
    <row r="742" spans="1:12" ht="12.75" customHeight="1" thickBot="1" x14ac:dyDescent="0.25">
      <c r="A742" s="60">
        <f t="shared" ref="A742:H742" si="311">SUM(A740:A741)</f>
        <v>272</v>
      </c>
      <c r="B742" s="60">
        <f t="shared" si="311"/>
        <v>272</v>
      </c>
      <c r="C742" s="60">
        <f t="shared" si="311"/>
        <v>0</v>
      </c>
      <c r="D742" s="60">
        <f t="shared" si="311"/>
        <v>0</v>
      </c>
      <c r="E742" s="60">
        <f t="shared" si="311"/>
        <v>0</v>
      </c>
      <c r="F742" s="60">
        <f t="shared" si="311"/>
        <v>0</v>
      </c>
      <c r="G742" s="60">
        <f t="shared" si="311"/>
        <v>272</v>
      </c>
      <c r="H742" s="60">
        <f t="shared" si="311"/>
        <v>272</v>
      </c>
      <c r="I742" s="60">
        <f>SUM(I740:I741)</f>
        <v>0</v>
      </c>
      <c r="J742" s="65" t="s">
        <v>13</v>
      </c>
      <c r="K742" s="67"/>
      <c r="L742" s="55"/>
    </row>
    <row r="743" spans="1:12" ht="12.75" customHeight="1" thickBot="1" x14ac:dyDescent="0.25">
      <c r="A743" s="60">
        <f t="shared" si="292"/>
        <v>198</v>
      </c>
      <c r="B743" s="60">
        <f t="shared" si="293"/>
        <v>198</v>
      </c>
      <c r="C743" s="60">
        <f t="shared" si="293"/>
        <v>0</v>
      </c>
      <c r="D743" s="60">
        <f t="shared" si="294"/>
        <v>0</v>
      </c>
      <c r="E743" s="60">
        <v>0</v>
      </c>
      <c r="F743" s="60">
        <v>0</v>
      </c>
      <c r="G743" s="60">
        <f t="shared" si="295"/>
        <v>198</v>
      </c>
      <c r="H743" s="60">
        <v>198</v>
      </c>
      <c r="I743" s="60">
        <v>0</v>
      </c>
      <c r="J743" s="65" t="s">
        <v>221</v>
      </c>
      <c r="K743" s="66"/>
      <c r="L743" s="55"/>
    </row>
    <row r="744" spans="1:12" ht="12.75" customHeight="1" thickBot="1" x14ac:dyDescent="0.25">
      <c r="A744" s="60">
        <f t="shared" si="292"/>
        <v>2</v>
      </c>
      <c r="B744" s="60">
        <f t="shared" si="293"/>
        <v>2</v>
      </c>
      <c r="C744" s="60">
        <f t="shared" si="293"/>
        <v>0</v>
      </c>
      <c r="D744" s="60">
        <f t="shared" si="294"/>
        <v>0</v>
      </c>
      <c r="E744" s="60">
        <v>0</v>
      </c>
      <c r="F744" s="60">
        <v>0</v>
      </c>
      <c r="G744" s="60">
        <f t="shared" si="295"/>
        <v>2</v>
      </c>
      <c r="H744" s="60">
        <v>2</v>
      </c>
      <c r="I744" s="60">
        <v>0</v>
      </c>
      <c r="J744" s="65" t="s">
        <v>222</v>
      </c>
      <c r="K744" s="66" t="s">
        <v>518</v>
      </c>
      <c r="L744" s="55"/>
    </row>
    <row r="745" spans="1:12" ht="12.75" customHeight="1" thickBot="1" x14ac:dyDescent="0.25">
      <c r="A745" s="60">
        <f t="shared" ref="A745:G745" si="312">SUM(A743:A744)</f>
        <v>200</v>
      </c>
      <c r="B745" s="60">
        <f t="shared" si="312"/>
        <v>200</v>
      </c>
      <c r="C745" s="60">
        <f t="shared" si="312"/>
        <v>0</v>
      </c>
      <c r="D745" s="60">
        <f t="shared" si="312"/>
        <v>0</v>
      </c>
      <c r="E745" s="60">
        <f t="shared" si="312"/>
        <v>0</v>
      </c>
      <c r="F745" s="60">
        <f t="shared" si="312"/>
        <v>0</v>
      </c>
      <c r="G745" s="60">
        <f t="shared" si="312"/>
        <v>200</v>
      </c>
      <c r="H745" s="60">
        <f t="shared" ref="H745" si="313">SUM(H743:H744)</f>
        <v>200</v>
      </c>
      <c r="I745" s="60">
        <f>SUM(I743:I744)</f>
        <v>0</v>
      </c>
      <c r="J745" s="65" t="s">
        <v>13</v>
      </c>
      <c r="K745" s="67"/>
      <c r="L745" s="55"/>
    </row>
    <row r="746" spans="1:12" ht="12.75" customHeight="1" thickBot="1" x14ac:dyDescent="0.25">
      <c r="A746" s="60">
        <f t="shared" si="292"/>
        <v>612</v>
      </c>
      <c r="B746" s="60">
        <f t="shared" si="293"/>
        <v>612</v>
      </c>
      <c r="C746" s="60">
        <f t="shared" si="293"/>
        <v>0</v>
      </c>
      <c r="D746" s="60">
        <f t="shared" si="294"/>
        <v>0</v>
      </c>
      <c r="E746" s="60">
        <v>0</v>
      </c>
      <c r="F746" s="60">
        <v>0</v>
      </c>
      <c r="G746" s="60">
        <f t="shared" si="295"/>
        <v>612</v>
      </c>
      <c r="H746" s="60">
        <v>612</v>
      </c>
      <c r="I746" s="60">
        <v>0</v>
      </c>
      <c r="J746" s="65" t="s">
        <v>221</v>
      </c>
      <c r="K746" s="66"/>
      <c r="L746" s="55"/>
    </row>
    <row r="747" spans="1:12" ht="12.75" customHeight="1" thickBot="1" x14ac:dyDescent="0.25">
      <c r="A747" s="60">
        <f t="shared" si="292"/>
        <v>5</v>
      </c>
      <c r="B747" s="60">
        <f t="shared" si="293"/>
        <v>5</v>
      </c>
      <c r="C747" s="60">
        <f t="shared" si="293"/>
        <v>0</v>
      </c>
      <c r="D747" s="60">
        <f t="shared" si="294"/>
        <v>0</v>
      </c>
      <c r="E747" s="60">
        <v>0</v>
      </c>
      <c r="F747" s="60">
        <v>0</v>
      </c>
      <c r="G747" s="60">
        <f t="shared" si="295"/>
        <v>5</v>
      </c>
      <c r="H747" s="60">
        <v>5</v>
      </c>
      <c r="I747" s="60">
        <v>0</v>
      </c>
      <c r="J747" s="65" t="s">
        <v>222</v>
      </c>
      <c r="K747" s="66" t="s">
        <v>519</v>
      </c>
      <c r="L747" s="55"/>
    </row>
    <row r="748" spans="1:12" ht="12.75" customHeight="1" thickBot="1" x14ac:dyDescent="0.25">
      <c r="A748" s="60">
        <f t="shared" ref="A748:H748" si="314">SUM(A746:A747)</f>
        <v>617</v>
      </c>
      <c r="B748" s="60">
        <f t="shared" si="314"/>
        <v>617</v>
      </c>
      <c r="C748" s="60">
        <f t="shared" si="314"/>
        <v>0</v>
      </c>
      <c r="D748" s="60">
        <f t="shared" si="314"/>
        <v>0</v>
      </c>
      <c r="E748" s="60">
        <f t="shared" si="314"/>
        <v>0</v>
      </c>
      <c r="F748" s="60">
        <f t="shared" si="314"/>
        <v>0</v>
      </c>
      <c r="G748" s="60">
        <f t="shared" si="314"/>
        <v>617</v>
      </c>
      <c r="H748" s="60">
        <f t="shared" si="314"/>
        <v>617</v>
      </c>
      <c r="I748" s="60">
        <f>SUM(I746:I747)</f>
        <v>0</v>
      </c>
      <c r="J748" s="65" t="s">
        <v>13</v>
      </c>
      <c r="K748" s="67"/>
      <c r="L748" s="55"/>
    </row>
    <row r="749" spans="1:12" ht="12.75" customHeight="1" thickBot="1" x14ac:dyDescent="0.25">
      <c r="A749" s="60">
        <f t="shared" si="292"/>
        <v>554</v>
      </c>
      <c r="B749" s="60">
        <f t="shared" si="293"/>
        <v>554</v>
      </c>
      <c r="C749" s="60">
        <f t="shared" si="293"/>
        <v>0</v>
      </c>
      <c r="D749" s="60">
        <f t="shared" si="294"/>
        <v>0</v>
      </c>
      <c r="E749" s="60">
        <v>0</v>
      </c>
      <c r="F749" s="60">
        <v>0</v>
      </c>
      <c r="G749" s="60">
        <f t="shared" si="295"/>
        <v>554</v>
      </c>
      <c r="H749" s="60">
        <v>554</v>
      </c>
      <c r="I749" s="60">
        <v>0</v>
      </c>
      <c r="J749" s="65" t="s">
        <v>221</v>
      </c>
      <c r="K749" s="66"/>
      <c r="L749" s="55"/>
    </row>
    <row r="750" spans="1:12" ht="12.75" customHeight="1" thickBot="1" x14ac:dyDescent="0.25">
      <c r="A750" s="60">
        <f t="shared" si="292"/>
        <v>67</v>
      </c>
      <c r="B750" s="60">
        <f t="shared" si="293"/>
        <v>67</v>
      </c>
      <c r="C750" s="60">
        <f t="shared" si="293"/>
        <v>0</v>
      </c>
      <c r="D750" s="60">
        <f t="shared" si="294"/>
        <v>0</v>
      </c>
      <c r="E750" s="60">
        <v>0</v>
      </c>
      <c r="F750" s="60">
        <v>0</v>
      </c>
      <c r="G750" s="60">
        <f t="shared" si="295"/>
        <v>67</v>
      </c>
      <c r="H750" s="60">
        <v>67</v>
      </c>
      <c r="I750" s="60">
        <v>0</v>
      </c>
      <c r="J750" s="65" t="s">
        <v>222</v>
      </c>
      <c r="K750" s="66" t="s">
        <v>520</v>
      </c>
      <c r="L750" s="55"/>
    </row>
    <row r="751" spans="1:12" ht="12.75" customHeight="1" thickBot="1" x14ac:dyDescent="0.25">
      <c r="A751" s="60">
        <f t="shared" ref="A751:H751" si="315">SUM(A749:A750)</f>
        <v>621</v>
      </c>
      <c r="B751" s="60">
        <f t="shared" si="315"/>
        <v>621</v>
      </c>
      <c r="C751" s="60">
        <f t="shared" si="315"/>
        <v>0</v>
      </c>
      <c r="D751" s="60">
        <f t="shared" si="315"/>
        <v>0</v>
      </c>
      <c r="E751" s="60">
        <f t="shared" si="315"/>
        <v>0</v>
      </c>
      <c r="F751" s="60">
        <f t="shared" si="315"/>
        <v>0</v>
      </c>
      <c r="G751" s="60">
        <f t="shared" si="315"/>
        <v>621</v>
      </c>
      <c r="H751" s="60">
        <f t="shared" si="315"/>
        <v>621</v>
      </c>
      <c r="I751" s="60">
        <f>SUM(I749:I750)</f>
        <v>0</v>
      </c>
      <c r="J751" s="65" t="s">
        <v>13</v>
      </c>
      <c r="K751" s="67"/>
      <c r="L751" s="55"/>
    </row>
    <row r="752" spans="1:12" ht="12.75" customHeight="1" thickBot="1" x14ac:dyDescent="0.25">
      <c r="A752" s="60">
        <f t="shared" si="292"/>
        <v>248</v>
      </c>
      <c r="B752" s="60">
        <f t="shared" si="293"/>
        <v>248</v>
      </c>
      <c r="C752" s="60">
        <f t="shared" si="293"/>
        <v>0</v>
      </c>
      <c r="D752" s="60">
        <f t="shared" si="294"/>
        <v>0</v>
      </c>
      <c r="E752" s="60">
        <v>0</v>
      </c>
      <c r="F752" s="60">
        <v>0</v>
      </c>
      <c r="G752" s="60">
        <f t="shared" si="295"/>
        <v>248</v>
      </c>
      <c r="H752" s="60">
        <v>248</v>
      </c>
      <c r="I752" s="60">
        <v>0</v>
      </c>
      <c r="J752" s="65" t="s">
        <v>221</v>
      </c>
      <c r="K752" s="66"/>
      <c r="L752" s="55"/>
    </row>
    <row r="753" spans="1:12" ht="12.75" customHeight="1" thickBot="1" x14ac:dyDescent="0.25">
      <c r="A753" s="60">
        <f t="shared" si="292"/>
        <v>0</v>
      </c>
      <c r="B753" s="60">
        <f t="shared" si="293"/>
        <v>0</v>
      </c>
      <c r="C753" s="60">
        <f t="shared" si="293"/>
        <v>0</v>
      </c>
      <c r="D753" s="60">
        <f t="shared" si="294"/>
        <v>0</v>
      </c>
      <c r="E753" s="60">
        <v>0</v>
      </c>
      <c r="F753" s="60">
        <v>0</v>
      </c>
      <c r="G753" s="60">
        <f t="shared" si="295"/>
        <v>0</v>
      </c>
      <c r="H753" s="60">
        <v>0</v>
      </c>
      <c r="I753" s="60">
        <v>0</v>
      </c>
      <c r="J753" s="65" t="s">
        <v>222</v>
      </c>
      <c r="K753" s="66" t="s">
        <v>521</v>
      </c>
      <c r="L753" s="55"/>
    </row>
    <row r="754" spans="1:12" ht="12.75" customHeight="1" thickBot="1" x14ac:dyDescent="0.25">
      <c r="A754" s="60">
        <f t="shared" ref="A754:H754" si="316">SUM(A752:A753)</f>
        <v>248</v>
      </c>
      <c r="B754" s="60">
        <f t="shared" si="316"/>
        <v>248</v>
      </c>
      <c r="C754" s="60">
        <f t="shared" si="316"/>
        <v>0</v>
      </c>
      <c r="D754" s="60">
        <f t="shared" si="316"/>
        <v>0</v>
      </c>
      <c r="E754" s="60">
        <f t="shared" si="316"/>
        <v>0</v>
      </c>
      <c r="F754" s="60">
        <f t="shared" si="316"/>
        <v>0</v>
      </c>
      <c r="G754" s="60">
        <f t="shared" si="316"/>
        <v>248</v>
      </c>
      <c r="H754" s="60">
        <f t="shared" si="316"/>
        <v>248</v>
      </c>
      <c r="I754" s="60">
        <f>SUM(I752:I753)</f>
        <v>0</v>
      </c>
      <c r="J754" s="65" t="s">
        <v>13</v>
      </c>
      <c r="K754" s="67"/>
      <c r="L754" s="55"/>
    </row>
    <row r="755" spans="1:12" ht="12.75" customHeight="1" thickBot="1" x14ac:dyDescent="0.25">
      <c r="A755" s="60">
        <f t="shared" si="292"/>
        <v>79</v>
      </c>
      <c r="B755" s="60">
        <f t="shared" si="293"/>
        <v>79</v>
      </c>
      <c r="C755" s="60">
        <f t="shared" si="293"/>
        <v>0</v>
      </c>
      <c r="D755" s="60">
        <f t="shared" si="294"/>
        <v>0</v>
      </c>
      <c r="E755" s="60">
        <v>0</v>
      </c>
      <c r="F755" s="60">
        <v>0</v>
      </c>
      <c r="G755" s="60">
        <f t="shared" si="295"/>
        <v>79</v>
      </c>
      <c r="H755" s="60">
        <v>79</v>
      </c>
      <c r="I755" s="60">
        <v>0</v>
      </c>
      <c r="J755" s="65" t="s">
        <v>221</v>
      </c>
      <c r="K755" s="66"/>
      <c r="L755" s="55"/>
    </row>
    <row r="756" spans="1:12" ht="12.75" customHeight="1" thickBot="1" x14ac:dyDescent="0.25">
      <c r="A756" s="60">
        <f t="shared" si="292"/>
        <v>9</v>
      </c>
      <c r="B756" s="60">
        <f t="shared" si="293"/>
        <v>9</v>
      </c>
      <c r="C756" s="60">
        <f t="shared" si="293"/>
        <v>0</v>
      </c>
      <c r="D756" s="60">
        <f t="shared" si="294"/>
        <v>0</v>
      </c>
      <c r="E756" s="60">
        <v>0</v>
      </c>
      <c r="F756" s="60">
        <v>0</v>
      </c>
      <c r="G756" s="60">
        <f t="shared" si="295"/>
        <v>9</v>
      </c>
      <c r="H756" s="60">
        <v>9</v>
      </c>
      <c r="I756" s="60">
        <v>0</v>
      </c>
      <c r="J756" s="65" t="s">
        <v>222</v>
      </c>
      <c r="K756" s="66" t="s">
        <v>522</v>
      </c>
      <c r="L756" s="55"/>
    </row>
    <row r="757" spans="1:12" ht="12.75" customHeight="1" thickBot="1" x14ac:dyDescent="0.25">
      <c r="A757" s="60">
        <f t="shared" ref="A757:H757" si="317">SUM(A755:A756)</f>
        <v>88</v>
      </c>
      <c r="B757" s="60">
        <f t="shared" si="317"/>
        <v>88</v>
      </c>
      <c r="C757" s="60">
        <f t="shared" si="317"/>
        <v>0</v>
      </c>
      <c r="D757" s="60">
        <f t="shared" si="317"/>
        <v>0</v>
      </c>
      <c r="E757" s="60">
        <f t="shared" si="317"/>
        <v>0</v>
      </c>
      <c r="F757" s="60">
        <f t="shared" si="317"/>
        <v>0</v>
      </c>
      <c r="G757" s="60">
        <f t="shared" si="317"/>
        <v>88</v>
      </c>
      <c r="H757" s="60">
        <f t="shared" si="317"/>
        <v>88</v>
      </c>
      <c r="I757" s="60">
        <f>SUM(I755:I756)</f>
        <v>0</v>
      </c>
      <c r="J757" s="65" t="s">
        <v>13</v>
      </c>
      <c r="K757" s="67"/>
      <c r="L757" s="55"/>
    </row>
    <row r="758" spans="1:12" ht="12.75" customHeight="1" thickBot="1" x14ac:dyDescent="0.25">
      <c r="A758" s="60">
        <f t="shared" si="292"/>
        <v>131</v>
      </c>
      <c r="B758" s="60">
        <f t="shared" si="293"/>
        <v>131</v>
      </c>
      <c r="C758" s="60">
        <f t="shared" si="293"/>
        <v>0</v>
      </c>
      <c r="D758" s="60">
        <f t="shared" si="294"/>
        <v>0</v>
      </c>
      <c r="E758" s="60">
        <v>0</v>
      </c>
      <c r="F758" s="60">
        <v>0</v>
      </c>
      <c r="G758" s="60">
        <f t="shared" si="295"/>
        <v>131</v>
      </c>
      <c r="H758" s="60">
        <v>131</v>
      </c>
      <c r="I758" s="60">
        <v>0</v>
      </c>
      <c r="J758" s="65" t="s">
        <v>221</v>
      </c>
      <c r="K758" s="66"/>
      <c r="L758" s="55"/>
    </row>
    <row r="759" spans="1:12" ht="12.75" customHeight="1" thickBot="1" x14ac:dyDescent="0.25">
      <c r="A759" s="60">
        <f t="shared" si="292"/>
        <v>6</v>
      </c>
      <c r="B759" s="60">
        <f t="shared" si="293"/>
        <v>6</v>
      </c>
      <c r="C759" s="60">
        <f t="shared" si="293"/>
        <v>0</v>
      </c>
      <c r="D759" s="60">
        <f t="shared" si="294"/>
        <v>0</v>
      </c>
      <c r="E759" s="60">
        <v>0</v>
      </c>
      <c r="F759" s="60">
        <v>0</v>
      </c>
      <c r="G759" s="60">
        <f t="shared" si="295"/>
        <v>6</v>
      </c>
      <c r="H759" s="60">
        <v>6</v>
      </c>
      <c r="I759" s="60">
        <v>0</v>
      </c>
      <c r="J759" s="65" t="s">
        <v>222</v>
      </c>
      <c r="K759" s="66" t="s">
        <v>523</v>
      </c>
      <c r="L759" s="55"/>
    </row>
    <row r="760" spans="1:12" ht="12.75" customHeight="1" thickBot="1" x14ac:dyDescent="0.25">
      <c r="A760" s="60">
        <f t="shared" ref="A760:H760" si="318">SUM(A758:A759)</f>
        <v>137</v>
      </c>
      <c r="B760" s="60">
        <f t="shared" si="318"/>
        <v>137</v>
      </c>
      <c r="C760" s="60">
        <f t="shared" si="318"/>
        <v>0</v>
      </c>
      <c r="D760" s="60">
        <f t="shared" si="318"/>
        <v>0</v>
      </c>
      <c r="E760" s="60">
        <f t="shared" si="318"/>
        <v>0</v>
      </c>
      <c r="F760" s="60">
        <f t="shared" si="318"/>
        <v>0</v>
      </c>
      <c r="G760" s="60">
        <f t="shared" si="318"/>
        <v>137</v>
      </c>
      <c r="H760" s="60">
        <f t="shared" si="318"/>
        <v>137</v>
      </c>
      <c r="I760" s="60">
        <f>SUM(I758:I759)</f>
        <v>0</v>
      </c>
      <c r="J760" s="65" t="s">
        <v>13</v>
      </c>
      <c r="K760" s="67"/>
      <c r="L760" s="55"/>
    </row>
    <row r="761" spans="1:12" ht="12.75" customHeight="1" thickBot="1" x14ac:dyDescent="0.25">
      <c r="A761" s="60">
        <f t="shared" ref="A761:I763" si="319">A695+A698+A701+A704+A707+A710+A713+A716+A719+A722+A725+A728+A731+A734+A737+A740+A743+A746+A749+A752+A755+A758</f>
        <v>7646</v>
      </c>
      <c r="B761" s="60">
        <f t="shared" si="319"/>
        <v>7646</v>
      </c>
      <c r="C761" s="60">
        <f t="shared" si="319"/>
        <v>0</v>
      </c>
      <c r="D761" s="60">
        <f t="shared" si="319"/>
        <v>22</v>
      </c>
      <c r="E761" s="60">
        <f t="shared" si="319"/>
        <v>22</v>
      </c>
      <c r="F761" s="60">
        <f t="shared" si="319"/>
        <v>0</v>
      </c>
      <c r="G761" s="60">
        <f t="shared" si="319"/>
        <v>7624</v>
      </c>
      <c r="H761" s="60">
        <f t="shared" si="319"/>
        <v>7624</v>
      </c>
      <c r="I761" s="60">
        <f>I695+I698+I701+I704+I707+I710+I713+I716+I719+I722+I725+I728+I731+I734+I737+I740+I743+I746+I749+I752+I755+I758</f>
        <v>0</v>
      </c>
      <c r="J761" s="65" t="s">
        <v>224</v>
      </c>
      <c r="K761" s="57"/>
      <c r="L761" s="55"/>
    </row>
    <row r="762" spans="1:12" ht="12.75" customHeight="1" thickBot="1" x14ac:dyDescent="0.25">
      <c r="A762" s="60">
        <f t="shared" si="319"/>
        <v>280</v>
      </c>
      <c r="B762" s="60">
        <f t="shared" si="319"/>
        <v>280</v>
      </c>
      <c r="C762" s="60">
        <f t="shared" si="319"/>
        <v>0</v>
      </c>
      <c r="D762" s="60">
        <f t="shared" si="319"/>
        <v>0</v>
      </c>
      <c r="E762" s="60">
        <f t="shared" si="319"/>
        <v>0</v>
      </c>
      <c r="F762" s="60">
        <f t="shared" si="319"/>
        <v>0</v>
      </c>
      <c r="G762" s="60">
        <f t="shared" si="319"/>
        <v>280</v>
      </c>
      <c r="H762" s="60">
        <f t="shared" si="319"/>
        <v>280</v>
      </c>
      <c r="I762" s="60">
        <f t="shared" si="319"/>
        <v>0</v>
      </c>
      <c r="J762" s="65" t="s">
        <v>225</v>
      </c>
      <c r="K762" s="68" t="s">
        <v>211</v>
      </c>
      <c r="L762" s="55"/>
    </row>
    <row r="763" spans="1:12" ht="12.75" customHeight="1" thickBot="1" x14ac:dyDescent="0.25">
      <c r="A763" s="60">
        <f t="shared" si="319"/>
        <v>7926</v>
      </c>
      <c r="B763" s="60">
        <f t="shared" si="319"/>
        <v>7926</v>
      </c>
      <c r="C763" s="60">
        <f t="shared" si="319"/>
        <v>0</v>
      </c>
      <c r="D763" s="60">
        <f t="shared" si="319"/>
        <v>22</v>
      </c>
      <c r="E763" s="60">
        <f t="shared" si="319"/>
        <v>22</v>
      </c>
      <c r="F763" s="60">
        <f t="shared" si="319"/>
        <v>0</v>
      </c>
      <c r="G763" s="60">
        <f t="shared" si="319"/>
        <v>7904</v>
      </c>
      <c r="H763" s="60">
        <f t="shared" si="319"/>
        <v>7904</v>
      </c>
      <c r="I763" s="60">
        <f t="shared" si="319"/>
        <v>0</v>
      </c>
      <c r="J763" s="65" t="s">
        <v>13</v>
      </c>
      <c r="K763" s="59"/>
      <c r="L763" s="55"/>
    </row>
    <row r="764" spans="1:12" ht="12.75" customHeight="1" x14ac:dyDescent="0.2">
      <c r="A764" s="177" t="s">
        <v>597</v>
      </c>
      <c r="B764" s="177"/>
      <c r="C764" s="177"/>
      <c r="D764" s="177"/>
      <c r="E764" s="177"/>
      <c r="F764" s="177"/>
      <c r="G764" s="177"/>
      <c r="H764" s="177"/>
      <c r="I764" s="177"/>
      <c r="J764" s="177"/>
      <c r="K764" s="177"/>
      <c r="L764" s="55"/>
    </row>
    <row r="765" spans="1:12" ht="12.75" customHeight="1" thickBot="1" x14ac:dyDescent="0.25">
      <c r="A765" s="178" t="s">
        <v>598</v>
      </c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55"/>
    </row>
    <row r="766" spans="1:12" ht="12.75" customHeight="1" thickBot="1" x14ac:dyDescent="0.25">
      <c r="A766" s="179" t="s">
        <v>5</v>
      </c>
      <c r="B766" s="179"/>
      <c r="C766" s="179"/>
      <c r="D766" s="179" t="s">
        <v>162</v>
      </c>
      <c r="E766" s="179"/>
      <c r="F766" s="179"/>
      <c r="G766" s="179" t="s">
        <v>163</v>
      </c>
      <c r="H766" s="179"/>
      <c r="I766" s="179"/>
      <c r="J766" s="179" t="s">
        <v>72</v>
      </c>
      <c r="K766" s="179"/>
      <c r="L766" s="55"/>
    </row>
    <row r="767" spans="1:12" ht="12.75" customHeight="1" thickBot="1" x14ac:dyDescent="0.25">
      <c r="A767" s="58" t="s">
        <v>216</v>
      </c>
      <c r="B767" s="58" t="s">
        <v>11</v>
      </c>
      <c r="C767" s="58" t="s">
        <v>10</v>
      </c>
      <c r="D767" s="58" t="s">
        <v>216</v>
      </c>
      <c r="E767" s="58" t="s">
        <v>11</v>
      </c>
      <c r="F767" s="58" t="s">
        <v>10</v>
      </c>
      <c r="G767" s="58" t="s">
        <v>216</v>
      </c>
      <c r="H767" s="58" t="s">
        <v>11</v>
      </c>
      <c r="I767" s="58" t="s">
        <v>10</v>
      </c>
      <c r="J767" s="180" t="s">
        <v>133</v>
      </c>
      <c r="K767" s="180"/>
      <c r="L767" s="55"/>
    </row>
    <row r="768" spans="1:12" ht="12.75" customHeight="1" thickBot="1" x14ac:dyDescent="0.25">
      <c r="A768" s="60">
        <f>SUM(B768:C768)</f>
        <v>192</v>
      </c>
      <c r="B768" s="60">
        <f>H768+E768</f>
        <v>0</v>
      </c>
      <c r="C768" s="60">
        <f>I768+F768</f>
        <v>192</v>
      </c>
      <c r="D768" s="60">
        <f>SUM(E768:F768)</f>
        <v>0</v>
      </c>
      <c r="E768" s="60">
        <v>0</v>
      </c>
      <c r="F768" s="60">
        <v>0</v>
      </c>
      <c r="G768" s="60">
        <f>SUM(H768:I768)</f>
        <v>192</v>
      </c>
      <c r="H768" s="60">
        <v>0</v>
      </c>
      <c r="I768" s="60">
        <f>308+63-99-80</f>
        <v>192</v>
      </c>
      <c r="J768" s="65" t="s">
        <v>221</v>
      </c>
      <c r="K768" s="66"/>
      <c r="L768" s="55"/>
    </row>
    <row r="769" spans="1:12" ht="12.75" customHeight="1" thickBot="1" x14ac:dyDescent="0.25">
      <c r="A769" s="60">
        <f t="shared" ref="A769:A775" si="320">SUM(B769:C769)</f>
        <v>0</v>
      </c>
      <c r="B769" s="60">
        <f t="shared" ref="B769:C775" si="321">H769+E769</f>
        <v>0</v>
      </c>
      <c r="C769" s="60">
        <f t="shared" si="321"/>
        <v>0</v>
      </c>
      <c r="D769" s="60">
        <f t="shared" ref="D769:D775" si="322">SUM(E769:F769)</f>
        <v>0</v>
      </c>
      <c r="E769" s="60">
        <v>0</v>
      </c>
      <c r="F769" s="60">
        <v>0</v>
      </c>
      <c r="G769" s="60">
        <f t="shared" ref="G769:G775" si="323">SUM(H769:I769)</f>
        <v>0</v>
      </c>
      <c r="H769" s="60">
        <v>0</v>
      </c>
      <c r="I769" s="60">
        <v>0</v>
      </c>
      <c r="J769" s="65" t="s">
        <v>222</v>
      </c>
      <c r="K769" s="66" t="s">
        <v>278</v>
      </c>
      <c r="L769" s="55"/>
    </row>
    <row r="770" spans="1:12" ht="12.75" customHeight="1" thickBot="1" x14ac:dyDescent="0.25">
      <c r="A770" s="60">
        <f t="shared" ref="A770:H770" si="324">SUM(A768:A769)</f>
        <v>192</v>
      </c>
      <c r="B770" s="60">
        <f t="shared" si="324"/>
        <v>0</v>
      </c>
      <c r="C770" s="60">
        <f t="shared" si="324"/>
        <v>192</v>
      </c>
      <c r="D770" s="60">
        <f t="shared" si="324"/>
        <v>0</v>
      </c>
      <c r="E770" s="60">
        <f t="shared" si="324"/>
        <v>0</v>
      </c>
      <c r="F770" s="60">
        <f t="shared" si="324"/>
        <v>0</v>
      </c>
      <c r="G770" s="60">
        <f t="shared" si="324"/>
        <v>192</v>
      </c>
      <c r="H770" s="60">
        <f t="shared" si="324"/>
        <v>0</v>
      </c>
      <c r="I770" s="60">
        <f>SUM(I768:I769)</f>
        <v>192</v>
      </c>
      <c r="J770" s="65" t="s">
        <v>13</v>
      </c>
      <c r="K770" s="67"/>
      <c r="L770" s="55"/>
    </row>
    <row r="771" spans="1:12" ht="12.75" customHeight="1" thickBot="1" x14ac:dyDescent="0.25">
      <c r="A771" s="60">
        <f t="shared" si="320"/>
        <v>425</v>
      </c>
      <c r="B771" s="60">
        <f t="shared" si="321"/>
        <v>425</v>
      </c>
      <c r="C771" s="60">
        <f t="shared" si="321"/>
        <v>0</v>
      </c>
      <c r="D771" s="60">
        <f t="shared" si="322"/>
        <v>0</v>
      </c>
      <c r="E771" s="60">
        <v>0</v>
      </c>
      <c r="F771" s="60">
        <v>0</v>
      </c>
      <c r="G771" s="60">
        <f t="shared" si="323"/>
        <v>425</v>
      </c>
      <c r="H771" s="60">
        <f>512-87</f>
        <v>425</v>
      </c>
      <c r="I771" s="60">
        <v>0</v>
      </c>
      <c r="J771" s="65" t="s">
        <v>221</v>
      </c>
      <c r="K771" s="66"/>
      <c r="L771" s="55"/>
    </row>
    <row r="772" spans="1:12" ht="12.75" customHeight="1" thickBot="1" x14ac:dyDescent="0.25">
      <c r="A772" s="60">
        <f t="shared" si="320"/>
        <v>0</v>
      </c>
      <c r="B772" s="60">
        <f t="shared" si="321"/>
        <v>0</v>
      </c>
      <c r="C772" s="60">
        <f t="shared" si="321"/>
        <v>0</v>
      </c>
      <c r="D772" s="60">
        <f t="shared" si="322"/>
        <v>0</v>
      </c>
      <c r="E772" s="60">
        <v>0</v>
      </c>
      <c r="F772" s="60">
        <v>0</v>
      </c>
      <c r="G772" s="60">
        <f t="shared" si="323"/>
        <v>0</v>
      </c>
      <c r="H772" s="60">
        <v>0</v>
      </c>
      <c r="I772" s="60">
        <v>0</v>
      </c>
      <c r="J772" s="65" t="s">
        <v>222</v>
      </c>
      <c r="K772" s="66" t="s">
        <v>525</v>
      </c>
      <c r="L772" s="55"/>
    </row>
    <row r="773" spans="1:12" ht="12.75" customHeight="1" thickBot="1" x14ac:dyDescent="0.25">
      <c r="A773" s="60">
        <f t="shared" ref="A773:H773" si="325">SUM(A771:A772)</f>
        <v>425</v>
      </c>
      <c r="B773" s="60">
        <f t="shared" si="325"/>
        <v>425</v>
      </c>
      <c r="C773" s="60">
        <f t="shared" si="325"/>
        <v>0</v>
      </c>
      <c r="D773" s="60">
        <f t="shared" si="325"/>
        <v>0</v>
      </c>
      <c r="E773" s="60">
        <f t="shared" si="325"/>
        <v>0</v>
      </c>
      <c r="F773" s="60">
        <f t="shared" si="325"/>
        <v>0</v>
      </c>
      <c r="G773" s="60">
        <f t="shared" si="325"/>
        <v>425</v>
      </c>
      <c r="H773" s="60">
        <f t="shared" si="325"/>
        <v>425</v>
      </c>
      <c r="I773" s="60">
        <f>SUM(I771:I772)</f>
        <v>0</v>
      </c>
      <c r="J773" s="65" t="s">
        <v>13</v>
      </c>
      <c r="K773" s="67"/>
      <c r="L773" s="55"/>
    </row>
    <row r="774" spans="1:12" ht="12.75" customHeight="1" thickBot="1" x14ac:dyDescent="0.25">
      <c r="A774" s="60">
        <f t="shared" si="320"/>
        <v>478</v>
      </c>
      <c r="B774" s="60">
        <f t="shared" si="321"/>
        <v>478</v>
      </c>
      <c r="C774" s="60">
        <f t="shared" si="321"/>
        <v>0</v>
      </c>
      <c r="D774" s="60">
        <f t="shared" si="322"/>
        <v>0</v>
      </c>
      <c r="E774" s="60">
        <v>0</v>
      </c>
      <c r="F774" s="60">
        <v>0</v>
      </c>
      <c r="G774" s="60">
        <f t="shared" si="323"/>
        <v>478</v>
      </c>
      <c r="H774" s="60">
        <v>478</v>
      </c>
      <c r="I774" s="60">
        <v>0</v>
      </c>
      <c r="J774" s="65" t="s">
        <v>221</v>
      </c>
      <c r="K774" s="66"/>
      <c r="L774" s="55"/>
    </row>
    <row r="775" spans="1:12" ht="12.75" customHeight="1" thickBot="1" x14ac:dyDescent="0.25">
      <c r="A775" s="60">
        <f t="shared" si="320"/>
        <v>48</v>
      </c>
      <c r="B775" s="60">
        <f t="shared" si="321"/>
        <v>48</v>
      </c>
      <c r="C775" s="60">
        <f t="shared" si="321"/>
        <v>0</v>
      </c>
      <c r="D775" s="60">
        <f t="shared" si="322"/>
        <v>0</v>
      </c>
      <c r="E775" s="60">
        <v>0</v>
      </c>
      <c r="F775" s="60">
        <v>0</v>
      </c>
      <c r="G775" s="60">
        <f t="shared" si="323"/>
        <v>48</v>
      </c>
      <c r="H775" s="60">
        <v>48</v>
      </c>
      <c r="I775" s="60">
        <v>0</v>
      </c>
      <c r="J775" s="65" t="s">
        <v>222</v>
      </c>
      <c r="K775" s="66" t="s">
        <v>526</v>
      </c>
      <c r="L775" s="55"/>
    </row>
    <row r="776" spans="1:12" ht="12.75" customHeight="1" thickBot="1" x14ac:dyDescent="0.25">
      <c r="A776" s="60">
        <f t="shared" ref="A776:H776" si="326">SUM(A774:A775)</f>
        <v>526</v>
      </c>
      <c r="B776" s="60">
        <f t="shared" si="326"/>
        <v>526</v>
      </c>
      <c r="C776" s="60">
        <f t="shared" si="326"/>
        <v>0</v>
      </c>
      <c r="D776" s="60">
        <f t="shared" si="326"/>
        <v>0</v>
      </c>
      <c r="E776" s="60">
        <f t="shared" si="326"/>
        <v>0</v>
      </c>
      <c r="F776" s="60">
        <f t="shared" si="326"/>
        <v>0</v>
      </c>
      <c r="G776" s="60">
        <f t="shared" si="326"/>
        <v>526</v>
      </c>
      <c r="H776" s="60">
        <f t="shared" si="326"/>
        <v>526</v>
      </c>
      <c r="I776" s="60">
        <f>SUM(I774:I775)</f>
        <v>0</v>
      </c>
      <c r="J776" s="65" t="s">
        <v>13</v>
      </c>
      <c r="K776" s="67"/>
      <c r="L776" s="55"/>
    </row>
    <row r="777" spans="1:12" ht="12.75" customHeight="1" thickBot="1" x14ac:dyDescent="0.25">
      <c r="A777" s="60">
        <f t="shared" ref="A777:I779" si="327">A768+A771+A774</f>
        <v>1095</v>
      </c>
      <c r="B777" s="60">
        <f t="shared" si="327"/>
        <v>903</v>
      </c>
      <c r="C777" s="60">
        <f t="shared" si="327"/>
        <v>192</v>
      </c>
      <c r="D777" s="60">
        <f t="shared" si="327"/>
        <v>0</v>
      </c>
      <c r="E777" s="60">
        <f t="shared" si="327"/>
        <v>0</v>
      </c>
      <c r="F777" s="60">
        <f t="shared" si="327"/>
        <v>0</v>
      </c>
      <c r="G777" s="60">
        <f t="shared" si="327"/>
        <v>1095</v>
      </c>
      <c r="H777" s="60">
        <f t="shared" si="327"/>
        <v>903</v>
      </c>
      <c r="I777" s="60">
        <f>I768+I771+I774</f>
        <v>192</v>
      </c>
      <c r="J777" s="65" t="s">
        <v>224</v>
      </c>
      <c r="K777" s="57"/>
      <c r="L777" s="55"/>
    </row>
    <row r="778" spans="1:12" ht="12.75" customHeight="1" thickBot="1" x14ac:dyDescent="0.25">
      <c r="A778" s="60">
        <f t="shared" si="327"/>
        <v>48</v>
      </c>
      <c r="B778" s="60">
        <f t="shared" si="327"/>
        <v>48</v>
      </c>
      <c r="C778" s="60">
        <f t="shared" si="327"/>
        <v>0</v>
      </c>
      <c r="D778" s="60">
        <f t="shared" si="327"/>
        <v>0</v>
      </c>
      <c r="E778" s="60">
        <f t="shared" si="327"/>
        <v>0</v>
      </c>
      <c r="F778" s="60">
        <f t="shared" si="327"/>
        <v>0</v>
      </c>
      <c r="G778" s="60">
        <f t="shared" si="327"/>
        <v>48</v>
      </c>
      <c r="H778" s="60">
        <f t="shared" si="327"/>
        <v>48</v>
      </c>
      <c r="I778" s="60">
        <f t="shared" si="327"/>
        <v>0</v>
      </c>
      <c r="J778" s="65" t="s">
        <v>225</v>
      </c>
      <c r="K778" s="68" t="s">
        <v>211</v>
      </c>
      <c r="L778" s="55"/>
    </row>
    <row r="779" spans="1:12" ht="12.75" customHeight="1" thickBot="1" x14ac:dyDescent="0.25">
      <c r="A779" s="60">
        <f t="shared" si="327"/>
        <v>1143</v>
      </c>
      <c r="B779" s="60">
        <f t="shared" si="327"/>
        <v>951</v>
      </c>
      <c r="C779" s="60">
        <f t="shared" si="327"/>
        <v>192</v>
      </c>
      <c r="D779" s="60">
        <f t="shared" si="327"/>
        <v>0</v>
      </c>
      <c r="E779" s="60">
        <f t="shared" si="327"/>
        <v>0</v>
      </c>
      <c r="F779" s="60">
        <f t="shared" si="327"/>
        <v>0</v>
      </c>
      <c r="G779" s="60">
        <f t="shared" si="327"/>
        <v>1143</v>
      </c>
      <c r="H779" s="60">
        <f t="shared" si="327"/>
        <v>951</v>
      </c>
      <c r="I779" s="60">
        <f t="shared" si="327"/>
        <v>192</v>
      </c>
      <c r="J779" s="65" t="s">
        <v>13</v>
      </c>
      <c r="K779" s="59"/>
      <c r="L779" s="55"/>
    </row>
    <row r="780" spans="1:12" ht="12.75" customHeight="1" x14ac:dyDescent="0.2">
      <c r="A780" s="177" t="s">
        <v>597</v>
      </c>
      <c r="B780" s="177"/>
      <c r="C780" s="177"/>
      <c r="D780" s="177"/>
      <c r="E780" s="177"/>
      <c r="F780" s="177"/>
      <c r="G780" s="177"/>
      <c r="H780" s="177"/>
      <c r="I780" s="177"/>
      <c r="J780" s="177"/>
      <c r="K780" s="177"/>
      <c r="L780" s="55"/>
    </row>
    <row r="781" spans="1:12" ht="12.75" customHeight="1" thickBot="1" x14ac:dyDescent="0.25">
      <c r="A781" s="178" t="s">
        <v>598</v>
      </c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55"/>
    </row>
    <row r="782" spans="1:12" ht="12.75" customHeight="1" thickBot="1" x14ac:dyDescent="0.25">
      <c r="A782" s="179" t="s">
        <v>5</v>
      </c>
      <c r="B782" s="179"/>
      <c r="C782" s="179"/>
      <c r="D782" s="179" t="s">
        <v>162</v>
      </c>
      <c r="E782" s="179"/>
      <c r="F782" s="179"/>
      <c r="G782" s="179" t="s">
        <v>163</v>
      </c>
      <c r="H782" s="179"/>
      <c r="I782" s="179"/>
      <c r="J782" s="179" t="s">
        <v>72</v>
      </c>
      <c r="K782" s="179"/>
      <c r="L782" s="55"/>
    </row>
    <row r="783" spans="1:12" ht="12.75" customHeight="1" thickBot="1" x14ac:dyDescent="0.25">
      <c r="A783" s="58" t="s">
        <v>216</v>
      </c>
      <c r="B783" s="58" t="s">
        <v>11</v>
      </c>
      <c r="C783" s="58" t="s">
        <v>10</v>
      </c>
      <c r="D783" s="58" t="s">
        <v>216</v>
      </c>
      <c r="E783" s="58" t="s">
        <v>11</v>
      </c>
      <c r="F783" s="58" t="s">
        <v>10</v>
      </c>
      <c r="G783" s="58" t="s">
        <v>216</v>
      </c>
      <c r="H783" s="58" t="s">
        <v>11</v>
      </c>
      <c r="I783" s="58" t="s">
        <v>10</v>
      </c>
      <c r="J783" s="180" t="s">
        <v>168</v>
      </c>
      <c r="K783" s="180"/>
      <c r="L783" s="55"/>
    </row>
    <row r="784" spans="1:12" ht="12.75" customHeight="1" thickBot="1" x14ac:dyDescent="0.25">
      <c r="A784" s="60">
        <f>SUM(B784:C784)</f>
        <v>305</v>
      </c>
      <c r="B784" s="60">
        <f>H784+E784</f>
        <v>0</v>
      </c>
      <c r="C784" s="60">
        <f>I784+F784</f>
        <v>305</v>
      </c>
      <c r="D784" s="60">
        <f>SUM(E784:F784)</f>
        <v>0</v>
      </c>
      <c r="E784" s="60">
        <v>0</v>
      </c>
      <c r="F784" s="60">
        <v>0</v>
      </c>
      <c r="G784" s="60">
        <f>SUM(H784:I784)</f>
        <v>305</v>
      </c>
      <c r="H784" s="60">
        <v>0</v>
      </c>
      <c r="I784" s="60">
        <v>305</v>
      </c>
      <c r="J784" s="65" t="s">
        <v>221</v>
      </c>
      <c r="K784" s="66"/>
      <c r="L784" s="55"/>
    </row>
    <row r="785" spans="1:12" ht="12.75" customHeight="1" thickBot="1" x14ac:dyDescent="0.25">
      <c r="A785" s="60">
        <f t="shared" ref="A785:A786" si="328">SUM(B785:C785)</f>
        <v>0</v>
      </c>
      <c r="B785" s="60">
        <f t="shared" ref="B785:C786" si="329">H785+E785</f>
        <v>0</v>
      </c>
      <c r="C785" s="60">
        <f t="shared" si="329"/>
        <v>0</v>
      </c>
      <c r="D785" s="60">
        <f t="shared" ref="D785:D786" si="330">SUM(E785:F785)</f>
        <v>0</v>
      </c>
      <c r="E785" s="60">
        <v>0</v>
      </c>
      <c r="F785" s="60">
        <v>0</v>
      </c>
      <c r="G785" s="60">
        <f t="shared" ref="G785:G786" si="331">SUM(H785:I785)</f>
        <v>0</v>
      </c>
      <c r="H785" s="60">
        <v>0</v>
      </c>
      <c r="I785" s="60">
        <v>0</v>
      </c>
      <c r="J785" s="65" t="s">
        <v>222</v>
      </c>
      <c r="K785" s="66" t="s">
        <v>280</v>
      </c>
      <c r="L785" s="55"/>
    </row>
    <row r="786" spans="1:12" ht="12.75" customHeight="1" thickBot="1" x14ac:dyDescent="0.25">
      <c r="A786" s="60">
        <f t="shared" si="328"/>
        <v>305</v>
      </c>
      <c r="B786" s="60">
        <f t="shared" si="329"/>
        <v>0</v>
      </c>
      <c r="C786" s="60">
        <f t="shared" si="329"/>
        <v>305</v>
      </c>
      <c r="D786" s="60">
        <f t="shared" si="330"/>
        <v>0</v>
      </c>
      <c r="E786" s="60">
        <v>0</v>
      </c>
      <c r="F786" s="60">
        <v>0</v>
      </c>
      <c r="G786" s="60">
        <f t="shared" si="331"/>
        <v>305</v>
      </c>
      <c r="H786" s="60">
        <v>0</v>
      </c>
      <c r="I786" s="60">
        <v>305</v>
      </c>
      <c r="J786" s="65" t="s">
        <v>13</v>
      </c>
      <c r="K786" s="67"/>
      <c r="L786" s="55"/>
    </row>
    <row r="787" spans="1:12" ht="12.75" customHeight="1" thickBot="1" x14ac:dyDescent="0.25">
      <c r="A787" s="60">
        <f t="shared" ref="A787:I789" si="332">A784</f>
        <v>305</v>
      </c>
      <c r="B787" s="60">
        <f t="shared" si="332"/>
        <v>0</v>
      </c>
      <c r="C787" s="60">
        <f t="shared" si="332"/>
        <v>305</v>
      </c>
      <c r="D787" s="60">
        <f t="shared" si="332"/>
        <v>0</v>
      </c>
      <c r="E787" s="60">
        <f t="shared" si="332"/>
        <v>0</v>
      </c>
      <c r="F787" s="60">
        <f t="shared" si="332"/>
        <v>0</v>
      </c>
      <c r="G787" s="60">
        <f t="shared" si="332"/>
        <v>305</v>
      </c>
      <c r="H787" s="60">
        <f t="shared" si="332"/>
        <v>0</v>
      </c>
      <c r="I787" s="60">
        <f>I784</f>
        <v>305</v>
      </c>
      <c r="J787" s="65" t="s">
        <v>224</v>
      </c>
      <c r="K787" s="57"/>
      <c r="L787" s="55"/>
    </row>
    <row r="788" spans="1:12" ht="12.75" customHeight="1" thickBot="1" x14ac:dyDescent="0.25">
      <c r="A788" s="60">
        <f t="shared" si="332"/>
        <v>0</v>
      </c>
      <c r="B788" s="60">
        <f t="shared" si="332"/>
        <v>0</v>
      </c>
      <c r="C788" s="60">
        <f t="shared" si="332"/>
        <v>0</v>
      </c>
      <c r="D788" s="60">
        <f t="shared" si="332"/>
        <v>0</v>
      </c>
      <c r="E788" s="60">
        <f t="shared" si="332"/>
        <v>0</v>
      </c>
      <c r="F788" s="60">
        <f t="shared" si="332"/>
        <v>0</v>
      </c>
      <c r="G788" s="60">
        <f t="shared" si="332"/>
        <v>0</v>
      </c>
      <c r="H788" s="60">
        <f t="shared" si="332"/>
        <v>0</v>
      </c>
      <c r="I788" s="60">
        <f t="shared" si="332"/>
        <v>0</v>
      </c>
      <c r="J788" s="65" t="s">
        <v>225</v>
      </c>
      <c r="K788" s="68" t="s">
        <v>211</v>
      </c>
      <c r="L788" s="55"/>
    </row>
    <row r="789" spans="1:12" ht="12.75" customHeight="1" thickBot="1" x14ac:dyDescent="0.25">
      <c r="A789" s="60">
        <f t="shared" si="332"/>
        <v>305</v>
      </c>
      <c r="B789" s="60">
        <f t="shared" si="332"/>
        <v>0</v>
      </c>
      <c r="C789" s="60">
        <f t="shared" si="332"/>
        <v>305</v>
      </c>
      <c r="D789" s="60">
        <f t="shared" si="332"/>
        <v>0</v>
      </c>
      <c r="E789" s="60">
        <f t="shared" si="332"/>
        <v>0</v>
      </c>
      <c r="F789" s="60">
        <f t="shared" si="332"/>
        <v>0</v>
      </c>
      <c r="G789" s="60">
        <f t="shared" si="332"/>
        <v>305</v>
      </c>
      <c r="H789" s="60">
        <f t="shared" si="332"/>
        <v>0</v>
      </c>
      <c r="I789" s="60">
        <f t="shared" si="332"/>
        <v>305</v>
      </c>
      <c r="J789" s="65" t="s">
        <v>13</v>
      </c>
      <c r="K789" s="59"/>
      <c r="L789" s="55"/>
    </row>
    <row r="790" spans="1:12" ht="12.75" customHeight="1" x14ac:dyDescent="0.2">
      <c r="A790" s="177" t="s">
        <v>597</v>
      </c>
      <c r="B790" s="177"/>
      <c r="C790" s="177"/>
      <c r="D790" s="177"/>
      <c r="E790" s="177"/>
      <c r="F790" s="177"/>
      <c r="G790" s="177"/>
      <c r="H790" s="177"/>
      <c r="I790" s="177"/>
      <c r="J790" s="177"/>
      <c r="K790" s="177"/>
      <c r="L790" s="55"/>
    </row>
    <row r="791" spans="1:12" ht="12.75" customHeight="1" thickBot="1" x14ac:dyDescent="0.25">
      <c r="A791" s="178" t="s">
        <v>598</v>
      </c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55"/>
    </row>
    <row r="792" spans="1:12" ht="12.75" customHeight="1" thickBot="1" x14ac:dyDescent="0.25">
      <c r="A792" s="179" t="s">
        <v>5</v>
      </c>
      <c r="B792" s="179"/>
      <c r="C792" s="179"/>
      <c r="D792" s="179" t="s">
        <v>162</v>
      </c>
      <c r="E792" s="179"/>
      <c r="F792" s="179"/>
      <c r="G792" s="179" t="s">
        <v>163</v>
      </c>
      <c r="H792" s="179"/>
      <c r="I792" s="179"/>
      <c r="J792" s="179" t="s">
        <v>72</v>
      </c>
      <c r="K792" s="179"/>
      <c r="L792" s="55"/>
    </row>
    <row r="793" spans="1:12" ht="12.75" customHeight="1" thickBot="1" x14ac:dyDescent="0.25">
      <c r="A793" s="58" t="s">
        <v>216</v>
      </c>
      <c r="B793" s="58" t="s">
        <v>11</v>
      </c>
      <c r="C793" s="58" t="s">
        <v>10</v>
      </c>
      <c r="D793" s="58" t="s">
        <v>216</v>
      </c>
      <c r="E793" s="58" t="s">
        <v>11</v>
      </c>
      <c r="F793" s="58" t="s">
        <v>10</v>
      </c>
      <c r="G793" s="58" t="s">
        <v>216</v>
      </c>
      <c r="H793" s="58" t="s">
        <v>11</v>
      </c>
      <c r="I793" s="58" t="s">
        <v>10</v>
      </c>
      <c r="J793" s="180" t="s">
        <v>170</v>
      </c>
      <c r="K793" s="180"/>
      <c r="L793" s="55"/>
    </row>
    <row r="794" spans="1:12" ht="12.75" customHeight="1" thickBot="1" x14ac:dyDescent="0.25">
      <c r="A794" s="60">
        <f>SUM(B794:C794)</f>
        <v>103</v>
      </c>
      <c r="B794" s="60">
        <f>H794+E794</f>
        <v>0</v>
      </c>
      <c r="C794" s="60">
        <f>I794+F794</f>
        <v>103</v>
      </c>
      <c r="D794" s="60">
        <f>SUM(E794:F794)</f>
        <v>0</v>
      </c>
      <c r="E794" s="60">
        <v>0</v>
      </c>
      <c r="F794" s="60">
        <v>0</v>
      </c>
      <c r="G794" s="60">
        <f>SUM(H794:I794)</f>
        <v>103</v>
      </c>
      <c r="H794" s="60">
        <v>0</v>
      </c>
      <c r="I794" s="60">
        <v>103</v>
      </c>
      <c r="J794" s="65" t="s">
        <v>221</v>
      </c>
      <c r="K794" s="66"/>
      <c r="L794" s="55"/>
    </row>
    <row r="795" spans="1:12" ht="12.75" customHeight="1" thickBot="1" x14ac:dyDescent="0.25">
      <c r="A795" s="60">
        <f t="shared" ref="A795:A796" si="333">SUM(B795:C795)</f>
        <v>0</v>
      </c>
      <c r="B795" s="60">
        <f t="shared" ref="B795:C796" si="334">H795+E795</f>
        <v>0</v>
      </c>
      <c r="C795" s="60">
        <f t="shared" si="334"/>
        <v>0</v>
      </c>
      <c r="D795" s="60">
        <f t="shared" ref="D795:D796" si="335">SUM(E795:F795)</f>
        <v>0</v>
      </c>
      <c r="E795" s="60">
        <v>0</v>
      </c>
      <c r="F795" s="60">
        <v>0</v>
      </c>
      <c r="G795" s="60">
        <f t="shared" ref="G795:G796" si="336">SUM(H795:I795)</f>
        <v>0</v>
      </c>
      <c r="H795" s="60">
        <v>0</v>
      </c>
      <c r="I795" s="60">
        <v>0</v>
      </c>
      <c r="J795" s="65" t="s">
        <v>222</v>
      </c>
      <c r="K795" s="66" t="s">
        <v>326</v>
      </c>
      <c r="L795" s="55"/>
    </row>
    <row r="796" spans="1:12" ht="12.75" customHeight="1" thickBot="1" x14ac:dyDescent="0.25">
      <c r="A796" s="60">
        <f t="shared" si="333"/>
        <v>103</v>
      </c>
      <c r="B796" s="60">
        <f t="shared" si="334"/>
        <v>0</v>
      </c>
      <c r="C796" s="60">
        <f t="shared" si="334"/>
        <v>103</v>
      </c>
      <c r="D796" s="60">
        <f t="shared" si="335"/>
        <v>0</v>
      </c>
      <c r="E796" s="60">
        <v>0</v>
      </c>
      <c r="F796" s="60">
        <v>0</v>
      </c>
      <c r="G796" s="60">
        <f t="shared" si="336"/>
        <v>103</v>
      </c>
      <c r="H796" s="60">
        <v>0</v>
      </c>
      <c r="I796" s="60">
        <v>103</v>
      </c>
      <c r="J796" s="65" t="s">
        <v>13</v>
      </c>
      <c r="K796" s="67"/>
      <c r="L796" s="55"/>
    </row>
    <row r="797" spans="1:12" ht="12.75" customHeight="1" thickBot="1" x14ac:dyDescent="0.25">
      <c r="A797" s="60">
        <f t="shared" ref="A797:I799" si="337">A794</f>
        <v>103</v>
      </c>
      <c r="B797" s="60">
        <f t="shared" si="337"/>
        <v>0</v>
      </c>
      <c r="C797" s="60">
        <f t="shared" si="337"/>
        <v>103</v>
      </c>
      <c r="D797" s="60">
        <f t="shared" si="337"/>
        <v>0</v>
      </c>
      <c r="E797" s="60">
        <f t="shared" si="337"/>
        <v>0</v>
      </c>
      <c r="F797" s="60">
        <f t="shared" si="337"/>
        <v>0</v>
      </c>
      <c r="G797" s="60">
        <f t="shared" si="337"/>
        <v>103</v>
      </c>
      <c r="H797" s="60">
        <f t="shared" si="337"/>
        <v>0</v>
      </c>
      <c r="I797" s="60">
        <f>I794</f>
        <v>103</v>
      </c>
      <c r="J797" s="65" t="s">
        <v>224</v>
      </c>
      <c r="K797" s="57"/>
      <c r="L797" s="55"/>
    </row>
    <row r="798" spans="1:12" ht="12.75" customHeight="1" thickBot="1" x14ac:dyDescent="0.25">
      <c r="A798" s="60">
        <f t="shared" si="337"/>
        <v>0</v>
      </c>
      <c r="B798" s="60">
        <f t="shared" si="337"/>
        <v>0</v>
      </c>
      <c r="C798" s="60">
        <f t="shared" si="337"/>
        <v>0</v>
      </c>
      <c r="D798" s="60">
        <f t="shared" si="337"/>
        <v>0</v>
      </c>
      <c r="E798" s="60">
        <f t="shared" si="337"/>
        <v>0</v>
      </c>
      <c r="F798" s="60">
        <f t="shared" si="337"/>
        <v>0</v>
      </c>
      <c r="G798" s="60">
        <f t="shared" si="337"/>
        <v>0</v>
      </c>
      <c r="H798" s="60">
        <f t="shared" si="337"/>
        <v>0</v>
      </c>
      <c r="I798" s="60">
        <f t="shared" si="337"/>
        <v>0</v>
      </c>
      <c r="J798" s="65" t="s">
        <v>225</v>
      </c>
      <c r="K798" s="68" t="s">
        <v>211</v>
      </c>
      <c r="L798" s="55"/>
    </row>
    <row r="799" spans="1:12" ht="12.75" customHeight="1" thickBot="1" x14ac:dyDescent="0.25">
      <c r="A799" s="60">
        <f t="shared" si="337"/>
        <v>103</v>
      </c>
      <c r="B799" s="60">
        <f t="shared" si="337"/>
        <v>0</v>
      </c>
      <c r="C799" s="60">
        <f t="shared" si="337"/>
        <v>103</v>
      </c>
      <c r="D799" s="60">
        <f t="shared" si="337"/>
        <v>0</v>
      </c>
      <c r="E799" s="60">
        <f t="shared" si="337"/>
        <v>0</v>
      </c>
      <c r="F799" s="60">
        <f t="shared" si="337"/>
        <v>0</v>
      </c>
      <c r="G799" s="60">
        <f t="shared" si="337"/>
        <v>103</v>
      </c>
      <c r="H799" s="60">
        <f t="shared" si="337"/>
        <v>0</v>
      </c>
      <c r="I799" s="60">
        <f t="shared" si="337"/>
        <v>103</v>
      </c>
      <c r="J799" s="65" t="s">
        <v>13</v>
      </c>
      <c r="K799" s="59"/>
      <c r="L799" s="55"/>
    </row>
    <row r="800" spans="1:12" ht="12.75" customHeight="1" x14ac:dyDescent="0.2">
      <c r="A800" s="177" t="s">
        <v>597</v>
      </c>
      <c r="B800" s="177"/>
      <c r="C800" s="177"/>
      <c r="D800" s="177"/>
      <c r="E800" s="177"/>
      <c r="F800" s="177"/>
      <c r="G800" s="177"/>
      <c r="H800" s="177"/>
      <c r="I800" s="177"/>
      <c r="J800" s="177"/>
      <c r="K800" s="177"/>
      <c r="L800" s="55"/>
    </row>
    <row r="801" spans="1:12" ht="12.75" customHeight="1" thickBot="1" x14ac:dyDescent="0.25">
      <c r="A801" s="178" t="s">
        <v>598</v>
      </c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55"/>
    </row>
    <row r="802" spans="1:12" ht="12.75" customHeight="1" thickBot="1" x14ac:dyDescent="0.25">
      <c r="A802" s="179" t="s">
        <v>5</v>
      </c>
      <c r="B802" s="179"/>
      <c r="C802" s="179"/>
      <c r="D802" s="179" t="s">
        <v>162</v>
      </c>
      <c r="E802" s="179"/>
      <c r="F802" s="179"/>
      <c r="G802" s="179" t="s">
        <v>163</v>
      </c>
      <c r="H802" s="179"/>
      <c r="I802" s="179"/>
      <c r="J802" s="179" t="s">
        <v>72</v>
      </c>
      <c r="K802" s="179"/>
      <c r="L802" s="55"/>
    </row>
    <row r="803" spans="1:12" ht="12.75" customHeight="1" thickBot="1" x14ac:dyDescent="0.25">
      <c r="A803" s="58" t="s">
        <v>216</v>
      </c>
      <c r="B803" s="58" t="s">
        <v>11</v>
      </c>
      <c r="C803" s="58" t="s">
        <v>10</v>
      </c>
      <c r="D803" s="58" t="s">
        <v>216</v>
      </c>
      <c r="E803" s="58" t="s">
        <v>11</v>
      </c>
      <c r="F803" s="58" t="s">
        <v>10</v>
      </c>
      <c r="G803" s="58" t="s">
        <v>216</v>
      </c>
      <c r="H803" s="58" t="s">
        <v>11</v>
      </c>
      <c r="I803" s="58" t="s">
        <v>10</v>
      </c>
      <c r="J803" s="180" t="s">
        <v>173</v>
      </c>
      <c r="K803" s="180"/>
      <c r="L803" s="55"/>
    </row>
    <row r="804" spans="1:12" ht="12.75" customHeight="1" thickBot="1" x14ac:dyDescent="0.25">
      <c r="A804" s="60">
        <f>SUM(B804:C804)</f>
        <v>124</v>
      </c>
      <c r="B804" s="60">
        <f>H804+E804</f>
        <v>58</v>
      </c>
      <c r="C804" s="60">
        <f>I804+F804</f>
        <v>66</v>
      </c>
      <c r="D804" s="60">
        <f>SUM(E804:F804)</f>
        <v>27</v>
      </c>
      <c r="E804" s="60">
        <v>8</v>
      </c>
      <c r="F804" s="60">
        <v>19</v>
      </c>
      <c r="G804" s="60">
        <f>SUM(H804:I804)</f>
        <v>97</v>
      </c>
      <c r="H804" s="60">
        <v>50</v>
      </c>
      <c r="I804" s="60">
        <v>47</v>
      </c>
      <c r="J804" s="65" t="s">
        <v>221</v>
      </c>
      <c r="K804" s="66"/>
      <c r="L804" s="55"/>
    </row>
    <row r="805" spans="1:12" ht="12.75" customHeight="1" thickBot="1" x14ac:dyDescent="0.25">
      <c r="A805" s="60">
        <f t="shared" ref="A805:A829" si="338">SUM(B805:C805)</f>
        <v>0</v>
      </c>
      <c r="B805" s="60">
        <f t="shared" ref="B805:C829" si="339">H805+E805</f>
        <v>0</v>
      </c>
      <c r="C805" s="60">
        <f t="shared" si="339"/>
        <v>0</v>
      </c>
      <c r="D805" s="60">
        <f t="shared" ref="D805:D829" si="340">SUM(E805:F805)</f>
        <v>0</v>
      </c>
      <c r="E805" s="60">
        <v>0</v>
      </c>
      <c r="F805" s="60">
        <v>0</v>
      </c>
      <c r="G805" s="60">
        <f t="shared" ref="G805:G829" si="341">SUM(H805:I805)</f>
        <v>0</v>
      </c>
      <c r="H805" s="60">
        <v>0</v>
      </c>
      <c r="I805" s="60">
        <v>0</v>
      </c>
      <c r="J805" s="65" t="s">
        <v>222</v>
      </c>
      <c r="K805" s="66" t="s">
        <v>138</v>
      </c>
      <c r="L805" s="55"/>
    </row>
    <row r="806" spans="1:12" ht="12.75" customHeight="1" thickBot="1" x14ac:dyDescent="0.25">
      <c r="A806" s="60">
        <f t="shared" ref="A806:H806" si="342">SUM(A804:A805)</f>
        <v>124</v>
      </c>
      <c r="B806" s="60">
        <f t="shared" si="342"/>
        <v>58</v>
      </c>
      <c r="C806" s="60">
        <f t="shared" si="342"/>
        <v>66</v>
      </c>
      <c r="D806" s="60">
        <f t="shared" si="342"/>
        <v>27</v>
      </c>
      <c r="E806" s="60">
        <f t="shared" si="342"/>
        <v>8</v>
      </c>
      <c r="F806" s="60">
        <f t="shared" si="342"/>
        <v>19</v>
      </c>
      <c r="G806" s="60">
        <f t="shared" si="342"/>
        <v>97</v>
      </c>
      <c r="H806" s="60">
        <f t="shared" si="342"/>
        <v>50</v>
      </c>
      <c r="I806" s="60">
        <f>SUM(I804:I805)</f>
        <v>47</v>
      </c>
      <c r="J806" s="65" t="s">
        <v>13</v>
      </c>
      <c r="K806" s="67"/>
      <c r="L806" s="55"/>
    </row>
    <row r="807" spans="1:12" ht="12.75" customHeight="1" thickBot="1" x14ac:dyDescent="0.25">
      <c r="A807" s="60">
        <f t="shared" si="338"/>
        <v>222</v>
      </c>
      <c r="B807" s="60">
        <f t="shared" si="339"/>
        <v>124</v>
      </c>
      <c r="C807" s="60">
        <f t="shared" si="339"/>
        <v>98</v>
      </c>
      <c r="D807" s="60">
        <f t="shared" si="340"/>
        <v>188</v>
      </c>
      <c r="E807" s="60">
        <v>121</v>
      </c>
      <c r="F807" s="60">
        <v>67</v>
      </c>
      <c r="G807" s="60">
        <f t="shared" si="341"/>
        <v>34</v>
      </c>
      <c r="H807" s="60">
        <v>3</v>
      </c>
      <c r="I807" s="60">
        <v>31</v>
      </c>
      <c r="J807" s="65" t="s">
        <v>221</v>
      </c>
      <c r="K807" s="66"/>
      <c r="L807" s="55"/>
    </row>
    <row r="808" spans="1:12" ht="12.75" customHeight="1" thickBot="1" x14ac:dyDescent="0.25">
      <c r="A808" s="60">
        <f t="shared" si="338"/>
        <v>0</v>
      </c>
      <c r="B808" s="60">
        <f t="shared" si="339"/>
        <v>0</v>
      </c>
      <c r="C808" s="60">
        <f t="shared" si="339"/>
        <v>0</v>
      </c>
      <c r="D808" s="60">
        <f t="shared" si="340"/>
        <v>0</v>
      </c>
      <c r="E808" s="60">
        <v>0</v>
      </c>
      <c r="F808" s="60">
        <v>0</v>
      </c>
      <c r="G808" s="60">
        <f t="shared" si="341"/>
        <v>0</v>
      </c>
      <c r="H808" s="60">
        <v>0</v>
      </c>
      <c r="I808" s="60">
        <v>0</v>
      </c>
      <c r="J808" s="65" t="s">
        <v>222</v>
      </c>
      <c r="K808" s="66" t="s">
        <v>139</v>
      </c>
      <c r="L808" s="55"/>
    </row>
    <row r="809" spans="1:12" ht="12.75" customHeight="1" thickBot="1" x14ac:dyDescent="0.25">
      <c r="A809" s="60">
        <f t="shared" ref="A809:H809" si="343">SUM(A807:A808)</f>
        <v>222</v>
      </c>
      <c r="B809" s="60">
        <f t="shared" si="343"/>
        <v>124</v>
      </c>
      <c r="C809" s="60">
        <f t="shared" si="343"/>
        <v>98</v>
      </c>
      <c r="D809" s="60">
        <f t="shared" si="343"/>
        <v>188</v>
      </c>
      <c r="E809" s="60">
        <f t="shared" si="343"/>
        <v>121</v>
      </c>
      <c r="F809" s="60">
        <f t="shared" si="343"/>
        <v>67</v>
      </c>
      <c r="G809" s="60">
        <f t="shared" si="343"/>
        <v>34</v>
      </c>
      <c r="H809" s="60">
        <f t="shared" si="343"/>
        <v>3</v>
      </c>
      <c r="I809" s="60">
        <f>SUM(I807:I808)</f>
        <v>31</v>
      </c>
      <c r="J809" s="65" t="s">
        <v>13</v>
      </c>
      <c r="K809" s="67"/>
      <c r="L809" s="55"/>
    </row>
    <row r="810" spans="1:12" ht="12.75" customHeight="1" thickBot="1" x14ac:dyDescent="0.25">
      <c r="A810" s="60">
        <f t="shared" si="338"/>
        <v>37</v>
      </c>
      <c r="B810" s="60">
        <f t="shared" si="339"/>
        <v>37</v>
      </c>
      <c r="C810" s="60">
        <f t="shared" si="339"/>
        <v>0</v>
      </c>
      <c r="D810" s="60">
        <f t="shared" si="340"/>
        <v>21</v>
      </c>
      <c r="E810" s="60">
        <v>21</v>
      </c>
      <c r="F810" s="60">
        <v>0</v>
      </c>
      <c r="G810" s="60">
        <f t="shared" si="341"/>
        <v>16</v>
      </c>
      <c r="H810" s="60">
        <v>16</v>
      </c>
      <c r="I810" s="60">
        <v>0</v>
      </c>
      <c r="J810" s="65" t="s">
        <v>221</v>
      </c>
      <c r="K810" s="66"/>
      <c r="L810" s="55"/>
    </row>
    <row r="811" spans="1:12" ht="12.75" customHeight="1" thickBot="1" x14ac:dyDescent="0.25">
      <c r="A811" s="60">
        <f t="shared" si="338"/>
        <v>0</v>
      </c>
      <c r="B811" s="60">
        <f t="shared" si="339"/>
        <v>0</v>
      </c>
      <c r="C811" s="60">
        <f t="shared" si="339"/>
        <v>0</v>
      </c>
      <c r="D811" s="60">
        <f t="shared" si="340"/>
        <v>0</v>
      </c>
      <c r="E811" s="60">
        <v>0</v>
      </c>
      <c r="F811" s="60">
        <v>0</v>
      </c>
      <c r="G811" s="60">
        <f t="shared" si="341"/>
        <v>0</v>
      </c>
      <c r="H811" s="60">
        <v>0</v>
      </c>
      <c r="I811" s="60">
        <v>0</v>
      </c>
      <c r="J811" s="65" t="s">
        <v>222</v>
      </c>
      <c r="K811" s="66" t="s">
        <v>141</v>
      </c>
      <c r="L811" s="55"/>
    </row>
    <row r="812" spans="1:12" ht="12.75" customHeight="1" thickBot="1" x14ac:dyDescent="0.25">
      <c r="A812" s="60">
        <f t="shared" ref="A812:H812" si="344">SUM(A810:A811)</f>
        <v>37</v>
      </c>
      <c r="B812" s="60">
        <f t="shared" si="344"/>
        <v>37</v>
      </c>
      <c r="C812" s="60">
        <f t="shared" si="344"/>
        <v>0</v>
      </c>
      <c r="D812" s="60">
        <f t="shared" si="344"/>
        <v>21</v>
      </c>
      <c r="E812" s="60">
        <f t="shared" si="344"/>
        <v>21</v>
      </c>
      <c r="F812" s="60">
        <f t="shared" si="344"/>
        <v>0</v>
      </c>
      <c r="G812" s="60">
        <f t="shared" si="344"/>
        <v>16</v>
      </c>
      <c r="H812" s="60">
        <f t="shared" si="344"/>
        <v>16</v>
      </c>
      <c r="I812" s="60">
        <f>SUM(I810:I811)</f>
        <v>0</v>
      </c>
      <c r="J812" s="65" t="s">
        <v>13</v>
      </c>
      <c r="K812" s="67"/>
      <c r="L812" s="55"/>
    </row>
    <row r="813" spans="1:12" ht="12.75" customHeight="1" thickBot="1" x14ac:dyDescent="0.25">
      <c r="A813" s="60">
        <f t="shared" si="338"/>
        <v>104</v>
      </c>
      <c r="B813" s="60">
        <f t="shared" si="339"/>
        <v>104</v>
      </c>
      <c r="C813" s="60">
        <f t="shared" si="339"/>
        <v>0</v>
      </c>
      <c r="D813" s="60">
        <f t="shared" si="340"/>
        <v>39</v>
      </c>
      <c r="E813" s="60">
        <v>39</v>
      </c>
      <c r="F813" s="60">
        <v>0</v>
      </c>
      <c r="G813" s="60">
        <f t="shared" si="341"/>
        <v>65</v>
      </c>
      <c r="H813" s="60">
        <v>65</v>
      </c>
      <c r="I813" s="60">
        <v>0</v>
      </c>
      <c r="J813" s="65" t="s">
        <v>221</v>
      </c>
      <c r="K813" s="66"/>
      <c r="L813" s="55"/>
    </row>
    <row r="814" spans="1:12" ht="12.75" customHeight="1" thickBot="1" x14ac:dyDescent="0.25">
      <c r="A814" s="60">
        <f t="shared" si="338"/>
        <v>0</v>
      </c>
      <c r="B814" s="60">
        <f t="shared" si="339"/>
        <v>0</v>
      </c>
      <c r="C814" s="60">
        <f t="shared" si="339"/>
        <v>0</v>
      </c>
      <c r="D814" s="60">
        <f t="shared" si="340"/>
        <v>0</v>
      </c>
      <c r="E814" s="60">
        <v>0</v>
      </c>
      <c r="F814" s="60">
        <v>0</v>
      </c>
      <c r="G814" s="60">
        <f t="shared" si="341"/>
        <v>0</v>
      </c>
      <c r="H814" s="60">
        <v>0</v>
      </c>
      <c r="I814" s="60">
        <v>0</v>
      </c>
      <c r="J814" s="65" t="s">
        <v>222</v>
      </c>
      <c r="K814" s="66" t="s">
        <v>144</v>
      </c>
      <c r="L814" s="55"/>
    </row>
    <row r="815" spans="1:12" ht="12.75" customHeight="1" thickBot="1" x14ac:dyDescent="0.25">
      <c r="A815" s="60">
        <f t="shared" ref="A815:H815" si="345">SUM(A813:A814)</f>
        <v>104</v>
      </c>
      <c r="B815" s="60">
        <f t="shared" si="345"/>
        <v>104</v>
      </c>
      <c r="C815" s="60">
        <f t="shared" si="345"/>
        <v>0</v>
      </c>
      <c r="D815" s="60">
        <f t="shared" si="345"/>
        <v>39</v>
      </c>
      <c r="E815" s="60">
        <f t="shared" si="345"/>
        <v>39</v>
      </c>
      <c r="F815" s="60">
        <f t="shared" si="345"/>
        <v>0</v>
      </c>
      <c r="G815" s="60">
        <f t="shared" si="345"/>
        <v>65</v>
      </c>
      <c r="H815" s="60">
        <f t="shared" si="345"/>
        <v>65</v>
      </c>
      <c r="I815" s="60">
        <f>SUM(I813:I814)</f>
        <v>0</v>
      </c>
      <c r="J815" s="65" t="s">
        <v>13</v>
      </c>
      <c r="K815" s="67"/>
      <c r="L815" s="55"/>
    </row>
    <row r="816" spans="1:12" ht="12.75" customHeight="1" thickBot="1" x14ac:dyDescent="0.25">
      <c r="A816" s="60">
        <f t="shared" si="338"/>
        <v>13</v>
      </c>
      <c r="B816" s="60">
        <f t="shared" si="339"/>
        <v>0</v>
      </c>
      <c r="C816" s="60">
        <f t="shared" si="339"/>
        <v>13</v>
      </c>
      <c r="D816" s="60">
        <f t="shared" si="340"/>
        <v>0</v>
      </c>
      <c r="E816" s="60">
        <v>0</v>
      </c>
      <c r="F816" s="60">
        <v>0</v>
      </c>
      <c r="G816" s="60">
        <f t="shared" si="341"/>
        <v>13</v>
      </c>
      <c r="H816" s="60">
        <v>0</v>
      </c>
      <c r="I816" s="60">
        <v>13</v>
      </c>
      <c r="J816" s="65" t="s">
        <v>221</v>
      </c>
      <c r="K816" s="66"/>
      <c r="L816" s="55"/>
    </row>
    <row r="817" spans="1:12" ht="12.75" customHeight="1" thickBot="1" x14ac:dyDescent="0.25">
      <c r="A817" s="60">
        <f t="shared" si="338"/>
        <v>0</v>
      </c>
      <c r="B817" s="60">
        <f t="shared" si="339"/>
        <v>0</v>
      </c>
      <c r="C817" s="60">
        <f t="shared" si="339"/>
        <v>0</v>
      </c>
      <c r="D817" s="60">
        <f t="shared" si="340"/>
        <v>0</v>
      </c>
      <c r="E817" s="60">
        <v>0</v>
      </c>
      <c r="F817" s="60">
        <v>0</v>
      </c>
      <c r="G817" s="60">
        <f t="shared" si="341"/>
        <v>0</v>
      </c>
      <c r="H817" s="60">
        <v>0</v>
      </c>
      <c r="I817" s="60">
        <v>0</v>
      </c>
      <c r="J817" s="65" t="s">
        <v>222</v>
      </c>
      <c r="K817" s="66" t="s">
        <v>145</v>
      </c>
      <c r="L817" s="55"/>
    </row>
    <row r="818" spans="1:12" ht="12.75" customHeight="1" thickBot="1" x14ac:dyDescent="0.25">
      <c r="A818" s="60">
        <f t="shared" ref="A818:H818" si="346">SUM(A816:A817)</f>
        <v>13</v>
      </c>
      <c r="B818" s="60">
        <f t="shared" si="346"/>
        <v>0</v>
      </c>
      <c r="C818" s="60">
        <f t="shared" si="346"/>
        <v>13</v>
      </c>
      <c r="D818" s="60">
        <f t="shared" si="346"/>
        <v>0</v>
      </c>
      <c r="E818" s="60">
        <f t="shared" si="346"/>
        <v>0</v>
      </c>
      <c r="F818" s="60">
        <f t="shared" si="346"/>
        <v>0</v>
      </c>
      <c r="G818" s="60">
        <f t="shared" si="346"/>
        <v>13</v>
      </c>
      <c r="H818" s="60">
        <f t="shared" si="346"/>
        <v>0</v>
      </c>
      <c r="I818" s="60">
        <f>SUM(I816:I817)</f>
        <v>13</v>
      </c>
      <c r="J818" s="65" t="s">
        <v>13</v>
      </c>
      <c r="K818" s="67"/>
      <c r="L818" s="55"/>
    </row>
    <row r="819" spans="1:12" ht="12.75" customHeight="1" thickBot="1" x14ac:dyDescent="0.25">
      <c r="A819" s="60">
        <f t="shared" si="338"/>
        <v>19</v>
      </c>
      <c r="B819" s="60">
        <f t="shared" si="339"/>
        <v>0</v>
      </c>
      <c r="C819" s="60">
        <f t="shared" si="339"/>
        <v>19</v>
      </c>
      <c r="D819" s="60">
        <f t="shared" si="340"/>
        <v>1</v>
      </c>
      <c r="E819" s="60">
        <v>0</v>
      </c>
      <c r="F819" s="60">
        <v>1</v>
      </c>
      <c r="G819" s="60">
        <f t="shared" si="341"/>
        <v>18</v>
      </c>
      <c r="H819" s="60">
        <v>0</v>
      </c>
      <c r="I819" s="60">
        <v>18</v>
      </c>
      <c r="J819" s="65" t="s">
        <v>221</v>
      </c>
      <c r="K819" s="66"/>
      <c r="L819" s="55"/>
    </row>
    <row r="820" spans="1:12" ht="12.75" customHeight="1" thickBot="1" x14ac:dyDescent="0.25">
      <c r="A820" s="60">
        <f t="shared" si="338"/>
        <v>0</v>
      </c>
      <c r="B820" s="60">
        <f t="shared" si="339"/>
        <v>0</v>
      </c>
      <c r="C820" s="60">
        <f t="shared" si="339"/>
        <v>0</v>
      </c>
      <c r="D820" s="60">
        <f t="shared" si="340"/>
        <v>0</v>
      </c>
      <c r="E820" s="60">
        <v>0</v>
      </c>
      <c r="F820" s="60">
        <v>0</v>
      </c>
      <c r="G820" s="60">
        <f t="shared" si="341"/>
        <v>0</v>
      </c>
      <c r="H820" s="60">
        <v>0</v>
      </c>
      <c r="I820" s="60">
        <v>0</v>
      </c>
      <c r="J820" s="65" t="s">
        <v>222</v>
      </c>
      <c r="K820" s="66" t="s">
        <v>146</v>
      </c>
      <c r="L820" s="55"/>
    </row>
    <row r="821" spans="1:12" ht="12.75" customHeight="1" thickBot="1" x14ac:dyDescent="0.25">
      <c r="A821" s="60">
        <f t="shared" ref="A821:H821" si="347">SUM(A819:A820)</f>
        <v>19</v>
      </c>
      <c r="B821" s="60">
        <f t="shared" si="347"/>
        <v>0</v>
      </c>
      <c r="C821" s="60">
        <f t="shared" si="347"/>
        <v>19</v>
      </c>
      <c r="D821" s="60">
        <f t="shared" si="347"/>
        <v>1</v>
      </c>
      <c r="E821" s="60">
        <f t="shared" si="347"/>
        <v>0</v>
      </c>
      <c r="F821" s="60">
        <f t="shared" si="347"/>
        <v>1</v>
      </c>
      <c r="G821" s="60">
        <f t="shared" si="347"/>
        <v>18</v>
      </c>
      <c r="H821" s="60">
        <f t="shared" si="347"/>
        <v>0</v>
      </c>
      <c r="I821" s="60">
        <f>SUM(I819:I820)</f>
        <v>18</v>
      </c>
      <c r="J821" s="65" t="s">
        <v>13</v>
      </c>
      <c r="K821" s="67"/>
      <c r="L821" s="55"/>
    </row>
    <row r="822" spans="1:12" ht="12.75" customHeight="1" thickBot="1" x14ac:dyDescent="0.25">
      <c r="A822" s="60">
        <f t="shared" si="338"/>
        <v>53</v>
      </c>
      <c r="B822" s="60">
        <f t="shared" si="339"/>
        <v>0</v>
      </c>
      <c r="C822" s="60">
        <f t="shared" si="339"/>
        <v>53</v>
      </c>
      <c r="D822" s="60">
        <f t="shared" si="340"/>
        <v>27</v>
      </c>
      <c r="E822" s="60">
        <v>0</v>
      </c>
      <c r="F822" s="60">
        <v>27</v>
      </c>
      <c r="G822" s="60">
        <f t="shared" si="341"/>
        <v>26</v>
      </c>
      <c r="H822" s="60">
        <v>0</v>
      </c>
      <c r="I822" s="60">
        <v>26</v>
      </c>
      <c r="J822" s="65" t="s">
        <v>221</v>
      </c>
      <c r="K822" s="66"/>
      <c r="L822" s="55"/>
    </row>
    <row r="823" spans="1:12" ht="12.75" customHeight="1" thickBot="1" x14ac:dyDescent="0.25">
      <c r="A823" s="60">
        <f t="shared" si="338"/>
        <v>0</v>
      </c>
      <c r="B823" s="60">
        <f t="shared" si="339"/>
        <v>0</v>
      </c>
      <c r="C823" s="60">
        <f t="shared" si="339"/>
        <v>0</v>
      </c>
      <c r="D823" s="60">
        <f t="shared" si="340"/>
        <v>0</v>
      </c>
      <c r="E823" s="60">
        <v>0</v>
      </c>
      <c r="F823" s="60">
        <v>0</v>
      </c>
      <c r="G823" s="60">
        <f t="shared" si="341"/>
        <v>0</v>
      </c>
      <c r="H823" s="60">
        <v>0</v>
      </c>
      <c r="I823" s="60">
        <v>0</v>
      </c>
      <c r="J823" s="65" t="s">
        <v>222</v>
      </c>
      <c r="K823" s="66" t="s">
        <v>147</v>
      </c>
      <c r="L823" s="55"/>
    </row>
    <row r="824" spans="1:12" ht="12.75" customHeight="1" thickBot="1" x14ac:dyDescent="0.25">
      <c r="A824" s="60">
        <f t="shared" ref="A824:E824" si="348">SUM(A822:A823)</f>
        <v>53</v>
      </c>
      <c r="B824" s="60">
        <f t="shared" si="348"/>
        <v>0</v>
      </c>
      <c r="C824" s="60">
        <f t="shared" si="348"/>
        <v>53</v>
      </c>
      <c r="D824" s="60">
        <f t="shared" si="348"/>
        <v>27</v>
      </c>
      <c r="E824" s="60">
        <f t="shared" si="348"/>
        <v>0</v>
      </c>
      <c r="F824" s="60">
        <f t="shared" ref="F824" si="349">SUM(F822:F823)</f>
        <v>27</v>
      </c>
      <c r="G824" s="60">
        <f t="shared" ref="G824:H824" si="350">SUM(G822:G823)</f>
        <v>26</v>
      </c>
      <c r="H824" s="60">
        <f t="shared" si="350"/>
        <v>0</v>
      </c>
      <c r="I824" s="60">
        <f>SUM(I822:I823)</f>
        <v>26</v>
      </c>
      <c r="J824" s="65" t="s">
        <v>13</v>
      </c>
      <c r="K824" s="67"/>
      <c r="L824" s="55"/>
    </row>
    <row r="825" spans="1:12" ht="12.75" customHeight="1" thickBot="1" x14ac:dyDescent="0.25">
      <c r="A825" s="60">
        <f t="shared" si="338"/>
        <v>32</v>
      </c>
      <c r="B825" s="60">
        <f t="shared" si="339"/>
        <v>32</v>
      </c>
      <c r="C825" s="60">
        <f t="shared" si="339"/>
        <v>0</v>
      </c>
      <c r="D825" s="60">
        <f t="shared" si="340"/>
        <v>13</v>
      </c>
      <c r="E825" s="60">
        <v>13</v>
      </c>
      <c r="F825" s="60">
        <v>0</v>
      </c>
      <c r="G825" s="60">
        <f t="shared" si="341"/>
        <v>19</v>
      </c>
      <c r="H825" s="60">
        <v>19</v>
      </c>
      <c r="I825" s="60">
        <v>0</v>
      </c>
      <c r="J825" s="65" t="s">
        <v>221</v>
      </c>
      <c r="K825" s="66"/>
      <c r="L825" s="55"/>
    </row>
    <row r="826" spans="1:12" ht="12.75" customHeight="1" thickBot="1" x14ac:dyDescent="0.25">
      <c r="A826" s="60">
        <f t="shared" si="338"/>
        <v>0</v>
      </c>
      <c r="B826" s="60">
        <f t="shared" si="339"/>
        <v>0</v>
      </c>
      <c r="C826" s="60">
        <f t="shared" si="339"/>
        <v>0</v>
      </c>
      <c r="D826" s="60">
        <f t="shared" si="340"/>
        <v>0</v>
      </c>
      <c r="E826" s="60">
        <v>0</v>
      </c>
      <c r="F826" s="60">
        <v>0</v>
      </c>
      <c r="G826" s="60">
        <f t="shared" si="341"/>
        <v>0</v>
      </c>
      <c r="H826" s="60">
        <v>0</v>
      </c>
      <c r="I826" s="60">
        <v>0</v>
      </c>
      <c r="J826" s="65" t="s">
        <v>222</v>
      </c>
      <c r="K826" s="66" t="s">
        <v>148</v>
      </c>
      <c r="L826" s="55"/>
    </row>
    <row r="827" spans="1:12" ht="12.75" customHeight="1" thickBot="1" x14ac:dyDescent="0.25">
      <c r="A827" s="60">
        <f t="shared" ref="A827:H827" si="351">SUM(A825:A826)</f>
        <v>32</v>
      </c>
      <c r="B827" s="60">
        <f t="shared" si="351"/>
        <v>32</v>
      </c>
      <c r="C827" s="60">
        <f t="shared" si="351"/>
        <v>0</v>
      </c>
      <c r="D827" s="60">
        <f t="shared" si="351"/>
        <v>13</v>
      </c>
      <c r="E827" s="60">
        <f t="shared" si="351"/>
        <v>13</v>
      </c>
      <c r="F827" s="60">
        <f t="shared" si="351"/>
        <v>0</v>
      </c>
      <c r="G827" s="60">
        <f t="shared" si="351"/>
        <v>19</v>
      </c>
      <c r="H827" s="60">
        <f t="shared" si="351"/>
        <v>19</v>
      </c>
      <c r="I827" s="60">
        <f>SUM(I825:I826)</f>
        <v>0</v>
      </c>
      <c r="J827" s="65" t="s">
        <v>13</v>
      </c>
      <c r="K827" s="67"/>
      <c r="L827" s="55"/>
    </row>
    <row r="828" spans="1:12" ht="12.75" customHeight="1" thickBot="1" x14ac:dyDescent="0.25">
      <c r="A828" s="60">
        <f t="shared" si="338"/>
        <v>2</v>
      </c>
      <c r="B828" s="60">
        <f t="shared" si="339"/>
        <v>2</v>
      </c>
      <c r="C828" s="60">
        <f t="shared" si="339"/>
        <v>0</v>
      </c>
      <c r="D828" s="60">
        <f t="shared" si="340"/>
        <v>0</v>
      </c>
      <c r="E828" s="60">
        <v>0</v>
      </c>
      <c r="F828" s="60">
        <v>0</v>
      </c>
      <c r="G828" s="60">
        <f t="shared" si="341"/>
        <v>2</v>
      </c>
      <c r="H828" s="60">
        <v>2</v>
      </c>
      <c r="I828" s="60">
        <v>0</v>
      </c>
      <c r="J828" s="65" t="s">
        <v>221</v>
      </c>
      <c r="K828" s="66"/>
      <c r="L828" s="55"/>
    </row>
    <row r="829" spans="1:12" ht="12.75" customHeight="1" thickBot="1" x14ac:dyDescent="0.25">
      <c r="A829" s="60">
        <f t="shared" si="338"/>
        <v>0</v>
      </c>
      <c r="B829" s="60">
        <f t="shared" si="339"/>
        <v>0</v>
      </c>
      <c r="C829" s="60">
        <f t="shared" si="339"/>
        <v>0</v>
      </c>
      <c r="D829" s="60">
        <f t="shared" si="340"/>
        <v>0</v>
      </c>
      <c r="E829" s="60">
        <v>0</v>
      </c>
      <c r="F829" s="60">
        <v>0</v>
      </c>
      <c r="G829" s="60">
        <f t="shared" si="341"/>
        <v>0</v>
      </c>
      <c r="H829" s="60">
        <v>0</v>
      </c>
      <c r="I829" s="60">
        <v>0</v>
      </c>
      <c r="J829" s="65" t="s">
        <v>222</v>
      </c>
      <c r="K829" s="66" t="s">
        <v>149</v>
      </c>
      <c r="L829" s="55"/>
    </row>
    <row r="830" spans="1:12" ht="12.75" customHeight="1" thickBot="1" x14ac:dyDescent="0.25">
      <c r="A830" s="60">
        <f t="shared" ref="A830:H830" si="352">SUM(A828:A829)</f>
        <v>2</v>
      </c>
      <c r="B830" s="60">
        <f t="shared" si="352"/>
        <v>2</v>
      </c>
      <c r="C830" s="60">
        <f t="shared" si="352"/>
        <v>0</v>
      </c>
      <c r="D830" s="60">
        <f t="shared" si="352"/>
        <v>0</v>
      </c>
      <c r="E830" s="60">
        <f t="shared" si="352"/>
        <v>0</v>
      </c>
      <c r="F830" s="60">
        <f t="shared" si="352"/>
        <v>0</v>
      </c>
      <c r="G830" s="60">
        <f t="shared" si="352"/>
        <v>2</v>
      </c>
      <c r="H830" s="60">
        <f t="shared" si="352"/>
        <v>2</v>
      </c>
      <c r="I830" s="60">
        <f>SUM(I828:I829)</f>
        <v>0</v>
      </c>
      <c r="J830" s="65" t="s">
        <v>13</v>
      </c>
      <c r="K830" s="67"/>
      <c r="L830" s="55"/>
    </row>
    <row r="831" spans="1:12" ht="12.75" customHeight="1" thickBot="1" x14ac:dyDescent="0.25">
      <c r="A831" s="60">
        <f t="shared" ref="A831:I833" si="353">A804+A807+A810+A813+A816+A819+A822+A825+A828</f>
        <v>606</v>
      </c>
      <c r="B831" s="60">
        <f t="shared" si="353"/>
        <v>357</v>
      </c>
      <c r="C831" s="60">
        <f t="shared" si="353"/>
        <v>249</v>
      </c>
      <c r="D831" s="60">
        <f t="shared" si="353"/>
        <v>316</v>
      </c>
      <c r="E831" s="60">
        <f t="shared" si="353"/>
        <v>202</v>
      </c>
      <c r="F831" s="60">
        <f t="shared" si="353"/>
        <v>114</v>
      </c>
      <c r="G831" s="60">
        <f t="shared" si="353"/>
        <v>290</v>
      </c>
      <c r="H831" s="60">
        <f t="shared" si="353"/>
        <v>155</v>
      </c>
      <c r="I831" s="60">
        <f>I804+I807+I810+I813+I816+I819+I822+I825+I828</f>
        <v>135</v>
      </c>
      <c r="J831" s="65" t="s">
        <v>224</v>
      </c>
      <c r="K831" s="57"/>
      <c r="L831" s="55"/>
    </row>
    <row r="832" spans="1:12" ht="12.75" customHeight="1" thickBot="1" x14ac:dyDescent="0.25">
      <c r="A832" s="60">
        <f t="shared" si="353"/>
        <v>0</v>
      </c>
      <c r="B832" s="60">
        <f t="shared" si="353"/>
        <v>0</v>
      </c>
      <c r="C832" s="60">
        <f t="shared" si="353"/>
        <v>0</v>
      </c>
      <c r="D832" s="60">
        <f t="shared" si="353"/>
        <v>0</v>
      </c>
      <c r="E832" s="60">
        <f t="shared" si="353"/>
        <v>0</v>
      </c>
      <c r="F832" s="60">
        <f t="shared" si="353"/>
        <v>0</v>
      </c>
      <c r="G832" s="60">
        <f t="shared" si="353"/>
        <v>0</v>
      </c>
      <c r="H832" s="60">
        <f t="shared" si="353"/>
        <v>0</v>
      </c>
      <c r="I832" s="60">
        <f t="shared" si="353"/>
        <v>0</v>
      </c>
      <c r="J832" s="65" t="s">
        <v>225</v>
      </c>
      <c r="K832" s="68" t="s">
        <v>211</v>
      </c>
      <c r="L832" s="55"/>
    </row>
    <row r="833" spans="1:12" ht="12.75" customHeight="1" thickBot="1" x14ac:dyDescent="0.25">
      <c r="A833" s="60">
        <f t="shared" si="353"/>
        <v>606</v>
      </c>
      <c r="B833" s="60">
        <f t="shared" si="353"/>
        <v>357</v>
      </c>
      <c r="C833" s="60">
        <f t="shared" si="353"/>
        <v>249</v>
      </c>
      <c r="D833" s="60">
        <f t="shared" si="353"/>
        <v>316</v>
      </c>
      <c r="E833" s="60">
        <f t="shared" si="353"/>
        <v>202</v>
      </c>
      <c r="F833" s="60">
        <f t="shared" si="353"/>
        <v>114</v>
      </c>
      <c r="G833" s="60">
        <f t="shared" si="353"/>
        <v>290</v>
      </c>
      <c r="H833" s="60">
        <f t="shared" si="353"/>
        <v>155</v>
      </c>
      <c r="I833" s="60">
        <f t="shared" si="353"/>
        <v>135</v>
      </c>
      <c r="J833" s="65" t="s">
        <v>13</v>
      </c>
      <c r="K833" s="59"/>
      <c r="L833" s="55"/>
    </row>
  </sheetData>
  <mergeCells count="161">
    <mergeCell ref="A1:K1"/>
    <mergeCell ref="A2:K2"/>
    <mergeCell ref="A3:C3"/>
    <mergeCell ref="D3:F3"/>
    <mergeCell ref="G3:I3"/>
    <mergeCell ref="J3:K3"/>
    <mergeCell ref="J65:K65"/>
    <mergeCell ref="A84:K84"/>
    <mergeCell ref="A85:K85"/>
    <mergeCell ref="A86:C86"/>
    <mergeCell ref="D86:F86"/>
    <mergeCell ref="G86:I86"/>
    <mergeCell ref="J86:K86"/>
    <mergeCell ref="J4:K4"/>
    <mergeCell ref="A62:K62"/>
    <mergeCell ref="A63:K63"/>
    <mergeCell ref="A64:C64"/>
    <mergeCell ref="D64:F64"/>
    <mergeCell ref="G64:I64"/>
    <mergeCell ref="J64:K64"/>
    <mergeCell ref="J121:K121"/>
    <mergeCell ref="A176:K176"/>
    <mergeCell ref="A177:K177"/>
    <mergeCell ref="A178:C178"/>
    <mergeCell ref="D178:F178"/>
    <mergeCell ref="G178:I178"/>
    <mergeCell ref="J178:K178"/>
    <mergeCell ref="J87:K87"/>
    <mergeCell ref="A118:K118"/>
    <mergeCell ref="A119:K119"/>
    <mergeCell ref="A120:C120"/>
    <mergeCell ref="D120:F120"/>
    <mergeCell ref="G120:I120"/>
    <mergeCell ref="J120:K120"/>
    <mergeCell ref="J246:K246"/>
    <mergeCell ref="A268:K268"/>
    <mergeCell ref="A269:K269"/>
    <mergeCell ref="A270:C270"/>
    <mergeCell ref="D270:F270"/>
    <mergeCell ref="G270:I270"/>
    <mergeCell ref="J270:K270"/>
    <mergeCell ref="J179:K179"/>
    <mergeCell ref="A243:K243"/>
    <mergeCell ref="A244:K244"/>
    <mergeCell ref="A245:C245"/>
    <mergeCell ref="D245:F245"/>
    <mergeCell ref="G245:I245"/>
    <mergeCell ref="J245:K245"/>
    <mergeCell ref="J338:K338"/>
    <mergeCell ref="A408:K408"/>
    <mergeCell ref="A409:K409"/>
    <mergeCell ref="A410:C410"/>
    <mergeCell ref="D410:F410"/>
    <mergeCell ref="G410:I410"/>
    <mergeCell ref="J410:K410"/>
    <mergeCell ref="J271:K271"/>
    <mergeCell ref="A335:K335"/>
    <mergeCell ref="A336:K336"/>
    <mergeCell ref="A337:C337"/>
    <mergeCell ref="D337:F337"/>
    <mergeCell ref="G337:I337"/>
    <mergeCell ref="J337:K337"/>
    <mergeCell ref="J469:K469"/>
    <mergeCell ref="A524:K524"/>
    <mergeCell ref="A525:K525"/>
    <mergeCell ref="A526:C526"/>
    <mergeCell ref="D526:F526"/>
    <mergeCell ref="G526:I526"/>
    <mergeCell ref="J526:K526"/>
    <mergeCell ref="J411:K411"/>
    <mergeCell ref="A466:K466"/>
    <mergeCell ref="A467:K467"/>
    <mergeCell ref="A468:C468"/>
    <mergeCell ref="D468:F468"/>
    <mergeCell ref="G468:I468"/>
    <mergeCell ref="J468:K468"/>
    <mergeCell ref="J555:K555"/>
    <mergeCell ref="A562:K562"/>
    <mergeCell ref="A563:K563"/>
    <mergeCell ref="A564:C564"/>
    <mergeCell ref="D564:F564"/>
    <mergeCell ref="G564:I564"/>
    <mergeCell ref="J564:K564"/>
    <mergeCell ref="J527:K527"/>
    <mergeCell ref="A552:K552"/>
    <mergeCell ref="A553:K553"/>
    <mergeCell ref="A554:C554"/>
    <mergeCell ref="D554:F554"/>
    <mergeCell ref="G554:I554"/>
    <mergeCell ref="J554:K554"/>
    <mergeCell ref="J593:K593"/>
    <mergeCell ref="A612:K612"/>
    <mergeCell ref="A613:K613"/>
    <mergeCell ref="A614:C614"/>
    <mergeCell ref="D614:F614"/>
    <mergeCell ref="G614:I614"/>
    <mergeCell ref="J614:K614"/>
    <mergeCell ref="J565:K565"/>
    <mergeCell ref="A590:K590"/>
    <mergeCell ref="A591:K591"/>
    <mergeCell ref="A592:C592"/>
    <mergeCell ref="D592:F592"/>
    <mergeCell ref="G592:I592"/>
    <mergeCell ref="J592:K592"/>
    <mergeCell ref="J637:K637"/>
    <mergeCell ref="A653:K653"/>
    <mergeCell ref="A654:K654"/>
    <mergeCell ref="A655:C655"/>
    <mergeCell ref="D655:F655"/>
    <mergeCell ref="G655:I655"/>
    <mergeCell ref="J655:K655"/>
    <mergeCell ref="J615:K615"/>
    <mergeCell ref="A634:K634"/>
    <mergeCell ref="A635:K635"/>
    <mergeCell ref="A636:C636"/>
    <mergeCell ref="D636:F636"/>
    <mergeCell ref="G636:I636"/>
    <mergeCell ref="J636:K636"/>
    <mergeCell ref="J681:K681"/>
    <mergeCell ref="A691:K691"/>
    <mergeCell ref="A692:K692"/>
    <mergeCell ref="A693:C693"/>
    <mergeCell ref="D693:F693"/>
    <mergeCell ref="G693:I693"/>
    <mergeCell ref="J693:K693"/>
    <mergeCell ref="J656:K656"/>
    <mergeCell ref="A678:K678"/>
    <mergeCell ref="A679:K679"/>
    <mergeCell ref="A680:C680"/>
    <mergeCell ref="D680:F680"/>
    <mergeCell ref="G680:I680"/>
    <mergeCell ref="J680:K680"/>
    <mergeCell ref="J767:K767"/>
    <mergeCell ref="A780:K780"/>
    <mergeCell ref="A781:K781"/>
    <mergeCell ref="A782:C782"/>
    <mergeCell ref="D782:F782"/>
    <mergeCell ref="G782:I782"/>
    <mergeCell ref="J782:K782"/>
    <mergeCell ref="J694:K694"/>
    <mergeCell ref="A764:K764"/>
    <mergeCell ref="A765:K765"/>
    <mergeCell ref="A766:C766"/>
    <mergeCell ref="D766:F766"/>
    <mergeCell ref="G766:I766"/>
    <mergeCell ref="J766:K766"/>
    <mergeCell ref="J803:K803"/>
    <mergeCell ref="J793:K793"/>
    <mergeCell ref="A800:K800"/>
    <mergeCell ref="A801:K801"/>
    <mergeCell ref="A802:C802"/>
    <mergeCell ref="D802:F802"/>
    <mergeCell ref="G802:I802"/>
    <mergeCell ref="J802:K802"/>
    <mergeCell ref="J783:K783"/>
    <mergeCell ref="A790:K790"/>
    <mergeCell ref="A791:K791"/>
    <mergeCell ref="A792:C792"/>
    <mergeCell ref="D792:F792"/>
    <mergeCell ref="G792:I792"/>
    <mergeCell ref="J792:K792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93"/>
  <sheetViews>
    <sheetView showGridLines="0" workbookViewId="0">
      <selection activeCell="G206" sqref="G206"/>
    </sheetView>
  </sheetViews>
  <sheetFormatPr defaultRowHeight="12.75" customHeight="1" x14ac:dyDescent="0.2"/>
  <cols>
    <col min="1" max="9" width="5.75" style="56" customWidth="1"/>
    <col min="10" max="10" width="7.75" style="56" bestFit="1" customWidth="1"/>
    <col min="11" max="11" width="33.375" style="56" bestFit="1" customWidth="1"/>
    <col min="12" max="12" width="3.625" style="56" customWidth="1"/>
    <col min="13" max="252" width="9" style="56"/>
    <col min="253" max="261" width="5.75" style="56" customWidth="1"/>
    <col min="262" max="262" width="7.75" style="56" bestFit="1" customWidth="1"/>
    <col min="263" max="263" width="33.375" style="56" bestFit="1" customWidth="1"/>
    <col min="264" max="264" width="3.625" style="56" customWidth="1"/>
    <col min="265" max="267" width="4.875" style="56" customWidth="1"/>
    <col min="268" max="508" width="9" style="56"/>
    <col min="509" max="517" width="5.75" style="56" customWidth="1"/>
    <col min="518" max="518" width="7.75" style="56" bestFit="1" customWidth="1"/>
    <col min="519" max="519" width="33.375" style="56" bestFit="1" customWidth="1"/>
    <col min="520" max="520" width="3.625" style="56" customWidth="1"/>
    <col min="521" max="523" width="4.875" style="56" customWidth="1"/>
    <col min="524" max="764" width="9" style="56"/>
    <col min="765" max="773" width="5.75" style="56" customWidth="1"/>
    <col min="774" max="774" width="7.75" style="56" bestFit="1" customWidth="1"/>
    <col min="775" max="775" width="33.375" style="56" bestFit="1" customWidth="1"/>
    <col min="776" max="776" width="3.625" style="56" customWidth="1"/>
    <col min="777" max="779" width="4.875" style="56" customWidth="1"/>
    <col min="780" max="1020" width="9" style="56"/>
    <col min="1021" max="1029" width="5.75" style="56" customWidth="1"/>
    <col min="1030" max="1030" width="7.75" style="56" bestFit="1" customWidth="1"/>
    <col min="1031" max="1031" width="33.375" style="56" bestFit="1" customWidth="1"/>
    <col min="1032" max="1032" width="3.625" style="56" customWidth="1"/>
    <col min="1033" max="1035" width="4.875" style="56" customWidth="1"/>
    <col min="1036" max="1276" width="9" style="56"/>
    <col min="1277" max="1285" width="5.75" style="56" customWidth="1"/>
    <col min="1286" max="1286" width="7.75" style="56" bestFit="1" customWidth="1"/>
    <col min="1287" max="1287" width="33.375" style="56" bestFit="1" customWidth="1"/>
    <col min="1288" max="1288" width="3.625" style="56" customWidth="1"/>
    <col min="1289" max="1291" width="4.875" style="56" customWidth="1"/>
    <col min="1292" max="1532" width="9" style="56"/>
    <col min="1533" max="1541" width="5.75" style="56" customWidth="1"/>
    <col min="1542" max="1542" width="7.75" style="56" bestFit="1" customWidth="1"/>
    <col min="1543" max="1543" width="33.375" style="56" bestFit="1" customWidth="1"/>
    <col min="1544" max="1544" width="3.625" style="56" customWidth="1"/>
    <col min="1545" max="1547" width="4.875" style="56" customWidth="1"/>
    <col min="1548" max="1788" width="9" style="56"/>
    <col min="1789" max="1797" width="5.75" style="56" customWidth="1"/>
    <col min="1798" max="1798" width="7.75" style="56" bestFit="1" customWidth="1"/>
    <col min="1799" max="1799" width="33.375" style="56" bestFit="1" customWidth="1"/>
    <col min="1800" max="1800" width="3.625" style="56" customWidth="1"/>
    <col min="1801" max="1803" width="4.875" style="56" customWidth="1"/>
    <col min="1804" max="2044" width="9" style="56"/>
    <col min="2045" max="2053" width="5.75" style="56" customWidth="1"/>
    <col min="2054" max="2054" width="7.75" style="56" bestFit="1" customWidth="1"/>
    <col min="2055" max="2055" width="33.375" style="56" bestFit="1" customWidth="1"/>
    <col min="2056" max="2056" width="3.625" style="56" customWidth="1"/>
    <col min="2057" max="2059" width="4.875" style="56" customWidth="1"/>
    <col min="2060" max="2300" width="9" style="56"/>
    <col min="2301" max="2309" width="5.75" style="56" customWidth="1"/>
    <col min="2310" max="2310" width="7.75" style="56" bestFit="1" customWidth="1"/>
    <col min="2311" max="2311" width="33.375" style="56" bestFit="1" customWidth="1"/>
    <col min="2312" max="2312" width="3.625" style="56" customWidth="1"/>
    <col min="2313" max="2315" width="4.875" style="56" customWidth="1"/>
    <col min="2316" max="2556" width="9" style="56"/>
    <col min="2557" max="2565" width="5.75" style="56" customWidth="1"/>
    <col min="2566" max="2566" width="7.75" style="56" bestFit="1" customWidth="1"/>
    <col min="2567" max="2567" width="33.375" style="56" bestFit="1" customWidth="1"/>
    <col min="2568" max="2568" width="3.625" style="56" customWidth="1"/>
    <col min="2569" max="2571" width="4.875" style="56" customWidth="1"/>
    <col min="2572" max="2812" width="9" style="56"/>
    <col min="2813" max="2821" width="5.75" style="56" customWidth="1"/>
    <col min="2822" max="2822" width="7.75" style="56" bestFit="1" customWidth="1"/>
    <col min="2823" max="2823" width="33.375" style="56" bestFit="1" customWidth="1"/>
    <col min="2824" max="2824" width="3.625" style="56" customWidth="1"/>
    <col min="2825" max="2827" width="4.875" style="56" customWidth="1"/>
    <col min="2828" max="3068" width="9" style="56"/>
    <col min="3069" max="3077" width="5.75" style="56" customWidth="1"/>
    <col min="3078" max="3078" width="7.75" style="56" bestFit="1" customWidth="1"/>
    <col min="3079" max="3079" width="33.375" style="56" bestFit="1" customWidth="1"/>
    <col min="3080" max="3080" width="3.625" style="56" customWidth="1"/>
    <col min="3081" max="3083" width="4.875" style="56" customWidth="1"/>
    <col min="3084" max="3324" width="9" style="56"/>
    <col min="3325" max="3333" width="5.75" style="56" customWidth="1"/>
    <col min="3334" max="3334" width="7.75" style="56" bestFit="1" customWidth="1"/>
    <col min="3335" max="3335" width="33.375" style="56" bestFit="1" customWidth="1"/>
    <col min="3336" max="3336" width="3.625" style="56" customWidth="1"/>
    <col min="3337" max="3339" width="4.875" style="56" customWidth="1"/>
    <col min="3340" max="3580" width="9" style="56"/>
    <col min="3581" max="3589" width="5.75" style="56" customWidth="1"/>
    <col min="3590" max="3590" width="7.75" style="56" bestFit="1" customWidth="1"/>
    <col min="3591" max="3591" width="33.375" style="56" bestFit="1" customWidth="1"/>
    <col min="3592" max="3592" width="3.625" style="56" customWidth="1"/>
    <col min="3593" max="3595" width="4.875" style="56" customWidth="1"/>
    <col min="3596" max="3836" width="9" style="56"/>
    <col min="3837" max="3845" width="5.75" style="56" customWidth="1"/>
    <col min="3846" max="3846" width="7.75" style="56" bestFit="1" customWidth="1"/>
    <col min="3847" max="3847" width="33.375" style="56" bestFit="1" customWidth="1"/>
    <col min="3848" max="3848" width="3.625" style="56" customWidth="1"/>
    <col min="3849" max="3851" width="4.875" style="56" customWidth="1"/>
    <col min="3852" max="4092" width="9" style="56"/>
    <col min="4093" max="4101" width="5.75" style="56" customWidth="1"/>
    <col min="4102" max="4102" width="7.75" style="56" bestFit="1" customWidth="1"/>
    <col min="4103" max="4103" width="33.375" style="56" bestFit="1" customWidth="1"/>
    <col min="4104" max="4104" width="3.625" style="56" customWidth="1"/>
    <col min="4105" max="4107" width="4.875" style="56" customWidth="1"/>
    <col min="4108" max="4348" width="9" style="56"/>
    <col min="4349" max="4357" width="5.75" style="56" customWidth="1"/>
    <col min="4358" max="4358" width="7.75" style="56" bestFit="1" customWidth="1"/>
    <col min="4359" max="4359" width="33.375" style="56" bestFit="1" customWidth="1"/>
    <col min="4360" max="4360" width="3.625" style="56" customWidth="1"/>
    <col min="4361" max="4363" width="4.875" style="56" customWidth="1"/>
    <col min="4364" max="4604" width="9" style="56"/>
    <col min="4605" max="4613" width="5.75" style="56" customWidth="1"/>
    <col min="4614" max="4614" width="7.75" style="56" bestFit="1" customWidth="1"/>
    <col min="4615" max="4615" width="33.375" style="56" bestFit="1" customWidth="1"/>
    <col min="4616" max="4616" width="3.625" style="56" customWidth="1"/>
    <col min="4617" max="4619" width="4.875" style="56" customWidth="1"/>
    <col min="4620" max="4860" width="9" style="56"/>
    <col min="4861" max="4869" width="5.75" style="56" customWidth="1"/>
    <col min="4870" max="4870" width="7.75" style="56" bestFit="1" customWidth="1"/>
    <col min="4871" max="4871" width="33.375" style="56" bestFit="1" customWidth="1"/>
    <col min="4872" max="4872" width="3.625" style="56" customWidth="1"/>
    <col min="4873" max="4875" width="4.875" style="56" customWidth="1"/>
    <col min="4876" max="5116" width="9" style="56"/>
    <col min="5117" max="5125" width="5.75" style="56" customWidth="1"/>
    <col min="5126" max="5126" width="7.75" style="56" bestFit="1" customWidth="1"/>
    <col min="5127" max="5127" width="33.375" style="56" bestFit="1" customWidth="1"/>
    <col min="5128" max="5128" width="3.625" style="56" customWidth="1"/>
    <col min="5129" max="5131" width="4.875" style="56" customWidth="1"/>
    <col min="5132" max="5372" width="9" style="56"/>
    <col min="5373" max="5381" width="5.75" style="56" customWidth="1"/>
    <col min="5382" max="5382" width="7.75" style="56" bestFit="1" customWidth="1"/>
    <col min="5383" max="5383" width="33.375" style="56" bestFit="1" customWidth="1"/>
    <col min="5384" max="5384" width="3.625" style="56" customWidth="1"/>
    <col min="5385" max="5387" width="4.875" style="56" customWidth="1"/>
    <col min="5388" max="5628" width="9" style="56"/>
    <col min="5629" max="5637" width="5.75" style="56" customWidth="1"/>
    <col min="5638" max="5638" width="7.75" style="56" bestFit="1" customWidth="1"/>
    <col min="5639" max="5639" width="33.375" style="56" bestFit="1" customWidth="1"/>
    <col min="5640" max="5640" width="3.625" style="56" customWidth="1"/>
    <col min="5641" max="5643" width="4.875" style="56" customWidth="1"/>
    <col min="5644" max="5884" width="9" style="56"/>
    <col min="5885" max="5893" width="5.75" style="56" customWidth="1"/>
    <col min="5894" max="5894" width="7.75" style="56" bestFit="1" customWidth="1"/>
    <col min="5895" max="5895" width="33.375" style="56" bestFit="1" customWidth="1"/>
    <col min="5896" max="5896" width="3.625" style="56" customWidth="1"/>
    <col min="5897" max="5899" width="4.875" style="56" customWidth="1"/>
    <col min="5900" max="6140" width="9" style="56"/>
    <col min="6141" max="6149" width="5.75" style="56" customWidth="1"/>
    <col min="6150" max="6150" width="7.75" style="56" bestFit="1" customWidth="1"/>
    <col min="6151" max="6151" width="33.375" style="56" bestFit="1" customWidth="1"/>
    <col min="6152" max="6152" width="3.625" style="56" customWidth="1"/>
    <col min="6153" max="6155" width="4.875" style="56" customWidth="1"/>
    <col min="6156" max="6396" width="9" style="56"/>
    <col min="6397" max="6405" width="5.75" style="56" customWidth="1"/>
    <col min="6406" max="6406" width="7.75" style="56" bestFit="1" customWidth="1"/>
    <col min="6407" max="6407" width="33.375" style="56" bestFit="1" customWidth="1"/>
    <col min="6408" max="6408" width="3.625" style="56" customWidth="1"/>
    <col min="6409" max="6411" width="4.875" style="56" customWidth="1"/>
    <col min="6412" max="6652" width="9" style="56"/>
    <col min="6653" max="6661" width="5.75" style="56" customWidth="1"/>
    <col min="6662" max="6662" width="7.75" style="56" bestFit="1" customWidth="1"/>
    <col min="6663" max="6663" width="33.375" style="56" bestFit="1" customWidth="1"/>
    <col min="6664" max="6664" width="3.625" style="56" customWidth="1"/>
    <col min="6665" max="6667" width="4.875" style="56" customWidth="1"/>
    <col min="6668" max="6908" width="9" style="56"/>
    <col min="6909" max="6917" width="5.75" style="56" customWidth="1"/>
    <col min="6918" max="6918" width="7.75" style="56" bestFit="1" customWidth="1"/>
    <col min="6919" max="6919" width="33.375" style="56" bestFit="1" customWidth="1"/>
    <col min="6920" max="6920" width="3.625" style="56" customWidth="1"/>
    <col min="6921" max="6923" width="4.875" style="56" customWidth="1"/>
    <col min="6924" max="7164" width="9" style="56"/>
    <col min="7165" max="7173" width="5.75" style="56" customWidth="1"/>
    <col min="7174" max="7174" width="7.75" style="56" bestFit="1" customWidth="1"/>
    <col min="7175" max="7175" width="33.375" style="56" bestFit="1" customWidth="1"/>
    <col min="7176" max="7176" width="3.625" style="56" customWidth="1"/>
    <col min="7177" max="7179" width="4.875" style="56" customWidth="1"/>
    <col min="7180" max="7420" width="9" style="56"/>
    <col min="7421" max="7429" width="5.75" style="56" customWidth="1"/>
    <col min="7430" max="7430" width="7.75" style="56" bestFit="1" customWidth="1"/>
    <col min="7431" max="7431" width="33.375" style="56" bestFit="1" customWidth="1"/>
    <col min="7432" max="7432" width="3.625" style="56" customWidth="1"/>
    <col min="7433" max="7435" width="4.875" style="56" customWidth="1"/>
    <col min="7436" max="7676" width="9" style="56"/>
    <col min="7677" max="7685" width="5.75" style="56" customWidth="1"/>
    <col min="7686" max="7686" width="7.75" style="56" bestFit="1" customWidth="1"/>
    <col min="7687" max="7687" width="33.375" style="56" bestFit="1" customWidth="1"/>
    <col min="7688" max="7688" width="3.625" style="56" customWidth="1"/>
    <col min="7689" max="7691" width="4.875" style="56" customWidth="1"/>
    <col min="7692" max="7932" width="9" style="56"/>
    <col min="7933" max="7941" width="5.75" style="56" customWidth="1"/>
    <col min="7942" max="7942" width="7.75" style="56" bestFit="1" customWidth="1"/>
    <col min="7943" max="7943" width="33.375" style="56" bestFit="1" customWidth="1"/>
    <col min="7944" max="7944" width="3.625" style="56" customWidth="1"/>
    <col min="7945" max="7947" width="4.875" style="56" customWidth="1"/>
    <col min="7948" max="8188" width="9" style="56"/>
    <col min="8189" max="8197" width="5.75" style="56" customWidth="1"/>
    <col min="8198" max="8198" width="7.75" style="56" bestFit="1" customWidth="1"/>
    <col min="8199" max="8199" width="33.375" style="56" bestFit="1" customWidth="1"/>
    <col min="8200" max="8200" width="3.625" style="56" customWidth="1"/>
    <col min="8201" max="8203" width="4.875" style="56" customWidth="1"/>
    <col min="8204" max="8444" width="9" style="56"/>
    <col min="8445" max="8453" width="5.75" style="56" customWidth="1"/>
    <col min="8454" max="8454" width="7.75" style="56" bestFit="1" customWidth="1"/>
    <col min="8455" max="8455" width="33.375" style="56" bestFit="1" customWidth="1"/>
    <col min="8456" max="8456" width="3.625" style="56" customWidth="1"/>
    <col min="8457" max="8459" width="4.875" style="56" customWidth="1"/>
    <col min="8460" max="8700" width="9" style="56"/>
    <col min="8701" max="8709" width="5.75" style="56" customWidth="1"/>
    <col min="8710" max="8710" width="7.75" style="56" bestFit="1" customWidth="1"/>
    <col min="8711" max="8711" width="33.375" style="56" bestFit="1" customWidth="1"/>
    <col min="8712" max="8712" width="3.625" style="56" customWidth="1"/>
    <col min="8713" max="8715" width="4.875" style="56" customWidth="1"/>
    <col min="8716" max="8956" width="9" style="56"/>
    <col min="8957" max="8965" width="5.75" style="56" customWidth="1"/>
    <col min="8966" max="8966" width="7.75" style="56" bestFit="1" customWidth="1"/>
    <col min="8967" max="8967" width="33.375" style="56" bestFit="1" customWidth="1"/>
    <col min="8968" max="8968" width="3.625" style="56" customWidth="1"/>
    <col min="8969" max="8971" width="4.875" style="56" customWidth="1"/>
    <col min="8972" max="9212" width="9" style="56"/>
    <col min="9213" max="9221" width="5.75" style="56" customWidth="1"/>
    <col min="9222" max="9222" width="7.75" style="56" bestFit="1" customWidth="1"/>
    <col min="9223" max="9223" width="33.375" style="56" bestFit="1" customWidth="1"/>
    <col min="9224" max="9224" width="3.625" style="56" customWidth="1"/>
    <col min="9225" max="9227" width="4.875" style="56" customWidth="1"/>
    <col min="9228" max="9468" width="9" style="56"/>
    <col min="9469" max="9477" width="5.75" style="56" customWidth="1"/>
    <col min="9478" max="9478" width="7.75" style="56" bestFit="1" customWidth="1"/>
    <col min="9479" max="9479" width="33.375" style="56" bestFit="1" customWidth="1"/>
    <col min="9480" max="9480" width="3.625" style="56" customWidth="1"/>
    <col min="9481" max="9483" width="4.875" style="56" customWidth="1"/>
    <col min="9484" max="9724" width="9" style="56"/>
    <col min="9725" max="9733" width="5.75" style="56" customWidth="1"/>
    <col min="9734" max="9734" width="7.75" style="56" bestFit="1" customWidth="1"/>
    <col min="9735" max="9735" width="33.375" style="56" bestFit="1" customWidth="1"/>
    <col min="9736" max="9736" width="3.625" style="56" customWidth="1"/>
    <col min="9737" max="9739" width="4.875" style="56" customWidth="1"/>
    <col min="9740" max="9980" width="9" style="56"/>
    <col min="9981" max="9989" width="5.75" style="56" customWidth="1"/>
    <col min="9990" max="9990" width="7.75" style="56" bestFit="1" customWidth="1"/>
    <col min="9991" max="9991" width="33.375" style="56" bestFit="1" customWidth="1"/>
    <col min="9992" max="9992" width="3.625" style="56" customWidth="1"/>
    <col min="9993" max="9995" width="4.875" style="56" customWidth="1"/>
    <col min="9996" max="10236" width="9" style="56"/>
    <col min="10237" max="10245" width="5.75" style="56" customWidth="1"/>
    <col min="10246" max="10246" width="7.75" style="56" bestFit="1" customWidth="1"/>
    <col min="10247" max="10247" width="33.375" style="56" bestFit="1" customWidth="1"/>
    <col min="10248" max="10248" width="3.625" style="56" customWidth="1"/>
    <col min="10249" max="10251" width="4.875" style="56" customWidth="1"/>
    <col min="10252" max="10492" width="9" style="56"/>
    <col min="10493" max="10501" width="5.75" style="56" customWidth="1"/>
    <col min="10502" max="10502" width="7.75" style="56" bestFit="1" customWidth="1"/>
    <col min="10503" max="10503" width="33.375" style="56" bestFit="1" customWidth="1"/>
    <col min="10504" max="10504" width="3.625" style="56" customWidth="1"/>
    <col min="10505" max="10507" width="4.875" style="56" customWidth="1"/>
    <col min="10508" max="10748" width="9" style="56"/>
    <col min="10749" max="10757" width="5.75" style="56" customWidth="1"/>
    <col min="10758" max="10758" width="7.75" style="56" bestFit="1" customWidth="1"/>
    <col min="10759" max="10759" width="33.375" style="56" bestFit="1" customWidth="1"/>
    <col min="10760" max="10760" width="3.625" style="56" customWidth="1"/>
    <col min="10761" max="10763" width="4.875" style="56" customWidth="1"/>
    <col min="10764" max="11004" width="9" style="56"/>
    <col min="11005" max="11013" width="5.75" style="56" customWidth="1"/>
    <col min="11014" max="11014" width="7.75" style="56" bestFit="1" customWidth="1"/>
    <col min="11015" max="11015" width="33.375" style="56" bestFit="1" customWidth="1"/>
    <col min="11016" max="11016" width="3.625" style="56" customWidth="1"/>
    <col min="11017" max="11019" width="4.875" style="56" customWidth="1"/>
    <col min="11020" max="11260" width="9" style="56"/>
    <col min="11261" max="11269" width="5.75" style="56" customWidth="1"/>
    <col min="11270" max="11270" width="7.75" style="56" bestFit="1" customWidth="1"/>
    <col min="11271" max="11271" width="33.375" style="56" bestFit="1" customWidth="1"/>
    <col min="11272" max="11272" width="3.625" style="56" customWidth="1"/>
    <col min="11273" max="11275" width="4.875" style="56" customWidth="1"/>
    <col min="11276" max="11516" width="9" style="56"/>
    <col min="11517" max="11525" width="5.75" style="56" customWidth="1"/>
    <col min="11526" max="11526" width="7.75" style="56" bestFit="1" customWidth="1"/>
    <col min="11527" max="11527" width="33.375" style="56" bestFit="1" customWidth="1"/>
    <col min="11528" max="11528" width="3.625" style="56" customWidth="1"/>
    <col min="11529" max="11531" width="4.875" style="56" customWidth="1"/>
    <col min="11532" max="11772" width="9" style="56"/>
    <col min="11773" max="11781" width="5.75" style="56" customWidth="1"/>
    <col min="11782" max="11782" width="7.75" style="56" bestFit="1" customWidth="1"/>
    <col min="11783" max="11783" width="33.375" style="56" bestFit="1" customWidth="1"/>
    <col min="11784" max="11784" width="3.625" style="56" customWidth="1"/>
    <col min="11785" max="11787" width="4.875" style="56" customWidth="1"/>
    <col min="11788" max="12028" width="9" style="56"/>
    <col min="12029" max="12037" width="5.75" style="56" customWidth="1"/>
    <col min="12038" max="12038" width="7.75" style="56" bestFit="1" customWidth="1"/>
    <col min="12039" max="12039" width="33.375" style="56" bestFit="1" customWidth="1"/>
    <col min="12040" max="12040" width="3.625" style="56" customWidth="1"/>
    <col min="12041" max="12043" width="4.875" style="56" customWidth="1"/>
    <col min="12044" max="12284" width="9" style="56"/>
    <col min="12285" max="12293" width="5.75" style="56" customWidth="1"/>
    <col min="12294" max="12294" width="7.75" style="56" bestFit="1" customWidth="1"/>
    <col min="12295" max="12295" width="33.375" style="56" bestFit="1" customWidth="1"/>
    <col min="12296" max="12296" width="3.625" style="56" customWidth="1"/>
    <col min="12297" max="12299" width="4.875" style="56" customWidth="1"/>
    <col min="12300" max="12540" width="9" style="56"/>
    <col min="12541" max="12549" width="5.75" style="56" customWidth="1"/>
    <col min="12550" max="12550" width="7.75" style="56" bestFit="1" customWidth="1"/>
    <col min="12551" max="12551" width="33.375" style="56" bestFit="1" customWidth="1"/>
    <col min="12552" max="12552" width="3.625" style="56" customWidth="1"/>
    <col min="12553" max="12555" width="4.875" style="56" customWidth="1"/>
    <col min="12556" max="12796" width="9" style="56"/>
    <col min="12797" max="12805" width="5.75" style="56" customWidth="1"/>
    <col min="12806" max="12806" width="7.75" style="56" bestFit="1" customWidth="1"/>
    <col min="12807" max="12807" width="33.375" style="56" bestFit="1" customWidth="1"/>
    <col min="12808" max="12808" width="3.625" style="56" customWidth="1"/>
    <col min="12809" max="12811" width="4.875" style="56" customWidth="1"/>
    <col min="12812" max="13052" width="9" style="56"/>
    <col min="13053" max="13061" width="5.75" style="56" customWidth="1"/>
    <col min="13062" max="13062" width="7.75" style="56" bestFit="1" customWidth="1"/>
    <col min="13063" max="13063" width="33.375" style="56" bestFit="1" customWidth="1"/>
    <col min="13064" max="13064" width="3.625" style="56" customWidth="1"/>
    <col min="13065" max="13067" width="4.875" style="56" customWidth="1"/>
    <col min="13068" max="13308" width="9" style="56"/>
    <col min="13309" max="13317" width="5.75" style="56" customWidth="1"/>
    <col min="13318" max="13318" width="7.75" style="56" bestFit="1" customWidth="1"/>
    <col min="13319" max="13319" width="33.375" style="56" bestFit="1" customWidth="1"/>
    <col min="13320" max="13320" width="3.625" style="56" customWidth="1"/>
    <col min="13321" max="13323" width="4.875" style="56" customWidth="1"/>
    <col min="13324" max="13564" width="9" style="56"/>
    <col min="13565" max="13573" width="5.75" style="56" customWidth="1"/>
    <col min="13574" max="13574" width="7.75" style="56" bestFit="1" customWidth="1"/>
    <col min="13575" max="13575" width="33.375" style="56" bestFit="1" customWidth="1"/>
    <col min="13576" max="13576" width="3.625" style="56" customWidth="1"/>
    <col min="13577" max="13579" width="4.875" style="56" customWidth="1"/>
    <col min="13580" max="13820" width="9" style="56"/>
    <col min="13821" max="13829" width="5.75" style="56" customWidth="1"/>
    <col min="13830" max="13830" width="7.75" style="56" bestFit="1" customWidth="1"/>
    <col min="13831" max="13831" width="33.375" style="56" bestFit="1" customWidth="1"/>
    <col min="13832" max="13832" width="3.625" style="56" customWidth="1"/>
    <col min="13833" max="13835" width="4.875" style="56" customWidth="1"/>
    <col min="13836" max="14076" width="9" style="56"/>
    <col min="14077" max="14085" width="5.75" style="56" customWidth="1"/>
    <col min="14086" max="14086" width="7.75" style="56" bestFit="1" customWidth="1"/>
    <col min="14087" max="14087" width="33.375" style="56" bestFit="1" customWidth="1"/>
    <col min="14088" max="14088" width="3.625" style="56" customWidth="1"/>
    <col min="14089" max="14091" width="4.875" style="56" customWidth="1"/>
    <col min="14092" max="14332" width="9" style="56"/>
    <col min="14333" max="14341" width="5.75" style="56" customWidth="1"/>
    <col min="14342" max="14342" width="7.75" style="56" bestFit="1" customWidth="1"/>
    <col min="14343" max="14343" width="33.375" style="56" bestFit="1" customWidth="1"/>
    <col min="14344" max="14344" width="3.625" style="56" customWidth="1"/>
    <col min="14345" max="14347" width="4.875" style="56" customWidth="1"/>
    <col min="14348" max="14588" width="9" style="56"/>
    <col min="14589" max="14597" width="5.75" style="56" customWidth="1"/>
    <col min="14598" max="14598" width="7.75" style="56" bestFit="1" customWidth="1"/>
    <col min="14599" max="14599" width="33.375" style="56" bestFit="1" customWidth="1"/>
    <col min="14600" max="14600" width="3.625" style="56" customWidth="1"/>
    <col min="14601" max="14603" width="4.875" style="56" customWidth="1"/>
    <col min="14604" max="14844" width="9" style="56"/>
    <col min="14845" max="14853" width="5.75" style="56" customWidth="1"/>
    <col min="14854" max="14854" width="7.75" style="56" bestFit="1" customWidth="1"/>
    <col min="14855" max="14855" width="33.375" style="56" bestFit="1" customWidth="1"/>
    <col min="14856" max="14856" width="3.625" style="56" customWidth="1"/>
    <col min="14857" max="14859" width="4.875" style="56" customWidth="1"/>
    <col min="14860" max="15100" width="9" style="56"/>
    <col min="15101" max="15109" width="5.75" style="56" customWidth="1"/>
    <col min="15110" max="15110" width="7.75" style="56" bestFit="1" customWidth="1"/>
    <col min="15111" max="15111" width="33.375" style="56" bestFit="1" customWidth="1"/>
    <col min="15112" max="15112" width="3.625" style="56" customWidth="1"/>
    <col min="15113" max="15115" width="4.875" style="56" customWidth="1"/>
    <col min="15116" max="15356" width="9" style="56"/>
    <col min="15357" max="15365" width="5.75" style="56" customWidth="1"/>
    <col min="15366" max="15366" width="7.75" style="56" bestFit="1" customWidth="1"/>
    <col min="15367" max="15367" width="33.375" style="56" bestFit="1" customWidth="1"/>
    <col min="15368" max="15368" width="3.625" style="56" customWidth="1"/>
    <col min="15369" max="15371" width="4.875" style="56" customWidth="1"/>
    <col min="15372" max="15612" width="9" style="56"/>
    <col min="15613" max="15621" width="5.75" style="56" customWidth="1"/>
    <col min="15622" max="15622" width="7.75" style="56" bestFit="1" customWidth="1"/>
    <col min="15623" max="15623" width="33.375" style="56" bestFit="1" customWidth="1"/>
    <col min="15624" max="15624" width="3.625" style="56" customWidth="1"/>
    <col min="15625" max="15627" width="4.875" style="56" customWidth="1"/>
    <col min="15628" max="15868" width="9" style="56"/>
    <col min="15869" max="15877" width="5.75" style="56" customWidth="1"/>
    <col min="15878" max="15878" width="7.75" style="56" bestFit="1" customWidth="1"/>
    <col min="15879" max="15879" width="33.375" style="56" bestFit="1" customWidth="1"/>
    <col min="15880" max="15880" width="3.625" style="56" customWidth="1"/>
    <col min="15881" max="15883" width="4.875" style="56" customWidth="1"/>
    <col min="15884" max="16124" width="9" style="56"/>
    <col min="16125" max="16133" width="5.75" style="56" customWidth="1"/>
    <col min="16134" max="16134" width="7.75" style="56" bestFit="1" customWidth="1"/>
    <col min="16135" max="16135" width="33.375" style="56" bestFit="1" customWidth="1"/>
    <col min="16136" max="16136" width="3.625" style="56" customWidth="1"/>
    <col min="16137" max="16139" width="4.875" style="56" customWidth="1"/>
    <col min="16140" max="16380" width="9" style="56"/>
    <col min="16381" max="16384" width="9.125" style="56" customWidth="1"/>
  </cols>
  <sheetData>
    <row r="1" spans="1:14" ht="12.75" customHeight="1" x14ac:dyDescent="0.2">
      <c r="A1" s="177" t="s">
        <v>605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55"/>
    </row>
    <row r="2" spans="1:14" ht="12.75" customHeight="1" thickBot="1" x14ac:dyDescent="0.25">
      <c r="A2" s="178" t="s">
        <v>606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55"/>
    </row>
    <row r="3" spans="1:14" ht="12.75" customHeight="1" thickBot="1" x14ac:dyDescent="0.25">
      <c r="A3" s="179" t="s">
        <v>5</v>
      </c>
      <c r="B3" s="179"/>
      <c r="C3" s="179"/>
      <c r="D3" s="179" t="s">
        <v>162</v>
      </c>
      <c r="E3" s="179"/>
      <c r="F3" s="179"/>
      <c r="G3" s="179" t="s">
        <v>163</v>
      </c>
      <c r="H3" s="179"/>
      <c r="I3" s="179"/>
      <c r="J3" s="179" t="s">
        <v>72</v>
      </c>
      <c r="K3" s="179"/>
      <c r="L3" s="55"/>
    </row>
    <row r="4" spans="1:14" ht="12.75" customHeight="1" thickBot="1" x14ac:dyDescent="0.25">
      <c r="A4" s="58" t="s">
        <v>216</v>
      </c>
      <c r="B4" s="58" t="s">
        <v>11</v>
      </c>
      <c r="C4" s="58" t="s">
        <v>10</v>
      </c>
      <c r="D4" s="58" t="s">
        <v>216</v>
      </c>
      <c r="E4" s="58" t="s">
        <v>11</v>
      </c>
      <c r="F4" s="58" t="s">
        <v>10</v>
      </c>
      <c r="G4" s="58" t="s">
        <v>216</v>
      </c>
      <c r="H4" s="58" t="s">
        <v>11</v>
      </c>
      <c r="I4" s="58" t="s">
        <v>10</v>
      </c>
      <c r="J4" s="180" t="s">
        <v>74</v>
      </c>
      <c r="K4" s="180"/>
      <c r="L4" s="109"/>
    </row>
    <row r="5" spans="1:14" ht="12.75" customHeight="1" thickBot="1" x14ac:dyDescent="0.25">
      <c r="A5" s="60">
        <f>G5+D5</f>
        <v>27</v>
      </c>
      <c r="B5" s="60">
        <f>H5+E5</f>
        <v>0</v>
      </c>
      <c r="C5" s="60">
        <f>I5+F5</f>
        <v>27</v>
      </c>
      <c r="D5" s="60">
        <f>F5+E5</f>
        <v>0</v>
      </c>
      <c r="E5" s="60">
        <v>0</v>
      </c>
      <c r="F5" s="60">
        <v>0</v>
      </c>
      <c r="G5" s="60">
        <f>I5+H5</f>
        <v>27</v>
      </c>
      <c r="H5" s="60">
        <v>0</v>
      </c>
      <c r="I5" s="60">
        <f>7+20</f>
        <v>27</v>
      </c>
      <c r="J5" s="65" t="s">
        <v>61</v>
      </c>
      <c r="K5" s="66"/>
      <c r="L5" s="55"/>
    </row>
    <row r="6" spans="1:14" ht="12.75" customHeight="1" thickBot="1" x14ac:dyDescent="0.25">
      <c r="A6" s="60">
        <f t="shared" ref="A6:C35" si="0">G6+D6</f>
        <v>71</v>
      </c>
      <c r="B6" s="60">
        <f t="shared" si="0"/>
        <v>0</v>
      </c>
      <c r="C6" s="60">
        <f t="shared" si="0"/>
        <v>71</v>
      </c>
      <c r="D6" s="60">
        <f t="shared" ref="D6:D34" si="1">F6+E6</f>
        <v>0</v>
      </c>
      <c r="E6" s="60">
        <v>0</v>
      </c>
      <c r="F6" s="60">
        <v>0</v>
      </c>
      <c r="G6" s="60">
        <f t="shared" ref="G6:G34" si="2">I6+H6</f>
        <v>71</v>
      </c>
      <c r="H6" s="60">
        <v>0</v>
      </c>
      <c r="I6" s="60">
        <f>21+40+10</f>
        <v>71</v>
      </c>
      <c r="J6" s="65" t="s">
        <v>62</v>
      </c>
      <c r="K6" s="66" t="s">
        <v>330</v>
      </c>
      <c r="L6" s="55"/>
    </row>
    <row r="7" spans="1:14" ht="12.75" customHeight="1" thickBot="1" x14ac:dyDescent="0.25">
      <c r="A7" s="60">
        <f t="shared" si="0"/>
        <v>6</v>
      </c>
      <c r="B7" s="60">
        <f t="shared" si="0"/>
        <v>0</v>
      </c>
      <c r="C7" s="60">
        <f t="shared" si="0"/>
        <v>6</v>
      </c>
      <c r="D7" s="60">
        <f t="shared" si="1"/>
        <v>0</v>
      </c>
      <c r="E7" s="60">
        <v>0</v>
      </c>
      <c r="F7" s="60">
        <v>0</v>
      </c>
      <c r="G7" s="60">
        <f t="shared" si="2"/>
        <v>6</v>
      </c>
      <c r="H7" s="60">
        <v>0</v>
      </c>
      <c r="I7" s="60">
        <f>3+3</f>
        <v>6</v>
      </c>
      <c r="J7" s="65" t="s">
        <v>64</v>
      </c>
      <c r="K7" s="74"/>
      <c r="L7" s="55"/>
    </row>
    <row r="8" spans="1:14" ht="12.75" customHeight="1" thickBot="1" x14ac:dyDescent="0.25">
      <c r="A8" s="60">
        <f t="shared" si="0"/>
        <v>12</v>
      </c>
      <c r="B8" s="60">
        <f t="shared" si="0"/>
        <v>3</v>
      </c>
      <c r="C8" s="60">
        <f t="shared" si="0"/>
        <v>9</v>
      </c>
      <c r="D8" s="60">
        <f t="shared" si="1"/>
        <v>0</v>
      </c>
      <c r="E8" s="60">
        <v>0</v>
      </c>
      <c r="F8" s="60">
        <v>0</v>
      </c>
      <c r="G8" s="60">
        <f t="shared" si="2"/>
        <v>12</v>
      </c>
      <c r="H8" s="60">
        <v>3</v>
      </c>
      <c r="I8" s="60">
        <v>9</v>
      </c>
      <c r="J8" s="65" t="s">
        <v>61</v>
      </c>
      <c r="K8" s="66"/>
      <c r="L8" s="55"/>
    </row>
    <row r="9" spans="1:14" ht="12.75" customHeight="1" thickBot="1" x14ac:dyDescent="0.25">
      <c r="A9" s="60">
        <f t="shared" si="0"/>
        <v>126</v>
      </c>
      <c r="B9" s="60">
        <f t="shared" si="0"/>
        <v>51</v>
      </c>
      <c r="C9" s="60">
        <f t="shared" si="0"/>
        <v>75</v>
      </c>
      <c r="D9" s="60">
        <f t="shared" si="1"/>
        <v>2</v>
      </c>
      <c r="E9" s="60">
        <v>1</v>
      </c>
      <c r="F9" s="60">
        <v>1</v>
      </c>
      <c r="G9" s="60">
        <f t="shared" si="2"/>
        <v>124</v>
      </c>
      <c r="H9" s="60">
        <f>30+20</f>
        <v>50</v>
      </c>
      <c r="I9" s="60">
        <v>74</v>
      </c>
      <c r="J9" s="65" t="s">
        <v>62</v>
      </c>
      <c r="K9" s="66" t="s">
        <v>331</v>
      </c>
      <c r="L9" s="55"/>
    </row>
    <row r="10" spans="1:14" ht="12.75" customHeight="1" thickBot="1" x14ac:dyDescent="0.25">
      <c r="A10" s="60">
        <f t="shared" si="0"/>
        <v>372</v>
      </c>
      <c r="B10" s="60">
        <f t="shared" si="0"/>
        <v>45</v>
      </c>
      <c r="C10" s="60">
        <f t="shared" si="0"/>
        <v>327</v>
      </c>
      <c r="D10" s="60">
        <f t="shared" si="1"/>
        <v>0</v>
      </c>
      <c r="E10" s="60">
        <v>0</v>
      </c>
      <c r="F10" s="60">
        <v>0</v>
      </c>
      <c r="G10" s="60">
        <f t="shared" si="2"/>
        <v>372</v>
      </c>
      <c r="H10" s="60">
        <v>45</v>
      </c>
      <c r="I10" s="60">
        <f>277+50</f>
        <v>327</v>
      </c>
      <c r="J10" s="65" t="s">
        <v>64</v>
      </c>
      <c r="K10" s="74"/>
      <c r="L10" s="55"/>
      <c r="M10" s="69"/>
      <c r="N10" s="69"/>
    </row>
    <row r="11" spans="1:14" ht="12.75" customHeight="1" thickBot="1" x14ac:dyDescent="0.25">
      <c r="A11" s="60">
        <f t="shared" si="0"/>
        <v>3</v>
      </c>
      <c r="B11" s="60">
        <f t="shared" si="0"/>
        <v>0</v>
      </c>
      <c r="C11" s="60">
        <f t="shared" si="0"/>
        <v>3</v>
      </c>
      <c r="D11" s="60">
        <f t="shared" si="1"/>
        <v>0</v>
      </c>
      <c r="E11" s="60">
        <v>0</v>
      </c>
      <c r="F11" s="60">
        <v>0</v>
      </c>
      <c r="G11" s="60">
        <f t="shared" si="2"/>
        <v>3</v>
      </c>
      <c r="H11" s="60">
        <v>0</v>
      </c>
      <c r="I11" s="60">
        <v>3</v>
      </c>
      <c r="J11" s="65" t="s">
        <v>61</v>
      </c>
      <c r="K11" s="66"/>
      <c r="L11" s="55"/>
    </row>
    <row r="12" spans="1:14" ht="12.75" customHeight="1" thickBot="1" x14ac:dyDescent="0.25">
      <c r="A12" s="60">
        <f t="shared" si="0"/>
        <v>21</v>
      </c>
      <c r="B12" s="60">
        <f t="shared" si="0"/>
        <v>2</v>
      </c>
      <c r="C12" s="60">
        <f t="shared" si="0"/>
        <v>19</v>
      </c>
      <c r="D12" s="60">
        <f t="shared" si="1"/>
        <v>0</v>
      </c>
      <c r="E12" s="60">
        <v>0</v>
      </c>
      <c r="F12" s="60">
        <v>0</v>
      </c>
      <c r="G12" s="60">
        <f t="shared" si="2"/>
        <v>21</v>
      </c>
      <c r="H12" s="60">
        <v>2</v>
      </c>
      <c r="I12" s="60">
        <v>19</v>
      </c>
      <c r="J12" s="65" t="s">
        <v>62</v>
      </c>
      <c r="K12" s="66" t="s">
        <v>332</v>
      </c>
      <c r="L12" s="55"/>
    </row>
    <row r="13" spans="1:14" ht="12.75" customHeight="1" thickBot="1" x14ac:dyDescent="0.25">
      <c r="A13" s="60">
        <f t="shared" si="0"/>
        <v>0</v>
      </c>
      <c r="B13" s="60">
        <f t="shared" si="0"/>
        <v>0</v>
      </c>
      <c r="C13" s="60">
        <f t="shared" si="0"/>
        <v>0</v>
      </c>
      <c r="D13" s="60">
        <f t="shared" si="1"/>
        <v>0</v>
      </c>
      <c r="E13" s="60">
        <v>0</v>
      </c>
      <c r="F13" s="60">
        <v>0</v>
      </c>
      <c r="G13" s="60">
        <f t="shared" si="2"/>
        <v>0</v>
      </c>
      <c r="H13" s="60">
        <v>0</v>
      </c>
      <c r="I13" s="60">
        <v>0</v>
      </c>
      <c r="J13" s="65" t="s">
        <v>64</v>
      </c>
      <c r="K13" s="74"/>
      <c r="L13" s="55"/>
    </row>
    <row r="14" spans="1:14" ht="12.75" customHeight="1" thickBot="1" x14ac:dyDescent="0.25">
      <c r="A14" s="60">
        <f t="shared" si="0"/>
        <v>0</v>
      </c>
      <c r="B14" s="60">
        <f t="shared" si="0"/>
        <v>0</v>
      </c>
      <c r="C14" s="60">
        <f t="shared" si="0"/>
        <v>0</v>
      </c>
      <c r="D14" s="60">
        <f t="shared" si="1"/>
        <v>0</v>
      </c>
      <c r="E14" s="60">
        <v>0</v>
      </c>
      <c r="F14" s="60">
        <v>0</v>
      </c>
      <c r="G14" s="60">
        <f t="shared" si="2"/>
        <v>0</v>
      </c>
      <c r="H14" s="60">
        <v>0</v>
      </c>
      <c r="I14" s="60">
        <v>0</v>
      </c>
      <c r="J14" s="65" t="s">
        <v>61</v>
      </c>
      <c r="K14" s="66"/>
      <c r="L14" s="55"/>
    </row>
    <row r="15" spans="1:14" ht="12.75" customHeight="1" thickBot="1" x14ac:dyDescent="0.25">
      <c r="A15" s="60">
        <f t="shared" si="0"/>
        <v>58</v>
      </c>
      <c r="B15" s="60">
        <f t="shared" si="0"/>
        <v>7</v>
      </c>
      <c r="C15" s="60">
        <f t="shared" si="0"/>
        <v>51</v>
      </c>
      <c r="D15" s="60">
        <f t="shared" si="1"/>
        <v>1</v>
      </c>
      <c r="E15" s="60">
        <v>1</v>
      </c>
      <c r="F15" s="60">
        <v>0</v>
      </c>
      <c r="G15" s="60">
        <f t="shared" si="2"/>
        <v>57</v>
      </c>
      <c r="H15" s="60">
        <v>6</v>
      </c>
      <c r="I15" s="60">
        <f>31+20</f>
        <v>51</v>
      </c>
      <c r="J15" s="65" t="s">
        <v>62</v>
      </c>
      <c r="K15" s="66" t="s">
        <v>333</v>
      </c>
      <c r="L15" s="55"/>
    </row>
    <row r="16" spans="1:14" ht="12.75" customHeight="1" thickBot="1" x14ac:dyDescent="0.25">
      <c r="A16" s="60">
        <f t="shared" si="0"/>
        <v>0</v>
      </c>
      <c r="B16" s="60">
        <f t="shared" si="0"/>
        <v>0</v>
      </c>
      <c r="C16" s="60">
        <f t="shared" si="0"/>
        <v>0</v>
      </c>
      <c r="D16" s="60">
        <f t="shared" si="1"/>
        <v>0</v>
      </c>
      <c r="E16" s="60">
        <v>0</v>
      </c>
      <c r="F16" s="60">
        <v>0</v>
      </c>
      <c r="G16" s="60">
        <f t="shared" si="2"/>
        <v>0</v>
      </c>
      <c r="H16" s="60">
        <v>0</v>
      </c>
      <c r="I16" s="60">
        <v>0</v>
      </c>
      <c r="J16" s="65" t="s">
        <v>64</v>
      </c>
      <c r="K16" s="74"/>
      <c r="L16" s="55"/>
      <c r="M16" s="69"/>
      <c r="N16" s="69"/>
    </row>
    <row r="17" spans="1:12" ht="12.75" customHeight="1" thickBot="1" x14ac:dyDescent="0.25">
      <c r="A17" s="60">
        <f t="shared" si="0"/>
        <v>0</v>
      </c>
      <c r="B17" s="60">
        <f t="shared" si="0"/>
        <v>0</v>
      </c>
      <c r="C17" s="60">
        <f t="shared" si="0"/>
        <v>0</v>
      </c>
      <c r="D17" s="60">
        <f t="shared" si="1"/>
        <v>0</v>
      </c>
      <c r="E17" s="60">
        <v>0</v>
      </c>
      <c r="F17" s="60">
        <v>0</v>
      </c>
      <c r="G17" s="60">
        <f t="shared" si="2"/>
        <v>0</v>
      </c>
      <c r="H17" s="60">
        <v>0</v>
      </c>
      <c r="I17" s="60">
        <v>0</v>
      </c>
      <c r="J17" s="65" t="s">
        <v>61</v>
      </c>
      <c r="K17" s="66"/>
      <c r="L17" s="55"/>
    </row>
    <row r="18" spans="1:12" ht="12.75" customHeight="1" thickBot="1" x14ac:dyDescent="0.25">
      <c r="A18" s="60">
        <f t="shared" si="0"/>
        <v>70</v>
      </c>
      <c r="B18" s="60">
        <f t="shared" si="0"/>
        <v>28</v>
      </c>
      <c r="C18" s="60">
        <f t="shared" si="0"/>
        <v>42</v>
      </c>
      <c r="D18" s="60">
        <f t="shared" si="1"/>
        <v>0</v>
      </c>
      <c r="E18" s="60">
        <v>0</v>
      </c>
      <c r="F18" s="60">
        <v>0</v>
      </c>
      <c r="G18" s="60">
        <f t="shared" si="2"/>
        <v>70</v>
      </c>
      <c r="H18" s="60">
        <f>12+16</f>
        <v>28</v>
      </c>
      <c r="I18" s="60">
        <f>22+20</f>
        <v>42</v>
      </c>
      <c r="J18" s="65" t="s">
        <v>62</v>
      </c>
      <c r="K18" s="66" t="s">
        <v>335</v>
      </c>
      <c r="L18" s="55"/>
    </row>
    <row r="19" spans="1:12" ht="12.75" customHeight="1" thickBot="1" x14ac:dyDescent="0.25">
      <c r="A19" s="60">
        <f t="shared" si="0"/>
        <v>0</v>
      </c>
      <c r="B19" s="60">
        <f t="shared" si="0"/>
        <v>0</v>
      </c>
      <c r="C19" s="60">
        <f t="shared" si="0"/>
        <v>0</v>
      </c>
      <c r="D19" s="60">
        <f t="shared" si="1"/>
        <v>0</v>
      </c>
      <c r="E19" s="60">
        <v>0</v>
      </c>
      <c r="F19" s="60">
        <v>0</v>
      </c>
      <c r="G19" s="60">
        <f t="shared" si="2"/>
        <v>0</v>
      </c>
      <c r="H19" s="60">
        <v>0</v>
      </c>
      <c r="I19" s="60">
        <v>0</v>
      </c>
      <c r="J19" s="65" t="s">
        <v>64</v>
      </c>
      <c r="K19" s="74"/>
      <c r="L19" s="55"/>
    </row>
    <row r="20" spans="1:12" ht="12.75" customHeight="1" thickBot="1" x14ac:dyDescent="0.25">
      <c r="A20" s="60">
        <f t="shared" si="0"/>
        <v>12</v>
      </c>
      <c r="B20" s="60">
        <f t="shared" si="0"/>
        <v>0</v>
      </c>
      <c r="C20" s="60">
        <f t="shared" si="0"/>
        <v>12</v>
      </c>
      <c r="D20" s="60">
        <f t="shared" si="1"/>
        <v>0</v>
      </c>
      <c r="E20" s="60">
        <v>0</v>
      </c>
      <c r="F20" s="60">
        <v>0</v>
      </c>
      <c r="G20" s="60">
        <f t="shared" si="2"/>
        <v>12</v>
      </c>
      <c r="H20" s="60">
        <v>0</v>
      </c>
      <c r="I20" s="60">
        <f>6+6</f>
        <v>12</v>
      </c>
      <c r="J20" s="65" t="s">
        <v>61</v>
      </c>
      <c r="K20" s="66"/>
      <c r="L20" s="55"/>
    </row>
    <row r="21" spans="1:12" ht="12.75" customHeight="1" thickBot="1" x14ac:dyDescent="0.25">
      <c r="A21" s="60">
        <f t="shared" si="0"/>
        <v>53</v>
      </c>
      <c r="B21" s="60">
        <f t="shared" si="0"/>
        <v>0</v>
      </c>
      <c r="C21" s="60">
        <f t="shared" si="0"/>
        <v>53</v>
      </c>
      <c r="D21" s="60">
        <f t="shared" si="1"/>
        <v>0</v>
      </c>
      <c r="E21" s="60">
        <v>0</v>
      </c>
      <c r="F21" s="60">
        <v>0</v>
      </c>
      <c r="G21" s="60">
        <f t="shared" si="2"/>
        <v>53</v>
      </c>
      <c r="H21" s="60">
        <v>0</v>
      </c>
      <c r="I21" s="60">
        <f>23+30</f>
        <v>53</v>
      </c>
      <c r="J21" s="65" t="s">
        <v>62</v>
      </c>
      <c r="K21" s="66" t="s">
        <v>336</v>
      </c>
      <c r="L21" s="55"/>
    </row>
    <row r="22" spans="1:12" ht="12.75" customHeight="1" thickBot="1" x14ac:dyDescent="0.25">
      <c r="A22" s="60">
        <f t="shared" si="0"/>
        <v>0</v>
      </c>
      <c r="B22" s="60">
        <f t="shared" si="0"/>
        <v>0</v>
      </c>
      <c r="C22" s="60">
        <f t="shared" si="0"/>
        <v>0</v>
      </c>
      <c r="D22" s="60">
        <f t="shared" si="1"/>
        <v>0</v>
      </c>
      <c r="E22" s="60">
        <v>0</v>
      </c>
      <c r="F22" s="60">
        <v>0</v>
      </c>
      <c r="G22" s="60">
        <f t="shared" si="2"/>
        <v>0</v>
      </c>
      <c r="H22" s="60">
        <v>0</v>
      </c>
      <c r="I22" s="60">
        <v>0</v>
      </c>
      <c r="J22" s="65" t="s">
        <v>64</v>
      </c>
      <c r="K22" s="74"/>
      <c r="L22" s="55"/>
    </row>
    <row r="23" spans="1:12" ht="12.75" customHeight="1" thickBot="1" x14ac:dyDescent="0.25">
      <c r="A23" s="60">
        <f t="shared" si="0"/>
        <v>1</v>
      </c>
      <c r="B23" s="60">
        <f t="shared" si="0"/>
        <v>1</v>
      </c>
      <c r="C23" s="60">
        <f t="shared" si="0"/>
        <v>0</v>
      </c>
      <c r="D23" s="60">
        <f t="shared" si="1"/>
        <v>0</v>
      </c>
      <c r="E23" s="60">
        <v>0</v>
      </c>
      <c r="F23" s="60">
        <v>0</v>
      </c>
      <c r="G23" s="60">
        <f t="shared" si="2"/>
        <v>1</v>
      </c>
      <c r="H23" s="60">
        <v>1</v>
      </c>
      <c r="I23" s="60">
        <v>0</v>
      </c>
      <c r="J23" s="65" t="s">
        <v>61</v>
      </c>
      <c r="K23" s="66"/>
      <c r="L23" s="55"/>
    </row>
    <row r="24" spans="1:12" ht="12.75" customHeight="1" thickBot="1" x14ac:dyDescent="0.25">
      <c r="A24" s="60">
        <f t="shared" si="0"/>
        <v>1</v>
      </c>
      <c r="B24" s="60">
        <f t="shared" si="0"/>
        <v>1</v>
      </c>
      <c r="C24" s="60">
        <f t="shared" si="0"/>
        <v>0</v>
      </c>
      <c r="D24" s="60">
        <f t="shared" si="1"/>
        <v>0</v>
      </c>
      <c r="E24" s="60">
        <v>0</v>
      </c>
      <c r="F24" s="60">
        <v>0</v>
      </c>
      <c r="G24" s="60">
        <f t="shared" si="2"/>
        <v>1</v>
      </c>
      <c r="H24" s="60">
        <v>1</v>
      </c>
      <c r="I24" s="60">
        <v>0</v>
      </c>
      <c r="J24" s="65" t="s">
        <v>62</v>
      </c>
      <c r="K24" s="66" t="s">
        <v>578</v>
      </c>
      <c r="L24" s="55"/>
    </row>
    <row r="25" spans="1:12" ht="12.75" customHeight="1" thickBot="1" x14ac:dyDescent="0.25">
      <c r="A25" s="60">
        <f t="shared" si="0"/>
        <v>0</v>
      </c>
      <c r="B25" s="60">
        <f t="shared" si="0"/>
        <v>0</v>
      </c>
      <c r="C25" s="60">
        <f t="shared" si="0"/>
        <v>0</v>
      </c>
      <c r="D25" s="60">
        <f t="shared" si="1"/>
        <v>0</v>
      </c>
      <c r="E25" s="60">
        <v>0</v>
      </c>
      <c r="F25" s="60">
        <v>0</v>
      </c>
      <c r="G25" s="60">
        <f t="shared" si="2"/>
        <v>0</v>
      </c>
      <c r="H25" s="60">
        <v>0</v>
      </c>
      <c r="I25" s="60">
        <v>0</v>
      </c>
      <c r="J25" s="65" t="s">
        <v>64</v>
      </c>
      <c r="K25" s="74"/>
      <c r="L25" s="55"/>
    </row>
    <row r="26" spans="1:12" ht="12.75" customHeight="1" thickBot="1" x14ac:dyDescent="0.25">
      <c r="A26" s="60">
        <f t="shared" si="0"/>
        <v>4</v>
      </c>
      <c r="B26" s="60">
        <f t="shared" si="0"/>
        <v>4</v>
      </c>
      <c r="C26" s="60">
        <f t="shared" si="0"/>
        <v>0</v>
      </c>
      <c r="D26" s="60">
        <f t="shared" si="1"/>
        <v>0</v>
      </c>
      <c r="E26" s="60">
        <v>0</v>
      </c>
      <c r="F26" s="60">
        <v>0</v>
      </c>
      <c r="G26" s="60">
        <f t="shared" si="2"/>
        <v>4</v>
      </c>
      <c r="H26" s="60">
        <v>4</v>
      </c>
      <c r="I26" s="60">
        <v>0</v>
      </c>
      <c r="J26" s="65" t="s">
        <v>61</v>
      </c>
      <c r="K26" s="66"/>
      <c r="L26" s="55"/>
    </row>
    <row r="27" spans="1:12" ht="12.75" customHeight="1" thickBot="1" x14ac:dyDescent="0.25">
      <c r="A27" s="60">
        <f t="shared" si="0"/>
        <v>2</v>
      </c>
      <c r="B27" s="60">
        <f t="shared" si="0"/>
        <v>2</v>
      </c>
      <c r="C27" s="60">
        <f t="shared" si="0"/>
        <v>0</v>
      </c>
      <c r="D27" s="60">
        <f t="shared" si="1"/>
        <v>0</v>
      </c>
      <c r="E27" s="60">
        <v>0</v>
      </c>
      <c r="F27" s="60">
        <v>0</v>
      </c>
      <c r="G27" s="60">
        <f t="shared" si="2"/>
        <v>2</v>
      </c>
      <c r="H27" s="60">
        <v>2</v>
      </c>
      <c r="I27" s="60">
        <v>0</v>
      </c>
      <c r="J27" s="65" t="s">
        <v>62</v>
      </c>
      <c r="K27" s="66" t="s">
        <v>340</v>
      </c>
      <c r="L27" s="55"/>
    </row>
    <row r="28" spans="1:12" ht="12.75" customHeight="1" thickBot="1" x14ac:dyDescent="0.25">
      <c r="A28" s="60">
        <f t="shared" si="0"/>
        <v>0</v>
      </c>
      <c r="B28" s="60">
        <f t="shared" si="0"/>
        <v>0</v>
      </c>
      <c r="C28" s="60">
        <f t="shared" si="0"/>
        <v>0</v>
      </c>
      <c r="D28" s="60">
        <f t="shared" si="1"/>
        <v>0</v>
      </c>
      <c r="E28" s="60">
        <v>0</v>
      </c>
      <c r="F28" s="60">
        <v>0</v>
      </c>
      <c r="G28" s="60">
        <f t="shared" si="2"/>
        <v>0</v>
      </c>
      <c r="H28" s="60">
        <v>0</v>
      </c>
      <c r="I28" s="60">
        <v>0</v>
      </c>
      <c r="J28" s="65" t="s">
        <v>64</v>
      </c>
      <c r="K28" s="74"/>
      <c r="L28" s="55"/>
    </row>
    <row r="29" spans="1:12" ht="12.75" customHeight="1" thickBot="1" x14ac:dyDescent="0.25">
      <c r="A29" s="60">
        <f t="shared" si="0"/>
        <v>0</v>
      </c>
      <c r="B29" s="60">
        <f t="shared" si="0"/>
        <v>0</v>
      </c>
      <c r="C29" s="60">
        <f t="shared" si="0"/>
        <v>0</v>
      </c>
      <c r="D29" s="60">
        <f t="shared" si="1"/>
        <v>0</v>
      </c>
      <c r="E29" s="60">
        <v>0</v>
      </c>
      <c r="F29" s="60">
        <v>0</v>
      </c>
      <c r="G29" s="60">
        <f t="shared" si="2"/>
        <v>0</v>
      </c>
      <c r="H29" s="60">
        <v>0</v>
      </c>
      <c r="I29" s="60">
        <v>0</v>
      </c>
      <c r="J29" s="65" t="s">
        <v>61</v>
      </c>
      <c r="K29" s="66"/>
      <c r="L29" s="55"/>
    </row>
    <row r="30" spans="1:12" ht="12.75" customHeight="1" thickBot="1" x14ac:dyDescent="0.25">
      <c r="A30" s="60">
        <f t="shared" si="0"/>
        <v>0</v>
      </c>
      <c r="B30" s="60">
        <f t="shared" si="0"/>
        <v>0</v>
      </c>
      <c r="C30" s="60">
        <f t="shared" si="0"/>
        <v>0</v>
      </c>
      <c r="D30" s="60">
        <f t="shared" si="1"/>
        <v>0</v>
      </c>
      <c r="E30" s="60">
        <v>0</v>
      </c>
      <c r="F30" s="60">
        <v>0</v>
      </c>
      <c r="G30" s="60">
        <f t="shared" si="2"/>
        <v>0</v>
      </c>
      <c r="H30" s="60">
        <v>0</v>
      </c>
      <c r="I30" s="60">
        <v>0</v>
      </c>
      <c r="J30" s="65" t="s">
        <v>62</v>
      </c>
      <c r="K30" s="66" t="s">
        <v>239</v>
      </c>
      <c r="L30" s="55"/>
    </row>
    <row r="31" spans="1:12" ht="12.75" customHeight="1" thickBot="1" x14ac:dyDescent="0.25">
      <c r="A31" s="60">
        <f t="shared" si="0"/>
        <v>18</v>
      </c>
      <c r="B31" s="60">
        <f t="shared" si="0"/>
        <v>0</v>
      </c>
      <c r="C31" s="60">
        <f t="shared" si="0"/>
        <v>18</v>
      </c>
      <c r="D31" s="60">
        <f t="shared" si="1"/>
        <v>0</v>
      </c>
      <c r="E31" s="60">
        <v>0</v>
      </c>
      <c r="F31" s="60">
        <v>0</v>
      </c>
      <c r="G31" s="60">
        <f t="shared" si="2"/>
        <v>18</v>
      </c>
      <c r="H31" s="60">
        <v>0</v>
      </c>
      <c r="I31" s="60">
        <v>18</v>
      </c>
      <c r="J31" s="65" t="s">
        <v>64</v>
      </c>
      <c r="K31" s="74"/>
      <c r="L31" s="55"/>
    </row>
    <row r="32" spans="1:12" ht="12.75" customHeight="1" thickBot="1" x14ac:dyDescent="0.25">
      <c r="A32" s="60">
        <f t="shared" si="0"/>
        <v>8</v>
      </c>
      <c r="B32" s="60">
        <f t="shared" si="0"/>
        <v>8</v>
      </c>
      <c r="C32" s="60">
        <f t="shared" si="0"/>
        <v>0</v>
      </c>
      <c r="D32" s="60">
        <f t="shared" si="1"/>
        <v>0</v>
      </c>
      <c r="E32" s="60">
        <v>0</v>
      </c>
      <c r="F32" s="60">
        <v>0</v>
      </c>
      <c r="G32" s="60">
        <f t="shared" si="2"/>
        <v>8</v>
      </c>
      <c r="H32" s="60">
        <v>8</v>
      </c>
      <c r="I32" s="60">
        <v>0</v>
      </c>
      <c r="J32" s="65" t="s">
        <v>61</v>
      </c>
      <c r="K32" s="66"/>
      <c r="L32" s="55"/>
    </row>
    <row r="33" spans="1:12" ht="12.75" customHeight="1" thickBot="1" x14ac:dyDescent="0.25">
      <c r="A33" s="60">
        <f t="shared" si="0"/>
        <v>17</v>
      </c>
      <c r="B33" s="60">
        <f t="shared" si="0"/>
        <v>17</v>
      </c>
      <c r="C33" s="60">
        <f t="shared" si="0"/>
        <v>0</v>
      </c>
      <c r="D33" s="60">
        <f t="shared" si="1"/>
        <v>0</v>
      </c>
      <c r="E33" s="60">
        <v>0</v>
      </c>
      <c r="F33" s="60">
        <v>0</v>
      </c>
      <c r="G33" s="60">
        <f t="shared" si="2"/>
        <v>17</v>
      </c>
      <c r="H33" s="60">
        <v>17</v>
      </c>
      <c r="I33" s="60">
        <v>0</v>
      </c>
      <c r="J33" s="65" t="s">
        <v>62</v>
      </c>
      <c r="K33" s="66" t="s">
        <v>345</v>
      </c>
      <c r="L33" s="55"/>
    </row>
    <row r="34" spans="1:12" ht="12.75" customHeight="1" thickBot="1" x14ac:dyDescent="0.25">
      <c r="A34" s="60">
        <f t="shared" si="0"/>
        <v>0</v>
      </c>
      <c r="B34" s="60">
        <f t="shared" si="0"/>
        <v>0</v>
      </c>
      <c r="C34" s="60">
        <f t="shared" si="0"/>
        <v>0</v>
      </c>
      <c r="D34" s="60">
        <f t="shared" si="1"/>
        <v>0</v>
      </c>
      <c r="E34" s="60">
        <v>0</v>
      </c>
      <c r="F34" s="60">
        <v>0</v>
      </c>
      <c r="G34" s="60">
        <f t="shared" si="2"/>
        <v>0</v>
      </c>
      <c r="H34" s="60">
        <v>0</v>
      </c>
      <c r="I34" s="60">
        <v>0</v>
      </c>
      <c r="J34" s="65" t="s">
        <v>64</v>
      </c>
      <c r="K34" s="74"/>
      <c r="L34" s="55"/>
    </row>
    <row r="35" spans="1:12" ht="12.75" customHeight="1" thickBot="1" x14ac:dyDescent="0.25">
      <c r="A35" s="60">
        <f t="shared" si="0"/>
        <v>67</v>
      </c>
      <c r="B35" s="60">
        <f t="shared" si="0"/>
        <v>16</v>
      </c>
      <c r="C35" s="60">
        <f t="shared" si="0"/>
        <v>51</v>
      </c>
      <c r="D35" s="60">
        <f t="shared" ref="A35:H37" si="3">D5+D8+D11+D14+D17+D20+D23+D26+D29+D32</f>
        <v>0</v>
      </c>
      <c r="E35" s="60">
        <f t="shared" si="3"/>
        <v>0</v>
      </c>
      <c r="F35" s="60">
        <f t="shared" si="3"/>
        <v>0</v>
      </c>
      <c r="G35" s="60">
        <f t="shared" si="3"/>
        <v>67</v>
      </c>
      <c r="H35" s="60">
        <f t="shared" si="3"/>
        <v>16</v>
      </c>
      <c r="I35" s="60">
        <f>I5+I8+I11+I14+I17+I20+I23+I26+I29+I32</f>
        <v>51</v>
      </c>
      <c r="J35" s="65" t="s">
        <v>231</v>
      </c>
      <c r="K35" s="57"/>
      <c r="L35" s="55"/>
    </row>
    <row r="36" spans="1:12" ht="12.75" customHeight="1" thickBot="1" x14ac:dyDescent="0.25">
      <c r="A36" s="60">
        <f t="shared" si="3"/>
        <v>419</v>
      </c>
      <c r="B36" s="60">
        <f t="shared" si="3"/>
        <v>108</v>
      </c>
      <c r="C36" s="60">
        <f t="shared" si="3"/>
        <v>311</v>
      </c>
      <c r="D36" s="60">
        <f t="shared" si="3"/>
        <v>3</v>
      </c>
      <c r="E36" s="60">
        <f t="shared" si="3"/>
        <v>2</v>
      </c>
      <c r="F36" s="60">
        <f t="shared" si="3"/>
        <v>1</v>
      </c>
      <c r="G36" s="60">
        <f t="shared" si="3"/>
        <v>416</v>
      </c>
      <c r="H36" s="60">
        <f t="shared" si="3"/>
        <v>106</v>
      </c>
      <c r="I36" s="60">
        <f>I6+I9+I12+I15+I18+I21+I24+I27+I30+I33</f>
        <v>310</v>
      </c>
      <c r="J36" s="65" t="s">
        <v>62</v>
      </c>
      <c r="K36" s="68" t="s">
        <v>232</v>
      </c>
      <c r="L36" s="55"/>
    </row>
    <row r="37" spans="1:12" ht="12.75" customHeight="1" thickBot="1" x14ac:dyDescent="0.25">
      <c r="A37" s="60">
        <f t="shared" si="3"/>
        <v>396</v>
      </c>
      <c r="B37" s="60">
        <f t="shared" si="3"/>
        <v>45</v>
      </c>
      <c r="C37" s="60">
        <f t="shared" si="3"/>
        <v>351</v>
      </c>
      <c r="D37" s="60">
        <f t="shared" si="3"/>
        <v>0</v>
      </c>
      <c r="E37" s="60">
        <f t="shared" si="3"/>
        <v>0</v>
      </c>
      <c r="F37" s="60">
        <f t="shared" si="3"/>
        <v>0</v>
      </c>
      <c r="G37" s="60">
        <f t="shared" si="3"/>
        <v>396</v>
      </c>
      <c r="H37" s="60">
        <f t="shared" si="3"/>
        <v>45</v>
      </c>
      <c r="I37" s="60">
        <f>I7+I10+I13+I16+I19+I22+I25+I28+I31+I34</f>
        <v>351</v>
      </c>
      <c r="J37" s="65" t="s">
        <v>64</v>
      </c>
      <c r="K37" s="59"/>
      <c r="L37" s="55"/>
    </row>
    <row r="38" spans="1:12" ht="12.75" customHeight="1" thickBot="1" x14ac:dyDescent="0.25">
      <c r="A38" s="60">
        <f t="shared" ref="A38:H38" si="4">SUM(A35:A37)</f>
        <v>882</v>
      </c>
      <c r="B38" s="60">
        <f t="shared" si="4"/>
        <v>169</v>
      </c>
      <c r="C38" s="60">
        <f t="shared" si="4"/>
        <v>713</v>
      </c>
      <c r="D38" s="60">
        <f t="shared" si="4"/>
        <v>3</v>
      </c>
      <c r="E38" s="60">
        <f t="shared" si="4"/>
        <v>2</v>
      </c>
      <c r="F38" s="60">
        <f t="shared" si="4"/>
        <v>1</v>
      </c>
      <c r="G38" s="60">
        <f t="shared" si="4"/>
        <v>879</v>
      </c>
      <c r="H38" s="60">
        <f t="shared" si="4"/>
        <v>167</v>
      </c>
      <c r="I38" s="60">
        <f>SUM(I35:I37)</f>
        <v>712</v>
      </c>
      <c r="J38" s="184" t="s">
        <v>233</v>
      </c>
      <c r="K38" s="184"/>
      <c r="L38" s="55"/>
    </row>
    <row r="40" spans="1:12" ht="12.75" customHeight="1" x14ac:dyDescent="0.2">
      <c r="A40" s="177" t="s">
        <v>605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</row>
    <row r="41" spans="1:12" ht="12.75" customHeight="1" thickBot="1" x14ac:dyDescent="0.25">
      <c r="A41" s="178" t="s">
        <v>606</v>
      </c>
      <c r="B41" s="178"/>
      <c r="C41" s="178"/>
      <c r="D41" s="178"/>
      <c r="E41" s="178"/>
      <c r="F41" s="178"/>
      <c r="G41" s="178"/>
      <c r="H41" s="178"/>
      <c r="I41" s="178"/>
      <c r="J41" s="178"/>
      <c r="K41" s="178"/>
    </row>
    <row r="42" spans="1:12" ht="12.75" customHeight="1" thickBot="1" x14ac:dyDescent="0.25">
      <c r="A42" s="179" t="s">
        <v>5</v>
      </c>
      <c r="B42" s="179"/>
      <c r="C42" s="179"/>
      <c r="D42" s="179" t="s">
        <v>162</v>
      </c>
      <c r="E42" s="179"/>
      <c r="F42" s="179"/>
      <c r="G42" s="179" t="s">
        <v>163</v>
      </c>
      <c r="H42" s="179"/>
      <c r="I42" s="179"/>
      <c r="J42" s="179" t="s">
        <v>72</v>
      </c>
      <c r="K42" s="179"/>
    </row>
    <row r="43" spans="1:12" ht="12.75" customHeight="1" thickBot="1" x14ac:dyDescent="0.25">
      <c r="A43" s="58" t="s">
        <v>216</v>
      </c>
      <c r="B43" s="58" t="s">
        <v>11</v>
      </c>
      <c r="C43" s="58" t="s">
        <v>10</v>
      </c>
      <c r="D43" s="58" t="s">
        <v>216</v>
      </c>
      <c r="E43" s="58" t="s">
        <v>11</v>
      </c>
      <c r="F43" s="58" t="s">
        <v>10</v>
      </c>
      <c r="G43" s="58" t="s">
        <v>216</v>
      </c>
      <c r="H43" s="58" t="s">
        <v>11</v>
      </c>
      <c r="I43" s="58" t="s">
        <v>10</v>
      </c>
      <c r="J43" s="180" t="s">
        <v>164</v>
      </c>
      <c r="K43" s="180"/>
    </row>
    <row r="44" spans="1:12" ht="12.75" customHeight="1" thickBot="1" x14ac:dyDescent="0.25">
      <c r="A44" s="60">
        <f t="shared" ref="A44:C58" si="5">G44+D44</f>
        <v>13</v>
      </c>
      <c r="B44" s="60">
        <f t="shared" si="5"/>
        <v>0</v>
      </c>
      <c r="C44" s="60">
        <f>I44+F44</f>
        <v>13</v>
      </c>
      <c r="D44" s="60">
        <f>F44+E44</f>
        <v>8</v>
      </c>
      <c r="E44" s="60">
        <v>0</v>
      </c>
      <c r="F44" s="60">
        <v>8</v>
      </c>
      <c r="G44" s="60">
        <f>I44+H44</f>
        <v>5</v>
      </c>
      <c r="H44" s="60">
        <v>0</v>
      </c>
      <c r="I44" s="60">
        <v>5</v>
      </c>
      <c r="J44" s="65" t="s">
        <v>61</v>
      </c>
      <c r="K44" s="66"/>
    </row>
    <row r="45" spans="1:12" ht="12.75" customHeight="1" thickBot="1" x14ac:dyDescent="0.25">
      <c r="A45" s="60">
        <f t="shared" si="5"/>
        <v>23</v>
      </c>
      <c r="B45" s="60">
        <f t="shared" si="5"/>
        <v>0</v>
      </c>
      <c r="C45" s="60">
        <f t="shared" si="5"/>
        <v>23</v>
      </c>
      <c r="D45" s="60">
        <f t="shared" ref="D45:D58" si="6">F45+E45</f>
        <v>10</v>
      </c>
      <c r="E45" s="60">
        <v>0</v>
      </c>
      <c r="F45" s="60">
        <v>10</v>
      </c>
      <c r="G45" s="60">
        <f t="shared" ref="G45:G58" si="7">I45+H45</f>
        <v>13</v>
      </c>
      <c r="H45" s="60">
        <v>0</v>
      </c>
      <c r="I45" s="60">
        <v>13</v>
      </c>
      <c r="J45" s="65" t="s">
        <v>62</v>
      </c>
      <c r="K45" s="66" t="s">
        <v>346</v>
      </c>
    </row>
    <row r="46" spans="1:12" ht="12.75" customHeight="1" thickBot="1" x14ac:dyDescent="0.25">
      <c r="A46" s="60">
        <f t="shared" si="5"/>
        <v>0</v>
      </c>
      <c r="B46" s="60">
        <f t="shared" si="5"/>
        <v>0</v>
      </c>
      <c r="C46" s="60">
        <f t="shared" si="5"/>
        <v>0</v>
      </c>
      <c r="D46" s="60">
        <f t="shared" si="6"/>
        <v>0</v>
      </c>
      <c r="E46" s="60">
        <v>0</v>
      </c>
      <c r="F46" s="60">
        <v>0</v>
      </c>
      <c r="G46" s="60">
        <f t="shared" si="7"/>
        <v>0</v>
      </c>
      <c r="H46" s="60">
        <v>0</v>
      </c>
      <c r="I46" s="60">
        <v>0</v>
      </c>
      <c r="J46" s="65" t="s">
        <v>64</v>
      </c>
      <c r="K46" s="74"/>
    </row>
    <row r="47" spans="1:12" ht="12.75" customHeight="1" thickBot="1" x14ac:dyDescent="0.25">
      <c r="A47" s="60">
        <f t="shared" si="5"/>
        <v>9</v>
      </c>
      <c r="B47" s="60">
        <f t="shared" si="5"/>
        <v>0</v>
      </c>
      <c r="C47" s="60">
        <f t="shared" si="5"/>
        <v>9</v>
      </c>
      <c r="D47" s="60">
        <f t="shared" si="6"/>
        <v>0</v>
      </c>
      <c r="E47" s="60">
        <v>0</v>
      </c>
      <c r="F47" s="60">
        <v>0</v>
      </c>
      <c r="G47" s="60">
        <f t="shared" si="7"/>
        <v>9</v>
      </c>
      <c r="H47" s="60">
        <v>0</v>
      </c>
      <c r="I47" s="60">
        <v>9</v>
      </c>
      <c r="J47" s="65" t="s">
        <v>61</v>
      </c>
      <c r="K47" s="66"/>
    </row>
    <row r="48" spans="1:12" ht="12.75" customHeight="1" thickBot="1" x14ac:dyDescent="0.25">
      <c r="A48" s="60">
        <f t="shared" si="5"/>
        <v>44</v>
      </c>
      <c r="B48" s="60">
        <f t="shared" si="5"/>
        <v>0</v>
      </c>
      <c r="C48" s="60">
        <f t="shared" si="5"/>
        <v>44</v>
      </c>
      <c r="D48" s="60">
        <f t="shared" si="6"/>
        <v>16</v>
      </c>
      <c r="E48" s="60">
        <v>0</v>
      </c>
      <c r="F48" s="60">
        <v>16</v>
      </c>
      <c r="G48" s="60">
        <f t="shared" si="7"/>
        <v>28</v>
      </c>
      <c r="H48" s="60">
        <v>0</v>
      </c>
      <c r="I48" s="60">
        <v>28</v>
      </c>
      <c r="J48" s="65" t="s">
        <v>62</v>
      </c>
      <c r="K48" s="66" t="s">
        <v>347</v>
      </c>
    </row>
    <row r="49" spans="1:11" ht="12.75" customHeight="1" thickBot="1" x14ac:dyDescent="0.25">
      <c r="A49" s="60">
        <f t="shared" si="5"/>
        <v>0</v>
      </c>
      <c r="B49" s="60">
        <f t="shared" si="5"/>
        <v>0</v>
      </c>
      <c r="C49" s="60">
        <f t="shared" si="5"/>
        <v>0</v>
      </c>
      <c r="D49" s="60">
        <f t="shared" si="6"/>
        <v>0</v>
      </c>
      <c r="E49" s="60">
        <v>0</v>
      </c>
      <c r="F49" s="60">
        <v>0</v>
      </c>
      <c r="G49" s="60">
        <f t="shared" si="7"/>
        <v>0</v>
      </c>
      <c r="H49" s="60">
        <v>0</v>
      </c>
      <c r="I49" s="60">
        <v>0</v>
      </c>
      <c r="J49" s="65" t="s">
        <v>64</v>
      </c>
      <c r="K49" s="74"/>
    </row>
    <row r="50" spans="1:11" ht="12.75" customHeight="1" thickBot="1" x14ac:dyDescent="0.25">
      <c r="A50" s="60">
        <f t="shared" si="5"/>
        <v>28</v>
      </c>
      <c r="B50" s="60">
        <f t="shared" si="5"/>
        <v>0</v>
      </c>
      <c r="C50" s="60">
        <f t="shared" si="5"/>
        <v>28</v>
      </c>
      <c r="D50" s="60">
        <f t="shared" si="6"/>
        <v>3</v>
      </c>
      <c r="E50" s="60">
        <v>0</v>
      </c>
      <c r="F50" s="60">
        <v>3</v>
      </c>
      <c r="G50" s="60">
        <f t="shared" si="7"/>
        <v>25</v>
      </c>
      <c r="H50" s="60">
        <v>0</v>
      </c>
      <c r="I50" s="60">
        <v>25</v>
      </c>
      <c r="J50" s="65" t="s">
        <v>61</v>
      </c>
      <c r="K50" s="66"/>
    </row>
    <row r="51" spans="1:11" ht="12.75" customHeight="1" thickBot="1" x14ac:dyDescent="0.25">
      <c r="A51" s="60">
        <f t="shared" si="5"/>
        <v>32</v>
      </c>
      <c r="B51" s="60">
        <f t="shared" si="5"/>
        <v>0</v>
      </c>
      <c r="C51" s="60">
        <f t="shared" si="5"/>
        <v>32</v>
      </c>
      <c r="D51" s="60">
        <f t="shared" si="6"/>
        <v>17</v>
      </c>
      <c r="E51" s="60">
        <v>0</v>
      </c>
      <c r="F51" s="60">
        <v>17</v>
      </c>
      <c r="G51" s="60">
        <f t="shared" si="7"/>
        <v>15</v>
      </c>
      <c r="H51" s="60">
        <v>0</v>
      </c>
      <c r="I51" s="60">
        <v>15</v>
      </c>
      <c r="J51" s="65" t="s">
        <v>62</v>
      </c>
      <c r="K51" s="66" t="s">
        <v>348</v>
      </c>
    </row>
    <row r="52" spans="1:11" ht="12.75" customHeight="1" thickBot="1" x14ac:dyDescent="0.25">
      <c r="A52" s="60">
        <f t="shared" si="5"/>
        <v>43</v>
      </c>
      <c r="B52" s="60">
        <f t="shared" si="5"/>
        <v>0</v>
      </c>
      <c r="C52" s="60">
        <f t="shared" si="5"/>
        <v>43</v>
      </c>
      <c r="D52" s="60">
        <f t="shared" si="6"/>
        <v>43</v>
      </c>
      <c r="E52" s="60">
        <v>0</v>
      </c>
      <c r="F52" s="60">
        <v>43</v>
      </c>
      <c r="G52" s="60">
        <f t="shared" si="7"/>
        <v>0</v>
      </c>
      <c r="H52" s="60">
        <v>0</v>
      </c>
      <c r="I52" s="60">
        <v>0</v>
      </c>
      <c r="J52" s="65" t="s">
        <v>64</v>
      </c>
      <c r="K52" s="74"/>
    </row>
    <row r="53" spans="1:11" ht="12.75" customHeight="1" thickBot="1" x14ac:dyDescent="0.25">
      <c r="A53" s="60">
        <f t="shared" si="5"/>
        <v>17</v>
      </c>
      <c r="B53" s="60">
        <f t="shared" si="5"/>
        <v>0</v>
      </c>
      <c r="C53" s="60">
        <f t="shared" si="5"/>
        <v>17</v>
      </c>
      <c r="D53" s="60">
        <f t="shared" si="6"/>
        <v>4</v>
      </c>
      <c r="E53" s="60">
        <v>0</v>
      </c>
      <c r="F53" s="60">
        <v>4</v>
      </c>
      <c r="G53" s="60">
        <f t="shared" si="7"/>
        <v>13</v>
      </c>
      <c r="H53" s="60">
        <v>0</v>
      </c>
      <c r="I53" s="60">
        <v>13</v>
      </c>
      <c r="J53" s="65" t="s">
        <v>61</v>
      </c>
      <c r="K53" s="66"/>
    </row>
    <row r="54" spans="1:11" ht="12.75" customHeight="1" thickBot="1" x14ac:dyDescent="0.25">
      <c r="A54" s="60">
        <f t="shared" si="5"/>
        <v>37</v>
      </c>
      <c r="B54" s="60">
        <f t="shared" si="5"/>
        <v>0</v>
      </c>
      <c r="C54" s="60">
        <f t="shared" si="5"/>
        <v>37</v>
      </c>
      <c r="D54" s="60">
        <f t="shared" si="6"/>
        <v>15</v>
      </c>
      <c r="E54" s="60">
        <v>0</v>
      </c>
      <c r="F54" s="60">
        <v>15</v>
      </c>
      <c r="G54" s="60">
        <f t="shared" si="7"/>
        <v>22</v>
      </c>
      <c r="H54" s="60">
        <v>0</v>
      </c>
      <c r="I54" s="60">
        <v>22</v>
      </c>
      <c r="J54" s="65" t="s">
        <v>62</v>
      </c>
      <c r="K54" s="66" t="s">
        <v>349</v>
      </c>
    </row>
    <row r="55" spans="1:11" ht="12.75" customHeight="1" thickBot="1" x14ac:dyDescent="0.25">
      <c r="A55" s="60">
        <f t="shared" si="5"/>
        <v>22</v>
      </c>
      <c r="B55" s="60">
        <f t="shared" si="5"/>
        <v>0</v>
      </c>
      <c r="C55" s="60">
        <f t="shared" si="5"/>
        <v>22</v>
      </c>
      <c r="D55" s="60">
        <f t="shared" si="6"/>
        <v>22</v>
      </c>
      <c r="E55" s="60">
        <v>0</v>
      </c>
      <c r="F55" s="60">
        <v>22</v>
      </c>
      <c r="G55" s="60">
        <f t="shared" si="7"/>
        <v>0</v>
      </c>
      <c r="H55" s="60">
        <v>0</v>
      </c>
      <c r="I55" s="60">
        <v>0</v>
      </c>
      <c r="J55" s="65" t="s">
        <v>64</v>
      </c>
      <c r="K55" s="74"/>
    </row>
    <row r="56" spans="1:11" ht="12.75" customHeight="1" thickBot="1" x14ac:dyDescent="0.25">
      <c r="A56" s="60">
        <f t="shared" si="5"/>
        <v>8</v>
      </c>
      <c r="B56" s="60">
        <f t="shared" si="5"/>
        <v>0</v>
      </c>
      <c r="C56" s="60">
        <f t="shared" si="5"/>
        <v>8</v>
      </c>
      <c r="D56" s="60">
        <f t="shared" si="6"/>
        <v>1</v>
      </c>
      <c r="E56" s="60">
        <v>0</v>
      </c>
      <c r="F56" s="60">
        <v>1</v>
      </c>
      <c r="G56" s="60">
        <f t="shared" si="7"/>
        <v>7</v>
      </c>
      <c r="H56" s="60">
        <v>0</v>
      </c>
      <c r="I56" s="60">
        <v>7</v>
      </c>
      <c r="J56" s="65" t="s">
        <v>61</v>
      </c>
      <c r="K56" s="66"/>
    </row>
    <row r="57" spans="1:11" ht="12.75" customHeight="1" thickBot="1" x14ac:dyDescent="0.25">
      <c r="A57" s="60">
        <f t="shared" si="5"/>
        <v>17</v>
      </c>
      <c r="B57" s="60">
        <f t="shared" si="5"/>
        <v>0</v>
      </c>
      <c r="C57" s="60">
        <f t="shared" si="5"/>
        <v>17</v>
      </c>
      <c r="D57" s="60">
        <f t="shared" si="6"/>
        <v>13</v>
      </c>
      <c r="E57" s="60">
        <v>0</v>
      </c>
      <c r="F57" s="60">
        <v>13</v>
      </c>
      <c r="G57" s="60">
        <f t="shared" si="7"/>
        <v>4</v>
      </c>
      <c r="H57" s="60">
        <v>0</v>
      </c>
      <c r="I57" s="60">
        <v>4</v>
      </c>
      <c r="J57" s="65" t="s">
        <v>62</v>
      </c>
      <c r="K57" s="66" t="s">
        <v>350</v>
      </c>
    </row>
    <row r="58" spans="1:11" ht="12.75" customHeight="1" thickBot="1" x14ac:dyDescent="0.25">
      <c r="A58" s="60">
        <f t="shared" si="5"/>
        <v>52</v>
      </c>
      <c r="B58" s="60">
        <f t="shared" si="5"/>
        <v>0</v>
      </c>
      <c r="C58" s="60">
        <f t="shared" si="5"/>
        <v>52</v>
      </c>
      <c r="D58" s="60">
        <f t="shared" si="6"/>
        <v>52</v>
      </c>
      <c r="E58" s="60">
        <v>0</v>
      </c>
      <c r="F58" s="60">
        <v>52</v>
      </c>
      <c r="G58" s="60">
        <f t="shared" si="7"/>
        <v>0</v>
      </c>
      <c r="H58" s="60">
        <v>0</v>
      </c>
      <c r="I58" s="60">
        <v>0</v>
      </c>
      <c r="J58" s="65" t="s">
        <v>64</v>
      </c>
      <c r="K58" s="74"/>
    </row>
    <row r="59" spans="1:11" ht="12.75" customHeight="1" thickBot="1" x14ac:dyDescent="0.25">
      <c r="A59" s="60">
        <f t="shared" ref="A59:H61" si="8">A44+A47+A50+A53+A56</f>
        <v>75</v>
      </c>
      <c r="B59" s="60">
        <f t="shared" si="8"/>
        <v>0</v>
      </c>
      <c r="C59" s="60">
        <f t="shared" si="8"/>
        <v>75</v>
      </c>
      <c r="D59" s="60">
        <f t="shared" si="8"/>
        <v>16</v>
      </c>
      <c r="E59" s="60">
        <f t="shared" si="8"/>
        <v>0</v>
      </c>
      <c r="F59" s="60">
        <f t="shared" si="8"/>
        <v>16</v>
      </c>
      <c r="G59" s="60">
        <f t="shared" si="8"/>
        <v>59</v>
      </c>
      <c r="H59" s="60">
        <f t="shared" si="8"/>
        <v>0</v>
      </c>
      <c r="I59" s="60">
        <f>I44+I47+I50+I53+I56</f>
        <v>59</v>
      </c>
      <c r="J59" s="65" t="s">
        <v>231</v>
      </c>
      <c r="K59" s="57"/>
    </row>
    <row r="60" spans="1:11" ht="12.75" customHeight="1" thickBot="1" x14ac:dyDescent="0.25">
      <c r="A60" s="60">
        <f t="shared" si="8"/>
        <v>153</v>
      </c>
      <c r="B60" s="60">
        <f t="shared" si="8"/>
        <v>0</v>
      </c>
      <c r="C60" s="60">
        <f t="shared" si="8"/>
        <v>153</v>
      </c>
      <c r="D60" s="60">
        <f t="shared" si="8"/>
        <v>71</v>
      </c>
      <c r="E60" s="60">
        <f t="shared" si="8"/>
        <v>0</v>
      </c>
      <c r="F60" s="60">
        <f t="shared" si="8"/>
        <v>71</v>
      </c>
      <c r="G60" s="60">
        <f t="shared" si="8"/>
        <v>82</v>
      </c>
      <c r="H60" s="60">
        <f t="shared" si="8"/>
        <v>0</v>
      </c>
      <c r="I60" s="60">
        <f>I45+I48+I51+I54+I57</f>
        <v>82</v>
      </c>
      <c r="J60" s="65" t="s">
        <v>62</v>
      </c>
      <c r="K60" s="68" t="s">
        <v>232</v>
      </c>
    </row>
    <row r="61" spans="1:11" ht="12.75" customHeight="1" thickBot="1" x14ac:dyDescent="0.25">
      <c r="A61" s="60">
        <f t="shared" si="8"/>
        <v>117</v>
      </c>
      <c r="B61" s="60">
        <f t="shared" si="8"/>
        <v>0</v>
      </c>
      <c r="C61" s="60">
        <f t="shared" si="8"/>
        <v>117</v>
      </c>
      <c r="D61" s="60">
        <f t="shared" si="8"/>
        <v>117</v>
      </c>
      <c r="E61" s="60">
        <f t="shared" si="8"/>
        <v>0</v>
      </c>
      <c r="F61" s="60">
        <f t="shared" si="8"/>
        <v>117</v>
      </c>
      <c r="G61" s="60">
        <f t="shared" si="8"/>
        <v>0</v>
      </c>
      <c r="H61" s="60">
        <f t="shared" si="8"/>
        <v>0</v>
      </c>
      <c r="I61" s="60">
        <f>I46+I49+I52+I55+I58</f>
        <v>0</v>
      </c>
      <c r="J61" s="65" t="s">
        <v>64</v>
      </c>
      <c r="K61" s="59"/>
    </row>
    <row r="62" spans="1:11" ht="12.75" customHeight="1" thickBot="1" x14ac:dyDescent="0.25">
      <c r="A62" s="60">
        <f t="shared" ref="A62:H62" si="9">SUM(A59:A61)</f>
        <v>345</v>
      </c>
      <c r="B62" s="60">
        <f t="shared" si="9"/>
        <v>0</v>
      </c>
      <c r="C62" s="60">
        <f t="shared" si="9"/>
        <v>345</v>
      </c>
      <c r="D62" s="60">
        <f t="shared" si="9"/>
        <v>204</v>
      </c>
      <c r="E62" s="60">
        <f t="shared" si="9"/>
        <v>0</v>
      </c>
      <c r="F62" s="60">
        <f t="shared" si="9"/>
        <v>204</v>
      </c>
      <c r="G62" s="60">
        <f t="shared" si="9"/>
        <v>141</v>
      </c>
      <c r="H62" s="60">
        <f t="shared" si="9"/>
        <v>0</v>
      </c>
      <c r="I62" s="60">
        <f>SUM(I59:I61)</f>
        <v>141</v>
      </c>
      <c r="J62" s="184" t="s">
        <v>233</v>
      </c>
      <c r="K62" s="184"/>
    </row>
    <row r="64" spans="1:11" ht="12.75" customHeight="1" x14ac:dyDescent="0.2">
      <c r="A64" s="177" t="s">
        <v>605</v>
      </c>
      <c r="B64" s="177"/>
      <c r="C64" s="177"/>
      <c r="D64" s="177"/>
      <c r="E64" s="177"/>
      <c r="F64" s="177"/>
      <c r="G64" s="177"/>
      <c r="H64" s="177"/>
      <c r="I64" s="177"/>
      <c r="J64" s="177"/>
      <c r="K64" s="177"/>
    </row>
    <row r="65" spans="1:11" ht="12.75" customHeight="1" thickBot="1" x14ac:dyDescent="0.25">
      <c r="A65" s="178" t="s">
        <v>606</v>
      </c>
      <c r="B65" s="178"/>
      <c r="C65" s="178"/>
      <c r="D65" s="178"/>
      <c r="E65" s="178"/>
      <c r="F65" s="178"/>
      <c r="G65" s="178"/>
      <c r="H65" s="178"/>
      <c r="I65" s="178"/>
      <c r="J65" s="178"/>
      <c r="K65" s="178"/>
    </row>
    <row r="66" spans="1:11" ht="12.75" customHeight="1" thickBot="1" x14ac:dyDescent="0.25">
      <c r="A66" s="179" t="s">
        <v>5</v>
      </c>
      <c r="B66" s="179"/>
      <c r="C66" s="179"/>
      <c r="D66" s="179" t="s">
        <v>162</v>
      </c>
      <c r="E66" s="179"/>
      <c r="F66" s="179"/>
      <c r="G66" s="179" t="s">
        <v>163</v>
      </c>
      <c r="H66" s="179"/>
      <c r="I66" s="179"/>
      <c r="J66" s="179" t="s">
        <v>72</v>
      </c>
      <c r="K66" s="179"/>
    </row>
    <row r="67" spans="1:11" ht="12.75" customHeight="1" thickBot="1" x14ac:dyDescent="0.25">
      <c r="A67" s="58" t="s">
        <v>216</v>
      </c>
      <c r="B67" s="58" t="s">
        <v>11</v>
      </c>
      <c r="C67" s="58" t="s">
        <v>10</v>
      </c>
      <c r="D67" s="58" t="s">
        <v>216</v>
      </c>
      <c r="E67" s="58" t="s">
        <v>11</v>
      </c>
      <c r="F67" s="58" t="s">
        <v>10</v>
      </c>
      <c r="G67" s="58" t="s">
        <v>216</v>
      </c>
      <c r="H67" s="58" t="s">
        <v>11</v>
      </c>
      <c r="I67" s="58" t="s">
        <v>10</v>
      </c>
      <c r="J67" s="180" t="s">
        <v>76</v>
      </c>
      <c r="K67" s="180"/>
    </row>
    <row r="68" spans="1:11" ht="12.75" customHeight="1" thickBot="1" x14ac:dyDescent="0.25">
      <c r="A68" s="60">
        <f t="shared" ref="A68:C83" si="10">G68+D68</f>
        <v>10</v>
      </c>
      <c r="B68" s="60">
        <f t="shared" si="10"/>
        <v>0</v>
      </c>
      <c r="C68" s="60">
        <f>I68+F68</f>
        <v>10</v>
      </c>
      <c r="D68" s="60">
        <f>F68+E68</f>
        <v>3</v>
      </c>
      <c r="E68" s="60">
        <v>0</v>
      </c>
      <c r="F68" s="60">
        <v>3</v>
      </c>
      <c r="G68" s="60">
        <f>I68+H68</f>
        <v>7</v>
      </c>
      <c r="H68" s="60">
        <v>0</v>
      </c>
      <c r="I68" s="60">
        <v>7</v>
      </c>
      <c r="J68" s="65" t="s">
        <v>61</v>
      </c>
      <c r="K68" s="66"/>
    </row>
    <row r="69" spans="1:11" ht="12.75" customHeight="1" thickBot="1" x14ac:dyDescent="0.25">
      <c r="A69" s="60">
        <f t="shared" si="10"/>
        <v>5</v>
      </c>
      <c r="B69" s="60">
        <f t="shared" si="10"/>
        <v>4</v>
      </c>
      <c r="C69" s="60">
        <f t="shared" si="10"/>
        <v>1</v>
      </c>
      <c r="D69" s="60">
        <f t="shared" ref="D69:D94" si="11">F69+E69</f>
        <v>1</v>
      </c>
      <c r="E69" s="60">
        <v>1</v>
      </c>
      <c r="F69" s="60">
        <v>0</v>
      </c>
      <c r="G69" s="60">
        <f t="shared" ref="G69:G94" si="12">I69+H69</f>
        <v>4</v>
      </c>
      <c r="H69" s="60">
        <v>3</v>
      </c>
      <c r="I69" s="60">
        <v>1</v>
      </c>
      <c r="J69" s="65" t="s">
        <v>62</v>
      </c>
      <c r="K69" s="66" t="s">
        <v>352</v>
      </c>
    </row>
    <row r="70" spans="1:11" ht="12.75" customHeight="1" thickBot="1" x14ac:dyDescent="0.25">
      <c r="A70" s="60">
        <f t="shared" si="10"/>
        <v>0</v>
      </c>
      <c r="B70" s="60">
        <f t="shared" si="10"/>
        <v>0</v>
      </c>
      <c r="C70" s="60">
        <f t="shared" si="10"/>
        <v>0</v>
      </c>
      <c r="D70" s="60">
        <f t="shared" si="11"/>
        <v>0</v>
      </c>
      <c r="E70" s="60">
        <v>0</v>
      </c>
      <c r="F70" s="60">
        <v>0</v>
      </c>
      <c r="G70" s="60">
        <f t="shared" si="12"/>
        <v>0</v>
      </c>
      <c r="H70" s="60">
        <v>0</v>
      </c>
      <c r="I70" s="60">
        <v>0</v>
      </c>
      <c r="J70" s="65" t="s">
        <v>64</v>
      </c>
      <c r="K70" s="74"/>
    </row>
    <row r="71" spans="1:11" ht="12.75" customHeight="1" thickBot="1" x14ac:dyDescent="0.25">
      <c r="A71" s="60">
        <f t="shared" si="10"/>
        <v>19</v>
      </c>
      <c r="B71" s="60">
        <f t="shared" si="10"/>
        <v>5</v>
      </c>
      <c r="C71" s="60">
        <f t="shared" si="10"/>
        <v>14</v>
      </c>
      <c r="D71" s="60">
        <f t="shared" si="11"/>
        <v>0</v>
      </c>
      <c r="E71" s="60">
        <v>0</v>
      </c>
      <c r="F71" s="60">
        <v>0</v>
      </c>
      <c r="G71" s="60">
        <f t="shared" si="12"/>
        <v>19</v>
      </c>
      <c r="H71" s="60">
        <v>5</v>
      </c>
      <c r="I71" s="60">
        <v>14</v>
      </c>
      <c r="J71" s="65" t="s">
        <v>61</v>
      </c>
      <c r="K71" s="66"/>
    </row>
    <row r="72" spans="1:11" ht="12.75" customHeight="1" thickBot="1" x14ac:dyDescent="0.25">
      <c r="A72" s="60">
        <f t="shared" si="10"/>
        <v>38</v>
      </c>
      <c r="B72" s="60">
        <f t="shared" si="10"/>
        <v>16</v>
      </c>
      <c r="C72" s="60">
        <f t="shared" si="10"/>
        <v>22</v>
      </c>
      <c r="D72" s="60">
        <f t="shared" si="11"/>
        <v>0</v>
      </c>
      <c r="E72" s="60">
        <v>0</v>
      </c>
      <c r="F72" s="60">
        <v>0</v>
      </c>
      <c r="G72" s="60">
        <f t="shared" si="12"/>
        <v>38</v>
      </c>
      <c r="H72" s="60">
        <v>16</v>
      </c>
      <c r="I72" s="60">
        <v>22</v>
      </c>
      <c r="J72" s="65" t="s">
        <v>62</v>
      </c>
      <c r="K72" s="66" t="s">
        <v>353</v>
      </c>
    </row>
    <row r="73" spans="1:11" ht="12.75" customHeight="1" thickBot="1" x14ac:dyDescent="0.25">
      <c r="A73" s="60">
        <f t="shared" si="10"/>
        <v>0</v>
      </c>
      <c r="B73" s="60">
        <f t="shared" si="10"/>
        <v>0</v>
      </c>
      <c r="C73" s="60">
        <f t="shared" si="10"/>
        <v>0</v>
      </c>
      <c r="D73" s="60">
        <f t="shared" si="11"/>
        <v>0</v>
      </c>
      <c r="E73" s="60">
        <v>0</v>
      </c>
      <c r="F73" s="60">
        <v>0</v>
      </c>
      <c r="G73" s="60">
        <f t="shared" si="12"/>
        <v>0</v>
      </c>
      <c r="H73" s="60">
        <v>0</v>
      </c>
      <c r="I73" s="60">
        <v>0</v>
      </c>
      <c r="J73" s="65" t="s">
        <v>64</v>
      </c>
      <c r="K73" s="74"/>
    </row>
    <row r="74" spans="1:11" ht="12.75" customHeight="1" thickBot="1" x14ac:dyDescent="0.25">
      <c r="A74" s="60">
        <f t="shared" si="10"/>
        <v>12</v>
      </c>
      <c r="B74" s="60">
        <f t="shared" si="10"/>
        <v>0</v>
      </c>
      <c r="C74" s="60">
        <f t="shared" si="10"/>
        <v>12</v>
      </c>
      <c r="D74" s="60">
        <f t="shared" si="11"/>
        <v>1</v>
      </c>
      <c r="E74" s="60">
        <v>0</v>
      </c>
      <c r="F74" s="60">
        <v>1</v>
      </c>
      <c r="G74" s="60">
        <f t="shared" si="12"/>
        <v>11</v>
      </c>
      <c r="H74" s="60">
        <v>0</v>
      </c>
      <c r="I74" s="60">
        <v>11</v>
      </c>
      <c r="J74" s="65" t="s">
        <v>61</v>
      </c>
      <c r="K74" s="66"/>
    </row>
    <row r="75" spans="1:11" ht="12.75" customHeight="1" thickBot="1" x14ac:dyDescent="0.25">
      <c r="A75" s="60">
        <f t="shared" si="10"/>
        <v>116</v>
      </c>
      <c r="B75" s="60">
        <f t="shared" si="10"/>
        <v>0</v>
      </c>
      <c r="C75" s="60">
        <f t="shared" si="10"/>
        <v>116</v>
      </c>
      <c r="D75" s="60">
        <f t="shared" si="11"/>
        <v>7</v>
      </c>
      <c r="E75" s="60">
        <v>0</v>
      </c>
      <c r="F75" s="60">
        <v>7</v>
      </c>
      <c r="G75" s="60">
        <f t="shared" si="12"/>
        <v>109</v>
      </c>
      <c r="H75" s="60">
        <v>0</v>
      </c>
      <c r="I75" s="60">
        <v>109</v>
      </c>
      <c r="J75" s="65" t="s">
        <v>62</v>
      </c>
      <c r="K75" s="66" t="s">
        <v>534</v>
      </c>
    </row>
    <row r="76" spans="1:11" ht="12.75" customHeight="1" thickBot="1" x14ac:dyDescent="0.25">
      <c r="A76" s="60">
        <f t="shared" si="10"/>
        <v>0</v>
      </c>
      <c r="B76" s="60">
        <f t="shared" si="10"/>
        <v>0</v>
      </c>
      <c r="C76" s="60">
        <f t="shared" si="10"/>
        <v>0</v>
      </c>
      <c r="D76" s="60">
        <f t="shared" si="11"/>
        <v>0</v>
      </c>
      <c r="E76" s="60">
        <v>0</v>
      </c>
      <c r="F76" s="60">
        <v>0</v>
      </c>
      <c r="G76" s="60">
        <f t="shared" si="12"/>
        <v>0</v>
      </c>
      <c r="H76" s="60">
        <v>0</v>
      </c>
      <c r="I76" s="60">
        <v>0</v>
      </c>
      <c r="J76" s="65" t="s">
        <v>64</v>
      </c>
      <c r="K76" s="74"/>
    </row>
    <row r="77" spans="1:11" ht="12.75" customHeight="1" thickBot="1" x14ac:dyDescent="0.25">
      <c r="A77" s="60">
        <f t="shared" si="10"/>
        <v>0</v>
      </c>
      <c r="B77" s="60">
        <f t="shared" si="10"/>
        <v>0</v>
      </c>
      <c r="C77" s="60">
        <f t="shared" si="10"/>
        <v>0</v>
      </c>
      <c r="D77" s="60">
        <f t="shared" si="11"/>
        <v>0</v>
      </c>
      <c r="E77" s="60">
        <v>0</v>
      </c>
      <c r="F77" s="60">
        <v>0</v>
      </c>
      <c r="G77" s="60">
        <f t="shared" si="12"/>
        <v>0</v>
      </c>
      <c r="H77" s="60">
        <v>0</v>
      </c>
      <c r="I77" s="60">
        <v>0</v>
      </c>
      <c r="J77" s="65" t="s">
        <v>61</v>
      </c>
      <c r="K77" s="66"/>
    </row>
    <row r="78" spans="1:11" ht="12.75" customHeight="1" thickBot="1" x14ac:dyDescent="0.25">
      <c r="A78" s="60">
        <f t="shared" si="10"/>
        <v>34</v>
      </c>
      <c r="B78" s="60">
        <f t="shared" si="10"/>
        <v>31</v>
      </c>
      <c r="C78" s="60">
        <f t="shared" si="10"/>
        <v>3</v>
      </c>
      <c r="D78" s="60">
        <f t="shared" si="11"/>
        <v>0</v>
      </c>
      <c r="E78" s="60">
        <v>0</v>
      </c>
      <c r="F78" s="60">
        <v>0</v>
      </c>
      <c r="G78" s="60">
        <f t="shared" si="12"/>
        <v>34</v>
      </c>
      <c r="H78" s="60">
        <v>31</v>
      </c>
      <c r="I78" s="60">
        <v>3</v>
      </c>
      <c r="J78" s="65" t="s">
        <v>62</v>
      </c>
      <c r="K78" s="66" t="s">
        <v>354</v>
      </c>
    </row>
    <row r="79" spans="1:11" ht="12.75" customHeight="1" thickBot="1" x14ac:dyDescent="0.25">
      <c r="A79" s="60">
        <f t="shared" si="10"/>
        <v>0</v>
      </c>
      <c r="B79" s="60">
        <f t="shared" si="10"/>
        <v>0</v>
      </c>
      <c r="C79" s="60">
        <f t="shared" si="10"/>
        <v>0</v>
      </c>
      <c r="D79" s="60">
        <f t="shared" si="11"/>
        <v>0</v>
      </c>
      <c r="E79" s="60">
        <v>0</v>
      </c>
      <c r="F79" s="60">
        <v>0</v>
      </c>
      <c r="G79" s="60">
        <f t="shared" si="12"/>
        <v>0</v>
      </c>
      <c r="H79" s="60">
        <v>0</v>
      </c>
      <c r="I79" s="60">
        <v>0</v>
      </c>
      <c r="J79" s="65" t="s">
        <v>64</v>
      </c>
      <c r="K79" s="74"/>
    </row>
    <row r="80" spans="1:11" ht="12.75" customHeight="1" thickBot="1" x14ac:dyDescent="0.25">
      <c r="A80" s="60">
        <f t="shared" si="10"/>
        <v>0</v>
      </c>
      <c r="B80" s="60">
        <f t="shared" si="10"/>
        <v>0</v>
      </c>
      <c r="C80" s="60">
        <f t="shared" si="10"/>
        <v>0</v>
      </c>
      <c r="D80" s="60">
        <f t="shared" si="11"/>
        <v>0</v>
      </c>
      <c r="E80" s="60">
        <v>0</v>
      </c>
      <c r="F80" s="60">
        <v>0</v>
      </c>
      <c r="G80" s="60">
        <f t="shared" si="12"/>
        <v>0</v>
      </c>
      <c r="H80" s="60">
        <v>0</v>
      </c>
      <c r="I80" s="60">
        <v>0</v>
      </c>
      <c r="J80" s="65" t="s">
        <v>61</v>
      </c>
      <c r="K80" s="66"/>
    </row>
    <row r="81" spans="1:11" ht="12.75" customHeight="1" thickBot="1" x14ac:dyDescent="0.25">
      <c r="A81" s="60">
        <f t="shared" si="10"/>
        <v>4</v>
      </c>
      <c r="B81" s="60">
        <f t="shared" si="10"/>
        <v>0</v>
      </c>
      <c r="C81" s="60">
        <f t="shared" si="10"/>
        <v>4</v>
      </c>
      <c r="D81" s="60">
        <f t="shared" si="11"/>
        <v>0</v>
      </c>
      <c r="E81" s="60">
        <v>0</v>
      </c>
      <c r="F81" s="60">
        <v>0</v>
      </c>
      <c r="G81" s="60">
        <f t="shared" si="12"/>
        <v>4</v>
      </c>
      <c r="H81" s="60">
        <v>0</v>
      </c>
      <c r="I81" s="60">
        <v>4</v>
      </c>
      <c r="J81" s="65" t="s">
        <v>62</v>
      </c>
      <c r="K81" s="66" t="s">
        <v>242</v>
      </c>
    </row>
    <row r="82" spans="1:11" ht="12.75" customHeight="1" thickBot="1" x14ac:dyDescent="0.25">
      <c r="A82" s="60">
        <f t="shared" si="10"/>
        <v>40</v>
      </c>
      <c r="B82" s="60">
        <f t="shared" si="10"/>
        <v>0</v>
      </c>
      <c r="C82" s="60">
        <f t="shared" si="10"/>
        <v>40</v>
      </c>
      <c r="D82" s="60">
        <f t="shared" si="11"/>
        <v>40</v>
      </c>
      <c r="E82" s="60">
        <v>0</v>
      </c>
      <c r="F82" s="60">
        <v>40</v>
      </c>
      <c r="G82" s="60">
        <f t="shared" si="12"/>
        <v>0</v>
      </c>
      <c r="H82" s="60">
        <v>0</v>
      </c>
      <c r="I82" s="60">
        <v>0</v>
      </c>
      <c r="J82" s="65" t="s">
        <v>64</v>
      </c>
      <c r="K82" s="74"/>
    </row>
    <row r="83" spans="1:11" ht="12.75" customHeight="1" thickBot="1" x14ac:dyDescent="0.25">
      <c r="A83" s="60">
        <f t="shared" si="10"/>
        <v>20</v>
      </c>
      <c r="B83" s="60">
        <f t="shared" si="10"/>
        <v>4</v>
      </c>
      <c r="C83" s="60">
        <f t="shared" si="10"/>
        <v>16</v>
      </c>
      <c r="D83" s="60">
        <f t="shared" si="11"/>
        <v>1</v>
      </c>
      <c r="E83" s="60">
        <v>0</v>
      </c>
      <c r="F83" s="60">
        <v>1</v>
      </c>
      <c r="G83" s="60">
        <f t="shared" si="12"/>
        <v>19</v>
      </c>
      <c r="H83" s="60">
        <v>4</v>
      </c>
      <c r="I83" s="60">
        <v>15</v>
      </c>
      <c r="J83" s="65" t="s">
        <v>61</v>
      </c>
      <c r="K83" s="66"/>
    </row>
    <row r="84" spans="1:11" ht="12.75" customHeight="1" thickBot="1" x14ac:dyDescent="0.25">
      <c r="A84" s="60">
        <f t="shared" ref="A84:C94" si="13">G84+D84</f>
        <v>21</v>
      </c>
      <c r="B84" s="60">
        <f t="shared" si="13"/>
        <v>10</v>
      </c>
      <c r="C84" s="60">
        <f t="shared" si="13"/>
        <v>11</v>
      </c>
      <c r="D84" s="60">
        <f t="shared" si="11"/>
        <v>1</v>
      </c>
      <c r="E84" s="60">
        <v>1</v>
      </c>
      <c r="F84" s="60">
        <v>0</v>
      </c>
      <c r="G84" s="60">
        <f t="shared" si="12"/>
        <v>20</v>
      </c>
      <c r="H84" s="60">
        <v>9</v>
      </c>
      <c r="I84" s="60">
        <v>11</v>
      </c>
      <c r="J84" s="65" t="s">
        <v>62</v>
      </c>
      <c r="K84" s="66" t="s">
        <v>356</v>
      </c>
    </row>
    <row r="85" spans="1:11" ht="12.75" customHeight="1" thickBot="1" x14ac:dyDescent="0.25">
      <c r="A85" s="60">
        <f t="shared" si="13"/>
        <v>0</v>
      </c>
      <c r="B85" s="60">
        <f t="shared" si="13"/>
        <v>0</v>
      </c>
      <c r="C85" s="60">
        <f t="shared" si="13"/>
        <v>0</v>
      </c>
      <c r="D85" s="60">
        <f t="shared" si="11"/>
        <v>0</v>
      </c>
      <c r="E85" s="60">
        <v>0</v>
      </c>
      <c r="F85" s="60">
        <v>0</v>
      </c>
      <c r="G85" s="60">
        <f t="shared" si="12"/>
        <v>0</v>
      </c>
      <c r="H85" s="60">
        <v>0</v>
      </c>
      <c r="I85" s="60">
        <v>0</v>
      </c>
      <c r="J85" s="65" t="s">
        <v>64</v>
      </c>
      <c r="K85" s="74"/>
    </row>
    <row r="86" spans="1:11" ht="12.75" customHeight="1" thickBot="1" x14ac:dyDescent="0.25">
      <c r="A86" s="60">
        <f t="shared" si="13"/>
        <v>24</v>
      </c>
      <c r="B86" s="60">
        <f t="shared" si="13"/>
        <v>2</v>
      </c>
      <c r="C86" s="60">
        <f t="shared" si="13"/>
        <v>22</v>
      </c>
      <c r="D86" s="60">
        <f t="shared" si="11"/>
        <v>2</v>
      </c>
      <c r="E86" s="60">
        <v>0</v>
      </c>
      <c r="F86" s="60">
        <v>2</v>
      </c>
      <c r="G86" s="60">
        <f t="shared" si="12"/>
        <v>22</v>
      </c>
      <c r="H86" s="60">
        <v>2</v>
      </c>
      <c r="I86" s="60">
        <v>20</v>
      </c>
      <c r="J86" s="65" t="s">
        <v>61</v>
      </c>
      <c r="K86" s="66"/>
    </row>
    <row r="87" spans="1:11" ht="12.75" customHeight="1" thickBot="1" x14ac:dyDescent="0.25">
      <c r="A87" s="60">
        <f t="shared" si="13"/>
        <v>19</v>
      </c>
      <c r="B87" s="60">
        <f t="shared" si="13"/>
        <v>9</v>
      </c>
      <c r="C87" s="60">
        <f t="shared" si="13"/>
        <v>10</v>
      </c>
      <c r="D87" s="60">
        <f t="shared" si="11"/>
        <v>4</v>
      </c>
      <c r="E87" s="60">
        <v>0</v>
      </c>
      <c r="F87" s="60">
        <v>4</v>
      </c>
      <c r="G87" s="60">
        <f t="shared" si="12"/>
        <v>15</v>
      </c>
      <c r="H87" s="60">
        <v>9</v>
      </c>
      <c r="I87" s="60">
        <v>6</v>
      </c>
      <c r="J87" s="65" t="s">
        <v>62</v>
      </c>
      <c r="K87" s="66" t="s">
        <v>348</v>
      </c>
    </row>
    <row r="88" spans="1:11" ht="12.75" customHeight="1" thickBot="1" x14ac:dyDescent="0.25">
      <c r="A88" s="60">
        <f t="shared" si="13"/>
        <v>0</v>
      </c>
      <c r="B88" s="60">
        <f t="shared" si="13"/>
        <v>0</v>
      </c>
      <c r="C88" s="60">
        <f t="shared" si="13"/>
        <v>0</v>
      </c>
      <c r="D88" s="60">
        <f t="shared" si="11"/>
        <v>0</v>
      </c>
      <c r="E88" s="60">
        <v>0</v>
      </c>
      <c r="F88" s="60">
        <v>0</v>
      </c>
      <c r="G88" s="60">
        <f t="shared" si="12"/>
        <v>0</v>
      </c>
      <c r="H88" s="60">
        <v>0</v>
      </c>
      <c r="I88" s="60">
        <v>0</v>
      </c>
      <c r="J88" s="65" t="s">
        <v>64</v>
      </c>
      <c r="K88" s="74"/>
    </row>
    <row r="89" spans="1:11" ht="12.75" customHeight="1" thickBot="1" x14ac:dyDescent="0.25">
      <c r="A89" s="60">
        <f t="shared" si="13"/>
        <v>21</v>
      </c>
      <c r="B89" s="60">
        <f t="shared" si="13"/>
        <v>5</v>
      </c>
      <c r="C89" s="60">
        <f t="shared" si="13"/>
        <v>16</v>
      </c>
      <c r="D89" s="60">
        <f t="shared" si="11"/>
        <v>0</v>
      </c>
      <c r="E89" s="60">
        <v>0</v>
      </c>
      <c r="F89" s="60">
        <v>0</v>
      </c>
      <c r="G89" s="60">
        <f t="shared" si="12"/>
        <v>21</v>
      </c>
      <c r="H89" s="60">
        <v>5</v>
      </c>
      <c r="I89" s="60">
        <v>16</v>
      </c>
      <c r="J89" s="65" t="s">
        <v>61</v>
      </c>
      <c r="K89" s="66"/>
    </row>
    <row r="90" spans="1:11" ht="12.75" customHeight="1" thickBot="1" x14ac:dyDescent="0.25">
      <c r="A90" s="60">
        <f t="shared" si="13"/>
        <v>28</v>
      </c>
      <c r="B90" s="60">
        <f t="shared" si="13"/>
        <v>10</v>
      </c>
      <c r="C90" s="60">
        <f t="shared" si="13"/>
        <v>18</v>
      </c>
      <c r="D90" s="60">
        <f t="shared" si="11"/>
        <v>0</v>
      </c>
      <c r="E90" s="60">
        <v>0</v>
      </c>
      <c r="F90" s="60">
        <v>0</v>
      </c>
      <c r="G90" s="60">
        <f t="shared" si="12"/>
        <v>28</v>
      </c>
      <c r="H90" s="60">
        <v>10</v>
      </c>
      <c r="I90" s="60">
        <v>18</v>
      </c>
      <c r="J90" s="65" t="s">
        <v>62</v>
      </c>
      <c r="K90" s="66" t="s">
        <v>357</v>
      </c>
    </row>
    <row r="91" spans="1:11" ht="12.75" customHeight="1" thickBot="1" x14ac:dyDescent="0.25">
      <c r="A91" s="60">
        <f t="shared" si="13"/>
        <v>0</v>
      </c>
      <c r="B91" s="60">
        <f t="shared" si="13"/>
        <v>0</v>
      </c>
      <c r="C91" s="60">
        <f t="shared" si="13"/>
        <v>0</v>
      </c>
      <c r="D91" s="60">
        <f t="shared" si="11"/>
        <v>0</v>
      </c>
      <c r="E91" s="60">
        <v>0</v>
      </c>
      <c r="F91" s="60">
        <v>0</v>
      </c>
      <c r="G91" s="60">
        <f t="shared" si="12"/>
        <v>0</v>
      </c>
      <c r="H91" s="60">
        <v>0</v>
      </c>
      <c r="I91" s="60">
        <v>0</v>
      </c>
      <c r="J91" s="65" t="s">
        <v>64</v>
      </c>
      <c r="K91" s="74"/>
    </row>
    <row r="92" spans="1:11" ht="12.75" customHeight="1" thickBot="1" x14ac:dyDescent="0.25">
      <c r="A92" s="60">
        <f t="shared" si="13"/>
        <v>0</v>
      </c>
      <c r="B92" s="60">
        <f t="shared" si="13"/>
        <v>0</v>
      </c>
      <c r="C92" s="60">
        <f t="shared" si="13"/>
        <v>0</v>
      </c>
      <c r="D92" s="60">
        <f t="shared" si="11"/>
        <v>0</v>
      </c>
      <c r="E92" s="60">
        <v>0</v>
      </c>
      <c r="F92" s="60">
        <v>0</v>
      </c>
      <c r="G92" s="60">
        <f t="shared" si="12"/>
        <v>0</v>
      </c>
      <c r="H92" s="60">
        <v>0</v>
      </c>
      <c r="I92" s="60">
        <v>0</v>
      </c>
      <c r="J92" s="65" t="s">
        <v>61</v>
      </c>
      <c r="K92" s="66"/>
    </row>
    <row r="93" spans="1:11" ht="12.75" customHeight="1" thickBot="1" x14ac:dyDescent="0.25">
      <c r="A93" s="60">
        <f t="shared" si="13"/>
        <v>0</v>
      </c>
      <c r="B93" s="60">
        <f t="shared" si="13"/>
        <v>0</v>
      </c>
      <c r="C93" s="60">
        <f t="shared" si="13"/>
        <v>0</v>
      </c>
      <c r="D93" s="60">
        <f t="shared" si="11"/>
        <v>0</v>
      </c>
      <c r="E93" s="60">
        <v>0</v>
      </c>
      <c r="F93" s="60">
        <v>0</v>
      </c>
      <c r="G93" s="60">
        <f t="shared" si="12"/>
        <v>0</v>
      </c>
      <c r="H93" s="60">
        <v>0</v>
      </c>
      <c r="I93" s="60">
        <v>0</v>
      </c>
      <c r="J93" s="65" t="s">
        <v>62</v>
      </c>
      <c r="K93" s="66" t="s">
        <v>75</v>
      </c>
    </row>
    <row r="94" spans="1:11" ht="12.75" customHeight="1" thickBot="1" x14ac:dyDescent="0.25">
      <c r="A94" s="60">
        <f t="shared" si="13"/>
        <v>295</v>
      </c>
      <c r="B94" s="60">
        <f t="shared" si="13"/>
        <v>53</v>
      </c>
      <c r="C94" s="60">
        <f t="shared" si="13"/>
        <v>242</v>
      </c>
      <c r="D94" s="60">
        <f t="shared" si="11"/>
        <v>2</v>
      </c>
      <c r="E94" s="60">
        <v>1</v>
      </c>
      <c r="F94" s="60">
        <v>1</v>
      </c>
      <c r="G94" s="60">
        <f t="shared" si="12"/>
        <v>293</v>
      </c>
      <c r="H94" s="60">
        <v>52</v>
      </c>
      <c r="I94" s="60">
        <f>43+198</f>
        <v>241</v>
      </c>
      <c r="J94" s="65" t="s">
        <v>64</v>
      </c>
      <c r="K94" s="74"/>
    </row>
    <row r="95" spans="1:11" ht="12.75" customHeight="1" thickBot="1" x14ac:dyDescent="0.25">
      <c r="A95" s="60">
        <f t="shared" ref="A95:H97" si="14">A68+A71+A74+A77+A80+A83+A86+A89+A92</f>
        <v>106</v>
      </c>
      <c r="B95" s="60">
        <f t="shared" si="14"/>
        <v>16</v>
      </c>
      <c r="C95" s="60">
        <f t="shared" si="14"/>
        <v>90</v>
      </c>
      <c r="D95" s="60">
        <f t="shared" si="14"/>
        <v>7</v>
      </c>
      <c r="E95" s="60">
        <f t="shared" si="14"/>
        <v>0</v>
      </c>
      <c r="F95" s="60">
        <f t="shared" si="14"/>
        <v>7</v>
      </c>
      <c r="G95" s="60">
        <f t="shared" si="14"/>
        <v>99</v>
      </c>
      <c r="H95" s="60">
        <f t="shared" si="14"/>
        <v>16</v>
      </c>
      <c r="I95" s="60">
        <f>I68+I71+I74+I77+I80+I83+I86+I89+I92</f>
        <v>83</v>
      </c>
      <c r="J95" s="65" t="s">
        <v>231</v>
      </c>
      <c r="K95" s="57"/>
    </row>
    <row r="96" spans="1:11" ht="12.75" customHeight="1" thickBot="1" x14ac:dyDescent="0.25">
      <c r="A96" s="60">
        <f t="shared" si="14"/>
        <v>265</v>
      </c>
      <c r="B96" s="60">
        <f t="shared" si="14"/>
        <v>80</v>
      </c>
      <c r="C96" s="60">
        <f t="shared" si="14"/>
        <v>185</v>
      </c>
      <c r="D96" s="60">
        <f t="shared" si="14"/>
        <v>13</v>
      </c>
      <c r="E96" s="60">
        <f t="shared" si="14"/>
        <v>2</v>
      </c>
      <c r="F96" s="60">
        <f t="shared" si="14"/>
        <v>11</v>
      </c>
      <c r="G96" s="60">
        <f t="shared" si="14"/>
        <v>252</v>
      </c>
      <c r="H96" s="60">
        <f t="shared" si="14"/>
        <v>78</v>
      </c>
      <c r="I96" s="60">
        <f>I69+I72+I75+I78+I81+I84+I87+I90+I93</f>
        <v>174</v>
      </c>
      <c r="J96" s="65" t="s">
        <v>62</v>
      </c>
      <c r="K96" s="68" t="s">
        <v>232</v>
      </c>
    </row>
    <row r="97" spans="1:11" ht="12.75" customHeight="1" thickBot="1" x14ac:dyDescent="0.25">
      <c r="A97" s="60">
        <f t="shared" si="14"/>
        <v>335</v>
      </c>
      <c r="B97" s="60">
        <f t="shared" si="14"/>
        <v>53</v>
      </c>
      <c r="C97" s="60">
        <f t="shared" si="14"/>
        <v>282</v>
      </c>
      <c r="D97" s="60">
        <f t="shared" si="14"/>
        <v>42</v>
      </c>
      <c r="E97" s="60">
        <f t="shared" si="14"/>
        <v>1</v>
      </c>
      <c r="F97" s="60">
        <f t="shared" si="14"/>
        <v>41</v>
      </c>
      <c r="G97" s="60">
        <f t="shared" si="14"/>
        <v>293</v>
      </c>
      <c r="H97" s="60">
        <f t="shared" si="14"/>
        <v>52</v>
      </c>
      <c r="I97" s="60">
        <f>I70+I73+I76+I79+I82+I85+I88+I91+I94</f>
        <v>241</v>
      </c>
      <c r="J97" s="65" t="s">
        <v>64</v>
      </c>
      <c r="K97" s="59"/>
    </row>
    <row r="98" spans="1:11" ht="12.75" customHeight="1" thickBot="1" x14ac:dyDescent="0.25">
      <c r="A98" s="60">
        <f t="shared" ref="A98:H98" si="15">SUM(A95:A97)</f>
        <v>706</v>
      </c>
      <c r="B98" s="60">
        <f t="shared" si="15"/>
        <v>149</v>
      </c>
      <c r="C98" s="60">
        <f t="shared" si="15"/>
        <v>557</v>
      </c>
      <c r="D98" s="60">
        <f t="shared" si="15"/>
        <v>62</v>
      </c>
      <c r="E98" s="60">
        <f t="shared" si="15"/>
        <v>3</v>
      </c>
      <c r="F98" s="60">
        <f t="shared" si="15"/>
        <v>59</v>
      </c>
      <c r="G98" s="60">
        <f t="shared" si="15"/>
        <v>644</v>
      </c>
      <c r="H98" s="60">
        <f t="shared" si="15"/>
        <v>146</v>
      </c>
      <c r="I98" s="60">
        <f>SUM(I95:I97)</f>
        <v>498</v>
      </c>
      <c r="J98" s="184" t="s">
        <v>233</v>
      </c>
      <c r="K98" s="184"/>
    </row>
    <row r="100" spans="1:11" ht="12.75" customHeight="1" x14ac:dyDescent="0.2">
      <c r="A100" s="177" t="s">
        <v>605</v>
      </c>
      <c r="B100" s="177"/>
      <c r="C100" s="177"/>
      <c r="D100" s="177"/>
      <c r="E100" s="177"/>
      <c r="F100" s="177"/>
      <c r="G100" s="177"/>
      <c r="H100" s="177"/>
      <c r="I100" s="177"/>
      <c r="J100" s="177"/>
      <c r="K100" s="177"/>
    </row>
    <row r="101" spans="1:11" ht="12.75" customHeight="1" thickBot="1" x14ac:dyDescent="0.25">
      <c r="A101" s="178" t="s">
        <v>606</v>
      </c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</row>
    <row r="102" spans="1:11" ht="12.75" customHeight="1" thickBot="1" x14ac:dyDescent="0.25">
      <c r="A102" s="179" t="s">
        <v>5</v>
      </c>
      <c r="B102" s="179"/>
      <c r="C102" s="179"/>
      <c r="D102" s="179" t="s">
        <v>162</v>
      </c>
      <c r="E102" s="179"/>
      <c r="F102" s="179"/>
      <c r="G102" s="179" t="s">
        <v>163</v>
      </c>
      <c r="H102" s="179"/>
      <c r="I102" s="179"/>
      <c r="J102" s="179" t="s">
        <v>72</v>
      </c>
      <c r="K102" s="179"/>
    </row>
    <row r="103" spans="1:11" ht="12.75" customHeight="1" thickBot="1" x14ac:dyDescent="0.25">
      <c r="A103" s="58" t="s">
        <v>216</v>
      </c>
      <c r="B103" s="58" t="s">
        <v>11</v>
      </c>
      <c r="C103" s="58" t="s">
        <v>10</v>
      </c>
      <c r="D103" s="58" t="s">
        <v>216</v>
      </c>
      <c r="E103" s="58" t="s">
        <v>11</v>
      </c>
      <c r="F103" s="58" t="s">
        <v>10</v>
      </c>
      <c r="G103" s="58" t="s">
        <v>216</v>
      </c>
      <c r="H103" s="58" t="s">
        <v>11</v>
      </c>
      <c r="I103" s="58" t="s">
        <v>10</v>
      </c>
      <c r="J103" s="180" t="s">
        <v>78</v>
      </c>
      <c r="K103" s="180"/>
    </row>
    <row r="104" spans="1:11" ht="12.75" customHeight="1" thickBot="1" x14ac:dyDescent="0.25">
      <c r="A104" s="60">
        <f>G104+D104</f>
        <v>1</v>
      </c>
      <c r="B104" s="60">
        <f>H104+E104</f>
        <v>1</v>
      </c>
      <c r="C104" s="60">
        <f>I104+F104</f>
        <v>0</v>
      </c>
      <c r="D104" s="60">
        <f>F104+E104</f>
        <v>0</v>
      </c>
      <c r="E104" s="60">
        <v>0</v>
      </c>
      <c r="F104" s="60">
        <v>0</v>
      </c>
      <c r="G104" s="60">
        <f>I104+H104</f>
        <v>1</v>
      </c>
      <c r="H104" s="60">
        <v>1</v>
      </c>
      <c r="I104" s="60">
        <v>0</v>
      </c>
      <c r="J104" s="65" t="s">
        <v>61</v>
      </c>
      <c r="K104" s="66"/>
    </row>
    <row r="105" spans="1:11" ht="12.75" customHeight="1" thickBot="1" x14ac:dyDescent="0.25">
      <c r="A105" s="60">
        <f t="shared" ref="A105:C148" si="16">G105+D105</f>
        <v>18</v>
      </c>
      <c r="B105" s="60">
        <f t="shared" si="16"/>
        <v>3</v>
      </c>
      <c r="C105" s="60">
        <f t="shared" si="16"/>
        <v>15</v>
      </c>
      <c r="D105" s="60">
        <f t="shared" ref="D105:D151" si="17">F105+E105</f>
        <v>4</v>
      </c>
      <c r="E105" s="60">
        <v>0</v>
      </c>
      <c r="F105" s="60">
        <v>4</v>
      </c>
      <c r="G105" s="60">
        <f t="shared" ref="G105:G151" si="18">I105+H105</f>
        <v>14</v>
      </c>
      <c r="H105" s="60">
        <v>3</v>
      </c>
      <c r="I105" s="60">
        <v>11</v>
      </c>
      <c r="J105" s="65" t="s">
        <v>62</v>
      </c>
      <c r="K105" s="66" t="s">
        <v>360</v>
      </c>
    </row>
    <row r="106" spans="1:11" ht="12.75" customHeight="1" thickBot="1" x14ac:dyDescent="0.25">
      <c r="A106" s="60">
        <f t="shared" si="16"/>
        <v>0</v>
      </c>
      <c r="B106" s="60">
        <f t="shared" si="16"/>
        <v>0</v>
      </c>
      <c r="C106" s="60">
        <f t="shared" si="16"/>
        <v>0</v>
      </c>
      <c r="D106" s="60">
        <f t="shared" si="17"/>
        <v>0</v>
      </c>
      <c r="E106" s="60">
        <v>0</v>
      </c>
      <c r="F106" s="60">
        <v>0</v>
      </c>
      <c r="G106" s="60">
        <f t="shared" si="18"/>
        <v>0</v>
      </c>
      <c r="H106" s="60">
        <v>0</v>
      </c>
      <c r="I106" s="60">
        <v>0</v>
      </c>
      <c r="J106" s="65" t="s">
        <v>64</v>
      </c>
      <c r="K106" s="74"/>
    </row>
    <row r="107" spans="1:11" ht="12.75" customHeight="1" thickBot="1" x14ac:dyDescent="0.25">
      <c r="A107" s="60">
        <f t="shared" si="16"/>
        <v>2</v>
      </c>
      <c r="B107" s="60">
        <f t="shared" si="16"/>
        <v>1</v>
      </c>
      <c r="C107" s="60">
        <f t="shared" si="16"/>
        <v>1</v>
      </c>
      <c r="D107" s="60">
        <f t="shared" si="17"/>
        <v>0</v>
      </c>
      <c r="E107" s="60">
        <v>0</v>
      </c>
      <c r="F107" s="60">
        <v>0</v>
      </c>
      <c r="G107" s="60">
        <f t="shared" si="18"/>
        <v>2</v>
      </c>
      <c r="H107" s="60">
        <v>1</v>
      </c>
      <c r="I107" s="60">
        <v>1</v>
      </c>
      <c r="J107" s="65" t="s">
        <v>61</v>
      </c>
      <c r="K107" s="66"/>
    </row>
    <row r="108" spans="1:11" ht="12.75" customHeight="1" thickBot="1" x14ac:dyDescent="0.25">
      <c r="A108" s="60">
        <f t="shared" si="16"/>
        <v>14</v>
      </c>
      <c r="B108" s="60">
        <f t="shared" si="16"/>
        <v>9</v>
      </c>
      <c r="C108" s="60">
        <f t="shared" si="16"/>
        <v>5</v>
      </c>
      <c r="D108" s="60">
        <f t="shared" si="17"/>
        <v>1</v>
      </c>
      <c r="E108" s="60">
        <v>1</v>
      </c>
      <c r="F108" s="60">
        <v>0</v>
      </c>
      <c r="G108" s="60">
        <f t="shared" si="18"/>
        <v>13</v>
      </c>
      <c r="H108" s="60">
        <v>8</v>
      </c>
      <c r="I108" s="60">
        <v>5</v>
      </c>
      <c r="J108" s="65" t="s">
        <v>62</v>
      </c>
      <c r="K108" s="66" t="s">
        <v>337</v>
      </c>
    </row>
    <row r="109" spans="1:11" ht="12.75" customHeight="1" thickBot="1" x14ac:dyDescent="0.25">
      <c r="A109" s="60">
        <f t="shared" si="16"/>
        <v>0</v>
      </c>
      <c r="B109" s="60">
        <f t="shared" si="16"/>
        <v>0</v>
      </c>
      <c r="C109" s="60">
        <f t="shared" si="16"/>
        <v>0</v>
      </c>
      <c r="D109" s="60">
        <f t="shared" si="17"/>
        <v>0</v>
      </c>
      <c r="E109" s="60">
        <v>0</v>
      </c>
      <c r="F109" s="60">
        <v>0</v>
      </c>
      <c r="G109" s="60">
        <f t="shared" si="18"/>
        <v>0</v>
      </c>
      <c r="H109" s="60">
        <v>0</v>
      </c>
      <c r="I109" s="60">
        <v>0</v>
      </c>
      <c r="J109" s="65" t="s">
        <v>64</v>
      </c>
      <c r="K109" s="74"/>
    </row>
    <row r="110" spans="1:11" ht="12.75" customHeight="1" thickBot="1" x14ac:dyDescent="0.25">
      <c r="A110" s="60">
        <f t="shared" si="16"/>
        <v>7</v>
      </c>
      <c r="B110" s="60">
        <f t="shared" si="16"/>
        <v>4</v>
      </c>
      <c r="C110" s="60">
        <f t="shared" si="16"/>
        <v>3</v>
      </c>
      <c r="D110" s="60">
        <f t="shared" si="17"/>
        <v>0</v>
      </c>
      <c r="E110" s="60">
        <v>0</v>
      </c>
      <c r="F110" s="60">
        <v>0</v>
      </c>
      <c r="G110" s="60">
        <f t="shared" si="18"/>
        <v>7</v>
      </c>
      <c r="H110" s="60">
        <v>4</v>
      </c>
      <c r="I110" s="60">
        <v>3</v>
      </c>
      <c r="J110" s="65" t="s">
        <v>61</v>
      </c>
      <c r="K110" s="66"/>
    </row>
    <row r="111" spans="1:11" ht="12.75" customHeight="1" thickBot="1" x14ac:dyDescent="0.25">
      <c r="A111" s="60">
        <f t="shared" si="16"/>
        <v>45</v>
      </c>
      <c r="B111" s="60">
        <f t="shared" si="16"/>
        <v>28</v>
      </c>
      <c r="C111" s="60">
        <f t="shared" si="16"/>
        <v>17</v>
      </c>
      <c r="D111" s="60">
        <f t="shared" si="17"/>
        <v>2</v>
      </c>
      <c r="E111" s="60">
        <v>2</v>
      </c>
      <c r="F111" s="60">
        <v>0</v>
      </c>
      <c r="G111" s="60">
        <f t="shared" si="18"/>
        <v>43</v>
      </c>
      <c r="H111" s="60">
        <v>26</v>
      </c>
      <c r="I111" s="60">
        <v>17</v>
      </c>
      <c r="J111" s="65" t="s">
        <v>62</v>
      </c>
      <c r="K111" s="66" t="s">
        <v>363</v>
      </c>
    </row>
    <row r="112" spans="1:11" ht="12.75" customHeight="1" thickBot="1" x14ac:dyDescent="0.25">
      <c r="A112" s="60">
        <f t="shared" si="16"/>
        <v>0</v>
      </c>
      <c r="B112" s="60">
        <f t="shared" si="16"/>
        <v>0</v>
      </c>
      <c r="C112" s="60">
        <f t="shared" si="16"/>
        <v>0</v>
      </c>
      <c r="D112" s="60">
        <f t="shared" si="17"/>
        <v>0</v>
      </c>
      <c r="E112" s="60">
        <v>0</v>
      </c>
      <c r="F112" s="60">
        <v>0</v>
      </c>
      <c r="G112" s="60">
        <f t="shared" si="18"/>
        <v>0</v>
      </c>
      <c r="H112" s="60">
        <v>0</v>
      </c>
      <c r="I112" s="60">
        <v>0</v>
      </c>
      <c r="J112" s="65" t="s">
        <v>64</v>
      </c>
      <c r="K112" s="74"/>
    </row>
    <row r="113" spans="1:11" ht="12.75" customHeight="1" thickBot="1" x14ac:dyDescent="0.25">
      <c r="A113" s="60">
        <f t="shared" si="16"/>
        <v>24</v>
      </c>
      <c r="B113" s="60">
        <f t="shared" si="16"/>
        <v>3</v>
      </c>
      <c r="C113" s="60">
        <f t="shared" si="16"/>
        <v>21</v>
      </c>
      <c r="D113" s="60">
        <f t="shared" si="17"/>
        <v>0</v>
      </c>
      <c r="E113" s="60">
        <v>0</v>
      </c>
      <c r="F113" s="60">
        <v>0</v>
      </c>
      <c r="G113" s="60">
        <f t="shared" si="18"/>
        <v>24</v>
      </c>
      <c r="H113" s="60">
        <v>3</v>
      </c>
      <c r="I113" s="60">
        <v>21</v>
      </c>
      <c r="J113" s="65" t="s">
        <v>61</v>
      </c>
      <c r="K113" s="66"/>
    </row>
    <row r="114" spans="1:11" ht="12.75" customHeight="1" thickBot="1" x14ac:dyDescent="0.25">
      <c r="A114" s="60">
        <f t="shared" si="16"/>
        <v>141</v>
      </c>
      <c r="B114" s="60">
        <f t="shared" si="16"/>
        <v>63</v>
      </c>
      <c r="C114" s="60">
        <f t="shared" si="16"/>
        <v>78</v>
      </c>
      <c r="D114" s="60">
        <f t="shared" si="17"/>
        <v>1</v>
      </c>
      <c r="E114" s="60">
        <v>0</v>
      </c>
      <c r="F114" s="60">
        <v>1</v>
      </c>
      <c r="G114" s="60">
        <f t="shared" si="18"/>
        <v>140</v>
      </c>
      <c r="H114" s="60">
        <v>63</v>
      </c>
      <c r="I114" s="60">
        <v>77</v>
      </c>
      <c r="J114" s="65" t="s">
        <v>62</v>
      </c>
      <c r="K114" s="66" t="s">
        <v>364</v>
      </c>
    </row>
    <row r="115" spans="1:11" ht="12.75" customHeight="1" thickBot="1" x14ac:dyDescent="0.25">
      <c r="A115" s="60">
        <f t="shared" si="16"/>
        <v>0</v>
      </c>
      <c r="B115" s="60">
        <f t="shared" si="16"/>
        <v>0</v>
      </c>
      <c r="C115" s="60">
        <f t="shared" si="16"/>
        <v>0</v>
      </c>
      <c r="D115" s="60">
        <f t="shared" si="17"/>
        <v>0</v>
      </c>
      <c r="E115" s="60">
        <v>0</v>
      </c>
      <c r="F115" s="60">
        <v>0</v>
      </c>
      <c r="G115" s="60">
        <f t="shared" si="18"/>
        <v>0</v>
      </c>
      <c r="H115" s="60">
        <v>0</v>
      </c>
      <c r="I115" s="60">
        <v>0</v>
      </c>
      <c r="J115" s="65" t="s">
        <v>64</v>
      </c>
      <c r="K115" s="74"/>
    </row>
    <row r="116" spans="1:11" ht="12.75" customHeight="1" thickBot="1" x14ac:dyDescent="0.25">
      <c r="A116" s="60">
        <f t="shared" si="16"/>
        <v>0</v>
      </c>
      <c r="B116" s="60">
        <f t="shared" si="16"/>
        <v>0</v>
      </c>
      <c r="C116" s="60">
        <f t="shared" si="16"/>
        <v>0</v>
      </c>
      <c r="D116" s="60">
        <f t="shared" si="17"/>
        <v>0</v>
      </c>
      <c r="E116" s="60">
        <v>0</v>
      </c>
      <c r="F116" s="60">
        <v>0</v>
      </c>
      <c r="G116" s="60">
        <f t="shared" si="18"/>
        <v>0</v>
      </c>
      <c r="H116" s="60">
        <v>0</v>
      </c>
      <c r="I116" s="60">
        <v>0</v>
      </c>
      <c r="J116" s="65" t="s">
        <v>61</v>
      </c>
      <c r="K116" s="66"/>
    </row>
    <row r="117" spans="1:11" ht="12.75" customHeight="1" thickBot="1" x14ac:dyDescent="0.25">
      <c r="A117" s="60">
        <f t="shared" si="16"/>
        <v>4</v>
      </c>
      <c r="B117" s="60">
        <f t="shared" si="16"/>
        <v>2</v>
      </c>
      <c r="C117" s="60">
        <f t="shared" si="16"/>
        <v>2</v>
      </c>
      <c r="D117" s="60">
        <f t="shared" si="17"/>
        <v>0</v>
      </c>
      <c r="E117" s="60">
        <v>0</v>
      </c>
      <c r="F117" s="60">
        <v>0</v>
      </c>
      <c r="G117" s="60">
        <f t="shared" si="18"/>
        <v>4</v>
      </c>
      <c r="H117" s="60">
        <v>2</v>
      </c>
      <c r="I117" s="60">
        <v>2</v>
      </c>
      <c r="J117" s="65" t="s">
        <v>62</v>
      </c>
      <c r="K117" s="66" t="s">
        <v>244</v>
      </c>
    </row>
    <row r="118" spans="1:11" ht="12.75" customHeight="1" thickBot="1" x14ac:dyDescent="0.25">
      <c r="A118" s="60">
        <f t="shared" si="16"/>
        <v>0</v>
      </c>
      <c r="B118" s="60">
        <f t="shared" si="16"/>
        <v>0</v>
      </c>
      <c r="C118" s="60">
        <f t="shared" si="16"/>
        <v>0</v>
      </c>
      <c r="D118" s="60">
        <f t="shared" si="17"/>
        <v>0</v>
      </c>
      <c r="E118" s="60">
        <v>0</v>
      </c>
      <c r="F118" s="60">
        <v>0</v>
      </c>
      <c r="G118" s="60">
        <f t="shared" si="18"/>
        <v>0</v>
      </c>
      <c r="H118" s="60">
        <v>0</v>
      </c>
      <c r="I118" s="60">
        <v>0</v>
      </c>
      <c r="J118" s="65" t="s">
        <v>64</v>
      </c>
      <c r="K118" s="74"/>
    </row>
    <row r="119" spans="1:11" ht="12.75" customHeight="1" thickBot="1" x14ac:dyDescent="0.25">
      <c r="A119" s="60">
        <f t="shared" si="16"/>
        <v>8</v>
      </c>
      <c r="B119" s="60">
        <f t="shared" si="16"/>
        <v>4</v>
      </c>
      <c r="C119" s="60">
        <f t="shared" si="16"/>
        <v>4</v>
      </c>
      <c r="D119" s="60">
        <f t="shared" si="17"/>
        <v>1</v>
      </c>
      <c r="E119" s="60">
        <v>0</v>
      </c>
      <c r="F119" s="60">
        <v>1</v>
      </c>
      <c r="G119" s="60">
        <f t="shared" si="18"/>
        <v>7</v>
      </c>
      <c r="H119" s="60">
        <v>4</v>
      </c>
      <c r="I119" s="60">
        <v>3</v>
      </c>
      <c r="J119" s="65" t="s">
        <v>61</v>
      </c>
      <c r="K119" s="66"/>
    </row>
    <row r="120" spans="1:11" ht="12.75" customHeight="1" thickBot="1" x14ac:dyDescent="0.25">
      <c r="A120" s="60">
        <f t="shared" si="16"/>
        <v>76</v>
      </c>
      <c r="B120" s="60">
        <f t="shared" si="16"/>
        <v>26</v>
      </c>
      <c r="C120" s="60">
        <f t="shared" si="16"/>
        <v>50</v>
      </c>
      <c r="D120" s="60">
        <f t="shared" si="17"/>
        <v>9</v>
      </c>
      <c r="E120" s="60">
        <v>5</v>
      </c>
      <c r="F120" s="60">
        <v>4</v>
      </c>
      <c r="G120" s="60">
        <f t="shared" si="18"/>
        <v>67</v>
      </c>
      <c r="H120" s="60">
        <v>21</v>
      </c>
      <c r="I120" s="60">
        <v>46</v>
      </c>
      <c r="J120" s="65" t="s">
        <v>62</v>
      </c>
      <c r="K120" s="66" t="s">
        <v>365</v>
      </c>
    </row>
    <row r="121" spans="1:11" ht="12.75" customHeight="1" thickBot="1" x14ac:dyDescent="0.25">
      <c r="A121" s="60">
        <f t="shared" si="16"/>
        <v>0</v>
      </c>
      <c r="B121" s="60">
        <f t="shared" si="16"/>
        <v>0</v>
      </c>
      <c r="C121" s="60">
        <f t="shared" si="16"/>
        <v>0</v>
      </c>
      <c r="D121" s="60">
        <f t="shared" si="17"/>
        <v>0</v>
      </c>
      <c r="E121" s="60">
        <v>0</v>
      </c>
      <c r="F121" s="60">
        <v>0</v>
      </c>
      <c r="G121" s="60">
        <f t="shared" si="18"/>
        <v>0</v>
      </c>
      <c r="H121" s="60">
        <v>0</v>
      </c>
      <c r="I121" s="60">
        <v>0</v>
      </c>
      <c r="J121" s="65" t="s">
        <v>64</v>
      </c>
      <c r="K121" s="74"/>
    </row>
    <row r="122" spans="1:11" ht="12.75" customHeight="1" thickBot="1" x14ac:dyDescent="0.25">
      <c r="A122" s="60">
        <f t="shared" si="16"/>
        <v>0</v>
      </c>
      <c r="B122" s="60">
        <f t="shared" si="16"/>
        <v>0</v>
      </c>
      <c r="C122" s="60">
        <f t="shared" si="16"/>
        <v>0</v>
      </c>
      <c r="D122" s="60">
        <f t="shared" si="17"/>
        <v>0</v>
      </c>
      <c r="E122" s="60">
        <v>0</v>
      </c>
      <c r="F122" s="60">
        <v>0</v>
      </c>
      <c r="G122" s="60">
        <f t="shared" si="18"/>
        <v>0</v>
      </c>
      <c r="H122" s="60">
        <v>0</v>
      </c>
      <c r="I122" s="60">
        <v>0</v>
      </c>
      <c r="J122" s="65" t="s">
        <v>61</v>
      </c>
      <c r="K122" s="66"/>
    </row>
    <row r="123" spans="1:11" ht="12.75" customHeight="1" thickBot="1" x14ac:dyDescent="0.25">
      <c r="A123" s="60">
        <f t="shared" si="16"/>
        <v>58</v>
      </c>
      <c r="B123" s="60">
        <f t="shared" si="16"/>
        <v>20</v>
      </c>
      <c r="C123" s="60">
        <f t="shared" si="16"/>
        <v>38</v>
      </c>
      <c r="D123" s="60">
        <f t="shared" si="17"/>
        <v>5</v>
      </c>
      <c r="E123" s="60">
        <v>2</v>
      </c>
      <c r="F123" s="60">
        <v>3</v>
      </c>
      <c r="G123" s="60">
        <f t="shared" si="18"/>
        <v>53</v>
      </c>
      <c r="H123" s="60">
        <v>18</v>
      </c>
      <c r="I123" s="60">
        <v>35</v>
      </c>
      <c r="J123" s="65" t="s">
        <v>62</v>
      </c>
      <c r="K123" s="66" t="s">
        <v>366</v>
      </c>
    </row>
    <row r="124" spans="1:11" ht="12.75" customHeight="1" thickBot="1" x14ac:dyDescent="0.25">
      <c r="A124" s="60">
        <f t="shared" si="16"/>
        <v>0</v>
      </c>
      <c r="B124" s="60">
        <f t="shared" si="16"/>
        <v>0</v>
      </c>
      <c r="C124" s="60">
        <f t="shared" si="16"/>
        <v>0</v>
      </c>
      <c r="D124" s="60">
        <f t="shared" si="17"/>
        <v>0</v>
      </c>
      <c r="E124" s="60">
        <v>0</v>
      </c>
      <c r="F124" s="60">
        <v>0</v>
      </c>
      <c r="G124" s="60">
        <f t="shared" si="18"/>
        <v>0</v>
      </c>
      <c r="H124" s="60">
        <v>0</v>
      </c>
      <c r="I124" s="60">
        <v>0</v>
      </c>
      <c r="J124" s="65" t="s">
        <v>64</v>
      </c>
      <c r="K124" s="74"/>
    </row>
    <row r="125" spans="1:11" ht="12.75" customHeight="1" thickBot="1" x14ac:dyDescent="0.25">
      <c r="A125" s="60">
        <f t="shared" si="16"/>
        <v>0</v>
      </c>
      <c r="B125" s="60">
        <f t="shared" si="16"/>
        <v>0</v>
      </c>
      <c r="C125" s="60">
        <f t="shared" si="16"/>
        <v>0</v>
      </c>
      <c r="D125" s="60">
        <f t="shared" si="17"/>
        <v>0</v>
      </c>
      <c r="E125" s="60">
        <v>0</v>
      </c>
      <c r="F125" s="60">
        <v>0</v>
      </c>
      <c r="G125" s="60">
        <f t="shared" si="18"/>
        <v>0</v>
      </c>
      <c r="H125" s="60">
        <v>0</v>
      </c>
      <c r="I125" s="60">
        <v>0</v>
      </c>
      <c r="J125" s="65" t="s">
        <v>61</v>
      </c>
      <c r="K125" s="66"/>
    </row>
    <row r="126" spans="1:11" ht="12.75" customHeight="1" thickBot="1" x14ac:dyDescent="0.25">
      <c r="A126" s="60">
        <f t="shared" si="16"/>
        <v>28</v>
      </c>
      <c r="B126" s="60">
        <f t="shared" si="16"/>
        <v>16</v>
      </c>
      <c r="C126" s="60">
        <f t="shared" si="16"/>
        <v>12</v>
      </c>
      <c r="D126" s="60">
        <f t="shared" si="17"/>
        <v>0</v>
      </c>
      <c r="E126" s="60">
        <v>0</v>
      </c>
      <c r="F126" s="60">
        <v>0</v>
      </c>
      <c r="G126" s="60">
        <f t="shared" si="18"/>
        <v>28</v>
      </c>
      <c r="H126" s="60">
        <v>16</v>
      </c>
      <c r="I126" s="60">
        <v>12</v>
      </c>
      <c r="J126" s="65" t="s">
        <v>62</v>
      </c>
      <c r="K126" s="66" t="s">
        <v>355</v>
      </c>
    </row>
    <row r="127" spans="1:11" ht="12.75" customHeight="1" thickBot="1" x14ac:dyDescent="0.25">
      <c r="A127" s="60">
        <f t="shared" si="16"/>
        <v>0</v>
      </c>
      <c r="B127" s="60">
        <f t="shared" si="16"/>
        <v>0</v>
      </c>
      <c r="C127" s="60">
        <f t="shared" si="16"/>
        <v>0</v>
      </c>
      <c r="D127" s="60">
        <f t="shared" si="17"/>
        <v>0</v>
      </c>
      <c r="E127" s="60">
        <v>0</v>
      </c>
      <c r="F127" s="60">
        <v>0</v>
      </c>
      <c r="G127" s="60">
        <f t="shared" si="18"/>
        <v>0</v>
      </c>
      <c r="H127" s="60">
        <v>0</v>
      </c>
      <c r="I127" s="60">
        <v>0</v>
      </c>
      <c r="J127" s="65" t="s">
        <v>64</v>
      </c>
      <c r="K127" s="74"/>
    </row>
    <row r="128" spans="1:11" ht="12.75" customHeight="1" thickBot="1" x14ac:dyDescent="0.25">
      <c r="A128" s="60">
        <f t="shared" si="16"/>
        <v>0</v>
      </c>
      <c r="B128" s="60">
        <f t="shared" si="16"/>
        <v>0</v>
      </c>
      <c r="C128" s="60">
        <f t="shared" si="16"/>
        <v>0</v>
      </c>
      <c r="D128" s="60">
        <f t="shared" si="17"/>
        <v>0</v>
      </c>
      <c r="E128" s="60">
        <v>0</v>
      </c>
      <c r="F128" s="60">
        <v>0</v>
      </c>
      <c r="G128" s="60">
        <f t="shared" si="18"/>
        <v>0</v>
      </c>
      <c r="H128" s="60">
        <v>0</v>
      </c>
      <c r="I128" s="60">
        <v>0</v>
      </c>
      <c r="J128" s="65" t="s">
        <v>61</v>
      </c>
      <c r="K128" s="66"/>
    </row>
    <row r="129" spans="1:11" ht="12.75" customHeight="1" thickBot="1" x14ac:dyDescent="0.25">
      <c r="A129" s="60">
        <f t="shared" si="16"/>
        <v>6</v>
      </c>
      <c r="B129" s="60">
        <f t="shared" si="16"/>
        <v>0</v>
      </c>
      <c r="C129" s="60">
        <f t="shared" si="16"/>
        <v>6</v>
      </c>
      <c r="D129" s="60">
        <f t="shared" si="17"/>
        <v>0</v>
      </c>
      <c r="E129" s="60">
        <v>0</v>
      </c>
      <c r="F129" s="60">
        <v>0</v>
      </c>
      <c r="G129" s="60">
        <f t="shared" si="18"/>
        <v>6</v>
      </c>
      <c r="H129" s="60">
        <v>0</v>
      </c>
      <c r="I129" s="60">
        <v>6</v>
      </c>
      <c r="J129" s="65" t="s">
        <v>62</v>
      </c>
      <c r="K129" s="66" t="s">
        <v>535</v>
      </c>
    </row>
    <row r="130" spans="1:11" ht="12.75" customHeight="1" thickBot="1" x14ac:dyDescent="0.25">
      <c r="A130" s="60">
        <f t="shared" si="16"/>
        <v>0</v>
      </c>
      <c r="B130" s="60">
        <f t="shared" si="16"/>
        <v>0</v>
      </c>
      <c r="C130" s="60">
        <f t="shared" si="16"/>
        <v>0</v>
      </c>
      <c r="D130" s="60">
        <f t="shared" si="17"/>
        <v>0</v>
      </c>
      <c r="E130" s="60">
        <v>0</v>
      </c>
      <c r="F130" s="60">
        <v>0</v>
      </c>
      <c r="G130" s="60">
        <f t="shared" si="18"/>
        <v>0</v>
      </c>
      <c r="H130" s="60">
        <v>0</v>
      </c>
      <c r="I130" s="60">
        <v>0</v>
      </c>
      <c r="J130" s="65" t="s">
        <v>64</v>
      </c>
      <c r="K130" s="74"/>
    </row>
    <row r="131" spans="1:11" ht="12.75" customHeight="1" thickBot="1" x14ac:dyDescent="0.25">
      <c r="A131" s="60">
        <f t="shared" si="16"/>
        <v>0</v>
      </c>
      <c r="B131" s="60">
        <f t="shared" si="16"/>
        <v>0</v>
      </c>
      <c r="C131" s="60">
        <f t="shared" si="16"/>
        <v>0</v>
      </c>
      <c r="D131" s="60">
        <f t="shared" si="17"/>
        <v>0</v>
      </c>
      <c r="E131" s="60">
        <v>0</v>
      </c>
      <c r="F131" s="60">
        <v>0</v>
      </c>
      <c r="G131" s="60">
        <f t="shared" si="18"/>
        <v>0</v>
      </c>
      <c r="H131" s="60">
        <v>0</v>
      </c>
      <c r="I131" s="60">
        <v>0</v>
      </c>
      <c r="J131" s="65" t="s">
        <v>61</v>
      </c>
      <c r="K131" s="66"/>
    </row>
    <row r="132" spans="1:11" ht="12.75" customHeight="1" thickBot="1" x14ac:dyDescent="0.25">
      <c r="A132" s="60">
        <f t="shared" si="16"/>
        <v>22</v>
      </c>
      <c r="B132" s="60">
        <f t="shared" si="16"/>
        <v>0</v>
      </c>
      <c r="C132" s="60">
        <f t="shared" si="16"/>
        <v>22</v>
      </c>
      <c r="D132" s="60">
        <f t="shared" si="17"/>
        <v>1</v>
      </c>
      <c r="E132" s="60">
        <v>0</v>
      </c>
      <c r="F132" s="60">
        <v>1</v>
      </c>
      <c r="G132" s="60">
        <f t="shared" si="18"/>
        <v>21</v>
      </c>
      <c r="H132" s="60">
        <v>0</v>
      </c>
      <c r="I132" s="60">
        <v>21</v>
      </c>
      <c r="J132" s="65" t="s">
        <v>62</v>
      </c>
      <c r="K132" s="66" t="s">
        <v>377</v>
      </c>
    </row>
    <row r="133" spans="1:11" ht="12.75" customHeight="1" thickBot="1" x14ac:dyDescent="0.25">
      <c r="A133" s="60">
        <f t="shared" si="16"/>
        <v>0</v>
      </c>
      <c r="B133" s="60">
        <f t="shared" si="16"/>
        <v>0</v>
      </c>
      <c r="C133" s="60">
        <f t="shared" si="16"/>
        <v>0</v>
      </c>
      <c r="D133" s="60">
        <f t="shared" si="17"/>
        <v>0</v>
      </c>
      <c r="E133" s="60">
        <v>0</v>
      </c>
      <c r="F133" s="60">
        <v>0</v>
      </c>
      <c r="G133" s="60">
        <f t="shared" si="18"/>
        <v>0</v>
      </c>
      <c r="H133" s="60">
        <v>0</v>
      </c>
      <c r="I133" s="60">
        <v>0</v>
      </c>
      <c r="J133" s="65" t="s">
        <v>64</v>
      </c>
      <c r="K133" s="74"/>
    </row>
    <row r="134" spans="1:11" ht="12.75" customHeight="1" thickBot="1" x14ac:dyDescent="0.25">
      <c r="A134" s="60">
        <f t="shared" si="16"/>
        <v>0</v>
      </c>
      <c r="B134" s="60">
        <f t="shared" si="16"/>
        <v>0</v>
      </c>
      <c r="C134" s="60">
        <f t="shared" si="16"/>
        <v>0</v>
      </c>
      <c r="D134" s="60">
        <f t="shared" si="17"/>
        <v>0</v>
      </c>
      <c r="E134" s="60">
        <v>0</v>
      </c>
      <c r="F134" s="60">
        <v>0</v>
      </c>
      <c r="G134" s="60">
        <f t="shared" si="18"/>
        <v>0</v>
      </c>
      <c r="H134" s="60">
        <v>0</v>
      </c>
      <c r="I134" s="60">
        <v>0</v>
      </c>
      <c r="J134" s="65" t="s">
        <v>61</v>
      </c>
      <c r="K134" s="66"/>
    </row>
    <row r="135" spans="1:11" ht="12.75" customHeight="1" thickBot="1" x14ac:dyDescent="0.25">
      <c r="A135" s="60">
        <f t="shared" si="16"/>
        <v>11</v>
      </c>
      <c r="B135" s="60">
        <f t="shared" si="16"/>
        <v>8</v>
      </c>
      <c r="C135" s="60">
        <f t="shared" si="16"/>
        <v>3</v>
      </c>
      <c r="D135" s="60">
        <f t="shared" si="17"/>
        <v>0</v>
      </c>
      <c r="E135" s="60">
        <v>0</v>
      </c>
      <c r="F135" s="60">
        <v>0</v>
      </c>
      <c r="G135" s="60">
        <f t="shared" si="18"/>
        <v>11</v>
      </c>
      <c r="H135" s="60">
        <v>8</v>
      </c>
      <c r="I135" s="60">
        <v>3</v>
      </c>
      <c r="J135" s="65" t="s">
        <v>62</v>
      </c>
      <c r="K135" s="66" t="s">
        <v>536</v>
      </c>
    </row>
    <row r="136" spans="1:11" ht="12.75" customHeight="1" thickBot="1" x14ac:dyDescent="0.25">
      <c r="A136" s="60">
        <f t="shared" si="16"/>
        <v>0</v>
      </c>
      <c r="B136" s="60">
        <f t="shared" si="16"/>
        <v>0</v>
      </c>
      <c r="C136" s="60">
        <f t="shared" si="16"/>
        <v>0</v>
      </c>
      <c r="D136" s="60">
        <f t="shared" si="17"/>
        <v>0</v>
      </c>
      <c r="E136" s="60">
        <v>0</v>
      </c>
      <c r="F136" s="60">
        <v>0</v>
      </c>
      <c r="G136" s="60">
        <f t="shared" si="18"/>
        <v>0</v>
      </c>
      <c r="H136" s="60">
        <v>0</v>
      </c>
      <c r="I136" s="60">
        <v>0</v>
      </c>
      <c r="J136" s="65" t="s">
        <v>64</v>
      </c>
      <c r="K136" s="74"/>
    </row>
    <row r="137" spans="1:11" ht="12.75" customHeight="1" thickBot="1" x14ac:dyDescent="0.25">
      <c r="A137" s="60">
        <f t="shared" si="16"/>
        <v>0</v>
      </c>
      <c r="B137" s="60">
        <f t="shared" si="16"/>
        <v>0</v>
      </c>
      <c r="C137" s="60">
        <f t="shared" si="16"/>
        <v>0</v>
      </c>
      <c r="D137" s="60">
        <f t="shared" si="17"/>
        <v>0</v>
      </c>
      <c r="E137" s="60">
        <v>0</v>
      </c>
      <c r="F137" s="60">
        <v>0</v>
      </c>
      <c r="G137" s="60">
        <f t="shared" si="18"/>
        <v>0</v>
      </c>
      <c r="H137" s="60">
        <v>0</v>
      </c>
      <c r="I137" s="60">
        <v>0</v>
      </c>
      <c r="J137" s="65" t="s">
        <v>61</v>
      </c>
      <c r="K137" s="66"/>
    </row>
    <row r="138" spans="1:11" ht="12.75" customHeight="1" thickBot="1" x14ac:dyDescent="0.25">
      <c r="A138" s="60">
        <f t="shared" si="16"/>
        <v>0</v>
      </c>
      <c r="B138" s="60">
        <f t="shared" si="16"/>
        <v>0</v>
      </c>
      <c r="C138" s="60">
        <f t="shared" si="16"/>
        <v>0</v>
      </c>
      <c r="D138" s="60">
        <f t="shared" si="17"/>
        <v>0</v>
      </c>
      <c r="E138" s="60">
        <v>0</v>
      </c>
      <c r="F138" s="60">
        <v>0</v>
      </c>
      <c r="G138" s="60">
        <f t="shared" si="18"/>
        <v>0</v>
      </c>
      <c r="H138" s="60">
        <v>0</v>
      </c>
      <c r="I138" s="60">
        <v>0</v>
      </c>
      <c r="J138" s="65" t="s">
        <v>62</v>
      </c>
      <c r="K138" s="66" t="s">
        <v>245</v>
      </c>
    </row>
    <row r="139" spans="1:11" ht="12.75" customHeight="1" thickBot="1" x14ac:dyDescent="0.25">
      <c r="A139" s="60">
        <f t="shared" si="16"/>
        <v>26</v>
      </c>
      <c r="B139" s="60">
        <f t="shared" si="16"/>
        <v>0</v>
      </c>
      <c r="C139" s="60">
        <f t="shared" si="16"/>
        <v>26</v>
      </c>
      <c r="D139" s="60">
        <f t="shared" si="17"/>
        <v>26</v>
      </c>
      <c r="E139" s="60">
        <v>0</v>
      </c>
      <c r="F139" s="60">
        <v>26</v>
      </c>
      <c r="G139" s="60">
        <f t="shared" si="18"/>
        <v>0</v>
      </c>
      <c r="H139" s="60">
        <v>0</v>
      </c>
      <c r="I139" s="60">
        <v>0</v>
      </c>
      <c r="J139" s="65" t="s">
        <v>64</v>
      </c>
      <c r="K139" s="74"/>
    </row>
    <row r="140" spans="1:11" ht="12.75" customHeight="1" thickBot="1" x14ac:dyDescent="0.25">
      <c r="A140" s="60">
        <f t="shared" si="16"/>
        <v>0</v>
      </c>
      <c r="B140" s="60">
        <f t="shared" si="16"/>
        <v>0</v>
      </c>
      <c r="C140" s="60">
        <f t="shared" si="16"/>
        <v>0</v>
      </c>
      <c r="D140" s="60">
        <f t="shared" si="17"/>
        <v>0</v>
      </c>
      <c r="E140" s="60">
        <v>0</v>
      </c>
      <c r="F140" s="60">
        <v>0</v>
      </c>
      <c r="G140" s="60">
        <f t="shared" si="18"/>
        <v>0</v>
      </c>
      <c r="H140" s="60">
        <v>0</v>
      </c>
      <c r="I140" s="60">
        <v>0</v>
      </c>
      <c r="J140" s="65" t="s">
        <v>61</v>
      </c>
      <c r="K140" s="66"/>
    </row>
    <row r="141" spans="1:11" ht="12.75" customHeight="1" thickBot="1" x14ac:dyDescent="0.25">
      <c r="A141" s="60">
        <f t="shared" si="16"/>
        <v>0</v>
      </c>
      <c r="B141" s="60">
        <f t="shared" si="16"/>
        <v>0</v>
      </c>
      <c r="C141" s="60">
        <f t="shared" si="16"/>
        <v>0</v>
      </c>
      <c r="D141" s="60">
        <f t="shared" si="17"/>
        <v>0</v>
      </c>
      <c r="E141" s="60">
        <v>0</v>
      </c>
      <c r="F141" s="60">
        <v>0</v>
      </c>
      <c r="G141" s="60">
        <f t="shared" si="18"/>
        <v>0</v>
      </c>
      <c r="H141" s="60">
        <v>0</v>
      </c>
      <c r="I141" s="60">
        <v>0</v>
      </c>
      <c r="J141" s="65" t="s">
        <v>62</v>
      </c>
      <c r="K141" s="66" t="s">
        <v>77</v>
      </c>
    </row>
    <row r="142" spans="1:11" ht="12.75" customHeight="1" thickBot="1" x14ac:dyDescent="0.25">
      <c r="A142" s="60">
        <f t="shared" si="16"/>
        <v>123</v>
      </c>
      <c r="B142" s="60">
        <f>H142+E142</f>
        <v>38</v>
      </c>
      <c r="C142" s="60">
        <f t="shared" si="16"/>
        <v>85</v>
      </c>
      <c r="D142" s="60">
        <f t="shared" si="17"/>
        <v>0</v>
      </c>
      <c r="E142" s="60">
        <v>0</v>
      </c>
      <c r="F142" s="60">
        <v>0</v>
      </c>
      <c r="G142" s="60">
        <f t="shared" si="18"/>
        <v>123</v>
      </c>
      <c r="H142" s="60">
        <v>38</v>
      </c>
      <c r="I142" s="60">
        <v>85</v>
      </c>
      <c r="J142" s="65" t="s">
        <v>64</v>
      </c>
      <c r="K142" s="74"/>
    </row>
    <row r="143" spans="1:11" ht="12.75" customHeight="1" thickBot="1" x14ac:dyDescent="0.25">
      <c r="A143" s="60">
        <f t="shared" si="16"/>
        <v>0</v>
      </c>
      <c r="B143" s="60">
        <f t="shared" si="16"/>
        <v>0</v>
      </c>
      <c r="C143" s="60">
        <f t="shared" si="16"/>
        <v>0</v>
      </c>
      <c r="D143" s="60">
        <f t="shared" si="17"/>
        <v>0</v>
      </c>
      <c r="E143" s="60">
        <v>0</v>
      </c>
      <c r="F143" s="60">
        <v>0</v>
      </c>
      <c r="G143" s="60">
        <f t="shared" si="18"/>
        <v>0</v>
      </c>
      <c r="H143" s="60">
        <v>0</v>
      </c>
      <c r="I143" s="60">
        <v>0</v>
      </c>
      <c r="J143" s="65" t="s">
        <v>61</v>
      </c>
      <c r="K143" s="66"/>
    </row>
    <row r="144" spans="1:11" ht="12.75" customHeight="1" thickBot="1" x14ac:dyDescent="0.25">
      <c r="A144" s="60">
        <f t="shared" si="16"/>
        <v>1</v>
      </c>
      <c r="B144" s="60">
        <f t="shared" si="16"/>
        <v>1</v>
      </c>
      <c r="C144" s="60">
        <f t="shared" si="16"/>
        <v>0</v>
      </c>
      <c r="D144" s="60">
        <f t="shared" si="17"/>
        <v>0</v>
      </c>
      <c r="E144" s="60">
        <v>0</v>
      </c>
      <c r="F144" s="60">
        <v>0</v>
      </c>
      <c r="G144" s="60">
        <f t="shared" si="18"/>
        <v>1</v>
      </c>
      <c r="H144" s="60">
        <v>1</v>
      </c>
      <c r="I144" s="60">
        <v>0</v>
      </c>
      <c r="J144" s="65" t="s">
        <v>62</v>
      </c>
      <c r="K144" s="66" t="s">
        <v>367</v>
      </c>
    </row>
    <row r="145" spans="1:11" ht="12.75" customHeight="1" thickBot="1" x14ac:dyDescent="0.25">
      <c r="A145" s="60">
        <f t="shared" si="16"/>
        <v>0</v>
      </c>
      <c r="B145" s="60">
        <f t="shared" si="16"/>
        <v>0</v>
      </c>
      <c r="C145" s="60">
        <f t="shared" si="16"/>
        <v>0</v>
      </c>
      <c r="D145" s="60">
        <f t="shared" si="17"/>
        <v>0</v>
      </c>
      <c r="E145" s="60">
        <v>0</v>
      </c>
      <c r="F145" s="60">
        <v>0</v>
      </c>
      <c r="G145" s="60">
        <f t="shared" si="18"/>
        <v>0</v>
      </c>
      <c r="H145" s="60">
        <v>0</v>
      </c>
      <c r="I145" s="60">
        <v>0</v>
      </c>
      <c r="J145" s="65" t="s">
        <v>64</v>
      </c>
      <c r="K145" s="74"/>
    </row>
    <row r="146" spans="1:11" ht="12.75" customHeight="1" thickBot="1" x14ac:dyDescent="0.25">
      <c r="A146" s="60">
        <f t="shared" si="16"/>
        <v>0</v>
      </c>
      <c r="B146" s="60">
        <f t="shared" si="16"/>
        <v>0</v>
      </c>
      <c r="C146" s="60">
        <f t="shared" si="16"/>
        <v>0</v>
      </c>
      <c r="D146" s="60">
        <f t="shared" si="17"/>
        <v>0</v>
      </c>
      <c r="E146" s="60">
        <v>0</v>
      </c>
      <c r="F146" s="60">
        <v>0</v>
      </c>
      <c r="G146" s="60">
        <f t="shared" si="18"/>
        <v>0</v>
      </c>
      <c r="H146" s="60">
        <v>0</v>
      </c>
      <c r="I146" s="60">
        <v>0</v>
      </c>
      <c r="J146" s="65" t="s">
        <v>61</v>
      </c>
      <c r="K146" s="66"/>
    </row>
    <row r="147" spans="1:11" ht="12.75" customHeight="1" thickBot="1" x14ac:dyDescent="0.25">
      <c r="A147" s="60">
        <f t="shared" si="16"/>
        <v>4</v>
      </c>
      <c r="B147" s="60">
        <f t="shared" si="16"/>
        <v>1</v>
      </c>
      <c r="C147" s="60">
        <f t="shared" si="16"/>
        <v>3</v>
      </c>
      <c r="D147" s="60">
        <f t="shared" si="17"/>
        <v>0</v>
      </c>
      <c r="E147" s="60">
        <v>0</v>
      </c>
      <c r="F147" s="60">
        <v>0</v>
      </c>
      <c r="G147" s="60">
        <f t="shared" si="18"/>
        <v>4</v>
      </c>
      <c r="H147" s="60">
        <v>1</v>
      </c>
      <c r="I147" s="60">
        <v>3</v>
      </c>
      <c r="J147" s="65" t="s">
        <v>62</v>
      </c>
      <c r="K147" s="66" t="s">
        <v>368</v>
      </c>
    </row>
    <row r="148" spans="1:11" ht="12.75" customHeight="1" thickBot="1" x14ac:dyDescent="0.25">
      <c r="A148" s="60">
        <f t="shared" si="16"/>
        <v>0</v>
      </c>
      <c r="B148" s="60">
        <f t="shared" si="16"/>
        <v>0</v>
      </c>
      <c r="C148" s="60">
        <f t="shared" si="16"/>
        <v>0</v>
      </c>
      <c r="D148" s="60">
        <f t="shared" si="17"/>
        <v>0</v>
      </c>
      <c r="E148" s="60">
        <v>0</v>
      </c>
      <c r="F148" s="60">
        <v>0</v>
      </c>
      <c r="G148" s="60">
        <f t="shared" si="18"/>
        <v>0</v>
      </c>
      <c r="H148" s="60">
        <v>0</v>
      </c>
      <c r="I148" s="60">
        <v>0</v>
      </c>
      <c r="J148" s="65" t="s">
        <v>64</v>
      </c>
      <c r="K148" s="74"/>
    </row>
    <row r="149" spans="1:11" ht="12.75" customHeight="1" thickBot="1" x14ac:dyDescent="0.25">
      <c r="A149" s="60">
        <f t="shared" ref="A149:C151" si="19">G149+D149</f>
        <v>0</v>
      </c>
      <c r="B149" s="60">
        <f t="shared" si="19"/>
        <v>0</v>
      </c>
      <c r="C149" s="60">
        <f t="shared" si="19"/>
        <v>0</v>
      </c>
      <c r="D149" s="60">
        <f t="shared" si="17"/>
        <v>0</v>
      </c>
      <c r="E149" s="60">
        <v>0</v>
      </c>
      <c r="F149" s="60">
        <v>0</v>
      </c>
      <c r="G149" s="60">
        <f t="shared" si="18"/>
        <v>0</v>
      </c>
      <c r="H149" s="60">
        <v>0</v>
      </c>
      <c r="I149" s="60">
        <v>0</v>
      </c>
      <c r="J149" s="65" t="s">
        <v>61</v>
      </c>
      <c r="K149" s="66"/>
    </row>
    <row r="150" spans="1:11" ht="12.75" customHeight="1" thickBot="1" x14ac:dyDescent="0.25">
      <c r="A150" s="60">
        <f t="shared" si="19"/>
        <v>36</v>
      </c>
      <c r="B150" s="60">
        <f t="shared" si="19"/>
        <v>12</v>
      </c>
      <c r="C150" s="60">
        <f t="shared" si="19"/>
        <v>24</v>
      </c>
      <c r="D150" s="60">
        <f t="shared" si="17"/>
        <v>6</v>
      </c>
      <c r="E150" s="60">
        <v>2</v>
      </c>
      <c r="F150" s="60">
        <v>4</v>
      </c>
      <c r="G150" s="60">
        <f t="shared" si="18"/>
        <v>30</v>
      </c>
      <c r="H150" s="60">
        <v>10</v>
      </c>
      <c r="I150" s="60">
        <v>20</v>
      </c>
      <c r="J150" s="65" t="s">
        <v>62</v>
      </c>
      <c r="K150" s="66" t="s">
        <v>263</v>
      </c>
    </row>
    <row r="151" spans="1:11" ht="12.75" customHeight="1" thickBot="1" x14ac:dyDescent="0.25">
      <c r="A151" s="60">
        <f t="shared" si="19"/>
        <v>3</v>
      </c>
      <c r="B151" s="60">
        <f>H151+E151</f>
        <v>1</v>
      </c>
      <c r="C151" s="60">
        <f t="shared" si="19"/>
        <v>2</v>
      </c>
      <c r="D151" s="60">
        <f t="shared" si="17"/>
        <v>0</v>
      </c>
      <c r="E151" s="60">
        <v>0</v>
      </c>
      <c r="F151" s="60">
        <v>0</v>
      </c>
      <c r="G151" s="60">
        <f t="shared" si="18"/>
        <v>3</v>
      </c>
      <c r="H151" s="60">
        <v>1</v>
      </c>
      <c r="I151" s="60">
        <v>2</v>
      </c>
      <c r="J151" s="65" t="s">
        <v>64</v>
      </c>
      <c r="K151" s="74"/>
    </row>
    <row r="152" spans="1:11" ht="12.75" customHeight="1" thickBot="1" x14ac:dyDescent="0.25">
      <c r="A152" s="60">
        <f t="shared" ref="A152:I154" si="20">A104+A107+A110+A113+A116+A119+A122+A125+A128+A131+A134+A137+A140+A143+A146+A149</f>
        <v>42</v>
      </c>
      <c r="B152" s="60">
        <f t="shared" si="20"/>
        <v>13</v>
      </c>
      <c r="C152" s="60">
        <f t="shared" si="20"/>
        <v>29</v>
      </c>
      <c r="D152" s="60">
        <f t="shared" si="20"/>
        <v>1</v>
      </c>
      <c r="E152" s="60">
        <f t="shared" si="20"/>
        <v>0</v>
      </c>
      <c r="F152" s="60">
        <f t="shared" si="20"/>
        <v>1</v>
      </c>
      <c r="G152" s="60">
        <f t="shared" si="20"/>
        <v>41</v>
      </c>
      <c r="H152" s="60">
        <f t="shared" si="20"/>
        <v>13</v>
      </c>
      <c r="I152" s="60">
        <f>I104+I107+I110+I113+I116+I119+I122+I125+I128+I131+I134+I137+I140+I143+I146+I149</f>
        <v>28</v>
      </c>
      <c r="J152" s="65" t="s">
        <v>231</v>
      </c>
      <c r="K152" s="57"/>
    </row>
    <row r="153" spans="1:11" ht="12.75" customHeight="1" thickBot="1" x14ac:dyDescent="0.25">
      <c r="A153" s="60">
        <f t="shared" si="20"/>
        <v>464</v>
      </c>
      <c r="B153" s="60">
        <f t="shared" si="20"/>
        <v>189</v>
      </c>
      <c r="C153" s="60">
        <f t="shared" si="20"/>
        <v>275</v>
      </c>
      <c r="D153" s="60">
        <f t="shared" si="20"/>
        <v>29</v>
      </c>
      <c r="E153" s="60">
        <f t="shared" si="20"/>
        <v>12</v>
      </c>
      <c r="F153" s="60">
        <f t="shared" si="20"/>
        <v>17</v>
      </c>
      <c r="G153" s="60">
        <f t="shared" si="20"/>
        <v>435</v>
      </c>
      <c r="H153" s="60">
        <f t="shared" si="20"/>
        <v>177</v>
      </c>
      <c r="I153" s="60">
        <f t="shared" si="20"/>
        <v>258</v>
      </c>
      <c r="J153" s="65" t="s">
        <v>62</v>
      </c>
      <c r="K153" s="68" t="s">
        <v>232</v>
      </c>
    </row>
    <row r="154" spans="1:11" ht="12.75" customHeight="1" thickBot="1" x14ac:dyDescent="0.25">
      <c r="A154" s="60">
        <f t="shared" si="20"/>
        <v>152</v>
      </c>
      <c r="B154" s="60">
        <f t="shared" si="20"/>
        <v>39</v>
      </c>
      <c r="C154" s="60">
        <f t="shared" si="20"/>
        <v>113</v>
      </c>
      <c r="D154" s="60">
        <f t="shared" si="20"/>
        <v>26</v>
      </c>
      <c r="E154" s="60">
        <f t="shared" si="20"/>
        <v>0</v>
      </c>
      <c r="F154" s="60">
        <f t="shared" si="20"/>
        <v>26</v>
      </c>
      <c r="G154" s="60">
        <f t="shared" si="20"/>
        <v>126</v>
      </c>
      <c r="H154" s="60">
        <f t="shared" si="20"/>
        <v>39</v>
      </c>
      <c r="I154" s="60">
        <f t="shared" si="20"/>
        <v>87</v>
      </c>
      <c r="J154" s="65" t="s">
        <v>64</v>
      </c>
      <c r="K154" s="59"/>
    </row>
    <row r="155" spans="1:11" ht="12.75" customHeight="1" thickBot="1" x14ac:dyDescent="0.25">
      <c r="A155" s="60">
        <f t="shared" ref="A155:H155" si="21">SUM(A152:A154)</f>
        <v>658</v>
      </c>
      <c r="B155" s="60">
        <f t="shared" si="21"/>
        <v>241</v>
      </c>
      <c r="C155" s="60">
        <f t="shared" si="21"/>
        <v>417</v>
      </c>
      <c r="D155" s="60">
        <f t="shared" si="21"/>
        <v>56</v>
      </c>
      <c r="E155" s="60">
        <f t="shared" si="21"/>
        <v>12</v>
      </c>
      <c r="F155" s="60">
        <f t="shared" si="21"/>
        <v>44</v>
      </c>
      <c r="G155" s="60">
        <f t="shared" si="21"/>
        <v>602</v>
      </c>
      <c r="H155" s="60">
        <f t="shared" si="21"/>
        <v>229</v>
      </c>
      <c r="I155" s="60">
        <f>SUM(I152:I154)</f>
        <v>373</v>
      </c>
      <c r="J155" s="184" t="s">
        <v>233</v>
      </c>
      <c r="K155" s="184"/>
    </row>
    <row r="157" spans="1:11" ht="12.75" customHeight="1" x14ac:dyDescent="0.2">
      <c r="A157" s="177" t="s">
        <v>605</v>
      </c>
      <c r="B157" s="177"/>
      <c r="C157" s="177"/>
      <c r="D157" s="177"/>
      <c r="E157" s="177"/>
      <c r="F157" s="177"/>
      <c r="G157" s="177"/>
      <c r="H157" s="177"/>
      <c r="I157" s="177"/>
      <c r="J157" s="177"/>
      <c r="K157" s="177"/>
    </row>
    <row r="158" spans="1:11" ht="12.75" customHeight="1" thickBot="1" x14ac:dyDescent="0.25">
      <c r="A158" s="178" t="s">
        <v>606</v>
      </c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</row>
    <row r="159" spans="1:11" ht="12.75" customHeight="1" thickBot="1" x14ac:dyDescent="0.25">
      <c r="A159" s="179" t="s">
        <v>5</v>
      </c>
      <c r="B159" s="179"/>
      <c r="C159" s="179"/>
      <c r="D159" s="179" t="s">
        <v>162</v>
      </c>
      <c r="E159" s="179"/>
      <c r="F159" s="179"/>
      <c r="G159" s="179" t="s">
        <v>163</v>
      </c>
      <c r="H159" s="179"/>
      <c r="I159" s="179"/>
      <c r="J159" s="179" t="s">
        <v>72</v>
      </c>
      <c r="K159" s="179"/>
    </row>
    <row r="160" spans="1:11" ht="12.75" customHeight="1" thickBot="1" x14ac:dyDescent="0.25">
      <c r="A160" s="58" t="s">
        <v>216</v>
      </c>
      <c r="B160" s="58" t="s">
        <v>11</v>
      </c>
      <c r="C160" s="58" t="s">
        <v>10</v>
      </c>
      <c r="D160" s="58" t="s">
        <v>216</v>
      </c>
      <c r="E160" s="58" t="s">
        <v>11</v>
      </c>
      <c r="F160" s="58" t="s">
        <v>10</v>
      </c>
      <c r="G160" s="58" t="s">
        <v>216</v>
      </c>
      <c r="H160" s="58" t="s">
        <v>11</v>
      </c>
      <c r="I160" s="58" t="s">
        <v>10</v>
      </c>
      <c r="J160" s="180" t="s">
        <v>79</v>
      </c>
      <c r="K160" s="180"/>
    </row>
    <row r="161" spans="1:11" ht="12.75" customHeight="1" thickBot="1" x14ac:dyDescent="0.25">
      <c r="A161" s="60">
        <f>G161+D161</f>
        <v>6</v>
      </c>
      <c r="B161" s="60">
        <f>H161+E161</f>
        <v>4</v>
      </c>
      <c r="C161" s="60">
        <f>I161+F161</f>
        <v>2</v>
      </c>
      <c r="D161" s="60">
        <f>F161+E161</f>
        <v>0</v>
      </c>
      <c r="E161" s="60">
        <v>0</v>
      </c>
      <c r="F161" s="60">
        <v>0</v>
      </c>
      <c r="G161" s="60">
        <f>I161+H161</f>
        <v>6</v>
      </c>
      <c r="H161" s="60">
        <v>4</v>
      </c>
      <c r="I161" s="60">
        <v>2</v>
      </c>
      <c r="J161" s="65" t="s">
        <v>61</v>
      </c>
      <c r="K161" s="66"/>
    </row>
    <row r="162" spans="1:11" ht="12.75" customHeight="1" thickBot="1" x14ac:dyDescent="0.25">
      <c r="A162" s="60">
        <f t="shared" ref="A162:C196" si="22">G162+D162</f>
        <v>70</v>
      </c>
      <c r="B162" s="60">
        <f t="shared" si="22"/>
        <v>53</v>
      </c>
      <c r="C162" s="60">
        <f t="shared" si="22"/>
        <v>17</v>
      </c>
      <c r="D162" s="60">
        <f t="shared" ref="D162:D196" si="23">F162+E162</f>
        <v>0</v>
      </c>
      <c r="E162" s="60">
        <v>0</v>
      </c>
      <c r="F162" s="60">
        <v>0</v>
      </c>
      <c r="G162" s="60">
        <f t="shared" ref="G162:G196" si="24">I162+H162</f>
        <v>70</v>
      </c>
      <c r="H162" s="60">
        <f>37+16</f>
        <v>53</v>
      </c>
      <c r="I162" s="60">
        <v>17</v>
      </c>
      <c r="J162" s="65" t="s">
        <v>62</v>
      </c>
      <c r="K162" s="66" t="s">
        <v>375</v>
      </c>
    </row>
    <row r="163" spans="1:11" ht="12.75" customHeight="1" thickBot="1" x14ac:dyDescent="0.25">
      <c r="A163" s="60">
        <f t="shared" si="22"/>
        <v>0</v>
      </c>
      <c r="B163" s="60">
        <f t="shared" si="22"/>
        <v>0</v>
      </c>
      <c r="C163" s="60">
        <f t="shared" si="22"/>
        <v>0</v>
      </c>
      <c r="D163" s="60">
        <f t="shared" si="23"/>
        <v>0</v>
      </c>
      <c r="E163" s="60">
        <v>0</v>
      </c>
      <c r="F163" s="60">
        <v>0</v>
      </c>
      <c r="G163" s="60">
        <f t="shared" si="24"/>
        <v>0</v>
      </c>
      <c r="H163" s="60">
        <v>0</v>
      </c>
      <c r="I163" s="60">
        <v>0</v>
      </c>
      <c r="J163" s="65" t="s">
        <v>64</v>
      </c>
      <c r="K163" s="74"/>
    </row>
    <row r="164" spans="1:11" ht="12.75" customHeight="1" thickBot="1" x14ac:dyDescent="0.25">
      <c r="A164" s="60">
        <f t="shared" si="22"/>
        <v>0</v>
      </c>
      <c r="B164" s="60">
        <f t="shared" si="22"/>
        <v>0</v>
      </c>
      <c r="C164" s="60">
        <f t="shared" si="22"/>
        <v>0</v>
      </c>
      <c r="D164" s="60">
        <f t="shared" si="23"/>
        <v>0</v>
      </c>
      <c r="E164" s="60">
        <v>0</v>
      </c>
      <c r="F164" s="60">
        <v>0</v>
      </c>
      <c r="G164" s="60">
        <f t="shared" si="24"/>
        <v>0</v>
      </c>
      <c r="H164" s="60">
        <v>0</v>
      </c>
      <c r="I164" s="60">
        <v>0</v>
      </c>
      <c r="J164" s="65" t="s">
        <v>61</v>
      </c>
      <c r="K164" s="66"/>
    </row>
    <row r="165" spans="1:11" ht="12.75" customHeight="1" thickBot="1" x14ac:dyDescent="0.25">
      <c r="A165" s="60">
        <f t="shared" si="22"/>
        <v>3</v>
      </c>
      <c r="B165" s="60">
        <f t="shared" si="22"/>
        <v>3</v>
      </c>
      <c r="C165" s="60">
        <f t="shared" si="22"/>
        <v>0</v>
      </c>
      <c r="D165" s="60">
        <f t="shared" si="23"/>
        <v>0</v>
      </c>
      <c r="E165" s="60">
        <v>0</v>
      </c>
      <c r="F165" s="60">
        <v>0</v>
      </c>
      <c r="G165" s="60">
        <f t="shared" si="24"/>
        <v>3</v>
      </c>
      <c r="H165" s="60">
        <v>3</v>
      </c>
      <c r="I165" s="60">
        <v>0</v>
      </c>
      <c r="J165" s="65" t="s">
        <v>62</v>
      </c>
      <c r="K165" s="66" t="s">
        <v>376</v>
      </c>
    </row>
    <row r="166" spans="1:11" ht="12.75" customHeight="1" thickBot="1" x14ac:dyDescent="0.25">
      <c r="A166" s="60">
        <f t="shared" si="22"/>
        <v>0</v>
      </c>
      <c r="B166" s="60">
        <f t="shared" si="22"/>
        <v>0</v>
      </c>
      <c r="C166" s="60">
        <f t="shared" si="22"/>
        <v>0</v>
      </c>
      <c r="D166" s="60">
        <f t="shared" si="23"/>
        <v>0</v>
      </c>
      <c r="E166" s="60">
        <v>0</v>
      </c>
      <c r="F166" s="60">
        <v>0</v>
      </c>
      <c r="G166" s="60">
        <f t="shared" si="24"/>
        <v>0</v>
      </c>
      <c r="H166" s="60">
        <v>0</v>
      </c>
      <c r="I166" s="60">
        <v>0</v>
      </c>
      <c r="J166" s="65" t="s">
        <v>64</v>
      </c>
      <c r="K166" s="74"/>
    </row>
    <row r="167" spans="1:11" ht="12.75" customHeight="1" thickBot="1" x14ac:dyDescent="0.25">
      <c r="A167" s="60">
        <f t="shared" si="22"/>
        <v>1</v>
      </c>
      <c r="B167" s="60">
        <f t="shared" si="22"/>
        <v>1</v>
      </c>
      <c r="C167" s="60">
        <f t="shared" si="22"/>
        <v>0</v>
      </c>
      <c r="D167" s="60">
        <f t="shared" si="23"/>
        <v>0</v>
      </c>
      <c r="E167" s="60">
        <v>0</v>
      </c>
      <c r="F167" s="60">
        <v>0</v>
      </c>
      <c r="G167" s="60">
        <f t="shared" si="24"/>
        <v>1</v>
      </c>
      <c r="H167" s="60">
        <v>1</v>
      </c>
      <c r="I167" s="60">
        <v>0</v>
      </c>
      <c r="J167" s="65" t="s">
        <v>61</v>
      </c>
      <c r="K167" s="66"/>
    </row>
    <row r="168" spans="1:11" ht="12.75" customHeight="1" thickBot="1" x14ac:dyDescent="0.25">
      <c r="A168" s="60">
        <f t="shared" si="22"/>
        <v>88</v>
      </c>
      <c r="B168" s="60">
        <f t="shared" si="22"/>
        <v>70</v>
      </c>
      <c r="C168" s="60">
        <f t="shared" si="22"/>
        <v>18</v>
      </c>
      <c r="D168" s="60">
        <f t="shared" si="23"/>
        <v>11</v>
      </c>
      <c r="E168" s="60">
        <v>9</v>
      </c>
      <c r="F168" s="60">
        <v>2</v>
      </c>
      <c r="G168" s="60">
        <f t="shared" si="24"/>
        <v>77</v>
      </c>
      <c r="H168" s="60">
        <v>61</v>
      </c>
      <c r="I168" s="60">
        <v>16</v>
      </c>
      <c r="J168" s="65" t="s">
        <v>62</v>
      </c>
      <c r="K168" s="66" t="s">
        <v>359</v>
      </c>
    </row>
    <row r="169" spans="1:11" ht="12.75" customHeight="1" thickBot="1" x14ac:dyDescent="0.25">
      <c r="A169" s="60">
        <f t="shared" si="22"/>
        <v>0</v>
      </c>
      <c r="B169" s="60">
        <f t="shared" si="22"/>
        <v>0</v>
      </c>
      <c r="C169" s="60">
        <f t="shared" si="22"/>
        <v>0</v>
      </c>
      <c r="D169" s="60">
        <f t="shared" si="23"/>
        <v>0</v>
      </c>
      <c r="E169" s="60">
        <v>0</v>
      </c>
      <c r="F169" s="60">
        <v>0</v>
      </c>
      <c r="G169" s="60">
        <f t="shared" si="24"/>
        <v>0</v>
      </c>
      <c r="H169" s="60">
        <v>0</v>
      </c>
      <c r="I169" s="60">
        <v>0</v>
      </c>
      <c r="J169" s="65" t="s">
        <v>64</v>
      </c>
      <c r="K169" s="74"/>
    </row>
    <row r="170" spans="1:11" ht="12.75" customHeight="1" thickBot="1" x14ac:dyDescent="0.25">
      <c r="A170" s="60">
        <f t="shared" si="22"/>
        <v>1</v>
      </c>
      <c r="B170" s="60">
        <f t="shared" si="22"/>
        <v>0</v>
      </c>
      <c r="C170" s="60">
        <f t="shared" si="22"/>
        <v>1</v>
      </c>
      <c r="D170" s="60">
        <f t="shared" si="23"/>
        <v>0</v>
      </c>
      <c r="E170" s="60">
        <v>0</v>
      </c>
      <c r="F170" s="60">
        <v>0</v>
      </c>
      <c r="G170" s="60">
        <f t="shared" si="24"/>
        <v>1</v>
      </c>
      <c r="H170" s="60">
        <v>0</v>
      </c>
      <c r="I170" s="60">
        <v>1</v>
      </c>
      <c r="J170" s="65" t="s">
        <v>61</v>
      </c>
      <c r="K170" s="66"/>
    </row>
    <row r="171" spans="1:11" ht="12.75" customHeight="1" thickBot="1" x14ac:dyDescent="0.25">
      <c r="A171" s="60">
        <f t="shared" si="22"/>
        <v>28</v>
      </c>
      <c r="B171" s="60">
        <f t="shared" si="22"/>
        <v>0</v>
      </c>
      <c r="C171" s="60">
        <f t="shared" si="22"/>
        <v>28</v>
      </c>
      <c r="D171" s="60">
        <f t="shared" si="23"/>
        <v>0</v>
      </c>
      <c r="E171" s="60">
        <v>0</v>
      </c>
      <c r="F171" s="60">
        <v>0</v>
      </c>
      <c r="G171" s="60">
        <f t="shared" si="24"/>
        <v>28</v>
      </c>
      <c r="H171" s="60">
        <v>0</v>
      </c>
      <c r="I171" s="60">
        <v>28</v>
      </c>
      <c r="J171" s="65" t="s">
        <v>62</v>
      </c>
      <c r="K171" s="66" t="s">
        <v>377</v>
      </c>
    </row>
    <row r="172" spans="1:11" ht="12.75" customHeight="1" thickBot="1" x14ac:dyDescent="0.25">
      <c r="A172" s="60">
        <f t="shared" si="22"/>
        <v>0</v>
      </c>
      <c r="B172" s="60">
        <f t="shared" si="22"/>
        <v>0</v>
      </c>
      <c r="C172" s="60">
        <f t="shared" si="22"/>
        <v>0</v>
      </c>
      <c r="D172" s="60">
        <f t="shared" si="23"/>
        <v>0</v>
      </c>
      <c r="E172" s="60">
        <v>0</v>
      </c>
      <c r="F172" s="60">
        <v>0</v>
      </c>
      <c r="G172" s="60">
        <f t="shared" si="24"/>
        <v>0</v>
      </c>
      <c r="H172" s="60">
        <v>0</v>
      </c>
      <c r="I172" s="60">
        <v>0</v>
      </c>
      <c r="J172" s="65" t="s">
        <v>64</v>
      </c>
      <c r="K172" s="74"/>
    </row>
    <row r="173" spans="1:11" ht="12.75" customHeight="1" thickBot="1" x14ac:dyDescent="0.25">
      <c r="A173" s="60">
        <f t="shared" si="22"/>
        <v>0</v>
      </c>
      <c r="B173" s="60">
        <f t="shared" si="22"/>
        <v>0</v>
      </c>
      <c r="C173" s="60">
        <f t="shared" si="22"/>
        <v>0</v>
      </c>
      <c r="D173" s="60">
        <f t="shared" si="23"/>
        <v>0</v>
      </c>
      <c r="E173" s="60">
        <v>0</v>
      </c>
      <c r="F173" s="60">
        <v>0</v>
      </c>
      <c r="G173" s="60">
        <f t="shared" si="24"/>
        <v>0</v>
      </c>
      <c r="H173" s="60">
        <v>0</v>
      </c>
      <c r="I173" s="60">
        <v>0</v>
      </c>
      <c r="J173" s="65" t="s">
        <v>61</v>
      </c>
      <c r="K173" s="66"/>
    </row>
    <row r="174" spans="1:11" ht="12.75" customHeight="1" thickBot="1" x14ac:dyDescent="0.25">
      <c r="A174" s="60">
        <f t="shared" si="22"/>
        <v>50</v>
      </c>
      <c r="B174" s="60">
        <f t="shared" si="22"/>
        <v>25</v>
      </c>
      <c r="C174" s="60">
        <f t="shared" si="22"/>
        <v>25</v>
      </c>
      <c r="D174" s="60">
        <f t="shared" si="23"/>
        <v>0</v>
      </c>
      <c r="E174" s="60">
        <v>0</v>
      </c>
      <c r="F174" s="60">
        <v>0</v>
      </c>
      <c r="G174" s="60">
        <f t="shared" si="24"/>
        <v>50</v>
      </c>
      <c r="H174" s="60">
        <v>25</v>
      </c>
      <c r="I174" s="60">
        <v>25</v>
      </c>
      <c r="J174" s="65" t="s">
        <v>62</v>
      </c>
      <c r="K174" s="66" t="s">
        <v>378</v>
      </c>
    </row>
    <row r="175" spans="1:11" ht="12.75" customHeight="1" thickBot="1" x14ac:dyDescent="0.25">
      <c r="A175" s="60">
        <f t="shared" si="22"/>
        <v>0</v>
      </c>
      <c r="B175" s="60">
        <f t="shared" si="22"/>
        <v>0</v>
      </c>
      <c r="C175" s="60">
        <f t="shared" si="22"/>
        <v>0</v>
      </c>
      <c r="D175" s="60">
        <f t="shared" si="23"/>
        <v>0</v>
      </c>
      <c r="E175" s="60">
        <v>0</v>
      </c>
      <c r="F175" s="60">
        <v>0</v>
      </c>
      <c r="G175" s="60">
        <f t="shared" si="24"/>
        <v>0</v>
      </c>
      <c r="H175" s="60">
        <v>0</v>
      </c>
      <c r="I175" s="60">
        <v>0</v>
      </c>
      <c r="J175" s="65" t="s">
        <v>64</v>
      </c>
      <c r="K175" s="74"/>
    </row>
    <row r="176" spans="1:11" ht="12.75" customHeight="1" thickBot="1" x14ac:dyDescent="0.25">
      <c r="A176" s="60">
        <f t="shared" si="22"/>
        <v>0</v>
      </c>
      <c r="B176" s="60">
        <f t="shared" si="22"/>
        <v>0</v>
      </c>
      <c r="C176" s="60">
        <f t="shared" si="22"/>
        <v>0</v>
      </c>
      <c r="D176" s="60">
        <f t="shared" si="23"/>
        <v>0</v>
      </c>
      <c r="E176" s="60">
        <v>0</v>
      </c>
      <c r="F176" s="60">
        <v>0</v>
      </c>
      <c r="G176" s="60">
        <f t="shared" si="24"/>
        <v>0</v>
      </c>
      <c r="H176" s="60">
        <v>0</v>
      </c>
      <c r="I176" s="60">
        <v>0</v>
      </c>
      <c r="J176" s="65" t="s">
        <v>61</v>
      </c>
      <c r="K176" s="66"/>
    </row>
    <row r="177" spans="1:11" ht="12.75" customHeight="1" thickBot="1" x14ac:dyDescent="0.25">
      <c r="A177" s="60">
        <f t="shared" si="22"/>
        <v>11</v>
      </c>
      <c r="B177" s="60">
        <f t="shared" si="22"/>
        <v>0</v>
      </c>
      <c r="C177" s="60">
        <f t="shared" si="22"/>
        <v>11</v>
      </c>
      <c r="D177" s="60">
        <f t="shared" si="23"/>
        <v>1</v>
      </c>
      <c r="E177" s="60">
        <v>0</v>
      </c>
      <c r="F177" s="60">
        <v>1</v>
      </c>
      <c r="G177" s="60">
        <f t="shared" si="24"/>
        <v>10</v>
      </c>
      <c r="H177" s="60">
        <v>0</v>
      </c>
      <c r="I177" s="60">
        <v>10</v>
      </c>
      <c r="J177" s="65" t="s">
        <v>62</v>
      </c>
      <c r="K177" s="66" t="s">
        <v>379</v>
      </c>
    </row>
    <row r="178" spans="1:11" ht="12.75" customHeight="1" thickBot="1" x14ac:dyDescent="0.25">
      <c r="A178" s="60">
        <f t="shared" si="22"/>
        <v>0</v>
      </c>
      <c r="B178" s="60">
        <f t="shared" si="22"/>
        <v>0</v>
      </c>
      <c r="C178" s="60">
        <f t="shared" si="22"/>
        <v>0</v>
      </c>
      <c r="D178" s="60">
        <f t="shared" si="23"/>
        <v>0</v>
      </c>
      <c r="E178" s="60">
        <v>0</v>
      </c>
      <c r="F178" s="60">
        <v>0</v>
      </c>
      <c r="G178" s="60">
        <f t="shared" si="24"/>
        <v>0</v>
      </c>
      <c r="H178" s="60">
        <v>0</v>
      </c>
      <c r="I178" s="60">
        <v>0</v>
      </c>
      <c r="J178" s="65" t="s">
        <v>64</v>
      </c>
      <c r="K178" s="74"/>
    </row>
    <row r="179" spans="1:11" ht="12.75" customHeight="1" thickBot="1" x14ac:dyDescent="0.25">
      <c r="A179" s="60">
        <f t="shared" si="22"/>
        <v>0</v>
      </c>
      <c r="B179" s="60">
        <f t="shared" si="22"/>
        <v>0</v>
      </c>
      <c r="C179" s="60">
        <f t="shared" si="22"/>
        <v>0</v>
      </c>
      <c r="D179" s="60">
        <f t="shared" si="23"/>
        <v>0</v>
      </c>
      <c r="E179" s="60">
        <v>0</v>
      </c>
      <c r="F179" s="60">
        <v>0</v>
      </c>
      <c r="G179" s="60">
        <f t="shared" si="24"/>
        <v>0</v>
      </c>
      <c r="H179" s="60">
        <v>0</v>
      </c>
      <c r="I179" s="60">
        <v>0</v>
      </c>
      <c r="J179" s="65" t="s">
        <v>61</v>
      </c>
      <c r="K179" s="66"/>
    </row>
    <row r="180" spans="1:11" ht="12.75" customHeight="1" thickBot="1" x14ac:dyDescent="0.25">
      <c r="A180" s="60">
        <f t="shared" si="22"/>
        <v>11</v>
      </c>
      <c r="B180" s="60">
        <f t="shared" si="22"/>
        <v>0</v>
      </c>
      <c r="C180" s="60">
        <f t="shared" si="22"/>
        <v>11</v>
      </c>
      <c r="D180" s="60">
        <f t="shared" si="23"/>
        <v>3</v>
      </c>
      <c r="E180" s="60">
        <v>0</v>
      </c>
      <c r="F180" s="60">
        <v>3</v>
      </c>
      <c r="G180" s="60">
        <f t="shared" si="24"/>
        <v>8</v>
      </c>
      <c r="H180" s="60">
        <v>0</v>
      </c>
      <c r="I180" s="60">
        <v>8</v>
      </c>
      <c r="J180" s="65" t="s">
        <v>62</v>
      </c>
      <c r="K180" s="66" t="s">
        <v>566</v>
      </c>
    </row>
    <row r="181" spans="1:11" ht="12.75" customHeight="1" thickBot="1" x14ac:dyDescent="0.25">
      <c r="A181" s="60">
        <f t="shared" si="22"/>
        <v>0</v>
      </c>
      <c r="B181" s="60">
        <f t="shared" si="22"/>
        <v>0</v>
      </c>
      <c r="C181" s="60">
        <f t="shared" si="22"/>
        <v>0</v>
      </c>
      <c r="D181" s="60">
        <f t="shared" si="23"/>
        <v>0</v>
      </c>
      <c r="E181" s="60">
        <v>0</v>
      </c>
      <c r="F181" s="60">
        <v>0</v>
      </c>
      <c r="G181" s="60">
        <f t="shared" si="24"/>
        <v>0</v>
      </c>
      <c r="H181" s="60">
        <v>0</v>
      </c>
      <c r="I181" s="60">
        <v>0</v>
      </c>
      <c r="J181" s="65" t="s">
        <v>64</v>
      </c>
      <c r="K181" s="74"/>
    </row>
    <row r="182" spans="1:11" ht="12.75" customHeight="1" thickBot="1" x14ac:dyDescent="0.25">
      <c r="A182" s="60">
        <f t="shared" si="22"/>
        <v>0</v>
      </c>
      <c r="B182" s="60">
        <f t="shared" si="22"/>
        <v>0</v>
      </c>
      <c r="C182" s="60">
        <f t="shared" si="22"/>
        <v>0</v>
      </c>
      <c r="D182" s="60">
        <f t="shared" si="23"/>
        <v>0</v>
      </c>
      <c r="E182" s="60">
        <v>0</v>
      </c>
      <c r="F182" s="60">
        <v>0</v>
      </c>
      <c r="G182" s="60">
        <f t="shared" si="24"/>
        <v>0</v>
      </c>
      <c r="H182" s="60">
        <v>0</v>
      </c>
      <c r="I182" s="60">
        <v>0</v>
      </c>
      <c r="J182" s="65" t="s">
        <v>61</v>
      </c>
      <c r="K182" s="66"/>
    </row>
    <row r="183" spans="1:11" ht="12.75" customHeight="1" thickBot="1" x14ac:dyDescent="0.25">
      <c r="A183" s="60">
        <f t="shared" si="22"/>
        <v>3</v>
      </c>
      <c r="B183" s="60">
        <f t="shared" si="22"/>
        <v>0</v>
      </c>
      <c r="C183" s="60">
        <f t="shared" si="22"/>
        <v>3</v>
      </c>
      <c r="D183" s="60">
        <f t="shared" si="23"/>
        <v>0</v>
      </c>
      <c r="E183" s="60">
        <v>0</v>
      </c>
      <c r="F183" s="60">
        <v>0</v>
      </c>
      <c r="G183" s="60">
        <f t="shared" si="24"/>
        <v>3</v>
      </c>
      <c r="H183" s="60">
        <v>0</v>
      </c>
      <c r="I183" s="60">
        <v>3</v>
      </c>
      <c r="J183" s="65" t="s">
        <v>62</v>
      </c>
      <c r="K183" s="66" t="s">
        <v>538</v>
      </c>
    </row>
    <row r="184" spans="1:11" ht="12.75" customHeight="1" thickBot="1" x14ac:dyDescent="0.25">
      <c r="A184" s="60">
        <f t="shared" si="22"/>
        <v>0</v>
      </c>
      <c r="B184" s="60">
        <f t="shared" si="22"/>
        <v>0</v>
      </c>
      <c r="C184" s="60">
        <f t="shared" si="22"/>
        <v>0</v>
      </c>
      <c r="D184" s="60">
        <f t="shared" si="23"/>
        <v>0</v>
      </c>
      <c r="E184" s="60">
        <v>0</v>
      </c>
      <c r="F184" s="60">
        <v>0</v>
      </c>
      <c r="G184" s="60">
        <f t="shared" si="24"/>
        <v>0</v>
      </c>
      <c r="H184" s="60">
        <v>0</v>
      </c>
      <c r="I184" s="60">
        <v>0</v>
      </c>
      <c r="J184" s="65" t="s">
        <v>64</v>
      </c>
      <c r="K184" s="74"/>
    </row>
    <row r="185" spans="1:11" ht="12.75" customHeight="1" thickBot="1" x14ac:dyDescent="0.25">
      <c r="A185" s="60">
        <f t="shared" si="22"/>
        <v>0</v>
      </c>
      <c r="B185" s="60">
        <f t="shared" si="22"/>
        <v>0</v>
      </c>
      <c r="C185" s="60">
        <f t="shared" si="22"/>
        <v>0</v>
      </c>
      <c r="D185" s="60">
        <f t="shared" si="23"/>
        <v>0</v>
      </c>
      <c r="E185" s="60">
        <v>0</v>
      </c>
      <c r="F185" s="60">
        <v>0</v>
      </c>
      <c r="G185" s="60">
        <f t="shared" si="24"/>
        <v>0</v>
      </c>
      <c r="H185" s="60">
        <v>0</v>
      </c>
      <c r="I185" s="60">
        <v>0</v>
      </c>
      <c r="J185" s="65" t="s">
        <v>61</v>
      </c>
      <c r="K185" s="66"/>
    </row>
    <row r="186" spans="1:11" ht="12.75" customHeight="1" thickBot="1" x14ac:dyDescent="0.25">
      <c r="A186" s="60">
        <f t="shared" si="22"/>
        <v>53</v>
      </c>
      <c r="B186" s="60">
        <f t="shared" si="22"/>
        <v>5</v>
      </c>
      <c r="C186" s="60">
        <f t="shared" si="22"/>
        <v>48</v>
      </c>
      <c r="D186" s="60">
        <f t="shared" si="23"/>
        <v>0</v>
      </c>
      <c r="E186" s="60">
        <v>0</v>
      </c>
      <c r="F186" s="60">
        <v>0</v>
      </c>
      <c r="G186" s="60">
        <f t="shared" si="24"/>
        <v>53</v>
      </c>
      <c r="H186" s="60">
        <v>5</v>
      </c>
      <c r="I186" s="60">
        <v>48</v>
      </c>
      <c r="J186" s="65" t="s">
        <v>62</v>
      </c>
      <c r="K186" s="66" t="s">
        <v>75</v>
      </c>
    </row>
    <row r="187" spans="1:11" ht="12.75" customHeight="1" thickBot="1" x14ac:dyDescent="0.25">
      <c r="A187" s="60">
        <f t="shared" si="22"/>
        <v>183</v>
      </c>
      <c r="B187" s="60">
        <f t="shared" si="22"/>
        <v>47</v>
      </c>
      <c r="C187" s="60">
        <f t="shared" si="22"/>
        <v>136</v>
      </c>
      <c r="D187" s="60">
        <f t="shared" si="23"/>
        <v>0</v>
      </c>
      <c r="E187" s="60">
        <v>0</v>
      </c>
      <c r="F187" s="60">
        <v>0</v>
      </c>
      <c r="G187" s="60">
        <f t="shared" si="24"/>
        <v>183</v>
      </c>
      <c r="H187" s="60">
        <f>27+20</f>
        <v>47</v>
      </c>
      <c r="I187" s="60">
        <v>136</v>
      </c>
      <c r="J187" s="65" t="s">
        <v>64</v>
      </c>
      <c r="K187" s="74"/>
    </row>
    <row r="188" spans="1:11" ht="12.75" customHeight="1" thickBot="1" x14ac:dyDescent="0.25">
      <c r="A188" s="60">
        <f t="shared" si="22"/>
        <v>0</v>
      </c>
      <c r="B188" s="60">
        <f t="shared" si="22"/>
        <v>0</v>
      </c>
      <c r="C188" s="60">
        <f t="shared" si="22"/>
        <v>0</v>
      </c>
      <c r="D188" s="60">
        <f t="shared" si="23"/>
        <v>0</v>
      </c>
      <c r="E188" s="60">
        <v>0</v>
      </c>
      <c r="F188" s="60">
        <v>0</v>
      </c>
      <c r="G188" s="60">
        <f t="shared" si="24"/>
        <v>0</v>
      </c>
      <c r="H188" s="60">
        <v>0</v>
      </c>
      <c r="I188" s="60">
        <v>0</v>
      </c>
      <c r="J188" s="65" t="s">
        <v>61</v>
      </c>
      <c r="K188" s="66"/>
    </row>
    <row r="189" spans="1:11" ht="12.75" customHeight="1" thickBot="1" x14ac:dyDescent="0.25">
      <c r="A189" s="60">
        <f t="shared" si="22"/>
        <v>2</v>
      </c>
      <c r="B189" s="60">
        <f t="shared" si="22"/>
        <v>0</v>
      </c>
      <c r="C189" s="60">
        <f t="shared" si="22"/>
        <v>2</v>
      </c>
      <c r="D189" s="60">
        <f t="shared" si="23"/>
        <v>0</v>
      </c>
      <c r="E189" s="60">
        <v>0</v>
      </c>
      <c r="F189" s="60">
        <v>0</v>
      </c>
      <c r="G189" s="60">
        <f t="shared" si="24"/>
        <v>2</v>
      </c>
      <c r="H189" s="60">
        <v>0</v>
      </c>
      <c r="I189" s="60">
        <v>2</v>
      </c>
      <c r="J189" s="65" t="s">
        <v>62</v>
      </c>
      <c r="K189" s="66" t="s">
        <v>381</v>
      </c>
    </row>
    <row r="190" spans="1:11" ht="12.75" customHeight="1" thickBot="1" x14ac:dyDescent="0.25">
      <c r="A190" s="60">
        <f t="shared" si="22"/>
        <v>0</v>
      </c>
      <c r="B190" s="60">
        <f t="shared" si="22"/>
        <v>0</v>
      </c>
      <c r="C190" s="60">
        <f t="shared" si="22"/>
        <v>0</v>
      </c>
      <c r="D190" s="60">
        <f t="shared" si="23"/>
        <v>0</v>
      </c>
      <c r="E190" s="60">
        <v>0</v>
      </c>
      <c r="F190" s="60">
        <v>0</v>
      </c>
      <c r="G190" s="60">
        <f t="shared" si="24"/>
        <v>0</v>
      </c>
      <c r="H190" s="60">
        <v>0</v>
      </c>
      <c r="I190" s="60">
        <v>0</v>
      </c>
      <c r="J190" s="65" t="s">
        <v>64</v>
      </c>
      <c r="K190" s="74"/>
    </row>
    <row r="191" spans="1:11" ht="12.75" customHeight="1" thickBot="1" x14ac:dyDescent="0.25">
      <c r="A191" s="60">
        <f t="shared" si="22"/>
        <v>0</v>
      </c>
      <c r="B191" s="60">
        <f t="shared" si="22"/>
        <v>0</v>
      </c>
      <c r="C191" s="60">
        <f t="shared" si="22"/>
        <v>0</v>
      </c>
      <c r="D191" s="60">
        <f t="shared" si="23"/>
        <v>0</v>
      </c>
      <c r="E191" s="60">
        <v>0</v>
      </c>
      <c r="F191" s="60">
        <v>0</v>
      </c>
      <c r="G191" s="60">
        <f t="shared" si="24"/>
        <v>0</v>
      </c>
      <c r="H191" s="60">
        <v>0</v>
      </c>
      <c r="I191" s="60">
        <v>0</v>
      </c>
      <c r="J191" s="65" t="s">
        <v>61</v>
      </c>
      <c r="K191" s="66"/>
    </row>
    <row r="192" spans="1:11" ht="12.75" customHeight="1" thickBot="1" x14ac:dyDescent="0.25">
      <c r="A192" s="60">
        <f t="shared" si="22"/>
        <v>15</v>
      </c>
      <c r="B192" s="60">
        <f t="shared" si="22"/>
        <v>15</v>
      </c>
      <c r="C192" s="60">
        <f t="shared" si="22"/>
        <v>0</v>
      </c>
      <c r="D192" s="60">
        <f t="shared" si="23"/>
        <v>0</v>
      </c>
      <c r="E192" s="60">
        <v>0</v>
      </c>
      <c r="F192" s="60">
        <v>0</v>
      </c>
      <c r="G192" s="60">
        <f t="shared" si="24"/>
        <v>15</v>
      </c>
      <c r="H192" s="60">
        <v>15</v>
      </c>
      <c r="I192" s="60">
        <v>0</v>
      </c>
      <c r="J192" s="65" t="s">
        <v>62</v>
      </c>
      <c r="K192" s="66" t="s">
        <v>384</v>
      </c>
    </row>
    <row r="193" spans="1:11" ht="12.75" customHeight="1" thickBot="1" x14ac:dyDescent="0.25">
      <c r="A193" s="60">
        <f t="shared" si="22"/>
        <v>0</v>
      </c>
      <c r="B193" s="60">
        <f t="shared" si="22"/>
        <v>0</v>
      </c>
      <c r="C193" s="60">
        <f t="shared" si="22"/>
        <v>0</v>
      </c>
      <c r="D193" s="60">
        <f t="shared" si="23"/>
        <v>0</v>
      </c>
      <c r="E193" s="60">
        <v>0</v>
      </c>
      <c r="F193" s="60">
        <v>0</v>
      </c>
      <c r="G193" s="60">
        <f t="shared" si="24"/>
        <v>0</v>
      </c>
      <c r="H193" s="60">
        <v>0</v>
      </c>
      <c r="I193" s="60">
        <v>0</v>
      </c>
      <c r="J193" s="65" t="s">
        <v>64</v>
      </c>
      <c r="K193" s="74"/>
    </row>
    <row r="194" spans="1:11" ht="12.75" customHeight="1" thickBot="1" x14ac:dyDescent="0.25">
      <c r="A194" s="60">
        <f t="shared" si="22"/>
        <v>10</v>
      </c>
      <c r="B194" s="60">
        <f t="shared" si="22"/>
        <v>10</v>
      </c>
      <c r="C194" s="60">
        <f t="shared" si="22"/>
        <v>0</v>
      </c>
      <c r="D194" s="60">
        <f t="shared" si="23"/>
        <v>0</v>
      </c>
      <c r="E194" s="60">
        <v>0</v>
      </c>
      <c r="F194" s="60">
        <v>0</v>
      </c>
      <c r="G194" s="60">
        <f t="shared" si="24"/>
        <v>10</v>
      </c>
      <c r="H194" s="60">
        <v>10</v>
      </c>
      <c r="I194" s="60">
        <v>0</v>
      </c>
      <c r="J194" s="65" t="s">
        <v>61</v>
      </c>
      <c r="K194" s="66"/>
    </row>
    <row r="195" spans="1:11" ht="12.75" customHeight="1" thickBot="1" x14ac:dyDescent="0.25">
      <c r="A195" s="60">
        <f t="shared" si="22"/>
        <v>13</v>
      </c>
      <c r="B195" s="60">
        <f t="shared" si="22"/>
        <v>13</v>
      </c>
      <c r="C195" s="60">
        <f t="shared" si="22"/>
        <v>0</v>
      </c>
      <c r="D195" s="60">
        <f t="shared" si="23"/>
        <v>0</v>
      </c>
      <c r="E195" s="60">
        <v>0</v>
      </c>
      <c r="F195" s="60">
        <v>0</v>
      </c>
      <c r="G195" s="60">
        <f t="shared" si="24"/>
        <v>13</v>
      </c>
      <c r="H195" s="60">
        <v>13</v>
      </c>
      <c r="I195" s="60">
        <v>0</v>
      </c>
      <c r="J195" s="65" t="s">
        <v>62</v>
      </c>
      <c r="K195" s="66" t="s">
        <v>386</v>
      </c>
    </row>
    <row r="196" spans="1:11" ht="12.75" customHeight="1" thickBot="1" x14ac:dyDescent="0.25">
      <c r="A196" s="60">
        <f t="shared" si="22"/>
        <v>0</v>
      </c>
      <c r="B196" s="60">
        <f t="shared" si="22"/>
        <v>0</v>
      </c>
      <c r="C196" s="60">
        <f t="shared" si="22"/>
        <v>0</v>
      </c>
      <c r="D196" s="60">
        <f t="shared" si="23"/>
        <v>0</v>
      </c>
      <c r="E196" s="60">
        <v>0</v>
      </c>
      <c r="F196" s="60">
        <v>0</v>
      </c>
      <c r="G196" s="60">
        <f t="shared" si="24"/>
        <v>0</v>
      </c>
      <c r="H196" s="60">
        <v>0</v>
      </c>
      <c r="I196" s="60">
        <v>0</v>
      </c>
      <c r="J196" s="65" t="s">
        <v>64</v>
      </c>
      <c r="K196" s="74"/>
    </row>
    <row r="197" spans="1:11" ht="12.75" customHeight="1" thickBot="1" x14ac:dyDescent="0.25">
      <c r="A197" s="60">
        <f t="shared" ref="A197:H199" si="25">A161+A164+A167+A170+A173+A176+A179+A182+A185+A188+A191+A194</f>
        <v>18</v>
      </c>
      <c r="B197" s="60">
        <f t="shared" si="25"/>
        <v>15</v>
      </c>
      <c r="C197" s="60">
        <f t="shared" si="25"/>
        <v>3</v>
      </c>
      <c r="D197" s="60">
        <f t="shared" si="25"/>
        <v>0</v>
      </c>
      <c r="E197" s="60">
        <f t="shared" si="25"/>
        <v>0</v>
      </c>
      <c r="F197" s="60">
        <f t="shared" si="25"/>
        <v>0</v>
      </c>
      <c r="G197" s="60">
        <f t="shared" si="25"/>
        <v>18</v>
      </c>
      <c r="H197" s="60">
        <f t="shared" si="25"/>
        <v>15</v>
      </c>
      <c r="I197" s="60">
        <f>I161+I164+I167+I170+I173+I176+I179+I182+I185+I188+I191+I194</f>
        <v>3</v>
      </c>
      <c r="J197" s="65" t="s">
        <v>231</v>
      </c>
      <c r="K197" s="57"/>
    </row>
    <row r="198" spans="1:11" ht="12.75" customHeight="1" thickBot="1" x14ac:dyDescent="0.25">
      <c r="A198" s="60">
        <f t="shared" si="25"/>
        <v>347</v>
      </c>
      <c r="B198" s="60">
        <f t="shared" si="25"/>
        <v>184</v>
      </c>
      <c r="C198" s="60">
        <f t="shared" si="25"/>
        <v>163</v>
      </c>
      <c r="D198" s="60">
        <f t="shared" si="25"/>
        <v>15</v>
      </c>
      <c r="E198" s="60">
        <f t="shared" si="25"/>
        <v>9</v>
      </c>
      <c r="F198" s="60">
        <f t="shared" si="25"/>
        <v>6</v>
      </c>
      <c r="G198" s="60">
        <f t="shared" si="25"/>
        <v>332</v>
      </c>
      <c r="H198" s="60">
        <f t="shared" si="25"/>
        <v>175</v>
      </c>
      <c r="I198" s="60">
        <f>I162+I165+I168+I171+I174+I177+I180+I183+I186+I189+I192+I195</f>
        <v>157</v>
      </c>
      <c r="J198" s="65" t="s">
        <v>62</v>
      </c>
      <c r="K198" s="68" t="s">
        <v>232</v>
      </c>
    </row>
    <row r="199" spans="1:11" ht="12.75" customHeight="1" thickBot="1" x14ac:dyDescent="0.25">
      <c r="A199" s="60">
        <f t="shared" si="25"/>
        <v>183</v>
      </c>
      <c r="B199" s="60">
        <f t="shared" si="25"/>
        <v>47</v>
      </c>
      <c r="C199" s="60">
        <f t="shared" si="25"/>
        <v>136</v>
      </c>
      <c r="D199" s="60">
        <f t="shared" si="25"/>
        <v>0</v>
      </c>
      <c r="E199" s="60">
        <f t="shared" si="25"/>
        <v>0</v>
      </c>
      <c r="F199" s="60">
        <f t="shared" si="25"/>
        <v>0</v>
      </c>
      <c r="G199" s="60">
        <f t="shared" si="25"/>
        <v>183</v>
      </c>
      <c r="H199" s="60">
        <f t="shared" si="25"/>
        <v>47</v>
      </c>
      <c r="I199" s="60">
        <f>I163+I166+I169+I172+I175+I178+I181+I184+I187+I190+I193+I196</f>
        <v>136</v>
      </c>
      <c r="J199" s="65" t="s">
        <v>64</v>
      </c>
      <c r="K199" s="59"/>
    </row>
    <row r="200" spans="1:11" ht="12.75" customHeight="1" thickBot="1" x14ac:dyDescent="0.25">
      <c r="A200" s="60">
        <f t="shared" ref="A200:H200" si="26">SUM(A197:A199)</f>
        <v>548</v>
      </c>
      <c r="B200" s="60">
        <f t="shared" si="26"/>
        <v>246</v>
      </c>
      <c r="C200" s="60">
        <f t="shared" si="26"/>
        <v>302</v>
      </c>
      <c r="D200" s="60">
        <f t="shared" si="26"/>
        <v>15</v>
      </c>
      <c r="E200" s="60">
        <f t="shared" si="26"/>
        <v>9</v>
      </c>
      <c r="F200" s="60">
        <f t="shared" si="26"/>
        <v>6</v>
      </c>
      <c r="G200" s="60">
        <f t="shared" si="26"/>
        <v>533</v>
      </c>
      <c r="H200" s="60">
        <f t="shared" si="26"/>
        <v>237</v>
      </c>
      <c r="I200" s="60">
        <f>SUM(I197:I199)</f>
        <v>296</v>
      </c>
      <c r="J200" s="184" t="s">
        <v>233</v>
      </c>
      <c r="K200" s="184"/>
    </row>
    <row r="202" spans="1:11" ht="12.75" customHeight="1" x14ac:dyDescent="0.2">
      <c r="A202" s="177" t="s">
        <v>605</v>
      </c>
      <c r="B202" s="177"/>
      <c r="C202" s="177"/>
      <c r="D202" s="177"/>
      <c r="E202" s="177"/>
      <c r="F202" s="177"/>
      <c r="G202" s="177"/>
      <c r="H202" s="177"/>
      <c r="I202" s="177"/>
      <c r="J202" s="177"/>
      <c r="K202" s="177"/>
    </row>
    <row r="203" spans="1:11" ht="12.75" customHeight="1" thickBot="1" x14ac:dyDescent="0.25">
      <c r="A203" s="178" t="s">
        <v>606</v>
      </c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</row>
    <row r="204" spans="1:11" ht="12.75" customHeight="1" thickBot="1" x14ac:dyDescent="0.25">
      <c r="A204" s="179" t="s">
        <v>5</v>
      </c>
      <c r="B204" s="179"/>
      <c r="C204" s="179"/>
      <c r="D204" s="179" t="s">
        <v>162</v>
      </c>
      <c r="E204" s="179"/>
      <c r="F204" s="179"/>
      <c r="G204" s="179" t="s">
        <v>163</v>
      </c>
      <c r="H204" s="179"/>
      <c r="I204" s="179"/>
      <c r="J204" s="179" t="s">
        <v>72</v>
      </c>
      <c r="K204" s="179"/>
    </row>
    <row r="205" spans="1:11" ht="12.75" customHeight="1" thickBot="1" x14ac:dyDescent="0.25">
      <c r="A205" s="58" t="s">
        <v>216</v>
      </c>
      <c r="B205" s="58" t="s">
        <v>11</v>
      </c>
      <c r="C205" s="58" t="s">
        <v>10</v>
      </c>
      <c r="D205" s="58" t="s">
        <v>216</v>
      </c>
      <c r="E205" s="58" t="s">
        <v>11</v>
      </c>
      <c r="F205" s="58" t="s">
        <v>10</v>
      </c>
      <c r="G205" s="58" t="s">
        <v>216</v>
      </c>
      <c r="H205" s="58" t="s">
        <v>11</v>
      </c>
      <c r="I205" s="58" t="s">
        <v>10</v>
      </c>
      <c r="J205" s="180" t="s">
        <v>98</v>
      </c>
      <c r="K205" s="180"/>
    </row>
    <row r="206" spans="1:11" ht="12.75" customHeight="1" thickBot="1" x14ac:dyDescent="0.25">
      <c r="A206" s="60">
        <f>SUM(B206:C206)</f>
        <v>4</v>
      </c>
      <c r="B206" s="60">
        <f>H206+E206</f>
        <v>0</v>
      </c>
      <c r="C206" s="60">
        <f>I206+F206</f>
        <v>4</v>
      </c>
      <c r="D206" s="60">
        <f>SUM(E206:F206)</f>
        <v>3</v>
      </c>
      <c r="E206" s="60">
        <v>0</v>
      </c>
      <c r="F206" s="60">
        <v>3</v>
      </c>
      <c r="G206" s="60">
        <f>SUM(H206:I206)</f>
        <v>1</v>
      </c>
      <c r="H206" s="60">
        <v>0</v>
      </c>
      <c r="I206" s="60">
        <v>1</v>
      </c>
      <c r="J206" s="65" t="s">
        <v>61</v>
      </c>
      <c r="K206" s="66"/>
    </row>
    <row r="207" spans="1:11" ht="12.75" customHeight="1" thickBot="1" x14ac:dyDescent="0.25">
      <c r="A207" s="60">
        <f t="shared" ref="A207:A220" si="27">SUM(B207:C207)</f>
        <v>38</v>
      </c>
      <c r="B207" s="60">
        <f t="shared" ref="B207:C220" si="28">H207+E207</f>
        <v>0</v>
      </c>
      <c r="C207" s="60">
        <f t="shared" si="28"/>
        <v>38</v>
      </c>
      <c r="D207" s="60">
        <f t="shared" ref="D207:D220" si="29">SUM(E207:F207)</f>
        <v>21</v>
      </c>
      <c r="E207" s="60">
        <v>0</v>
      </c>
      <c r="F207" s="60">
        <v>21</v>
      </c>
      <c r="G207" s="60">
        <f t="shared" ref="G207:G220" si="30">SUM(H207:I207)</f>
        <v>17</v>
      </c>
      <c r="H207" s="60">
        <v>0</v>
      </c>
      <c r="I207" s="60">
        <v>17</v>
      </c>
      <c r="J207" s="65" t="s">
        <v>62</v>
      </c>
      <c r="K207" s="66" t="s">
        <v>388</v>
      </c>
    </row>
    <row r="208" spans="1:11" ht="12.75" customHeight="1" thickBot="1" x14ac:dyDescent="0.25">
      <c r="A208" s="60">
        <f t="shared" si="27"/>
        <v>0</v>
      </c>
      <c r="B208" s="60">
        <f t="shared" si="28"/>
        <v>0</v>
      </c>
      <c r="C208" s="60">
        <f t="shared" si="28"/>
        <v>0</v>
      </c>
      <c r="D208" s="60">
        <f t="shared" si="29"/>
        <v>0</v>
      </c>
      <c r="E208" s="60">
        <v>0</v>
      </c>
      <c r="F208" s="60">
        <v>0</v>
      </c>
      <c r="G208" s="60">
        <f t="shared" si="30"/>
        <v>0</v>
      </c>
      <c r="H208" s="60">
        <v>0</v>
      </c>
      <c r="I208" s="60">
        <v>0</v>
      </c>
      <c r="J208" s="65" t="s">
        <v>64</v>
      </c>
      <c r="K208" s="74"/>
    </row>
    <row r="209" spans="1:11" ht="12.75" customHeight="1" thickBot="1" x14ac:dyDescent="0.25">
      <c r="A209" s="60">
        <f t="shared" si="27"/>
        <v>0</v>
      </c>
      <c r="B209" s="60">
        <f t="shared" si="28"/>
        <v>0</v>
      </c>
      <c r="C209" s="60">
        <f t="shared" si="28"/>
        <v>0</v>
      </c>
      <c r="D209" s="60">
        <f t="shared" si="29"/>
        <v>0</v>
      </c>
      <c r="E209" s="60">
        <v>0</v>
      </c>
      <c r="F209" s="60">
        <v>0</v>
      </c>
      <c r="G209" s="60">
        <f t="shared" si="30"/>
        <v>0</v>
      </c>
      <c r="H209" s="60">
        <v>0</v>
      </c>
      <c r="I209" s="60">
        <v>0</v>
      </c>
      <c r="J209" s="65" t="s">
        <v>61</v>
      </c>
      <c r="K209" s="66"/>
    </row>
    <row r="210" spans="1:11" ht="12.75" customHeight="1" thickBot="1" x14ac:dyDescent="0.25">
      <c r="A210" s="60">
        <f t="shared" si="27"/>
        <v>30</v>
      </c>
      <c r="B210" s="60">
        <f t="shared" si="28"/>
        <v>0</v>
      </c>
      <c r="C210" s="60">
        <f t="shared" si="28"/>
        <v>30</v>
      </c>
      <c r="D210" s="60">
        <f t="shared" si="29"/>
        <v>3</v>
      </c>
      <c r="E210" s="60">
        <v>0</v>
      </c>
      <c r="F210" s="60">
        <v>3</v>
      </c>
      <c r="G210" s="60">
        <f t="shared" si="30"/>
        <v>27</v>
      </c>
      <c r="H210" s="60">
        <v>0</v>
      </c>
      <c r="I210" s="60">
        <v>27</v>
      </c>
      <c r="J210" s="65" t="s">
        <v>62</v>
      </c>
      <c r="K210" s="66" t="s">
        <v>390</v>
      </c>
    </row>
    <row r="211" spans="1:11" ht="12.75" customHeight="1" thickBot="1" x14ac:dyDescent="0.25">
      <c r="A211" s="60">
        <f t="shared" si="27"/>
        <v>0</v>
      </c>
      <c r="B211" s="60">
        <f t="shared" si="28"/>
        <v>0</v>
      </c>
      <c r="C211" s="60">
        <f t="shared" si="28"/>
        <v>0</v>
      </c>
      <c r="D211" s="60">
        <f t="shared" si="29"/>
        <v>0</v>
      </c>
      <c r="E211" s="60">
        <v>0</v>
      </c>
      <c r="F211" s="60">
        <v>0</v>
      </c>
      <c r="G211" s="60">
        <f t="shared" si="30"/>
        <v>0</v>
      </c>
      <c r="H211" s="60">
        <v>0</v>
      </c>
      <c r="I211" s="60">
        <v>0</v>
      </c>
      <c r="J211" s="65" t="s">
        <v>64</v>
      </c>
      <c r="K211" s="74"/>
    </row>
    <row r="212" spans="1:11" ht="12.75" customHeight="1" thickBot="1" x14ac:dyDescent="0.25">
      <c r="A212" s="60">
        <f t="shared" si="27"/>
        <v>2</v>
      </c>
      <c r="B212" s="60">
        <f t="shared" si="28"/>
        <v>0</v>
      </c>
      <c r="C212" s="60">
        <f t="shared" si="28"/>
        <v>2</v>
      </c>
      <c r="D212" s="60">
        <f t="shared" si="29"/>
        <v>1</v>
      </c>
      <c r="E212" s="60">
        <v>0</v>
      </c>
      <c r="F212" s="60">
        <v>1</v>
      </c>
      <c r="G212" s="60">
        <f t="shared" si="30"/>
        <v>1</v>
      </c>
      <c r="H212" s="60">
        <v>0</v>
      </c>
      <c r="I212" s="60">
        <v>1</v>
      </c>
      <c r="J212" s="65" t="s">
        <v>61</v>
      </c>
      <c r="K212" s="66"/>
    </row>
    <row r="213" spans="1:11" ht="12.75" customHeight="1" thickBot="1" x14ac:dyDescent="0.25">
      <c r="A213" s="60">
        <f t="shared" si="27"/>
        <v>20</v>
      </c>
      <c r="B213" s="60">
        <f t="shared" si="28"/>
        <v>0</v>
      </c>
      <c r="C213" s="60">
        <f t="shared" si="28"/>
        <v>20</v>
      </c>
      <c r="D213" s="60">
        <f t="shared" si="29"/>
        <v>19</v>
      </c>
      <c r="E213" s="60">
        <v>0</v>
      </c>
      <c r="F213" s="60">
        <v>19</v>
      </c>
      <c r="G213" s="60">
        <f t="shared" si="30"/>
        <v>1</v>
      </c>
      <c r="H213" s="60">
        <v>0</v>
      </c>
      <c r="I213" s="60">
        <v>1</v>
      </c>
      <c r="J213" s="65" t="s">
        <v>62</v>
      </c>
      <c r="K213" s="66" t="s">
        <v>391</v>
      </c>
    </row>
    <row r="214" spans="1:11" ht="12.75" customHeight="1" thickBot="1" x14ac:dyDescent="0.25">
      <c r="A214" s="60">
        <f t="shared" si="27"/>
        <v>0</v>
      </c>
      <c r="B214" s="60">
        <f t="shared" si="28"/>
        <v>0</v>
      </c>
      <c r="C214" s="60">
        <f t="shared" si="28"/>
        <v>0</v>
      </c>
      <c r="D214" s="60">
        <f t="shared" si="29"/>
        <v>0</v>
      </c>
      <c r="E214" s="60">
        <v>0</v>
      </c>
      <c r="F214" s="60">
        <v>0</v>
      </c>
      <c r="G214" s="60">
        <f t="shared" si="30"/>
        <v>0</v>
      </c>
      <c r="H214" s="60">
        <v>0</v>
      </c>
      <c r="I214" s="60">
        <v>0</v>
      </c>
      <c r="J214" s="65" t="s">
        <v>64</v>
      </c>
      <c r="K214" s="74"/>
    </row>
    <row r="215" spans="1:11" ht="12.75" customHeight="1" thickBot="1" x14ac:dyDescent="0.25">
      <c r="A215" s="60">
        <f t="shared" si="27"/>
        <v>1</v>
      </c>
      <c r="B215" s="60">
        <f t="shared" si="28"/>
        <v>0</v>
      </c>
      <c r="C215" s="60">
        <f t="shared" si="28"/>
        <v>1</v>
      </c>
      <c r="D215" s="60">
        <f t="shared" si="29"/>
        <v>1</v>
      </c>
      <c r="E215" s="60">
        <v>0</v>
      </c>
      <c r="F215" s="60">
        <v>1</v>
      </c>
      <c r="G215" s="60">
        <f t="shared" si="30"/>
        <v>0</v>
      </c>
      <c r="H215" s="60">
        <v>0</v>
      </c>
      <c r="I215" s="60">
        <v>0</v>
      </c>
      <c r="J215" s="65" t="s">
        <v>61</v>
      </c>
      <c r="K215" s="66"/>
    </row>
    <row r="216" spans="1:11" ht="12.75" customHeight="1" thickBot="1" x14ac:dyDescent="0.25">
      <c r="A216" s="60">
        <f t="shared" si="27"/>
        <v>24</v>
      </c>
      <c r="B216" s="60">
        <f t="shared" si="28"/>
        <v>0</v>
      </c>
      <c r="C216" s="60">
        <f t="shared" si="28"/>
        <v>24</v>
      </c>
      <c r="D216" s="60">
        <f t="shared" si="29"/>
        <v>14</v>
      </c>
      <c r="E216" s="60">
        <v>0</v>
      </c>
      <c r="F216" s="60">
        <v>14</v>
      </c>
      <c r="G216" s="60">
        <f t="shared" si="30"/>
        <v>10</v>
      </c>
      <c r="H216" s="60">
        <v>0</v>
      </c>
      <c r="I216" s="60">
        <v>10</v>
      </c>
      <c r="J216" s="65" t="s">
        <v>62</v>
      </c>
      <c r="K216" s="66" t="s">
        <v>359</v>
      </c>
    </row>
    <row r="217" spans="1:11" ht="12.75" customHeight="1" thickBot="1" x14ac:dyDescent="0.25">
      <c r="A217" s="60">
        <f t="shared" si="27"/>
        <v>0</v>
      </c>
      <c r="B217" s="60">
        <f t="shared" si="28"/>
        <v>0</v>
      </c>
      <c r="C217" s="60">
        <f t="shared" si="28"/>
        <v>0</v>
      </c>
      <c r="D217" s="60">
        <f t="shared" si="29"/>
        <v>0</v>
      </c>
      <c r="E217" s="60">
        <v>0</v>
      </c>
      <c r="F217" s="60">
        <v>0</v>
      </c>
      <c r="G217" s="60">
        <f t="shared" si="30"/>
        <v>0</v>
      </c>
      <c r="H217" s="60">
        <v>0</v>
      </c>
      <c r="I217" s="60">
        <v>0</v>
      </c>
      <c r="J217" s="65" t="s">
        <v>64</v>
      </c>
      <c r="K217" s="74"/>
    </row>
    <row r="218" spans="1:11" ht="12.75" customHeight="1" thickBot="1" x14ac:dyDescent="0.25">
      <c r="A218" s="60">
        <f t="shared" si="27"/>
        <v>0</v>
      </c>
      <c r="B218" s="60">
        <f t="shared" si="28"/>
        <v>0</v>
      </c>
      <c r="C218" s="60">
        <f t="shared" si="28"/>
        <v>0</v>
      </c>
      <c r="D218" s="60">
        <f t="shared" si="29"/>
        <v>0</v>
      </c>
      <c r="E218" s="60">
        <v>0</v>
      </c>
      <c r="F218" s="60">
        <v>0</v>
      </c>
      <c r="G218" s="60">
        <f t="shared" si="30"/>
        <v>0</v>
      </c>
      <c r="H218" s="60">
        <v>0</v>
      </c>
      <c r="I218" s="60">
        <v>0</v>
      </c>
      <c r="J218" s="65" t="s">
        <v>61</v>
      </c>
      <c r="K218" s="66"/>
    </row>
    <row r="219" spans="1:11" ht="12.75" customHeight="1" thickBot="1" x14ac:dyDescent="0.25">
      <c r="A219" s="60">
        <f t="shared" si="27"/>
        <v>19</v>
      </c>
      <c r="B219" s="60">
        <f t="shared" si="28"/>
        <v>0</v>
      </c>
      <c r="C219" s="60">
        <f t="shared" si="28"/>
        <v>19</v>
      </c>
      <c r="D219" s="60">
        <f t="shared" si="29"/>
        <v>5</v>
      </c>
      <c r="E219" s="60">
        <v>0</v>
      </c>
      <c r="F219" s="60">
        <v>5</v>
      </c>
      <c r="G219" s="60">
        <f t="shared" si="30"/>
        <v>14</v>
      </c>
      <c r="H219" s="60">
        <v>0</v>
      </c>
      <c r="I219" s="60">
        <v>14</v>
      </c>
      <c r="J219" s="65" t="s">
        <v>62</v>
      </c>
      <c r="K219" s="66" t="s">
        <v>539</v>
      </c>
    </row>
    <row r="220" spans="1:11" ht="12.75" customHeight="1" thickBot="1" x14ac:dyDescent="0.25">
      <c r="A220" s="60">
        <f t="shared" si="27"/>
        <v>0</v>
      </c>
      <c r="B220" s="60">
        <f t="shared" si="28"/>
        <v>0</v>
      </c>
      <c r="C220" s="60">
        <f t="shared" si="28"/>
        <v>0</v>
      </c>
      <c r="D220" s="60">
        <f t="shared" si="29"/>
        <v>0</v>
      </c>
      <c r="E220" s="60">
        <v>0</v>
      </c>
      <c r="F220" s="60">
        <v>0</v>
      </c>
      <c r="G220" s="60">
        <f t="shared" si="30"/>
        <v>0</v>
      </c>
      <c r="H220" s="60">
        <v>0</v>
      </c>
      <c r="I220" s="60">
        <v>0</v>
      </c>
      <c r="J220" s="65" t="s">
        <v>64</v>
      </c>
      <c r="K220" s="74"/>
    </row>
    <row r="221" spans="1:11" ht="12.75" customHeight="1" thickBot="1" x14ac:dyDescent="0.25">
      <c r="A221" s="60">
        <f t="shared" ref="A221:I223" si="31">A206+A209+A212+A215+A218</f>
        <v>7</v>
      </c>
      <c r="B221" s="60">
        <f t="shared" si="31"/>
        <v>0</v>
      </c>
      <c r="C221" s="60">
        <f t="shared" si="31"/>
        <v>7</v>
      </c>
      <c r="D221" s="60">
        <f t="shared" si="31"/>
        <v>5</v>
      </c>
      <c r="E221" s="60">
        <f t="shared" si="31"/>
        <v>0</v>
      </c>
      <c r="F221" s="60">
        <f t="shared" si="31"/>
        <v>5</v>
      </c>
      <c r="G221" s="60">
        <f t="shared" si="31"/>
        <v>2</v>
      </c>
      <c r="H221" s="60">
        <f t="shared" si="31"/>
        <v>0</v>
      </c>
      <c r="I221" s="60">
        <f>I206+I209+I212+I215+I218</f>
        <v>2</v>
      </c>
      <c r="J221" s="65" t="s">
        <v>231</v>
      </c>
      <c r="K221" s="57"/>
    </row>
    <row r="222" spans="1:11" ht="12.75" customHeight="1" thickBot="1" x14ac:dyDescent="0.25">
      <c r="A222" s="60">
        <f t="shared" si="31"/>
        <v>131</v>
      </c>
      <c r="B222" s="60">
        <f t="shared" si="31"/>
        <v>0</v>
      </c>
      <c r="C222" s="60">
        <f t="shared" si="31"/>
        <v>131</v>
      </c>
      <c r="D222" s="60">
        <f t="shared" si="31"/>
        <v>62</v>
      </c>
      <c r="E222" s="60">
        <f t="shared" si="31"/>
        <v>0</v>
      </c>
      <c r="F222" s="60">
        <f t="shared" si="31"/>
        <v>62</v>
      </c>
      <c r="G222" s="60">
        <f t="shared" si="31"/>
        <v>69</v>
      </c>
      <c r="H222" s="60">
        <f t="shared" si="31"/>
        <v>0</v>
      </c>
      <c r="I222" s="60">
        <f t="shared" si="31"/>
        <v>69</v>
      </c>
      <c r="J222" s="65" t="s">
        <v>62</v>
      </c>
      <c r="K222" s="68" t="s">
        <v>232</v>
      </c>
    </row>
    <row r="223" spans="1:11" ht="12.75" customHeight="1" thickBot="1" x14ac:dyDescent="0.25">
      <c r="A223" s="60">
        <f t="shared" si="31"/>
        <v>0</v>
      </c>
      <c r="B223" s="60">
        <f t="shared" si="31"/>
        <v>0</v>
      </c>
      <c r="C223" s="60">
        <f t="shared" si="31"/>
        <v>0</v>
      </c>
      <c r="D223" s="60">
        <f t="shared" si="31"/>
        <v>0</v>
      </c>
      <c r="E223" s="60">
        <f t="shared" si="31"/>
        <v>0</v>
      </c>
      <c r="F223" s="60">
        <f t="shared" si="31"/>
        <v>0</v>
      </c>
      <c r="G223" s="60">
        <f t="shared" si="31"/>
        <v>0</v>
      </c>
      <c r="H223" s="60">
        <f t="shared" si="31"/>
        <v>0</v>
      </c>
      <c r="I223" s="60">
        <f t="shared" si="31"/>
        <v>0</v>
      </c>
      <c r="J223" s="65" t="s">
        <v>64</v>
      </c>
      <c r="K223" s="59"/>
    </row>
    <row r="224" spans="1:11" ht="12.75" customHeight="1" thickBot="1" x14ac:dyDescent="0.25">
      <c r="A224" s="60">
        <f t="shared" ref="A224:H224" si="32">SUM(A221:A223)</f>
        <v>138</v>
      </c>
      <c r="B224" s="60">
        <f t="shared" si="32"/>
        <v>0</v>
      </c>
      <c r="C224" s="60">
        <f t="shared" si="32"/>
        <v>138</v>
      </c>
      <c r="D224" s="60">
        <f t="shared" si="32"/>
        <v>67</v>
      </c>
      <c r="E224" s="60">
        <f t="shared" si="32"/>
        <v>0</v>
      </c>
      <c r="F224" s="60">
        <f t="shared" si="32"/>
        <v>67</v>
      </c>
      <c r="G224" s="60">
        <f t="shared" si="32"/>
        <v>71</v>
      </c>
      <c r="H224" s="60">
        <f t="shared" si="32"/>
        <v>0</v>
      </c>
      <c r="I224" s="60">
        <f>SUM(I221:I223)</f>
        <v>71</v>
      </c>
      <c r="J224" s="184" t="s">
        <v>233</v>
      </c>
      <c r="K224" s="184"/>
    </row>
    <row r="226" spans="1:11" ht="12.75" customHeight="1" x14ac:dyDescent="0.2">
      <c r="A226" s="177" t="s">
        <v>605</v>
      </c>
      <c r="B226" s="177"/>
      <c r="C226" s="177"/>
      <c r="D226" s="177"/>
      <c r="E226" s="177"/>
      <c r="F226" s="177"/>
      <c r="G226" s="177"/>
      <c r="H226" s="177"/>
      <c r="I226" s="177"/>
      <c r="J226" s="177"/>
      <c r="K226" s="177"/>
    </row>
    <row r="227" spans="1:11" ht="12.75" customHeight="1" thickBot="1" x14ac:dyDescent="0.25">
      <c r="A227" s="178" t="s">
        <v>606</v>
      </c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</row>
    <row r="228" spans="1:11" ht="12.75" customHeight="1" thickBot="1" x14ac:dyDescent="0.25">
      <c r="A228" s="179" t="s">
        <v>5</v>
      </c>
      <c r="B228" s="179"/>
      <c r="C228" s="179"/>
      <c r="D228" s="179" t="s">
        <v>162</v>
      </c>
      <c r="E228" s="179"/>
      <c r="F228" s="179"/>
      <c r="G228" s="179" t="s">
        <v>163</v>
      </c>
      <c r="H228" s="179"/>
      <c r="I228" s="179"/>
      <c r="J228" s="179" t="s">
        <v>72</v>
      </c>
      <c r="K228" s="179"/>
    </row>
    <row r="229" spans="1:11" ht="12.75" customHeight="1" thickBot="1" x14ac:dyDescent="0.25">
      <c r="A229" s="58" t="s">
        <v>216</v>
      </c>
      <c r="B229" s="58" t="s">
        <v>11</v>
      </c>
      <c r="C229" s="58" t="s">
        <v>10</v>
      </c>
      <c r="D229" s="58" t="s">
        <v>216</v>
      </c>
      <c r="E229" s="58" t="s">
        <v>11</v>
      </c>
      <c r="F229" s="58" t="s">
        <v>10</v>
      </c>
      <c r="G229" s="58" t="s">
        <v>216</v>
      </c>
      <c r="H229" s="58" t="s">
        <v>11</v>
      </c>
      <c r="I229" s="58" t="s">
        <v>10</v>
      </c>
      <c r="J229" s="180" t="s">
        <v>80</v>
      </c>
      <c r="K229" s="180"/>
    </row>
    <row r="230" spans="1:11" ht="12.75" customHeight="1" thickBot="1" x14ac:dyDescent="0.25">
      <c r="A230" s="60">
        <f>G230+D230</f>
        <v>0</v>
      </c>
      <c r="B230" s="60">
        <f>H230+E230</f>
        <v>0</v>
      </c>
      <c r="C230" s="60">
        <f>I230+F230</f>
        <v>0</v>
      </c>
      <c r="D230" s="60">
        <f>F230+E230</f>
        <v>0</v>
      </c>
      <c r="E230" s="60">
        <v>0</v>
      </c>
      <c r="F230" s="60">
        <v>0</v>
      </c>
      <c r="G230" s="60">
        <f>I230+H230</f>
        <v>0</v>
      </c>
      <c r="H230" s="60">
        <v>0</v>
      </c>
      <c r="I230" s="60">
        <v>0</v>
      </c>
      <c r="J230" s="65" t="s">
        <v>61</v>
      </c>
      <c r="K230" s="66"/>
    </row>
    <row r="231" spans="1:11" ht="12.75" customHeight="1" thickBot="1" x14ac:dyDescent="0.25">
      <c r="A231" s="60">
        <f t="shared" ref="A231:C247" si="33">G231+D231</f>
        <v>1</v>
      </c>
      <c r="B231" s="60">
        <f t="shared" si="33"/>
        <v>1</v>
      </c>
      <c r="C231" s="60">
        <f t="shared" si="33"/>
        <v>0</v>
      </c>
      <c r="D231" s="60">
        <f t="shared" ref="D231:D247" si="34">F231+E231</f>
        <v>0</v>
      </c>
      <c r="E231" s="60">
        <v>0</v>
      </c>
      <c r="F231" s="60">
        <v>0</v>
      </c>
      <c r="G231" s="60">
        <f t="shared" ref="G231:G247" si="35">I231+H231</f>
        <v>1</v>
      </c>
      <c r="H231" s="60">
        <v>1</v>
      </c>
      <c r="I231" s="60">
        <v>0</v>
      </c>
      <c r="J231" s="65" t="s">
        <v>62</v>
      </c>
      <c r="K231" s="66" t="s">
        <v>394</v>
      </c>
    </row>
    <row r="232" spans="1:11" ht="12.75" customHeight="1" thickBot="1" x14ac:dyDescent="0.25">
      <c r="A232" s="60">
        <f t="shared" si="33"/>
        <v>0</v>
      </c>
      <c r="B232" s="60">
        <f t="shared" si="33"/>
        <v>0</v>
      </c>
      <c r="C232" s="60">
        <f t="shared" si="33"/>
        <v>0</v>
      </c>
      <c r="D232" s="60">
        <f t="shared" si="34"/>
        <v>0</v>
      </c>
      <c r="E232" s="60">
        <v>0</v>
      </c>
      <c r="F232" s="60">
        <v>0</v>
      </c>
      <c r="G232" s="60">
        <f t="shared" si="35"/>
        <v>0</v>
      </c>
      <c r="H232" s="60">
        <v>0</v>
      </c>
      <c r="I232" s="60">
        <v>0</v>
      </c>
      <c r="J232" s="65" t="s">
        <v>64</v>
      </c>
      <c r="K232" s="74"/>
    </row>
    <row r="233" spans="1:11" ht="12.75" customHeight="1" thickBot="1" x14ac:dyDescent="0.25">
      <c r="A233" s="60">
        <f t="shared" si="33"/>
        <v>0</v>
      </c>
      <c r="B233" s="60">
        <f t="shared" si="33"/>
        <v>0</v>
      </c>
      <c r="C233" s="60">
        <f t="shared" si="33"/>
        <v>0</v>
      </c>
      <c r="D233" s="60">
        <f t="shared" si="34"/>
        <v>0</v>
      </c>
      <c r="E233" s="60">
        <v>0</v>
      </c>
      <c r="F233" s="60">
        <v>0</v>
      </c>
      <c r="G233" s="60">
        <f t="shared" si="35"/>
        <v>0</v>
      </c>
      <c r="H233" s="60">
        <v>0</v>
      </c>
      <c r="I233" s="60">
        <v>0</v>
      </c>
      <c r="J233" s="65" t="s">
        <v>61</v>
      </c>
      <c r="K233" s="66"/>
    </row>
    <row r="234" spans="1:11" ht="12.75" customHeight="1" thickBot="1" x14ac:dyDescent="0.25">
      <c r="A234" s="60">
        <f t="shared" si="33"/>
        <v>2</v>
      </c>
      <c r="B234" s="60">
        <f t="shared" si="33"/>
        <v>0</v>
      </c>
      <c r="C234" s="60">
        <f t="shared" si="33"/>
        <v>2</v>
      </c>
      <c r="D234" s="60">
        <f t="shared" si="34"/>
        <v>0</v>
      </c>
      <c r="E234" s="60">
        <v>0</v>
      </c>
      <c r="F234" s="60">
        <v>0</v>
      </c>
      <c r="G234" s="60">
        <f t="shared" si="35"/>
        <v>2</v>
      </c>
      <c r="H234" s="60">
        <v>0</v>
      </c>
      <c r="I234" s="60">
        <v>2</v>
      </c>
      <c r="J234" s="65" t="s">
        <v>62</v>
      </c>
      <c r="K234" s="66" t="s">
        <v>396</v>
      </c>
    </row>
    <row r="235" spans="1:11" ht="12.75" customHeight="1" thickBot="1" x14ac:dyDescent="0.25">
      <c r="A235" s="60">
        <f t="shared" si="33"/>
        <v>0</v>
      </c>
      <c r="B235" s="60">
        <f t="shared" si="33"/>
        <v>0</v>
      </c>
      <c r="C235" s="60">
        <f t="shared" si="33"/>
        <v>0</v>
      </c>
      <c r="D235" s="60">
        <f t="shared" si="34"/>
        <v>0</v>
      </c>
      <c r="E235" s="60">
        <v>0</v>
      </c>
      <c r="F235" s="60">
        <v>0</v>
      </c>
      <c r="G235" s="60">
        <f t="shared" si="35"/>
        <v>0</v>
      </c>
      <c r="H235" s="60">
        <v>0</v>
      </c>
      <c r="I235" s="60">
        <v>0</v>
      </c>
      <c r="J235" s="65" t="s">
        <v>64</v>
      </c>
      <c r="K235" s="74"/>
    </row>
    <row r="236" spans="1:11" ht="12.75" customHeight="1" thickBot="1" x14ac:dyDescent="0.25">
      <c r="A236" s="60">
        <f t="shared" si="33"/>
        <v>0</v>
      </c>
      <c r="B236" s="60">
        <f t="shared" si="33"/>
        <v>0</v>
      </c>
      <c r="C236" s="60">
        <f t="shared" si="33"/>
        <v>0</v>
      </c>
      <c r="D236" s="60">
        <f t="shared" si="34"/>
        <v>0</v>
      </c>
      <c r="E236" s="60">
        <v>0</v>
      </c>
      <c r="F236" s="60">
        <v>0</v>
      </c>
      <c r="G236" s="60">
        <f t="shared" si="35"/>
        <v>0</v>
      </c>
      <c r="H236" s="60">
        <v>0</v>
      </c>
      <c r="I236" s="60">
        <v>0</v>
      </c>
      <c r="J236" s="65" t="s">
        <v>61</v>
      </c>
      <c r="K236" s="66"/>
    </row>
    <row r="237" spans="1:11" ht="12.75" customHeight="1" thickBot="1" x14ac:dyDescent="0.25">
      <c r="A237" s="60">
        <f t="shared" si="33"/>
        <v>5</v>
      </c>
      <c r="B237" s="60">
        <f t="shared" si="33"/>
        <v>0</v>
      </c>
      <c r="C237" s="60">
        <f t="shared" si="33"/>
        <v>5</v>
      </c>
      <c r="D237" s="60">
        <f t="shared" si="34"/>
        <v>0</v>
      </c>
      <c r="E237" s="60">
        <v>0</v>
      </c>
      <c r="F237" s="60">
        <v>0</v>
      </c>
      <c r="G237" s="60">
        <f t="shared" si="35"/>
        <v>5</v>
      </c>
      <c r="H237" s="60">
        <v>0</v>
      </c>
      <c r="I237" s="60">
        <v>5</v>
      </c>
      <c r="J237" s="65" t="s">
        <v>62</v>
      </c>
      <c r="K237" s="66" t="s">
        <v>401</v>
      </c>
    </row>
    <row r="238" spans="1:11" ht="12.75" customHeight="1" thickBot="1" x14ac:dyDescent="0.25">
      <c r="A238" s="60">
        <f t="shared" si="33"/>
        <v>0</v>
      </c>
      <c r="B238" s="60">
        <f t="shared" si="33"/>
        <v>0</v>
      </c>
      <c r="C238" s="60">
        <f t="shared" si="33"/>
        <v>0</v>
      </c>
      <c r="D238" s="60">
        <f t="shared" si="34"/>
        <v>0</v>
      </c>
      <c r="E238" s="60">
        <v>0</v>
      </c>
      <c r="F238" s="60">
        <v>0</v>
      </c>
      <c r="G238" s="60">
        <f t="shared" si="35"/>
        <v>0</v>
      </c>
      <c r="H238" s="60">
        <v>0</v>
      </c>
      <c r="I238" s="60">
        <v>0</v>
      </c>
      <c r="J238" s="65" t="s">
        <v>64</v>
      </c>
      <c r="K238" s="74"/>
    </row>
    <row r="239" spans="1:11" ht="12.75" customHeight="1" thickBot="1" x14ac:dyDescent="0.25">
      <c r="A239" s="60">
        <f t="shared" si="33"/>
        <v>19</v>
      </c>
      <c r="B239" s="60">
        <f t="shared" si="33"/>
        <v>12</v>
      </c>
      <c r="C239" s="60">
        <f t="shared" si="33"/>
        <v>7</v>
      </c>
      <c r="D239" s="60">
        <f t="shared" si="34"/>
        <v>0</v>
      </c>
      <c r="E239" s="60">
        <v>0</v>
      </c>
      <c r="F239" s="60">
        <v>0</v>
      </c>
      <c r="G239" s="60">
        <f t="shared" si="35"/>
        <v>19</v>
      </c>
      <c r="H239" s="60">
        <v>12</v>
      </c>
      <c r="I239" s="60">
        <v>7</v>
      </c>
      <c r="J239" s="65" t="s">
        <v>61</v>
      </c>
      <c r="K239" s="66"/>
    </row>
    <row r="240" spans="1:11" ht="12.75" customHeight="1" thickBot="1" x14ac:dyDescent="0.25">
      <c r="A240" s="60">
        <f t="shared" si="33"/>
        <v>1</v>
      </c>
      <c r="B240" s="60">
        <f t="shared" si="33"/>
        <v>1</v>
      </c>
      <c r="C240" s="60">
        <f t="shared" si="33"/>
        <v>0</v>
      </c>
      <c r="D240" s="60">
        <f t="shared" si="34"/>
        <v>0</v>
      </c>
      <c r="E240" s="60">
        <v>0</v>
      </c>
      <c r="F240" s="60">
        <v>0</v>
      </c>
      <c r="G240" s="60">
        <f t="shared" si="35"/>
        <v>1</v>
      </c>
      <c r="H240" s="60">
        <v>1</v>
      </c>
      <c r="I240" s="60">
        <v>0</v>
      </c>
      <c r="J240" s="65" t="s">
        <v>62</v>
      </c>
      <c r="K240" s="66" t="s">
        <v>402</v>
      </c>
    </row>
    <row r="241" spans="1:11" ht="12.75" customHeight="1" thickBot="1" x14ac:dyDescent="0.25">
      <c r="A241" s="60">
        <f t="shared" si="33"/>
        <v>0</v>
      </c>
      <c r="B241" s="60">
        <f t="shared" si="33"/>
        <v>0</v>
      </c>
      <c r="C241" s="60">
        <f t="shared" si="33"/>
        <v>0</v>
      </c>
      <c r="D241" s="60">
        <f t="shared" si="34"/>
        <v>0</v>
      </c>
      <c r="E241" s="60">
        <v>0</v>
      </c>
      <c r="F241" s="60">
        <v>0</v>
      </c>
      <c r="G241" s="60">
        <f t="shared" si="35"/>
        <v>0</v>
      </c>
      <c r="H241" s="60">
        <v>0</v>
      </c>
      <c r="I241" s="60">
        <v>0</v>
      </c>
      <c r="J241" s="65" t="s">
        <v>64</v>
      </c>
      <c r="K241" s="74"/>
    </row>
    <row r="242" spans="1:11" ht="12.75" customHeight="1" thickBot="1" x14ac:dyDescent="0.25">
      <c r="A242" s="60">
        <f t="shared" si="33"/>
        <v>5</v>
      </c>
      <c r="B242" s="60">
        <f t="shared" si="33"/>
        <v>5</v>
      </c>
      <c r="C242" s="60">
        <f t="shared" si="33"/>
        <v>0</v>
      </c>
      <c r="D242" s="60">
        <f t="shared" si="34"/>
        <v>0</v>
      </c>
      <c r="E242" s="60">
        <v>0</v>
      </c>
      <c r="F242" s="60">
        <v>0</v>
      </c>
      <c r="G242" s="60">
        <f t="shared" si="35"/>
        <v>5</v>
      </c>
      <c r="H242" s="60">
        <v>5</v>
      </c>
      <c r="I242" s="60">
        <v>0</v>
      </c>
      <c r="J242" s="65" t="s">
        <v>61</v>
      </c>
      <c r="K242" s="66"/>
    </row>
    <row r="243" spans="1:11" ht="12.75" customHeight="1" thickBot="1" x14ac:dyDescent="0.25">
      <c r="A243" s="60">
        <f t="shared" si="33"/>
        <v>4</v>
      </c>
      <c r="B243" s="60">
        <f t="shared" si="33"/>
        <v>4</v>
      </c>
      <c r="C243" s="60">
        <f t="shared" si="33"/>
        <v>0</v>
      </c>
      <c r="D243" s="60">
        <f t="shared" si="34"/>
        <v>0</v>
      </c>
      <c r="E243" s="60">
        <v>0</v>
      </c>
      <c r="F243" s="60">
        <v>0</v>
      </c>
      <c r="G243" s="60">
        <f t="shared" si="35"/>
        <v>4</v>
      </c>
      <c r="H243" s="60">
        <v>4</v>
      </c>
      <c r="I243" s="60">
        <v>0</v>
      </c>
      <c r="J243" s="65" t="s">
        <v>62</v>
      </c>
      <c r="K243" s="66" t="s">
        <v>411</v>
      </c>
    </row>
    <row r="244" spans="1:11" ht="12.75" customHeight="1" thickBot="1" x14ac:dyDescent="0.25">
      <c r="A244" s="60">
        <f t="shared" si="33"/>
        <v>0</v>
      </c>
      <c r="B244" s="60">
        <f t="shared" si="33"/>
        <v>0</v>
      </c>
      <c r="C244" s="60">
        <f t="shared" si="33"/>
        <v>0</v>
      </c>
      <c r="D244" s="60">
        <f t="shared" si="34"/>
        <v>0</v>
      </c>
      <c r="E244" s="60">
        <v>0</v>
      </c>
      <c r="F244" s="60">
        <v>0</v>
      </c>
      <c r="G244" s="60">
        <f t="shared" si="35"/>
        <v>0</v>
      </c>
      <c r="H244" s="60">
        <v>0</v>
      </c>
      <c r="I244" s="60">
        <v>0</v>
      </c>
      <c r="J244" s="65" t="s">
        <v>64</v>
      </c>
      <c r="K244" s="74"/>
    </row>
    <row r="245" spans="1:11" ht="12.75" customHeight="1" thickBot="1" x14ac:dyDescent="0.25">
      <c r="A245" s="60">
        <f t="shared" si="33"/>
        <v>6</v>
      </c>
      <c r="B245" s="60">
        <f t="shared" si="33"/>
        <v>6</v>
      </c>
      <c r="C245" s="60">
        <f t="shared" si="33"/>
        <v>0</v>
      </c>
      <c r="D245" s="60">
        <f t="shared" si="34"/>
        <v>0</v>
      </c>
      <c r="E245" s="60">
        <v>0</v>
      </c>
      <c r="F245" s="60">
        <v>0</v>
      </c>
      <c r="G245" s="60">
        <f t="shared" si="35"/>
        <v>6</v>
      </c>
      <c r="H245" s="60">
        <v>6</v>
      </c>
      <c r="I245" s="60">
        <v>0</v>
      </c>
      <c r="J245" s="65" t="s">
        <v>61</v>
      </c>
      <c r="K245" s="66"/>
    </row>
    <row r="246" spans="1:11" ht="12.75" customHeight="1" thickBot="1" x14ac:dyDescent="0.25">
      <c r="A246" s="60">
        <f t="shared" si="33"/>
        <v>11</v>
      </c>
      <c r="B246" s="60">
        <f t="shared" si="33"/>
        <v>11</v>
      </c>
      <c r="C246" s="60">
        <f t="shared" si="33"/>
        <v>0</v>
      </c>
      <c r="D246" s="60">
        <f t="shared" si="34"/>
        <v>0</v>
      </c>
      <c r="E246" s="60">
        <v>0</v>
      </c>
      <c r="F246" s="60">
        <v>0</v>
      </c>
      <c r="G246" s="60">
        <f t="shared" si="35"/>
        <v>11</v>
      </c>
      <c r="H246" s="60">
        <v>11</v>
      </c>
      <c r="I246" s="60">
        <v>0</v>
      </c>
      <c r="J246" s="65" t="s">
        <v>62</v>
      </c>
      <c r="K246" s="66" t="s">
        <v>413</v>
      </c>
    </row>
    <row r="247" spans="1:11" ht="12.75" customHeight="1" thickBot="1" x14ac:dyDescent="0.25">
      <c r="A247" s="60">
        <f t="shared" si="33"/>
        <v>0</v>
      </c>
      <c r="B247" s="60">
        <f t="shared" si="33"/>
        <v>0</v>
      </c>
      <c r="C247" s="60">
        <f t="shared" si="33"/>
        <v>0</v>
      </c>
      <c r="D247" s="60">
        <f t="shared" si="34"/>
        <v>0</v>
      </c>
      <c r="E247" s="60">
        <v>0</v>
      </c>
      <c r="F247" s="60">
        <v>0</v>
      </c>
      <c r="G247" s="60">
        <f t="shared" si="35"/>
        <v>0</v>
      </c>
      <c r="H247" s="60">
        <v>0</v>
      </c>
      <c r="I247" s="60">
        <v>0</v>
      </c>
      <c r="J247" s="65" t="s">
        <v>64</v>
      </c>
      <c r="K247" s="74"/>
    </row>
    <row r="248" spans="1:11" ht="12.75" customHeight="1" thickBot="1" x14ac:dyDescent="0.25">
      <c r="A248" s="60">
        <f t="shared" ref="A248:I250" si="36">A230+A233+A236+A239+A242+A245</f>
        <v>30</v>
      </c>
      <c r="B248" s="60">
        <f t="shared" si="36"/>
        <v>23</v>
      </c>
      <c r="C248" s="60">
        <f t="shared" si="36"/>
        <v>7</v>
      </c>
      <c r="D248" s="60">
        <f t="shared" si="36"/>
        <v>0</v>
      </c>
      <c r="E248" s="60">
        <f t="shared" si="36"/>
        <v>0</v>
      </c>
      <c r="F248" s="60">
        <f t="shared" si="36"/>
        <v>0</v>
      </c>
      <c r="G248" s="60">
        <f t="shared" si="36"/>
        <v>30</v>
      </c>
      <c r="H248" s="60">
        <f t="shared" si="36"/>
        <v>23</v>
      </c>
      <c r="I248" s="60">
        <f>I230+I233+I236+I239+I242+I245</f>
        <v>7</v>
      </c>
      <c r="J248" s="65" t="s">
        <v>231</v>
      </c>
      <c r="K248" s="57"/>
    </row>
    <row r="249" spans="1:11" ht="12.75" customHeight="1" thickBot="1" x14ac:dyDescent="0.25">
      <c r="A249" s="60">
        <f t="shared" si="36"/>
        <v>24</v>
      </c>
      <c r="B249" s="60">
        <f t="shared" si="36"/>
        <v>17</v>
      </c>
      <c r="C249" s="60">
        <f t="shared" si="36"/>
        <v>7</v>
      </c>
      <c r="D249" s="60">
        <f t="shared" si="36"/>
        <v>0</v>
      </c>
      <c r="E249" s="60">
        <f t="shared" si="36"/>
        <v>0</v>
      </c>
      <c r="F249" s="60">
        <f t="shared" si="36"/>
        <v>0</v>
      </c>
      <c r="G249" s="60">
        <f t="shared" si="36"/>
        <v>24</v>
      </c>
      <c r="H249" s="60">
        <f t="shared" si="36"/>
        <v>17</v>
      </c>
      <c r="I249" s="60">
        <f t="shared" si="36"/>
        <v>7</v>
      </c>
      <c r="J249" s="65" t="s">
        <v>62</v>
      </c>
      <c r="K249" s="68" t="s">
        <v>232</v>
      </c>
    </row>
    <row r="250" spans="1:11" ht="12.75" customHeight="1" thickBot="1" x14ac:dyDescent="0.25">
      <c r="A250" s="60">
        <f t="shared" si="36"/>
        <v>0</v>
      </c>
      <c r="B250" s="60">
        <f t="shared" si="36"/>
        <v>0</v>
      </c>
      <c r="C250" s="60">
        <f t="shared" si="36"/>
        <v>0</v>
      </c>
      <c r="D250" s="60">
        <f t="shared" si="36"/>
        <v>0</v>
      </c>
      <c r="E250" s="60">
        <f t="shared" si="36"/>
        <v>0</v>
      </c>
      <c r="F250" s="60">
        <f t="shared" si="36"/>
        <v>0</v>
      </c>
      <c r="G250" s="60">
        <f t="shared" si="36"/>
        <v>0</v>
      </c>
      <c r="H250" s="60">
        <f t="shared" si="36"/>
        <v>0</v>
      </c>
      <c r="I250" s="60">
        <f t="shared" si="36"/>
        <v>0</v>
      </c>
      <c r="J250" s="65" t="s">
        <v>64</v>
      </c>
      <c r="K250" s="59"/>
    </row>
    <row r="251" spans="1:11" ht="12.75" customHeight="1" thickBot="1" x14ac:dyDescent="0.25">
      <c r="A251" s="60">
        <f t="shared" ref="A251:H251" si="37">SUM(A248:A250)</f>
        <v>54</v>
      </c>
      <c r="B251" s="60">
        <f t="shared" si="37"/>
        <v>40</v>
      </c>
      <c r="C251" s="60">
        <f t="shared" si="37"/>
        <v>14</v>
      </c>
      <c r="D251" s="60">
        <f t="shared" si="37"/>
        <v>0</v>
      </c>
      <c r="E251" s="60">
        <f t="shared" si="37"/>
        <v>0</v>
      </c>
      <c r="F251" s="60">
        <f t="shared" si="37"/>
        <v>0</v>
      </c>
      <c r="G251" s="60">
        <f t="shared" si="37"/>
        <v>54</v>
      </c>
      <c r="H251" s="60">
        <f t="shared" si="37"/>
        <v>40</v>
      </c>
      <c r="I251" s="60">
        <f>SUM(I248:I250)</f>
        <v>14</v>
      </c>
      <c r="J251" s="184" t="s">
        <v>233</v>
      </c>
      <c r="K251" s="184"/>
    </row>
    <row r="253" spans="1:11" ht="12.75" customHeight="1" x14ac:dyDescent="0.2">
      <c r="A253" s="177" t="s">
        <v>605</v>
      </c>
      <c r="B253" s="177"/>
      <c r="C253" s="177"/>
      <c r="D253" s="177"/>
      <c r="E253" s="177"/>
      <c r="F253" s="177"/>
      <c r="G253" s="177"/>
      <c r="H253" s="177"/>
      <c r="I253" s="177"/>
      <c r="J253" s="177"/>
      <c r="K253" s="177"/>
    </row>
    <row r="254" spans="1:11" ht="12.75" customHeight="1" thickBot="1" x14ac:dyDescent="0.25">
      <c r="A254" s="178" t="s">
        <v>606</v>
      </c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</row>
    <row r="255" spans="1:11" ht="12.75" customHeight="1" thickBot="1" x14ac:dyDescent="0.25">
      <c r="A255" s="179" t="s">
        <v>5</v>
      </c>
      <c r="B255" s="179"/>
      <c r="C255" s="179"/>
      <c r="D255" s="179" t="s">
        <v>162</v>
      </c>
      <c r="E255" s="179"/>
      <c r="F255" s="179"/>
      <c r="G255" s="179" t="s">
        <v>163</v>
      </c>
      <c r="H255" s="179"/>
      <c r="I255" s="179"/>
      <c r="J255" s="179" t="s">
        <v>72</v>
      </c>
      <c r="K255" s="179"/>
    </row>
    <row r="256" spans="1:11" ht="12.75" customHeight="1" thickBot="1" x14ac:dyDescent="0.25">
      <c r="A256" s="58" t="s">
        <v>216</v>
      </c>
      <c r="B256" s="58" t="s">
        <v>11</v>
      </c>
      <c r="C256" s="58" t="s">
        <v>10</v>
      </c>
      <c r="D256" s="58" t="s">
        <v>216</v>
      </c>
      <c r="E256" s="58" t="s">
        <v>11</v>
      </c>
      <c r="F256" s="58" t="s">
        <v>10</v>
      </c>
      <c r="G256" s="58" t="s">
        <v>216</v>
      </c>
      <c r="H256" s="58" t="s">
        <v>11</v>
      </c>
      <c r="I256" s="58" t="s">
        <v>10</v>
      </c>
      <c r="J256" s="180" t="s">
        <v>81</v>
      </c>
      <c r="K256" s="180"/>
    </row>
    <row r="257" spans="1:11" ht="12.75" customHeight="1" thickBot="1" x14ac:dyDescent="0.25">
      <c r="A257" s="60">
        <f t="shared" ref="A257:C265" si="38">G257+D257</f>
        <v>0</v>
      </c>
      <c r="B257" s="60">
        <f t="shared" si="38"/>
        <v>0</v>
      </c>
      <c r="C257" s="60">
        <f>I257+F257</f>
        <v>0</v>
      </c>
      <c r="D257" s="60">
        <f>F257+E257</f>
        <v>0</v>
      </c>
      <c r="E257" s="60">
        <v>0</v>
      </c>
      <c r="F257" s="60">
        <v>0</v>
      </c>
      <c r="G257" s="60">
        <f>I257+H257</f>
        <v>0</v>
      </c>
      <c r="H257" s="60">
        <v>0</v>
      </c>
      <c r="I257" s="60">
        <v>0</v>
      </c>
      <c r="J257" s="65" t="s">
        <v>61</v>
      </c>
      <c r="K257" s="66"/>
    </row>
    <row r="258" spans="1:11" ht="12.75" customHeight="1" thickBot="1" x14ac:dyDescent="0.25">
      <c r="A258" s="60">
        <f t="shared" si="38"/>
        <v>93</v>
      </c>
      <c r="B258" s="60">
        <f t="shared" si="38"/>
        <v>0</v>
      </c>
      <c r="C258" s="60">
        <f t="shared" si="38"/>
        <v>93</v>
      </c>
      <c r="D258" s="60">
        <f t="shared" ref="D258:D265" si="39">F258+E258</f>
        <v>3</v>
      </c>
      <c r="E258" s="60">
        <v>0</v>
      </c>
      <c r="F258" s="60">
        <v>3</v>
      </c>
      <c r="G258" s="60">
        <f t="shared" ref="G258:G265" si="40">I258+H258</f>
        <v>90</v>
      </c>
      <c r="H258" s="60">
        <v>0</v>
      </c>
      <c r="I258" s="60">
        <f>44+46</f>
        <v>90</v>
      </c>
      <c r="J258" s="65" t="s">
        <v>62</v>
      </c>
      <c r="K258" s="66" t="s">
        <v>540</v>
      </c>
    </row>
    <row r="259" spans="1:11" ht="12.75" customHeight="1" thickBot="1" x14ac:dyDescent="0.25">
      <c r="A259" s="60">
        <f t="shared" si="38"/>
        <v>161</v>
      </c>
      <c r="B259" s="60">
        <f t="shared" si="38"/>
        <v>62</v>
      </c>
      <c r="C259" s="60">
        <f t="shared" si="38"/>
        <v>99</v>
      </c>
      <c r="D259" s="60">
        <f t="shared" si="39"/>
        <v>14</v>
      </c>
      <c r="E259" s="60">
        <v>6</v>
      </c>
      <c r="F259" s="60">
        <v>8</v>
      </c>
      <c r="G259" s="60">
        <f t="shared" si="40"/>
        <v>147</v>
      </c>
      <c r="H259" s="60">
        <f>22+34</f>
        <v>56</v>
      </c>
      <c r="I259" s="60">
        <f>45+46</f>
        <v>91</v>
      </c>
      <c r="J259" s="65" t="s">
        <v>64</v>
      </c>
      <c r="K259" s="74"/>
    </row>
    <row r="260" spans="1:11" ht="12.75" customHeight="1" thickBot="1" x14ac:dyDescent="0.25">
      <c r="A260" s="60">
        <f t="shared" si="38"/>
        <v>0</v>
      </c>
      <c r="B260" s="60">
        <f t="shared" si="38"/>
        <v>0</v>
      </c>
      <c r="C260" s="60">
        <f t="shared" si="38"/>
        <v>0</v>
      </c>
      <c r="D260" s="60">
        <f t="shared" si="39"/>
        <v>0</v>
      </c>
      <c r="E260" s="60">
        <v>0</v>
      </c>
      <c r="F260" s="60">
        <v>0</v>
      </c>
      <c r="G260" s="60">
        <f t="shared" si="40"/>
        <v>0</v>
      </c>
      <c r="H260" s="60">
        <v>0</v>
      </c>
      <c r="I260" s="60">
        <v>0</v>
      </c>
      <c r="J260" s="65" t="s">
        <v>61</v>
      </c>
      <c r="K260" s="66"/>
    </row>
    <row r="261" spans="1:11" ht="12.75" customHeight="1" thickBot="1" x14ac:dyDescent="0.25">
      <c r="A261" s="60">
        <f t="shared" si="38"/>
        <v>55</v>
      </c>
      <c r="B261" s="60">
        <f t="shared" si="38"/>
        <v>0</v>
      </c>
      <c r="C261" s="60">
        <f t="shared" si="38"/>
        <v>55</v>
      </c>
      <c r="D261" s="60">
        <f t="shared" si="39"/>
        <v>0</v>
      </c>
      <c r="E261" s="60">
        <v>0</v>
      </c>
      <c r="F261" s="60">
        <v>0</v>
      </c>
      <c r="G261" s="60">
        <f t="shared" si="40"/>
        <v>55</v>
      </c>
      <c r="H261" s="60">
        <v>0</v>
      </c>
      <c r="I261" s="60">
        <v>55</v>
      </c>
      <c r="J261" s="65" t="s">
        <v>62</v>
      </c>
      <c r="K261" s="66" t="s">
        <v>432</v>
      </c>
    </row>
    <row r="262" spans="1:11" ht="12.75" customHeight="1" thickBot="1" x14ac:dyDescent="0.25">
      <c r="A262" s="60">
        <f t="shared" si="38"/>
        <v>0</v>
      </c>
      <c r="B262" s="60">
        <f t="shared" si="38"/>
        <v>0</v>
      </c>
      <c r="C262" s="60">
        <f t="shared" si="38"/>
        <v>0</v>
      </c>
      <c r="D262" s="60">
        <f t="shared" si="39"/>
        <v>0</v>
      </c>
      <c r="E262" s="60">
        <v>0</v>
      </c>
      <c r="F262" s="60">
        <v>0</v>
      </c>
      <c r="G262" s="60">
        <f t="shared" si="40"/>
        <v>0</v>
      </c>
      <c r="H262" s="60">
        <v>0</v>
      </c>
      <c r="I262" s="60">
        <v>0</v>
      </c>
      <c r="J262" s="65" t="s">
        <v>64</v>
      </c>
      <c r="K262" s="74"/>
    </row>
    <row r="263" spans="1:11" ht="12.75" customHeight="1" thickBot="1" x14ac:dyDescent="0.25">
      <c r="A263" s="60">
        <f t="shared" si="38"/>
        <v>0</v>
      </c>
      <c r="B263" s="60">
        <f t="shared" si="38"/>
        <v>0</v>
      </c>
      <c r="C263" s="60">
        <f t="shared" si="38"/>
        <v>0</v>
      </c>
      <c r="D263" s="60">
        <f t="shared" si="39"/>
        <v>0</v>
      </c>
      <c r="E263" s="60">
        <v>0</v>
      </c>
      <c r="F263" s="60">
        <v>0</v>
      </c>
      <c r="G263" s="60">
        <f t="shared" si="40"/>
        <v>0</v>
      </c>
      <c r="H263" s="60">
        <v>0</v>
      </c>
      <c r="I263" s="60">
        <v>0</v>
      </c>
      <c r="J263" s="65" t="s">
        <v>61</v>
      </c>
      <c r="K263" s="66"/>
    </row>
    <row r="264" spans="1:11" ht="12.75" customHeight="1" thickBot="1" x14ac:dyDescent="0.25">
      <c r="A264" s="60">
        <f t="shared" si="38"/>
        <v>0</v>
      </c>
      <c r="B264" s="60">
        <f t="shared" si="38"/>
        <v>0</v>
      </c>
      <c r="C264" s="60">
        <f t="shared" si="38"/>
        <v>0</v>
      </c>
      <c r="D264" s="60">
        <f t="shared" si="39"/>
        <v>0</v>
      </c>
      <c r="E264" s="60">
        <v>0</v>
      </c>
      <c r="F264" s="60">
        <v>0</v>
      </c>
      <c r="G264" s="60">
        <f t="shared" si="40"/>
        <v>0</v>
      </c>
      <c r="H264" s="60">
        <v>0</v>
      </c>
      <c r="I264" s="60">
        <v>0</v>
      </c>
      <c r="J264" s="65" t="s">
        <v>62</v>
      </c>
      <c r="K264" s="66" t="s">
        <v>541</v>
      </c>
    </row>
    <row r="265" spans="1:11" ht="12.75" customHeight="1" thickBot="1" x14ac:dyDescent="0.25">
      <c r="A265" s="60">
        <f t="shared" si="38"/>
        <v>98</v>
      </c>
      <c r="B265" s="60">
        <f t="shared" si="38"/>
        <v>98</v>
      </c>
      <c r="C265" s="60">
        <f t="shared" si="38"/>
        <v>0</v>
      </c>
      <c r="D265" s="60">
        <f t="shared" si="39"/>
        <v>0</v>
      </c>
      <c r="E265" s="60">
        <v>0</v>
      </c>
      <c r="F265" s="60">
        <v>0</v>
      </c>
      <c r="G265" s="60">
        <f t="shared" si="40"/>
        <v>98</v>
      </c>
      <c r="H265" s="60">
        <v>98</v>
      </c>
      <c r="I265" s="60">
        <v>0</v>
      </c>
      <c r="J265" s="65" t="s">
        <v>64</v>
      </c>
      <c r="K265" s="74"/>
    </row>
    <row r="266" spans="1:11" ht="12.75" customHeight="1" thickBot="1" x14ac:dyDescent="0.25">
      <c r="A266" s="60">
        <f t="shared" ref="A266:H268" si="41">A257+A260+A263</f>
        <v>0</v>
      </c>
      <c r="B266" s="60">
        <f t="shared" si="41"/>
        <v>0</v>
      </c>
      <c r="C266" s="60">
        <f t="shared" si="41"/>
        <v>0</v>
      </c>
      <c r="D266" s="60">
        <f t="shared" si="41"/>
        <v>0</v>
      </c>
      <c r="E266" s="60">
        <f t="shared" si="41"/>
        <v>0</v>
      </c>
      <c r="F266" s="60">
        <f t="shared" si="41"/>
        <v>0</v>
      </c>
      <c r="G266" s="60">
        <f t="shared" si="41"/>
        <v>0</v>
      </c>
      <c r="H266" s="60">
        <f t="shared" si="41"/>
        <v>0</v>
      </c>
      <c r="I266" s="60">
        <f>I257+I260+I263</f>
        <v>0</v>
      </c>
      <c r="J266" s="65" t="s">
        <v>231</v>
      </c>
      <c r="K266" s="57"/>
    </row>
    <row r="267" spans="1:11" ht="12.75" customHeight="1" thickBot="1" x14ac:dyDescent="0.25">
      <c r="A267" s="60">
        <f t="shared" si="41"/>
        <v>148</v>
      </c>
      <c r="B267" s="60">
        <f t="shared" si="41"/>
        <v>0</v>
      </c>
      <c r="C267" s="60">
        <f t="shared" si="41"/>
        <v>148</v>
      </c>
      <c r="D267" s="60">
        <f t="shared" si="41"/>
        <v>3</v>
      </c>
      <c r="E267" s="60">
        <f t="shared" si="41"/>
        <v>0</v>
      </c>
      <c r="F267" s="60">
        <f t="shared" si="41"/>
        <v>3</v>
      </c>
      <c r="G267" s="60">
        <f t="shared" si="41"/>
        <v>145</v>
      </c>
      <c r="H267" s="60">
        <f t="shared" si="41"/>
        <v>0</v>
      </c>
      <c r="I267" s="60">
        <f>I258+I261+I264</f>
        <v>145</v>
      </c>
      <c r="J267" s="65" t="s">
        <v>62</v>
      </c>
      <c r="K267" s="68" t="s">
        <v>232</v>
      </c>
    </row>
    <row r="268" spans="1:11" ht="12.75" customHeight="1" thickBot="1" x14ac:dyDescent="0.25">
      <c r="A268" s="60">
        <f t="shared" si="41"/>
        <v>259</v>
      </c>
      <c r="B268" s="60">
        <f t="shared" si="41"/>
        <v>160</v>
      </c>
      <c r="C268" s="60">
        <f t="shared" si="41"/>
        <v>99</v>
      </c>
      <c r="D268" s="60">
        <f t="shared" si="41"/>
        <v>14</v>
      </c>
      <c r="E268" s="60">
        <f t="shared" si="41"/>
        <v>6</v>
      </c>
      <c r="F268" s="60">
        <f t="shared" si="41"/>
        <v>8</v>
      </c>
      <c r="G268" s="60">
        <f t="shared" si="41"/>
        <v>245</v>
      </c>
      <c r="H268" s="60">
        <f t="shared" si="41"/>
        <v>154</v>
      </c>
      <c r="I268" s="60">
        <f>I259+I262+I265</f>
        <v>91</v>
      </c>
      <c r="J268" s="65" t="s">
        <v>64</v>
      </c>
      <c r="K268" s="59"/>
    </row>
    <row r="269" spans="1:11" ht="12.75" customHeight="1" thickBot="1" x14ac:dyDescent="0.25">
      <c r="A269" s="60">
        <f t="shared" ref="A269:H269" si="42">SUM(A266:A268)</f>
        <v>407</v>
      </c>
      <c r="B269" s="60">
        <f t="shared" si="42"/>
        <v>160</v>
      </c>
      <c r="C269" s="60">
        <f t="shared" si="42"/>
        <v>247</v>
      </c>
      <c r="D269" s="60">
        <f t="shared" si="42"/>
        <v>17</v>
      </c>
      <c r="E269" s="60">
        <f t="shared" si="42"/>
        <v>6</v>
      </c>
      <c r="F269" s="60">
        <f t="shared" si="42"/>
        <v>11</v>
      </c>
      <c r="G269" s="60">
        <f t="shared" si="42"/>
        <v>390</v>
      </c>
      <c r="H269" s="60">
        <f t="shared" si="42"/>
        <v>154</v>
      </c>
      <c r="I269" s="60">
        <f>SUM(I266:I268)</f>
        <v>236</v>
      </c>
      <c r="J269" s="184" t="s">
        <v>233</v>
      </c>
      <c r="K269" s="184"/>
    </row>
    <row r="271" spans="1:11" ht="12.75" customHeight="1" x14ac:dyDescent="0.2">
      <c r="A271" s="177" t="s">
        <v>605</v>
      </c>
      <c r="B271" s="177"/>
      <c r="C271" s="177"/>
      <c r="D271" s="177"/>
      <c r="E271" s="177"/>
      <c r="F271" s="177"/>
      <c r="G271" s="177"/>
      <c r="H271" s="177"/>
      <c r="I271" s="177"/>
      <c r="J271" s="177"/>
      <c r="K271" s="177"/>
    </row>
    <row r="272" spans="1:11" ht="12.75" customHeight="1" thickBot="1" x14ac:dyDescent="0.25">
      <c r="A272" s="178" t="s">
        <v>606</v>
      </c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</row>
    <row r="273" spans="1:11" ht="12.75" customHeight="1" thickBot="1" x14ac:dyDescent="0.25">
      <c r="A273" s="179" t="s">
        <v>5</v>
      </c>
      <c r="B273" s="179"/>
      <c r="C273" s="179"/>
      <c r="D273" s="179" t="s">
        <v>162</v>
      </c>
      <c r="E273" s="179"/>
      <c r="F273" s="179"/>
      <c r="G273" s="179" t="s">
        <v>163</v>
      </c>
      <c r="H273" s="179"/>
      <c r="I273" s="179"/>
      <c r="J273" s="179" t="s">
        <v>72</v>
      </c>
      <c r="K273" s="179"/>
    </row>
    <row r="274" spans="1:11" ht="12.75" customHeight="1" thickBot="1" x14ac:dyDescent="0.25">
      <c r="A274" s="58" t="s">
        <v>216</v>
      </c>
      <c r="B274" s="58" t="s">
        <v>11</v>
      </c>
      <c r="C274" s="58" t="s">
        <v>10</v>
      </c>
      <c r="D274" s="58" t="s">
        <v>216</v>
      </c>
      <c r="E274" s="58" t="s">
        <v>11</v>
      </c>
      <c r="F274" s="58" t="s">
        <v>10</v>
      </c>
      <c r="G274" s="58" t="s">
        <v>216</v>
      </c>
      <c r="H274" s="58" t="s">
        <v>11</v>
      </c>
      <c r="I274" s="58" t="s">
        <v>10</v>
      </c>
      <c r="J274" s="180" t="s">
        <v>165</v>
      </c>
      <c r="K274" s="180"/>
    </row>
    <row r="275" spans="1:11" ht="12.75" customHeight="1" thickBot="1" x14ac:dyDescent="0.25">
      <c r="A275" s="60">
        <f>SUM(B275:C275)</f>
        <v>0</v>
      </c>
      <c r="B275" s="60">
        <f>H275+E275</f>
        <v>0</v>
      </c>
      <c r="C275" s="60">
        <f>I275+F275</f>
        <v>0</v>
      </c>
      <c r="D275" s="60">
        <f>SUM(E275:F275)</f>
        <v>0</v>
      </c>
      <c r="E275" s="60">
        <v>0</v>
      </c>
      <c r="F275" s="60">
        <v>0</v>
      </c>
      <c r="G275" s="60">
        <f>SUM(H275:I275)</f>
        <v>0</v>
      </c>
      <c r="H275" s="60">
        <v>0</v>
      </c>
      <c r="I275" s="60">
        <v>0</v>
      </c>
      <c r="J275" s="65" t="s">
        <v>61</v>
      </c>
      <c r="K275" s="66"/>
    </row>
    <row r="276" spans="1:11" ht="12.75" customHeight="1" thickBot="1" x14ac:dyDescent="0.25">
      <c r="A276" s="60">
        <f t="shared" ref="A276:A277" si="43">SUM(B276:C276)</f>
        <v>24</v>
      </c>
      <c r="B276" s="60">
        <f t="shared" ref="B276:C277" si="44">H276+E276</f>
        <v>16</v>
      </c>
      <c r="C276" s="60">
        <f t="shared" si="44"/>
        <v>8</v>
      </c>
      <c r="D276" s="60">
        <f t="shared" ref="D276:D277" si="45">SUM(E276:F276)</f>
        <v>0</v>
      </c>
      <c r="E276" s="60">
        <v>0</v>
      </c>
      <c r="F276" s="60">
        <v>0</v>
      </c>
      <c r="G276" s="60">
        <f t="shared" ref="G276:G277" si="46">SUM(H276:I276)</f>
        <v>24</v>
      </c>
      <c r="H276" s="60">
        <v>16</v>
      </c>
      <c r="I276" s="60">
        <v>8</v>
      </c>
      <c r="J276" s="65" t="s">
        <v>62</v>
      </c>
      <c r="K276" s="66" t="s">
        <v>542</v>
      </c>
    </row>
    <row r="277" spans="1:11" ht="12.75" customHeight="1" thickBot="1" x14ac:dyDescent="0.25">
      <c r="A277" s="60">
        <f t="shared" si="43"/>
        <v>0</v>
      </c>
      <c r="B277" s="60">
        <f t="shared" si="44"/>
        <v>0</v>
      </c>
      <c r="C277" s="60">
        <f t="shared" si="44"/>
        <v>0</v>
      </c>
      <c r="D277" s="60">
        <f t="shared" si="45"/>
        <v>0</v>
      </c>
      <c r="E277" s="60">
        <v>0</v>
      </c>
      <c r="F277" s="60">
        <v>0</v>
      </c>
      <c r="G277" s="60">
        <f t="shared" si="46"/>
        <v>0</v>
      </c>
      <c r="H277" s="60">
        <v>0</v>
      </c>
      <c r="I277" s="60">
        <v>0</v>
      </c>
      <c r="J277" s="65" t="s">
        <v>64</v>
      </c>
      <c r="K277" s="74"/>
    </row>
    <row r="278" spans="1:11" ht="12.75" customHeight="1" thickBot="1" x14ac:dyDescent="0.25">
      <c r="A278" s="60">
        <f t="shared" ref="A278:I280" si="47">A275</f>
        <v>0</v>
      </c>
      <c r="B278" s="60">
        <f t="shared" si="47"/>
        <v>0</v>
      </c>
      <c r="C278" s="60">
        <f t="shared" si="47"/>
        <v>0</v>
      </c>
      <c r="D278" s="60">
        <f t="shared" si="47"/>
        <v>0</v>
      </c>
      <c r="E278" s="60">
        <f t="shared" si="47"/>
        <v>0</v>
      </c>
      <c r="F278" s="60">
        <f t="shared" si="47"/>
        <v>0</v>
      </c>
      <c r="G278" s="60">
        <f t="shared" si="47"/>
        <v>0</v>
      </c>
      <c r="H278" s="60">
        <f t="shared" si="47"/>
        <v>0</v>
      </c>
      <c r="I278" s="60">
        <f>I275</f>
        <v>0</v>
      </c>
      <c r="J278" s="65" t="s">
        <v>231</v>
      </c>
      <c r="K278" s="57"/>
    </row>
    <row r="279" spans="1:11" ht="12.75" customHeight="1" thickBot="1" x14ac:dyDescent="0.25">
      <c r="A279" s="60">
        <f t="shared" si="47"/>
        <v>24</v>
      </c>
      <c r="B279" s="60">
        <f t="shared" si="47"/>
        <v>16</v>
      </c>
      <c r="C279" s="60">
        <f t="shared" si="47"/>
        <v>8</v>
      </c>
      <c r="D279" s="60">
        <f t="shared" si="47"/>
        <v>0</v>
      </c>
      <c r="E279" s="60">
        <f t="shared" si="47"/>
        <v>0</v>
      </c>
      <c r="F279" s="60">
        <f t="shared" si="47"/>
        <v>0</v>
      </c>
      <c r="G279" s="60">
        <f t="shared" si="47"/>
        <v>24</v>
      </c>
      <c r="H279" s="60">
        <f t="shared" si="47"/>
        <v>16</v>
      </c>
      <c r="I279" s="60">
        <f t="shared" si="47"/>
        <v>8</v>
      </c>
      <c r="J279" s="65" t="s">
        <v>62</v>
      </c>
      <c r="K279" s="68" t="s">
        <v>232</v>
      </c>
    </row>
    <row r="280" spans="1:11" ht="12.75" customHeight="1" thickBot="1" x14ac:dyDescent="0.25">
      <c r="A280" s="60">
        <f t="shared" si="47"/>
        <v>0</v>
      </c>
      <c r="B280" s="60">
        <f t="shared" si="47"/>
        <v>0</v>
      </c>
      <c r="C280" s="60">
        <f t="shared" si="47"/>
        <v>0</v>
      </c>
      <c r="D280" s="60">
        <f t="shared" si="47"/>
        <v>0</v>
      </c>
      <c r="E280" s="60">
        <f t="shared" si="47"/>
        <v>0</v>
      </c>
      <c r="F280" s="60">
        <f t="shared" si="47"/>
        <v>0</v>
      </c>
      <c r="G280" s="60">
        <f t="shared" si="47"/>
        <v>0</v>
      </c>
      <c r="H280" s="60">
        <f t="shared" si="47"/>
        <v>0</v>
      </c>
      <c r="I280" s="60">
        <f t="shared" si="47"/>
        <v>0</v>
      </c>
      <c r="J280" s="65" t="s">
        <v>64</v>
      </c>
      <c r="K280" s="59"/>
    </row>
    <row r="281" spans="1:11" ht="12.75" customHeight="1" thickBot="1" x14ac:dyDescent="0.25">
      <c r="A281" s="60">
        <f t="shared" ref="A281:H281" si="48">SUM(A278:A280)</f>
        <v>24</v>
      </c>
      <c r="B281" s="60">
        <f t="shared" si="48"/>
        <v>16</v>
      </c>
      <c r="C281" s="60">
        <f t="shared" si="48"/>
        <v>8</v>
      </c>
      <c r="D281" s="60">
        <f t="shared" si="48"/>
        <v>0</v>
      </c>
      <c r="E281" s="60">
        <f t="shared" si="48"/>
        <v>0</v>
      </c>
      <c r="F281" s="60">
        <f t="shared" si="48"/>
        <v>0</v>
      </c>
      <c r="G281" s="60">
        <f t="shared" si="48"/>
        <v>24</v>
      </c>
      <c r="H281" s="60">
        <f t="shared" si="48"/>
        <v>16</v>
      </c>
      <c r="I281" s="60">
        <f>SUM(I278:I280)</f>
        <v>8</v>
      </c>
      <c r="J281" s="184" t="s">
        <v>233</v>
      </c>
      <c r="K281" s="184"/>
    </row>
    <row r="283" spans="1:11" ht="12.75" customHeight="1" x14ac:dyDescent="0.2">
      <c r="A283" s="177" t="s">
        <v>605</v>
      </c>
      <c r="B283" s="177"/>
      <c r="C283" s="177"/>
      <c r="D283" s="177"/>
      <c r="E283" s="177"/>
      <c r="F283" s="177"/>
      <c r="G283" s="177"/>
      <c r="H283" s="177"/>
      <c r="I283" s="177"/>
      <c r="J283" s="177"/>
      <c r="K283" s="177"/>
    </row>
    <row r="284" spans="1:11" ht="12.75" customHeight="1" thickBot="1" x14ac:dyDescent="0.25">
      <c r="A284" s="178" t="s">
        <v>606</v>
      </c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</row>
    <row r="285" spans="1:11" ht="12.75" customHeight="1" thickBot="1" x14ac:dyDescent="0.25">
      <c r="A285" s="179" t="s">
        <v>5</v>
      </c>
      <c r="B285" s="179"/>
      <c r="C285" s="179"/>
      <c r="D285" s="179" t="s">
        <v>162</v>
      </c>
      <c r="E285" s="179"/>
      <c r="F285" s="179"/>
      <c r="G285" s="179" t="s">
        <v>163</v>
      </c>
      <c r="H285" s="179"/>
      <c r="I285" s="179"/>
      <c r="J285" s="179" t="s">
        <v>72</v>
      </c>
      <c r="K285" s="179"/>
    </row>
    <row r="286" spans="1:11" ht="12.75" customHeight="1" thickBot="1" x14ac:dyDescent="0.25">
      <c r="A286" s="58" t="s">
        <v>216</v>
      </c>
      <c r="B286" s="58" t="s">
        <v>11</v>
      </c>
      <c r="C286" s="58" t="s">
        <v>10</v>
      </c>
      <c r="D286" s="58" t="s">
        <v>216</v>
      </c>
      <c r="E286" s="58" t="s">
        <v>11</v>
      </c>
      <c r="F286" s="58" t="s">
        <v>10</v>
      </c>
      <c r="G286" s="58" t="s">
        <v>216</v>
      </c>
      <c r="H286" s="58" t="s">
        <v>11</v>
      </c>
      <c r="I286" s="58" t="s">
        <v>10</v>
      </c>
      <c r="J286" s="180" t="s">
        <v>171</v>
      </c>
      <c r="K286" s="180"/>
    </row>
    <row r="287" spans="1:11" ht="12.75" customHeight="1" thickBot="1" x14ac:dyDescent="0.25">
      <c r="A287" s="60">
        <f>SUM(B287:C287)</f>
        <v>0</v>
      </c>
      <c r="B287" s="60">
        <f>H287+E287</f>
        <v>0</v>
      </c>
      <c r="C287" s="60">
        <f>I287+F287</f>
        <v>0</v>
      </c>
      <c r="D287" s="60">
        <f>SUM(E287:F287)</f>
        <v>0</v>
      </c>
      <c r="E287" s="60">
        <v>0</v>
      </c>
      <c r="F287" s="60">
        <v>0</v>
      </c>
      <c r="G287" s="60">
        <f>SUM(H287:I287)</f>
        <v>0</v>
      </c>
      <c r="H287" s="60">
        <v>0</v>
      </c>
      <c r="I287" s="60">
        <v>0</v>
      </c>
      <c r="J287" s="65" t="s">
        <v>61</v>
      </c>
      <c r="K287" s="66"/>
    </row>
    <row r="288" spans="1:11" ht="12.75" customHeight="1" thickBot="1" x14ac:dyDescent="0.25">
      <c r="A288" s="60">
        <f t="shared" ref="A288:A289" si="49">SUM(B288:C288)</f>
        <v>0</v>
      </c>
      <c r="B288" s="60">
        <f t="shared" ref="B288:C289" si="50">H288+E288</f>
        <v>0</v>
      </c>
      <c r="C288" s="60">
        <f t="shared" si="50"/>
        <v>0</v>
      </c>
      <c r="D288" s="60">
        <f t="shared" ref="D288:D289" si="51">SUM(E288:F288)</f>
        <v>0</v>
      </c>
      <c r="E288" s="60">
        <v>0</v>
      </c>
      <c r="F288" s="60">
        <v>0</v>
      </c>
      <c r="G288" s="60">
        <f t="shared" ref="G288:G289" si="52">SUM(H288:I288)</f>
        <v>0</v>
      </c>
      <c r="H288" s="60">
        <v>0</v>
      </c>
      <c r="I288" s="60">
        <v>0</v>
      </c>
      <c r="J288" s="65" t="s">
        <v>62</v>
      </c>
      <c r="K288" s="66" t="s">
        <v>171</v>
      </c>
    </row>
    <row r="289" spans="1:11" ht="12.75" customHeight="1" thickBot="1" x14ac:dyDescent="0.25">
      <c r="A289" s="60">
        <f t="shared" si="49"/>
        <v>277</v>
      </c>
      <c r="B289" s="60">
        <f t="shared" si="50"/>
        <v>0</v>
      </c>
      <c r="C289" s="60">
        <f t="shared" si="50"/>
        <v>277</v>
      </c>
      <c r="D289" s="60">
        <f t="shared" si="51"/>
        <v>0</v>
      </c>
      <c r="E289" s="60">
        <v>0</v>
      </c>
      <c r="F289" s="60">
        <v>0</v>
      </c>
      <c r="G289" s="60">
        <f t="shared" si="52"/>
        <v>277</v>
      </c>
      <c r="H289" s="60">
        <v>0</v>
      </c>
      <c r="I289" s="60">
        <f>185+92</f>
        <v>277</v>
      </c>
      <c r="J289" s="65" t="s">
        <v>64</v>
      </c>
      <c r="K289" s="74"/>
    </row>
    <row r="290" spans="1:11" ht="12.75" customHeight="1" thickBot="1" x14ac:dyDescent="0.25">
      <c r="A290" s="60">
        <f t="shared" ref="A290:I292" si="53">A287</f>
        <v>0</v>
      </c>
      <c r="B290" s="60">
        <f t="shared" si="53"/>
        <v>0</v>
      </c>
      <c r="C290" s="60">
        <f t="shared" si="53"/>
        <v>0</v>
      </c>
      <c r="D290" s="60">
        <f t="shared" si="53"/>
        <v>0</v>
      </c>
      <c r="E290" s="60">
        <f t="shared" si="53"/>
        <v>0</v>
      </c>
      <c r="F290" s="60">
        <f t="shared" si="53"/>
        <v>0</v>
      </c>
      <c r="G290" s="60">
        <f t="shared" si="53"/>
        <v>0</v>
      </c>
      <c r="H290" s="60">
        <f t="shared" si="53"/>
        <v>0</v>
      </c>
      <c r="I290" s="60">
        <f>I287</f>
        <v>0</v>
      </c>
      <c r="J290" s="65" t="s">
        <v>231</v>
      </c>
      <c r="K290" s="57"/>
    </row>
    <row r="291" spans="1:11" ht="12.75" customHeight="1" thickBot="1" x14ac:dyDescent="0.25">
      <c r="A291" s="60">
        <f t="shared" si="53"/>
        <v>0</v>
      </c>
      <c r="B291" s="60">
        <f t="shared" si="53"/>
        <v>0</v>
      </c>
      <c r="C291" s="60">
        <f t="shared" si="53"/>
        <v>0</v>
      </c>
      <c r="D291" s="60">
        <f t="shared" si="53"/>
        <v>0</v>
      </c>
      <c r="E291" s="60">
        <f t="shared" si="53"/>
        <v>0</v>
      </c>
      <c r="F291" s="60">
        <f t="shared" si="53"/>
        <v>0</v>
      </c>
      <c r="G291" s="60">
        <f t="shared" si="53"/>
        <v>0</v>
      </c>
      <c r="H291" s="60">
        <f t="shared" si="53"/>
        <v>0</v>
      </c>
      <c r="I291" s="60">
        <f t="shared" si="53"/>
        <v>0</v>
      </c>
      <c r="J291" s="65" t="s">
        <v>62</v>
      </c>
      <c r="K291" s="68" t="s">
        <v>232</v>
      </c>
    </row>
    <row r="292" spans="1:11" ht="12.75" customHeight="1" thickBot="1" x14ac:dyDescent="0.25">
      <c r="A292" s="60">
        <f t="shared" si="53"/>
        <v>277</v>
      </c>
      <c r="B292" s="60">
        <f t="shared" si="53"/>
        <v>0</v>
      </c>
      <c r="C292" s="60">
        <f t="shared" si="53"/>
        <v>277</v>
      </c>
      <c r="D292" s="60">
        <f t="shared" si="53"/>
        <v>0</v>
      </c>
      <c r="E292" s="60">
        <f t="shared" si="53"/>
        <v>0</v>
      </c>
      <c r="F292" s="60">
        <f t="shared" si="53"/>
        <v>0</v>
      </c>
      <c r="G292" s="60">
        <f t="shared" si="53"/>
        <v>277</v>
      </c>
      <c r="H292" s="60">
        <f t="shared" si="53"/>
        <v>0</v>
      </c>
      <c r="I292" s="60">
        <f t="shared" si="53"/>
        <v>277</v>
      </c>
      <c r="J292" s="65" t="s">
        <v>64</v>
      </c>
      <c r="K292" s="59"/>
    </row>
    <row r="293" spans="1:11" ht="12.75" customHeight="1" thickBot="1" x14ac:dyDescent="0.25">
      <c r="A293" s="60">
        <f t="shared" ref="A293:H293" si="54">SUM(A290:A292)</f>
        <v>277</v>
      </c>
      <c r="B293" s="60">
        <f t="shared" si="54"/>
        <v>0</v>
      </c>
      <c r="C293" s="60">
        <f t="shared" si="54"/>
        <v>277</v>
      </c>
      <c r="D293" s="60">
        <f t="shared" si="54"/>
        <v>0</v>
      </c>
      <c r="E293" s="60">
        <f t="shared" si="54"/>
        <v>0</v>
      </c>
      <c r="F293" s="60">
        <f t="shared" si="54"/>
        <v>0</v>
      </c>
      <c r="G293" s="60">
        <f t="shared" si="54"/>
        <v>277</v>
      </c>
      <c r="H293" s="60">
        <f t="shared" si="54"/>
        <v>0</v>
      </c>
      <c r="I293" s="60">
        <f>SUM(I290:I292)</f>
        <v>277</v>
      </c>
      <c r="J293" s="184" t="s">
        <v>233</v>
      </c>
      <c r="K293" s="184"/>
    </row>
  </sheetData>
  <mergeCells count="80">
    <mergeCell ref="A1:K1"/>
    <mergeCell ref="A2:K2"/>
    <mergeCell ref="A3:C3"/>
    <mergeCell ref="D3:F3"/>
    <mergeCell ref="G3:I3"/>
    <mergeCell ref="J3:K3"/>
    <mergeCell ref="J4:K4"/>
    <mergeCell ref="J38:K38"/>
    <mergeCell ref="A40:K40"/>
    <mergeCell ref="A41:K41"/>
    <mergeCell ref="A42:C42"/>
    <mergeCell ref="D42:F42"/>
    <mergeCell ref="G42:I42"/>
    <mergeCell ref="J42:K42"/>
    <mergeCell ref="J43:K43"/>
    <mergeCell ref="J62:K62"/>
    <mergeCell ref="A64:K64"/>
    <mergeCell ref="A65:K65"/>
    <mergeCell ref="A66:C66"/>
    <mergeCell ref="D66:F66"/>
    <mergeCell ref="G66:I66"/>
    <mergeCell ref="J66:K66"/>
    <mergeCell ref="J67:K67"/>
    <mergeCell ref="J98:K98"/>
    <mergeCell ref="A100:K100"/>
    <mergeCell ref="A101:K101"/>
    <mergeCell ref="A102:C102"/>
    <mergeCell ref="D102:F102"/>
    <mergeCell ref="G102:I102"/>
    <mergeCell ref="J102:K102"/>
    <mergeCell ref="J103:K103"/>
    <mergeCell ref="J155:K155"/>
    <mergeCell ref="A157:K157"/>
    <mergeCell ref="A158:K158"/>
    <mergeCell ref="A159:C159"/>
    <mergeCell ref="D159:F159"/>
    <mergeCell ref="G159:I159"/>
    <mergeCell ref="J159:K159"/>
    <mergeCell ref="J160:K160"/>
    <mergeCell ref="J200:K200"/>
    <mergeCell ref="A202:K202"/>
    <mergeCell ref="A203:K203"/>
    <mergeCell ref="A204:C204"/>
    <mergeCell ref="D204:F204"/>
    <mergeCell ref="G204:I204"/>
    <mergeCell ref="J204:K204"/>
    <mergeCell ref="J205:K205"/>
    <mergeCell ref="J224:K224"/>
    <mergeCell ref="A226:K226"/>
    <mergeCell ref="A227:K227"/>
    <mergeCell ref="A228:C228"/>
    <mergeCell ref="D228:F228"/>
    <mergeCell ref="G228:I228"/>
    <mergeCell ref="J228:K228"/>
    <mergeCell ref="J229:K229"/>
    <mergeCell ref="J251:K251"/>
    <mergeCell ref="A253:K253"/>
    <mergeCell ref="A254:K254"/>
    <mergeCell ref="A255:C255"/>
    <mergeCell ref="D255:F255"/>
    <mergeCell ref="G255:I255"/>
    <mergeCell ref="J255:K255"/>
    <mergeCell ref="J256:K256"/>
    <mergeCell ref="J269:K269"/>
    <mergeCell ref="A271:K271"/>
    <mergeCell ref="A272:K272"/>
    <mergeCell ref="A273:C273"/>
    <mergeCell ref="D273:F273"/>
    <mergeCell ref="G273:I273"/>
    <mergeCell ref="J273:K273"/>
    <mergeCell ref="J286:K286"/>
    <mergeCell ref="J293:K293"/>
    <mergeCell ref="J274:K274"/>
    <mergeCell ref="J281:K281"/>
    <mergeCell ref="A283:K283"/>
    <mergeCell ref="A284:K284"/>
    <mergeCell ref="A285:C285"/>
    <mergeCell ref="D285:F285"/>
    <mergeCell ref="G285:I285"/>
    <mergeCell ref="J285:K285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85"/>
  <sheetViews>
    <sheetView showGridLines="0" workbookViewId="0">
      <selection activeCell="P3" sqref="P3:P4"/>
    </sheetView>
  </sheetViews>
  <sheetFormatPr defaultRowHeight="12.75" x14ac:dyDescent="0.2"/>
  <cols>
    <col min="1" max="3" width="6.125" style="2" customWidth="1"/>
    <col min="4" max="15" width="5.375" style="2" customWidth="1"/>
    <col min="16" max="16" width="9.625" style="2" customWidth="1"/>
    <col min="17" max="17" width="35.75" style="2" customWidth="1"/>
    <col min="18" max="18" width="3.25" style="2" customWidth="1"/>
    <col min="19" max="256" width="9" style="2"/>
    <col min="257" max="259" width="6.125" style="2" customWidth="1"/>
    <col min="260" max="271" width="5.375" style="2" customWidth="1"/>
    <col min="272" max="272" width="9.625" style="2" customWidth="1"/>
    <col min="273" max="273" width="35.75" style="2" customWidth="1"/>
    <col min="274" max="274" width="3.25" style="2" customWidth="1"/>
    <col min="275" max="512" width="9" style="2"/>
    <col min="513" max="515" width="6.125" style="2" customWidth="1"/>
    <col min="516" max="527" width="5.375" style="2" customWidth="1"/>
    <col min="528" max="528" width="9.625" style="2" customWidth="1"/>
    <col min="529" max="529" width="35.75" style="2" customWidth="1"/>
    <col min="530" max="530" width="3.25" style="2" customWidth="1"/>
    <col min="531" max="768" width="9" style="2"/>
    <col min="769" max="771" width="6.125" style="2" customWidth="1"/>
    <col min="772" max="783" width="5.375" style="2" customWidth="1"/>
    <col min="784" max="784" width="9.625" style="2" customWidth="1"/>
    <col min="785" max="785" width="35.75" style="2" customWidth="1"/>
    <col min="786" max="786" width="3.25" style="2" customWidth="1"/>
    <col min="787" max="1024" width="9" style="2"/>
    <col min="1025" max="1027" width="6.125" style="2" customWidth="1"/>
    <col min="1028" max="1039" width="5.375" style="2" customWidth="1"/>
    <col min="1040" max="1040" width="9.625" style="2" customWidth="1"/>
    <col min="1041" max="1041" width="35.75" style="2" customWidth="1"/>
    <col min="1042" max="1042" width="3.25" style="2" customWidth="1"/>
    <col min="1043" max="1280" width="9" style="2"/>
    <col min="1281" max="1283" width="6.125" style="2" customWidth="1"/>
    <col min="1284" max="1295" width="5.375" style="2" customWidth="1"/>
    <col min="1296" max="1296" width="9.625" style="2" customWidth="1"/>
    <col min="1297" max="1297" width="35.75" style="2" customWidth="1"/>
    <col min="1298" max="1298" width="3.25" style="2" customWidth="1"/>
    <col min="1299" max="1536" width="9" style="2"/>
    <col min="1537" max="1539" width="6.125" style="2" customWidth="1"/>
    <col min="1540" max="1551" width="5.375" style="2" customWidth="1"/>
    <col min="1552" max="1552" width="9.625" style="2" customWidth="1"/>
    <col min="1553" max="1553" width="35.75" style="2" customWidth="1"/>
    <col min="1554" max="1554" width="3.25" style="2" customWidth="1"/>
    <col min="1555" max="1792" width="9" style="2"/>
    <col min="1793" max="1795" width="6.125" style="2" customWidth="1"/>
    <col min="1796" max="1807" width="5.375" style="2" customWidth="1"/>
    <col min="1808" max="1808" width="9.625" style="2" customWidth="1"/>
    <col min="1809" max="1809" width="35.75" style="2" customWidth="1"/>
    <col min="1810" max="1810" width="3.25" style="2" customWidth="1"/>
    <col min="1811" max="2048" width="9" style="2"/>
    <col min="2049" max="2051" width="6.125" style="2" customWidth="1"/>
    <col min="2052" max="2063" width="5.375" style="2" customWidth="1"/>
    <col min="2064" max="2064" width="9.625" style="2" customWidth="1"/>
    <col min="2065" max="2065" width="35.75" style="2" customWidth="1"/>
    <col min="2066" max="2066" width="3.25" style="2" customWidth="1"/>
    <col min="2067" max="2304" width="9" style="2"/>
    <col min="2305" max="2307" width="6.125" style="2" customWidth="1"/>
    <col min="2308" max="2319" width="5.375" style="2" customWidth="1"/>
    <col min="2320" max="2320" width="9.625" style="2" customWidth="1"/>
    <col min="2321" max="2321" width="35.75" style="2" customWidth="1"/>
    <col min="2322" max="2322" width="3.25" style="2" customWidth="1"/>
    <col min="2323" max="2560" width="9" style="2"/>
    <col min="2561" max="2563" width="6.125" style="2" customWidth="1"/>
    <col min="2564" max="2575" width="5.375" style="2" customWidth="1"/>
    <col min="2576" max="2576" width="9.625" style="2" customWidth="1"/>
    <col min="2577" max="2577" width="35.75" style="2" customWidth="1"/>
    <col min="2578" max="2578" width="3.25" style="2" customWidth="1"/>
    <col min="2579" max="2816" width="9" style="2"/>
    <col min="2817" max="2819" width="6.125" style="2" customWidth="1"/>
    <col min="2820" max="2831" width="5.375" style="2" customWidth="1"/>
    <col min="2832" max="2832" width="9.625" style="2" customWidth="1"/>
    <col min="2833" max="2833" width="35.75" style="2" customWidth="1"/>
    <col min="2834" max="2834" width="3.25" style="2" customWidth="1"/>
    <col min="2835" max="3072" width="9" style="2"/>
    <col min="3073" max="3075" width="6.125" style="2" customWidth="1"/>
    <col min="3076" max="3087" width="5.375" style="2" customWidth="1"/>
    <col min="3088" max="3088" width="9.625" style="2" customWidth="1"/>
    <col min="3089" max="3089" width="35.75" style="2" customWidth="1"/>
    <col min="3090" max="3090" width="3.25" style="2" customWidth="1"/>
    <col min="3091" max="3328" width="9" style="2"/>
    <col min="3329" max="3331" width="6.125" style="2" customWidth="1"/>
    <col min="3332" max="3343" width="5.375" style="2" customWidth="1"/>
    <col min="3344" max="3344" width="9.625" style="2" customWidth="1"/>
    <col min="3345" max="3345" width="35.75" style="2" customWidth="1"/>
    <col min="3346" max="3346" width="3.25" style="2" customWidth="1"/>
    <col min="3347" max="3584" width="9" style="2"/>
    <col min="3585" max="3587" width="6.125" style="2" customWidth="1"/>
    <col min="3588" max="3599" width="5.375" style="2" customWidth="1"/>
    <col min="3600" max="3600" width="9.625" style="2" customWidth="1"/>
    <col min="3601" max="3601" width="35.75" style="2" customWidth="1"/>
    <col min="3602" max="3602" width="3.25" style="2" customWidth="1"/>
    <col min="3603" max="3840" width="9" style="2"/>
    <col min="3841" max="3843" width="6.125" style="2" customWidth="1"/>
    <col min="3844" max="3855" width="5.375" style="2" customWidth="1"/>
    <col min="3856" max="3856" width="9.625" style="2" customWidth="1"/>
    <col min="3857" max="3857" width="35.75" style="2" customWidth="1"/>
    <col min="3858" max="3858" width="3.25" style="2" customWidth="1"/>
    <col min="3859" max="4096" width="9" style="2"/>
    <col min="4097" max="4099" width="6.125" style="2" customWidth="1"/>
    <col min="4100" max="4111" width="5.375" style="2" customWidth="1"/>
    <col min="4112" max="4112" width="9.625" style="2" customWidth="1"/>
    <col min="4113" max="4113" width="35.75" style="2" customWidth="1"/>
    <col min="4114" max="4114" width="3.25" style="2" customWidth="1"/>
    <col min="4115" max="4352" width="9" style="2"/>
    <col min="4353" max="4355" width="6.125" style="2" customWidth="1"/>
    <col min="4356" max="4367" width="5.375" style="2" customWidth="1"/>
    <col min="4368" max="4368" width="9.625" style="2" customWidth="1"/>
    <col min="4369" max="4369" width="35.75" style="2" customWidth="1"/>
    <col min="4370" max="4370" width="3.25" style="2" customWidth="1"/>
    <col min="4371" max="4608" width="9" style="2"/>
    <col min="4609" max="4611" width="6.125" style="2" customWidth="1"/>
    <col min="4612" max="4623" width="5.375" style="2" customWidth="1"/>
    <col min="4624" max="4624" width="9.625" style="2" customWidth="1"/>
    <col min="4625" max="4625" width="35.75" style="2" customWidth="1"/>
    <col min="4626" max="4626" width="3.25" style="2" customWidth="1"/>
    <col min="4627" max="4864" width="9" style="2"/>
    <col min="4865" max="4867" width="6.125" style="2" customWidth="1"/>
    <col min="4868" max="4879" width="5.375" style="2" customWidth="1"/>
    <col min="4880" max="4880" width="9.625" style="2" customWidth="1"/>
    <col min="4881" max="4881" width="35.75" style="2" customWidth="1"/>
    <col min="4882" max="4882" width="3.25" style="2" customWidth="1"/>
    <col min="4883" max="5120" width="9" style="2"/>
    <col min="5121" max="5123" width="6.125" style="2" customWidth="1"/>
    <col min="5124" max="5135" width="5.375" style="2" customWidth="1"/>
    <col min="5136" max="5136" width="9.625" style="2" customWidth="1"/>
    <col min="5137" max="5137" width="35.75" style="2" customWidth="1"/>
    <col min="5138" max="5138" width="3.25" style="2" customWidth="1"/>
    <col min="5139" max="5376" width="9" style="2"/>
    <col min="5377" max="5379" width="6.125" style="2" customWidth="1"/>
    <col min="5380" max="5391" width="5.375" style="2" customWidth="1"/>
    <col min="5392" max="5392" width="9.625" style="2" customWidth="1"/>
    <col min="5393" max="5393" width="35.75" style="2" customWidth="1"/>
    <col min="5394" max="5394" width="3.25" style="2" customWidth="1"/>
    <col min="5395" max="5632" width="9" style="2"/>
    <col min="5633" max="5635" width="6.125" style="2" customWidth="1"/>
    <col min="5636" max="5647" width="5.375" style="2" customWidth="1"/>
    <col min="5648" max="5648" width="9.625" style="2" customWidth="1"/>
    <col min="5649" max="5649" width="35.75" style="2" customWidth="1"/>
    <col min="5650" max="5650" width="3.25" style="2" customWidth="1"/>
    <col min="5651" max="5888" width="9" style="2"/>
    <col min="5889" max="5891" width="6.125" style="2" customWidth="1"/>
    <col min="5892" max="5903" width="5.375" style="2" customWidth="1"/>
    <col min="5904" max="5904" width="9.625" style="2" customWidth="1"/>
    <col min="5905" max="5905" width="35.75" style="2" customWidth="1"/>
    <col min="5906" max="5906" width="3.25" style="2" customWidth="1"/>
    <col min="5907" max="6144" width="9" style="2"/>
    <col min="6145" max="6147" width="6.125" style="2" customWidth="1"/>
    <col min="6148" max="6159" width="5.375" style="2" customWidth="1"/>
    <col min="6160" max="6160" width="9.625" style="2" customWidth="1"/>
    <col min="6161" max="6161" width="35.75" style="2" customWidth="1"/>
    <col min="6162" max="6162" width="3.25" style="2" customWidth="1"/>
    <col min="6163" max="6400" width="9" style="2"/>
    <col min="6401" max="6403" width="6.125" style="2" customWidth="1"/>
    <col min="6404" max="6415" width="5.375" style="2" customWidth="1"/>
    <col min="6416" max="6416" width="9.625" style="2" customWidth="1"/>
    <col min="6417" max="6417" width="35.75" style="2" customWidth="1"/>
    <col min="6418" max="6418" width="3.25" style="2" customWidth="1"/>
    <col min="6419" max="6656" width="9" style="2"/>
    <col min="6657" max="6659" width="6.125" style="2" customWidth="1"/>
    <col min="6660" max="6671" width="5.375" style="2" customWidth="1"/>
    <col min="6672" max="6672" width="9.625" style="2" customWidth="1"/>
    <col min="6673" max="6673" width="35.75" style="2" customWidth="1"/>
    <col min="6674" max="6674" width="3.25" style="2" customWidth="1"/>
    <col min="6675" max="6912" width="9" style="2"/>
    <col min="6913" max="6915" width="6.125" style="2" customWidth="1"/>
    <col min="6916" max="6927" width="5.375" style="2" customWidth="1"/>
    <col min="6928" max="6928" width="9.625" style="2" customWidth="1"/>
    <col min="6929" max="6929" width="35.75" style="2" customWidth="1"/>
    <col min="6930" max="6930" width="3.25" style="2" customWidth="1"/>
    <col min="6931" max="7168" width="9" style="2"/>
    <col min="7169" max="7171" width="6.125" style="2" customWidth="1"/>
    <col min="7172" max="7183" width="5.375" style="2" customWidth="1"/>
    <col min="7184" max="7184" width="9.625" style="2" customWidth="1"/>
    <col min="7185" max="7185" width="35.75" style="2" customWidth="1"/>
    <col min="7186" max="7186" width="3.25" style="2" customWidth="1"/>
    <col min="7187" max="7424" width="9" style="2"/>
    <col min="7425" max="7427" width="6.125" style="2" customWidth="1"/>
    <col min="7428" max="7439" width="5.375" style="2" customWidth="1"/>
    <col min="7440" max="7440" width="9.625" style="2" customWidth="1"/>
    <col min="7441" max="7441" width="35.75" style="2" customWidth="1"/>
    <col min="7442" max="7442" width="3.25" style="2" customWidth="1"/>
    <col min="7443" max="7680" width="9" style="2"/>
    <col min="7681" max="7683" width="6.125" style="2" customWidth="1"/>
    <col min="7684" max="7695" width="5.375" style="2" customWidth="1"/>
    <col min="7696" max="7696" width="9.625" style="2" customWidth="1"/>
    <col min="7697" max="7697" width="35.75" style="2" customWidth="1"/>
    <col min="7698" max="7698" width="3.25" style="2" customWidth="1"/>
    <col min="7699" max="7936" width="9" style="2"/>
    <col min="7937" max="7939" width="6.125" style="2" customWidth="1"/>
    <col min="7940" max="7951" width="5.375" style="2" customWidth="1"/>
    <col min="7952" max="7952" width="9.625" style="2" customWidth="1"/>
    <col min="7953" max="7953" width="35.75" style="2" customWidth="1"/>
    <col min="7954" max="7954" width="3.25" style="2" customWidth="1"/>
    <col min="7955" max="8192" width="9" style="2"/>
    <col min="8193" max="8195" width="6.125" style="2" customWidth="1"/>
    <col min="8196" max="8207" width="5.375" style="2" customWidth="1"/>
    <col min="8208" max="8208" width="9.625" style="2" customWidth="1"/>
    <col min="8209" max="8209" width="35.75" style="2" customWidth="1"/>
    <col min="8210" max="8210" width="3.25" style="2" customWidth="1"/>
    <col min="8211" max="8448" width="9" style="2"/>
    <col min="8449" max="8451" width="6.125" style="2" customWidth="1"/>
    <col min="8452" max="8463" width="5.375" style="2" customWidth="1"/>
    <col min="8464" max="8464" width="9.625" style="2" customWidth="1"/>
    <col min="8465" max="8465" width="35.75" style="2" customWidth="1"/>
    <col min="8466" max="8466" width="3.25" style="2" customWidth="1"/>
    <col min="8467" max="8704" width="9" style="2"/>
    <col min="8705" max="8707" width="6.125" style="2" customWidth="1"/>
    <col min="8708" max="8719" width="5.375" style="2" customWidth="1"/>
    <col min="8720" max="8720" width="9.625" style="2" customWidth="1"/>
    <col min="8721" max="8721" width="35.75" style="2" customWidth="1"/>
    <col min="8722" max="8722" width="3.25" style="2" customWidth="1"/>
    <col min="8723" max="8960" width="9" style="2"/>
    <col min="8961" max="8963" width="6.125" style="2" customWidth="1"/>
    <col min="8964" max="8975" width="5.375" style="2" customWidth="1"/>
    <col min="8976" max="8976" width="9.625" style="2" customWidth="1"/>
    <col min="8977" max="8977" width="35.75" style="2" customWidth="1"/>
    <col min="8978" max="8978" width="3.25" style="2" customWidth="1"/>
    <col min="8979" max="9216" width="9" style="2"/>
    <col min="9217" max="9219" width="6.125" style="2" customWidth="1"/>
    <col min="9220" max="9231" width="5.375" style="2" customWidth="1"/>
    <col min="9232" max="9232" width="9.625" style="2" customWidth="1"/>
    <col min="9233" max="9233" width="35.75" style="2" customWidth="1"/>
    <col min="9234" max="9234" width="3.25" style="2" customWidth="1"/>
    <col min="9235" max="9472" width="9" style="2"/>
    <col min="9473" max="9475" width="6.125" style="2" customWidth="1"/>
    <col min="9476" max="9487" width="5.375" style="2" customWidth="1"/>
    <col min="9488" max="9488" width="9.625" style="2" customWidth="1"/>
    <col min="9489" max="9489" width="35.75" style="2" customWidth="1"/>
    <col min="9490" max="9490" width="3.25" style="2" customWidth="1"/>
    <col min="9491" max="9728" width="9" style="2"/>
    <col min="9729" max="9731" width="6.125" style="2" customWidth="1"/>
    <col min="9732" max="9743" width="5.375" style="2" customWidth="1"/>
    <col min="9744" max="9744" width="9.625" style="2" customWidth="1"/>
    <col min="9745" max="9745" width="35.75" style="2" customWidth="1"/>
    <col min="9746" max="9746" width="3.25" style="2" customWidth="1"/>
    <col min="9747" max="9984" width="9" style="2"/>
    <col min="9985" max="9987" width="6.125" style="2" customWidth="1"/>
    <col min="9988" max="9999" width="5.375" style="2" customWidth="1"/>
    <col min="10000" max="10000" width="9.625" style="2" customWidth="1"/>
    <col min="10001" max="10001" width="35.75" style="2" customWidth="1"/>
    <col min="10002" max="10002" width="3.25" style="2" customWidth="1"/>
    <col min="10003" max="10240" width="9" style="2"/>
    <col min="10241" max="10243" width="6.125" style="2" customWidth="1"/>
    <col min="10244" max="10255" width="5.375" style="2" customWidth="1"/>
    <col min="10256" max="10256" width="9.625" style="2" customWidth="1"/>
    <col min="10257" max="10257" width="35.75" style="2" customWidth="1"/>
    <col min="10258" max="10258" width="3.25" style="2" customWidth="1"/>
    <col min="10259" max="10496" width="9" style="2"/>
    <col min="10497" max="10499" width="6.125" style="2" customWidth="1"/>
    <col min="10500" max="10511" width="5.375" style="2" customWidth="1"/>
    <col min="10512" max="10512" width="9.625" style="2" customWidth="1"/>
    <col min="10513" max="10513" width="35.75" style="2" customWidth="1"/>
    <col min="10514" max="10514" width="3.25" style="2" customWidth="1"/>
    <col min="10515" max="10752" width="9" style="2"/>
    <col min="10753" max="10755" width="6.125" style="2" customWidth="1"/>
    <col min="10756" max="10767" width="5.375" style="2" customWidth="1"/>
    <col min="10768" max="10768" width="9.625" style="2" customWidth="1"/>
    <col min="10769" max="10769" width="35.75" style="2" customWidth="1"/>
    <col min="10770" max="10770" width="3.25" style="2" customWidth="1"/>
    <col min="10771" max="11008" width="9" style="2"/>
    <col min="11009" max="11011" width="6.125" style="2" customWidth="1"/>
    <col min="11012" max="11023" width="5.375" style="2" customWidth="1"/>
    <col min="11024" max="11024" width="9.625" style="2" customWidth="1"/>
    <col min="11025" max="11025" width="35.75" style="2" customWidth="1"/>
    <col min="11026" max="11026" width="3.25" style="2" customWidth="1"/>
    <col min="11027" max="11264" width="9" style="2"/>
    <col min="11265" max="11267" width="6.125" style="2" customWidth="1"/>
    <col min="11268" max="11279" width="5.375" style="2" customWidth="1"/>
    <col min="11280" max="11280" width="9.625" style="2" customWidth="1"/>
    <col min="11281" max="11281" width="35.75" style="2" customWidth="1"/>
    <col min="11282" max="11282" width="3.25" style="2" customWidth="1"/>
    <col min="11283" max="11520" width="9" style="2"/>
    <col min="11521" max="11523" width="6.125" style="2" customWidth="1"/>
    <col min="11524" max="11535" width="5.375" style="2" customWidth="1"/>
    <col min="11536" max="11536" width="9.625" style="2" customWidth="1"/>
    <col min="11537" max="11537" width="35.75" style="2" customWidth="1"/>
    <col min="11538" max="11538" width="3.25" style="2" customWidth="1"/>
    <col min="11539" max="11776" width="9" style="2"/>
    <col min="11777" max="11779" width="6.125" style="2" customWidth="1"/>
    <col min="11780" max="11791" width="5.375" style="2" customWidth="1"/>
    <col min="11792" max="11792" width="9.625" style="2" customWidth="1"/>
    <col min="11793" max="11793" width="35.75" style="2" customWidth="1"/>
    <col min="11794" max="11794" width="3.25" style="2" customWidth="1"/>
    <col min="11795" max="12032" width="9" style="2"/>
    <col min="12033" max="12035" width="6.125" style="2" customWidth="1"/>
    <col min="12036" max="12047" width="5.375" style="2" customWidth="1"/>
    <col min="12048" max="12048" width="9.625" style="2" customWidth="1"/>
    <col min="12049" max="12049" width="35.75" style="2" customWidth="1"/>
    <col min="12050" max="12050" width="3.25" style="2" customWidth="1"/>
    <col min="12051" max="12288" width="9" style="2"/>
    <col min="12289" max="12291" width="6.125" style="2" customWidth="1"/>
    <col min="12292" max="12303" width="5.375" style="2" customWidth="1"/>
    <col min="12304" max="12304" width="9.625" style="2" customWidth="1"/>
    <col min="12305" max="12305" width="35.75" style="2" customWidth="1"/>
    <col min="12306" max="12306" width="3.25" style="2" customWidth="1"/>
    <col min="12307" max="12544" width="9" style="2"/>
    <col min="12545" max="12547" width="6.125" style="2" customWidth="1"/>
    <col min="12548" max="12559" width="5.375" style="2" customWidth="1"/>
    <col min="12560" max="12560" width="9.625" style="2" customWidth="1"/>
    <col min="12561" max="12561" width="35.75" style="2" customWidth="1"/>
    <col min="12562" max="12562" width="3.25" style="2" customWidth="1"/>
    <col min="12563" max="12800" width="9" style="2"/>
    <col min="12801" max="12803" width="6.125" style="2" customWidth="1"/>
    <col min="12804" max="12815" width="5.375" style="2" customWidth="1"/>
    <col min="12816" max="12816" width="9.625" style="2" customWidth="1"/>
    <col min="12817" max="12817" width="35.75" style="2" customWidth="1"/>
    <col min="12818" max="12818" width="3.25" style="2" customWidth="1"/>
    <col min="12819" max="13056" width="9" style="2"/>
    <col min="13057" max="13059" width="6.125" style="2" customWidth="1"/>
    <col min="13060" max="13071" width="5.375" style="2" customWidth="1"/>
    <col min="13072" max="13072" width="9.625" style="2" customWidth="1"/>
    <col min="13073" max="13073" width="35.75" style="2" customWidth="1"/>
    <col min="13074" max="13074" width="3.25" style="2" customWidth="1"/>
    <col min="13075" max="13312" width="9" style="2"/>
    <col min="13313" max="13315" width="6.125" style="2" customWidth="1"/>
    <col min="13316" max="13327" width="5.375" style="2" customWidth="1"/>
    <col min="13328" max="13328" width="9.625" style="2" customWidth="1"/>
    <col min="13329" max="13329" width="35.75" style="2" customWidth="1"/>
    <col min="13330" max="13330" width="3.25" style="2" customWidth="1"/>
    <col min="13331" max="13568" width="9" style="2"/>
    <col min="13569" max="13571" width="6.125" style="2" customWidth="1"/>
    <col min="13572" max="13583" width="5.375" style="2" customWidth="1"/>
    <col min="13584" max="13584" width="9.625" style="2" customWidth="1"/>
    <col min="13585" max="13585" width="35.75" style="2" customWidth="1"/>
    <col min="13586" max="13586" width="3.25" style="2" customWidth="1"/>
    <col min="13587" max="13824" width="9" style="2"/>
    <col min="13825" max="13827" width="6.125" style="2" customWidth="1"/>
    <col min="13828" max="13839" width="5.375" style="2" customWidth="1"/>
    <col min="13840" max="13840" width="9.625" style="2" customWidth="1"/>
    <col min="13841" max="13841" width="35.75" style="2" customWidth="1"/>
    <col min="13842" max="13842" width="3.25" style="2" customWidth="1"/>
    <col min="13843" max="14080" width="9" style="2"/>
    <col min="14081" max="14083" width="6.125" style="2" customWidth="1"/>
    <col min="14084" max="14095" width="5.375" style="2" customWidth="1"/>
    <col min="14096" max="14096" width="9.625" style="2" customWidth="1"/>
    <col min="14097" max="14097" width="35.75" style="2" customWidth="1"/>
    <col min="14098" max="14098" width="3.25" style="2" customWidth="1"/>
    <col min="14099" max="14336" width="9" style="2"/>
    <col min="14337" max="14339" width="6.125" style="2" customWidth="1"/>
    <col min="14340" max="14351" width="5.375" style="2" customWidth="1"/>
    <col min="14352" max="14352" width="9.625" style="2" customWidth="1"/>
    <col min="14353" max="14353" width="35.75" style="2" customWidth="1"/>
    <col min="14354" max="14354" width="3.25" style="2" customWidth="1"/>
    <col min="14355" max="14592" width="9" style="2"/>
    <col min="14593" max="14595" width="6.125" style="2" customWidth="1"/>
    <col min="14596" max="14607" width="5.375" style="2" customWidth="1"/>
    <col min="14608" max="14608" width="9.625" style="2" customWidth="1"/>
    <col min="14609" max="14609" width="35.75" style="2" customWidth="1"/>
    <col min="14610" max="14610" width="3.25" style="2" customWidth="1"/>
    <col min="14611" max="14848" width="9" style="2"/>
    <col min="14849" max="14851" width="6.125" style="2" customWidth="1"/>
    <col min="14852" max="14863" width="5.375" style="2" customWidth="1"/>
    <col min="14864" max="14864" width="9.625" style="2" customWidth="1"/>
    <col min="14865" max="14865" width="35.75" style="2" customWidth="1"/>
    <col min="14866" max="14866" width="3.25" style="2" customWidth="1"/>
    <col min="14867" max="15104" width="9" style="2"/>
    <col min="15105" max="15107" width="6.125" style="2" customWidth="1"/>
    <col min="15108" max="15119" width="5.375" style="2" customWidth="1"/>
    <col min="15120" max="15120" width="9.625" style="2" customWidth="1"/>
    <col min="15121" max="15121" width="35.75" style="2" customWidth="1"/>
    <col min="15122" max="15122" width="3.25" style="2" customWidth="1"/>
    <col min="15123" max="15360" width="9" style="2"/>
    <col min="15361" max="15363" width="6.125" style="2" customWidth="1"/>
    <col min="15364" max="15375" width="5.375" style="2" customWidth="1"/>
    <col min="15376" max="15376" width="9.625" style="2" customWidth="1"/>
    <col min="15377" max="15377" width="35.75" style="2" customWidth="1"/>
    <col min="15378" max="15378" width="3.25" style="2" customWidth="1"/>
    <col min="15379" max="15616" width="9" style="2"/>
    <col min="15617" max="15619" width="6.125" style="2" customWidth="1"/>
    <col min="15620" max="15631" width="5.375" style="2" customWidth="1"/>
    <col min="15632" max="15632" width="9.625" style="2" customWidth="1"/>
    <col min="15633" max="15633" width="35.75" style="2" customWidth="1"/>
    <col min="15634" max="15634" width="3.25" style="2" customWidth="1"/>
    <col min="15635" max="15872" width="9" style="2"/>
    <col min="15873" max="15875" width="6.125" style="2" customWidth="1"/>
    <col min="15876" max="15887" width="5.375" style="2" customWidth="1"/>
    <col min="15888" max="15888" width="9.625" style="2" customWidth="1"/>
    <col min="15889" max="15889" width="35.75" style="2" customWidth="1"/>
    <col min="15890" max="15890" width="3.25" style="2" customWidth="1"/>
    <col min="15891" max="16128" width="9" style="2"/>
    <col min="16129" max="16131" width="6.125" style="2" customWidth="1"/>
    <col min="16132" max="16143" width="5.375" style="2" customWidth="1"/>
    <col min="16144" max="16144" width="9.625" style="2" customWidth="1"/>
    <col min="16145" max="16145" width="35.75" style="2" customWidth="1"/>
    <col min="16146" max="16146" width="3.25" style="2" customWidth="1"/>
    <col min="16147" max="16384" width="9" style="2"/>
  </cols>
  <sheetData>
    <row r="1" spans="1:18" ht="20.100000000000001" customHeight="1" x14ac:dyDescent="0.2">
      <c r="A1" s="159" t="s">
        <v>607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"/>
    </row>
    <row r="2" spans="1:18" ht="20.100000000000001" customHeight="1" thickBot="1" x14ac:dyDescent="0.25">
      <c r="A2" s="160" t="s">
        <v>608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"/>
    </row>
    <row r="3" spans="1:18" ht="13.5" thickBot="1" x14ac:dyDescent="0.25">
      <c r="A3" s="204" t="s">
        <v>5</v>
      </c>
      <c r="B3" s="204"/>
      <c r="C3" s="204"/>
      <c r="D3" s="204" t="s">
        <v>57</v>
      </c>
      <c r="E3" s="204"/>
      <c r="F3" s="204" t="s">
        <v>609</v>
      </c>
      <c r="G3" s="204"/>
      <c r="H3" s="204" t="s">
        <v>610</v>
      </c>
      <c r="I3" s="204"/>
      <c r="J3" s="204" t="s">
        <v>611</v>
      </c>
      <c r="K3" s="204"/>
      <c r="L3" s="204" t="s">
        <v>612</v>
      </c>
      <c r="M3" s="204"/>
      <c r="N3" s="204" t="s">
        <v>613</v>
      </c>
      <c r="O3" s="204"/>
      <c r="P3" s="205" t="s">
        <v>614</v>
      </c>
      <c r="Q3" s="3"/>
      <c r="R3" s="1"/>
    </row>
    <row r="4" spans="1:18" ht="15" customHeight="1" thickBot="1" x14ac:dyDescent="0.25">
      <c r="A4" s="47" t="s">
        <v>216</v>
      </c>
      <c r="B4" s="47" t="s">
        <v>11</v>
      </c>
      <c r="C4" s="47" t="s">
        <v>10</v>
      </c>
      <c r="D4" s="47" t="s">
        <v>11</v>
      </c>
      <c r="E4" s="47" t="s">
        <v>10</v>
      </c>
      <c r="F4" s="47" t="s">
        <v>11</v>
      </c>
      <c r="G4" s="47" t="s">
        <v>10</v>
      </c>
      <c r="H4" s="47" t="s">
        <v>11</v>
      </c>
      <c r="I4" s="47" t="s">
        <v>10</v>
      </c>
      <c r="J4" s="47" t="s">
        <v>11</v>
      </c>
      <c r="K4" s="47" t="s">
        <v>10</v>
      </c>
      <c r="L4" s="47" t="s">
        <v>11</v>
      </c>
      <c r="M4" s="47" t="s">
        <v>10</v>
      </c>
      <c r="N4" s="47" t="s">
        <v>11</v>
      </c>
      <c r="O4" s="47" t="s">
        <v>10</v>
      </c>
      <c r="P4" s="206"/>
      <c r="Q4" s="5" t="s">
        <v>161</v>
      </c>
      <c r="R4" s="1"/>
    </row>
    <row r="5" spans="1:18" ht="13.5" thickBot="1" x14ac:dyDescent="0.25">
      <c r="A5" s="123">
        <f>SUM(B5:C5)</f>
        <v>2179</v>
      </c>
      <c r="B5" s="123">
        <f>SUM(N5+L5+J5+H5+F5+D5)</f>
        <v>1053</v>
      </c>
      <c r="C5" s="123">
        <f>SUM(O5+M5+K5+I5+G5+E5)</f>
        <v>1126</v>
      </c>
      <c r="D5" s="123">
        <v>38</v>
      </c>
      <c r="E5" s="123">
        <v>7</v>
      </c>
      <c r="F5" s="123">
        <v>376</v>
      </c>
      <c r="G5" s="123">
        <v>249</v>
      </c>
      <c r="H5" s="123">
        <v>348</v>
      </c>
      <c r="I5" s="123">
        <v>206</v>
      </c>
      <c r="J5" s="123">
        <v>258</v>
      </c>
      <c r="K5" s="123">
        <v>424</v>
      </c>
      <c r="L5" s="123">
        <v>29</v>
      </c>
      <c r="M5" s="123">
        <v>152</v>
      </c>
      <c r="N5" s="123">
        <v>4</v>
      </c>
      <c r="O5" s="123">
        <v>88</v>
      </c>
      <c r="P5" s="7" t="s">
        <v>163</v>
      </c>
      <c r="Q5" s="124"/>
      <c r="R5" s="1"/>
    </row>
    <row r="6" spans="1:18" ht="13.5" thickBot="1" x14ac:dyDescent="0.25">
      <c r="A6" s="123">
        <f t="shared" ref="A6:A69" si="0">SUM(B6:C6)</f>
        <v>661</v>
      </c>
      <c r="B6" s="123">
        <f t="shared" ref="B6:C69" si="1">SUM(N6+L6+J6+H6+F6+D6)</f>
        <v>176</v>
      </c>
      <c r="C6" s="123">
        <f t="shared" si="1"/>
        <v>485</v>
      </c>
      <c r="D6" s="123">
        <v>4</v>
      </c>
      <c r="E6" s="123">
        <v>12</v>
      </c>
      <c r="F6" s="123">
        <v>0</v>
      </c>
      <c r="G6" s="123">
        <v>17</v>
      </c>
      <c r="H6" s="123">
        <v>59</v>
      </c>
      <c r="I6" s="123">
        <v>86</v>
      </c>
      <c r="J6" s="123">
        <v>79</v>
      </c>
      <c r="K6" s="123">
        <v>224</v>
      </c>
      <c r="L6" s="123">
        <v>19</v>
      </c>
      <c r="M6" s="123">
        <v>85</v>
      </c>
      <c r="N6" s="123">
        <v>15</v>
      </c>
      <c r="O6" s="123">
        <v>61</v>
      </c>
      <c r="P6" s="7" t="s">
        <v>162</v>
      </c>
      <c r="Q6" s="124" t="s">
        <v>74</v>
      </c>
      <c r="R6" s="1"/>
    </row>
    <row r="7" spans="1:18" ht="13.5" thickBot="1" x14ac:dyDescent="0.25">
      <c r="A7" s="123">
        <f t="shared" si="0"/>
        <v>2840</v>
      </c>
      <c r="B7" s="123">
        <f t="shared" si="1"/>
        <v>1229</v>
      </c>
      <c r="C7" s="123">
        <f t="shared" si="1"/>
        <v>1611</v>
      </c>
      <c r="D7" s="123">
        <f t="shared" ref="D7:N7" si="2">SUM(D5:D6)</f>
        <v>42</v>
      </c>
      <c r="E7" s="123">
        <f t="shared" si="2"/>
        <v>19</v>
      </c>
      <c r="F7" s="123">
        <f t="shared" si="2"/>
        <v>376</v>
      </c>
      <c r="G7" s="123">
        <f t="shared" si="2"/>
        <v>266</v>
      </c>
      <c r="H7" s="123">
        <f t="shared" si="2"/>
        <v>407</v>
      </c>
      <c r="I7" s="123">
        <f t="shared" si="2"/>
        <v>292</v>
      </c>
      <c r="J7" s="123">
        <f t="shared" si="2"/>
        <v>337</v>
      </c>
      <c r="K7" s="123">
        <f t="shared" si="2"/>
        <v>648</v>
      </c>
      <c r="L7" s="123">
        <f t="shared" si="2"/>
        <v>48</v>
      </c>
      <c r="M7" s="123">
        <f t="shared" si="2"/>
        <v>237</v>
      </c>
      <c r="N7" s="123">
        <f t="shared" si="2"/>
        <v>19</v>
      </c>
      <c r="O7" s="123">
        <f>SUM(O5:O6)</f>
        <v>149</v>
      </c>
      <c r="P7" s="7" t="s">
        <v>13</v>
      </c>
      <c r="Q7" s="9"/>
      <c r="R7" s="1"/>
    </row>
    <row r="8" spans="1:18" ht="13.5" thickBot="1" x14ac:dyDescent="0.25">
      <c r="A8" s="123">
        <f t="shared" si="0"/>
        <v>463</v>
      </c>
      <c r="B8" s="123">
        <f t="shared" si="1"/>
        <v>0</v>
      </c>
      <c r="C8" s="123">
        <f t="shared" si="1"/>
        <v>463</v>
      </c>
      <c r="D8" s="123">
        <v>0</v>
      </c>
      <c r="E8" s="123">
        <v>0</v>
      </c>
      <c r="F8" s="123">
        <v>0</v>
      </c>
      <c r="G8" s="123">
        <v>90</v>
      </c>
      <c r="H8" s="123">
        <v>0</v>
      </c>
      <c r="I8" s="123">
        <v>89</v>
      </c>
      <c r="J8" s="123">
        <v>0</v>
      </c>
      <c r="K8" s="123">
        <v>179</v>
      </c>
      <c r="L8" s="123">
        <v>0</v>
      </c>
      <c r="M8" s="123">
        <v>61</v>
      </c>
      <c r="N8" s="123">
        <v>0</v>
      </c>
      <c r="O8" s="123">
        <v>44</v>
      </c>
      <c r="P8" s="7" t="s">
        <v>163</v>
      </c>
      <c r="Q8" s="124"/>
      <c r="R8" s="1"/>
    </row>
    <row r="9" spans="1:18" ht="13.5" thickBot="1" x14ac:dyDescent="0.25">
      <c r="A9" s="123">
        <f t="shared" si="0"/>
        <v>27</v>
      </c>
      <c r="B9" s="123">
        <f t="shared" si="1"/>
        <v>0</v>
      </c>
      <c r="C9" s="123">
        <f t="shared" si="1"/>
        <v>27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0</v>
      </c>
      <c r="J9" s="123">
        <v>0</v>
      </c>
      <c r="K9" s="123">
        <v>3</v>
      </c>
      <c r="L9" s="123">
        <v>0</v>
      </c>
      <c r="M9" s="123">
        <v>18</v>
      </c>
      <c r="N9" s="123">
        <v>0</v>
      </c>
      <c r="O9" s="123">
        <v>6</v>
      </c>
      <c r="P9" s="7" t="s">
        <v>162</v>
      </c>
      <c r="Q9" s="124" t="s">
        <v>164</v>
      </c>
      <c r="R9" s="1"/>
    </row>
    <row r="10" spans="1:18" ht="13.5" thickBot="1" x14ac:dyDescent="0.25">
      <c r="A10" s="123">
        <f t="shared" si="0"/>
        <v>490</v>
      </c>
      <c r="B10" s="123">
        <f t="shared" si="1"/>
        <v>0</v>
      </c>
      <c r="C10" s="123">
        <f t="shared" si="1"/>
        <v>490</v>
      </c>
      <c r="D10" s="123">
        <f t="shared" ref="D10:O10" si="3">SUM(D8:D9)</f>
        <v>0</v>
      </c>
      <c r="E10" s="123">
        <f t="shared" si="3"/>
        <v>0</v>
      </c>
      <c r="F10" s="123">
        <f t="shared" si="3"/>
        <v>0</v>
      </c>
      <c r="G10" s="123">
        <f t="shared" si="3"/>
        <v>90</v>
      </c>
      <c r="H10" s="123">
        <f t="shared" si="3"/>
        <v>0</v>
      </c>
      <c r="I10" s="123">
        <f t="shared" si="3"/>
        <v>89</v>
      </c>
      <c r="J10" s="123">
        <f t="shared" si="3"/>
        <v>0</v>
      </c>
      <c r="K10" s="123">
        <f t="shared" si="3"/>
        <v>182</v>
      </c>
      <c r="L10" s="123">
        <f t="shared" si="3"/>
        <v>0</v>
      </c>
      <c r="M10" s="123">
        <f t="shared" si="3"/>
        <v>79</v>
      </c>
      <c r="N10" s="123">
        <f t="shared" si="3"/>
        <v>0</v>
      </c>
      <c r="O10" s="123">
        <f t="shared" si="3"/>
        <v>50</v>
      </c>
      <c r="P10" s="7" t="s">
        <v>13</v>
      </c>
      <c r="Q10" s="9"/>
      <c r="R10" s="1"/>
    </row>
    <row r="11" spans="1:18" ht="13.5" thickBot="1" x14ac:dyDescent="0.25">
      <c r="A11" s="123">
        <f t="shared" si="0"/>
        <v>1436</v>
      </c>
      <c r="B11" s="123">
        <f t="shared" si="1"/>
        <v>491</v>
      </c>
      <c r="C11" s="123">
        <f t="shared" si="1"/>
        <v>945</v>
      </c>
      <c r="D11" s="123">
        <v>10</v>
      </c>
      <c r="E11" s="123">
        <v>12</v>
      </c>
      <c r="F11" s="123">
        <v>303</v>
      </c>
      <c r="G11" s="123">
        <v>224</v>
      </c>
      <c r="H11" s="123">
        <v>135</v>
      </c>
      <c r="I11" s="123">
        <v>155</v>
      </c>
      <c r="J11" s="123">
        <v>41</v>
      </c>
      <c r="K11" s="123">
        <v>319</v>
      </c>
      <c r="L11" s="123">
        <v>2</v>
      </c>
      <c r="M11" s="123">
        <v>149</v>
      </c>
      <c r="N11" s="123">
        <v>0</v>
      </c>
      <c r="O11" s="123">
        <v>86</v>
      </c>
      <c r="P11" s="7" t="s">
        <v>163</v>
      </c>
      <c r="Q11" s="124"/>
      <c r="R11" s="1"/>
    </row>
    <row r="12" spans="1:18" ht="13.5" thickBot="1" x14ac:dyDescent="0.25">
      <c r="A12" s="123">
        <f t="shared" si="0"/>
        <v>328</v>
      </c>
      <c r="B12" s="123">
        <f t="shared" si="1"/>
        <v>69</v>
      </c>
      <c r="C12" s="123">
        <f t="shared" si="1"/>
        <v>259</v>
      </c>
      <c r="D12" s="123">
        <v>1</v>
      </c>
      <c r="E12" s="123">
        <v>19</v>
      </c>
      <c r="F12" s="123">
        <v>0</v>
      </c>
      <c r="G12" s="123">
        <v>1</v>
      </c>
      <c r="H12" s="123">
        <v>25</v>
      </c>
      <c r="I12" s="123">
        <v>30</v>
      </c>
      <c r="J12" s="123">
        <v>38</v>
      </c>
      <c r="K12" s="123">
        <v>126</v>
      </c>
      <c r="L12" s="123">
        <v>4</v>
      </c>
      <c r="M12" s="123">
        <v>49</v>
      </c>
      <c r="N12" s="123">
        <v>1</v>
      </c>
      <c r="O12" s="123">
        <v>34</v>
      </c>
      <c r="P12" s="7" t="s">
        <v>162</v>
      </c>
      <c r="Q12" s="124" t="s">
        <v>76</v>
      </c>
      <c r="R12" s="1"/>
    </row>
    <row r="13" spans="1:18" ht="13.5" thickBot="1" x14ac:dyDescent="0.25">
      <c r="A13" s="123">
        <f t="shared" si="0"/>
        <v>1764</v>
      </c>
      <c r="B13" s="123">
        <f t="shared" si="1"/>
        <v>560</v>
      </c>
      <c r="C13" s="123">
        <f t="shared" si="1"/>
        <v>1204</v>
      </c>
      <c r="D13" s="123">
        <f t="shared" ref="D13:O13" si="4">SUM(D11:D12)</f>
        <v>11</v>
      </c>
      <c r="E13" s="123">
        <f t="shared" si="4"/>
        <v>31</v>
      </c>
      <c r="F13" s="123">
        <f t="shared" si="4"/>
        <v>303</v>
      </c>
      <c r="G13" s="123">
        <f t="shared" si="4"/>
        <v>225</v>
      </c>
      <c r="H13" s="123">
        <f t="shared" si="4"/>
        <v>160</v>
      </c>
      <c r="I13" s="123">
        <f t="shared" si="4"/>
        <v>185</v>
      </c>
      <c r="J13" s="123">
        <f t="shared" si="4"/>
        <v>79</v>
      </c>
      <c r="K13" s="123">
        <f t="shared" si="4"/>
        <v>445</v>
      </c>
      <c r="L13" s="123">
        <f t="shared" si="4"/>
        <v>6</v>
      </c>
      <c r="M13" s="123">
        <f t="shared" si="4"/>
        <v>198</v>
      </c>
      <c r="N13" s="123">
        <f t="shared" si="4"/>
        <v>1</v>
      </c>
      <c r="O13" s="123">
        <f t="shared" si="4"/>
        <v>120</v>
      </c>
      <c r="P13" s="7" t="s">
        <v>13</v>
      </c>
      <c r="Q13" s="9"/>
      <c r="R13" s="1"/>
    </row>
    <row r="14" spans="1:18" ht="13.5" thickBot="1" x14ac:dyDescent="0.25">
      <c r="A14" s="123">
        <f t="shared" si="0"/>
        <v>2912</v>
      </c>
      <c r="B14" s="123">
        <f t="shared" si="1"/>
        <v>749</v>
      </c>
      <c r="C14" s="123">
        <f t="shared" si="1"/>
        <v>2163</v>
      </c>
      <c r="D14" s="123">
        <v>0</v>
      </c>
      <c r="E14" s="123">
        <v>350</v>
      </c>
      <c r="F14" s="123">
        <v>276</v>
      </c>
      <c r="G14" s="123">
        <v>317</v>
      </c>
      <c r="H14" s="123">
        <v>225</v>
      </c>
      <c r="I14" s="123">
        <v>139</v>
      </c>
      <c r="J14" s="123">
        <v>192</v>
      </c>
      <c r="K14" s="123">
        <v>615</v>
      </c>
      <c r="L14" s="123">
        <v>40</v>
      </c>
      <c r="M14" s="123">
        <v>403</v>
      </c>
      <c r="N14" s="123">
        <v>16</v>
      </c>
      <c r="O14" s="123">
        <v>339</v>
      </c>
      <c r="P14" s="7" t="s">
        <v>163</v>
      </c>
      <c r="Q14" s="124"/>
      <c r="R14" s="1"/>
    </row>
    <row r="15" spans="1:18" ht="13.5" thickBot="1" x14ac:dyDescent="0.25">
      <c r="A15" s="123">
        <f t="shared" si="0"/>
        <v>1502</v>
      </c>
      <c r="B15" s="123">
        <f t="shared" si="1"/>
        <v>253</v>
      </c>
      <c r="C15" s="123">
        <f t="shared" si="1"/>
        <v>1249</v>
      </c>
      <c r="D15" s="123">
        <v>17</v>
      </c>
      <c r="E15" s="123">
        <v>57</v>
      </c>
      <c r="F15" s="123">
        <v>0</v>
      </c>
      <c r="G15" s="123">
        <v>82</v>
      </c>
      <c r="H15" s="123">
        <v>20</v>
      </c>
      <c r="I15" s="123">
        <v>219</v>
      </c>
      <c r="J15" s="123">
        <v>113</v>
      </c>
      <c r="K15" s="123">
        <v>427</v>
      </c>
      <c r="L15" s="123">
        <v>66</v>
      </c>
      <c r="M15" s="123">
        <v>258</v>
      </c>
      <c r="N15" s="123">
        <v>37</v>
      </c>
      <c r="O15" s="123">
        <v>206</v>
      </c>
      <c r="P15" s="7" t="s">
        <v>162</v>
      </c>
      <c r="Q15" s="124" t="s">
        <v>78</v>
      </c>
      <c r="R15" s="1"/>
    </row>
    <row r="16" spans="1:18" ht="13.5" thickBot="1" x14ac:dyDescent="0.25">
      <c r="A16" s="123">
        <f t="shared" si="0"/>
        <v>4414</v>
      </c>
      <c r="B16" s="123">
        <f t="shared" si="1"/>
        <v>1002</v>
      </c>
      <c r="C16" s="123">
        <f t="shared" si="1"/>
        <v>3412</v>
      </c>
      <c r="D16" s="123">
        <f t="shared" ref="D16:O16" si="5">SUM(D14:D15)</f>
        <v>17</v>
      </c>
      <c r="E16" s="123">
        <f t="shared" si="5"/>
        <v>407</v>
      </c>
      <c r="F16" s="123">
        <f t="shared" si="5"/>
        <v>276</v>
      </c>
      <c r="G16" s="123">
        <f t="shared" si="5"/>
        <v>399</v>
      </c>
      <c r="H16" s="123">
        <f t="shared" si="5"/>
        <v>245</v>
      </c>
      <c r="I16" s="123">
        <f t="shared" si="5"/>
        <v>358</v>
      </c>
      <c r="J16" s="123">
        <f t="shared" si="5"/>
        <v>305</v>
      </c>
      <c r="K16" s="123">
        <f t="shared" si="5"/>
        <v>1042</v>
      </c>
      <c r="L16" s="123">
        <f t="shared" si="5"/>
        <v>106</v>
      </c>
      <c r="M16" s="123">
        <f t="shared" si="5"/>
        <v>661</v>
      </c>
      <c r="N16" s="123">
        <f t="shared" si="5"/>
        <v>53</v>
      </c>
      <c r="O16" s="123">
        <f t="shared" si="5"/>
        <v>545</v>
      </c>
      <c r="P16" s="7" t="s">
        <v>13</v>
      </c>
      <c r="Q16" s="9"/>
      <c r="R16" s="1"/>
    </row>
    <row r="17" spans="1:18" ht="13.5" thickBot="1" x14ac:dyDescent="0.25">
      <c r="A17" s="123">
        <f t="shared" si="0"/>
        <v>3163</v>
      </c>
      <c r="B17" s="123">
        <f t="shared" si="1"/>
        <v>1633</v>
      </c>
      <c r="C17" s="123">
        <f t="shared" si="1"/>
        <v>1530</v>
      </c>
      <c r="D17" s="123">
        <v>29</v>
      </c>
      <c r="E17" s="123">
        <v>6</v>
      </c>
      <c r="F17" s="123">
        <v>703</v>
      </c>
      <c r="G17" s="123">
        <v>435</v>
      </c>
      <c r="H17" s="123">
        <v>378</v>
      </c>
      <c r="I17" s="123">
        <v>137</v>
      </c>
      <c r="J17" s="123">
        <v>413</v>
      </c>
      <c r="K17" s="123">
        <v>508</v>
      </c>
      <c r="L17" s="123">
        <v>88</v>
      </c>
      <c r="M17" s="123">
        <v>279</v>
      </c>
      <c r="N17" s="123">
        <v>22</v>
      </c>
      <c r="O17" s="123">
        <v>165</v>
      </c>
      <c r="P17" s="7" t="s">
        <v>163</v>
      </c>
      <c r="Q17" s="124"/>
      <c r="R17" s="1"/>
    </row>
    <row r="18" spans="1:18" ht="13.5" thickBot="1" x14ac:dyDescent="0.25">
      <c r="A18" s="123">
        <f t="shared" si="0"/>
        <v>682</v>
      </c>
      <c r="B18" s="123">
        <f t="shared" si="1"/>
        <v>238</v>
      </c>
      <c r="C18" s="123">
        <f t="shared" si="1"/>
        <v>444</v>
      </c>
      <c r="D18" s="123">
        <v>6</v>
      </c>
      <c r="E18" s="123">
        <v>2</v>
      </c>
      <c r="F18" s="123">
        <v>1</v>
      </c>
      <c r="G18" s="123">
        <v>4</v>
      </c>
      <c r="H18" s="123">
        <v>32</v>
      </c>
      <c r="I18" s="123">
        <v>66</v>
      </c>
      <c r="J18" s="123">
        <v>124</v>
      </c>
      <c r="K18" s="123">
        <v>238</v>
      </c>
      <c r="L18" s="123">
        <v>37</v>
      </c>
      <c r="M18" s="123">
        <v>76</v>
      </c>
      <c r="N18" s="123">
        <v>38</v>
      </c>
      <c r="O18" s="123">
        <v>58</v>
      </c>
      <c r="P18" s="7" t="s">
        <v>162</v>
      </c>
      <c r="Q18" s="124" t="s">
        <v>79</v>
      </c>
      <c r="R18" s="1"/>
    </row>
    <row r="19" spans="1:18" ht="13.5" thickBot="1" x14ac:dyDescent="0.25">
      <c r="A19" s="123">
        <f t="shared" si="0"/>
        <v>3845</v>
      </c>
      <c r="B19" s="123">
        <f t="shared" si="1"/>
        <v>1871</v>
      </c>
      <c r="C19" s="123">
        <f t="shared" si="1"/>
        <v>1974</v>
      </c>
      <c r="D19" s="123">
        <f t="shared" ref="D19:O19" si="6">SUM(D17:D18)</f>
        <v>35</v>
      </c>
      <c r="E19" s="123">
        <f t="shared" si="6"/>
        <v>8</v>
      </c>
      <c r="F19" s="123">
        <f t="shared" si="6"/>
        <v>704</v>
      </c>
      <c r="G19" s="123">
        <f t="shared" si="6"/>
        <v>439</v>
      </c>
      <c r="H19" s="123">
        <f t="shared" si="6"/>
        <v>410</v>
      </c>
      <c r="I19" s="123">
        <f t="shared" si="6"/>
        <v>203</v>
      </c>
      <c r="J19" s="123">
        <f t="shared" si="6"/>
        <v>537</v>
      </c>
      <c r="K19" s="123">
        <f t="shared" si="6"/>
        <v>746</v>
      </c>
      <c r="L19" s="123">
        <f t="shared" si="6"/>
        <v>125</v>
      </c>
      <c r="M19" s="123">
        <f t="shared" si="6"/>
        <v>355</v>
      </c>
      <c r="N19" s="123">
        <f t="shared" si="6"/>
        <v>60</v>
      </c>
      <c r="O19" s="123">
        <f t="shared" si="6"/>
        <v>223</v>
      </c>
      <c r="P19" s="7" t="s">
        <v>13</v>
      </c>
      <c r="Q19" s="9"/>
      <c r="R19" s="1"/>
    </row>
    <row r="20" spans="1:18" ht="13.5" thickBot="1" x14ac:dyDescent="0.25">
      <c r="A20" s="123">
        <f t="shared" si="0"/>
        <v>290</v>
      </c>
      <c r="B20" s="123">
        <f t="shared" si="1"/>
        <v>0</v>
      </c>
      <c r="C20" s="123">
        <f t="shared" si="1"/>
        <v>290</v>
      </c>
      <c r="D20" s="123">
        <v>0</v>
      </c>
      <c r="E20" s="123">
        <v>0</v>
      </c>
      <c r="F20" s="123">
        <v>0</v>
      </c>
      <c r="G20" s="123">
        <v>39</v>
      </c>
      <c r="H20" s="123">
        <v>0</v>
      </c>
      <c r="I20" s="123">
        <v>30</v>
      </c>
      <c r="J20" s="123">
        <v>0</v>
      </c>
      <c r="K20" s="123">
        <v>115</v>
      </c>
      <c r="L20" s="123">
        <v>0</v>
      </c>
      <c r="M20" s="123">
        <v>67</v>
      </c>
      <c r="N20" s="123">
        <v>0</v>
      </c>
      <c r="O20" s="123">
        <v>39</v>
      </c>
      <c r="P20" s="7" t="s">
        <v>163</v>
      </c>
      <c r="Q20" s="124"/>
      <c r="R20" s="1"/>
    </row>
    <row r="21" spans="1:18" ht="13.5" thickBot="1" x14ac:dyDescent="0.25">
      <c r="A21" s="123">
        <f t="shared" si="0"/>
        <v>560</v>
      </c>
      <c r="B21" s="123">
        <f t="shared" si="1"/>
        <v>33</v>
      </c>
      <c r="C21" s="123">
        <f t="shared" si="1"/>
        <v>527</v>
      </c>
      <c r="D21" s="123">
        <v>0</v>
      </c>
      <c r="E21" s="123">
        <v>22</v>
      </c>
      <c r="F21" s="123">
        <v>33</v>
      </c>
      <c r="G21" s="123">
        <v>0</v>
      </c>
      <c r="H21" s="123">
        <v>0</v>
      </c>
      <c r="I21" s="123">
        <v>235</v>
      </c>
      <c r="J21" s="123">
        <v>0</v>
      </c>
      <c r="K21" s="123">
        <v>141</v>
      </c>
      <c r="L21" s="123">
        <v>0</v>
      </c>
      <c r="M21" s="123">
        <v>72</v>
      </c>
      <c r="N21" s="123">
        <v>0</v>
      </c>
      <c r="O21" s="123">
        <v>57</v>
      </c>
      <c r="P21" s="7" t="s">
        <v>162</v>
      </c>
      <c r="Q21" s="124" t="s">
        <v>98</v>
      </c>
      <c r="R21" s="1"/>
    </row>
    <row r="22" spans="1:18" ht="13.5" thickBot="1" x14ac:dyDescent="0.25">
      <c r="A22" s="123">
        <f t="shared" si="0"/>
        <v>850</v>
      </c>
      <c r="B22" s="123">
        <f t="shared" si="1"/>
        <v>33</v>
      </c>
      <c r="C22" s="123">
        <f t="shared" si="1"/>
        <v>817</v>
      </c>
      <c r="D22" s="123">
        <f t="shared" ref="D22:O22" si="7">SUM(D20:D21)</f>
        <v>0</v>
      </c>
      <c r="E22" s="123">
        <f t="shared" si="7"/>
        <v>22</v>
      </c>
      <c r="F22" s="123">
        <f t="shared" si="7"/>
        <v>33</v>
      </c>
      <c r="G22" s="123">
        <f t="shared" si="7"/>
        <v>39</v>
      </c>
      <c r="H22" s="123">
        <f t="shared" si="7"/>
        <v>0</v>
      </c>
      <c r="I22" s="123">
        <f t="shared" si="7"/>
        <v>265</v>
      </c>
      <c r="J22" s="123">
        <f t="shared" si="7"/>
        <v>0</v>
      </c>
      <c r="K22" s="123">
        <f t="shared" si="7"/>
        <v>256</v>
      </c>
      <c r="L22" s="123">
        <f t="shared" si="7"/>
        <v>0</v>
      </c>
      <c r="M22" s="123">
        <f t="shared" si="7"/>
        <v>139</v>
      </c>
      <c r="N22" s="123">
        <f t="shared" si="7"/>
        <v>0</v>
      </c>
      <c r="O22" s="123">
        <f t="shared" si="7"/>
        <v>96</v>
      </c>
      <c r="P22" s="7" t="s">
        <v>13</v>
      </c>
      <c r="Q22" s="9"/>
      <c r="R22" s="1"/>
    </row>
    <row r="23" spans="1:18" ht="13.5" thickBot="1" x14ac:dyDescent="0.25">
      <c r="A23" s="123">
        <f t="shared" si="0"/>
        <v>1152</v>
      </c>
      <c r="B23" s="123">
        <f t="shared" si="1"/>
        <v>638</v>
      </c>
      <c r="C23" s="123">
        <f t="shared" si="1"/>
        <v>514</v>
      </c>
      <c r="D23" s="123">
        <v>49</v>
      </c>
      <c r="E23" s="123">
        <v>8</v>
      </c>
      <c r="F23" s="123">
        <v>268</v>
      </c>
      <c r="G23" s="123">
        <v>175</v>
      </c>
      <c r="H23" s="123">
        <v>161</v>
      </c>
      <c r="I23" s="123">
        <v>41</v>
      </c>
      <c r="J23" s="123">
        <v>137</v>
      </c>
      <c r="K23" s="123">
        <v>136</v>
      </c>
      <c r="L23" s="123">
        <v>17</v>
      </c>
      <c r="M23" s="123">
        <v>94</v>
      </c>
      <c r="N23" s="123">
        <v>6</v>
      </c>
      <c r="O23" s="123">
        <v>60</v>
      </c>
      <c r="P23" s="7" t="s">
        <v>163</v>
      </c>
      <c r="Q23" s="124"/>
      <c r="R23" s="1"/>
    </row>
    <row r="24" spans="1:18" ht="13.5" thickBot="1" x14ac:dyDescent="0.25">
      <c r="A24" s="123">
        <f t="shared" si="0"/>
        <v>1034</v>
      </c>
      <c r="B24" s="123">
        <f t="shared" si="1"/>
        <v>400</v>
      </c>
      <c r="C24" s="123">
        <f t="shared" si="1"/>
        <v>634</v>
      </c>
      <c r="D24" s="123">
        <v>25</v>
      </c>
      <c r="E24" s="123">
        <v>24</v>
      </c>
      <c r="F24" s="123">
        <v>9</v>
      </c>
      <c r="G24" s="123">
        <v>18</v>
      </c>
      <c r="H24" s="123">
        <v>110</v>
      </c>
      <c r="I24" s="123">
        <v>58</v>
      </c>
      <c r="J24" s="123">
        <v>198</v>
      </c>
      <c r="K24" s="123">
        <v>351</v>
      </c>
      <c r="L24" s="123">
        <v>44</v>
      </c>
      <c r="M24" s="123">
        <v>116</v>
      </c>
      <c r="N24" s="123">
        <v>14</v>
      </c>
      <c r="O24" s="123">
        <v>67</v>
      </c>
      <c r="P24" s="7" t="s">
        <v>162</v>
      </c>
      <c r="Q24" s="124" t="s">
        <v>80</v>
      </c>
      <c r="R24" s="1"/>
    </row>
    <row r="25" spans="1:18" ht="13.5" thickBot="1" x14ac:dyDescent="0.25">
      <c r="A25" s="123">
        <f t="shared" si="0"/>
        <v>2186</v>
      </c>
      <c r="B25" s="123">
        <f t="shared" si="1"/>
        <v>1038</v>
      </c>
      <c r="C25" s="123">
        <f t="shared" si="1"/>
        <v>1148</v>
      </c>
      <c r="D25" s="123">
        <f t="shared" ref="D25:O25" si="8">SUM(D23:D24)</f>
        <v>74</v>
      </c>
      <c r="E25" s="123">
        <f t="shared" si="8"/>
        <v>32</v>
      </c>
      <c r="F25" s="123">
        <f t="shared" si="8"/>
        <v>277</v>
      </c>
      <c r="G25" s="123">
        <f t="shared" si="8"/>
        <v>193</v>
      </c>
      <c r="H25" s="123">
        <f t="shared" si="8"/>
        <v>271</v>
      </c>
      <c r="I25" s="123">
        <f t="shared" si="8"/>
        <v>99</v>
      </c>
      <c r="J25" s="123">
        <f t="shared" si="8"/>
        <v>335</v>
      </c>
      <c r="K25" s="123">
        <f t="shared" si="8"/>
        <v>487</v>
      </c>
      <c r="L25" s="123">
        <f t="shared" si="8"/>
        <v>61</v>
      </c>
      <c r="M25" s="123">
        <f t="shared" si="8"/>
        <v>210</v>
      </c>
      <c r="N25" s="123">
        <f t="shared" si="8"/>
        <v>20</v>
      </c>
      <c r="O25" s="123">
        <f t="shared" si="8"/>
        <v>127</v>
      </c>
      <c r="P25" s="7" t="s">
        <v>13</v>
      </c>
      <c r="Q25" s="9"/>
      <c r="R25" s="1"/>
    </row>
    <row r="26" spans="1:18" ht="13.5" thickBot="1" x14ac:dyDescent="0.25">
      <c r="A26" s="123">
        <f t="shared" si="0"/>
        <v>886</v>
      </c>
      <c r="B26" s="123">
        <f t="shared" si="1"/>
        <v>291</v>
      </c>
      <c r="C26" s="123">
        <f t="shared" si="1"/>
        <v>595</v>
      </c>
      <c r="D26" s="123">
        <v>0</v>
      </c>
      <c r="E26" s="123">
        <v>0</v>
      </c>
      <c r="F26" s="123">
        <v>240</v>
      </c>
      <c r="G26" s="123">
        <v>328</v>
      </c>
      <c r="H26" s="123">
        <v>33</v>
      </c>
      <c r="I26" s="123">
        <v>50</v>
      </c>
      <c r="J26" s="123">
        <v>18</v>
      </c>
      <c r="K26" s="123">
        <v>135</v>
      </c>
      <c r="L26" s="123">
        <v>0</v>
      </c>
      <c r="M26" s="123">
        <v>55</v>
      </c>
      <c r="N26" s="123">
        <v>0</v>
      </c>
      <c r="O26" s="123">
        <v>27</v>
      </c>
      <c r="P26" s="7" t="s">
        <v>163</v>
      </c>
      <c r="Q26" s="124"/>
      <c r="R26" s="1"/>
    </row>
    <row r="27" spans="1:18" ht="13.5" thickBot="1" x14ac:dyDescent="0.25">
      <c r="A27" s="123">
        <f t="shared" si="0"/>
        <v>950</v>
      </c>
      <c r="B27" s="123">
        <f t="shared" si="1"/>
        <v>224</v>
      </c>
      <c r="C27" s="123">
        <f t="shared" si="1"/>
        <v>726</v>
      </c>
      <c r="D27" s="123">
        <v>0</v>
      </c>
      <c r="E27" s="123">
        <v>0</v>
      </c>
      <c r="F27" s="123">
        <v>0</v>
      </c>
      <c r="G27" s="123">
        <v>0</v>
      </c>
      <c r="H27" s="123">
        <v>82</v>
      </c>
      <c r="I27" s="123">
        <v>149</v>
      </c>
      <c r="J27" s="123">
        <v>127</v>
      </c>
      <c r="K27" s="123">
        <v>484</v>
      </c>
      <c r="L27" s="123">
        <v>13</v>
      </c>
      <c r="M27" s="123">
        <v>67</v>
      </c>
      <c r="N27" s="123">
        <v>2</v>
      </c>
      <c r="O27" s="123">
        <v>26</v>
      </c>
      <c r="P27" s="7" t="s">
        <v>162</v>
      </c>
      <c r="Q27" s="124" t="s">
        <v>81</v>
      </c>
      <c r="R27" s="1"/>
    </row>
    <row r="28" spans="1:18" ht="13.5" thickBot="1" x14ac:dyDescent="0.25">
      <c r="A28" s="123">
        <f t="shared" si="0"/>
        <v>1836</v>
      </c>
      <c r="B28" s="123">
        <f t="shared" si="1"/>
        <v>515</v>
      </c>
      <c r="C28" s="123">
        <f t="shared" si="1"/>
        <v>1321</v>
      </c>
      <c r="D28" s="123">
        <f t="shared" ref="D28:O28" si="9">SUM(D26:D27)</f>
        <v>0</v>
      </c>
      <c r="E28" s="123">
        <f t="shared" si="9"/>
        <v>0</v>
      </c>
      <c r="F28" s="123">
        <f t="shared" si="9"/>
        <v>240</v>
      </c>
      <c r="G28" s="123">
        <f t="shared" si="9"/>
        <v>328</v>
      </c>
      <c r="H28" s="123">
        <f t="shared" si="9"/>
        <v>115</v>
      </c>
      <c r="I28" s="123">
        <f t="shared" si="9"/>
        <v>199</v>
      </c>
      <c r="J28" s="123">
        <f t="shared" si="9"/>
        <v>145</v>
      </c>
      <c r="K28" s="123">
        <f t="shared" si="9"/>
        <v>619</v>
      </c>
      <c r="L28" s="123">
        <f t="shared" si="9"/>
        <v>13</v>
      </c>
      <c r="M28" s="123">
        <f t="shared" si="9"/>
        <v>122</v>
      </c>
      <c r="N28" s="123">
        <f t="shared" si="9"/>
        <v>2</v>
      </c>
      <c r="O28" s="123">
        <f t="shared" si="9"/>
        <v>53</v>
      </c>
      <c r="P28" s="7" t="s">
        <v>13</v>
      </c>
      <c r="Q28" s="9"/>
      <c r="R28" s="1"/>
    </row>
    <row r="29" spans="1:18" ht="13.5" thickBot="1" x14ac:dyDescent="0.25">
      <c r="A29" s="123">
        <f t="shared" si="0"/>
        <v>731</v>
      </c>
      <c r="B29" s="123">
        <f t="shared" si="1"/>
        <v>246</v>
      </c>
      <c r="C29" s="123">
        <f t="shared" si="1"/>
        <v>485</v>
      </c>
      <c r="D29" s="123">
        <v>5</v>
      </c>
      <c r="E29" s="123">
        <v>35</v>
      </c>
      <c r="F29" s="123">
        <v>163</v>
      </c>
      <c r="G29" s="123">
        <v>120</v>
      </c>
      <c r="H29" s="123">
        <v>46</v>
      </c>
      <c r="I29" s="123">
        <v>28</v>
      </c>
      <c r="J29" s="123">
        <v>30</v>
      </c>
      <c r="K29" s="123">
        <v>189</v>
      </c>
      <c r="L29" s="123">
        <v>2</v>
      </c>
      <c r="M29" s="123">
        <v>68</v>
      </c>
      <c r="N29" s="123">
        <v>0</v>
      </c>
      <c r="O29" s="123">
        <v>45</v>
      </c>
      <c r="P29" s="7" t="s">
        <v>163</v>
      </c>
      <c r="Q29" s="124"/>
      <c r="R29" s="1"/>
    </row>
    <row r="30" spans="1:18" ht="13.5" thickBot="1" x14ac:dyDescent="0.25">
      <c r="A30" s="123">
        <f t="shared" si="0"/>
        <v>661</v>
      </c>
      <c r="B30" s="123">
        <f t="shared" si="1"/>
        <v>185</v>
      </c>
      <c r="C30" s="123">
        <f t="shared" si="1"/>
        <v>476</v>
      </c>
      <c r="D30" s="123">
        <v>6</v>
      </c>
      <c r="E30" s="123">
        <v>25</v>
      </c>
      <c r="F30" s="123">
        <v>1</v>
      </c>
      <c r="G30" s="123">
        <v>47</v>
      </c>
      <c r="H30" s="123">
        <v>82</v>
      </c>
      <c r="I30" s="123">
        <v>63</v>
      </c>
      <c r="J30" s="123">
        <v>62</v>
      </c>
      <c r="K30" s="123">
        <v>276</v>
      </c>
      <c r="L30" s="123">
        <v>27</v>
      </c>
      <c r="M30" s="123">
        <v>54</v>
      </c>
      <c r="N30" s="123">
        <v>7</v>
      </c>
      <c r="O30" s="123">
        <v>11</v>
      </c>
      <c r="P30" s="7" t="s">
        <v>162</v>
      </c>
      <c r="Q30" s="124" t="s">
        <v>108</v>
      </c>
      <c r="R30" s="1"/>
    </row>
    <row r="31" spans="1:18" ht="13.5" thickBot="1" x14ac:dyDescent="0.25">
      <c r="A31" s="123">
        <f t="shared" si="0"/>
        <v>1392</v>
      </c>
      <c r="B31" s="123">
        <f t="shared" si="1"/>
        <v>431</v>
      </c>
      <c r="C31" s="123">
        <f t="shared" si="1"/>
        <v>961</v>
      </c>
      <c r="D31" s="123">
        <f t="shared" ref="D31:O31" si="10">SUM(D29:D30)</f>
        <v>11</v>
      </c>
      <c r="E31" s="123">
        <f t="shared" si="10"/>
        <v>60</v>
      </c>
      <c r="F31" s="123">
        <f t="shared" si="10"/>
        <v>164</v>
      </c>
      <c r="G31" s="123">
        <f t="shared" si="10"/>
        <v>167</v>
      </c>
      <c r="H31" s="123">
        <f t="shared" si="10"/>
        <v>128</v>
      </c>
      <c r="I31" s="123">
        <f t="shared" si="10"/>
        <v>91</v>
      </c>
      <c r="J31" s="123">
        <f t="shared" si="10"/>
        <v>92</v>
      </c>
      <c r="K31" s="123">
        <f t="shared" si="10"/>
        <v>465</v>
      </c>
      <c r="L31" s="123">
        <f t="shared" si="10"/>
        <v>29</v>
      </c>
      <c r="M31" s="123">
        <f t="shared" si="10"/>
        <v>122</v>
      </c>
      <c r="N31" s="123">
        <f t="shared" si="10"/>
        <v>7</v>
      </c>
      <c r="O31" s="123">
        <f t="shared" si="10"/>
        <v>56</v>
      </c>
      <c r="P31" s="7" t="s">
        <v>13</v>
      </c>
      <c r="Q31" s="9"/>
      <c r="R31" s="1"/>
    </row>
    <row r="32" spans="1:18" ht="13.5" thickBot="1" x14ac:dyDescent="0.25">
      <c r="A32" s="123">
        <f t="shared" si="0"/>
        <v>518</v>
      </c>
      <c r="B32" s="123">
        <f t="shared" si="1"/>
        <v>134</v>
      </c>
      <c r="C32" s="123">
        <f t="shared" si="1"/>
        <v>384</v>
      </c>
      <c r="D32" s="123">
        <v>0</v>
      </c>
      <c r="E32" s="123">
        <v>0</v>
      </c>
      <c r="F32" s="123">
        <v>67</v>
      </c>
      <c r="G32" s="123">
        <v>171</v>
      </c>
      <c r="H32" s="123">
        <v>38</v>
      </c>
      <c r="I32" s="123">
        <v>53</v>
      </c>
      <c r="J32" s="123">
        <v>21</v>
      </c>
      <c r="K32" s="123">
        <v>102</v>
      </c>
      <c r="L32" s="123">
        <v>6</v>
      </c>
      <c r="M32" s="123">
        <v>40</v>
      </c>
      <c r="N32" s="123">
        <v>2</v>
      </c>
      <c r="O32" s="123">
        <v>18</v>
      </c>
      <c r="P32" s="7" t="s">
        <v>163</v>
      </c>
      <c r="Q32" s="124"/>
      <c r="R32" s="1"/>
    </row>
    <row r="33" spans="1:18" ht="13.5" thickBot="1" x14ac:dyDescent="0.25">
      <c r="A33" s="123">
        <f t="shared" si="0"/>
        <v>317</v>
      </c>
      <c r="B33" s="123">
        <f t="shared" si="1"/>
        <v>110</v>
      </c>
      <c r="C33" s="123">
        <f t="shared" si="1"/>
        <v>207</v>
      </c>
      <c r="D33" s="123">
        <v>0</v>
      </c>
      <c r="E33" s="123">
        <v>0</v>
      </c>
      <c r="F33" s="123">
        <v>0</v>
      </c>
      <c r="G33" s="123">
        <v>2</v>
      </c>
      <c r="H33" s="123">
        <v>11</v>
      </c>
      <c r="I33" s="123">
        <v>18</v>
      </c>
      <c r="J33" s="123">
        <v>76</v>
      </c>
      <c r="K33" s="123">
        <v>123</v>
      </c>
      <c r="L33" s="123">
        <v>18</v>
      </c>
      <c r="M33" s="123">
        <v>39</v>
      </c>
      <c r="N33" s="123">
        <v>5</v>
      </c>
      <c r="O33" s="123">
        <v>25</v>
      </c>
      <c r="P33" s="7" t="s">
        <v>162</v>
      </c>
      <c r="Q33" s="124" t="s">
        <v>82</v>
      </c>
      <c r="R33" s="1"/>
    </row>
    <row r="34" spans="1:18" ht="13.5" thickBot="1" x14ac:dyDescent="0.25">
      <c r="A34" s="123">
        <f t="shared" si="0"/>
        <v>835</v>
      </c>
      <c r="B34" s="123">
        <f t="shared" si="1"/>
        <v>244</v>
      </c>
      <c r="C34" s="123">
        <f t="shared" si="1"/>
        <v>591</v>
      </c>
      <c r="D34" s="123">
        <f t="shared" ref="D34:O34" si="11">SUM(D32:D33)</f>
        <v>0</v>
      </c>
      <c r="E34" s="123">
        <f t="shared" si="11"/>
        <v>0</v>
      </c>
      <c r="F34" s="123">
        <f t="shared" si="11"/>
        <v>67</v>
      </c>
      <c r="G34" s="123">
        <f t="shared" si="11"/>
        <v>173</v>
      </c>
      <c r="H34" s="123">
        <f t="shared" si="11"/>
        <v>49</v>
      </c>
      <c r="I34" s="123">
        <f t="shared" si="11"/>
        <v>71</v>
      </c>
      <c r="J34" s="123">
        <f t="shared" si="11"/>
        <v>97</v>
      </c>
      <c r="K34" s="123">
        <f t="shared" si="11"/>
        <v>225</v>
      </c>
      <c r="L34" s="123">
        <f t="shared" si="11"/>
        <v>24</v>
      </c>
      <c r="M34" s="123">
        <f t="shared" si="11"/>
        <v>79</v>
      </c>
      <c r="N34" s="123">
        <f t="shared" si="11"/>
        <v>7</v>
      </c>
      <c r="O34" s="123">
        <f t="shared" si="11"/>
        <v>43</v>
      </c>
      <c r="P34" s="7" t="s">
        <v>13</v>
      </c>
      <c r="Q34" s="9"/>
      <c r="R34" s="1"/>
    </row>
    <row r="35" spans="1:18" ht="13.5" thickBot="1" x14ac:dyDescent="0.25">
      <c r="A35" s="123">
        <f t="shared" si="0"/>
        <v>555</v>
      </c>
      <c r="B35" s="123">
        <f t="shared" si="1"/>
        <v>273</v>
      </c>
      <c r="C35" s="123">
        <f t="shared" si="1"/>
        <v>282</v>
      </c>
      <c r="D35" s="123">
        <v>3</v>
      </c>
      <c r="E35" s="123">
        <v>12</v>
      </c>
      <c r="F35" s="123">
        <v>199</v>
      </c>
      <c r="G35" s="123">
        <v>141</v>
      </c>
      <c r="H35" s="123">
        <v>53</v>
      </c>
      <c r="I35" s="123">
        <v>66</v>
      </c>
      <c r="J35" s="123">
        <v>16</v>
      </c>
      <c r="K35" s="123">
        <v>48</v>
      </c>
      <c r="L35" s="123">
        <v>2</v>
      </c>
      <c r="M35" s="123">
        <v>11</v>
      </c>
      <c r="N35" s="123">
        <v>0</v>
      </c>
      <c r="O35" s="123">
        <v>4</v>
      </c>
      <c r="P35" s="7" t="s">
        <v>163</v>
      </c>
      <c r="Q35" s="124"/>
      <c r="R35" s="1"/>
    </row>
    <row r="36" spans="1:18" ht="13.5" thickBot="1" x14ac:dyDescent="0.25">
      <c r="A36" s="123">
        <f t="shared" si="0"/>
        <v>307</v>
      </c>
      <c r="B36" s="123">
        <f t="shared" si="1"/>
        <v>86</v>
      </c>
      <c r="C36" s="123">
        <f t="shared" si="1"/>
        <v>221</v>
      </c>
      <c r="D36" s="123">
        <v>5</v>
      </c>
      <c r="E36" s="123">
        <v>3</v>
      </c>
      <c r="F36" s="123">
        <v>0</v>
      </c>
      <c r="G36" s="123">
        <v>0</v>
      </c>
      <c r="H36" s="123">
        <v>4</v>
      </c>
      <c r="I36" s="123">
        <v>3</v>
      </c>
      <c r="J36" s="123">
        <v>58</v>
      </c>
      <c r="K36" s="123">
        <v>135</v>
      </c>
      <c r="L36" s="123">
        <v>14</v>
      </c>
      <c r="M36" s="123">
        <v>56</v>
      </c>
      <c r="N36" s="123">
        <v>5</v>
      </c>
      <c r="O36" s="123">
        <v>24</v>
      </c>
      <c r="P36" s="7" t="s">
        <v>162</v>
      </c>
      <c r="Q36" s="124" t="s">
        <v>83</v>
      </c>
      <c r="R36" s="1"/>
    </row>
    <row r="37" spans="1:18" ht="13.5" thickBot="1" x14ac:dyDescent="0.25">
      <c r="A37" s="123">
        <f t="shared" si="0"/>
        <v>862</v>
      </c>
      <c r="B37" s="123">
        <f t="shared" si="1"/>
        <v>359</v>
      </c>
      <c r="C37" s="123">
        <f t="shared" si="1"/>
        <v>503</v>
      </c>
      <c r="D37" s="123">
        <f t="shared" ref="D37:O37" si="12">SUM(D35:D36)</f>
        <v>8</v>
      </c>
      <c r="E37" s="123">
        <f t="shared" si="12"/>
        <v>15</v>
      </c>
      <c r="F37" s="123">
        <f t="shared" si="12"/>
        <v>199</v>
      </c>
      <c r="G37" s="123">
        <f t="shared" si="12"/>
        <v>141</v>
      </c>
      <c r="H37" s="123">
        <f t="shared" si="12"/>
        <v>57</v>
      </c>
      <c r="I37" s="123">
        <f t="shared" si="12"/>
        <v>69</v>
      </c>
      <c r="J37" s="123">
        <f t="shared" si="12"/>
        <v>74</v>
      </c>
      <c r="K37" s="123">
        <f t="shared" si="12"/>
        <v>183</v>
      </c>
      <c r="L37" s="123">
        <f t="shared" si="12"/>
        <v>16</v>
      </c>
      <c r="M37" s="123">
        <f t="shared" si="12"/>
        <v>67</v>
      </c>
      <c r="N37" s="123">
        <f t="shared" si="12"/>
        <v>5</v>
      </c>
      <c r="O37" s="123">
        <f t="shared" si="12"/>
        <v>28</v>
      </c>
      <c r="P37" s="7" t="s">
        <v>13</v>
      </c>
      <c r="Q37" s="9"/>
      <c r="R37" s="1"/>
    </row>
    <row r="38" spans="1:18" ht="13.5" thickBot="1" x14ac:dyDescent="0.25">
      <c r="A38" s="123">
        <f t="shared" si="0"/>
        <v>38</v>
      </c>
      <c r="B38" s="123">
        <f t="shared" si="1"/>
        <v>21</v>
      </c>
      <c r="C38" s="123">
        <f t="shared" si="1"/>
        <v>17</v>
      </c>
      <c r="D38" s="123">
        <v>0</v>
      </c>
      <c r="E38" s="123">
        <v>0</v>
      </c>
      <c r="F38" s="123">
        <v>10</v>
      </c>
      <c r="G38" s="123">
        <v>0</v>
      </c>
      <c r="H38" s="123">
        <v>9</v>
      </c>
      <c r="I38" s="123">
        <v>2</v>
      </c>
      <c r="J38" s="123">
        <v>2</v>
      </c>
      <c r="K38" s="123">
        <v>8</v>
      </c>
      <c r="L38" s="123">
        <v>0</v>
      </c>
      <c r="M38" s="123">
        <v>4</v>
      </c>
      <c r="N38" s="123">
        <v>0</v>
      </c>
      <c r="O38" s="123">
        <v>3</v>
      </c>
      <c r="P38" s="7" t="s">
        <v>163</v>
      </c>
      <c r="Q38" s="124"/>
      <c r="R38" s="1"/>
    </row>
    <row r="39" spans="1:18" ht="13.5" thickBot="1" x14ac:dyDescent="0.25">
      <c r="A39" s="123">
        <f t="shared" si="0"/>
        <v>58</v>
      </c>
      <c r="B39" s="123">
        <f t="shared" si="1"/>
        <v>38</v>
      </c>
      <c r="C39" s="123">
        <f t="shared" si="1"/>
        <v>20</v>
      </c>
      <c r="D39" s="123">
        <v>1</v>
      </c>
      <c r="E39" s="123">
        <v>0</v>
      </c>
      <c r="F39" s="123">
        <v>4</v>
      </c>
      <c r="G39" s="123">
        <v>0</v>
      </c>
      <c r="H39" s="123">
        <v>13</v>
      </c>
      <c r="I39" s="123">
        <v>1</v>
      </c>
      <c r="J39" s="123">
        <v>14</v>
      </c>
      <c r="K39" s="123">
        <v>6</v>
      </c>
      <c r="L39" s="123">
        <v>4</v>
      </c>
      <c r="M39" s="123">
        <v>9</v>
      </c>
      <c r="N39" s="123">
        <v>2</v>
      </c>
      <c r="O39" s="123">
        <v>4</v>
      </c>
      <c r="P39" s="7" t="s">
        <v>162</v>
      </c>
      <c r="Q39" s="124" t="s">
        <v>165</v>
      </c>
      <c r="R39" s="1"/>
    </row>
    <row r="40" spans="1:18" ht="13.5" thickBot="1" x14ac:dyDescent="0.25">
      <c r="A40" s="123">
        <f t="shared" si="0"/>
        <v>96</v>
      </c>
      <c r="B40" s="123">
        <f t="shared" si="1"/>
        <v>59</v>
      </c>
      <c r="C40" s="123">
        <f t="shared" si="1"/>
        <v>37</v>
      </c>
      <c r="D40" s="123">
        <f t="shared" ref="D40:O40" si="13">SUM(D38:D39)</f>
        <v>1</v>
      </c>
      <c r="E40" s="123">
        <f t="shared" si="13"/>
        <v>0</v>
      </c>
      <c r="F40" s="123">
        <f t="shared" si="13"/>
        <v>14</v>
      </c>
      <c r="G40" s="123">
        <f t="shared" si="13"/>
        <v>0</v>
      </c>
      <c r="H40" s="123">
        <f t="shared" si="13"/>
        <v>22</v>
      </c>
      <c r="I40" s="123">
        <f t="shared" si="13"/>
        <v>3</v>
      </c>
      <c r="J40" s="123">
        <f t="shared" si="13"/>
        <v>16</v>
      </c>
      <c r="K40" s="123">
        <f t="shared" si="13"/>
        <v>14</v>
      </c>
      <c r="L40" s="123">
        <f t="shared" si="13"/>
        <v>4</v>
      </c>
      <c r="M40" s="123">
        <f t="shared" si="13"/>
        <v>13</v>
      </c>
      <c r="N40" s="123">
        <f t="shared" si="13"/>
        <v>2</v>
      </c>
      <c r="O40" s="123">
        <f t="shared" si="13"/>
        <v>7</v>
      </c>
      <c r="P40" s="7" t="s">
        <v>13</v>
      </c>
      <c r="Q40" s="9"/>
      <c r="R40" s="1"/>
    </row>
    <row r="41" spans="1:18" ht="13.5" thickBot="1" x14ac:dyDescent="0.25">
      <c r="A41" s="123">
        <f t="shared" si="0"/>
        <v>261</v>
      </c>
      <c r="B41" s="123">
        <f t="shared" si="1"/>
        <v>64</v>
      </c>
      <c r="C41" s="123">
        <f t="shared" si="1"/>
        <v>197</v>
      </c>
      <c r="D41" s="123">
        <v>1</v>
      </c>
      <c r="E41" s="123">
        <v>23</v>
      </c>
      <c r="F41" s="123">
        <v>36</v>
      </c>
      <c r="G41" s="123">
        <v>101</v>
      </c>
      <c r="H41" s="123">
        <v>22</v>
      </c>
      <c r="I41" s="123">
        <v>35</v>
      </c>
      <c r="J41" s="123">
        <v>5</v>
      </c>
      <c r="K41" s="123">
        <v>30</v>
      </c>
      <c r="L41" s="123">
        <v>0</v>
      </c>
      <c r="M41" s="123">
        <v>6</v>
      </c>
      <c r="N41" s="123">
        <v>0</v>
      </c>
      <c r="O41" s="123">
        <v>2</v>
      </c>
      <c r="P41" s="7" t="s">
        <v>163</v>
      </c>
      <c r="Q41" s="124"/>
      <c r="R41" s="1"/>
    </row>
    <row r="42" spans="1:18" ht="13.5" thickBot="1" x14ac:dyDescent="0.25">
      <c r="A42" s="123">
        <f t="shared" si="0"/>
        <v>362</v>
      </c>
      <c r="B42" s="123">
        <f t="shared" si="1"/>
        <v>115</v>
      </c>
      <c r="C42" s="123">
        <f t="shared" si="1"/>
        <v>247</v>
      </c>
      <c r="D42" s="123">
        <v>5</v>
      </c>
      <c r="E42" s="123">
        <v>12</v>
      </c>
      <c r="F42" s="123">
        <v>0</v>
      </c>
      <c r="G42" s="123">
        <v>23</v>
      </c>
      <c r="H42" s="123">
        <v>46</v>
      </c>
      <c r="I42" s="123">
        <v>57</v>
      </c>
      <c r="J42" s="123">
        <v>58</v>
      </c>
      <c r="K42" s="123">
        <v>120</v>
      </c>
      <c r="L42" s="123">
        <v>6</v>
      </c>
      <c r="M42" s="123">
        <v>18</v>
      </c>
      <c r="N42" s="123">
        <v>0</v>
      </c>
      <c r="O42" s="123">
        <v>17</v>
      </c>
      <c r="P42" s="7" t="s">
        <v>162</v>
      </c>
      <c r="Q42" s="124" t="s">
        <v>115</v>
      </c>
      <c r="R42" s="1"/>
    </row>
    <row r="43" spans="1:18" ht="13.5" thickBot="1" x14ac:dyDescent="0.25">
      <c r="A43" s="123">
        <f t="shared" si="0"/>
        <v>623</v>
      </c>
      <c r="B43" s="123">
        <f t="shared" si="1"/>
        <v>179</v>
      </c>
      <c r="C43" s="123">
        <f t="shared" si="1"/>
        <v>444</v>
      </c>
      <c r="D43" s="123">
        <f t="shared" ref="D43:O43" si="14">SUM(D41:D42)</f>
        <v>6</v>
      </c>
      <c r="E43" s="123">
        <f t="shared" si="14"/>
        <v>35</v>
      </c>
      <c r="F43" s="123">
        <f t="shared" si="14"/>
        <v>36</v>
      </c>
      <c r="G43" s="123">
        <f t="shared" si="14"/>
        <v>124</v>
      </c>
      <c r="H43" s="123">
        <f t="shared" si="14"/>
        <v>68</v>
      </c>
      <c r="I43" s="123">
        <f t="shared" si="14"/>
        <v>92</v>
      </c>
      <c r="J43" s="123">
        <f t="shared" si="14"/>
        <v>63</v>
      </c>
      <c r="K43" s="123">
        <f t="shared" si="14"/>
        <v>150</v>
      </c>
      <c r="L43" s="123">
        <f t="shared" si="14"/>
        <v>6</v>
      </c>
      <c r="M43" s="123">
        <f t="shared" si="14"/>
        <v>24</v>
      </c>
      <c r="N43" s="123">
        <f t="shared" si="14"/>
        <v>0</v>
      </c>
      <c r="O43" s="123">
        <f t="shared" si="14"/>
        <v>19</v>
      </c>
      <c r="P43" s="7" t="s">
        <v>13</v>
      </c>
      <c r="Q43" s="9"/>
      <c r="R43" s="1"/>
    </row>
    <row r="44" spans="1:18" ht="13.5" thickBot="1" x14ac:dyDescent="0.25">
      <c r="A44" s="123">
        <f t="shared" si="0"/>
        <v>145</v>
      </c>
      <c r="B44" s="123">
        <f t="shared" si="1"/>
        <v>57</v>
      </c>
      <c r="C44" s="123">
        <f t="shared" si="1"/>
        <v>88</v>
      </c>
      <c r="D44" s="123">
        <v>0</v>
      </c>
      <c r="E44" s="123">
        <v>14</v>
      </c>
      <c r="F44" s="123">
        <v>29</v>
      </c>
      <c r="G44" s="123">
        <v>33</v>
      </c>
      <c r="H44" s="123">
        <v>26</v>
      </c>
      <c r="I44" s="123">
        <v>27</v>
      </c>
      <c r="J44" s="123">
        <v>2</v>
      </c>
      <c r="K44" s="123">
        <v>12</v>
      </c>
      <c r="L44" s="123">
        <v>0</v>
      </c>
      <c r="M44" s="123">
        <v>1</v>
      </c>
      <c r="N44" s="123">
        <v>0</v>
      </c>
      <c r="O44" s="123">
        <v>1</v>
      </c>
      <c r="P44" s="7" t="s">
        <v>163</v>
      </c>
      <c r="Q44" s="124"/>
      <c r="R44" s="1"/>
    </row>
    <row r="45" spans="1:18" ht="13.5" thickBot="1" x14ac:dyDescent="0.25">
      <c r="A45" s="123">
        <f t="shared" si="0"/>
        <v>317</v>
      </c>
      <c r="B45" s="123">
        <f t="shared" si="1"/>
        <v>116</v>
      </c>
      <c r="C45" s="123">
        <f t="shared" si="1"/>
        <v>201</v>
      </c>
      <c r="D45" s="123">
        <v>6</v>
      </c>
      <c r="E45" s="123">
        <v>8</v>
      </c>
      <c r="F45" s="123">
        <v>0</v>
      </c>
      <c r="G45" s="123">
        <v>7</v>
      </c>
      <c r="H45" s="123">
        <v>43</v>
      </c>
      <c r="I45" s="123">
        <v>58</v>
      </c>
      <c r="J45" s="123">
        <v>65</v>
      </c>
      <c r="K45" s="123">
        <v>113</v>
      </c>
      <c r="L45" s="123">
        <v>1</v>
      </c>
      <c r="M45" s="123">
        <v>10</v>
      </c>
      <c r="N45" s="123">
        <v>1</v>
      </c>
      <c r="O45" s="123">
        <v>5</v>
      </c>
      <c r="P45" s="7" t="s">
        <v>162</v>
      </c>
      <c r="Q45" s="124" t="s">
        <v>118</v>
      </c>
      <c r="R45" s="1"/>
    </row>
    <row r="46" spans="1:18" ht="13.5" thickBot="1" x14ac:dyDescent="0.25">
      <c r="A46" s="123">
        <f t="shared" si="0"/>
        <v>462</v>
      </c>
      <c r="B46" s="123">
        <f t="shared" si="1"/>
        <v>173</v>
      </c>
      <c r="C46" s="123">
        <f t="shared" si="1"/>
        <v>289</v>
      </c>
      <c r="D46" s="123">
        <f t="shared" ref="D46:O46" si="15">SUM(D44:D45)</f>
        <v>6</v>
      </c>
      <c r="E46" s="123">
        <f t="shared" si="15"/>
        <v>22</v>
      </c>
      <c r="F46" s="123">
        <f t="shared" si="15"/>
        <v>29</v>
      </c>
      <c r="G46" s="123">
        <f t="shared" si="15"/>
        <v>40</v>
      </c>
      <c r="H46" s="123">
        <f t="shared" si="15"/>
        <v>69</v>
      </c>
      <c r="I46" s="123">
        <f t="shared" si="15"/>
        <v>85</v>
      </c>
      <c r="J46" s="123">
        <f t="shared" si="15"/>
        <v>67</v>
      </c>
      <c r="K46" s="123">
        <f t="shared" si="15"/>
        <v>125</v>
      </c>
      <c r="L46" s="123">
        <f t="shared" si="15"/>
        <v>1</v>
      </c>
      <c r="M46" s="123">
        <f t="shared" si="15"/>
        <v>11</v>
      </c>
      <c r="N46" s="123">
        <f t="shared" si="15"/>
        <v>1</v>
      </c>
      <c r="O46" s="123">
        <f t="shared" si="15"/>
        <v>6</v>
      </c>
      <c r="P46" s="7" t="s">
        <v>13</v>
      </c>
      <c r="Q46" s="9"/>
      <c r="R46" s="1"/>
    </row>
    <row r="47" spans="1:18" ht="13.5" thickBot="1" x14ac:dyDescent="0.25">
      <c r="A47" s="123">
        <f t="shared" si="0"/>
        <v>134</v>
      </c>
      <c r="B47" s="123">
        <f t="shared" si="1"/>
        <v>79</v>
      </c>
      <c r="C47" s="123">
        <f t="shared" si="1"/>
        <v>55</v>
      </c>
      <c r="D47" s="123">
        <v>3</v>
      </c>
      <c r="E47" s="123">
        <v>3</v>
      </c>
      <c r="F47" s="123">
        <v>50</v>
      </c>
      <c r="G47" s="123">
        <v>27</v>
      </c>
      <c r="H47" s="123">
        <v>21</v>
      </c>
      <c r="I47" s="123">
        <v>18</v>
      </c>
      <c r="J47" s="123">
        <v>5</v>
      </c>
      <c r="K47" s="123">
        <v>6</v>
      </c>
      <c r="L47" s="123">
        <v>0</v>
      </c>
      <c r="M47" s="123">
        <v>1</v>
      </c>
      <c r="N47" s="123">
        <v>0</v>
      </c>
      <c r="O47" s="123">
        <v>0</v>
      </c>
      <c r="P47" s="7" t="s">
        <v>163</v>
      </c>
      <c r="Q47" s="124"/>
      <c r="R47" s="1"/>
    </row>
    <row r="48" spans="1:18" ht="13.5" thickBot="1" x14ac:dyDescent="0.25">
      <c r="A48" s="123">
        <f t="shared" si="0"/>
        <v>393</v>
      </c>
      <c r="B48" s="123">
        <f t="shared" si="1"/>
        <v>133</v>
      </c>
      <c r="C48" s="123">
        <f t="shared" si="1"/>
        <v>260</v>
      </c>
      <c r="D48" s="123">
        <v>5</v>
      </c>
      <c r="E48" s="123">
        <v>15</v>
      </c>
      <c r="F48" s="123">
        <v>0</v>
      </c>
      <c r="G48" s="123">
        <v>3</v>
      </c>
      <c r="H48" s="123">
        <v>74</v>
      </c>
      <c r="I48" s="123">
        <v>81</v>
      </c>
      <c r="J48" s="123">
        <v>50</v>
      </c>
      <c r="K48" s="123">
        <v>136</v>
      </c>
      <c r="L48" s="123">
        <v>4</v>
      </c>
      <c r="M48" s="123">
        <v>24</v>
      </c>
      <c r="N48" s="123">
        <v>0</v>
      </c>
      <c r="O48" s="123">
        <v>1</v>
      </c>
      <c r="P48" s="7" t="s">
        <v>162</v>
      </c>
      <c r="Q48" s="124" t="s">
        <v>120</v>
      </c>
      <c r="R48" s="1"/>
    </row>
    <row r="49" spans="1:18" ht="13.5" thickBot="1" x14ac:dyDescent="0.25">
      <c r="A49" s="123">
        <f t="shared" si="0"/>
        <v>527</v>
      </c>
      <c r="B49" s="123">
        <f t="shared" si="1"/>
        <v>212</v>
      </c>
      <c r="C49" s="123">
        <f t="shared" si="1"/>
        <v>315</v>
      </c>
      <c r="D49" s="123">
        <f t="shared" ref="D49:O49" si="16">SUM(D47:D48)</f>
        <v>8</v>
      </c>
      <c r="E49" s="123">
        <f t="shared" si="16"/>
        <v>18</v>
      </c>
      <c r="F49" s="123">
        <f t="shared" si="16"/>
        <v>50</v>
      </c>
      <c r="G49" s="123">
        <f t="shared" si="16"/>
        <v>30</v>
      </c>
      <c r="H49" s="123">
        <f t="shared" si="16"/>
        <v>95</v>
      </c>
      <c r="I49" s="123">
        <f t="shared" si="16"/>
        <v>99</v>
      </c>
      <c r="J49" s="123">
        <f t="shared" si="16"/>
        <v>55</v>
      </c>
      <c r="K49" s="123">
        <f t="shared" si="16"/>
        <v>142</v>
      </c>
      <c r="L49" s="123">
        <f t="shared" si="16"/>
        <v>4</v>
      </c>
      <c r="M49" s="123">
        <f t="shared" si="16"/>
        <v>25</v>
      </c>
      <c r="N49" s="123">
        <f t="shared" si="16"/>
        <v>0</v>
      </c>
      <c r="O49" s="123">
        <f t="shared" si="16"/>
        <v>1</v>
      </c>
      <c r="P49" s="7" t="s">
        <v>13</v>
      </c>
      <c r="Q49" s="9"/>
      <c r="R49" s="1"/>
    </row>
    <row r="50" spans="1:18" ht="13.5" thickBot="1" x14ac:dyDescent="0.25">
      <c r="A50" s="123">
        <f t="shared" si="0"/>
        <v>205</v>
      </c>
      <c r="B50" s="123">
        <f t="shared" si="1"/>
        <v>146</v>
      </c>
      <c r="C50" s="123">
        <f t="shared" si="1"/>
        <v>59</v>
      </c>
      <c r="D50" s="123">
        <v>5</v>
      </c>
      <c r="E50" s="123">
        <v>6</v>
      </c>
      <c r="F50" s="123">
        <v>90</v>
      </c>
      <c r="G50" s="123">
        <v>22</v>
      </c>
      <c r="H50" s="123">
        <v>28</v>
      </c>
      <c r="I50" s="123">
        <v>16</v>
      </c>
      <c r="J50" s="123">
        <v>22</v>
      </c>
      <c r="K50" s="123">
        <v>12</v>
      </c>
      <c r="L50" s="123">
        <v>1</v>
      </c>
      <c r="M50" s="123">
        <v>0</v>
      </c>
      <c r="N50" s="123">
        <v>0</v>
      </c>
      <c r="O50" s="123">
        <v>3</v>
      </c>
      <c r="P50" s="7" t="s">
        <v>163</v>
      </c>
      <c r="Q50" s="124"/>
      <c r="R50" s="1"/>
    </row>
    <row r="51" spans="1:18" ht="13.5" thickBot="1" x14ac:dyDescent="0.25">
      <c r="A51" s="123">
        <f t="shared" si="0"/>
        <v>183</v>
      </c>
      <c r="B51" s="123">
        <f t="shared" si="1"/>
        <v>86</v>
      </c>
      <c r="C51" s="123">
        <f t="shared" si="1"/>
        <v>97</v>
      </c>
      <c r="D51" s="123">
        <v>1</v>
      </c>
      <c r="E51" s="123">
        <v>14</v>
      </c>
      <c r="F51" s="123">
        <v>0</v>
      </c>
      <c r="G51" s="123">
        <v>1</v>
      </c>
      <c r="H51" s="123">
        <v>31</v>
      </c>
      <c r="I51" s="123">
        <v>11</v>
      </c>
      <c r="J51" s="123">
        <v>48</v>
      </c>
      <c r="K51" s="123">
        <v>59</v>
      </c>
      <c r="L51" s="123">
        <v>5</v>
      </c>
      <c r="M51" s="123">
        <v>11</v>
      </c>
      <c r="N51" s="123">
        <v>1</v>
      </c>
      <c r="O51" s="123">
        <v>1</v>
      </c>
      <c r="P51" s="7" t="s">
        <v>162</v>
      </c>
      <c r="Q51" s="124" t="s">
        <v>124</v>
      </c>
      <c r="R51" s="1"/>
    </row>
    <row r="52" spans="1:18" ht="13.5" thickBot="1" x14ac:dyDescent="0.25">
      <c r="A52" s="123">
        <f t="shared" si="0"/>
        <v>388</v>
      </c>
      <c r="B52" s="123">
        <f t="shared" si="1"/>
        <v>232</v>
      </c>
      <c r="C52" s="123">
        <f t="shared" si="1"/>
        <v>156</v>
      </c>
      <c r="D52" s="123">
        <f t="shared" ref="D52:O52" si="17">SUM(D50:D51)</f>
        <v>6</v>
      </c>
      <c r="E52" s="123">
        <f t="shared" si="17"/>
        <v>20</v>
      </c>
      <c r="F52" s="123">
        <f t="shared" si="17"/>
        <v>90</v>
      </c>
      <c r="G52" s="123">
        <f t="shared" si="17"/>
        <v>23</v>
      </c>
      <c r="H52" s="123">
        <f t="shared" si="17"/>
        <v>59</v>
      </c>
      <c r="I52" s="123">
        <f t="shared" si="17"/>
        <v>27</v>
      </c>
      <c r="J52" s="123">
        <f t="shared" si="17"/>
        <v>70</v>
      </c>
      <c r="K52" s="123">
        <f t="shared" si="17"/>
        <v>71</v>
      </c>
      <c r="L52" s="123">
        <f t="shared" si="17"/>
        <v>6</v>
      </c>
      <c r="M52" s="123">
        <f t="shared" si="17"/>
        <v>11</v>
      </c>
      <c r="N52" s="123">
        <f t="shared" si="17"/>
        <v>1</v>
      </c>
      <c r="O52" s="123">
        <f t="shared" si="17"/>
        <v>4</v>
      </c>
      <c r="P52" s="7" t="s">
        <v>13</v>
      </c>
      <c r="Q52" s="9"/>
      <c r="R52" s="1"/>
    </row>
    <row r="53" spans="1:18" ht="13.5" thickBot="1" x14ac:dyDescent="0.25">
      <c r="A53" s="123">
        <f t="shared" si="0"/>
        <v>102</v>
      </c>
      <c r="B53" s="123">
        <f t="shared" si="1"/>
        <v>40</v>
      </c>
      <c r="C53" s="123">
        <f t="shared" si="1"/>
        <v>62</v>
      </c>
      <c r="D53" s="123">
        <v>2</v>
      </c>
      <c r="E53" s="123">
        <v>2</v>
      </c>
      <c r="F53" s="123">
        <v>31</v>
      </c>
      <c r="G53" s="123">
        <v>35</v>
      </c>
      <c r="H53" s="123">
        <v>7</v>
      </c>
      <c r="I53" s="123">
        <v>14</v>
      </c>
      <c r="J53" s="123">
        <v>0</v>
      </c>
      <c r="K53" s="123">
        <v>11</v>
      </c>
      <c r="L53" s="123">
        <v>0</v>
      </c>
      <c r="M53" s="123">
        <v>0</v>
      </c>
      <c r="N53" s="123">
        <v>0</v>
      </c>
      <c r="O53" s="123">
        <v>0</v>
      </c>
      <c r="P53" s="7" t="s">
        <v>163</v>
      </c>
      <c r="Q53" s="124"/>
      <c r="R53" s="1"/>
    </row>
    <row r="54" spans="1:18" ht="13.5" thickBot="1" x14ac:dyDescent="0.25">
      <c r="A54" s="123">
        <f t="shared" si="0"/>
        <v>310</v>
      </c>
      <c r="B54" s="123">
        <f t="shared" si="1"/>
        <v>119</v>
      </c>
      <c r="C54" s="123">
        <f t="shared" si="1"/>
        <v>191</v>
      </c>
      <c r="D54" s="123">
        <v>0</v>
      </c>
      <c r="E54" s="123">
        <v>17</v>
      </c>
      <c r="F54" s="123">
        <v>0</v>
      </c>
      <c r="G54" s="123">
        <v>9</v>
      </c>
      <c r="H54" s="123">
        <v>56</v>
      </c>
      <c r="I54" s="123">
        <v>23</v>
      </c>
      <c r="J54" s="123">
        <v>59</v>
      </c>
      <c r="K54" s="123">
        <v>128</v>
      </c>
      <c r="L54" s="123">
        <v>3</v>
      </c>
      <c r="M54" s="123">
        <v>13</v>
      </c>
      <c r="N54" s="123">
        <v>1</v>
      </c>
      <c r="O54" s="123">
        <v>1</v>
      </c>
      <c r="P54" s="7" t="s">
        <v>162</v>
      </c>
      <c r="Q54" s="124" t="s">
        <v>126</v>
      </c>
      <c r="R54" s="1"/>
    </row>
    <row r="55" spans="1:18" ht="13.5" thickBot="1" x14ac:dyDescent="0.25">
      <c r="A55" s="123">
        <f t="shared" si="0"/>
        <v>412</v>
      </c>
      <c r="B55" s="123">
        <f t="shared" si="1"/>
        <v>159</v>
      </c>
      <c r="C55" s="123">
        <f t="shared" si="1"/>
        <v>253</v>
      </c>
      <c r="D55" s="123">
        <f t="shared" ref="D55:O55" si="18">SUM(D53:D54)</f>
        <v>2</v>
      </c>
      <c r="E55" s="123">
        <f t="shared" si="18"/>
        <v>19</v>
      </c>
      <c r="F55" s="123">
        <f t="shared" si="18"/>
        <v>31</v>
      </c>
      <c r="G55" s="123">
        <f t="shared" si="18"/>
        <v>44</v>
      </c>
      <c r="H55" s="123">
        <f t="shared" si="18"/>
        <v>63</v>
      </c>
      <c r="I55" s="123">
        <f t="shared" si="18"/>
        <v>37</v>
      </c>
      <c r="J55" s="123">
        <f t="shared" si="18"/>
        <v>59</v>
      </c>
      <c r="K55" s="123">
        <f t="shared" si="18"/>
        <v>139</v>
      </c>
      <c r="L55" s="123">
        <f t="shared" si="18"/>
        <v>3</v>
      </c>
      <c r="M55" s="123">
        <f t="shared" si="18"/>
        <v>13</v>
      </c>
      <c r="N55" s="123">
        <f t="shared" si="18"/>
        <v>1</v>
      </c>
      <c r="O55" s="123">
        <f t="shared" si="18"/>
        <v>1</v>
      </c>
      <c r="P55" s="7" t="s">
        <v>13</v>
      </c>
      <c r="Q55" s="9"/>
      <c r="R55" s="1"/>
    </row>
    <row r="56" spans="1:18" ht="13.5" thickBot="1" x14ac:dyDescent="0.25">
      <c r="A56" s="123">
        <f t="shared" si="0"/>
        <v>52</v>
      </c>
      <c r="B56" s="123">
        <f t="shared" si="1"/>
        <v>42</v>
      </c>
      <c r="C56" s="123">
        <f t="shared" si="1"/>
        <v>10</v>
      </c>
      <c r="D56" s="123">
        <v>2</v>
      </c>
      <c r="E56" s="123">
        <v>2</v>
      </c>
      <c r="F56" s="123">
        <v>38</v>
      </c>
      <c r="G56" s="123">
        <v>4</v>
      </c>
      <c r="H56" s="123">
        <v>1</v>
      </c>
      <c r="I56" s="123">
        <v>1</v>
      </c>
      <c r="J56" s="123">
        <v>1</v>
      </c>
      <c r="K56" s="123">
        <v>3</v>
      </c>
      <c r="L56" s="123">
        <v>0</v>
      </c>
      <c r="M56" s="123">
        <v>0</v>
      </c>
      <c r="N56" s="123">
        <v>0</v>
      </c>
      <c r="O56" s="123">
        <v>0</v>
      </c>
      <c r="P56" s="7" t="s">
        <v>163</v>
      </c>
      <c r="Q56" s="124"/>
      <c r="R56" s="1"/>
    </row>
    <row r="57" spans="1:18" ht="13.5" thickBot="1" x14ac:dyDescent="0.25">
      <c r="A57" s="123">
        <f t="shared" si="0"/>
        <v>107</v>
      </c>
      <c r="B57" s="123">
        <f t="shared" si="1"/>
        <v>67</v>
      </c>
      <c r="C57" s="123">
        <f t="shared" si="1"/>
        <v>40</v>
      </c>
      <c r="D57" s="123">
        <v>0</v>
      </c>
      <c r="E57" s="123">
        <v>1</v>
      </c>
      <c r="F57" s="123">
        <v>14</v>
      </c>
      <c r="G57" s="123">
        <v>0</v>
      </c>
      <c r="H57" s="123">
        <v>37</v>
      </c>
      <c r="I57" s="123">
        <v>15</v>
      </c>
      <c r="J57" s="123">
        <v>16</v>
      </c>
      <c r="K57" s="123">
        <v>21</v>
      </c>
      <c r="L57" s="123">
        <v>0</v>
      </c>
      <c r="M57" s="123">
        <v>2</v>
      </c>
      <c r="N57" s="123">
        <v>0</v>
      </c>
      <c r="O57" s="123">
        <v>1</v>
      </c>
      <c r="P57" s="7" t="s">
        <v>162</v>
      </c>
      <c r="Q57" s="124" t="s">
        <v>129</v>
      </c>
      <c r="R57" s="1"/>
    </row>
    <row r="58" spans="1:18" ht="13.5" thickBot="1" x14ac:dyDescent="0.25">
      <c r="A58" s="123">
        <f t="shared" si="0"/>
        <v>159</v>
      </c>
      <c r="B58" s="123">
        <f t="shared" si="1"/>
        <v>109</v>
      </c>
      <c r="C58" s="123">
        <f t="shared" si="1"/>
        <v>50</v>
      </c>
      <c r="D58" s="123">
        <f t="shared" ref="D58:O58" si="19">SUM(D56:D57)</f>
        <v>2</v>
      </c>
      <c r="E58" s="123">
        <f t="shared" si="19"/>
        <v>3</v>
      </c>
      <c r="F58" s="123">
        <f t="shared" si="19"/>
        <v>52</v>
      </c>
      <c r="G58" s="123">
        <f t="shared" si="19"/>
        <v>4</v>
      </c>
      <c r="H58" s="123">
        <f t="shared" si="19"/>
        <v>38</v>
      </c>
      <c r="I58" s="123">
        <f t="shared" si="19"/>
        <v>16</v>
      </c>
      <c r="J58" s="123">
        <f t="shared" si="19"/>
        <v>17</v>
      </c>
      <c r="K58" s="123">
        <f t="shared" si="19"/>
        <v>24</v>
      </c>
      <c r="L58" s="123">
        <f t="shared" si="19"/>
        <v>0</v>
      </c>
      <c r="M58" s="123">
        <f t="shared" si="19"/>
        <v>2</v>
      </c>
      <c r="N58" s="123">
        <f t="shared" si="19"/>
        <v>0</v>
      </c>
      <c r="O58" s="123">
        <f t="shared" si="19"/>
        <v>1</v>
      </c>
      <c r="P58" s="7" t="s">
        <v>13</v>
      </c>
      <c r="Q58" s="9"/>
      <c r="R58" s="1"/>
    </row>
    <row r="59" spans="1:18" ht="13.5" thickBot="1" x14ac:dyDescent="0.25">
      <c r="A59" s="123">
        <f t="shared" si="0"/>
        <v>1070</v>
      </c>
      <c r="B59" s="123">
        <f t="shared" si="1"/>
        <v>1068</v>
      </c>
      <c r="C59" s="123">
        <f t="shared" si="1"/>
        <v>2</v>
      </c>
      <c r="D59" s="123">
        <v>2</v>
      </c>
      <c r="E59" s="123">
        <v>0</v>
      </c>
      <c r="F59" s="123">
        <v>318</v>
      </c>
      <c r="G59" s="123">
        <v>2</v>
      </c>
      <c r="H59" s="123">
        <v>365</v>
      </c>
      <c r="I59" s="123">
        <v>0</v>
      </c>
      <c r="J59" s="123">
        <v>337</v>
      </c>
      <c r="K59" s="123">
        <v>0</v>
      </c>
      <c r="L59" s="123">
        <v>39</v>
      </c>
      <c r="M59" s="123">
        <v>0</v>
      </c>
      <c r="N59" s="123">
        <v>7</v>
      </c>
      <c r="O59" s="123">
        <v>0</v>
      </c>
      <c r="P59" s="7" t="s">
        <v>163</v>
      </c>
      <c r="Q59" s="124"/>
      <c r="R59" s="1"/>
    </row>
    <row r="60" spans="1:18" ht="13.5" thickBot="1" x14ac:dyDescent="0.25">
      <c r="A60" s="123">
        <f t="shared" si="0"/>
        <v>665</v>
      </c>
      <c r="B60" s="123">
        <f t="shared" si="1"/>
        <v>492</v>
      </c>
      <c r="C60" s="123">
        <f t="shared" si="1"/>
        <v>173</v>
      </c>
      <c r="D60" s="123">
        <v>1</v>
      </c>
      <c r="E60" s="123">
        <v>0</v>
      </c>
      <c r="F60" s="123">
        <v>0</v>
      </c>
      <c r="G60" s="123">
        <v>0</v>
      </c>
      <c r="H60" s="123">
        <v>229</v>
      </c>
      <c r="I60" s="123">
        <v>15</v>
      </c>
      <c r="J60" s="123">
        <v>225</v>
      </c>
      <c r="K60" s="123">
        <v>120</v>
      </c>
      <c r="L60" s="123">
        <v>26</v>
      </c>
      <c r="M60" s="123">
        <v>24</v>
      </c>
      <c r="N60" s="123">
        <v>11</v>
      </c>
      <c r="O60" s="123">
        <v>14</v>
      </c>
      <c r="P60" s="7" t="s">
        <v>162</v>
      </c>
      <c r="Q60" s="124" t="s">
        <v>131</v>
      </c>
      <c r="R60" s="1"/>
    </row>
    <row r="61" spans="1:18" ht="13.5" thickBot="1" x14ac:dyDescent="0.25">
      <c r="A61" s="123">
        <f t="shared" si="0"/>
        <v>1735</v>
      </c>
      <c r="B61" s="123">
        <f t="shared" si="1"/>
        <v>1560</v>
      </c>
      <c r="C61" s="123">
        <f t="shared" si="1"/>
        <v>175</v>
      </c>
      <c r="D61" s="123">
        <f t="shared" ref="D61:O61" si="20">SUM(D59:D60)</f>
        <v>3</v>
      </c>
      <c r="E61" s="123">
        <f t="shared" si="20"/>
        <v>0</v>
      </c>
      <c r="F61" s="123">
        <f t="shared" si="20"/>
        <v>318</v>
      </c>
      <c r="G61" s="123">
        <f t="shared" si="20"/>
        <v>2</v>
      </c>
      <c r="H61" s="123">
        <f t="shared" si="20"/>
        <v>594</v>
      </c>
      <c r="I61" s="123">
        <f t="shared" si="20"/>
        <v>15</v>
      </c>
      <c r="J61" s="123">
        <f t="shared" si="20"/>
        <v>562</v>
      </c>
      <c r="K61" s="123">
        <f t="shared" si="20"/>
        <v>120</v>
      </c>
      <c r="L61" s="123">
        <f t="shared" si="20"/>
        <v>65</v>
      </c>
      <c r="M61" s="123">
        <f t="shared" si="20"/>
        <v>24</v>
      </c>
      <c r="N61" s="123">
        <f t="shared" si="20"/>
        <v>18</v>
      </c>
      <c r="O61" s="123">
        <f t="shared" si="20"/>
        <v>14</v>
      </c>
      <c r="P61" s="7" t="s">
        <v>13</v>
      </c>
      <c r="Q61" s="9"/>
      <c r="R61" s="1"/>
    </row>
    <row r="62" spans="1:18" ht="13.5" thickBot="1" x14ac:dyDescent="0.25">
      <c r="A62" s="123">
        <f t="shared" si="0"/>
        <v>110</v>
      </c>
      <c r="B62" s="123">
        <f t="shared" si="1"/>
        <v>39</v>
      </c>
      <c r="C62" s="123">
        <f t="shared" si="1"/>
        <v>71</v>
      </c>
      <c r="D62" s="123">
        <v>4</v>
      </c>
      <c r="E62" s="123">
        <v>0</v>
      </c>
      <c r="F62" s="123">
        <v>34</v>
      </c>
      <c r="G62" s="123">
        <v>40</v>
      </c>
      <c r="H62" s="123">
        <v>1</v>
      </c>
      <c r="I62" s="123">
        <v>23</v>
      </c>
      <c r="J62" s="123">
        <v>0</v>
      </c>
      <c r="K62" s="123">
        <v>7</v>
      </c>
      <c r="L62" s="123">
        <v>0</v>
      </c>
      <c r="M62" s="123">
        <v>1</v>
      </c>
      <c r="N62" s="123">
        <v>0</v>
      </c>
      <c r="O62" s="123">
        <v>0</v>
      </c>
      <c r="P62" s="7" t="s">
        <v>163</v>
      </c>
      <c r="Q62" s="124"/>
      <c r="R62" s="1"/>
    </row>
    <row r="63" spans="1:18" ht="13.5" thickBot="1" x14ac:dyDescent="0.25">
      <c r="A63" s="123">
        <f t="shared" si="0"/>
        <v>163</v>
      </c>
      <c r="B63" s="123">
        <f t="shared" si="1"/>
        <v>61</v>
      </c>
      <c r="C63" s="123">
        <f t="shared" si="1"/>
        <v>102</v>
      </c>
      <c r="D63" s="123">
        <v>7</v>
      </c>
      <c r="E63" s="123">
        <v>15</v>
      </c>
      <c r="F63" s="123">
        <v>0</v>
      </c>
      <c r="G63" s="123">
        <v>8</v>
      </c>
      <c r="H63" s="123">
        <v>39</v>
      </c>
      <c r="I63" s="123">
        <v>13</v>
      </c>
      <c r="J63" s="123">
        <v>15</v>
      </c>
      <c r="K63" s="123">
        <v>61</v>
      </c>
      <c r="L63" s="123">
        <v>0</v>
      </c>
      <c r="M63" s="123">
        <v>2</v>
      </c>
      <c r="N63" s="123">
        <v>0</v>
      </c>
      <c r="O63" s="123">
        <v>3</v>
      </c>
      <c r="P63" s="7" t="s">
        <v>162</v>
      </c>
      <c r="Q63" s="124" t="s">
        <v>133</v>
      </c>
      <c r="R63" s="1"/>
    </row>
    <row r="64" spans="1:18" ht="13.5" thickBot="1" x14ac:dyDescent="0.25">
      <c r="A64" s="123">
        <f t="shared" si="0"/>
        <v>273</v>
      </c>
      <c r="B64" s="123">
        <f t="shared" si="1"/>
        <v>100</v>
      </c>
      <c r="C64" s="123">
        <f t="shared" si="1"/>
        <v>173</v>
      </c>
      <c r="D64" s="123">
        <f t="shared" ref="D64:O64" si="21">SUM(D62:D63)</f>
        <v>11</v>
      </c>
      <c r="E64" s="123">
        <f t="shared" si="21"/>
        <v>15</v>
      </c>
      <c r="F64" s="123">
        <f t="shared" si="21"/>
        <v>34</v>
      </c>
      <c r="G64" s="123">
        <f t="shared" si="21"/>
        <v>48</v>
      </c>
      <c r="H64" s="123">
        <f t="shared" si="21"/>
        <v>40</v>
      </c>
      <c r="I64" s="123">
        <f t="shared" si="21"/>
        <v>36</v>
      </c>
      <c r="J64" s="123">
        <f t="shared" si="21"/>
        <v>15</v>
      </c>
      <c r="K64" s="123">
        <f t="shared" si="21"/>
        <v>68</v>
      </c>
      <c r="L64" s="123">
        <f t="shared" si="21"/>
        <v>0</v>
      </c>
      <c r="M64" s="123">
        <f t="shared" si="21"/>
        <v>3</v>
      </c>
      <c r="N64" s="123">
        <f t="shared" si="21"/>
        <v>0</v>
      </c>
      <c r="O64" s="123">
        <f t="shared" si="21"/>
        <v>3</v>
      </c>
      <c r="P64" s="7" t="s">
        <v>13</v>
      </c>
      <c r="Q64" s="9"/>
      <c r="R64" s="1"/>
    </row>
    <row r="65" spans="1:18" ht="13.5" thickBot="1" x14ac:dyDescent="0.25">
      <c r="A65" s="123">
        <f t="shared" si="0"/>
        <v>3618</v>
      </c>
      <c r="B65" s="123">
        <f t="shared" si="1"/>
        <v>118</v>
      </c>
      <c r="C65" s="123">
        <f t="shared" si="1"/>
        <v>3500</v>
      </c>
      <c r="D65" s="123">
        <v>1</v>
      </c>
      <c r="E65" s="123">
        <v>404</v>
      </c>
      <c r="F65" s="123">
        <v>100</v>
      </c>
      <c r="G65" s="123">
        <v>2731</v>
      </c>
      <c r="H65" s="123">
        <v>17</v>
      </c>
      <c r="I65" s="123">
        <v>227</v>
      </c>
      <c r="J65" s="123">
        <v>0</v>
      </c>
      <c r="K65" s="123">
        <v>128</v>
      </c>
      <c r="L65" s="123">
        <v>0</v>
      </c>
      <c r="M65" s="123">
        <v>8</v>
      </c>
      <c r="N65" s="123">
        <v>0</v>
      </c>
      <c r="O65" s="123">
        <v>2</v>
      </c>
      <c r="P65" s="7" t="s">
        <v>163</v>
      </c>
      <c r="Q65" s="124"/>
      <c r="R65" s="1"/>
    </row>
    <row r="66" spans="1:18" ht="13.5" thickBot="1" x14ac:dyDescent="0.25">
      <c r="A66" s="123">
        <f t="shared" si="0"/>
        <v>777</v>
      </c>
      <c r="B66" s="123">
        <f t="shared" si="1"/>
        <v>0</v>
      </c>
      <c r="C66" s="123">
        <f t="shared" si="1"/>
        <v>777</v>
      </c>
      <c r="D66" s="123">
        <v>0</v>
      </c>
      <c r="E66" s="123">
        <v>14</v>
      </c>
      <c r="F66" s="123">
        <v>0</v>
      </c>
      <c r="G66" s="123">
        <v>482</v>
      </c>
      <c r="H66" s="123">
        <v>0</v>
      </c>
      <c r="I66" s="123">
        <v>165</v>
      </c>
      <c r="J66" s="123">
        <v>0</v>
      </c>
      <c r="K66" s="123">
        <v>113</v>
      </c>
      <c r="L66" s="123">
        <v>0</v>
      </c>
      <c r="M66" s="123">
        <v>3</v>
      </c>
      <c r="N66" s="123">
        <v>0</v>
      </c>
      <c r="O66" s="123">
        <v>0</v>
      </c>
      <c r="P66" s="7" t="s">
        <v>162</v>
      </c>
      <c r="Q66" s="124" t="s">
        <v>168</v>
      </c>
      <c r="R66" s="1"/>
    </row>
    <row r="67" spans="1:18" ht="13.5" thickBot="1" x14ac:dyDescent="0.25">
      <c r="A67" s="123">
        <f t="shared" si="0"/>
        <v>4395</v>
      </c>
      <c r="B67" s="123">
        <f t="shared" si="1"/>
        <v>118</v>
      </c>
      <c r="C67" s="123">
        <f t="shared" si="1"/>
        <v>4277</v>
      </c>
      <c r="D67" s="123">
        <f t="shared" ref="D67:O67" si="22">SUM(D65:D66)</f>
        <v>1</v>
      </c>
      <c r="E67" s="123">
        <f t="shared" si="22"/>
        <v>418</v>
      </c>
      <c r="F67" s="123">
        <f t="shared" si="22"/>
        <v>100</v>
      </c>
      <c r="G67" s="123">
        <f t="shared" si="22"/>
        <v>3213</v>
      </c>
      <c r="H67" s="123">
        <f t="shared" si="22"/>
        <v>17</v>
      </c>
      <c r="I67" s="123">
        <f t="shared" si="22"/>
        <v>392</v>
      </c>
      <c r="J67" s="123">
        <f t="shared" si="22"/>
        <v>0</v>
      </c>
      <c r="K67" s="123">
        <f t="shared" si="22"/>
        <v>241</v>
      </c>
      <c r="L67" s="123">
        <f t="shared" si="22"/>
        <v>0</v>
      </c>
      <c r="M67" s="123">
        <f t="shared" si="22"/>
        <v>11</v>
      </c>
      <c r="N67" s="123">
        <f t="shared" si="22"/>
        <v>0</v>
      </c>
      <c r="O67" s="123">
        <f t="shared" si="22"/>
        <v>2</v>
      </c>
      <c r="P67" s="7" t="s">
        <v>13</v>
      </c>
      <c r="Q67" s="9"/>
      <c r="R67" s="1"/>
    </row>
    <row r="68" spans="1:18" ht="13.5" thickBot="1" x14ac:dyDescent="0.25">
      <c r="A68" s="123">
        <f t="shared" si="0"/>
        <v>0</v>
      </c>
      <c r="B68" s="123">
        <f t="shared" si="1"/>
        <v>0</v>
      </c>
      <c r="C68" s="123">
        <f t="shared" si="1"/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3">
        <v>0</v>
      </c>
      <c r="J68" s="123">
        <v>0</v>
      </c>
      <c r="K68" s="123">
        <v>0</v>
      </c>
      <c r="L68" s="123">
        <v>0</v>
      </c>
      <c r="M68" s="123">
        <v>0</v>
      </c>
      <c r="N68" s="123">
        <v>0</v>
      </c>
      <c r="O68" s="123">
        <v>0</v>
      </c>
      <c r="P68" s="7" t="s">
        <v>163</v>
      </c>
      <c r="Q68" s="124"/>
      <c r="R68" s="1"/>
    </row>
    <row r="69" spans="1:18" ht="13.5" thickBot="1" x14ac:dyDescent="0.25">
      <c r="A69" s="123">
        <f t="shared" si="0"/>
        <v>0</v>
      </c>
      <c r="B69" s="123">
        <f t="shared" si="1"/>
        <v>0</v>
      </c>
      <c r="C69" s="123">
        <f t="shared" si="1"/>
        <v>0</v>
      </c>
      <c r="D69" s="123">
        <v>0</v>
      </c>
      <c r="E69" s="123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0</v>
      </c>
      <c r="K69" s="123">
        <v>0</v>
      </c>
      <c r="L69" s="123">
        <v>0</v>
      </c>
      <c r="M69" s="123">
        <v>0</v>
      </c>
      <c r="N69" s="123">
        <v>0</v>
      </c>
      <c r="O69" s="123">
        <v>0</v>
      </c>
      <c r="P69" s="7" t="s">
        <v>162</v>
      </c>
      <c r="Q69" s="124" t="s">
        <v>615</v>
      </c>
      <c r="R69" s="1"/>
    </row>
    <row r="70" spans="1:18" ht="13.5" thickBot="1" x14ac:dyDescent="0.25">
      <c r="A70" s="123">
        <f t="shared" ref="A70:A82" si="23">SUM(B70:C70)</f>
        <v>0</v>
      </c>
      <c r="B70" s="123">
        <f t="shared" ref="B70:C82" si="24">SUM(N70+L70+J70+H70+F70+D70)</f>
        <v>0</v>
      </c>
      <c r="C70" s="123">
        <f t="shared" si="24"/>
        <v>0</v>
      </c>
      <c r="D70" s="123">
        <f t="shared" ref="D70:O70" si="25">SUM(D68:D69)</f>
        <v>0</v>
      </c>
      <c r="E70" s="123">
        <f t="shared" si="25"/>
        <v>0</v>
      </c>
      <c r="F70" s="123">
        <f t="shared" si="25"/>
        <v>0</v>
      </c>
      <c r="G70" s="123">
        <f t="shared" si="25"/>
        <v>0</v>
      </c>
      <c r="H70" s="123">
        <f t="shared" si="25"/>
        <v>0</v>
      </c>
      <c r="I70" s="123">
        <f t="shared" si="25"/>
        <v>0</v>
      </c>
      <c r="J70" s="123">
        <f t="shared" si="25"/>
        <v>0</v>
      </c>
      <c r="K70" s="123">
        <f t="shared" si="25"/>
        <v>0</v>
      </c>
      <c r="L70" s="123">
        <f t="shared" si="25"/>
        <v>0</v>
      </c>
      <c r="M70" s="123">
        <f t="shared" si="25"/>
        <v>0</v>
      </c>
      <c r="N70" s="123">
        <f t="shared" si="25"/>
        <v>0</v>
      </c>
      <c r="O70" s="123">
        <f t="shared" si="25"/>
        <v>0</v>
      </c>
      <c r="P70" s="7" t="s">
        <v>13</v>
      </c>
      <c r="Q70" s="9"/>
      <c r="R70" s="1"/>
    </row>
    <row r="71" spans="1:18" ht="13.5" thickBot="1" x14ac:dyDescent="0.25">
      <c r="A71" s="123">
        <f t="shared" si="23"/>
        <v>10</v>
      </c>
      <c r="B71" s="123">
        <f t="shared" si="24"/>
        <v>6</v>
      </c>
      <c r="C71" s="123">
        <f t="shared" si="24"/>
        <v>4</v>
      </c>
      <c r="D71" s="123">
        <v>3</v>
      </c>
      <c r="E71" s="123">
        <v>0</v>
      </c>
      <c r="F71" s="123">
        <v>0</v>
      </c>
      <c r="G71" s="123">
        <v>0</v>
      </c>
      <c r="H71" s="123">
        <v>3</v>
      </c>
      <c r="I71" s="123">
        <v>4</v>
      </c>
      <c r="J71" s="123">
        <v>0</v>
      </c>
      <c r="K71" s="123">
        <v>0</v>
      </c>
      <c r="L71" s="123">
        <v>0</v>
      </c>
      <c r="M71" s="123">
        <v>0</v>
      </c>
      <c r="N71" s="123">
        <v>0</v>
      </c>
      <c r="O71" s="123">
        <v>0</v>
      </c>
      <c r="P71" s="7" t="s">
        <v>163</v>
      </c>
      <c r="Q71" s="124"/>
      <c r="R71" s="1"/>
    </row>
    <row r="72" spans="1:18" ht="13.5" thickBot="1" x14ac:dyDescent="0.25">
      <c r="A72" s="123">
        <f t="shared" si="23"/>
        <v>45</v>
      </c>
      <c r="B72" s="123">
        <f t="shared" si="24"/>
        <v>2</v>
      </c>
      <c r="C72" s="123">
        <f t="shared" si="24"/>
        <v>43</v>
      </c>
      <c r="D72" s="123">
        <v>0</v>
      </c>
      <c r="E72" s="123">
        <v>13</v>
      </c>
      <c r="F72" s="123">
        <v>0</v>
      </c>
      <c r="G72" s="123">
        <v>0</v>
      </c>
      <c r="H72" s="123">
        <v>2</v>
      </c>
      <c r="I72" s="123">
        <v>21</v>
      </c>
      <c r="J72" s="123">
        <v>0</v>
      </c>
      <c r="K72" s="123">
        <v>9</v>
      </c>
      <c r="L72" s="123">
        <v>0</v>
      </c>
      <c r="M72" s="123">
        <v>0</v>
      </c>
      <c r="N72" s="123">
        <v>0</v>
      </c>
      <c r="O72" s="123">
        <v>0</v>
      </c>
      <c r="P72" s="7" t="s">
        <v>162</v>
      </c>
      <c r="Q72" s="124" t="s">
        <v>169</v>
      </c>
      <c r="R72" s="1"/>
    </row>
    <row r="73" spans="1:18" ht="13.5" thickBot="1" x14ac:dyDescent="0.25">
      <c r="A73" s="123">
        <f t="shared" si="23"/>
        <v>55</v>
      </c>
      <c r="B73" s="123">
        <f t="shared" si="24"/>
        <v>8</v>
      </c>
      <c r="C73" s="123">
        <f t="shared" si="24"/>
        <v>47</v>
      </c>
      <c r="D73" s="123">
        <f t="shared" ref="D73:O73" si="26">SUM(D71:D72)</f>
        <v>3</v>
      </c>
      <c r="E73" s="123">
        <f t="shared" si="26"/>
        <v>13</v>
      </c>
      <c r="F73" s="123">
        <f t="shared" si="26"/>
        <v>0</v>
      </c>
      <c r="G73" s="123">
        <f t="shared" si="26"/>
        <v>0</v>
      </c>
      <c r="H73" s="123">
        <f t="shared" si="26"/>
        <v>5</v>
      </c>
      <c r="I73" s="123">
        <f t="shared" si="26"/>
        <v>25</v>
      </c>
      <c r="J73" s="123">
        <f t="shared" si="26"/>
        <v>0</v>
      </c>
      <c r="K73" s="123">
        <f t="shared" si="26"/>
        <v>9</v>
      </c>
      <c r="L73" s="123">
        <f t="shared" si="26"/>
        <v>0</v>
      </c>
      <c r="M73" s="123">
        <f t="shared" si="26"/>
        <v>0</v>
      </c>
      <c r="N73" s="123">
        <f t="shared" si="26"/>
        <v>0</v>
      </c>
      <c r="O73" s="123">
        <f t="shared" si="26"/>
        <v>0</v>
      </c>
      <c r="P73" s="7" t="s">
        <v>13</v>
      </c>
      <c r="Q73" s="9"/>
      <c r="R73" s="1"/>
    </row>
    <row r="74" spans="1:18" ht="13.5" thickBot="1" x14ac:dyDescent="0.25">
      <c r="A74" s="123">
        <f t="shared" si="23"/>
        <v>91</v>
      </c>
      <c r="B74" s="123">
        <f t="shared" si="24"/>
        <v>7</v>
      </c>
      <c r="C74" s="123">
        <f t="shared" si="24"/>
        <v>84</v>
      </c>
      <c r="D74" s="123">
        <v>0</v>
      </c>
      <c r="E74" s="123">
        <v>6</v>
      </c>
      <c r="F74" s="123">
        <v>4</v>
      </c>
      <c r="G74" s="123">
        <v>32</v>
      </c>
      <c r="H74" s="123">
        <v>2</v>
      </c>
      <c r="I74" s="123">
        <v>40</v>
      </c>
      <c r="J74" s="123">
        <v>1</v>
      </c>
      <c r="K74" s="123">
        <v>2</v>
      </c>
      <c r="L74" s="123">
        <v>0</v>
      </c>
      <c r="M74" s="123">
        <v>0</v>
      </c>
      <c r="N74" s="123">
        <v>0</v>
      </c>
      <c r="O74" s="123">
        <v>4</v>
      </c>
      <c r="P74" s="7" t="s">
        <v>163</v>
      </c>
      <c r="Q74" s="124"/>
      <c r="R74" s="1"/>
    </row>
    <row r="75" spans="1:18" ht="13.5" thickBot="1" x14ac:dyDescent="0.25">
      <c r="A75" s="123">
        <f t="shared" si="23"/>
        <v>503</v>
      </c>
      <c r="B75" s="123">
        <f t="shared" si="24"/>
        <v>55</v>
      </c>
      <c r="C75" s="123">
        <f t="shared" si="24"/>
        <v>448</v>
      </c>
      <c r="D75" s="123">
        <v>0</v>
      </c>
      <c r="E75" s="123">
        <v>2</v>
      </c>
      <c r="F75" s="123">
        <v>24</v>
      </c>
      <c r="G75" s="123">
        <v>135</v>
      </c>
      <c r="H75" s="123">
        <v>27</v>
      </c>
      <c r="I75" s="123">
        <v>229</v>
      </c>
      <c r="J75" s="123">
        <v>4</v>
      </c>
      <c r="K75" s="123">
        <v>11</v>
      </c>
      <c r="L75" s="123">
        <v>0</v>
      </c>
      <c r="M75" s="123">
        <v>0</v>
      </c>
      <c r="N75" s="123">
        <v>0</v>
      </c>
      <c r="O75" s="123">
        <v>71</v>
      </c>
      <c r="P75" s="7" t="s">
        <v>162</v>
      </c>
      <c r="Q75" s="124" t="s">
        <v>170</v>
      </c>
      <c r="R75" s="1"/>
    </row>
    <row r="76" spans="1:18" ht="13.5" thickBot="1" x14ac:dyDescent="0.25">
      <c r="A76" s="123">
        <f t="shared" si="23"/>
        <v>594</v>
      </c>
      <c r="B76" s="123">
        <f t="shared" si="24"/>
        <v>62</v>
      </c>
      <c r="C76" s="123">
        <f t="shared" si="24"/>
        <v>532</v>
      </c>
      <c r="D76" s="123">
        <f t="shared" ref="D76:O76" si="27">SUM(D74:D75)</f>
        <v>0</v>
      </c>
      <c r="E76" s="123">
        <f t="shared" si="27"/>
        <v>8</v>
      </c>
      <c r="F76" s="123">
        <f t="shared" si="27"/>
        <v>28</v>
      </c>
      <c r="G76" s="123">
        <f t="shared" si="27"/>
        <v>167</v>
      </c>
      <c r="H76" s="123">
        <f t="shared" si="27"/>
        <v>29</v>
      </c>
      <c r="I76" s="123">
        <f t="shared" si="27"/>
        <v>269</v>
      </c>
      <c r="J76" s="123">
        <f t="shared" si="27"/>
        <v>5</v>
      </c>
      <c r="K76" s="123">
        <f t="shared" si="27"/>
        <v>13</v>
      </c>
      <c r="L76" s="123">
        <f t="shared" si="27"/>
        <v>0</v>
      </c>
      <c r="M76" s="123">
        <f t="shared" si="27"/>
        <v>0</v>
      </c>
      <c r="N76" s="123">
        <f t="shared" si="27"/>
        <v>0</v>
      </c>
      <c r="O76" s="123">
        <f t="shared" si="27"/>
        <v>75</v>
      </c>
      <c r="P76" s="7" t="s">
        <v>13</v>
      </c>
      <c r="Q76" s="9"/>
      <c r="R76" s="1"/>
    </row>
    <row r="77" spans="1:18" ht="13.5" thickBot="1" x14ac:dyDescent="0.25">
      <c r="A77" s="123">
        <f t="shared" si="23"/>
        <v>395</v>
      </c>
      <c r="B77" s="123">
        <f t="shared" si="24"/>
        <v>53</v>
      </c>
      <c r="C77" s="123">
        <f t="shared" si="24"/>
        <v>342</v>
      </c>
      <c r="D77" s="123">
        <v>0</v>
      </c>
      <c r="E77" s="123">
        <v>0</v>
      </c>
      <c r="F77" s="123">
        <v>7</v>
      </c>
      <c r="G77" s="123">
        <v>38</v>
      </c>
      <c r="H77" s="123">
        <v>40</v>
      </c>
      <c r="I77" s="123">
        <v>252</v>
      </c>
      <c r="J77" s="123">
        <v>5</v>
      </c>
      <c r="K77" s="123">
        <v>46</v>
      </c>
      <c r="L77" s="123">
        <v>1</v>
      </c>
      <c r="M77" s="123">
        <v>6</v>
      </c>
      <c r="N77" s="123">
        <v>0</v>
      </c>
      <c r="O77" s="123">
        <v>0</v>
      </c>
      <c r="P77" s="7" t="s">
        <v>163</v>
      </c>
      <c r="Q77" s="124"/>
      <c r="R77" s="1"/>
    </row>
    <row r="78" spans="1:18" ht="13.5" thickBot="1" x14ac:dyDescent="0.25">
      <c r="A78" s="123">
        <f t="shared" si="23"/>
        <v>119</v>
      </c>
      <c r="B78" s="123">
        <f t="shared" si="24"/>
        <v>6</v>
      </c>
      <c r="C78" s="123">
        <f t="shared" si="24"/>
        <v>113</v>
      </c>
      <c r="D78" s="123">
        <v>0</v>
      </c>
      <c r="E78" s="123">
        <v>0</v>
      </c>
      <c r="F78" s="123">
        <v>0</v>
      </c>
      <c r="G78" s="123">
        <v>0</v>
      </c>
      <c r="H78" s="123">
        <v>3</v>
      </c>
      <c r="I78" s="123">
        <v>83</v>
      </c>
      <c r="J78" s="123">
        <v>3</v>
      </c>
      <c r="K78" s="123">
        <v>27</v>
      </c>
      <c r="L78" s="123">
        <v>0</v>
      </c>
      <c r="M78" s="123">
        <v>2</v>
      </c>
      <c r="N78" s="123">
        <v>0</v>
      </c>
      <c r="O78" s="123">
        <v>1</v>
      </c>
      <c r="P78" s="7" t="s">
        <v>162</v>
      </c>
      <c r="Q78" s="124" t="s">
        <v>171</v>
      </c>
      <c r="R78" s="1"/>
    </row>
    <row r="79" spans="1:18" ht="13.5" thickBot="1" x14ac:dyDescent="0.25">
      <c r="A79" s="123">
        <f t="shared" si="23"/>
        <v>514</v>
      </c>
      <c r="B79" s="123">
        <f t="shared" si="24"/>
        <v>59</v>
      </c>
      <c r="C79" s="123">
        <f t="shared" si="24"/>
        <v>455</v>
      </c>
      <c r="D79" s="123">
        <f t="shared" ref="D79:O79" si="28">SUM(D77:D78)</f>
        <v>0</v>
      </c>
      <c r="E79" s="123">
        <f t="shared" si="28"/>
        <v>0</v>
      </c>
      <c r="F79" s="123">
        <f t="shared" si="28"/>
        <v>7</v>
      </c>
      <c r="G79" s="123">
        <f t="shared" si="28"/>
        <v>38</v>
      </c>
      <c r="H79" s="123">
        <f t="shared" si="28"/>
        <v>43</v>
      </c>
      <c r="I79" s="123">
        <f t="shared" si="28"/>
        <v>335</v>
      </c>
      <c r="J79" s="123">
        <f t="shared" si="28"/>
        <v>8</v>
      </c>
      <c r="K79" s="123">
        <f t="shared" si="28"/>
        <v>73</v>
      </c>
      <c r="L79" s="123">
        <f t="shared" si="28"/>
        <v>1</v>
      </c>
      <c r="M79" s="123">
        <f t="shared" si="28"/>
        <v>8</v>
      </c>
      <c r="N79" s="123">
        <f t="shared" si="28"/>
        <v>0</v>
      </c>
      <c r="O79" s="123">
        <f t="shared" si="28"/>
        <v>1</v>
      </c>
      <c r="P79" s="7" t="s">
        <v>13</v>
      </c>
      <c r="Q79" s="9"/>
      <c r="R79" s="1"/>
    </row>
    <row r="80" spans="1:18" ht="13.5" thickBot="1" x14ac:dyDescent="0.25">
      <c r="A80" s="123">
        <f t="shared" si="23"/>
        <v>326</v>
      </c>
      <c r="B80" s="123">
        <f t="shared" si="24"/>
        <v>168</v>
      </c>
      <c r="C80" s="123">
        <f t="shared" si="24"/>
        <v>158</v>
      </c>
      <c r="D80" s="123">
        <v>5</v>
      </c>
      <c r="E80" s="123">
        <v>0</v>
      </c>
      <c r="F80" s="123">
        <v>44</v>
      </c>
      <c r="G80" s="123">
        <v>9</v>
      </c>
      <c r="H80" s="123">
        <v>78</v>
      </c>
      <c r="I80" s="123">
        <v>51</v>
      </c>
      <c r="J80" s="123">
        <v>36</v>
      </c>
      <c r="K80" s="123">
        <v>62</v>
      </c>
      <c r="L80" s="123">
        <v>3</v>
      </c>
      <c r="M80" s="123">
        <v>20</v>
      </c>
      <c r="N80" s="123">
        <v>2</v>
      </c>
      <c r="O80" s="123">
        <v>16</v>
      </c>
      <c r="P80" s="7" t="s">
        <v>163</v>
      </c>
      <c r="Q80" s="124"/>
      <c r="R80" s="1"/>
    </row>
    <row r="81" spans="1:18" ht="13.5" thickBot="1" x14ac:dyDescent="0.25">
      <c r="A81" s="123">
        <f t="shared" si="23"/>
        <v>1036</v>
      </c>
      <c r="B81" s="123">
        <f t="shared" si="24"/>
        <v>508</v>
      </c>
      <c r="C81" s="123">
        <f t="shared" si="24"/>
        <v>528</v>
      </c>
      <c r="D81" s="123">
        <v>77</v>
      </c>
      <c r="E81" s="123">
        <v>74</v>
      </c>
      <c r="F81" s="123">
        <v>70</v>
      </c>
      <c r="G81" s="123">
        <v>20</v>
      </c>
      <c r="H81" s="123">
        <v>237</v>
      </c>
      <c r="I81" s="123">
        <v>219</v>
      </c>
      <c r="J81" s="123">
        <v>97</v>
      </c>
      <c r="K81" s="123">
        <v>157</v>
      </c>
      <c r="L81" s="123">
        <v>16</v>
      </c>
      <c r="M81" s="123">
        <v>25</v>
      </c>
      <c r="N81" s="123">
        <v>11</v>
      </c>
      <c r="O81" s="123">
        <v>33</v>
      </c>
      <c r="P81" s="7" t="s">
        <v>162</v>
      </c>
      <c r="Q81" s="124" t="s">
        <v>173</v>
      </c>
      <c r="R81" s="1"/>
    </row>
    <row r="82" spans="1:18" ht="13.5" thickBot="1" x14ac:dyDescent="0.25">
      <c r="A82" s="123">
        <f t="shared" si="23"/>
        <v>1362</v>
      </c>
      <c r="B82" s="123">
        <f t="shared" si="24"/>
        <v>676</v>
      </c>
      <c r="C82" s="123">
        <f t="shared" si="24"/>
        <v>686</v>
      </c>
      <c r="D82" s="123">
        <f t="shared" ref="D82:O82" si="29">SUM(D80:D81)</f>
        <v>82</v>
      </c>
      <c r="E82" s="123">
        <f t="shared" si="29"/>
        <v>74</v>
      </c>
      <c r="F82" s="123">
        <f t="shared" si="29"/>
        <v>114</v>
      </c>
      <c r="G82" s="123">
        <f t="shared" si="29"/>
        <v>29</v>
      </c>
      <c r="H82" s="123">
        <f t="shared" si="29"/>
        <v>315</v>
      </c>
      <c r="I82" s="123">
        <f t="shared" si="29"/>
        <v>270</v>
      </c>
      <c r="J82" s="123">
        <f t="shared" si="29"/>
        <v>133</v>
      </c>
      <c r="K82" s="123">
        <f t="shared" si="29"/>
        <v>219</v>
      </c>
      <c r="L82" s="123">
        <f t="shared" si="29"/>
        <v>19</v>
      </c>
      <c r="M82" s="123">
        <f t="shared" si="29"/>
        <v>45</v>
      </c>
      <c r="N82" s="123">
        <f t="shared" si="29"/>
        <v>13</v>
      </c>
      <c r="O82" s="123">
        <f t="shared" si="29"/>
        <v>49</v>
      </c>
      <c r="P82" s="7" t="s">
        <v>13</v>
      </c>
      <c r="Q82" s="9"/>
      <c r="R82" s="1"/>
    </row>
    <row r="83" spans="1:18" ht="13.5" thickBot="1" x14ac:dyDescent="0.25">
      <c r="A83" s="123">
        <f t="shared" ref="A83:O85" si="30">A5+A8+A11+A14+A17+A20+A23+A26+A29+A32+A35+A38+A41+A44+A47+A50+A53+A56+A59+A62+A65+A68+A71+A74+A77+A80</f>
        <v>20842</v>
      </c>
      <c r="B83" s="123">
        <f t="shared" si="30"/>
        <v>7416</v>
      </c>
      <c r="C83" s="123">
        <f t="shared" si="30"/>
        <v>13426</v>
      </c>
      <c r="D83" s="123">
        <f t="shared" si="30"/>
        <v>162</v>
      </c>
      <c r="E83" s="123">
        <f t="shared" si="30"/>
        <v>890</v>
      </c>
      <c r="F83" s="123">
        <f t="shared" si="30"/>
        <v>3386</v>
      </c>
      <c r="G83" s="123">
        <f t="shared" si="30"/>
        <v>5363</v>
      </c>
      <c r="H83" s="123">
        <f t="shared" si="30"/>
        <v>2037</v>
      </c>
      <c r="I83" s="123">
        <f t="shared" si="30"/>
        <v>1704</v>
      </c>
      <c r="J83" s="123">
        <f t="shared" si="30"/>
        <v>1542</v>
      </c>
      <c r="K83" s="123">
        <f t="shared" si="30"/>
        <v>3097</v>
      </c>
      <c r="L83" s="123">
        <f t="shared" si="30"/>
        <v>230</v>
      </c>
      <c r="M83" s="123">
        <f t="shared" si="30"/>
        <v>1426</v>
      </c>
      <c r="N83" s="123">
        <f t="shared" si="30"/>
        <v>59</v>
      </c>
      <c r="O83" s="123">
        <f>O5+O8+O11+O14+O17+O20+O23+O26+O29+O32+O35+O38+O41+O44+O47+O50+O53+O56+O59+O62+O65+O68+O71+O74+O77+O80</f>
        <v>946</v>
      </c>
      <c r="P83" s="7" t="s">
        <v>163</v>
      </c>
      <c r="Q83" s="3"/>
      <c r="R83" s="1"/>
    </row>
    <row r="84" spans="1:18" ht="13.5" thickBot="1" x14ac:dyDescent="0.25">
      <c r="A84" s="123">
        <f t="shared" si="30"/>
        <v>12067</v>
      </c>
      <c r="B84" s="123">
        <f t="shared" si="30"/>
        <v>3572</v>
      </c>
      <c r="C84" s="123">
        <f t="shared" si="30"/>
        <v>8495</v>
      </c>
      <c r="D84" s="123">
        <f t="shared" si="30"/>
        <v>167</v>
      </c>
      <c r="E84" s="123">
        <f t="shared" si="30"/>
        <v>349</v>
      </c>
      <c r="F84" s="123">
        <f t="shared" si="30"/>
        <v>156</v>
      </c>
      <c r="G84" s="123">
        <f t="shared" si="30"/>
        <v>859</v>
      </c>
      <c r="H84" s="123">
        <f t="shared" si="30"/>
        <v>1262</v>
      </c>
      <c r="I84" s="123">
        <f t="shared" si="30"/>
        <v>1918</v>
      </c>
      <c r="J84" s="123">
        <f t="shared" si="30"/>
        <v>1529</v>
      </c>
      <c r="K84" s="123">
        <f t="shared" si="30"/>
        <v>3609</v>
      </c>
      <c r="L84" s="123">
        <f t="shared" si="30"/>
        <v>307</v>
      </c>
      <c r="M84" s="123">
        <f t="shared" si="30"/>
        <v>1033</v>
      </c>
      <c r="N84" s="123">
        <f t="shared" si="30"/>
        <v>151</v>
      </c>
      <c r="O84" s="123">
        <f t="shared" si="30"/>
        <v>727</v>
      </c>
      <c r="P84" s="7" t="s">
        <v>162</v>
      </c>
      <c r="Q84" s="11" t="s">
        <v>211</v>
      </c>
      <c r="R84" s="1"/>
    </row>
    <row r="85" spans="1:18" ht="13.5" thickBot="1" x14ac:dyDescent="0.25">
      <c r="A85" s="123">
        <f t="shared" si="30"/>
        <v>32909</v>
      </c>
      <c r="B85" s="123">
        <f t="shared" si="30"/>
        <v>10988</v>
      </c>
      <c r="C85" s="123">
        <f t="shared" si="30"/>
        <v>21921</v>
      </c>
      <c r="D85" s="123">
        <f t="shared" si="30"/>
        <v>329</v>
      </c>
      <c r="E85" s="123">
        <f t="shared" si="30"/>
        <v>1239</v>
      </c>
      <c r="F85" s="123">
        <f t="shared" si="30"/>
        <v>3542</v>
      </c>
      <c r="G85" s="123">
        <f t="shared" si="30"/>
        <v>6222</v>
      </c>
      <c r="H85" s="123">
        <f t="shared" si="30"/>
        <v>3299</v>
      </c>
      <c r="I85" s="123">
        <f t="shared" si="30"/>
        <v>3622</v>
      </c>
      <c r="J85" s="123">
        <f t="shared" si="30"/>
        <v>3071</v>
      </c>
      <c r="K85" s="123">
        <f t="shared" si="30"/>
        <v>6706</v>
      </c>
      <c r="L85" s="123">
        <f t="shared" si="30"/>
        <v>537</v>
      </c>
      <c r="M85" s="123">
        <f t="shared" si="30"/>
        <v>2459</v>
      </c>
      <c r="N85" s="123">
        <f t="shared" si="30"/>
        <v>210</v>
      </c>
      <c r="O85" s="123">
        <f t="shared" si="30"/>
        <v>1673</v>
      </c>
      <c r="P85" s="7" t="s">
        <v>13</v>
      </c>
      <c r="Q85" s="5"/>
      <c r="R85" s="1"/>
    </row>
  </sheetData>
  <mergeCells count="10">
    <mergeCell ref="A1:Q1"/>
    <mergeCell ref="A2:Q2"/>
    <mergeCell ref="A3:C3"/>
    <mergeCell ref="D3:E3"/>
    <mergeCell ref="F3:G3"/>
    <mergeCell ref="H3:I3"/>
    <mergeCell ref="J3:K3"/>
    <mergeCell ref="L3:M3"/>
    <mergeCell ref="N3:O3"/>
    <mergeCell ref="P3:P4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328"/>
  <sheetViews>
    <sheetView showGridLines="0" topLeftCell="A1284" zoomScale="77" zoomScaleNormal="77" workbookViewId="0">
      <selection activeCell="P3" sqref="P3:P4"/>
    </sheetView>
  </sheetViews>
  <sheetFormatPr defaultRowHeight="12.75" x14ac:dyDescent="0.2"/>
  <cols>
    <col min="1" max="3" width="6.125" style="2" customWidth="1"/>
    <col min="4" max="15" width="5.375" style="2" customWidth="1"/>
    <col min="16" max="16" width="9.625" style="2" customWidth="1"/>
    <col min="17" max="17" width="35" style="2" bestFit="1" customWidth="1"/>
    <col min="18" max="18" width="3.25" style="2" customWidth="1"/>
    <col min="19" max="19" width="9" style="2"/>
    <col min="20" max="20" width="11.625" style="2" bestFit="1" customWidth="1"/>
    <col min="21" max="256" width="9" style="2"/>
    <col min="257" max="259" width="6.125" style="2" customWidth="1"/>
    <col min="260" max="271" width="5.375" style="2" customWidth="1"/>
    <col min="272" max="272" width="9.625" style="2" customWidth="1"/>
    <col min="273" max="273" width="35" style="2" bestFit="1" customWidth="1"/>
    <col min="274" max="274" width="3.25" style="2" customWidth="1"/>
    <col min="275" max="275" width="9" style="2"/>
    <col min="276" max="276" width="11.625" style="2" bestFit="1" customWidth="1"/>
    <col min="277" max="512" width="9" style="2"/>
    <col min="513" max="515" width="6.125" style="2" customWidth="1"/>
    <col min="516" max="527" width="5.375" style="2" customWidth="1"/>
    <col min="528" max="528" width="9.625" style="2" customWidth="1"/>
    <col min="529" max="529" width="35" style="2" bestFit="1" customWidth="1"/>
    <col min="530" max="530" width="3.25" style="2" customWidth="1"/>
    <col min="531" max="531" width="9" style="2"/>
    <col min="532" max="532" width="11.625" style="2" bestFit="1" customWidth="1"/>
    <col min="533" max="768" width="9" style="2"/>
    <col min="769" max="771" width="6.125" style="2" customWidth="1"/>
    <col min="772" max="783" width="5.375" style="2" customWidth="1"/>
    <col min="784" max="784" width="9.625" style="2" customWidth="1"/>
    <col min="785" max="785" width="35" style="2" bestFit="1" customWidth="1"/>
    <col min="786" max="786" width="3.25" style="2" customWidth="1"/>
    <col min="787" max="787" width="9" style="2"/>
    <col min="788" max="788" width="11.625" style="2" bestFit="1" customWidth="1"/>
    <col min="789" max="1024" width="9" style="2"/>
    <col min="1025" max="1027" width="6.125" style="2" customWidth="1"/>
    <col min="1028" max="1039" width="5.375" style="2" customWidth="1"/>
    <col min="1040" max="1040" width="9.625" style="2" customWidth="1"/>
    <col min="1041" max="1041" width="35" style="2" bestFit="1" customWidth="1"/>
    <col min="1042" max="1042" width="3.25" style="2" customWidth="1"/>
    <col min="1043" max="1043" width="9" style="2"/>
    <col min="1044" max="1044" width="11.625" style="2" bestFit="1" customWidth="1"/>
    <col min="1045" max="1280" width="9" style="2"/>
    <col min="1281" max="1283" width="6.125" style="2" customWidth="1"/>
    <col min="1284" max="1295" width="5.375" style="2" customWidth="1"/>
    <col min="1296" max="1296" width="9.625" style="2" customWidth="1"/>
    <col min="1297" max="1297" width="35" style="2" bestFit="1" customWidth="1"/>
    <col min="1298" max="1298" width="3.25" style="2" customWidth="1"/>
    <col min="1299" max="1299" width="9" style="2"/>
    <col min="1300" max="1300" width="11.625" style="2" bestFit="1" customWidth="1"/>
    <col min="1301" max="1536" width="9" style="2"/>
    <col min="1537" max="1539" width="6.125" style="2" customWidth="1"/>
    <col min="1540" max="1551" width="5.375" style="2" customWidth="1"/>
    <col min="1552" max="1552" width="9.625" style="2" customWidth="1"/>
    <col min="1553" max="1553" width="35" style="2" bestFit="1" customWidth="1"/>
    <col min="1554" max="1554" width="3.25" style="2" customWidth="1"/>
    <col min="1555" max="1555" width="9" style="2"/>
    <col min="1556" max="1556" width="11.625" style="2" bestFit="1" customWidth="1"/>
    <col min="1557" max="1792" width="9" style="2"/>
    <col min="1793" max="1795" width="6.125" style="2" customWidth="1"/>
    <col min="1796" max="1807" width="5.375" style="2" customWidth="1"/>
    <col min="1808" max="1808" width="9.625" style="2" customWidth="1"/>
    <col min="1809" max="1809" width="35" style="2" bestFit="1" customWidth="1"/>
    <col min="1810" max="1810" width="3.25" style="2" customWidth="1"/>
    <col min="1811" max="1811" width="9" style="2"/>
    <col min="1812" max="1812" width="11.625" style="2" bestFit="1" customWidth="1"/>
    <col min="1813" max="2048" width="9" style="2"/>
    <col min="2049" max="2051" width="6.125" style="2" customWidth="1"/>
    <col min="2052" max="2063" width="5.375" style="2" customWidth="1"/>
    <col min="2064" max="2064" width="9.625" style="2" customWidth="1"/>
    <col min="2065" max="2065" width="35" style="2" bestFit="1" customWidth="1"/>
    <col min="2066" max="2066" width="3.25" style="2" customWidth="1"/>
    <col min="2067" max="2067" width="9" style="2"/>
    <col min="2068" max="2068" width="11.625" style="2" bestFit="1" customWidth="1"/>
    <col min="2069" max="2304" width="9" style="2"/>
    <col min="2305" max="2307" width="6.125" style="2" customWidth="1"/>
    <col min="2308" max="2319" width="5.375" style="2" customWidth="1"/>
    <col min="2320" max="2320" width="9.625" style="2" customWidth="1"/>
    <col min="2321" max="2321" width="35" style="2" bestFit="1" customWidth="1"/>
    <col min="2322" max="2322" width="3.25" style="2" customWidth="1"/>
    <col min="2323" max="2323" width="9" style="2"/>
    <col min="2324" max="2324" width="11.625" style="2" bestFit="1" customWidth="1"/>
    <col min="2325" max="2560" width="9" style="2"/>
    <col min="2561" max="2563" width="6.125" style="2" customWidth="1"/>
    <col min="2564" max="2575" width="5.375" style="2" customWidth="1"/>
    <col min="2576" max="2576" width="9.625" style="2" customWidth="1"/>
    <col min="2577" max="2577" width="35" style="2" bestFit="1" customWidth="1"/>
    <col min="2578" max="2578" width="3.25" style="2" customWidth="1"/>
    <col min="2579" max="2579" width="9" style="2"/>
    <col min="2580" max="2580" width="11.625" style="2" bestFit="1" customWidth="1"/>
    <col min="2581" max="2816" width="9" style="2"/>
    <col min="2817" max="2819" width="6.125" style="2" customWidth="1"/>
    <col min="2820" max="2831" width="5.375" style="2" customWidth="1"/>
    <col min="2832" max="2832" width="9.625" style="2" customWidth="1"/>
    <col min="2833" max="2833" width="35" style="2" bestFit="1" customWidth="1"/>
    <col min="2834" max="2834" width="3.25" style="2" customWidth="1"/>
    <col min="2835" max="2835" width="9" style="2"/>
    <col min="2836" max="2836" width="11.625" style="2" bestFit="1" customWidth="1"/>
    <col min="2837" max="3072" width="9" style="2"/>
    <col min="3073" max="3075" width="6.125" style="2" customWidth="1"/>
    <col min="3076" max="3087" width="5.375" style="2" customWidth="1"/>
    <col min="3088" max="3088" width="9.625" style="2" customWidth="1"/>
    <col min="3089" max="3089" width="35" style="2" bestFit="1" customWidth="1"/>
    <col min="3090" max="3090" width="3.25" style="2" customWidth="1"/>
    <col min="3091" max="3091" width="9" style="2"/>
    <col min="3092" max="3092" width="11.625" style="2" bestFit="1" customWidth="1"/>
    <col min="3093" max="3328" width="9" style="2"/>
    <col min="3329" max="3331" width="6.125" style="2" customWidth="1"/>
    <col min="3332" max="3343" width="5.375" style="2" customWidth="1"/>
    <col min="3344" max="3344" width="9.625" style="2" customWidth="1"/>
    <col min="3345" max="3345" width="35" style="2" bestFit="1" customWidth="1"/>
    <col min="3346" max="3346" width="3.25" style="2" customWidth="1"/>
    <col min="3347" max="3347" width="9" style="2"/>
    <col min="3348" max="3348" width="11.625" style="2" bestFit="1" customWidth="1"/>
    <col min="3349" max="3584" width="9" style="2"/>
    <col min="3585" max="3587" width="6.125" style="2" customWidth="1"/>
    <col min="3588" max="3599" width="5.375" style="2" customWidth="1"/>
    <col min="3600" max="3600" width="9.625" style="2" customWidth="1"/>
    <col min="3601" max="3601" width="35" style="2" bestFit="1" customWidth="1"/>
    <col min="3602" max="3602" width="3.25" style="2" customWidth="1"/>
    <col min="3603" max="3603" width="9" style="2"/>
    <col min="3604" max="3604" width="11.625" style="2" bestFit="1" customWidth="1"/>
    <col min="3605" max="3840" width="9" style="2"/>
    <col min="3841" max="3843" width="6.125" style="2" customWidth="1"/>
    <col min="3844" max="3855" width="5.375" style="2" customWidth="1"/>
    <col min="3856" max="3856" width="9.625" style="2" customWidth="1"/>
    <col min="3857" max="3857" width="35" style="2" bestFit="1" customWidth="1"/>
    <col min="3858" max="3858" width="3.25" style="2" customWidth="1"/>
    <col min="3859" max="3859" width="9" style="2"/>
    <col min="3860" max="3860" width="11.625" style="2" bestFit="1" customWidth="1"/>
    <col min="3861" max="4096" width="9" style="2"/>
    <col min="4097" max="4099" width="6.125" style="2" customWidth="1"/>
    <col min="4100" max="4111" width="5.375" style="2" customWidth="1"/>
    <col min="4112" max="4112" width="9.625" style="2" customWidth="1"/>
    <col min="4113" max="4113" width="35" style="2" bestFit="1" customWidth="1"/>
    <col min="4114" max="4114" width="3.25" style="2" customWidth="1"/>
    <col min="4115" max="4115" width="9" style="2"/>
    <col min="4116" max="4116" width="11.625" style="2" bestFit="1" customWidth="1"/>
    <col min="4117" max="4352" width="9" style="2"/>
    <col min="4353" max="4355" width="6.125" style="2" customWidth="1"/>
    <col min="4356" max="4367" width="5.375" style="2" customWidth="1"/>
    <col min="4368" max="4368" width="9.625" style="2" customWidth="1"/>
    <col min="4369" max="4369" width="35" style="2" bestFit="1" customWidth="1"/>
    <col min="4370" max="4370" width="3.25" style="2" customWidth="1"/>
    <col min="4371" max="4371" width="9" style="2"/>
    <col min="4372" max="4372" width="11.625" style="2" bestFit="1" customWidth="1"/>
    <col min="4373" max="4608" width="9" style="2"/>
    <col min="4609" max="4611" width="6.125" style="2" customWidth="1"/>
    <col min="4612" max="4623" width="5.375" style="2" customWidth="1"/>
    <col min="4624" max="4624" width="9.625" style="2" customWidth="1"/>
    <col min="4625" max="4625" width="35" style="2" bestFit="1" customWidth="1"/>
    <col min="4626" max="4626" width="3.25" style="2" customWidth="1"/>
    <col min="4627" max="4627" width="9" style="2"/>
    <col min="4628" max="4628" width="11.625" style="2" bestFit="1" customWidth="1"/>
    <col min="4629" max="4864" width="9" style="2"/>
    <col min="4865" max="4867" width="6.125" style="2" customWidth="1"/>
    <col min="4868" max="4879" width="5.375" style="2" customWidth="1"/>
    <col min="4880" max="4880" width="9.625" style="2" customWidth="1"/>
    <col min="4881" max="4881" width="35" style="2" bestFit="1" customWidth="1"/>
    <col min="4882" max="4882" width="3.25" style="2" customWidth="1"/>
    <col min="4883" max="4883" width="9" style="2"/>
    <col min="4884" max="4884" width="11.625" style="2" bestFit="1" customWidth="1"/>
    <col min="4885" max="5120" width="9" style="2"/>
    <col min="5121" max="5123" width="6.125" style="2" customWidth="1"/>
    <col min="5124" max="5135" width="5.375" style="2" customWidth="1"/>
    <col min="5136" max="5136" width="9.625" style="2" customWidth="1"/>
    <col min="5137" max="5137" width="35" style="2" bestFit="1" customWidth="1"/>
    <col min="5138" max="5138" width="3.25" style="2" customWidth="1"/>
    <col min="5139" max="5139" width="9" style="2"/>
    <col min="5140" max="5140" width="11.625" style="2" bestFit="1" customWidth="1"/>
    <col min="5141" max="5376" width="9" style="2"/>
    <col min="5377" max="5379" width="6.125" style="2" customWidth="1"/>
    <col min="5380" max="5391" width="5.375" style="2" customWidth="1"/>
    <col min="5392" max="5392" width="9.625" style="2" customWidth="1"/>
    <col min="5393" max="5393" width="35" style="2" bestFit="1" customWidth="1"/>
    <col min="5394" max="5394" width="3.25" style="2" customWidth="1"/>
    <col min="5395" max="5395" width="9" style="2"/>
    <col min="5396" max="5396" width="11.625" style="2" bestFit="1" customWidth="1"/>
    <col min="5397" max="5632" width="9" style="2"/>
    <col min="5633" max="5635" width="6.125" style="2" customWidth="1"/>
    <col min="5636" max="5647" width="5.375" style="2" customWidth="1"/>
    <col min="5648" max="5648" width="9.625" style="2" customWidth="1"/>
    <col min="5649" max="5649" width="35" style="2" bestFit="1" customWidth="1"/>
    <col min="5650" max="5650" width="3.25" style="2" customWidth="1"/>
    <col min="5651" max="5651" width="9" style="2"/>
    <col min="5652" max="5652" width="11.625" style="2" bestFit="1" customWidth="1"/>
    <col min="5653" max="5888" width="9" style="2"/>
    <col min="5889" max="5891" width="6.125" style="2" customWidth="1"/>
    <col min="5892" max="5903" width="5.375" style="2" customWidth="1"/>
    <col min="5904" max="5904" width="9.625" style="2" customWidth="1"/>
    <col min="5905" max="5905" width="35" style="2" bestFit="1" customWidth="1"/>
    <col min="5906" max="5906" width="3.25" style="2" customWidth="1"/>
    <col min="5907" max="5907" width="9" style="2"/>
    <col min="5908" max="5908" width="11.625" style="2" bestFit="1" customWidth="1"/>
    <col min="5909" max="6144" width="9" style="2"/>
    <col min="6145" max="6147" width="6.125" style="2" customWidth="1"/>
    <col min="6148" max="6159" width="5.375" style="2" customWidth="1"/>
    <col min="6160" max="6160" width="9.625" style="2" customWidth="1"/>
    <col min="6161" max="6161" width="35" style="2" bestFit="1" customWidth="1"/>
    <col min="6162" max="6162" width="3.25" style="2" customWidth="1"/>
    <col min="6163" max="6163" width="9" style="2"/>
    <col min="6164" max="6164" width="11.625" style="2" bestFit="1" customWidth="1"/>
    <col min="6165" max="6400" width="9" style="2"/>
    <col min="6401" max="6403" width="6.125" style="2" customWidth="1"/>
    <col min="6404" max="6415" width="5.375" style="2" customWidth="1"/>
    <col min="6416" max="6416" width="9.625" style="2" customWidth="1"/>
    <col min="6417" max="6417" width="35" style="2" bestFit="1" customWidth="1"/>
    <col min="6418" max="6418" width="3.25" style="2" customWidth="1"/>
    <col min="6419" max="6419" width="9" style="2"/>
    <col min="6420" max="6420" width="11.625" style="2" bestFit="1" customWidth="1"/>
    <col min="6421" max="6656" width="9" style="2"/>
    <col min="6657" max="6659" width="6.125" style="2" customWidth="1"/>
    <col min="6660" max="6671" width="5.375" style="2" customWidth="1"/>
    <col min="6672" max="6672" width="9.625" style="2" customWidth="1"/>
    <col min="6673" max="6673" width="35" style="2" bestFit="1" customWidth="1"/>
    <col min="6674" max="6674" width="3.25" style="2" customWidth="1"/>
    <col min="6675" max="6675" width="9" style="2"/>
    <col min="6676" max="6676" width="11.625" style="2" bestFit="1" customWidth="1"/>
    <col min="6677" max="6912" width="9" style="2"/>
    <col min="6913" max="6915" width="6.125" style="2" customWidth="1"/>
    <col min="6916" max="6927" width="5.375" style="2" customWidth="1"/>
    <col min="6928" max="6928" width="9.625" style="2" customWidth="1"/>
    <col min="6929" max="6929" width="35" style="2" bestFit="1" customWidth="1"/>
    <col min="6930" max="6930" width="3.25" style="2" customWidth="1"/>
    <col min="6931" max="6931" width="9" style="2"/>
    <col min="6932" max="6932" width="11.625" style="2" bestFit="1" customWidth="1"/>
    <col min="6933" max="7168" width="9" style="2"/>
    <col min="7169" max="7171" width="6.125" style="2" customWidth="1"/>
    <col min="7172" max="7183" width="5.375" style="2" customWidth="1"/>
    <col min="7184" max="7184" width="9.625" style="2" customWidth="1"/>
    <col min="7185" max="7185" width="35" style="2" bestFit="1" customWidth="1"/>
    <col min="7186" max="7186" width="3.25" style="2" customWidth="1"/>
    <col min="7187" max="7187" width="9" style="2"/>
    <col min="7188" max="7188" width="11.625" style="2" bestFit="1" customWidth="1"/>
    <col min="7189" max="7424" width="9" style="2"/>
    <col min="7425" max="7427" width="6.125" style="2" customWidth="1"/>
    <col min="7428" max="7439" width="5.375" style="2" customWidth="1"/>
    <col min="7440" max="7440" width="9.625" style="2" customWidth="1"/>
    <col min="7441" max="7441" width="35" style="2" bestFit="1" customWidth="1"/>
    <col min="7442" max="7442" width="3.25" style="2" customWidth="1"/>
    <col min="7443" max="7443" width="9" style="2"/>
    <col min="7444" max="7444" width="11.625" style="2" bestFit="1" customWidth="1"/>
    <col min="7445" max="7680" width="9" style="2"/>
    <col min="7681" max="7683" width="6.125" style="2" customWidth="1"/>
    <col min="7684" max="7695" width="5.375" style="2" customWidth="1"/>
    <col min="7696" max="7696" width="9.625" style="2" customWidth="1"/>
    <col min="7697" max="7697" width="35" style="2" bestFit="1" customWidth="1"/>
    <col min="7698" max="7698" width="3.25" style="2" customWidth="1"/>
    <col min="7699" max="7699" width="9" style="2"/>
    <col min="7700" max="7700" width="11.625" style="2" bestFit="1" customWidth="1"/>
    <col min="7701" max="7936" width="9" style="2"/>
    <col min="7937" max="7939" width="6.125" style="2" customWidth="1"/>
    <col min="7940" max="7951" width="5.375" style="2" customWidth="1"/>
    <col min="7952" max="7952" width="9.625" style="2" customWidth="1"/>
    <col min="7953" max="7953" width="35" style="2" bestFit="1" customWidth="1"/>
    <col min="7954" max="7954" width="3.25" style="2" customWidth="1"/>
    <col min="7955" max="7955" width="9" style="2"/>
    <col min="7956" max="7956" width="11.625" style="2" bestFit="1" customWidth="1"/>
    <col min="7957" max="8192" width="9" style="2"/>
    <col min="8193" max="8195" width="6.125" style="2" customWidth="1"/>
    <col min="8196" max="8207" width="5.375" style="2" customWidth="1"/>
    <col min="8208" max="8208" width="9.625" style="2" customWidth="1"/>
    <col min="8209" max="8209" width="35" style="2" bestFit="1" customWidth="1"/>
    <col min="8210" max="8210" width="3.25" style="2" customWidth="1"/>
    <col min="8211" max="8211" width="9" style="2"/>
    <col min="8212" max="8212" width="11.625" style="2" bestFit="1" customWidth="1"/>
    <col min="8213" max="8448" width="9" style="2"/>
    <col min="8449" max="8451" width="6.125" style="2" customWidth="1"/>
    <col min="8452" max="8463" width="5.375" style="2" customWidth="1"/>
    <col min="8464" max="8464" width="9.625" style="2" customWidth="1"/>
    <col min="8465" max="8465" width="35" style="2" bestFit="1" customWidth="1"/>
    <col min="8466" max="8466" width="3.25" style="2" customWidth="1"/>
    <col min="8467" max="8467" width="9" style="2"/>
    <col min="8468" max="8468" width="11.625" style="2" bestFit="1" customWidth="1"/>
    <col min="8469" max="8704" width="9" style="2"/>
    <col min="8705" max="8707" width="6.125" style="2" customWidth="1"/>
    <col min="8708" max="8719" width="5.375" style="2" customWidth="1"/>
    <col min="8720" max="8720" width="9.625" style="2" customWidth="1"/>
    <col min="8721" max="8721" width="35" style="2" bestFit="1" customWidth="1"/>
    <col min="8722" max="8722" width="3.25" style="2" customWidth="1"/>
    <col min="8723" max="8723" width="9" style="2"/>
    <col min="8724" max="8724" width="11.625" style="2" bestFit="1" customWidth="1"/>
    <col min="8725" max="8960" width="9" style="2"/>
    <col min="8961" max="8963" width="6.125" style="2" customWidth="1"/>
    <col min="8964" max="8975" width="5.375" style="2" customWidth="1"/>
    <col min="8976" max="8976" width="9.625" style="2" customWidth="1"/>
    <col min="8977" max="8977" width="35" style="2" bestFit="1" customWidth="1"/>
    <col min="8978" max="8978" width="3.25" style="2" customWidth="1"/>
    <col min="8979" max="8979" width="9" style="2"/>
    <col min="8980" max="8980" width="11.625" style="2" bestFit="1" customWidth="1"/>
    <col min="8981" max="9216" width="9" style="2"/>
    <col min="9217" max="9219" width="6.125" style="2" customWidth="1"/>
    <col min="9220" max="9231" width="5.375" style="2" customWidth="1"/>
    <col min="9232" max="9232" width="9.625" style="2" customWidth="1"/>
    <col min="9233" max="9233" width="35" style="2" bestFit="1" customWidth="1"/>
    <col min="9234" max="9234" width="3.25" style="2" customWidth="1"/>
    <col min="9235" max="9235" width="9" style="2"/>
    <col min="9236" max="9236" width="11.625" style="2" bestFit="1" customWidth="1"/>
    <col min="9237" max="9472" width="9" style="2"/>
    <col min="9473" max="9475" width="6.125" style="2" customWidth="1"/>
    <col min="9476" max="9487" width="5.375" style="2" customWidth="1"/>
    <col min="9488" max="9488" width="9.625" style="2" customWidth="1"/>
    <col min="9489" max="9489" width="35" style="2" bestFit="1" customWidth="1"/>
    <col min="9490" max="9490" width="3.25" style="2" customWidth="1"/>
    <col min="9491" max="9491" width="9" style="2"/>
    <col min="9492" max="9492" width="11.625" style="2" bestFit="1" customWidth="1"/>
    <col min="9493" max="9728" width="9" style="2"/>
    <col min="9729" max="9731" width="6.125" style="2" customWidth="1"/>
    <col min="9732" max="9743" width="5.375" style="2" customWidth="1"/>
    <col min="9744" max="9744" width="9.625" style="2" customWidth="1"/>
    <col min="9745" max="9745" width="35" style="2" bestFit="1" customWidth="1"/>
    <col min="9746" max="9746" width="3.25" style="2" customWidth="1"/>
    <col min="9747" max="9747" width="9" style="2"/>
    <col min="9748" max="9748" width="11.625" style="2" bestFit="1" customWidth="1"/>
    <col min="9749" max="9984" width="9" style="2"/>
    <col min="9985" max="9987" width="6.125" style="2" customWidth="1"/>
    <col min="9988" max="9999" width="5.375" style="2" customWidth="1"/>
    <col min="10000" max="10000" width="9.625" style="2" customWidth="1"/>
    <col min="10001" max="10001" width="35" style="2" bestFit="1" customWidth="1"/>
    <col min="10002" max="10002" width="3.25" style="2" customWidth="1"/>
    <col min="10003" max="10003" width="9" style="2"/>
    <col min="10004" max="10004" width="11.625" style="2" bestFit="1" customWidth="1"/>
    <col min="10005" max="10240" width="9" style="2"/>
    <col min="10241" max="10243" width="6.125" style="2" customWidth="1"/>
    <col min="10244" max="10255" width="5.375" style="2" customWidth="1"/>
    <col min="10256" max="10256" width="9.625" style="2" customWidth="1"/>
    <col min="10257" max="10257" width="35" style="2" bestFit="1" customWidth="1"/>
    <col min="10258" max="10258" width="3.25" style="2" customWidth="1"/>
    <col min="10259" max="10259" width="9" style="2"/>
    <col min="10260" max="10260" width="11.625" style="2" bestFit="1" customWidth="1"/>
    <col min="10261" max="10496" width="9" style="2"/>
    <col min="10497" max="10499" width="6.125" style="2" customWidth="1"/>
    <col min="10500" max="10511" width="5.375" style="2" customWidth="1"/>
    <col min="10512" max="10512" width="9.625" style="2" customWidth="1"/>
    <col min="10513" max="10513" width="35" style="2" bestFit="1" customWidth="1"/>
    <col min="10514" max="10514" width="3.25" style="2" customWidth="1"/>
    <col min="10515" max="10515" width="9" style="2"/>
    <col min="10516" max="10516" width="11.625" style="2" bestFit="1" customWidth="1"/>
    <col min="10517" max="10752" width="9" style="2"/>
    <col min="10753" max="10755" width="6.125" style="2" customWidth="1"/>
    <col min="10756" max="10767" width="5.375" style="2" customWidth="1"/>
    <col min="10768" max="10768" width="9.625" style="2" customWidth="1"/>
    <col min="10769" max="10769" width="35" style="2" bestFit="1" customWidth="1"/>
    <col min="10770" max="10770" width="3.25" style="2" customWidth="1"/>
    <col min="10771" max="10771" width="9" style="2"/>
    <col min="10772" max="10772" width="11.625" style="2" bestFit="1" customWidth="1"/>
    <col min="10773" max="11008" width="9" style="2"/>
    <col min="11009" max="11011" width="6.125" style="2" customWidth="1"/>
    <col min="11012" max="11023" width="5.375" style="2" customWidth="1"/>
    <col min="11024" max="11024" width="9.625" style="2" customWidth="1"/>
    <col min="11025" max="11025" width="35" style="2" bestFit="1" customWidth="1"/>
    <col min="11026" max="11026" width="3.25" style="2" customWidth="1"/>
    <col min="11027" max="11027" width="9" style="2"/>
    <col min="11028" max="11028" width="11.625" style="2" bestFit="1" customWidth="1"/>
    <col min="11029" max="11264" width="9" style="2"/>
    <col min="11265" max="11267" width="6.125" style="2" customWidth="1"/>
    <col min="11268" max="11279" width="5.375" style="2" customWidth="1"/>
    <col min="11280" max="11280" width="9.625" style="2" customWidth="1"/>
    <col min="11281" max="11281" width="35" style="2" bestFit="1" customWidth="1"/>
    <col min="11282" max="11282" width="3.25" style="2" customWidth="1"/>
    <col min="11283" max="11283" width="9" style="2"/>
    <col min="11284" max="11284" width="11.625" style="2" bestFit="1" customWidth="1"/>
    <col min="11285" max="11520" width="9" style="2"/>
    <col min="11521" max="11523" width="6.125" style="2" customWidth="1"/>
    <col min="11524" max="11535" width="5.375" style="2" customWidth="1"/>
    <col min="11536" max="11536" width="9.625" style="2" customWidth="1"/>
    <col min="11537" max="11537" width="35" style="2" bestFit="1" customWidth="1"/>
    <col min="11538" max="11538" width="3.25" style="2" customWidth="1"/>
    <col min="11539" max="11539" width="9" style="2"/>
    <col min="11540" max="11540" width="11.625" style="2" bestFit="1" customWidth="1"/>
    <col min="11541" max="11776" width="9" style="2"/>
    <col min="11777" max="11779" width="6.125" style="2" customWidth="1"/>
    <col min="11780" max="11791" width="5.375" style="2" customWidth="1"/>
    <col min="11792" max="11792" width="9.625" style="2" customWidth="1"/>
    <col min="11793" max="11793" width="35" style="2" bestFit="1" customWidth="1"/>
    <col min="11794" max="11794" width="3.25" style="2" customWidth="1"/>
    <col min="11795" max="11795" width="9" style="2"/>
    <col min="11796" max="11796" width="11.625" style="2" bestFit="1" customWidth="1"/>
    <col min="11797" max="12032" width="9" style="2"/>
    <col min="12033" max="12035" width="6.125" style="2" customWidth="1"/>
    <col min="12036" max="12047" width="5.375" style="2" customWidth="1"/>
    <col min="12048" max="12048" width="9.625" style="2" customWidth="1"/>
    <col min="12049" max="12049" width="35" style="2" bestFit="1" customWidth="1"/>
    <col min="12050" max="12050" width="3.25" style="2" customWidth="1"/>
    <col min="12051" max="12051" width="9" style="2"/>
    <col min="12052" max="12052" width="11.625" style="2" bestFit="1" customWidth="1"/>
    <col min="12053" max="12288" width="9" style="2"/>
    <col min="12289" max="12291" width="6.125" style="2" customWidth="1"/>
    <col min="12292" max="12303" width="5.375" style="2" customWidth="1"/>
    <col min="12304" max="12304" width="9.625" style="2" customWidth="1"/>
    <col min="12305" max="12305" width="35" style="2" bestFit="1" customWidth="1"/>
    <col min="12306" max="12306" width="3.25" style="2" customWidth="1"/>
    <col min="12307" max="12307" width="9" style="2"/>
    <col min="12308" max="12308" width="11.625" style="2" bestFit="1" customWidth="1"/>
    <col min="12309" max="12544" width="9" style="2"/>
    <col min="12545" max="12547" width="6.125" style="2" customWidth="1"/>
    <col min="12548" max="12559" width="5.375" style="2" customWidth="1"/>
    <col min="12560" max="12560" width="9.625" style="2" customWidth="1"/>
    <col min="12561" max="12561" width="35" style="2" bestFit="1" customWidth="1"/>
    <col min="12562" max="12562" width="3.25" style="2" customWidth="1"/>
    <col min="12563" max="12563" width="9" style="2"/>
    <col min="12564" max="12564" width="11.625" style="2" bestFit="1" customWidth="1"/>
    <col min="12565" max="12800" width="9" style="2"/>
    <col min="12801" max="12803" width="6.125" style="2" customWidth="1"/>
    <col min="12804" max="12815" width="5.375" style="2" customWidth="1"/>
    <col min="12816" max="12816" width="9.625" style="2" customWidth="1"/>
    <col min="12817" max="12817" width="35" style="2" bestFit="1" customWidth="1"/>
    <col min="12818" max="12818" width="3.25" style="2" customWidth="1"/>
    <col min="12819" max="12819" width="9" style="2"/>
    <col min="12820" max="12820" width="11.625" style="2" bestFit="1" customWidth="1"/>
    <col min="12821" max="13056" width="9" style="2"/>
    <col min="13057" max="13059" width="6.125" style="2" customWidth="1"/>
    <col min="13060" max="13071" width="5.375" style="2" customWidth="1"/>
    <col min="13072" max="13072" width="9.625" style="2" customWidth="1"/>
    <col min="13073" max="13073" width="35" style="2" bestFit="1" customWidth="1"/>
    <col min="13074" max="13074" width="3.25" style="2" customWidth="1"/>
    <col min="13075" max="13075" width="9" style="2"/>
    <col min="13076" max="13076" width="11.625" style="2" bestFit="1" customWidth="1"/>
    <col min="13077" max="13312" width="9" style="2"/>
    <col min="13313" max="13315" width="6.125" style="2" customWidth="1"/>
    <col min="13316" max="13327" width="5.375" style="2" customWidth="1"/>
    <col min="13328" max="13328" width="9.625" style="2" customWidth="1"/>
    <col min="13329" max="13329" width="35" style="2" bestFit="1" customWidth="1"/>
    <col min="13330" max="13330" width="3.25" style="2" customWidth="1"/>
    <col min="13331" max="13331" width="9" style="2"/>
    <col min="13332" max="13332" width="11.625" style="2" bestFit="1" customWidth="1"/>
    <col min="13333" max="13568" width="9" style="2"/>
    <col min="13569" max="13571" width="6.125" style="2" customWidth="1"/>
    <col min="13572" max="13583" width="5.375" style="2" customWidth="1"/>
    <col min="13584" max="13584" width="9.625" style="2" customWidth="1"/>
    <col min="13585" max="13585" width="35" style="2" bestFit="1" customWidth="1"/>
    <col min="13586" max="13586" width="3.25" style="2" customWidth="1"/>
    <col min="13587" max="13587" width="9" style="2"/>
    <col min="13588" max="13588" width="11.625" style="2" bestFit="1" customWidth="1"/>
    <col min="13589" max="13824" width="9" style="2"/>
    <col min="13825" max="13827" width="6.125" style="2" customWidth="1"/>
    <col min="13828" max="13839" width="5.375" style="2" customWidth="1"/>
    <col min="13840" max="13840" width="9.625" style="2" customWidth="1"/>
    <col min="13841" max="13841" width="35" style="2" bestFit="1" customWidth="1"/>
    <col min="13842" max="13842" width="3.25" style="2" customWidth="1"/>
    <col min="13843" max="13843" width="9" style="2"/>
    <col min="13844" max="13844" width="11.625" style="2" bestFit="1" customWidth="1"/>
    <col min="13845" max="14080" width="9" style="2"/>
    <col min="14081" max="14083" width="6.125" style="2" customWidth="1"/>
    <col min="14084" max="14095" width="5.375" style="2" customWidth="1"/>
    <col min="14096" max="14096" width="9.625" style="2" customWidth="1"/>
    <col min="14097" max="14097" width="35" style="2" bestFit="1" customWidth="1"/>
    <col min="14098" max="14098" width="3.25" style="2" customWidth="1"/>
    <col min="14099" max="14099" width="9" style="2"/>
    <col min="14100" max="14100" width="11.625" style="2" bestFit="1" customWidth="1"/>
    <col min="14101" max="14336" width="9" style="2"/>
    <col min="14337" max="14339" width="6.125" style="2" customWidth="1"/>
    <col min="14340" max="14351" width="5.375" style="2" customWidth="1"/>
    <col min="14352" max="14352" width="9.625" style="2" customWidth="1"/>
    <col min="14353" max="14353" width="35" style="2" bestFit="1" customWidth="1"/>
    <col min="14354" max="14354" width="3.25" style="2" customWidth="1"/>
    <col min="14355" max="14355" width="9" style="2"/>
    <col min="14356" max="14356" width="11.625" style="2" bestFit="1" customWidth="1"/>
    <col min="14357" max="14592" width="9" style="2"/>
    <col min="14593" max="14595" width="6.125" style="2" customWidth="1"/>
    <col min="14596" max="14607" width="5.375" style="2" customWidth="1"/>
    <col min="14608" max="14608" width="9.625" style="2" customWidth="1"/>
    <col min="14609" max="14609" width="35" style="2" bestFit="1" customWidth="1"/>
    <col min="14610" max="14610" width="3.25" style="2" customWidth="1"/>
    <col min="14611" max="14611" width="9" style="2"/>
    <col min="14612" max="14612" width="11.625" style="2" bestFit="1" customWidth="1"/>
    <col min="14613" max="14848" width="9" style="2"/>
    <col min="14849" max="14851" width="6.125" style="2" customWidth="1"/>
    <col min="14852" max="14863" width="5.375" style="2" customWidth="1"/>
    <col min="14864" max="14864" width="9.625" style="2" customWidth="1"/>
    <col min="14865" max="14865" width="35" style="2" bestFit="1" customWidth="1"/>
    <col min="14866" max="14866" width="3.25" style="2" customWidth="1"/>
    <col min="14867" max="14867" width="9" style="2"/>
    <col min="14868" max="14868" width="11.625" style="2" bestFit="1" customWidth="1"/>
    <col min="14869" max="15104" width="9" style="2"/>
    <col min="15105" max="15107" width="6.125" style="2" customWidth="1"/>
    <col min="15108" max="15119" width="5.375" style="2" customWidth="1"/>
    <col min="15120" max="15120" width="9.625" style="2" customWidth="1"/>
    <col min="15121" max="15121" width="35" style="2" bestFit="1" customWidth="1"/>
    <col min="15122" max="15122" width="3.25" style="2" customWidth="1"/>
    <col min="15123" max="15123" width="9" style="2"/>
    <col min="15124" max="15124" width="11.625" style="2" bestFit="1" customWidth="1"/>
    <col min="15125" max="15360" width="9" style="2"/>
    <col min="15361" max="15363" width="6.125" style="2" customWidth="1"/>
    <col min="15364" max="15375" width="5.375" style="2" customWidth="1"/>
    <col min="15376" max="15376" width="9.625" style="2" customWidth="1"/>
    <col min="15377" max="15377" width="35" style="2" bestFit="1" customWidth="1"/>
    <col min="15378" max="15378" width="3.25" style="2" customWidth="1"/>
    <col min="15379" max="15379" width="9" style="2"/>
    <col min="15380" max="15380" width="11.625" style="2" bestFit="1" customWidth="1"/>
    <col min="15381" max="15616" width="9" style="2"/>
    <col min="15617" max="15619" width="6.125" style="2" customWidth="1"/>
    <col min="15620" max="15631" width="5.375" style="2" customWidth="1"/>
    <col min="15632" max="15632" width="9.625" style="2" customWidth="1"/>
    <col min="15633" max="15633" width="35" style="2" bestFit="1" customWidth="1"/>
    <col min="15634" max="15634" width="3.25" style="2" customWidth="1"/>
    <col min="15635" max="15635" width="9" style="2"/>
    <col min="15636" max="15636" width="11.625" style="2" bestFit="1" customWidth="1"/>
    <col min="15637" max="15872" width="9" style="2"/>
    <col min="15873" max="15875" width="6.125" style="2" customWidth="1"/>
    <col min="15876" max="15887" width="5.375" style="2" customWidth="1"/>
    <col min="15888" max="15888" width="9.625" style="2" customWidth="1"/>
    <col min="15889" max="15889" width="35" style="2" bestFit="1" customWidth="1"/>
    <col min="15890" max="15890" width="3.25" style="2" customWidth="1"/>
    <col min="15891" max="15891" width="9" style="2"/>
    <col min="15892" max="15892" width="11.625" style="2" bestFit="1" customWidth="1"/>
    <col min="15893" max="16128" width="9" style="2"/>
    <col min="16129" max="16131" width="6.125" style="2" customWidth="1"/>
    <col min="16132" max="16143" width="5.375" style="2" customWidth="1"/>
    <col min="16144" max="16144" width="9.625" style="2" customWidth="1"/>
    <col min="16145" max="16145" width="35" style="2" bestFit="1" customWidth="1"/>
    <col min="16146" max="16146" width="3.25" style="2" customWidth="1"/>
    <col min="16147" max="16147" width="9" style="2"/>
    <col min="16148" max="16148" width="11.625" style="2" bestFit="1" customWidth="1"/>
    <col min="16149" max="16384" width="9" style="2"/>
  </cols>
  <sheetData>
    <row r="1" spans="1:19" ht="18" customHeight="1" x14ac:dyDescent="0.2">
      <c r="A1" s="159" t="s">
        <v>616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"/>
    </row>
    <row r="2" spans="1:19" ht="18" customHeight="1" thickBot="1" x14ac:dyDescent="0.25">
      <c r="A2" s="160" t="s">
        <v>617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"/>
    </row>
    <row r="3" spans="1:19" ht="13.5" thickBot="1" x14ac:dyDescent="0.25">
      <c r="A3" s="204" t="s">
        <v>5</v>
      </c>
      <c r="B3" s="204"/>
      <c r="C3" s="204"/>
      <c r="D3" s="204" t="s">
        <v>57</v>
      </c>
      <c r="E3" s="204"/>
      <c r="F3" s="204" t="s">
        <v>609</v>
      </c>
      <c r="G3" s="204"/>
      <c r="H3" s="204" t="s">
        <v>610</v>
      </c>
      <c r="I3" s="204"/>
      <c r="J3" s="204" t="s">
        <v>611</v>
      </c>
      <c r="K3" s="204"/>
      <c r="L3" s="204" t="s">
        <v>612</v>
      </c>
      <c r="M3" s="204"/>
      <c r="N3" s="204" t="s">
        <v>613</v>
      </c>
      <c r="O3" s="204"/>
      <c r="P3" s="205" t="s">
        <v>614</v>
      </c>
      <c r="Q3" s="47" t="s">
        <v>161</v>
      </c>
      <c r="R3" s="1"/>
      <c r="S3" s="12"/>
    </row>
    <row r="4" spans="1:19" ht="13.5" thickBot="1" x14ac:dyDescent="0.25">
      <c r="A4" s="47" t="s">
        <v>216</v>
      </c>
      <c r="B4" s="47" t="s">
        <v>11</v>
      </c>
      <c r="C4" s="47" t="s">
        <v>10</v>
      </c>
      <c r="D4" s="47" t="s">
        <v>11</v>
      </c>
      <c r="E4" s="47" t="s">
        <v>10</v>
      </c>
      <c r="F4" s="47" t="s">
        <v>11</v>
      </c>
      <c r="G4" s="47" t="s">
        <v>10</v>
      </c>
      <c r="H4" s="47" t="s">
        <v>11</v>
      </c>
      <c r="I4" s="47" t="s">
        <v>10</v>
      </c>
      <c r="J4" s="47" t="s">
        <v>11</v>
      </c>
      <c r="K4" s="47" t="s">
        <v>10</v>
      </c>
      <c r="L4" s="47" t="s">
        <v>11</v>
      </c>
      <c r="M4" s="47" t="s">
        <v>10</v>
      </c>
      <c r="N4" s="47" t="s">
        <v>11</v>
      </c>
      <c r="O4" s="47" t="s">
        <v>10</v>
      </c>
      <c r="P4" s="206"/>
      <c r="Q4" s="33" t="s">
        <v>74</v>
      </c>
      <c r="R4" s="1"/>
    </row>
    <row r="5" spans="1:19" ht="12.75" customHeight="1" thickBot="1" x14ac:dyDescent="0.25">
      <c r="A5" s="123">
        <f>C5+B5</f>
        <v>52</v>
      </c>
      <c r="B5" s="123">
        <f t="shared" ref="B5:C20" si="0">N5+L5+J5+H5+F5+D5</f>
        <v>0</v>
      </c>
      <c r="C5" s="123">
        <f>O5+M5+K5+I5+G5+E5</f>
        <v>52</v>
      </c>
      <c r="D5" s="123">
        <v>0</v>
      </c>
      <c r="E5" s="123">
        <v>3</v>
      </c>
      <c r="F5" s="123">
        <v>0</v>
      </c>
      <c r="G5" s="123">
        <v>24</v>
      </c>
      <c r="H5" s="123">
        <v>0</v>
      </c>
      <c r="I5" s="123">
        <v>23</v>
      </c>
      <c r="J5" s="123">
        <v>0</v>
      </c>
      <c r="K5" s="123">
        <v>2</v>
      </c>
      <c r="L5" s="123">
        <v>0</v>
      </c>
      <c r="M5" s="123">
        <v>0</v>
      </c>
      <c r="N5" s="123">
        <v>0</v>
      </c>
      <c r="O5" s="123">
        <v>0</v>
      </c>
      <c r="P5" s="7" t="s">
        <v>163</v>
      </c>
      <c r="Q5" s="124"/>
    </row>
    <row r="6" spans="1:19" ht="12.75" customHeight="1" thickBot="1" x14ac:dyDescent="0.25">
      <c r="A6" s="123">
        <f t="shared" ref="A6:A69" si="1">C6+B6</f>
        <v>68</v>
      </c>
      <c r="B6" s="123">
        <f t="shared" si="0"/>
        <v>0</v>
      </c>
      <c r="C6" s="123">
        <f t="shared" si="0"/>
        <v>68</v>
      </c>
      <c r="D6" s="123">
        <v>0</v>
      </c>
      <c r="E6" s="123">
        <v>8</v>
      </c>
      <c r="F6" s="123">
        <v>0</v>
      </c>
      <c r="G6" s="123">
        <v>9</v>
      </c>
      <c r="H6" s="123">
        <v>0</v>
      </c>
      <c r="I6" s="123">
        <v>4</v>
      </c>
      <c r="J6" s="123">
        <v>0</v>
      </c>
      <c r="K6" s="123">
        <v>46</v>
      </c>
      <c r="L6" s="123">
        <v>0</v>
      </c>
      <c r="M6" s="123">
        <v>1</v>
      </c>
      <c r="N6" s="123">
        <v>0</v>
      </c>
      <c r="O6" s="123">
        <v>0</v>
      </c>
      <c r="P6" s="7" t="s">
        <v>162</v>
      </c>
      <c r="Q6" s="124" t="s">
        <v>329</v>
      </c>
    </row>
    <row r="7" spans="1:19" ht="12.75" customHeight="1" thickBot="1" x14ac:dyDescent="0.25">
      <c r="A7" s="123">
        <f t="shared" si="1"/>
        <v>120</v>
      </c>
      <c r="B7" s="123">
        <f t="shared" si="0"/>
        <v>0</v>
      </c>
      <c r="C7" s="123">
        <f t="shared" si="0"/>
        <v>120</v>
      </c>
      <c r="D7" s="123">
        <v>0</v>
      </c>
      <c r="E7" s="123">
        <v>11</v>
      </c>
      <c r="F7" s="123">
        <v>0</v>
      </c>
      <c r="G7" s="123">
        <v>33</v>
      </c>
      <c r="H7" s="123">
        <v>0</v>
      </c>
      <c r="I7" s="123">
        <v>27</v>
      </c>
      <c r="J7" s="123">
        <v>0</v>
      </c>
      <c r="K7" s="123">
        <v>48</v>
      </c>
      <c r="L7" s="123">
        <v>0</v>
      </c>
      <c r="M7" s="123">
        <v>1</v>
      </c>
      <c r="N7" s="123">
        <v>0</v>
      </c>
      <c r="O7" s="123">
        <v>0</v>
      </c>
      <c r="P7" s="7" t="s">
        <v>13</v>
      </c>
      <c r="Q7" s="9"/>
    </row>
    <row r="8" spans="1:19" ht="12.75" customHeight="1" thickBot="1" x14ac:dyDescent="0.25">
      <c r="A8" s="123">
        <f t="shared" si="1"/>
        <v>6</v>
      </c>
      <c r="B8" s="123">
        <f t="shared" si="0"/>
        <v>0</v>
      </c>
      <c r="C8" s="123">
        <f t="shared" si="0"/>
        <v>6</v>
      </c>
      <c r="D8" s="123">
        <v>0</v>
      </c>
      <c r="E8" s="123">
        <v>0</v>
      </c>
      <c r="F8" s="123">
        <v>0</v>
      </c>
      <c r="G8" s="123">
        <v>0</v>
      </c>
      <c r="H8" s="123">
        <v>0</v>
      </c>
      <c r="I8" s="123">
        <v>3</v>
      </c>
      <c r="J8" s="123">
        <v>0</v>
      </c>
      <c r="K8" s="123">
        <v>3</v>
      </c>
      <c r="L8" s="123">
        <v>0</v>
      </c>
      <c r="M8" s="123">
        <v>0</v>
      </c>
      <c r="N8" s="123">
        <v>0</v>
      </c>
      <c r="O8" s="123">
        <v>0</v>
      </c>
      <c r="P8" s="7" t="s">
        <v>163</v>
      </c>
      <c r="Q8" s="124"/>
    </row>
    <row r="9" spans="1:19" ht="12.75" customHeight="1" thickBot="1" x14ac:dyDescent="0.25">
      <c r="A9" s="123">
        <f t="shared" si="1"/>
        <v>70</v>
      </c>
      <c r="B9" s="123">
        <f t="shared" si="0"/>
        <v>0</v>
      </c>
      <c r="C9" s="123">
        <f t="shared" si="0"/>
        <v>70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29</v>
      </c>
      <c r="J9" s="123">
        <v>0</v>
      </c>
      <c r="K9" s="123">
        <v>35</v>
      </c>
      <c r="L9" s="123">
        <v>0</v>
      </c>
      <c r="M9" s="123">
        <v>6</v>
      </c>
      <c r="N9" s="123">
        <v>0</v>
      </c>
      <c r="O9" s="123">
        <v>0</v>
      </c>
      <c r="P9" s="7" t="s">
        <v>162</v>
      </c>
      <c r="Q9" s="124" t="s">
        <v>87</v>
      </c>
    </row>
    <row r="10" spans="1:19" ht="12.75" customHeight="1" thickBot="1" x14ac:dyDescent="0.25">
      <c r="A10" s="123">
        <f t="shared" si="1"/>
        <v>76</v>
      </c>
      <c r="B10" s="123">
        <f t="shared" si="0"/>
        <v>0</v>
      </c>
      <c r="C10" s="123">
        <f t="shared" si="0"/>
        <v>76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3">
        <v>32</v>
      </c>
      <c r="J10" s="123">
        <v>0</v>
      </c>
      <c r="K10" s="123">
        <v>38</v>
      </c>
      <c r="L10" s="123">
        <v>0</v>
      </c>
      <c r="M10" s="123">
        <v>6</v>
      </c>
      <c r="N10" s="123">
        <v>0</v>
      </c>
      <c r="O10" s="123">
        <v>0</v>
      </c>
      <c r="P10" s="7" t="s">
        <v>13</v>
      </c>
      <c r="Q10" s="9"/>
    </row>
    <row r="11" spans="1:19" ht="12.75" customHeight="1" thickBot="1" x14ac:dyDescent="0.25">
      <c r="A11" s="123">
        <f t="shared" si="1"/>
        <v>131</v>
      </c>
      <c r="B11" s="123">
        <f t="shared" si="0"/>
        <v>0</v>
      </c>
      <c r="C11" s="123">
        <f t="shared" si="0"/>
        <v>131</v>
      </c>
      <c r="D11" s="123">
        <v>0</v>
      </c>
      <c r="E11" s="123">
        <v>0</v>
      </c>
      <c r="F11" s="123">
        <v>0</v>
      </c>
      <c r="G11" s="123">
        <v>25</v>
      </c>
      <c r="H11" s="123">
        <v>0</v>
      </c>
      <c r="I11" s="123">
        <v>32</v>
      </c>
      <c r="J11" s="123">
        <v>0</v>
      </c>
      <c r="K11" s="123">
        <v>30</v>
      </c>
      <c r="L11" s="123">
        <v>0</v>
      </c>
      <c r="M11" s="123">
        <v>21</v>
      </c>
      <c r="N11" s="123">
        <v>0</v>
      </c>
      <c r="O11" s="123">
        <v>23</v>
      </c>
      <c r="P11" s="7" t="s">
        <v>163</v>
      </c>
      <c r="Q11" s="124"/>
    </row>
    <row r="12" spans="1:19" ht="12.75" customHeight="1" thickBot="1" x14ac:dyDescent="0.25">
      <c r="A12" s="123">
        <f t="shared" si="1"/>
        <v>4</v>
      </c>
      <c r="B12" s="123">
        <f t="shared" si="0"/>
        <v>0</v>
      </c>
      <c r="C12" s="123">
        <f t="shared" si="0"/>
        <v>4</v>
      </c>
      <c r="D12" s="123">
        <v>0</v>
      </c>
      <c r="E12" s="123">
        <v>0</v>
      </c>
      <c r="F12" s="123">
        <v>0</v>
      </c>
      <c r="G12" s="123">
        <v>0</v>
      </c>
      <c r="H12" s="123">
        <v>0</v>
      </c>
      <c r="I12" s="123">
        <v>0</v>
      </c>
      <c r="J12" s="123">
        <v>0</v>
      </c>
      <c r="K12" s="123">
        <v>0</v>
      </c>
      <c r="L12" s="123">
        <v>0</v>
      </c>
      <c r="M12" s="123">
        <v>3</v>
      </c>
      <c r="N12" s="123">
        <v>0</v>
      </c>
      <c r="O12" s="123">
        <v>1</v>
      </c>
      <c r="P12" s="7" t="s">
        <v>162</v>
      </c>
      <c r="Q12" s="124" t="s">
        <v>330</v>
      </c>
    </row>
    <row r="13" spans="1:19" ht="12.75" customHeight="1" thickBot="1" x14ac:dyDescent="0.25">
      <c r="A13" s="123">
        <f t="shared" si="1"/>
        <v>135</v>
      </c>
      <c r="B13" s="123">
        <f t="shared" si="0"/>
        <v>0</v>
      </c>
      <c r="C13" s="123">
        <f t="shared" si="0"/>
        <v>135</v>
      </c>
      <c r="D13" s="123">
        <v>0</v>
      </c>
      <c r="E13" s="123">
        <v>0</v>
      </c>
      <c r="F13" s="123">
        <v>0</v>
      </c>
      <c r="G13" s="123">
        <v>25</v>
      </c>
      <c r="H13" s="123">
        <v>0</v>
      </c>
      <c r="I13" s="123">
        <v>32</v>
      </c>
      <c r="J13" s="123">
        <v>0</v>
      </c>
      <c r="K13" s="123">
        <v>30</v>
      </c>
      <c r="L13" s="123">
        <v>0</v>
      </c>
      <c r="M13" s="123">
        <v>24</v>
      </c>
      <c r="N13" s="123">
        <v>0</v>
      </c>
      <c r="O13" s="123">
        <v>24</v>
      </c>
      <c r="P13" s="7" t="s">
        <v>13</v>
      </c>
      <c r="Q13" s="9"/>
    </row>
    <row r="14" spans="1:19" ht="12.75" customHeight="1" thickBot="1" x14ac:dyDescent="0.25">
      <c r="A14" s="123">
        <f t="shared" si="1"/>
        <v>131</v>
      </c>
      <c r="B14" s="123">
        <f t="shared" si="0"/>
        <v>48</v>
      </c>
      <c r="C14" s="123">
        <f t="shared" si="0"/>
        <v>83</v>
      </c>
      <c r="D14" s="123">
        <v>0</v>
      </c>
      <c r="E14" s="123">
        <v>0</v>
      </c>
      <c r="F14" s="123">
        <v>13</v>
      </c>
      <c r="G14" s="123">
        <v>8</v>
      </c>
      <c r="H14" s="123">
        <v>8</v>
      </c>
      <c r="I14" s="123">
        <v>5</v>
      </c>
      <c r="J14" s="123">
        <v>17</v>
      </c>
      <c r="K14" s="123">
        <v>34</v>
      </c>
      <c r="L14" s="123">
        <v>6</v>
      </c>
      <c r="M14" s="123">
        <v>22</v>
      </c>
      <c r="N14" s="123">
        <v>4</v>
      </c>
      <c r="O14" s="123">
        <v>14</v>
      </c>
      <c r="P14" s="7" t="s">
        <v>163</v>
      </c>
      <c r="Q14" s="124"/>
    </row>
    <row r="15" spans="1:19" ht="12.75" customHeight="1" thickBot="1" x14ac:dyDescent="0.25">
      <c r="A15" s="123">
        <f t="shared" si="1"/>
        <v>29</v>
      </c>
      <c r="B15" s="123">
        <f t="shared" si="0"/>
        <v>6</v>
      </c>
      <c r="C15" s="123">
        <f t="shared" si="0"/>
        <v>23</v>
      </c>
      <c r="D15" s="123">
        <v>0</v>
      </c>
      <c r="E15" s="123">
        <v>0</v>
      </c>
      <c r="F15" s="123">
        <v>0</v>
      </c>
      <c r="G15" s="123">
        <v>0</v>
      </c>
      <c r="H15" s="123">
        <v>1</v>
      </c>
      <c r="I15" s="123">
        <v>5</v>
      </c>
      <c r="J15" s="123">
        <v>5</v>
      </c>
      <c r="K15" s="123">
        <v>12</v>
      </c>
      <c r="L15" s="123">
        <v>0</v>
      </c>
      <c r="M15" s="123">
        <v>4</v>
      </c>
      <c r="N15" s="123">
        <v>0</v>
      </c>
      <c r="O15" s="123">
        <v>2</v>
      </c>
      <c r="P15" s="7" t="s">
        <v>162</v>
      </c>
      <c r="Q15" s="124" t="s">
        <v>331</v>
      </c>
    </row>
    <row r="16" spans="1:19" ht="12.75" customHeight="1" thickBot="1" x14ac:dyDescent="0.25">
      <c r="A16" s="123">
        <f t="shared" si="1"/>
        <v>160</v>
      </c>
      <c r="B16" s="123">
        <f t="shared" si="0"/>
        <v>54</v>
      </c>
      <c r="C16" s="123">
        <f t="shared" si="0"/>
        <v>106</v>
      </c>
      <c r="D16" s="123">
        <v>0</v>
      </c>
      <c r="E16" s="123">
        <v>0</v>
      </c>
      <c r="F16" s="123">
        <v>13</v>
      </c>
      <c r="G16" s="123">
        <v>8</v>
      </c>
      <c r="H16" s="123">
        <v>9</v>
      </c>
      <c r="I16" s="123">
        <v>10</v>
      </c>
      <c r="J16" s="123">
        <v>22</v>
      </c>
      <c r="K16" s="123">
        <v>46</v>
      </c>
      <c r="L16" s="123">
        <v>6</v>
      </c>
      <c r="M16" s="123">
        <v>26</v>
      </c>
      <c r="N16" s="123">
        <v>4</v>
      </c>
      <c r="O16" s="123">
        <v>16</v>
      </c>
      <c r="P16" s="7" t="s">
        <v>13</v>
      </c>
      <c r="Q16" s="9"/>
    </row>
    <row r="17" spans="1:17" ht="12.75" customHeight="1" thickBot="1" x14ac:dyDescent="0.25">
      <c r="A17" s="123">
        <f t="shared" si="1"/>
        <v>73</v>
      </c>
      <c r="B17" s="123">
        <f t="shared" si="0"/>
        <v>0</v>
      </c>
      <c r="C17" s="123">
        <f t="shared" si="0"/>
        <v>73</v>
      </c>
      <c r="D17" s="123">
        <v>0</v>
      </c>
      <c r="E17" s="123">
        <v>0</v>
      </c>
      <c r="F17" s="123">
        <v>0</v>
      </c>
      <c r="G17" s="123">
        <v>18</v>
      </c>
      <c r="H17" s="123">
        <v>0</v>
      </c>
      <c r="I17" s="123">
        <v>16</v>
      </c>
      <c r="J17" s="123">
        <v>0</v>
      </c>
      <c r="K17" s="123">
        <v>27</v>
      </c>
      <c r="L17" s="123">
        <v>0</v>
      </c>
      <c r="M17" s="123">
        <v>10</v>
      </c>
      <c r="N17" s="123">
        <v>0</v>
      </c>
      <c r="O17" s="123">
        <v>2</v>
      </c>
      <c r="P17" s="7" t="s">
        <v>163</v>
      </c>
      <c r="Q17" s="124"/>
    </row>
    <row r="18" spans="1:17" ht="12.75" customHeight="1" thickBot="1" x14ac:dyDescent="0.25">
      <c r="A18" s="123">
        <f t="shared" si="1"/>
        <v>8</v>
      </c>
      <c r="B18" s="123">
        <f t="shared" si="0"/>
        <v>0</v>
      </c>
      <c r="C18" s="123">
        <f t="shared" si="0"/>
        <v>8</v>
      </c>
      <c r="D18" s="123">
        <v>0</v>
      </c>
      <c r="E18" s="123">
        <v>0</v>
      </c>
      <c r="F18" s="123">
        <v>0</v>
      </c>
      <c r="G18" s="123">
        <v>0</v>
      </c>
      <c r="H18" s="123">
        <v>0</v>
      </c>
      <c r="I18" s="123">
        <v>0</v>
      </c>
      <c r="J18" s="123">
        <v>0</v>
      </c>
      <c r="K18" s="123">
        <v>0</v>
      </c>
      <c r="L18" s="123">
        <v>0</v>
      </c>
      <c r="M18" s="123">
        <v>5</v>
      </c>
      <c r="N18" s="123">
        <v>0</v>
      </c>
      <c r="O18" s="123">
        <v>3</v>
      </c>
      <c r="P18" s="7" t="s">
        <v>162</v>
      </c>
      <c r="Q18" s="124" t="s">
        <v>332</v>
      </c>
    </row>
    <row r="19" spans="1:17" ht="12.75" customHeight="1" thickBot="1" x14ac:dyDescent="0.25">
      <c r="A19" s="123">
        <f t="shared" si="1"/>
        <v>81</v>
      </c>
      <c r="B19" s="123">
        <f t="shared" si="0"/>
        <v>0</v>
      </c>
      <c r="C19" s="123">
        <f t="shared" si="0"/>
        <v>81</v>
      </c>
      <c r="D19" s="123">
        <v>0</v>
      </c>
      <c r="E19" s="123">
        <v>0</v>
      </c>
      <c r="F19" s="123">
        <v>0</v>
      </c>
      <c r="G19" s="123">
        <v>18</v>
      </c>
      <c r="H19" s="123">
        <v>0</v>
      </c>
      <c r="I19" s="123">
        <v>16</v>
      </c>
      <c r="J19" s="123">
        <v>0</v>
      </c>
      <c r="K19" s="123">
        <v>27</v>
      </c>
      <c r="L19" s="123">
        <v>0</v>
      </c>
      <c r="M19" s="123">
        <v>15</v>
      </c>
      <c r="N19" s="123">
        <v>0</v>
      </c>
      <c r="O19" s="123">
        <v>5</v>
      </c>
      <c r="P19" s="7" t="s">
        <v>13</v>
      </c>
      <c r="Q19" s="9"/>
    </row>
    <row r="20" spans="1:17" ht="12.75" customHeight="1" thickBot="1" x14ac:dyDescent="0.25">
      <c r="A20" s="123">
        <f t="shared" si="1"/>
        <v>96</v>
      </c>
      <c r="B20" s="123">
        <f t="shared" si="0"/>
        <v>28</v>
      </c>
      <c r="C20" s="123">
        <f t="shared" si="0"/>
        <v>68</v>
      </c>
      <c r="D20" s="123">
        <v>0</v>
      </c>
      <c r="E20" s="123">
        <v>0</v>
      </c>
      <c r="F20" s="123">
        <v>10</v>
      </c>
      <c r="G20" s="123">
        <v>16</v>
      </c>
      <c r="H20" s="123">
        <v>2</v>
      </c>
      <c r="I20" s="123">
        <v>1</v>
      </c>
      <c r="J20" s="123">
        <v>11</v>
      </c>
      <c r="K20" s="123">
        <v>34</v>
      </c>
      <c r="L20" s="123">
        <v>5</v>
      </c>
      <c r="M20" s="123">
        <v>12</v>
      </c>
      <c r="N20" s="123">
        <v>0</v>
      </c>
      <c r="O20" s="123">
        <v>5</v>
      </c>
      <c r="P20" s="7" t="s">
        <v>163</v>
      </c>
      <c r="Q20" s="124"/>
    </row>
    <row r="21" spans="1:17" ht="12.75" customHeight="1" thickBot="1" x14ac:dyDescent="0.25">
      <c r="A21" s="123">
        <f t="shared" si="1"/>
        <v>33</v>
      </c>
      <c r="B21" s="123">
        <f t="shared" ref="B21:C84" si="2">N21+L21+J21+H21+F21+D21</f>
        <v>7</v>
      </c>
      <c r="C21" s="123">
        <f t="shared" si="2"/>
        <v>26</v>
      </c>
      <c r="D21" s="123">
        <v>1</v>
      </c>
      <c r="E21" s="123">
        <v>1</v>
      </c>
      <c r="F21" s="123">
        <v>0</v>
      </c>
      <c r="G21" s="123">
        <v>1</v>
      </c>
      <c r="H21" s="123">
        <v>1</v>
      </c>
      <c r="I21" s="123">
        <v>5</v>
      </c>
      <c r="J21" s="123">
        <v>5</v>
      </c>
      <c r="K21" s="123">
        <v>12</v>
      </c>
      <c r="L21" s="123">
        <v>0</v>
      </c>
      <c r="M21" s="123">
        <v>5</v>
      </c>
      <c r="N21" s="123">
        <v>0</v>
      </c>
      <c r="O21" s="123">
        <v>2</v>
      </c>
      <c r="P21" s="7" t="s">
        <v>162</v>
      </c>
      <c r="Q21" s="124" t="s">
        <v>333</v>
      </c>
    </row>
    <row r="22" spans="1:17" ht="12.75" customHeight="1" thickBot="1" x14ac:dyDescent="0.25">
      <c r="A22" s="123">
        <f t="shared" si="1"/>
        <v>129</v>
      </c>
      <c r="B22" s="123">
        <f t="shared" si="2"/>
        <v>35</v>
      </c>
      <c r="C22" s="123">
        <f t="shared" si="2"/>
        <v>94</v>
      </c>
      <c r="D22" s="123">
        <v>1</v>
      </c>
      <c r="E22" s="123">
        <v>1</v>
      </c>
      <c r="F22" s="123">
        <v>10</v>
      </c>
      <c r="G22" s="123">
        <v>17</v>
      </c>
      <c r="H22" s="123">
        <v>3</v>
      </c>
      <c r="I22" s="123">
        <v>6</v>
      </c>
      <c r="J22" s="123">
        <v>16</v>
      </c>
      <c r="K22" s="123">
        <v>46</v>
      </c>
      <c r="L22" s="123">
        <v>5</v>
      </c>
      <c r="M22" s="123">
        <v>17</v>
      </c>
      <c r="N22" s="123">
        <v>0</v>
      </c>
      <c r="O22" s="123">
        <v>7</v>
      </c>
      <c r="P22" s="7" t="s">
        <v>13</v>
      </c>
      <c r="Q22" s="9"/>
    </row>
    <row r="23" spans="1:17" ht="12.75" customHeight="1" thickBot="1" x14ac:dyDescent="0.25">
      <c r="A23" s="123">
        <f t="shared" si="1"/>
        <v>52</v>
      </c>
      <c r="B23" s="123">
        <f t="shared" si="2"/>
        <v>0</v>
      </c>
      <c r="C23" s="123">
        <f t="shared" si="2"/>
        <v>52</v>
      </c>
      <c r="D23" s="123">
        <v>0</v>
      </c>
      <c r="E23" s="123">
        <v>0</v>
      </c>
      <c r="F23" s="123">
        <v>0</v>
      </c>
      <c r="G23" s="123">
        <v>14</v>
      </c>
      <c r="H23" s="123">
        <v>0</v>
      </c>
      <c r="I23" s="123">
        <v>0</v>
      </c>
      <c r="J23" s="123">
        <v>0</v>
      </c>
      <c r="K23" s="123">
        <v>24</v>
      </c>
      <c r="L23" s="123">
        <v>0</v>
      </c>
      <c r="M23" s="123">
        <v>12</v>
      </c>
      <c r="N23" s="123">
        <v>0</v>
      </c>
      <c r="O23" s="123">
        <v>2</v>
      </c>
      <c r="P23" s="7" t="s">
        <v>163</v>
      </c>
      <c r="Q23" s="124"/>
    </row>
    <row r="24" spans="1:17" ht="12.75" customHeight="1" thickBot="1" x14ac:dyDescent="0.25">
      <c r="A24" s="123">
        <f t="shared" si="1"/>
        <v>41</v>
      </c>
      <c r="B24" s="123">
        <f t="shared" si="2"/>
        <v>0</v>
      </c>
      <c r="C24" s="123">
        <f t="shared" si="2"/>
        <v>41</v>
      </c>
      <c r="D24" s="123">
        <v>0</v>
      </c>
      <c r="E24" s="123">
        <v>0</v>
      </c>
      <c r="F24" s="123">
        <v>0</v>
      </c>
      <c r="G24" s="123">
        <v>1</v>
      </c>
      <c r="H24" s="123">
        <v>0</v>
      </c>
      <c r="I24" s="123">
        <v>9</v>
      </c>
      <c r="J24" s="123">
        <v>0</v>
      </c>
      <c r="K24" s="123">
        <v>19</v>
      </c>
      <c r="L24" s="123">
        <v>0</v>
      </c>
      <c r="M24" s="123">
        <v>5</v>
      </c>
      <c r="N24" s="123">
        <v>0</v>
      </c>
      <c r="O24" s="123">
        <v>7</v>
      </c>
      <c r="P24" s="7" t="s">
        <v>162</v>
      </c>
      <c r="Q24" s="124" t="s">
        <v>334</v>
      </c>
    </row>
    <row r="25" spans="1:17" ht="12.75" customHeight="1" thickBot="1" x14ac:dyDescent="0.25">
      <c r="A25" s="123">
        <f t="shared" si="1"/>
        <v>93</v>
      </c>
      <c r="B25" s="123">
        <f t="shared" si="2"/>
        <v>0</v>
      </c>
      <c r="C25" s="123">
        <f t="shared" si="2"/>
        <v>93</v>
      </c>
      <c r="D25" s="123">
        <v>0</v>
      </c>
      <c r="E25" s="123">
        <v>0</v>
      </c>
      <c r="F25" s="123">
        <v>0</v>
      </c>
      <c r="G25" s="123">
        <v>15</v>
      </c>
      <c r="H25" s="123">
        <v>0</v>
      </c>
      <c r="I25" s="123">
        <v>9</v>
      </c>
      <c r="J25" s="123">
        <v>0</v>
      </c>
      <c r="K25" s="123">
        <v>43</v>
      </c>
      <c r="L25" s="123">
        <v>0</v>
      </c>
      <c r="M25" s="123">
        <v>17</v>
      </c>
      <c r="N25" s="123">
        <v>0</v>
      </c>
      <c r="O25" s="123">
        <v>9</v>
      </c>
      <c r="P25" s="7" t="s">
        <v>13</v>
      </c>
      <c r="Q25" s="9"/>
    </row>
    <row r="26" spans="1:17" ht="12.75" customHeight="1" thickBot="1" x14ac:dyDescent="0.25">
      <c r="A26" s="123">
        <f t="shared" si="1"/>
        <v>100</v>
      </c>
      <c r="B26" s="123">
        <f t="shared" si="2"/>
        <v>14</v>
      </c>
      <c r="C26" s="123">
        <f t="shared" si="2"/>
        <v>86</v>
      </c>
      <c r="D26" s="123">
        <v>0</v>
      </c>
      <c r="E26" s="123">
        <v>0</v>
      </c>
      <c r="F26" s="123">
        <v>13</v>
      </c>
      <c r="G26" s="123">
        <v>18</v>
      </c>
      <c r="H26" s="123">
        <v>0</v>
      </c>
      <c r="I26" s="123">
        <v>0</v>
      </c>
      <c r="J26" s="123">
        <v>1</v>
      </c>
      <c r="K26" s="123">
        <v>57</v>
      </c>
      <c r="L26" s="123">
        <v>0</v>
      </c>
      <c r="M26" s="123">
        <v>9</v>
      </c>
      <c r="N26" s="123">
        <v>0</v>
      </c>
      <c r="O26" s="123">
        <v>2</v>
      </c>
      <c r="P26" s="7" t="s">
        <v>163</v>
      </c>
      <c r="Q26" s="124"/>
    </row>
    <row r="27" spans="1:17" ht="12.75" customHeight="1" thickBot="1" x14ac:dyDescent="0.25">
      <c r="A27" s="123">
        <f t="shared" si="1"/>
        <v>47</v>
      </c>
      <c r="B27" s="123">
        <f t="shared" si="2"/>
        <v>13</v>
      </c>
      <c r="C27" s="123">
        <f t="shared" si="2"/>
        <v>34</v>
      </c>
      <c r="D27" s="123">
        <v>0</v>
      </c>
      <c r="E27" s="123">
        <v>0</v>
      </c>
      <c r="F27" s="123">
        <v>0</v>
      </c>
      <c r="G27" s="123">
        <v>0</v>
      </c>
      <c r="H27" s="123">
        <v>7</v>
      </c>
      <c r="I27" s="123">
        <v>11</v>
      </c>
      <c r="J27" s="123">
        <v>4</v>
      </c>
      <c r="K27" s="123">
        <v>5</v>
      </c>
      <c r="L27" s="123">
        <v>0</v>
      </c>
      <c r="M27" s="123">
        <v>10</v>
      </c>
      <c r="N27" s="123">
        <v>2</v>
      </c>
      <c r="O27" s="123">
        <v>8</v>
      </c>
      <c r="P27" s="7" t="s">
        <v>162</v>
      </c>
      <c r="Q27" s="124" t="s">
        <v>263</v>
      </c>
    </row>
    <row r="28" spans="1:17" ht="12.75" customHeight="1" thickBot="1" x14ac:dyDescent="0.25">
      <c r="A28" s="123">
        <f t="shared" si="1"/>
        <v>147</v>
      </c>
      <c r="B28" s="123">
        <f t="shared" si="2"/>
        <v>27</v>
      </c>
      <c r="C28" s="123">
        <f t="shared" si="2"/>
        <v>120</v>
      </c>
      <c r="D28" s="123">
        <v>0</v>
      </c>
      <c r="E28" s="123">
        <v>0</v>
      </c>
      <c r="F28" s="123">
        <v>13</v>
      </c>
      <c r="G28" s="123">
        <v>18</v>
      </c>
      <c r="H28" s="123">
        <v>7</v>
      </c>
      <c r="I28" s="123">
        <v>11</v>
      </c>
      <c r="J28" s="123">
        <v>5</v>
      </c>
      <c r="K28" s="123">
        <v>62</v>
      </c>
      <c r="L28" s="123">
        <v>0</v>
      </c>
      <c r="M28" s="123">
        <v>19</v>
      </c>
      <c r="N28" s="123">
        <v>2</v>
      </c>
      <c r="O28" s="123">
        <v>10</v>
      </c>
      <c r="P28" s="7" t="s">
        <v>13</v>
      </c>
      <c r="Q28" s="9"/>
    </row>
    <row r="29" spans="1:17" ht="12.75" customHeight="1" thickBot="1" x14ac:dyDescent="0.25">
      <c r="A29" s="123">
        <f t="shared" si="1"/>
        <v>11</v>
      </c>
      <c r="B29" s="123">
        <f t="shared" si="2"/>
        <v>0</v>
      </c>
      <c r="C29" s="123">
        <f t="shared" si="2"/>
        <v>11</v>
      </c>
      <c r="D29" s="123">
        <v>0</v>
      </c>
      <c r="E29" s="123">
        <v>0</v>
      </c>
      <c r="F29" s="123">
        <v>0</v>
      </c>
      <c r="G29" s="123">
        <v>8</v>
      </c>
      <c r="H29" s="123">
        <v>0</v>
      </c>
      <c r="I29" s="123">
        <v>2</v>
      </c>
      <c r="J29" s="123">
        <v>0</v>
      </c>
      <c r="K29" s="123">
        <v>1</v>
      </c>
      <c r="L29" s="123">
        <v>0</v>
      </c>
      <c r="M29" s="123">
        <v>0</v>
      </c>
      <c r="N29" s="123">
        <v>0</v>
      </c>
      <c r="O29" s="123">
        <v>0</v>
      </c>
      <c r="P29" s="7" t="s">
        <v>163</v>
      </c>
      <c r="Q29" s="124"/>
    </row>
    <row r="30" spans="1:17" ht="12.75" customHeight="1" thickBot="1" x14ac:dyDescent="0.25">
      <c r="A30" s="123">
        <f t="shared" si="1"/>
        <v>3</v>
      </c>
      <c r="B30" s="123">
        <f t="shared" si="2"/>
        <v>0</v>
      </c>
      <c r="C30" s="123">
        <f t="shared" si="2"/>
        <v>3</v>
      </c>
      <c r="D30" s="123">
        <v>0</v>
      </c>
      <c r="E30" s="123">
        <v>0</v>
      </c>
      <c r="F30" s="123">
        <v>0</v>
      </c>
      <c r="G30" s="123">
        <v>0</v>
      </c>
      <c r="H30" s="123">
        <v>0</v>
      </c>
      <c r="I30" s="123">
        <v>0</v>
      </c>
      <c r="J30" s="123">
        <v>0</v>
      </c>
      <c r="K30" s="123">
        <v>2</v>
      </c>
      <c r="L30" s="123">
        <v>0</v>
      </c>
      <c r="M30" s="123">
        <v>0</v>
      </c>
      <c r="N30" s="123">
        <v>0</v>
      </c>
      <c r="O30" s="123">
        <v>1</v>
      </c>
      <c r="P30" s="7" t="s">
        <v>162</v>
      </c>
      <c r="Q30" s="124" t="s">
        <v>238</v>
      </c>
    </row>
    <row r="31" spans="1:17" ht="12.75" customHeight="1" thickBot="1" x14ac:dyDescent="0.25">
      <c r="A31" s="123">
        <f t="shared" si="1"/>
        <v>14</v>
      </c>
      <c r="B31" s="123">
        <f t="shared" si="2"/>
        <v>0</v>
      </c>
      <c r="C31" s="123">
        <f t="shared" si="2"/>
        <v>14</v>
      </c>
      <c r="D31" s="123">
        <v>0</v>
      </c>
      <c r="E31" s="123">
        <v>0</v>
      </c>
      <c r="F31" s="123">
        <v>0</v>
      </c>
      <c r="G31" s="123">
        <v>8</v>
      </c>
      <c r="H31" s="123">
        <v>0</v>
      </c>
      <c r="I31" s="123">
        <v>2</v>
      </c>
      <c r="J31" s="123">
        <v>0</v>
      </c>
      <c r="K31" s="123">
        <v>3</v>
      </c>
      <c r="L31" s="123">
        <v>0</v>
      </c>
      <c r="M31" s="123">
        <v>0</v>
      </c>
      <c r="N31" s="123">
        <v>0</v>
      </c>
      <c r="O31" s="123">
        <v>1</v>
      </c>
      <c r="P31" s="7" t="s">
        <v>13</v>
      </c>
      <c r="Q31" s="9"/>
    </row>
    <row r="32" spans="1:17" ht="12.75" customHeight="1" thickBot="1" x14ac:dyDescent="0.25">
      <c r="A32" s="123">
        <f t="shared" si="1"/>
        <v>456</v>
      </c>
      <c r="B32" s="123">
        <f t="shared" si="2"/>
        <v>327</v>
      </c>
      <c r="C32" s="123">
        <f t="shared" si="2"/>
        <v>129</v>
      </c>
      <c r="D32" s="123">
        <v>0</v>
      </c>
      <c r="E32" s="123">
        <v>1</v>
      </c>
      <c r="F32" s="123">
        <v>140</v>
      </c>
      <c r="G32" s="123">
        <v>38</v>
      </c>
      <c r="H32" s="123">
        <v>108</v>
      </c>
      <c r="I32" s="123">
        <v>52</v>
      </c>
      <c r="J32" s="123">
        <v>75</v>
      </c>
      <c r="K32" s="123">
        <v>29</v>
      </c>
      <c r="L32" s="123">
        <v>4</v>
      </c>
      <c r="M32" s="123">
        <v>8</v>
      </c>
      <c r="N32" s="123">
        <v>0</v>
      </c>
      <c r="O32" s="123">
        <v>1</v>
      </c>
      <c r="P32" s="7" t="s">
        <v>163</v>
      </c>
      <c r="Q32" s="124"/>
    </row>
    <row r="33" spans="1:18" ht="12.75" customHeight="1" thickBot="1" x14ac:dyDescent="0.25">
      <c r="A33" s="123">
        <f t="shared" si="1"/>
        <v>14</v>
      </c>
      <c r="B33" s="123">
        <f t="shared" si="2"/>
        <v>11</v>
      </c>
      <c r="C33" s="123">
        <f t="shared" si="2"/>
        <v>3</v>
      </c>
      <c r="D33" s="123">
        <v>0</v>
      </c>
      <c r="E33" s="123">
        <v>0</v>
      </c>
      <c r="F33" s="123">
        <v>0</v>
      </c>
      <c r="G33" s="123">
        <v>0</v>
      </c>
      <c r="H33" s="123">
        <v>0</v>
      </c>
      <c r="I33" s="123">
        <v>0</v>
      </c>
      <c r="J33" s="123">
        <v>3</v>
      </c>
      <c r="K33" s="123">
        <v>0</v>
      </c>
      <c r="L33" s="123">
        <v>5</v>
      </c>
      <c r="M33" s="123">
        <v>1</v>
      </c>
      <c r="N33" s="123">
        <v>3</v>
      </c>
      <c r="O33" s="123">
        <v>2</v>
      </c>
      <c r="P33" s="7" t="s">
        <v>162</v>
      </c>
      <c r="Q33" s="124" t="s">
        <v>618</v>
      </c>
    </row>
    <row r="34" spans="1:18" ht="12.75" customHeight="1" thickBot="1" x14ac:dyDescent="0.25">
      <c r="A34" s="123">
        <f t="shared" si="1"/>
        <v>470</v>
      </c>
      <c r="B34" s="123">
        <f t="shared" si="2"/>
        <v>338</v>
      </c>
      <c r="C34" s="123">
        <f t="shared" si="2"/>
        <v>132</v>
      </c>
      <c r="D34" s="123">
        <v>0</v>
      </c>
      <c r="E34" s="123">
        <v>1</v>
      </c>
      <c r="F34" s="123">
        <v>140</v>
      </c>
      <c r="G34" s="123">
        <v>38</v>
      </c>
      <c r="H34" s="123">
        <v>108</v>
      </c>
      <c r="I34" s="123">
        <v>52</v>
      </c>
      <c r="J34" s="123">
        <v>78</v>
      </c>
      <c r="K34" s="123">
        <v>29</v>
      </c>
      <c r="L34" s="123">
        <v>9</v>
      </c>
      <c r="M34" s="123">
        <v>9</v>
      </c>
      <c r="N34" s="123">
        <v>3</v>
      </c>
      <c r="O34" s="123">
        <v>3</v>
      </c>
      <c r="P34" s="7" t="s">
        <v>13</v>
      </c>
      <c r="Q34" s="9"/>
    </row>
    <row r="35" spans="1:18" ht="12.75" customHeight="1" thickBot="1" x14ac:dyDescent="0.25">
      <c r="A35" s="123">
        <f t="shared" si="1"/>
        <v>28</v>
      </c>
      <c r="B35" s="123">
        <f t="shared" si="2"/>
        <v>0</v>
      </c>
      <c r="C35" s="123">
        <f t="shared" si="2"/>
        <v>28</v>
      </c>
      <c r="D35" s="123">
        <v>0</v>
      </c>
      <c r="E35" s="123">
        <v>1</v>
      </c>
      <c r="F35" s="123">
        <v>0</v>
      </c>
      <c r="G35" s="123">
        <v>3</v>
      </c>
      <c r="H35" s="123">
        <v>0</v>
      </c>
      <c r="I35" s="123">
        <v>1</v>
      </c>
      <c r="J35" s="123">
        <v>0</v>
      </c>
      <c r="K35" s="123">
        <v>10</v>
      </c>
      <c r="L35" s="123">
        <v>0</v>
      </c>
      <c r="M35" s="123">
        <v>12</v>
      </c>
      <c r="N35" s="123">
        <v>0</v>
      </c>
      <c r="O35" s="123">
        <v>1</v>
      </c>
      <c r="P35" s="7" t="s">
        <v>163</v>
      </c>
      <c r="Q35" s="124"/>
    </row>
    <row r="36" spans="1:18" ht="12.75" customHeight="1" thickBot="1" x14ac:dyDescent="0.25">
      <c r="A36" s="123">
        <f t="shared" si="1"/>
        <v>7</v>
      </c>
      <c r="B36" s="123">
        <f t="shared" si="2"/>
        <v>0</v>
      </c>
      <c r="C36" s="123">
        <f t="shared" si="2"/>
        <v>7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3">
        <v>2</v>
      </c>
      <c r="J36" s="123">
        <v>0</v>
      </c>
      <c r="K36" s="123">
        <v>2</v>
      </c>
      <c r="L36" s="123">
        <v>0</v>
      </c>
      <c r="M36" s="123">
        <v>2</v>
      </c>
      <c r="N36" s="123">
        <v>0</v>
      </c>
      <c r="O36" s="123">
        <v>1</v>
      </c>
      <c r="P36" s="7" t="s">
        <v>162</v>
      </c>
      <c r="Q36" s="124" t="s">
        <v>619</v>
      </c>
    </row>
    <row r="37" spans="1:18" ht="12.75" customHeight="1" thickBot="1" x14ac:dyDescent="0.25">
      <c r="A37" s="123">
        <f t="shared" si="1"/>
        <v>35</v>
      </c>
      <c r="B37" s="123">
        <f t="shared" si="2"/>
        <v>0</v>
      </c>
      <c r="C37" s="123">
        <f t="shared" si="2"/>
        <v>35</v>
      </c>
      <c r="D37" s="123">
        <v>0</v>
      </c>
      <c r="E37" s="123">
        <v>1</v>
      </c>
      <c r="F37" s="123">
        <v>0</v>
      </c>
      <c r="G37" s="123">
        <v>3</v>
      </c>
      <c r="H37" s="123">
        <v>0</v>
      </c>
      <c r="I37" s="123">
        <v>3</v>
      </c>
      <c r="J37" s="123">
        <v>0</v>
      </c>
      <c r="K37" s="123">
        <v>12</v>
      </c>
      <c r="L37" s="123">
        <v>0</v>
      </c>
      <c r="M37" s="123">
        <v>14</v>
      </c>
      <c r="N37" s="123">
        <v>0</v>
      </c>
      <c r="O37" s="123">
        <v>2</v>
      </c>
      <c r="P37" s="7" t="s">
        <v>13</v>
      </c>
      <c r="Q37" s="9"/>
    </row>
    <row r="38" spans="1:18" ht="12.75" customHeight="1" thickBot="1" x14ac:dyDescent="0.25">
      <c r="A38" s="123">
        <f t="shared" si="1"/>
        <v>119</v>
      </c>
      <c r="B38" s="123">
        <f t="shared" si="2"/>
        <v>42</v>
      </c>
      <c r="C38" s="123">
        <f t="shared" si="2"/>
        <v>77</v>
      </c>
      <c r="D38" s="123">
        <v>0</v>
      </c>
      <c r="E38" s="123">
        <v>0</v>
      </c>
      <c r="F38" s="123">
        <v>23</v>
      </c>
      <c r="G38" s="123">
        <v>9</v>
      </c>
      <c r="H38" s="123">
        <v>8</v>
      </c>
      <c r="I38" s="123">
        <v>6</v>
      </c>
      <c r="J38" s="123">
        <v>10</v>
      </c>
      <c r="K38" s="123">
        <v>27</v>
      </c>
      <c r="L38" s="123">
        <v>1</v>
      </c>
      <c r="M38" s="123">
        <v>13</v>
      </c>
      <c r="N38" s="123">
        <v>0</v>
      </c>
      <c r="O38" s="123">
        <v>22</v>
      </c>
      <c r="P38" s="7" t="s">
        <v>163</v>
      </c>
      <c r="Q38" s="124"/>
    </row>
    <row r="39" spans="1:18" ht="12.75" customHeight="1" thickBot="1" x14ac:dyDescent="0.25">
      <c r="A39" s="123">
        <f t="shared" si="1"/>
        <v>42</v>
      </c>
      <c r="B39" s="123">
        <f t="shared" si="2"/>
        <v>12</v>
      </c>
      <c r="C39" s="123">
        <f t="shared" si="2"/>
        <v>30</v>
      </c>
      <c r="D39" s="123">
        <v>0</v>
      </c>
      <c r="E39" s="123">
        <v>0</v>
      </c>
      <c r="F39" s="123">
        <v>0</v>
      </c>
      <c r="G39" s="123">
        <v>0</v>
      </c>
      <c r="H39" s="123">
        <v>1</v>
      </c>
      <c r="I39" s="123">
        <v>0</v>
      </c>
      <c r="J39" s="123">
        <v>7</v>
      </c>
      <c r="K39" s="123">
        <v>10</v>
      </c>
      <c r="L39" s="123">
        <v>3</v>
      </c>
      <c r="M39" s="123">
        <v>14</v>
      </c>
      <c r="N39" s="123">
        <v>1</v>
      </c>
      <c r="O39" s="123">
        <v>6</v>
      </c>
      <c r="P39" s="7" t="s">
        <v>162</v>
      </c>
      <c r="Q39" s="124" t="s">
        <v>335</v>
      </c>
    </row>
    <row r="40" spans="1:18" ht="12.75" customHeight="1" thickBot="1" x14ac:dyDescent="0.25">
      <c r="A40" s="123">
        <f t="shared" si="1"/>
        <v>161</v>
      </c>
      <c r="B40" s="123">
        <f t="shared" si="2"/>
        <v>54</v>
      </c>
      <c r="C40" s="123">
        <f t="shared" si="2"/>
        <v>107</v>
      </c>
      <c r="D40" s="123">
        <v>0</v>
      </c>
      <c r="E40" s="123">
        <v>0</v>
      </c>
      <c r="F40" s="123">
        <v>23</v>
      </c>
      <c r="G40" s="123">
        <v>9</v>
      </c>
      <c r="H40" s="123">
        <v>9</v>
      </c>
      <c r="I40" s="123">
        <v>6</v>
      </c>
      <c r="J40" s="123">
        <v>17</v>
      </c>
      <c r="K40" s="123">
        <v>37</v>
      </c>
      <c r="L40" s="123">
        <v>4</v>
      </c>
      <c r="M40" s="123">
        <v>27</v>
      </c>
      <c r="N40" s="123">
        <v>1</v>
      </c>
      <c r="O40" s="123">
        <v>28</v>
      </c>
      <c r="P40" s="7" t="s">
        <v>13</v>
      </c>
      <c r="Q40" s="9"/>
    </row>
    <row r="41" spans="1:18" ht="12.75" customHeight="1" thickBot="1" x14ac:dyDescent="0.25">
      <c r="A41" s="123">
        <f t="shared" si="1"/>
        <v>139</v>
      </c>
      <c r="B41" s="123">
        <f t="shared" si="2"/>
        <v>51</v>
      </c>
      <c r="C41" s="123">
        <f t="shared" si="2"/>
        <v>88</v>
      </c>
      <c r="D41" s="123">
        <v>0</v>
      </c>
      <c r="E41" s="123">
        <v>0</v>
      </c>
      <c r="F41" s="123">
        <v>32</v>
      </c>
      <c r="G41" s="123">
        <v>24</v>
      </c>
      <c r="H41" s="123">
        <v>5</v>
      </c>
      <c r="I41" s="123">
        <v>6</v>
      </c>
      <c r="J41" s="123">
        <v>12</v>
      </c>
      <c r="K41" s="123">
        <v>42</v>
      </c>
      <c r="L41" s="123">
        <v>2</v>
      </c>
      <c r="M41" s="123">
        <v>12</v>
      </c>
      <c r="N41" s="123">
        <v>0</v>
      </c>
      <c r="O41" s="123">
        <v>4</v>
      </c>
      <c r="P41" s="7" t="s">
        <v>163</v>
      </c>
      <c r="Q41" s="124"/>
    </row>
    <row r="42" spans="1:18" ht="12.75" customHeight="1" thickBot="1" x14ac:dyDescent="0.25">
      <c r="A42" s="123">
        <f t="shared" si="1"/>
        <v>21</v>
      </c>
      <c r="B42" s="123">
        <f t="shared" si="2"/>
        <v>0</v>
      </c>
      <c r="C42" s="123">
        <f t="shared" si="2"/>
        <v>21</v>
      </c>
      <c r="D42" s="123">
        <v>0</v>
      </c>
      <c r="E42" s="123">
        <v>0</v>
      </c>
      <c r="F42" s="123">
        <v>0</v>
      </c>
      <c r="G42" s="123">
        <v>0</v>
      </c>
      <c r="H42" s="123">
        <v>0</v>
      </c>
      <c r="I42" s="123">
        <v>1</v>
      </c>
      <c r="J42" s="123">
        <v>0</v>
      </c>
      <c r="K42" s="123">
        <v>3</v>
      </c>
      <c r="L42" s="123">
        <v>0</v>
      </c>
      <c r="M42" s="123">
        <v>9</v>
      </c>
      <c r="N42" s="123">
        <v>0</v>
      </c>
      <c r="O42" s="123">
        <v>8</v>
      </c>
      <c r="P42" s="7" t="s">
        <v>162</v>
      </c>
      <c r="Q42" s="124" t="s">
        <v>336</v>
      </c>
    </row>
    <row r="43" spans="1:18" ht="12.75" customHeight="1" thickBot="1" x14ac:dyDescent="0.25">
      <c r="A43" s="123">
        <f t="shared" si="1"/>
        <v>160</v>
      </c>
      <c r="B43" s="123">
        <f t="shared" si="2"/>
        <v>51</v>
      </c>
      <c r="C43" s="123">
        <f t="shared" si="2"/>
        <v>109</v>
      </c>
      <c r="D43" s="123">
        <v>0</v>
      </c>
      <c r="E43" s="123">
        <v>0</v>
      </c>
      <c r="F43" s="123">
        <v>32</v>
      </c>
      <c r="G43" s="123">
        <v>24</v>
      </c>
      <c r="H43" s="123">
        <v>5</v>
      </c>
      <c r="I43" s="123">
        <v>7</v>
      </c>
      <c r="J43" s="123">
        <v>12</v>
      </c>
      <c r="K43" s="123">
        <v>45</v>
      </c>
      <c r="L43" s="123">
        <v>2</v>
      </c>
      <c r="M43" s="123">
        <v>21</v>
      </c>
      <c r="N43" s="123">
        <v>0</v>
      </c>
      <c r="O43" s="123">
        <v>12</v>
      </c>
      <c r="P43" s="7" t="s">
        <v>13</v>
      </c>
      <c r="Q43" s="9"/>
    </row>
    <row r="44" spans="1:18" ht="12.75" customHeight="1" thickBot="1" x14ac:dyDescent="0.25">
      <c r="A44" s="123">
        <f t="shared" si="1"/>
        <v>3</v>
      </c>
      <c r="B44" s="123">
        <f t="shared" si="2"/>
        <v>0</v>
      </c>
      <c r="C44" s="123">
        <f t="shared" si="2"/>
        <v>3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3</v>
      </c>
      <c r="L44" s="123">
        <v>0</v>
      </c>
      <c r="M44" s="123">
        <v>0</v>
      </c>
      <c r="N44" s="123">
        <v>0</v>
      </c>
      <c r="O44" s="123">
        <v>0</v>
      </c>
      <c r="P44" s="7" t="s">
        <v>163</v>
      </c>
      <c r="Q44" s="124"/>
    </row>
    <row r="45" spans="1:18" ht="12.75" customHeight="1" thickBot="1" x14ac:dyDescent="0.25">
      <c r="A45" s="123">
        <f t="shared" si="1"/>
        <v>1</v>
      </c>
      <c r="B45" s="123">
        <f t="shared" si="2"/>
        <v>0</v>
      </c>
      <c r="C45" s="123">
        <f t="shared" si="2"/>
        <v>1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1</v>
      </c>
      <c r="L45" s="123">
        <v>0</v>
      </c>
      <c r="M45" s="123">
        <v>0</v>
      </c>
      <c r="N45" s="123">
        <v>0</v>
      </c>
      <c r="O45" s="123">
        <v>0</v>
      </c>
      <c r="P45" s="7" t="s">
        <v>162</v>
      </c>
      <c r="Q45" s="124" t="s">
        <v>531</v>
      </c>
    </row>
    <row r="46" spans="1:18" ht="12.75" customHeight="1" thickBot="1" x14ac:dyDescent="0.25">
      <c r="A46" s="123">
        <f t="shared" si="1"/>
        <v>4</v>
      </c>
      <c r="B46" s="123">
        <f t="shared" si="2"/>
        <v>0</v>
      </c>
      <c r="C46" s="123">
        <f t="shared" si="2"/>
        <v>4</v>
      </c>
      <c r="D46" s="123">
        <v>0</v>
      </c>
      <c r="E46" s="123">
        <v>0</v>
      </c>
      <c r="F46" s="123">
        <v>0</v>
      </c>
      <c r="G46" s="123">
        <v>0</v>
      </c>
      <c r="H46" s="123">
        <v>0</v>
      </c>
      <c r="I46" s="123">
        <v>0</v>
      </c>
      <c r="J46" s="123">
        <v>0</v>
      </c>
      <c r="K46" s="123">
        <v>4</v>
      </c>
      <c r="L46" s="123">
        <v>0</v>
      </c>
      <c r="M46" s="123">
        <v>0</v>
      </c>
      <c r="N46" s="123">
        <v>0</v>
      </c>
      <c r="O46" s="123">
        <v>0</v>
      </c>
      <c r="P46" s="7" t="s">
        <v>13</v>
      </c>
      <c r="Q46" s="9"/>
    </row>
    <row r="47" spans="1:18" ht="13.5" thickBot="1" x14ac:dyDescent="0.25">
      <c r="A47" s="123">
        <f t="shared" si="1"/>
        <v>66</v>
      </c>
      <c r="B47" s="123">
        <f t="shared" si="2"/>
        <v>0</v>
      </c>
      <c r="C47" s="123">
        <f t="shared" si="2"/>
        <v>66</v>
      </c>
      <c r="D47" s="123">
        <v>0</v>
      </c>
      <c r="E47" s="123">
        <v>0</v>
      </c>
      <c r="F47" s="123">
        <v>0</v>
      </c>
      <c r="G47" s="123">
        <v>16</v>
      </c>
      <c r="H47" s="123">
        <v>0</v>
      </c>
      <c r="I47" s="123">
        <v>10</v>
      </c>
      <c r="J47" s="123">
        <v>0</v>
      </c>
      <c r="K47" s="123">
        <v>29</v>
      </c>
      <c r="L47" s="123">
        <v>0</v>
      </c>
      <c r="M47" s="123">
        <v>6</v>
      </c>
      <c r="N47" s="123">
        <v>0</v>
      </c>
      <c r="O47" s="123">
        <v>5</v>
      </c>
      <c r="P47" s="7" t="s">
        <v>163</v>
      </c>
      <c r="Q47" s="124"/>
      <c r="R47" s="1"/>
    </row>
    <row r="48" spans="1:18" ht="13.5" thickBot="1" x14ac:dyDescent="0.25">
      <c r="A48" s="123">
        <f t="shared" si="1"/>
        <v>7</v>
      </c>
      <c r="B48" s="123">
        <f t="shared" si="2"/>
        <v>0</v>
      </c>
      <c r="C48" s="123">
        <f t="shared" si="2"/>
        <v>7</v>
      </c>
      <c r="D48" s="123">
        <v>0</v>
      </c>
      <c r="E48" s="123">
        <v>0</v>
      </c>
      <c r="F48" s="123">
        <v>0</v>
      </c>
      <c r="G48" s="123">
        <v>0</v>
      </c>
      <c r="H48" s="123">
        <v>0</v>
      </c>
      <c r="I48" s="123">
        <v>0</v>
      </c>
      <c r="J48" s="123">
        <v>0</v>
      </c>
      <c r="K48" s="123">
        <v>0</v>
      </c>
      <c r="L48" s="123">
        <v>0</v>
      </c>
      <c r="M48" s="123">
        <v>7</v>
      </c>
      <c r="N48" s="123">
        <v>0</v>
      </c>
      <c r="O48" s="123">
        <v>0</v>
      </c>
      <c r="P48" s="7" t="s">
        <v>162</v>
      </c>
      <c r="Q48" s="124" t="s">
        <v>620</v>
      </c>
      <c r="R48" s="1"/>
    </row>
    <row r="49" spans="1:18" ht="13.5" thickBot="1" x14ac:dyDescent="0.25">
      <c r="A49" s="123">
        <f t="shared" si="1"/>
        <v>73</v>
      </c>
      <c r="B49" s="123">
        <f t="shared" si="2"/>
        <v>0</v>
      </c>
      <c r="C49" s="123">
        <f t="shared" si="2"/>
        <v>73</v>
      </c>
      <c r="D49" s="123">
        <v>0</v>
      </c>
      <c r="E49" s="123">
        <v>0</v>
      </c>
      <c r="F49" s="123">
        <v>0</v>
      </c>
      <c r="G49" s="123">
        <v>16</v>
      </c>
      <c r="H49" s="123">
        <v>0</v>
      </c>
      <c r="I49" s="123">
        <v>10</v>
      </c>
      <c r="J49" s="123">
        <v>0</v>
      </c>
      <c r="K49" s="123">
        <v>29</v>
      </c>
      <c r="L49" s="123">
        <v>0</v>
      </c>
      <c r="M49" s="123">
        <v>13</v>
      </c>
      <c r="N49" s="123">
        <v>0</v>
      </c>
      <c r="O49" s="123">
        <v>5</v>
      </c>
      <c r="P49" s="7" t="s">
        <v>13</v>
      </c>
      <c r="Q49" s="9"/>
      <c r="R49" s="1"/>
    </row>
    <row r="50" spans="1:18" ht="13.5" thickBot="1" x14ac:dyDescent="0.25">
      <c r="A50" s="123">
        <f t="shared" si="1"/>
        <v>74</v>
      </c>
      <c r="B50" s="123">
        <f t="shared" si="2"/>
        <v>0</v>
      </c>
      <c r="C50" s="123">
        <f t="shared" si="2"/>
        <v>74</v>
      </c>
      <c r="D50" s="123">
        <v>0</v>
      </c>
      <c r="E50" s="123">
        <v>0</v>
      </c>
      <c r="F50" s="123">
        <v>0</v>
      </c>
      <c r="G50" s="123">
        <v>6</v>
      </c>
      <c r="H50" s="123">
        <v>0</v>
      </c>
      <c r="I50" s="123">
        <v>16</v>
      </c>
      <c r="J50" s="123">
        <v>0</v>
      </c>
      <c r="K50" s="123">
        <v>41</v>
      </c>
      <c r="L50" s="123">
        <v>0</v>
      </c>
      <c r="M50" s="123">
        <v>7</v>
      </c>
      <c r="N50" s="123">
        <v>0</v>
      </c>
      <c r="O50" s="123">
        <v>4</v>
      </c>
      <c r="P50" s="7" t="s">
        <v>163</v>
      </c>
      <c r="Q50" s="124"/>
      <c r="R50" s="1"/>
    </row>
    <row r="51" spans="1:18" ht="13.5" thickBot="1" x14ac:dyDescent="0.25">
      <c r="A51" s="123">
        <f t="shared" si="1"/>
        <v>2</v>
      </c>
      <c r="B51" s="123">
        <f t="shared" si="2"/>
        <v>0</v>
      </c>
      <c r="C51" s="123">
        <f t="shared" si="2"/>
        <v>2</v>
      </c>
      <c r="D51" s="123">
        <v>0</v>
      </c>
      <c r="E51" s="123">
        <v>0</v>
      </c>
      <c r="F51" s="123">
        <v>0</v>
      </c>
      <c r="G51" s="123">
        <v>0</v>
      </c>
      <c r="H51" s="123">
        <v>0</v>
      </c>
      <c r="I51" s="123">
        <v>0</v>
      </c>
      <c r="J51" s="123">
        <v>0</v>
      </c>
      <c r="K51" s="123">
        <v>0</v>
      </c>
      <c r="L51" s="123">
        <v>0</v>
      </c>
      <c r="M51" s="123">
        <v>1</v>
      </c>
      <c r="N51" s="123">
        <v>0</v>
      </c>
      <c r="O51" s="123">
        <v>1</v>
      </c>
      <c r="P51" s="7" t="s">
        <v>162</v>
      </c>
      <c r="Q51" s="124" t="s">
        <v>621</v>
      </c>
      <c r="R51" s="1"/>
    </row>
    <row r="52" spans="1:18" ht="13.5" thickBot="1" x14ac:dyDescent="0.25">
      <c r="A52" s="123">
        <f t="shared" si="1"/>
        <v>76</v>
      </c>
      <c r="B52" s="123">
        <f t="shared" si="2"/>
        <v>0</v>
      </c>
      <c r="C52" s="123">
        <f t="shared" si="2"/>
        <v>76</v>
      </c>
      <c r="D52" s="123">
        <v>0</v>
      </c>
      <c r="E52" s="123">
        <v>0</v>
      </c>
      <c r="F52" s="123">
        <v>0</v>
      </c>
      <c r="G52" s="123">
        <v>6</v>
      </c>
      <c r="H52" s="123">
        <v>0</v>
      </c>
      <c r="I52" s="123">
        <v>16</v>
      </c>
      <c r="J52" s="123">
        <v>0</v>
      </c>
      <c r="K52" s="123">
        <v>41</v>
      </c>
      <c r="L52" s="123">
        <v>0</v>
      </c>
      <c r="M52" s="123">
        <v>8</v>
      </c>
      <c r="N52" s="123">
        <v>0</v>
      </c>
      <c r="O52" s="123">
        <v>5</v>
      </c>
      <c r="P52" s="7" t="s">
        <v>13</v>
      </c>
      <c r="Q52" s="9"/>
      <c r="R52" s="1"/>
    </row>
    <row r="53" spans="1:18" ht="12.75" customHeight="1" thickBot="1" x14ac:dyDescent="0.25">
      <c r="A53" s="123">
        <f t="shared" si="1"/>
        <v>8</v>
      </c>
      <c r="B53" s="123">
        <f t="shared" si="2"/>
        <v>1</v>
      </c>
      <c r="C53" s="123">
        <f t="shared" si="2"/>
        <v>7</v>
      </c>
      <c r="D53" s="123">
        <v>0</v>
      </c>
      <c r="E53" s="123">
        <v>0</v>
      </c>
      <c r="F53" s="123">
        <v>1</v>
      </c>
      <c r="G53" s="123">
        <v>0</v>
      </c>
      <c r="H53" s="123">
        <v>0</v>
      </c>
      <c r="I53" s="123">
        <v>0</v>
      </c>
      <c r="J53" s="123">
        <v>0</v>
      </c>
      <c r="K53" s="123">
        <v>2</v>
      </c>
      <c r="L53" s="123">
        <v>0</v>
      </c>
      <c r="M53" s="123">
        <v>3</v>
      </c>
      <c r="N53" s="123">
        <v>0</v>
      </c>
      <c r="O53" s="123">
        <v>2</v>
      </c>
      <c r="P53" s="7" t="s">
        <v>163</v>
      </c>
      <c r="Q53" s="124"/>
    </row>
    <row r="54" spans="1:18" ht="12.75" customHeight="1" thickBot="1" x14ac:dyDescent="0.25">
      <c r="A54" s="123">
        <f t="shared" si="1"/>
        <v>10</v>
      </c>
      <c r="B54" s="123">
        <f t="shared" si="2"/>
        <v>4</v>
      </c>
      <c r="C54" s="123">
        <f t="shared" si="2"/>
        <v>6</v>
      </c>
      <c r="D54" s="123">
        <v>3</v>
      </c>
      <c r="E54" s="123">
        <v>0</v>
      </c>
      <c r="F54" s="123">
        <v>0</v>
      </c>
      <c r="G54" s="123">
        <v>1</v>
      </c>
      <c r="H54" s="123">
        <v>0</v>
      </c>
      <c r="I54" s="123">
        <v>1</v>
      </c>
      <c r="J54" s="123">
        <v>1</v>
      </c>
      <c r="K54" s="123">
        <v>1</v>
      </c>
      <c r="L54" s="123">
        <v>0</v>
      </c>
      <c r="M54" s="123">
        <v>1</v>
      </c>
      <c r="N54" s="123">
        <v>0</v>
      </c>
      <c r="O54" s="123">
        <v>2</v>
      </c>
      <c r="P54" s="7" t="s">
        <v>162</v>
      </c>
      <c r="Q54" s="124" t="s">
        <v>264</v>
      </c>
    </row>
    <row r="55" spans="1:18" ht="12.75" customHeight="1" thickBot="1" x14ac:dyDescent="0.25">
      <c r="A55" s="123">
        <f t="shared" si="1"/>
        <v>18</v>
      </c>
      <c r="B55" s="123">
        <f t="shared" si="2"/>
        <v>5</v>
      </c>
      <c r="C55" s="123">
        <f t="shared" si="2"/>
        <v>13</v>
      </c>
      <c r="D55" s="123">
        <v>3</v>
      </c>
      <c r="E55" s="123">
        <v>0</v>
      </c>
      <c r="F55" s="123">
        <v>1</v>
      </c>
      <c r="G55" s="123">
        <v>1</v>
      </c>
      <c r="H55" s="123">
        <v>0</v>
      </c>
      <c r="I55" s="123">
        <v>1</v>
      </c>
      <c r="J55" s="123">
        <v>1</v>
      </c>
      <c r="K55" s="123">
        <v>3</v>
      </c>
      <c r="L55" s="123">
        <v>0</v>
      </c>
      <c r="M55" s="123">
        <v>4</v>
      </c>
      <c r="N55" s="123">
        <v>0</v>
      </c>
      <c r="O55" s="123">
        <v>4</v>
      </c>
      <c r="P55" s="7" t="s">
        <v>13</v>
      </c>
      <c r="Q55" s="9"/>
    </row>
    <row r="56" spans="1:18" ht="12.75" customHeight="1" thickBot="1" x14ac:dyDescent="0.25">
      <c r="A56" s="123">
        <f t="shared" si="1"/>
        <v>17</v>
      </c>
      <c r="B56" s="123">
        <f t="shared" si="2"/>
        <v>16</v>
      </c>
      <c r="C56" s="123">
        <f t="shared" si="2"/>
        <v>1</v>
      </c>
      <c r="D56" s="123">
        <v>0</v>
      </c>
      <c r="E56" s="123">
        <v>0</v>
      </c>
      <c r="F56" s="123">
        <v>16</v>
      </c>
      <c r="G56" s="123">
        <v>1</v>
      </c>
      <c r="H56" s="123">
        <v>0</v>
      </c>
      <c r="I56" s="123">
        <v>0</v>
      </c>
      <c r="J56" s="123">
        <v>0</v>
      </c>
      <c r="K56" s="123">
        <v>0</v>
      </c>
      <c r="L56" s="123">
        <v>0</v>
      </c>
      <c r="M56" s="123">
        <v>0</v>
      </c>
      <c r="N56" s="123">
        <v>0</v>
      </c>
      <c r="O56" s="123">
        <v>0</v>
      </c>
      <c r="P56" s="7" t="s">
        <v>163</v>
      </c>
      <c r="Q56" s="124"/>
    </row>
    <row r="57" spans="1:18" ht="12.75" customHeight="1" thickBot="1" x14ac:dyDescent="0.25">
      <c r="A57" s="123">
        <f t="shared" si="1"/>
        <v>7</v>
      </c>
      <c r="B57" s="123">
        <f t="shared" si="2"/>
        <v>3</v>
      </c>
      <c r="C57" s="123">
        <f t="shared" si="2"/>
        <v>4</v>
      </c>
      <c r="D57" s="123">
        <v>0</v>
      </c>
      <c r="E57" s="123">
        <v>0</v>
      </c>
      <c r="F57" s="123">
        <v>0</v>
      </c>
      <c r="G57" s="123">
        <v>0</v>
      </c>
      <c r="H57" s="123">
        <v>1</v>
      </c>
      <c r="I57" s="123">
        <v>1</v>
      </c>
      <c r="J57" s="123">
        <v>2</v>
      </c>
      <c r="K57" s="123">
        <v>1</v>
      </c>
      <c r="L57" s="123">
        <v>0</v>
      </c>
      <c r="M57" s="123">
        <v>2</v>
      </c>
      <c r="N57" s="123">
        <v>0</v>
      </c>
      <c r="O57" s="123">
        <v>0</v>
      </c>
      <c r="P57" s="7" t="s">
        <v>162</v>
      </c>
      <c r="Q57" s="124" t="s">
        <v>337</v>
      </c>
    </row>
    <row r="58" spans="1:18" ht="12.75" customHeight="1" thickBot="1" x14ac:dyDescent="0.25">
      <c r="A58" s="123">
        <f t="shared" si="1"/>
        <v>24</v>
      </c>
      <c r="B58" s="123">
        <f t="shared" si="2"/>
        <v>19</v>
      </c>
      <c r="C58" s="123">
        <f t="shared" si="2"/>
        <v>5</v>
      </c>
      <c r="D58" s="123">
        <v>0</v>
      </c>
      <c r="E58" s="123">
        <v>0</v>
      </c>
      <c r="F58" s="123">
        <v>16</v>
      </c>
      <c r="G58" s="123">
        <v>1</v>
      </c>
      <c r="H58" s="123">
        <v>1</v>
      </c>
      <c r="I58" s="123">
        <v>1</v>
      </c>
      <c r="J58" s="123">
        <v>2</v>
      </c>
      <c r="K58" s="123">
        <v>1</v>
      </c>
      <c r="L58" s="123">
        <v>0</v>
      </c>
      <c r="M58" s="123">
        <v>2</v>
      </c>
      <c r="N58" s="123">
        <v>0</v>
      </c>
      <c r="O58" s="123">
        <v>0</v>
      </c>
      <c r="P58" s="7" t="s">
        <v>13</v>
      </c>
      <c r="Q58" s="9"/>
    </row>
    <row r="59" spans="1:18" ht="12.75" customHeight="1" thickBot="1" x14ac:dyDescent="0.25">
      <c r="A59" s="123">
        <f t="shared" si="1"/>
        <v>25</v>
      </c>
      <c r="B59" s="123">
        <f t="shared" si="2"/>
        <v>7</v>
      </c>
      <c r="C59" s="123">
        <f t="shared" si="2"/>
        <v>18</v>
      </c>
      <c r="D59" s="123">
        <v>0</v>
      </c>
      <c r="E59" s="123">
        <v>0</v>
      </c>
      <c r="F59" s="123">
        <v>4</v>
      </c>
      <c r="G59" s="123">
        <v>5</v>
      </c>
      <c r="H59" s="123">
        <v>2</v>
      </c>
      <c r="I59" s="123">
        <v>2</v>
      </c>
      <c r="J59" s="123">
        <v>1</v>
      </c>
      <c r="K59" s="123">
        <v>8</v>
      </c>
      <c r="L59" s="123">
        <v>0</v>
      </c>
      <c r="M59" s="123">
        <v>2</v>
      </c>
      <c r="N59" s="123">
        <v>0</v>
      </c>
      <c r="O59" s="123">
        <v>1</v>
      </c>
      <c r="P59" s="7" t="s">
        <v>163</v>
      </c>
      <c r="Q59" s="124"/>
    </row>
    <row r="60" spans="1:18" ht="12.75" customHeight="1" thickBot="1" x14ac:dyDescent="0.25">
      <c r="A60" s="123">
        <f t="shared" si="1"/>
        <v>10</v>
      </c>
      <c r="B60" s="123">
        <f t="shared" si="2"/>
        <v>0</v>
      </c>
      <c r="C60" s="123">
        <f t="shared" si="2"/>
        <v>10</v>
      </c>
      <c r="D60" s="123">
        <v>0</v>
      </c>
      <c r="E60" s="123">
        <v>0</v>
      </c>
      <c r="F60" s="123">
        <v>0</v>
      </c>
      <c r="G60" s="123">
        <v>0</v>
      </c>
      <c r="H60" s="123">
        <v>0</v>
      </c>
      <c r="I60" s="123">
        <v>3</v>
      </c>
      <c r="J60" s="123">
        <v>0</v>
      </c>
      <c r="K60" s="123">
        <v>4</v>
      </c>
      <c r="L60" s="123">
        <v>0</v>
      </c>
      <c r="M60" s="123">
        <v>2</v>
      </c>
      <c r="N60" s="123">
        <v>0</v>
      </c>
      <c r="O60" s="123">
        <v>1</v>
      </c>
      <c r="P60" s="7" t="s">
        <v>162</v>
      </c>
      <c r="Q60" s="124" t="s">
        <v>338</v>
      </c>
    </row>
    <row r="61" spans="1:18" ht="12.75" customHeight="1" thickBot="1" x14ac:dyDescent="0.25">
      <c r="A61" s="123">
        <f t="shared" si="1"/>
        <v>35</v>
      </c>
      <c r="B61" s="123">
        <f t="shared" si="2"/>
        <v>7</v>
      </c>
      <c r="C61" s="123">
        <f t="shared" si="2"/>
        <v>28</v>
      </c>
      <c r="D61" s="123">
        <v>0</v>
      </c>
      <c r="E61" s="123">
        <v>0</v>
      </c>
      <c r="F61" s="123">
        <v>4</v>
      </c>
      <c r="G61" s="123">
        <v>5</v>
      </c>
      <c r="H61" s="123">
        <v>2</v>
      </c>
      <c r="I61" s="123">
        <v>5</v>
      </c>
      <c r="J61" s="123">
        <v>1</v>
      </c>
      <c r="K61" s="123">
        <v>12</v>
      </c>
      <c r="L61" s="123">
        <v>0</v>
      </c>
      <c r="M61" s="123">
        <v>4</v>
      </c>
      <c r="N61" s="123">
        <v>0</v>
      </c>
      <c r="O61" s="123">
        <v>2</v>
      </c>
      <c r="P61" s="7" t="s">
        <v>13</v>
      </c>
      <c r="Q61" s="9"/>
    </row>
    <row r="62" spans="1:18" ht="12.75" customHeight="1" thickBot="1" x14ac:dyDescent="0.25">
      <c r="A62" s="123">
        <f t="shared" si="1"/>
        <v>36</v>
      </c>
      <c r="B62" s="123">
        <f t="shared" si="2"/>
        <v>36</v>
      </c>
      <c r="C62" s="123">
        <f t="shared" si="2"/>
        <v>0</v>
      </c>
      <c r="D62" s="123">
        <v>0</v>
      </c>
      <c r="E62" s="123">
        <v>0</v>
      </c>
      <c r="F62" s="123">
        <v>12</v>
      </c>
      <c r="G62" s="123">
        <v>0</v>
      </c>
      <c r="H62" s="123">
        <v>11</v>
      </c>
      <c r="I62" s="123">
        <v>0</v>
      </c>
      <c r="J62" s="123">
        <v>12</v>
      </c>
      <c r="K62" s="123">
        <v>0</v>
      </c>
      <c r="L62" s="123">
        <v>1</v>
      </c>
      <c r="M62" s="123">
        <v>0</v>
      </c>
      <c r="N62" s="123">
        <v>0</v>
      </c>
      <c r="O62" s="123">
        <v>0</v>
      </c>
      <c r="P62" s="7" t="s">
        <v>163</v>
      </c>
      <c r="Q62" s="124"/>
    </row>
    <row r="63" spans="1:18" ht="12.75" customHeight="1" thickBot="1" x14ac:dyDescent="0.25">
      <c r="A63" s="123">
        <f t="shared" si="1"/>
        <v>15</v>
      </c>
      <c r="B63" s="123">
        <f t="shared" si="2"/>
        <v>14</v>
      </c>
      <c r="C63" s="123">
        <f t="shared" si="2"/>
        <v>1</v>
      </c>
      <c r="D63" s="123">
        <v>0</v>
      </c>
      <c r="E63" s="123">
        <v>0</v>
      </c>
      <c r="F63" s="123">
        <v>0</v>
      </c>
      <c r="G63" s="123">
        <v>0</v>
      </c>
      <c r="H63" s="123">
        <v>0</v>
      </c>
      <c r="I63" s="123">
        <v>0</v>
      </c>
      <c r="J63" s="123">
        <v>7</v>
      </c>
      <c r="K63" s="123">
        <v>0</v>
      </c>
      <c r="L63" s="123">
        <v>2</v>
      </c>
      <c r="M63" s="123">
        <v>0</v>
      </c>
      <c r="N63" s="123">
        <v>5</v>
      </c>
      <c r="O63" s="123">
        <v>1</v>
      </c>
      <c r="P63" s="7" t="s">
        <v>162</v>
      </c>
      <c r="Q63" s="124" t="s">
        <v>339</v>
      </c>
    </row>
    <row r="64" spans="1:18" ht="12.75" customHeight="1" thickBot="1" x14ac:dyDescent="0.25">
      <c r="A64" s="123">
        <f t="shared" si="1"/>
        <v>51</v>
      </c>
      <c r="B64" s="123">
        <f t="shared" si="2"/>
        <v>50</v>
      </c>
      <c r="C64" s="123">
        <f t="shared" si="2"/>
        <v>1</v>
      </c>
      <c r="D64" s="123">
        <v>0</v>
      </c>
      <c r="E64" s="123">
        <v>0</v>
      </c>
      <c r="F64" s="123">
        <v>12</v>
      </c>
      <c r="G64" s="123">
        <v>0</v>
      </c>
      <c r="H64" s="123">
        <v>11</v>
      </c>
      <c r="I64" s="123">
        <v>0</v>
      </c>
      <c r="J64" s="123">
        <v>19</v>
      </c>
      <c r="K64" s="123">
        <v>0</v>
      </c>
      <c r="L64" s="123">
        <v>3</v>
      </c>
      <c r="M64" s="123">
        <v>0</v>
      </c>
      <c r="N64" s="123">
        <v>5</v>
      </c>
      <c r="O64" s="123">
        <v>1</v>
      </c>
      <c r="P64" s="7" t="s">
        <v>13</v>
      </c>
      <c r="Q64" s="9"/>
    </row>
    <row r="65" spans="1:17" ht="12.75" customHeight="1" thickBot="1" x14ac:dyDescent="0.25">
      <c r="A65" s="123">
        <f t="shared" si="1"/>
        <v>36</v>
      </c>
      <c r="B65" s="123">
        <f t="shared" si="2"/>
        <v>32</v>
      </c>
      <c r="C65" s="123">
        <f t="shared" si="2"/>
        <v>4</v>
      </c>
      <c r="D65" s="123">
        <v>2</v>
      </c>
      <c r="E65" s="123">
        <v>0</v>
      </c>
      <c r="F65" s="123">
        <v>5</v>
      </c>
      <c r="G65" s="123">
        <v>4</v>
      </c>
      <c r="H65" s="123">
        <v>18</v>
      </c>
      <c r="I65" s="123">
        <v>0</v>
      </c>
      <c r="J65" s="123">
        <v>5</v>
      </c>
      <c r="K65" s="123">
        <v>0</v>
      </c>
      <c r="L65" s="123">
        <v>2</v>
      </c>
      <c r="M65" s="123">
        <v>0</v>
      </c>
      <c r="N65" s="123">
        <v>0</v>
      </c>
      <c r="O65" s="123">
        <v>0</v>
      </c>
      <c r="P65" s="7" t="s">
        <v>163</v>
      </c>
      <c r="Q65" s="124"/>
    </row>
    <row r="66" spans="1:17" ht="12.75" customHeight="1" thickBot="1" x14ac:dyDescent="0.25">
      <c r="A66" s="123">
        <f t="shared" si="1"/>
        <v>18</v>
      </c>
      <c r="B66" s="123">
        <f t="shared" si="2"/>
        <v>15</v>
      </c>
      <c r="C66" s="123">
        <f t="shared" si="2"/>
        <v>3</v>
      </c>
      <c r="D66" s="123">
        <v>0</v>
      </c>
      <c r="E66" s="123">
        <v>0</v>
      </c>
      <c r="F66" s="123">
        <v>0</v>
      </c>
      <c r="G66" s="123">
        <v>0</v>
      </c>
      <c r="H66" s="123">
        <v>0</v>
      </c>
      <c r="I66" s="123">
        <v>0</v>
      </c>
      <c r="J66" s="123">
        <v>6</v>
      </c>
      <c r="K66" s="123">
        <v>0</v>
      </c>
      <c r="L66" s="123">
        <v>7</v>
      </c>
      <c r="M66" s="123">
        <v>2</v>
      </c>
      <c r="N66" s="123">
        <v>2</v>
      </c>
      <c r="O66" s="123">
        <v>1</v>
      </c>
      <c r="P66" s="7" t="s">
        <v>162</v>
      </c>
      <c r="Q66" s="124" t="s">
        <v>340</v>
      </c>
    </row>
    <row r="67" spans="1:17" ht="12.75" customHeight="1" thickBot="1" x14ac:dyDescent="0.25">
      <c r="A67" s="123">
        <f t="shared" si="1"/>
        <v>54</v>
      </c>
      <c r="B67" s="123">
        <f t="shared" si="2"/>
        <v>47</v>
      </c>
      <c r="C67" s="123">
        <f t="shared" si="2"/>
        <v>7</v>
      </c>
      <c r="D67" s="123">
        <v>2</v>
      </c>
      <c r="E67" s="123">
        <v>0</v>
      </c>
      <c r="F67" s="123">
        <v>5</v>
      </c>
      <c r="G67" s="123">
        <v>4</v>
      </c>
      <c r="H67" s="123">
        <v>18</v>
      </c>
      <c r="I67" s="123">
        <v>0</v>
      </c>
      <c r="J67" s="123">
        <v>11</v>
      </c>
      <c r="K67" s="123">
        <v>0</v>
      </c>
      <c r="L67" s="123">
        <v>9</v>
      </c>
      <c r="M67" s="123">
        <v>2</v>
      </c>
      <c r="N67" s="123">
        <v>2</v>
      </c>
      <c r="O67" s="123">
        <v>1</v>
      </c>
      <c r="P67" s="7" t="s">
        <v>13</v>
      </c>
      <c r="Q67" s="9"/>
    </row>
    <row r="68" spans="1:17" ht="12.75" customHeight="1" thickBot="1" x14ac:dyDescent="0.25">
      <c r="A68" s="123">
        <f t="shared" si="1"/>
        <v>22</v>
      </c>
      <c r="B68" s="123">
        <f t="shared" si="2"/>
        <v>22</v>
      </c>
      <c r="C68" s="123">
        <f t="shared" si="2"/>
        <v>0</v>
      </c>
      <c r="D68" s="123">
        <v>0</v>
      </c>
      <c r="E68" s="123">
        <v>0</v>
      </c>
      <c r="F68" s="123">
        <v>21</v>
      </c>
      <c r="G68" s="123">
        <v>0</v>
      </c>
      <c r="H68" s="123">
        <v>1</v>
      </c>
      <c r="I68" s="123">
        <v>0</v>
      </c>
      <c r="J68" s="123">
        <v>0</v>
      </c>
      <c r="K68" s="123">
        <v>0</v>
      </c>
      <c r="L68" s="123">
        <v>0</v>
      </c>
      <c r="M68" s="123">
        <v>0</v>
      </c>
      <c r="N68" s="123">
        <v>0</v>
      </c>
      <c r="O68" s="123">
        <v>0</v>
      </c>
      <c r="P68" s="7" t="s">
        <v>163</v>
      </c>
      <c r="Q68" s="124"/>
    </row>
    <row r="69" spans="1:17" ht="12.75" customHeight="1" thickBot="1" x14ac:dyDescent="0.25">
      <c r="A69" s="123">
        <f t="shared" si="1"/>
        <v>42</v>
      </c>
      <c r="B69" s="123">
        <f t="shared" si="2"/>
        <v>32</v>
      </c>
      <c r="C69" s="123">
        <f t="shared" si="2"/>
        <v>10</v>
      </c>
      <c r="D69" s="123">
        <v>0</v>
      </c>
      <c r="E69" s="123">
        <v>0</v>
      </c>
      <c r="F69" s="123">
        <v>0</v>
      </c>
      <c r="G69" s="123">
        <v>0</v>
      </c>
      <c r="H69" s="123">
        <v>19</v>
      </c>
      <c r="I69" s="123">
        <v>1</v>
      </c>
      <c r="J69" s="123">
        <v>13</v>
      </c>
      <c r="K69" s="123">
        <v>9</v>
      </c>
      <c r="L69" s="123">
        <v>0</v>
      </c>
      <c r="M69" s="123">
        <v>0</v>
      </c>
      <c r="N69" s="123">
        <v>0</v>
      </c>
      <c r="O69" s="123">
        <v>0</v>
      </c>
      <c r="P69" s="7" t="s">
        <v>162</v>
      </c>
      <c r="Q69" s="124" t="s">
        <v>341</v>
      </c>
    </row>
    <row r="70" spans="1:17" ht="12.75" customHeight="1" thickBot="1" x14ac:dyDescent="0.25">
      <c r="A70" s="123">
        <f t="shared" ref="A70:A85" si="3">C70+B70</f>
        <v>64</v>
      </c>
      <c r="B70" s="123">
        <f t="shared" si="2"/>
        <v>54</v>
      </c>
      <c r="C70" s="123">
        <f t="shared" si="2"/>
        <v>10</v>
      </c>
      <c r="D70" s="123">
        <v>0</v>
      </c>
      <c r="E70" s="123">
        <v>0</v>
      </c>
      <c r="F70" s="123">
        <v>21</v>
      </c>
      <c r="G70" s="123">
        <v>0</v>
      </c>
      <c r="H70" s="123">
        <v>20</v>
      </c>
      <c r="I70" s="123">
        <v>1</v>
      </c>
      <c r="J70" s="123">
        <v>13</v>
      </c>
      <c r="K70" s="123">
        <v>9</v>
      </c>
      <c r="L70" s="123">
        <v>0</v>
      </c>
      <c r="M70" s="123">
        <v>0</v>
      </c>
      <c r="N70" s="123">
        <v>0</v>
      </c>
      <c r="O70" s="123">
        <v>0</v>
      </c>
      <c r="P70" s="7" t="s">
        <v>13</v>
      </c>
      <c r="Q70" s="9"/>
    </row>
    <row r="71" spans="1:17" ht="12.75" customHeight="1" thickBot="1" x14ac:dyDescent="0.25">
      <c r="A71" s="123">
        <f t="shared" si="3"/>
        <v>65</v>
      </c>
      <c r="B71" s="123">
        <f t="shared" si="2"/>
        <v>0</v>
      </c>
      <c r="C71" s="123">
        <f t="shared" si="2"/>
        <v>65</v>
      </c>
      <c r="D71" s="123">
        <v>0</v>
      </c>
      <c r="E71" s="123">
        <v>0</v>
      </c>
      <c r="F71" s="123">
        <v>0</v>
      </c>
      <c r="G71" s="123">
        <v>12</v>
      </c>
      <c r="H71" s="123">
        <v>0</v>
      </c>
      <c r="I71" s="123">
        <v>29</v>
      </c>
      <c r="J71" s="123">
        <v>0</v>
      </c>
      <c r="K71" s="123">
        <v>21</v>
      </c>
      <c r="L71" s="123">
        <v>0</v>
      </c>
      <c r="M71" s="123">
        <v>3</v>
      </c>
      <c r="N71" s="123">
        <v>0</v>
      </c>
      <c r="O71" s="123">
        <v>0</v>
      </c>
      <c r="P71" s="7" t="s">
        <v>163</v>
      </c>
      <c r="Q71" s="124"/>
    </row>
    <row r="72" spans="1:17" ht="12.75" customHeight="1" thickBot="1" x14ac:dyDescent="0.25">
      <c r="A72" s="123">
        <f t="shared" si="3"/>
        <v>76</v>
      </c>
      <c r="B72" s="123">
        <f t="shared" si="2"/>
        <v>0</v>
      </c>
      <c r="C72" s="123">
        <f t="shared" si="2"/>
        <v>76</v>
      </c>
      <c r="D72" s="123">
        <v>0</v>
      </c>
      <c r="E72" s="123">
        <v>3</v>
      </c>
      <c r="F72" s="123">
        <v>0</v>
      </c>
      <c r="G72" s="123">
        <v>5</v>
      </c>
      <c r="H72" s="123">
        <v>0</v>
      </c>
      <c r="I72" s="123">
        <v>13</v>
      </c>
      <c r="J72" s="123">
        <v>0</v>
      </c>
      <c r="K72" s="123">
        <v>55</v>
      </c>
      <c r="L72" s="123">
        <v>0</v>
      </c>
      <c r="M72" s="123">
        <v>0</v>
      </c>
      <c r="N72" s="123">
        <v>0</v>
      </c>
      <c r="O72" s="123">
        <v>0</v>
      </c>
      <c r="P72" s="7" t="s">
        <v>162</v>
      </c>
      <c r="Q72" s="124" t="s">
        <v>239</v>
      </c>
    </row>
    <row r="73" spans="1:17" ht="12.75" customHeight="1" thickBot="1" x14ac:dyDescent="0.25">
      <c r="A73" s="123">
        <f t="shared" si="3"/>
        <v>141</v>
      </c>
      <c r="B73" s="123">
        <f t="shared" si="2"/>
        <v>0</v>
      </c>
      <c r="C73" s="123">
        <f t="shared" si="2"/>
        <v>141</v>
      </c>
      <c r="D73" s="123">
        <v>0</v>
      </c>
      <c r="E73" s="123">
        <v>3</v>
      </c>
      <c r="F73" s="123">
        <v>0</v>
      </c>
      <c r="G73" s="123">
        <v>17</v>
      </c>
      <c r="H73" s="123">
        <v>0</v>
      </c>
      <c r="I73" s="123">
        <v>42</v>
      </c>
      <c r="J73" s="123">
        <v>0</v>
      </c>
      <c r="K73" s="123">
        <v>76</v>
      </c>
      <c r="L73" s="123">
        <v>0</v>
      </c>
      <c r="M73" s="123">
        <v>3</v>
      </c>
      <c r="N73" s="123">
        <v>0</v>
      </c>
      <c r="O73" s="123">
        <v>0</v>
      </c>
      <c r="P73" s="7" t="s">
        <v>13</v>
      </c>
      <c r="Q73" s="9"/>
    </row>
    <row r="74" spans="1:17" ht="12.75" customHeight="1" thickBot="1" x14ac:dyDescent="0.25">
      <c r="A74" s="123">
        <f t="shared" si="3"/>
        <v>16</v>
      </c>
      <c r="B74" s="123">
        <f t="shared" si="2"/>
        <v>16</v>
      </c>
      <c r="C74" s="123">
        <f t="shared" si="2"/>
        <v>0</v>
      </c>
      <c r="D74" s="123">
        <v>8</v>
      </c>
      <c r="E74" s="123">
        <v>0</v>
      </c>
      <c r="F74" s="123">
        <v>6</v>
      </c>
      <c r="G74" s="123">
        <v>0</v>
      </c>
      <c r="H74" s="123">
        <v>2</v>
      </c>
      <c r="I74" s="123">
        <v>0</v>
      </c>
      <c r="J74" s="123">
        <v>0</v>
      </c>
      <c r="K74" s="123">
        <v>0</v>
      </c>
      <c r="L74" s="123">
        <v>0</v>
      </c>
      <c r="M74" s="123">
        <v>0</v>
      </c>
      <c r="N74" s="123">
        <v>0</v>
      </c>
      <c r="O74" s="123">
        <v>0</v>
      </c>
      <c r="P74" s="7" t="s">
        <v>163</v>
      </c>
      <c r="Q74" s="124"/>
    </row>
    <row r="75" spans="1:17" ht="12.75" customHeight="1" thickBot="1" x14ac:dyDescent="0.25">
      <c r="A75" s="123">
        <f t="shared" si="3"/>
        <v>47</v>
      </c>
      <c r="B75" s="123">
        <f t="shared" si="2"/>
        <v>41</v>
      </c>
      <c r="C75" s="123">
        <f t="shared" si="2"/>
        <v>6</v>
      </c>
      <c r="D75" s="123">
        <v>0</v>
      </c>
      <c r="E75" s="123">
        <v>0</v>
      </c>
      <c r="F75" s="123">
        <v>0</v>
      </c>
      <c r="G75" s="123">
        <v>0</v>
      </c>
      <c r="H75" s="123">
        <v>29</v>
      </c>
      <c r="I75" s="123">
        <v>1</v>
      </c>
      <c r="J75" s="123">
        <v>10</v>
      </c>
      <c r="K75" s="123">
        <v>5</v>
      </c>
      <c r="L75" s="123">
        <v>0</v>
      </c>
      <c r="M75" s="123">
        <v>0</v>
      </c>
      <c r="N75" s="123">
        <v>2</v>
      </c>
      <c r="O75" s="123">
        <v>0</v>
      </c>
      <c r="P75" s="7" t="s">
        <v>162</v>
      </c>
      <c r="Q75" s="124" t="s">
        <v>622</v>
      </c>
    </row>
    <row r="76" spans="1:17" ht="12.75" customHeight="1" thickBot="1" x14ac:dyDescent="0.25">
      <c r="A76" s="123">
        <f t="shared" si="3"/>
        <v>63</v>
      </c>
      <c r="B76" s="123">
        <f t="shared" si="2"/>
        <v>57</v>
      </c>
      <c r="C76" s="123">
        <f t="shared" si="2"/>
        <v>6</v>
      </c>
      <c r="D76" s="123">
        <v>8</v>
      </c>
      <c r="E76" s="123">
        <v>0</v>
      </c>
      <c r="F76" s="123">
        <v>6</v>
      </c>
      <c r="G76" s="123">
        <v>0</v>
      </c>
      <c r="H76" s="123">
        <v>31</v>
      </c>
      <c r="I76" s="123">
        <v>1</v>
      </c>
      <c r="J76" s="123">
        <v>10</v>
      </c>
      <c r="K76" s="123">
        <v>5</v>
      </c>
      <c r="L76" s="123">
        <v>0</v>
      </c>
      <c r="M76" s="123">
        <v>0</v>
      </c>
      <c r="N76" s="123">
        <v>2</v>
      </c>
      <c r="O76" s="123">
        <v>0</v>
      </c>
      <c r="P76" s="7" t="s">
        <v>13</v>
      </c>
      <c r="Q76" s="9"/>
    </row>
    <row r="77" spans="1:17" ht="12.75" customHeight="1" thickBot="1" x14ac:dyDescent="0.25">
      <c r="A77" s="123">
        <f t="shared" si="3"/>
        <v>67</v>
      </c>
      <c r="B77" s="123">
        <f t="shared" si="2"/>
        <v>67</v>
      </c>
      <c r="C77" s="123">
        <f t="shared" si="2"/>
        <v>0</v>
      </c>
      <c r="D77" s="123">
        <v>0</v>
      </c>
      <c r="E77" s="123">
        <v>0</v>
      </c>
      <c r="F77" s="123">
        <v>32</v>
      </c>
      <c r="G77" s="123">
        <v>0</v>
      </c>
      <c r="H77" s="123">
        <v>27</v>
      </c>
      <c r="I77" s="123">
        <v>0</v>
      </c>
      <c r="J77" s="123">
        <v>8</v>
      </c>
      <c r="K77" s="123">
        <v>0</v>
      </c>
      <c r="L77" s="123">
        <v>0</v>
      </c>
      <c r="M77" s="123">
        <v>0</v>
      </c>
      <c r="N77" s="123">
        <v>0</v>
      </c>
      <c r="O77" s="123">
        <v>0</v>
      </c>
      <c r="P77" s="7" t="s">
        <v>163</v>
      </c>
      <c r="Q77" s="124"/>
    </row>
    <row r="78" spans="1:17" ht="12.75" customHeight="1" thickBot="1" x14ac:dyDescent="0.25">
      <c r="A78" s="123">
        <f t="shared" si="3"/>
        <v>15</v>
      </c>
      <c r="B78" s="123">
        <f t="shared" si="2"/>
        <v>12</v>
      </c>
      <c r="C78" s="123">
        <f t="shared" si="2"/>
        <v>3</v>
      </c>
      <c r="D78" s="123">
        <v>0</v>
      </c>
      <c r="E78" s="123">
        <v>0</v>
      </c>
      <c r="F78" s="123">
        <v>0</v>
      </c>
      <c r="G78" s="123">
        <v>0</v>
      </c>
      <c r="H78" s="123">
        <v>0</v>
      </c>
      <c r="I78" s="123">
        <v>0</v>
      </c>
      <c r="J78" s="123">
        <v>12</v>
      </c>
      <c r="K78" s="123">
        <v>0</v>
      </c>
      <c r="L78" s="123">
        <v>0</v>
      </c>
      <c r="M78" s="123">
        <v>1</v>
      </c>
      <c r="N78" s="123">
        <v>0</v>
      </c>
      <c r="O78" s="123">
        <v>2</v>
      </c>
      <c r="P78" s="7" t="s">
        <v>162</v>
      </c>
      <c r="Q78" s="124" t="s">
        <v>623</v>
      </c>
    </row>
    <row r="79" spans="1:17" ht="12.75" customHeight="1" thickBot="1" x14ac:dyDescent="0.25">
      <c r="A79" s="123">
        <f t="shared" si="3"/>
        <v>82</v>
      </c>
      <c r="B79" s="123">
        <f t="shared" si="2"/>
        <v>79</v>
      </c>
      <c r="C79" s="123">
        <f t="shared" si="2"/>
        <v>3</v>
      </c>
      <c r="D79" s="123">
        <v>0</v>
      </c>
      <c r="E79" s="123">
        <v>0</v>
      </c>
      <c r="F79" s="123">
        <v>32</v>
      </c>
      <c r="G79" s="123">
        <v>0</v>
      </c>
      <c r="H79" s="123">
        <v>27</v>
      </c>
      <c r="I79" s="123">
        <v>0</v>
      </c>
      <c r="J79" s="123">
        <v>20</v>
      </c>
      <c r="K79" s="123">
        <v>0</v>
      </c>
      <c r="L79" s="123">
        <v>0</v>
      </c>
      <c r="M79" s="123">
        <v>1</v>
      </c>
      <c r="N79" s="123">
        <v>0</v>
      </c>
      <c r="O79" s="123">
        <v>2</v>
      </c>
      <c r="P79" s="7" t="s">
        <v>13</v>
      </c>
      <c r="Q79" s="9"/>
    </row>
    <row r="80" spans="1:17" ht="12.75" customHeight="1" thickBot="1" x14ac:dyDescent="0.25">
      <c r="A80" s="123">
        <f t="shared" si="3"/>
        <v>175</v>
      </c>
      <c r="B80" s="123">
        <f t="shared" si="2"/>
        <v>173</v>
      </c>
      <c r="C80" s="123">
        <f t="shared" si="2"/>
        <v>2</v>
      </c>
      <c r="D80" s="123">
        <v>14</v>
      </c>
      <c r="E80" s="123">
        <v>1</v>
      </c>
      <c r="F80" s="123">
        <v>24</v>
      </c>
      <c r="G80" s="123">
        <v>0</v>
      </c>
      <c r="H80" s="123">
        <v>78</v>
      </c>
      <c r="I80" s="123">
        <v>1</v>
      </c>
      <c r="J80" s="123">
        <v>53</v>
      </c>
      <c r="K80" s="123">
        <v>0</v>
      </c>
      <c r="L80" s="123">
        <v>4</v>
      </c>
      <c r="M80" s="123">
        <v>0</v>
      </c>
      <c r="N80" s="123">
        <v>0</v>
      </c>
      <c r="O80" s="123">
        <v>0</v>
      </c>
      <c r="P80" s="7" t="s">
        <v>163</v>
      </c>
      <c r="Q80" s="124"/>
    </row>
    <row r="81" spans="1:18" ht="12.75" customHeight="1" thickBot="1" x14ac:dyDescent="0.25">
      <c r="A81" s="123">
        <f t="shared" si="3"/>
        <v>12</v>
      </c>
      <c r="B81" s="123">
        <f t="shared" si="2"/>
        <v>3</v>
      </c>
      <c r="C81" s="123">
        <f t="shared" si="2"/>
        <v>9</v>
      </c>
      <c r="D81" s="123">
        <v>0</v>
      </c>
      <c r="E81" s="123">
        <v>0</v>
      </c>
      <c r="F81" s="123">
        <v>0</v>
      </c>
      <c r="G81" s="123">
        <v>0</v>
      </c>
      <c r="H81" s="123">
        <v>0</v>
      </c>
      <c r="I81" s="123">
        <v>0</v>
      </c>
      <c r="J81" s="123">
        <v>2</v>
      </c>
      <c r="K81" s="123">
        <v>1</v>
      </c>
      <c r="L81" s="123">
        <v>1</v>
      </c>
      <c r="M81" s="123">
        <v>2</v>
      </c>
      <c r="N81" s="123">
        <v>0</v>
      </c>
      <c r="O81" s="123">
        <v>6</v>
      </c>
      <c r="P81" s="7" t="s">
        <v>162</v>
      </c>
      <c r="Q81" s="124" t="s">
        <v>345</v>
      </c>
    </row>
    <row r="82" spans="1:18" ht="12.75" customHeight="1" thickBot="1" x14ac:dyDescent="0.25">
      <c r="A82" s="123">
        <f t="shared" si="3"/>
        <v>187</v>
      </c>
      <c r="B82" s="123">
        <f t="shared" si="2"/>
        <v>176</v>
      </c>
      <c r="C82" s="123">
        <f t="shared" si="2"/>
        <v>11</v>
      </c>
      <c r="D82" s="123">
        <v>14</v>
      </c>
      <c r="E82" s="123">
        <v>1</v>
      </c>
      <c r="F82" s="123">
        <v>24</v>
      </c>
      <c r="G82" s="123">
        <v>0</v>
      </c>
      <c r="H82" s="123">
        <v>78</v>
      </c>
      <c r="I82" s="123">
        <v>1</v>
      </c>
      <c r="J82" s="123">
        <v>55</v>
      </c>
      <c r="K82" s="123">
        <v>1</v>
      </c>
      <c r="L82" s="123">
        <v>5</v>
      </c>
      <c r="M82" s="123">
        <v>2</v>
      </c>
      <c r="N82" s="123">
        <v>0</v>
      </c>
      <c r="O82" s="123">
        <v>6</v>
      </c>
      <c r="P82" s="7" t="s">
        <v>13</v>
      </c>
      <c r="Q82" s="9"/>
    </row>
    <row r="83" spans="1:18" ht="12.75" customHeight="1" thickBot="1" x14ac:dyDescent="0.25">
      <c r="A83" s="123">
        <f t="shared" si="3"/>
        <v>175</v>
      </c>
      <c r="B83" s="123">
        <f t="shared" si="2"/>
        <v>173</v>
      </c>
      <c r="C83" s="123">
        <f t="shared" si="2"/>
        <v>2</v>
      </c>
      <c r="D83" s="123">
        <v>14</v>
      </c>
      <c r="E83" s="123">
        <v>1</v>
      </c>
      <c r="F83" s="123">
        <v>24</v>
      </c>
      <c r="G83" s="123">
        <v>0</v>
      </c>
      <c r="H83" s="123">
        <v>78</v>
      </c>
      <c r="I83" s="123">
        <v>1</v>
      </c>
      <c r="J83" s="123">
        <v>53</v>
      </c>
      <c r="K83" s="123">
        <v>0</v>
      </c>
      <c r="L83" s="123">
        <v>4</v>
      </c>
      <c r="M83" s="123">
        <v>0</v>
      </c>
      <c r="N83" s="123">
        <v>0</v>
      </c>
      <c r="O83" s="123">
        <v>0</v>
      </c>
      <c r="P83" s="7" t="s">
        <v>163</v>
      </c>
      <c r="Q83" s="124"/>
    </row>
    <row r="84" spans="1:18" ht="12.75" customHeight="1" thickBot="1" x14ac:dyDescent="0.25">
      <c r="A84" s="123">
        <f t="shared" si="3"/>
        <v>12</v>
      </c>
      <c r="B84" s="123">
        <f t="shared" si="2"/>
        <v>3</v>
      </c>
      <c r="C84" s="123">
        <f t="shared" si="2"/>
        <v>9</v>
      </c>
      <c r="D84" s="123">
        <v>0</v>
      </c>
      <c r="E84" s="123">
        <v>0</v>
      </c>
      <c r="F84" s="123">
        <v>0</v>
      </c>
      <c r="G84" s="123">
        <v>0</v>
      </c>
      <c r="H84" s="123">
        <v>0</v>
      </c>
      <c r="I84" s="123">
        <v>0</v>
      </c>
      <c r="J84" s="123">
        <v>2</v>
      </c>
      <c r="K84" s="123">
        <v>1</v>
      </c>
      <c r="L84" s="123">
        <v>1</v>
      </c>
      <c r="M84" s="123">
        <v>2</v>
      </c>
      <c r="N84" s="123">
        <v>0</v>
      </c>
      <c r="O84" s="123">
        <v>6</v>
      </c>
      <c r="P84" s="7" t="s">
        <v>162</v>
      </c>
      <c r="Q84" s="124" t="s">
        <v>624</v>
      </c>
    </row>
    <row r="85" spans="1:18" ht="12.75" customHeight="1" thickBot="1" x14ac:dyDescent="0.25">
      <c r="A85" s="123">
        <f t="shared" si="3"/>
        <v>187</v>
      </c>
      <c r="B85" s="123">
        <f>N85+L85+J85+H85+F85+D85</f>
        <v>176</v>
      </c>
      <c r="C85" s="123">
        <f>O85+M85+K85+I85+G85+E85</f>
        <v>11</v>
      </c>
      <c r="D85" s="123">
        <v>14</v>
      </c>
      <c r="E85" s="123">
        <v>1</v>
      </c>
      <c r="F85" s="123">
        <v>24</v>
      </c>
      <c r="G85" s="123">
        <v>0</v>
      </c>
      <c r="H85" s="123">
        <v>78</v>
      </c>
      <c r="I85" s="123">
        <v>1</v>
      </c>
      <c r="J85" s="123">
        <v>55</v>
      </c>
      <c r="K85" s="123">
        <v>1</v>
      </c>
      <c r="L85" s="123">
        <v>5</v>
      </c>
      <c r="M85" s="123">
        <v>2</v>
      </c>
      <c r="N85" s="123">
        <v>0</v>
      </c>
      <c r="O85" s="123">
        <v>6</v>
      </c>
      <c r="P85" s="7" t="s">
        <v>13</v>
      </c>
      <c r="Q85" s="9"/>
    </row>
    <row r="86" spans="1:18" ht="12.75" customHeight="1" thickBot="1" x14ac:dyDescent="0.25">
      <c r="A86" s="123">
        <f t="shared" ref="A86:O88" si="4">A5+A8+A11+A14+A17+A20+A23+A26+A29+A32+A35+A38+A41+A44+A47+A50+A53+A56+A59+A62+A65+A68+A71+A74+A77+A80+A83</f>
        <v>2179</v>
      </c>
      <c r="B86" s="123">
        <f t="shared" si="4"/>
        <v>1053</v>
      </c>
      <c r="C86" s="123">
        <f t="shared" si="4"/>
        <v>1126</v>
      </c>
      <c r="D86" s="123">
        <f t="shared" si="4"/>
        <v>38</v>
      </c>
      <c r="E86" s="123">
        <f t="shared" si="4"/>
        <v>7</v>
      </c>
      <c r="F86" s="123">
        <f t="shared" si="4"/>
        <v>376</v>
      </c>
      <c r="G86" s="123">
        <f t="shared" si="4"/>
        <v>249</v>
      </c>
      <c r="H86" s="123">
        <f t="shared" si="4"/>
        <v>348</v>
      </c>
      <c r="I86" s="123">
        <f t="shared" si="4"/>
        <v>206</v>
      </c>
      <c r="J86" s="123">
        <f t="shared" si="4"/>
        <v>258</v>
      </c>
      <c r="K86" s="123">
        <f t="shared" si="4"/>
        <v>424</v>
      </c>
      <c r="L86" s="123">
        <f t="shared" si="4"/>
        <v>29</v>
      </c>
      <c r="M86" s="123">
        <f t="shared" si="4"/>
        <v>152</v>
      </c>
      <c r="N86" s="123">
        <f t="shared" si="4"/>
        <v>4</v>
      </c>
      <c r="O86" s="123">
        <f>O5+O8+O11+O14+O17+O20+O23+O26+O29+O32+O35+O38+O41+O44+O47+O50+O53+O56+O59+O62+O65+O68+O71+O74+O77+O80+O83</f>
        <v>88</v>
      </c>
      <c r="P86" s="7" t="s">
        <v>163</v>
      </c>
      <c r="Q86" s="3"/>
    </row>
    <row r="87" spans="1:18" ht="12.75" customHeight="1" thickBot="1" x14ac:dyDescent="0.25">
      <c r="A87" s="123">
        <f t="shared" si="4"/>
        <v>661</v>
      </c>
      <c r="B87" s="123">
        <f t="shared" si="4"/>
        <v>176</v>
      </c>
      <c r="C87" s="123">
        <f t="shared" si="4"/>
        <v>485</v>
      </c>
      <c r="D87" s="123">
        <f t="shared" si="4"/>
        <v>4</v>
      </c>
      <c r="E87" s="123">
        <f t="shared" si="4"/>
        <v>12</v>
      </c>
      <c r="F87" s="123">
        <f t="shared" si="4"/>
        <v>0</v>
      </c>
      <c r="G87" s="123">
        <f t="shared" si="4"/>
        <v>17</v>
      </c>
      <c r="H87" s="123">
        <f t="shared" si="4"/>
        <v>59</v>
      </c>
      <c r="I87" s="123">
        <f t="shared" si="4"/>
        <v>86</v>
      </c>
      <c r="J87" s="123">
        <f t="shared" si="4"/>
        <v>79</v>
      </c>
      <c r="K87" s="123">
        <f t="shared" si="4"/>
        <v>224</v>
      </c>
      <c r="L87" s="123">
        <f t="shared" si="4"/>
        <v>19</v>
      </c>
      <c r="M87" s="123">
        <f t="shared" si="4"/>
        <v>85</v>
      </c>
      <c r="N87" s="123">
        <f t="shared" si="4"/>
        <v>15</v>
      </c>
      <c r="O87" s="123">
        <f t="shared" si="4"/>
        <v>61</v>
      </c>
      <c r="P87" s="7" t="s">
        <v>162</v>
      </c>
      <c r="Q87" s="11" t="s">
        <v>211</v>
      </c>
    </row>
    <row r="88" spans="1:18" ht="12.75" customHeight="1" thickBot="1" x14ac:dyDescent="0.25">
      <c r="A88" s="123">
        <f t="shared" si="4"/>
        <v>2840</v>
      </c>
      <c r="B88" s="123">
        <f t="shared" si="4"/>
        <v>1229</v>
      </c>
      <c r="C88" s="123">
        <f t="shared" si="4"/>
        <v>1611</v>
      </c>
      <c r="D88" s="123">
        <f t="shared" si="4"/>
        <v>42</v>
      </c>
      <c r="E88" s="123">
        <f t="shared" si="4"/>
        <v>19</v>
      </c>
      <c r="F88" s="123">
        <f t="shared" si="4"/>
        <v>376</v>
      </c>
      <c r="G88" s="123">
        <f t="shared" si="4"/>
        <v>266</v>
      </c>
      <c r="H88" s="123">
        <f t="shared" si="4"/>
        <v>407</v>
      </c>
      <c r="I88" s="123">
        <f t="shared" si="4"/>
        <v>292</v>
      </c>
      <c r="J88" s="123">
        <f t="shared" si="4"/>
        <v>337</v>
      </c>
      <c r="K88" s="123">
        <f t="shared" si="4"/>
        <v>648</v>
      </c>
      <c r="L88" s="123">
        <f t="shared" si="4"/>
        <v>48</v>
      </c>
      <c r="M88" s="123">
        <f t="shared" si="4"/>
        <v>237</v>
      </c>
      <c r="N88" s="123">
        <f t="shared" si="4"/>
        <v>19</v>
      </c>
      <c r="O88" s="123">
        <f t="shared" si="4"/>
        <v>149</v>
      </c>
      <c r="P88" s="7" t="s">
        <v>13</v>
      </c>
      <c r="Q88" s="5"/>
    </row>
    <row r="89" spans="1:18" ht="18" customHeight="1" x14ac:dyDescent="0.2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1"/>
    </row>
    <row r="90" spans="1:18" ht="18" customHeight="1" x14ac:dyDescent="0.2">
      <c r="A90" s="159" t="s">
        <v>616</v>
      </c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"/>
    </row>
    <row r="91" spans="1:18" ht="18" customHeight="1" thickBot="1" x14ac:dyDescent="0.25">
      <c r="A91" s="160" t="s">
        <v>617</v>
      </c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  <c r="N91" s="160"/>
      <c r="O91" s="160"/>
      <c r="P91" s="160"/>
      <c r="Q91" s="160"/>
      <c r="R91" s="1"/>
    </row>
    <row r="92" spans="1:18" ht="13.5" thickBot="1" x14ac:dyDescent="0.25">
      <c r="A92" s="204" t="s">
        <v>5</v>
      </c>
      <c r="B92" s="204"/>
      <c r="C92" s="204"/>
      <c r="D92" s="204" t="s">
        <v>57</v>
      </c>
      <c r="E92" s="204"/>
      <c r="F92" s="204" t="s">
        <v>609</v>
      </c>
      <c r="G92" s="204"/>
      <c r="H92" s="204" t="s">
        <v>610</v>
      </c>
      <c r="I92" s="204"/>
      <c r="J92" s="204" t="s">
        <v>611</v>
      </c>
      <c r="K92" s="204"/>
      <c r="L92" s="204" t="s">
        <v>612</v>
      </c>
      <c r="M92" s="204"/>
      <c r="N92" s="204" t="s">
        <v>613</v>
      </c>
      <c r="O92" s="204"/>
      <c r="P92" s="205" t="s">
        <v>614</v>
      </c>
      <c r="Q92" s="47" t="s">
        <v>161</v>
      </c>
      <c r="R92" s="1"/>
    </row>
    <row r="93" spans="1:18" ht="13.5" thickBot="1" x14ac:dyDescent="0.25">
      <c r="A93" s="47" t="s">
        <v>216</v>
      </c>
      <c r="B93" s="47" t="s">
        <v>11</v>
      </c>
      <c r="C93" s="47" t="s">
        <v>10</v>
      </c>
      <c r="D93" s="47" t="s">
        <v>11</v>
      </c>
      <c r="E93" s="47" t="s">
        <v>10</v>
      </c>
      <c r="F93" s="47" t="s">
        <v>11</v>
      </c>
      <c r="G93" s="47" t="s">
        <v>10</v>
      </c>
      <c r="H93" s="47" t="s">
        <v>11</v>
      </c>
      <c r="I93" s="47" t="s">
        <v>10</v>
      </c>
      <c r="J93" s="47" t="s">
        <v>11</v>
      </c>
      <c r="K93" s="47" t="s">
        <v>10</v>
      </c>
      <c r="L93" s="47" t="s">
        <v>11</v>
      </c>
      <c r="M93" s="47" t="s">
        <v>10</v>
      </c>
      <c r="N93" s="47" t="s">
        <v>11</v>
      </c>
      <c r="O93" s="47" t="s">
        <v>10</v>
      </c>
      <c r="P93" s="206"/>
      <c r="Q93" s="33" t="s">
        <v>164</v>
      </c>
      <c r="R93" s="1"/>
    </row>
    <row r="94" spans="1:18" ht="13.5" thickBot="1" x14ac:dyDescent="0.25">
      <c r="A94" s="123">
        <v>66</v>
      </c>
      <c r="B94" s="123">
        <v>0</v>
      </c>
      <c r="C94" s="123">
        <v>66</v>
      </c>
      <c r="D94" s="123">
        <v>0</v>
      </c>
      <c r="E94" s="123">
        <v>0</v>
      </c>
      <c r="F94" s="123">
        <v>0</v>
      </c>
      <c r="G94" s="123">
        <v>16</v>
      </c>
      <c r="H94" s="123">
        <v>0</v>
      </c>
      <c r="I94" s="123">
        <v>10</v>
      </c>
      <c r="J94" s="123">
        <v>0</v>
      </c>
      <c r="K94" s="123">
        <v>29</v>
      </c>
      <c r="L94" s="123">
        <v>0</v>
      </c>
      <c r="M94" s="123">
        <v>6</v>
      </c>
      <c r="N94" s="123">
        <v>0</v>
      </c>
      <c r="O94" s="123">
        <v>5</v>
      </c>
      <c r="P94" s="7" t="s">
        <v>163</v>
      </c>
      <c r="Q94" s="124"/>
      <c r="R94" s="1"/>
    </row>
    <row r="95" spans="1:18" ht="13.5" thickBot="1" x14ac:dyDescent="0.25">
      <c r="A95" s="123">
        <v>7</v>
      </c>
      <c r="B95" s="123">
        <v>0</v>
      </c>
      <c r="C95" s="123">
        <v>7</v>
      </c>
      <c r="D95" s="123">
        <v>0</v>
      </c>
      <c r="E95" s="123">
        <v>0</v>
      </c>
      <c r="F95" s="123">
        <v>0</v>
      </c>
      <c r="G95" s="123">
        <v>0</v>
      </c>
      <c r="H95" s="123">
        <v>0</v>
      </c>
      <c r="I95" s="123">
        <v>0</v>
      </c>
      <c r="J95" s="123">
        <v>0</v>
      </c>
      <c r="K95" s="123">
        <v>0</v>
      </c>
      <c r="L95" s="123">
        <v>0</v>
      </c>
      <c r="M95" s="123">
        <v>7</v>
      </c>
      <c r="N95" s="123">
        <v>0</v>
      </c>
      <c r="O95" s="123">
        <v>0</v>
      </c>
      <c r="P95" s="7" t="s">
        <v>162</v>
      </c>
      <c r="Q95" s="124" t="s">
        <v>346</v>
      </c>
      <c r="R95" s="1"/>
    </row>
    <row r="96" spans="1:18" ht="13.5" thickBot="1" x14ac:dyDescent="0.25">
      <c r="A96" s="123">
        <v>73</v>
      </c>
      <c r="B96" s="123">
        <v>0</v>
      </c>
      <c r="C96" s="123">
        <v>73</v>
      </c>
      <c r="D96" s="123">
        <v>0</v>
      </c>
      <c r="E96" s="123">
        <v>0</v>
      </c>
      <c r="F96" s="123">
        <v>0</v>
      </c>
      <c r="G96" s="123">
        <v>16</v>
      </c>
      <c r="H96" s="123">
        <v>0</v>
      </c>
      <c r="I96" s="123">
        <v>10</v>
      </c>
      <c r="J96" s="123">
        <v>0</v>
      </c>
      <c r="K96" s="123">
        <v>29</v>
      </c>
      <c r="L96" s="123">
        <v>0</v>
      </c>
      <c r="M96" s="123">
        <v>13</v>
      </c>
      <c r="N96" s="123">
        <v>0</v>
      </c>
      <c r="O96" s="123">
        <v>5</v>
      </c>
      <c r="P96" s="7" t="s">
        <v>13</v>
      </c>
      <c r="Q96" s="9"/>
      <c r="R96" s="1"/>
    </row>
    <row r="97" spans="1:18" ht="13.5" thickBot="1" x14ac:dyDescent="0.25">
      <c r="A97" s="123">
        <v>74</v>
      </c>
      <c r="B97" s="123">
        <v>0</v>
      </c>
      <c r="C97" s="123">
        <v>74</v>
      </c>
      <c r="D97" s="123">
        <v>0</v>
      </c>
      <c r="E97" s="123">
        <v>0</v>
      </c>
      <c r="F97" s="123">
        <v>0</v>
      </c>
      <c r="G97" s="123">
        <v>6</v>
      </c>
      <c r="H97" s="123">
        <v>0</v>
      </c>
      <c r="I97" s="123">
        <v>16</v>
      </c>
      <c r="J97" s="123">
        <v>0</v>
      </c>
      <c r="K97" s="123">
        <v>41</v>
      </c>
      <c r="L97" s="123">
        <v>0</v>
      </c>
      <c r="M97" s="123">
        <v>7</v>
      </c>
      <c r="N97" s="123">
        <v>0</v>
      </c>
      <c r="O97" s="123">
        <v>4</v>
      </c>
      <c r="P97" s="7" t="s">
        <v>163</v>
      </c>
      <c r="Q97" s="124"/>
      <c r="R97" s="1"/>
    </row>
    <row r="98" spans="1:18" ht="13.5" thickBot="1" x14ac:dyDescent="0.25">
      <c r="A98" s="123">
        <v>2</v>
      </c>
      <c r="B98" s="123">
        <v>0</v>
      </c>
      <c r="C98" s="123">
        <v>2</v>
      </c>
      <c r="D98" s="123">
        <v>0</v>
      </c>
      <c r="E98" s="123">
        <v>0</v>
      </c>
      <c r="F98" s="123">
        <v>0</v>
      </c>
      <c r="G98" s="123">
        <v>0</v>
      </c>
      <c r="H98" s="123">
        <v>0</v>
      </c>
      <c r="I98" s="123">
        <v>0</v>
      </c>
      <c r="J98" s="123">
        <v>0</v>
      </c>
      <c r="K98" s="123">
        <v>0</v>
      </c>
      <c r="L98" s="123">
        <v>0</v>
      </c>
      <c r="M98" s="123">
        <v>1</v>
      </c>
      <c r="N98" s="123">
        <v>0</v>
      </c>
      <c r="O98" s="123">
        <v>1</v>
      </c>
      <c r="P98" s="7" t="s">
        <v>162</v>
      </c>
      <c r="Q98" s="124" t="s">
        <v>347</v>
      </c>
      <c r="R98" s="1"/>
    </row>
    <row r="99" spans="1:18" ht="13.5" thickBot="1" x14ac:dyDescent="0.25">
      <c r="A99" s="123">
        <v>76</v>
      </c>
      <c r="B99" s="123">
        <v>0</v>
      </c>
      <c r="C99" s="123">
        <v>76</v>
      </c>
      <c r="D99" s="123">
        <v>0</v>
      </c>
      <c r="E99" s="123">
        <v>0</v>
      </c>
      <c r="F99" s="123">
        <v>0</v>
      </c>
      <c r="G99" s="123">
        <v>6</v>
      </c>
      <c r="H99" s="123">
        <v>0</v>
      </c>
      <c r="I99" s="123">
        <v>16</v>
      </c>
      <c r="J99" s="123">
        <v>0</v>
      </c>
      <c r="K99" s="123">
        <v>41</v>
      </c>
      <c r="L99" s="123">
        <v>0</v>
      </c>
      <c r="M99" s="123">
        <v>8</v>
      </c>
      <c r="N99" s="123">
        <v>0</v>
      </c>
      <c r="O99" s="123">
        <v>5</v>
      </c>
      <c r="P99" s="7" t="s">
        <v>13</v>
      </c>
      <c r="Q99" s="9"/>
      <c r="R99" s="1"/>
    </row>
    <row r="100" spans="1:18" ht="13.5" thickBot="1" x14ac:dyDescent="0.25">
      <c r="A100" s="123">
        <v>131</v>
      </c>
      <c r="B100" s="123">
        <v>0</v>
      </c>
      <c r="C100" s="123">
        <v>131</v>
      </c>
      <c r="D100" s="123">
        <v>0</v>
      </c>
      <c r="E100" s="123">
        <v>0</v>
      </c>
      <c r="F100" s="123">
        <v>0</v>
      </c>
      <c r="G100" s="123">
        <v>25</v>
      </c>
      <c r="H100" s="123">
        <v>0</v>
      </c>
      <c r="I100" s="123">
        <v>32</v>
      </c>
      <c r="J100" s="123">
        <v>0</v>
      </c>
      <c r="K100" s="123">
        <v>37</v>
      </c>
      <c r="L100" s="123">
        <v>0</v>
      </c>
      <c r="M100" s="123">
        <v>17</v>
      </c>
      <c r="N100" s="123">
        <v>0</v>
      </c>
      <c r="O100" s="123">
        <v>20</v>
      </c>
      <c r="P100" s="7" t="s">
        <v>163</v>
      </c>
      <c r="Q100" s="124"/>
      <c r="R100" s="1"/>
    </row>
    <row r="101" spans="1:18" ht="13.5" thickBot="1" x14ac:dyDescent="0.25">
      <c r="A101" s="123">
        <v>4</v>
      </c>
      <c r="B101" s="123">
        <v>0</v>
      </c>
      <c r="C101" s="123">
        <v>4</v>
      </c>
      <c r="D101" s="123">
        <v>0</v>
      </c>
      <c r="E101" s="123">
        <v>0</v>
      </c>
      <c r="F101" s="123">
        <v>0</v>
      </c>
      <c r="G101" s="123">
        <v>0</v>
      </c>
      <c r="H101" s="123">
        <v>0</v>
      </c>
      <c r="I101" s="123">
        <v>0</v>
      </c>
      <c r="J101" s="123">
        <v>0</v>
      </c>
      <c r="K101" s="123">
        <v>0</v>
      </c>
      <c r="L101" s="123">
        <v>0</v>
      </c>
      <c r="M101" s="123">
        <v>3</v>
      </c>
      <c r="N101" s="123">
        <v>0</v>
      </c>
      <c r="O101" s="123">
        <v>1</v>
      </c>
      <c r="P101" s="7" t="s">
        <v>162</v>
      </c>
      <c r="Q101" s="124" t="s">
        <v>348</v>
      </c>
      <c r="R101" s="1"/>
    </row>
    <row r="102" spans="1:18" ht="13.5" thickBot="1" x14ac:dyDescent="0.25">
      <c r="A102" s="123">
        <v>135</v>
      </c>
      <c r="B102" s="123">
        <v>0</v>
      </c>
      <c r="C102" s="123">
        <v>135</v>
      </c>
      <c r="D102" s="123">
        <v>0</v>
      </c>
      <c r="E102" s="123">
        <v>0</v>
      </c>
      <c r="F102" s="123">
        <v>0</v>
      </c>
      <c r="G102" s="123">
        <v>25</v>
      </c>
      <c r="H102" s="123">
        <v>0</v>
      </c>
      <c r="I102" s="123">
        <v>32</v>
      </c>
      <c r="J102" s="123">
        <v>0</v>
      </c>
      <c r="K102" s="123">
        <v>37</v>
      </c>
      <c r="L102" s="123">
        <v>0</v>
      </c>
      <c r="M102" s="123">
        <v>20</v>
      </c>
      <c r="N102" s="123">
        <v>0</v>
      </c>
      <c r="O102" s="123">
        <v>21</v>
      </c>
      <c r="P102" s="7" t="s">
        <v>13</v>
      </c>
      <c r="Q102" s="9"/>
      <c r="R102" s="1"/>
    </row>
    <row r="103" spans="1:18" ht="13.5" thickBot="1" x14ac:dyDescent="0.25">
      <c r="A103" s="123">
        <v>108</v>
      </c>
      <c r="B103" s="123">
        <v>0</v>
      </c>
      <c r="C103" s="123">
        <v>108</v>
      </c>
      <c r="D103" s="123">
        <v>0</v>
      </c>
      <c r="E103" s="123">
        <v>0</v>
      </c>
      <c r="F103" s="123">
        <v>0</v>
      </c>
      <c r="G103" s="123">
        <v>17</v>
      </c>
      <c r="H103" s="123">
        <v>0</v>
      </c>
      <c r="I103" s="123">
        <v>13</v>
      </c>
      <c r="J103" s="123">
        <v>0</v>
      </c>
      <c r="K103" s="123">
        <v>44</v>
      </c>
      <c r="L103" s="123">
        <v>0</v>
      </c>
      <c r="M103" s="123">
        <v>21</v>
      </c>
      <c r="N103" s="123">
        <v>0</v>
      </c>
      <c r="O103" s="123">
        <v>13</v>
      </c>
      <c r="P103" s="7" t="s">
        <v>163</v>
      </c>
      <c r="Q103" s="124"/>
      <c r="R103" s="1"/>
    </row>
    <row r="104" spans="1:18" ht="13.5" thickBot="1" x14ac:dyDescent="0.25">
      <c r="A104" s="123">
        <v>3</v>
      </c>
      <c r="B104" s="123">
        <v>0</v>
      </c>
      <c r="C104" s="123">
        <v>3</v>
      </c>
      <c r="D104" s="123">
        <v>0</v>
      </c>
      <c r="E104" s="123">
        <v>0</v>
      </c>
      <c r="F104" s="123">
        <v>0</v>
      </c>
      <c r="G104" s="123">
        <v>0</v>
      </c>
      <c r="H104" s="123">
        <v>0</v>
      </c>
      <c r="I104" s="123">
        <v>0</v>
      </c>
      <c r="J104" s="123">
        <v>0</v>
      </c>
      <c r="K104" s="123">
        <v>1</v>
      </c>
      <c r="L104" s="123">
        <v>0</v>
      </c>
      <c r="M104" s="123">
        <v>2</v>
      </c>
      <c r="N104" s="123">
        <v>0</v>
      </c>
      <c r="O104" s="123">
        <v>0</v>
      </c>
      <c r="P104" s="7" t="s">
        <v>162</v>
      </c>
      <c r="Q104" s="124" t="s">
        <v>349</v>
      </c>
      <c r="R104" s="1"/>
    </row>
    <row r="105" spans="1:18" ht="13.5" thickBot="1" x14ac:dyDescent="0.25">
      <c r="A105" s="123">
        <v>111</v>
      </c>
      <c r="B105" s="123">
        <v>0</v>
      </c>
      <c r="C105" s="123">
        <v>111</v>
      </c>
      <c r="D105" s="123">
        <v>0</v>
      </c>
      <c r="E105" s="123">
        <v>0</v>
      </c>
      <c r="F105" s="123">
        <v>0</v>
      </c>
      <c r="G105" s="123">
        <v>17</v>
      </c>
      <c r="H105" s="123">
        <v>0</v>
      </c>
      <c r="I105" s="123">
        <v>13</v>
      </c>
      <c r="J105" s="123">
        <v>0</v>
      </c>
      <c r="K105" s="123">
        <v>45</v>
      </c>
      <c r="L105" s="123">
        <v>0</v>
      </c>
      <c r="M105" s="123">
        <v>23</v>
      </c>
      <c r="N105" s="123">
        <v>0</v>
      </c>
      <c r="O105" s="123">
        <v>13</v>
      </c>
      <c r="P105" s="7" t="s">
        <v>13</v>
      </c>
      <c r="Q105" s="9"/>
      <c r="R105" s="1"/>
    </row>
    <row r="106" spans="1:18" ht="13.5" thickBot="1" x14ac:dyDescent="0.25">
      <c r="A106" s="123">
        <v>73</v>
      </c>
      <c r="B106" s="123">
        <v>0</v>
      </c>
      <c r="C106" s="123">
        <v>73</v>
      </c>
      <c r="D106" s="123">
        <v>0</v>
      </c>
      <c r="E106" s="123">
        <v>0</v>
      </c>
      <c r="F106" s="123">
        <v>0</v>
      </c>
      <c r="G106" s="123">
        <v>18</v>
      </c>
      <c r="H106" s="123">
        <v>0</v>
      </c>
      <c r="I106" s="123">
        <v>16</v>
      </c>
      <c r="J106" s="123">
        <v>0</v>
      </c>
      <c r="K106" s="123">
        <v>27</v>
      </c>
      <c r="L106" s="123">
        <v>0</v>
      </c>
      <c r="M106" s="123">
        <v>10</v>
      </c>
      <c r="N106" s="123">
        <v>0</v>
      </c>
      <c r="O106" s="123">
        <v>2</v>
      </c>
      <c r="P106" s="7" t="s">
        <v>163</v>
      </c>
      <c r="Q106" s="124"/>
      <c r="R106" s="1"/>
    </row>
    <row r="107" spans="1:18" ht="13.5" thickBot="1" x14ac:dyDescent="0.25">
      <c r="A107" s="123">
        <v>8</v>
      </c>
      <c r="B107" s="123">
        <v>0</v>
      </c>
      <c r="C107" s="123">
        <v>8</v>
      </c>
      <c r="D107" s="123">
        <v>0</v>
      </c>
      <c r="E107" s="123">
        <v>0</v>
      </c>
      <c r="F107" s="123">
        <v>0</v>
      </c>
      <c r="G107" s="123">
        <v>0</v>
      </c>
      <c r="H107" s="123">
        <v>0</v>
      </c>
      <c r="I107" s="123">
        <v>0</v>
      </c>
      <c r="J107" s="123">
        <v>0</v>
      </c>
      <c r="K107" s="123">
        <v>0</v>
      </c>
      <c r="L107" s="123">
        <v>0</v>
      </c>
      <c r="M107" s="123">
        <v>5</v>
      </c>
      <c r="N107" s="123">
        <v>0</v>
      </c>
      <c r="O107" s="123">
        <v>3</v>
      </c>
      <c r="P107" s="7" t="s">
        <v>162</v>
      </c>
      <c r="Q107" s="124" t="s">
        <v>350</v>
      </c>
      <c r="R107" s="1"/>
    </row>
    <row r="108" spans="1:18" ht="13.5" thickBot="1" x14ac:dyDescent="0.25">
      <c r="A108" s="123">
        <v>81</v>
      </c>
      <c r="B108" s="123">
        <v>0</v>
      </c>
      <c r="C108" s="123">
        <v>81</v>
      </c>
      <c r="D108" s="123">
        <v>0</v>
      </c>
      <c r="E108" s="123">
        <v>0</v>
      </c>
      <c r="F108" s="123">
        <v>0</v>
      </c>
      <c r="G108" s="123">
        <v>18</v>
      </c>
      <c r="H108" s="123">
        <v>0</v>
      </c>
      <c r="I108" s="123">
        <v>16</v>
      </c>
      <c r="J108" s="123">
        <v>0</v>
      </c>
      <c r="K108" s="123">
        <v>27</v>
      </c>
      <c r="L108" s="123">
        <v>0</v>
      </c>
      <c r="M108" s="123">
        <v>15</v>
      </c>
      <c r="N108" s="123">
        <v>0</v>
      </c>
      <c r="O108" s="123">
        <v>5</v>
      </c>
      <c r="P108" s="7" t="s">
        <v>13</v>
      </c>
      <c r="Q108" s="9"/>
      <c r="R108" s="1"/>
    </row>
    <row r="109" spans="1:18" ht="13.5" thickBot="1" x14ac:dyDescent="0.25">
      <c r="A109" s="123">
        <v>11</v>
      </c>
      <c r="B109" s="123">
        <v>0</v>
      </c>
      <c r="C109" s="123">
        <v>11</v>
      </c>
      <c r="D109" s="123">
        <v>0</v>
      </c>
      <c r="E109" s="123">
        <v>0</v>
      </c>
      <c r="F109" s="123">
        <v>0</v>
      </c>
      <c r="G109" s="123">
        <v>8</v>
      </c>
      <c r="H109" s="123">
        <v>0</v>
      </c>
      <c r="I109" s="123">
        <v>2</v>
      </c>
      <c r="J109" s="123">
        <v>0</v>
      </c>
      <c r="K109" s="123">
        <v>1</v>
      </c>
      <c r="L109" s="123">
        <v>0</v>
      </c>
      <c r="M109" s="123">
        <v>0</v>
      </c>
      <c r="N109" s="123">
        <v>0</v>
      </c>
      <c r="O109" s="123">
        <v>0</v>
      </c>
      <c r="P109" s="7" t="s">
        <v>163</v>
      </c>
      <c r="Q109" s="124"/>
      <c r="R109" s="1"/>
    </row>
    <row r="110" spans="1:18" ht="13.5" thickBot="1" x14ac:dyDescent="0.25">
      <c r="A110" s="123">
        <v>3</v>
      </c>
      <c r="B110" s="123">
        <v>0</v>
      </c>
      <c r="C110" s="123">
        <v>3</v>
      </c>
      <c r="D110" s="123">
        <v>0</v>
      </c>
      <c r="E110" s="123">
        <v>0</v>
      </c>
      <c r="F110" s="123">
        <v>0</v>
      </c>
      <c r="G110" s="123">
        <v>0</v>
      </c>
      <c r="H110" s="123">
        <v>0</v>
      </c>
      <c r="I110" s="123">
        <v>0</v>
      </c>
      <c r="J110" s="123">
        <v>0</v>
      </c>
      <c r="K110" s="123">
        <v>2</v>
      </c>
      <c r="L110" s="123">
        <v>0</v>
      </c>
      <c r="M110" s="123">
        <v>0</v>
      </c>
      <c r="N110" s="123">
        <v>0</v>
      </c>
      <c r="O110" s="123">
        <v>1</v>
      </c>
      <c r="P110" s="7" t="s">
        <v>162</v>
      </c>
      <c r="Q110" s="124" t="s">
        <v>238</v>
      </c>
      <c r="R110" s="1"/>
    </row>
    <row r="111" spans="1:18" ht="13.5" thickBot="1" x14ac:dyDescent="0.25">
      <c r="A111" s="123">
        <v>14</v>
      </c>
      <c r="B111" s="123">
        <v>0</v>
      </c>
      <c r="C111" s="123">
        <v>14</v>
      </c>
      <c r="D111" s="123">
        <v>0</v>
      </c>
      <c r="E111" s="123">
        <v>0</v>
      </c>
      <c r="F111" s="123">
        <v>0</v>
      </c>
      <c r="G111" s="123">
        <v>8</v>
      </c>
      <c r="H111" s="123">
        <v>0</v>
      </c>
      <c r="I111" s="123">
        <v>2</v>
      </c>
      <c r="J111" s="123">
        <v>0</v>
      </c>
      <c r="K111" s="123">
        <v>3</v>
      </c>
      <c r="L111" s="123">
        <v>0</v>
      </c>
      <c r="M111" s="123">
        <v>0</v>
      </c>
      <c r="N111" s="123">
        <v>0</v>
      </c>
      <c r="O111" s="123">
        <v>1</v>
      </c>
      <c r="P111" s="7" t="s">
        <v>13</v>
      </c>
      <c r="Q111" s="9"/>
      <c r="R111" s="1"/>
    </row>
    <row r="112" spans="1:18" ht="13.5" thickBot="1" x14ac:dyDescent="0.25">
      <c r="A112" s="123">
        <v>463</v>
      </c>
      <c r="B112" s="123">
        <v>0</v>
      </c>
      <c r="C112" s="123">
        <v>463</v>
      </c>
      <c r="D112" s="123">
        <v>0</v>
      </c>
      <c r="E112" s="123">
        <v>0</v>
      </c>
      <c r="F112" s="123">
        <v>0</v>
      </c>
      <c r="G112" s="123">
        <v>90</v>
      </c>
      <c r="H112" s="123">
        <v>0</v>
      </c>
      <c r="I112" s="123">
        <v>89</v>
      </c>
      <c r="J112" s="123">
        <v>0</v>
      </c>
      <c r="K112" s="123">
        <v>179</v>
      </c>
      <c r="L112" s="123">
        <v>0</v>
      </c>
      <c r="M112" s="123">
        <v>61</v>
      </c>
      <c r="N112" s="123">
        <v>0</v>
      </c>
      <c r="O112" s="123">
        <v>44</v>
      </c>
      <c r="P112" s="7" t="s">
        <v>163</v>
      </c>
      <c r="Q112" s="3"/>
      <c r="R112" s="1"/>
    </row>
    <row r="113" spans="1:18" ht="13.5" thickBot="1" x14ac:dyDescent="0.25">
      <c r="A113" s="123">
        <v>27</v>
      </c>
      <c r="B113" s="123">
        <v>0</v>
      </c>
      <c r="C113" s="123">
        <v>27</v>
      </c>
      <c r="D113" s="123">
        <v>0</v>
      </c>
      <c r="E113" s="123">
        <v>0</v>
      </c>
      <c r="F113" s="123">
        <v>0</v>
      </c>
      <c r="G113" s="123">
        <v>0</v>
      </c>
      <c r="H113" s="123">
        <v>0</v>
      </c>
      <c r="I113" s="123">
        <v>0</v>
      </c>
      <c r="J113" s="123">
        <v>0</v>
      </c>
      <c r="K113" s="123">
        <v>3</v>
      </c>
      <c r="L113" s="123">
        <v>0</v>
      </c>
      <c r="M113" s="123">
        <v>18</v>
      </c>
      <c r="N113" s="123">
        <v>0</v>
      </c>
      <c r="O113" s="123">
        <v>6</v>
      </c>
      <c r="P113" s="7" t="s">
        <v>162</v>
      </c>
      <c r="Q113" s="11" t="s">
        <v>211</v>
      </c>
      <c r="R113" s="1"/>
    </row>
    <row r="114" spans="1:18" ht="13.5" thickBot="1" x14ac:dyDescent="0.25">
      <c r="A114" s="123">
        <v>490</v>
      </c>
      <c r="B114" s="123">
        <v>0</v>
      </c>
      <c r="C114" s="123">
        <v>490</v>
      </c>
      <c r="D114" s="123">
        <v>0</v>
      </c>
      <c r="E114" s="123">
        <v>0</v>
      </c>
      <c r="F114" s="123">
        <v>0</v>
      </c>
      <c r="G114" s="123">
        <v>90</v>
      </c>
      <c r="H114" s="123">
        <v>0</v>
      </c>
      <c r="I114" s="123">
        <v>89</v>
      </c>
      <c r="J114" s="123">
        <v>0</v>
      </c>
      <c r="K114" s="123">
        <v>182</v>
      </c>
      <c r="L114" s="123">
        <v>0</v>
      </c>
      <c r="M114" s="123">
        <v>79</v>
      </c>
      <c r="N114" s="123">
        <v>0</v>
      </c>
      <c r="O114" s="123">
        <v>50</v>
      </c>
      <c r="P114" s="7" t="s">
        <v>13</v>
      </c>
      <c r="Q114" s="5"/>
      <c r="R114" s="1"/>
    </row>
    <row r="115" spans="1:18" ht="18" customHeight="1" x14ac:dyDescent="0.2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1"/>
    </row>
    <row r="116" spans="1:18" ht="18" customHeight="1" x14ac:dyDescent="0.2">
      <c r="A116" s="159" t="s">
        <v>616</v>
      </c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"/>
    </row>
    <row r="117" spans="1:18" ht="18" customHeight="1" thickBot="1" x14ac:dyDescent="0.25">
      <c r="A117" s="160" t="s">
        <v>617</v>
      </c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"/>
    </row>
    <row r="118" spans="1:18" ht="13.5" thickBot="1" x14ac:dyDescent="0.25">
      <c r="A118" s="204" t="s">
        <v>5</v>
      </c>
      <c r="B118" s="204"/>
      <c r="C118" s="204"/>
      <c r="D118" s="204" t="s">
        <v>57</v>
      </c>
      <c r="E118" s="204"/>
      <c r="F118" s="204" t="s">
        <v>609</v>
      </c>
      <c r="G118" s="204"/>
      <c r="H118" s="204" t="s">
        <v>610</v>
      </c>
      <c r="I118" s="204"/>
      <c r="J118" s="204" t="s">
        <v>611</v>
      </c>
      <c r="K118" s="204"/>
      <c r="L118" s="204" t="s">
        <v>612</v>
      </c>
      <c r="M118" s="204"/>
      <c r="N118" s="204" t="s">
        <v>613</v>
      </c>
      <c r="O118" s="204"/>
      <c r="P118" s="205" t="s">
        <v>614</v>
      </c>
      <c r="Q118" s="47" t="s">
        <v>161</v>
      </c>
      <c r="R118" s="1"/>
    </row>
    <row r="119" spans="1:18" ht="13.5" thickBot="1" x14ac:dyDescent="0.25">
      <c r="A119" s="47" t="s">
        <v>216</v>
      </c>
      <c r="B119" s="47" t="s">
        <v>11</v>
      </c>
      <c r="C119" s="47" t="s">
        <v>10</v>
      </c>
      <c r="D119" s="47" t="s">
        <v>11</v>
      </c>
      <c r="E119" s="47" t="s">
        <v>10</v>
      </c>
      <c r="F119" s="47" t="s">
        <v>11</v>
      </c>
      <c r="G119" s="47" t="s">
        <v>10</v>
      </c>
      <c r="H119" s="47" t="s">
        <v>11</v>
      </c>
      <c r="I119" s="47" t="s">
        <v>10</v>
      </c>
      <c r="J119" s="47" t="s">
        <v>11</v>
      </c>
      <c r="K119" s="47" t="s">
        <v>10</v>
      </c>
      <c r="L119" s="47" t="s">
        <v>11</v>
      </c>
      <c r="M119" s="47" t="s">
        <v>10</v>
      </c>
      <c r="N119" s="47" t="s">
        <v>11</v>
      </c>
      <c r="O119" s="47" t="s">
        <v>10</v>
      </c>
      <c r="P119" s="206"/>
      <c r="Q119" s="33" t="s">
        <v>76</v>
      </c>
      <c r="R119" s="1"/>
    </row>
    <row r="120" spans="1:18" ht="13.5" thickBot="1" x14ac:dyDescent="0.25">
      <c r="A120" s="123">
        <v>103</v>
      </c>
      <c r="B120" s="123">
        <v>1</v>
      </c>
      <c r="C120" s="123">
        <v>102</v>
      </c>
      <c r="D120" s="123">
        <v>0</v>
      </c>
      <c r="E120" s="123">
        <v>0</v>
      </c>
      <c r="F120" s="123">
        <v>1</v>
      </c>
      <c r="G120" s="123">
        <v>40</v>
      </c>
      <c r="H120" s="123">
        <v>0</v>
      </c>
      <c r="I120" s="123">
        <v>25</v>
      </c>
      <c r="J120" s="123">
        <v>0</v>
      </c>
      <c r="K120" s="123">
        <v>31</v>
      </c>
      <c r="L120" s="123">
        <v>0</v>
      </c>
      <c r="M120" s="123">
        <v>2</v>
      </c>
      <c r="N120" s="123">
        <v>0</v>
      </c>
      <c r="O120" s="123">
        <v>4</v>
      </c>
      <c r="P120" s="7" t="s">
        <v>163</v>
      </c>
      <c r="Q120" s="124"/>
      <c r="R120" s="1"/>
    </row>
    <row r="121" spans="1:18" ht="13.5" thickBot="1" x14ac:dyDescent="0.25">
      <c r="A121" s="123">
        <v>39</v>
      </c>
      <c r="B121" s="123">
        <v>0</v>
      </c>
      <c r="C121" s="123">
        <v>39</v>
      </c>
      <c r="D121" s="123">
        <v>0</v>
      </c>
      <c r="E121" s="123">
        <v>0</v>
      </c>
      <c r="F121" s="123">
        <v>0</v>
      </c>
      <c r="G121" s="123">
        <v>0</v>
      </c>
      <c r="H121" s="123">
        <v>0</v>
      </c>
      <c r="I121" s="123">
        <v>0</v>
      </c>
      <c r="J121" s="123">
        <v>0</v>
      </c>
      <c r="K121" s="123">
        <v>26</v>
      </c>
      <c r="L121" s="123">
        <v>0</v>
      </c>
      <c r="M121" s="123">
        <v>10</v>
      </c>
      <c r="N121" s="123">
        <v>0</v>
      </c>
      <c r="O121" s="123">
        <v>3</v>
      </c>
      <c r="P121" s="7" t="s">
        <v>162</v>
      </c>
      <c r="Q121" s="124" t="s">
        <v>351</v>
      </c>
      <c r="R121" s="1"/>
    </row>
    <row r="122" spans="1:18" ht="13.5" thickBot="1" x14ac:dyDescent="0.25">
      <c r="A122" s="123">
        <v>142</v>
      </c>
      <c r="B122" s="123">
        <v>1</v>
      </c>
      <c r="C122" s="123">
        <v>141</v>
      </c>
      <c r="D122" s="123">
        <v>0</v>
      </c>
      <c r="E122" s="123">
        <v>0</v>
      </c>
      <c r="F122" s="123">
        <v>1</v>
      </c>
      <c r="G122" s="123">
        <v>40</v>
      </c>
      <c r="H122" s="123">
        <v>0</v>
      </c>
      <c r="I122" s="123">
        <v>25</v>
      </c>
      <c r="J122" s="123">
        <v>0</v>
      </c>
      <c r="K122" s="123">
        <v>57</v>
      </c>
      <c r="L122" s="123">
        <v>0</v>
      </c>
      <c r="M122" s="123">
        <v>12</v>
      </c>
      <c r="N122" s="123">
        <v>0</v>
      </c>
      <c r="O122" s="123">
        <v>7</v>
      </c>
      <c r="P122" s="7" t="s">
        <v>13</v>
      </c>
      <c r="Q122" s="9"/>
      <c r="R122" s="1"/>
    </row>
    <row r="123" spans="1:18" ht="13.5" thickBot="1" x14ac:dyDescent="0.25">
      <c r="A123" s="123">
        <v>143</v>
      </c>
      <c r="B123" s="123">
        <v>56</v>
      </c>
      <c r="C123" s="123">
        <v>87</v>
      </c>
      <c r="D123" s="123">
        <v>0</v>
      </c>
      <c r="E123" s="123">
        <v>0</v>
      </c>
      <c r="F123" s="123">
        <v>23</v>
      </c>
      <c r="G123" s="123">
        <v>22</v>
      </c>
      <c r="H123" s="123">
        <v>21</v>
      </c>
      <c r="I123" s="123">
        <v>12</v>
      </c>
      <c r="J123" s="123">
        <v>11</v>
      </c>
      <c r="K123" s="123">
        <v>28</v>
      </c>
      <c r="L123" s="123">
        <v>1</v>
      </c>
      <c r="M123" s="123">
        <v>18</v>
      </c>
      <c r="N123" s="123">
        <v>0</v>
      </c>
      <c r="O123" s="123">
        <v>7</v>
      </c>
      <c r="P123" s="7" t="s">
        <v>163</v>
      </c>
      <c r="Q123" s="124"/>
      <c r="R123" s="1"/>
    </row>
    <row r="124" spans="1:18" ht="13.5" thickBot="1" x14ac:dyDescent="0.25">
      <c r="A124" s="123">
        <v>2</v>
      </c>
      <c r="B124" s="123">
        <v>0</v>
      </c>
      <c r="C124" s="123">
        <v>2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0</v>
      </c>
      <c r="J124" s="123">
        <v>0</v>
      </c>
      <c r="K124" s="123">
        <v>1</v>
      </c>
      <c r="L124" s="123">
        <v>0</v>
      </c>
      <c r="M124" s="123">
        <v>1</v>
      </c>
      <c r="N124" s="123">
        <v>0</v>
      </c>
      <c r="O124" s="123">
        <v>0</v>
      </c>
      <c r="P124" s="7" t="s">
        <v>162</v>
      </c>
      <c r="Q124" s="124" t="s">
        <v>352</v>
      </c>
      <c r="R124" s="1"/>
    </row>
    <row r="125" spans="1:18" ht="13.5" thickBot="1" x14ac:dyDescent="0.25">
      <c r="A125" s="123">
        <v>145</v>
      </c>
      <c r="B125" s="123">
        <v>56</v>
      </c>
      <c r="C125" s="123">
        <v>89</v>
      </c>
      <c r="D125" s="123">
        <v>0</v>
      </c>
      <c r="E125" s="123">
        <v>0</v>
      </c>
      <c r="F125" s="123">
        <v>23</v>
      </c>
      <c r="G125" s="123">
        <v>22</v>
      </c>
      <c r="H125" s="123">
        <v>21</v>
      </c>
      <c r="I125" s="123">
        <v>12</v>
      </c>
      <c r="J125" s="123">
        <v>11</v>
      </c>
      <c r="K125" s="123">
        <v>29</v>
      </c>
      <c r="L125" s="123">
        <v>1</v>
      </c>
      <c r="M125" s="123">
        <v>19</v>
      </c>
      <c r="N125" s="123">
        <v>0</v>
      </c>
      <c r="O125" s="123">
        <v>7</v>
      </c>
      <c r="P125" s="7" t="s">
        <v>13</v>
      </c>
      <c r="Q125" s="9"/>
      <c r="R125" s="1"/>
    </row>
    <row r="126" spans="1:18" ht="13.5" thickBot="1" x14ac:dyDescent="0.25">
      <c r="A126" s="123">
        <v>250</v>
      </c>
      <c r="B126" s="123">
        <v>57</v>
      </c>
      <c r="C126" s="123">
        <v>193</v>
      </c>
      <c r="D126" s="123">
        <v>0</v>
      </c>
      <c r="E126" s="123">
        <v>3</v>
      </c>
      <c r="F126" s="123">
        <v>29</v>
      </c>
      <c r="G126" s="123">
        <v>37</v>
      </c>
      <c r="H126" s="123">
        <v>15</v>
      </c>
      <c r="I126" s="123">
        <v>42</v>
      </c>
      <c r="J126" s="123">
        <v>13</v>
      </c>
      <c r="K126" s="123">
        <v>64</v>
      </c>
      <c r="L126" s="123">
        <v>0</v>
      </c>
      <c r="M126" s="123">
        <v>28</v>
      </c>
      <c r="N126" s="123">
        <v>0</v>
      </c>
      <c r="O126" s="123">
        <v>19</v>
      </c>
      <c r="P126" s="7" t="s">
        <v>163</v>
      </c>
      <c r="Q126" s="124"/>
      <c r="R126" s="1"/>
    </row>
    <row r="127" spans="1:18" ht="13.5" thickBot="1" x14ac:dyDescent="0.25">
      <c r="A127" s="123">
        <v>26</v>
      </c>
      <c r="B127" s="123">
        <v>0</v>
      </c>
      <c r="C127" s="123">
        <v>26</v>
      </c>
      <c r="D127" s="123">
        <v>0</v>
      </c>
      <c r="E127" s="123">
        <v>5</v>
      </c>
      <c r="F127" s="123">
        <v>0</v>
      </c>
      <c r="G127" s="123">
        <v>0</v>
      </c>
      <c r="H127" s="123">
        <v>0</v>
      </c>
      <c r="I127" s="123">
        <v>0</v>
      </c>
      <c r="J127" s="123">
        <v>0</v>
      </c>
      <c r="K127" s="123">
        <v>9</v>
      </c>
      <c r="L127" s="123">
        <v>0</v>
      </c>
      <c r="M127" s="123">
        <v>7</v>
      </c>
      <c r="N127" s="123">
        <v>0</v>
      </c>
      <c r="O127" s="123">
        <v>5</v>
      </c>
      <c r="P127" s="7" t="s">
        <v>162</v>
      </c>
      <c r="Q127" s="124" t="s">
        <v>353</v>
      </c>
      <c r="R127" s="1"/>
    </row>
    <row r="128" spans="1:18" ht="13.5" thickBot="1" x14ac:dyDescent="0.25">
      <c r="A128" s="123">
        <v>276</v>
      </c>
      <c r="B128" s="123">
        <v>57</v>
      </c>
      <c r="C128" s="123">
        <v>219</v>
      </c>
      <c r="D128" s="123">
        <v>0</v>
      </c>
      <c r="E128" s="123">
        <v>8</v>
      </c>
      <c r="F128" s="123">
        <v>29</v>
      </c>
      <c r="G128" s="123">
        <v>37</v>
      </c>
      <c r="H128" s="123">
        <v>15</v>
      </c>
      <c r="I128" s="123">
        <v>42</v>
      </c>
      <c r="J128" s="123">
        <v>13</v>
      </c>
      <c r="K128" s="123">
        <v>73</v>
      </c>
      <c r="L128" s="123">
        <v>0</v>
      </c>
      <c r="M128" s="123">
        <v>35</v>
      </c>
      <c r="N128" s="123">
        <v>0</v>
      </c>
      <c r="O128" s="123">
        <v>24</v>
      </c>
      <c r="P128" s="7" t="s">
        <v>13</v>
      </c>
      <c r="Q128" s="9"/>
      <c r="R128" s="1"/>
    </row>
    <row r="129" spans="1:18" ht="13.5" thickBot="1" x14ac:dyDescent="0.25">
      <c r="A129" s="123">
        <v>54</v>
      </c>
      <c r="B129" s="123">
        <v>0</v>
      </c>
      <c r="C129" s="123">
        <v>54</v>
      </c>
      <c r="D129" s="123">
        <v>0</v>
      </c>
      <c r="E129" s="123">
        <v>0</v>
      </c>
      <c r="F129" s="123">
        <v>0</v>
      </c>
      <c r="G129" s="123">
        <v>3</v>
      </c>
      <c r="H129" s="123">
        <v>0</v>
      </c>
      <c r="I129" s="123">
        <v>10</v>
      </c>
      <c r="J129" s="123">
        <v>0</v>
      </c>
      <c r="K129" s="123">
        <v>26</v>
      </c>
      <c r="L129" s="123">
        <v>0</v>
      </c>
      <c r="M129" s="123">
        <v>12</v>
      </c>
      <c r="N129" s="123">
        <v>0</v>
      </c>
      <c r="O129" s="123">
        <v>3</v>
      </c>
      <c r="P129" s="7" t="s">
        <v>163</v>
      </c>
      <c r="Q129" s="124"/>
      <c r="R129" s="1"/>
    </row>
    <row r="130" spans="1:18" ht="13.5" thickBot="1" x14ac:dyDescent="0.25">
      <c r="A130" s="123">
        <v>11</v>
      </c>
      <c r="B130" s="123">
        <v>0</v>
      </c>
      <c r="C130" s="123">
        <v>11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8</v>
      </c>
      <c r="N130" s="123">
        <v>0</v>
      </c>
      <c r="O130" s="123">
        <v>3</v>
      </c>
      <c r="P130" s="7" t="s">
        <v>162</v>
      </c>
      <c r="Q130" s="124" t="s">
        <v>534</v>
      </c>
      <c r="R130" s="1"/>
    </row>
    <row r="131" spans="1:18" ht="13.5" thickBot="1" x14ac:dyDescent="0.25">
      <c r="A131" s="123">
        <v>65</v>
      </c>
      <c r="B131" s="123">
        <v>0</v>
      </c>
      <c r="C131" s="123">
        <v>65</v>
      </c>
      <c r="D131" s="123">
        <v>0</v>
      </c>
      <c r="E131" s="123">
        <v>0</v>
      </c>
      <c r="F131" s="123">
        <v>0</v>
      </c>
      <c r="G131" s="123">
        <v>3</v>
      </c>
      <c r="H131" s="123">
        <v>0</v>
      </c>
      <c r="I131" s="123">
        <v>10</v>
      </c>
      <c r="J131" s="123">
        <v>0</v>
      </c>
      <c r="K131" s="123">
        <v>26</v>
      </c>
      <c r="L131" s="123">
        <v>0</v>
      </c>
      <c r="M131" s="123">
        <v>20</v>
      </c>
      <c r="N131" s="123">
        <v>0</v>
      </c>
      <c r="O131" s="123">
        <v>6</v>
      </c>
      <c r="P131" s="7" t="s">
        <v>13</v>
      </c>
      <c r="Q131" s="9"/>
      <c r="R131" s="1"/>
    </row>
    <row r="132" spans="1:18" ht="13.5" thickBot="1" x14ac:dyDescent="0.25">
      <c r="A132" s="123">
        <v>88</v>
      </c>
      <c r="B132" s="123">
        <v>54</v>
      </c>
      <c r="C132" s="123">
        <v>34</v>
      </c>
      <c r="D132" s="123">
        <v>10</v>
      </c>
      <c r="E132" s="123">
        <v>1</v>
      </c>
      <c r="F132" s="123">
        <v>37</v>
      </c>
      <c r="G132" s="123">
        <v>11</v>
      </c>
      <c r="H132" s="123">
        <v>7</v>
      </c>
      <c r="I132" s="123">
        <v>4</v>
      </c>
      <c r="J132" s="123">
        <v>0</v>
      </c>
      <c r="K132" s="123">
        <v>13</v>
      </c>
      <c r="L132" s="123">
        <v>0</v>
      </c>
      <c r="M132" s="123">
        <v>5</v>
      </c>
      <c r="N132" s="123">
        <v>0</v>
      </c>
      <c r="O132" s="123">
        <v>0</v>
      </c>
      <c r="P132" s="7" t="s">
        <v>163</v>
      </c>
      <c r="Q132" s="124"/>
      <c r="R132" s="1"/>
    </row>
    <row r="133" spans="1:18" ht="13.5" thickBot="1" x14ac:dyDescent="0.25">
      <c r="A133" s="123">
        <v>44</v>
      </c>
      <c r="B133" s="123">
        <v>14</v>
      </c>
      <c r="C133" s="123">
        <v>30</v>
      </c>
      <c r="D133" s="123">
        <v>1</v>
      </c>
      <c r="E133" s="123">
        <v>10</v>
      </c>
      <c r="F133" s="123">
        <v>0</v>
      </c>
      <c r="G133" s="123">
        <v>0</v>
      </c>
      <c r="H133" s="123">
        <v>3</v>
      </c>
      <c r="I133" s="123">
        <v>3</v>
      </c>
      <c r="J133" s="123">
        <v>8</v>
      </c>
      <c r="K133" s="123">
        <v>14</v>
      </c>
      <c r="L133" s="123">
        <v>2</v>
      </c>
      <c r="M133" s="123">
        <v>0</v>
      </c>
      <c r="N133" s="123">
        <v>0</v>
      </c>
      <c r="O133" s="123">
        <v>3</v>
      </c>
      <c r="P133" s="7" t="s">
        <v>162</v>
      </c>
      <c r="Q133" s="124" t="s">
        <v>354</v>
      </c>
      <c r="R133" s="1"/>
    </row>
    <row r="134" spans="1:18" ht="13.5" thickBot="1" x14ac:dyDescent="0.25">
      <c r="A134" s="123">
        <v>132</v>
      </c>
      <c r="B134" s="123">
        <v>68</v>
      </c>
      <c r="C134" s="123">
        <v>64</v>
      </c>
      <c r="D134" s="123">
        <v>11</v>
      </c>
      <c r="E134" s="123">
        <v>11</v>
      </c>
      <c r="F134" s="123">
        <v>37</v>
      </c>
      <c r="G134" s="123">
        <v>11</v>
      </c>
      <c r="H134" s="123">
        <v>10</v>
      </c>
      <c r="I134" s="123">
        <v>7</v>
      </c>
      <c r="J134" s="123">
        <v>8</v>
      </c>
      <c r="K134" s="123">
        <v>27</v>
      </c>
      <c r="L134" s="123">
        <v>2</v>
      </c>
      <c r="M134" s="123">
        <v>5</v>
      </c>
      <c r="N134" s="123">
        <v>0</v>
      </c>
      <c r="O134" s="123">
        <v>3</v>
      </c>
      <c r="P134" s="7" t="s">
        <v>13</v>
      </c>
      <c r="Q134" s="9"/>
      <c r="R134" s="1"/>
    </row>
    <row r="135" spans="1:18" ht="13.5" thickBot="1" x14ac:dyDescent="0.25">
      <c r="A135" s="123">
        <v>75</v>
      </c>
      <c r="B135" s="123">
        <v>49</v>
      </c>
      <c r="C135" s="123">
        <v>26</v>
      </c>
      <c r="D135" s="123">
        <v>0</v>
      </c>
      <c r="E135" s="123">
        <v>0</v>
      </c>
      <c r="F135" s="123">
        <v>34</v>
      </c>
      <c r="G135" s="123">
        <v>7</v>
      </c>
      <c r="H135" s="123">
        <v>14</v>
      </c>
      <c r="I135" s="123">
        <v>2</v>
      </c>
      <c r="J135" s="123">
        <v>1</v>
      </c>
      <c r="K135" s="123">
        <v>6</v>
      </c>
      <c r="L135" s="123">
        <v>0</v>
      </c>
      <c r="M135" s="123">
        <v>8</v>
      </c>
      <c r="N135" s="123">
        <v>0</v>
      </c>
      <c r="O135" s="123">
        <v>3</v>
      </c>
      <c r="P135" s="7" t="s">
        <v>163</v>
      </c>
      <c r="Q135" s="124"/>
      <c r="R135" s="1"/>
    </row>
    <row r="136" spans="1:18" ht="13.5" thickBot="1" x14ac:dyDescent="0.25">
      <c r="A136" s="123">
        <v>53</v>
      </c>
      <c r="B136" s="123">
        <v>22</v>
      </c>
      <c r="C136" s="123">
        <v>31</v>
      </c>
      <c r="D136" s="123">
        <v>0</v>
      </c>
      <c r="E136" s="123">
        <v>0</v>
      </c>
      <c r="F136" s="123">
        <v>0</v>
      </c>
      <c r="G136" s="123">
        <v>1</v>
      </c>
      <c r="H136" s="123">
        <v>16</v>
      </c>
      <c r="I136" s="123">
        <v>7</v>
      </c>
      <c r="J136" s="123">
        <v>5</v>
      </c>
      <c r="K136" s="123">
        <v>17</v>
      </c>
      <c r="L136" s="123">
        <v>1</v>
      </c>
      <c r="M136" s="123">
        <v>4</v>
      </c>
      <c r="N136" s="123">
        <v>0</v>
      </c>
      <c r="O136" s="123">
        <v>2</v>
      </c>
      <c r="P136" s="7" t="s">
        <v>162</v>
      </c>
      <c r="Q136" s="124" t="s">
        <v>355</v>
      </c>
      <c r="R136" s="1"/>
    </row>
    <row r="137" spans="1:18" ht="13.5" thickBot="1" x14ac:dyDescent="0.25">
      <c r="A137" s="123">
        <v>128</v>
      </c>
      <c r="B137" s="123">
        <v>71</v>
      </c>
      <c r="C137" s="123">
        <v>57</v>
      </c>
      <c r="D137" s="123">
        <v>0</v>
      </c>
      <c r="E137" s="123">
        <v>0</v>
      </c>
      <c r="F137" s="123">
        <v>34</v>
      </c>
      <c r="G137" s="123">
        <v>8</v>
      </c>
      <c r="H137" s="123">
        <v>30</v>
      </c>
      <c r="I137" s="123">
        <v>9</v>
      </c>
      <c r="J137" s="123">
        <v>6</v>
      </c>
      <c r="K137" s="123">
        <v>23</v>
      </c>
      <c r="L137" s="123">
        <v>1</v>
      </c>
      <c r="M137" s="123">
        <v>12</v>
      </c>
      <c r="N137" s="123">
        <v>0</v>
      </c>
      <c r="O137" s="123">
        <v>5</v>
      </c>
      <c r="P137" s="7" t="s">
        <v>13</v>
      </c>
      <c r="Q137" s="9"/>
      <c r="R137" s="1"/>
    </row>
    <row r="138" spans="1:18" ht="13.5" thickBot="1" x14ac:dyDescent="0.25">
      <c r="A138" s="123">
        <v>5</v>
      </c>
      <c r="B138" s="123">
        <v>0</v>
      </c>
      <c r="C138" s="123">
        <v>5</v>
      </c>
      <c r="D138" s="123">
        <v>0</v>
      </c>
      <c r="E138" s="123">
        <v>1</v>
      </c>
      <c r="F138" s="123">
        <v>0</v>
      </c>
      <c r="G138" s="123">
        <v>0</v>
      </c>
      <c r="H138" s="123">
        <v>0</v>
      </c>
      <c r="I138" s="123">
        <v>1</v>
      </c>
      <c r="J138" s="123">
        <v>0</v>
      </c>
      <c r="K138" s="123">
        <v>2</v>
      </c>
      <c r="L138" s="123">
        <v>0</v>
      </c>
      <c r="M138" s="123">
        <v>1</v>
      </c>
      <c r="N138" s="123">
        <v>0</v>
      </c>
      <c r="O138" s="123">
        <v>0</v>
      </c>
      <c r="P138" s="7" t="s">
        <v>163</v>
      </c>
      <c r="Q138" s="124"/>
      <c r="R138" s="1"/>
    </row>
    <row r="139" spans="1:18" ht="13.5" thickBot="1" x14ac:dyDescent="0.25">
      <c r="A139" s="123">
        <v>22</v>
      </c>
      <c r="B139" s="123">
        <v>0</v>
      </c>
      <c r="C139" s="123">
        <v>22</v>
      </c>
      <c r="D139" s="123">
        <v>0</v>
      </c>
      <c r="E139" s="123">
        <v>1</v>
      </c>
      <c r="F139" s="123">
        <v>0</v>
      </c>
      <c r="G139" s="123">
        <v>0</v>
      </c>
      <c r="H139" s="123">
        <v>0</v>
      </c>
      <c r="I139" s="123">
        <v>11</v>
      </c>
      <c r="J139" s="123">
        <v>0</v>
      </c>
      <c r="K139" s="123">
        <v>10</v>
      </c>
      <c r="L139" s="123">
        <v>0</v>
      </c>
      <c r="M139" s="123">
        <v>0</v>
      </c>
      <c r="N139" s="123">
        <v>0</v>
      </c>
      <c r="O139" s="123">
        <v>0</v>
      </c>
      <c r="P139" s="7" t="s">
        <v>162</v>
      </c>
      <c r="Q139" s="124" t="s">
        <v>88</v>
      </c>
      <c r="R139" s="1"/>
    </row>
    <row r="140" spans="1:18" ht="13.5" thickBot="1" x14ac:dyDescent="0.25">
      <c r="A140" s="123">
        <v>27</v>
      </c>
      <c r="B140" s="123">
        <v>0</v>
      </c>
      <c r="C140" s="123">
        <v>27</v>
      </c>
      <c r="D140" s="123">
        <v>0</v>
      </c>
      <c r="E140" s="123">
        <v>2</v>
      </c>
      <c r="F140" s="123">
        <v>0</v>
      </c>
      <c r="G140" s="123">
        <v>0</v>
      </c>
      <c r="H140" s="123">
        <v>0</v>
      </c>
      <c r="I140" s="123">
        <v>12</v>
      </c>
      <c r="J140" s="123">
        <v>0</v>
      </c>
      <c r="K140" s="123">
        <v>12</v>
      </c>
      <c r="L140" s="123">
        <v>0</v>
      </c>
      <c r="M140" s="123">
        <v>1</v>
      </c>
      <c r="N140" s="123">
        <v>0</v>
      </c>
      <c r="O140" s="123">
        <v>0</v>
      </c>
      <c r="P140" s="7" t="s">
        <v>13</v>
      </c>
      <c r="Q140" s="9"/>
      <c r="R140" s="1"/>
    </row>
    <row r="141" spans="1:18" ht="13.5" thickBot="1" x14ac:dyDescent="0.25">
      <c r="A141" s="123">
        <v>26</v>
      </c>
      <c r="B141" s="123">
        <v>2</v>
      </c>
      <c r="C141" s="123">
        <v>24</v>
      </c>
      <c r="D141" s="123">
        <v>0</v>
      </c>
      <c r="E141" s="123">
        <v>5</v>
      </c>
      <c r="F141" s="123">
        <v>2</v>
      </c>
      <c r="G141" s="123">
        <v>6</v>
      </c>
      <c r="H141" s="123">
        <v>0</v>
      </c>
      <c r="I141" s="123">
        <v>5</v>
      </c>
      <c r="J141" s="123">
        <v>0</v>
      </c>
      <c r="K141" s="123">
        <v>3</v>
      </c>
      <c r="L141" s="123">
        <v>0</v>
      </c>
      <c r="M141" s="123">
        <v>4</v>
      </c>
      <c r="N141" s="123">
        <v>0</v>
      </c>
      <c r="O141" s="123">
        <v>1</v>
      </c>
      <c r="P141" s="7" t="s">
        <v>163</v>
      </c>
      <c r="Q141" s="124"/>
      <c r="R141" s="1"/>
    </row>
    <row r="142" spans="1:18" ht="13.5" thickBot="1" x14ac:dyDescent="0.25">
      <c r="A142" s="123">
        <v>7</v>
      </c>
      <c r="B142" s="123">
        <v>0</v>
      </c>
      <c r="C142" s="123">
        <v>7</v>
      </c>
      <c r="D142" s="123">
        <v>0</v>
      </c>
      <c r="E142" s="123">
        <v>1</v>
      </c>
      <c r="F142" s="123">
        <v>0</v>
      </c>
      <c r="G142" s="123">
        <v>0</v>
      </c>
      <c r="H142" s="123">
        <v>0</v>
      </c>
      <c r="I142" s="123">
        <v>0</v>
      </c>
      <c r="J142" s="123">
        <v>0</v>
      </c>
      <c r="K142" s="123">
        <v>3</v>
      </c>
      <c r="L142" s="123">
        <v>0</v>
      </c>
      <c r="M142" s="123">
        <v>2</v>
      </c>
      <c r="N142" s="123">
        <v>0</v>
      </c>
      <c r="O142" s="123">
        <v>1</v>
      </c>
      <c r="P142" s="7" t="s">
        <v>162</v>
      </c>
      <c r="Q142" s="124" t="s">
        <v>242</v>
      </c>
      <c r="R142" s="1"/>
    </row>
    <row r="143" spans="1:18" ht="13.5" thickBot="1" x14ac:dyDescent="0.25">
      <c r="A143" s="123">
        <v>33</v>
      </c>
      <c r="B143" s="123">
        <v>2</v>
      </c>
      <c r="C143" s="123">
        <v>31</v>
      </c>
      <c r="D143" s="123">
        <v>0</v>
      </c>
      <c r="E143" s="123">
        <v>6</v>
      </c>
      <c r="F143" s="123">
        <v>2</v>
      </c>
      <c r="G143" s="123">
        <v>6</v>
      </c>
      <c r="H143" s="123">
        <v>0</v>
      </c>
      <c r="I143" s="123">
        <v>5</v>
      </c>
      <c r="J143" s="123">
        <v>0</v>
      </c>
      <c r="K143" s="123">
        <v>6</v>
      </c>
      <c r="L143" s="123">
        <v>0</v>
      </c>
      <c r="M143" s="123">
        <v>6</v>
      </c>
      <c r="N143" s="123">
        <v>0</v>
      </c>
      <c r="O143" s="123">
        <v>2</v>
      </c>
      <c r="P143" s="7" t="s">
        <v>13</v>
      </c>
      <c r="Q143" s="9"/>
      <c r="R143" s="1"/>
    </row>
    <row r="144" spans="1:18" ht="13.5" thickBot="1" x14ac:dyDescent="0.25">
      <c r="A144" s="123">
        <v>44</v>
      </c>
      <c r="B144" s="123">
        <v>44</v>
      </c>
      <c r="C144" s="123">
        <v>0</v>
      </c>
      <c r="D144" s="123">
        <v>0</v>
      </c>
      <c r="E144" s="123">
        <v>0</v>
      </c>
      <c r="F144" s="123">
        <v>24</v>
      </c>
      <c r="G144" s="123">
        <v>0</v>
      </c>
      <c r="H144" s="123">
        <v>18</v>
      </c>
      <c r="I144" s="123">
        <v>0</v>
      </c>
      <c r="J144" s="123">
        <v>2</v>
      </c>
      <c r="K144" s="123">
        <v>0</v>
      </c>
      <c r="L144" s="123">
        <v>0</v>
      </c>
      <c r="M144" s="123">
        <v>0</v>
      </c>
      <c r="N144" s="123">
        <v>0</v>
      </c>
      <c r="O144" s="123">
        <v>0</v>
      </c>
      <c r="P144" s="7" t="s">
        <v>163</v>
      </c>
      <c r="Q144" s="124"/>
      <c r="R144" s="1"/>
    </row>
    <row r="145" spans="1:18" ht="13.5" thickBot="1" x14ac:dyDescent="0.25">
      <c r="A145" s="123">
        <v>1</v>
      </c>
      <c r="B145" s="123">
        <v>1</v>
      </c>
      <c r="C145" s="123">
        <v>0</v>
      </c>
      <c r="D145" s="123">
        <v>0</v>
      </c>
      <c r="E145" s="123">
        <v>0</v>
      </c>
      <c r="F145" s="123">
        <v>0</v>
      </c>
      <c r="G145" s="123">
        <v>0</v>
      </c>
      <c r="H145" s="123">
        <v>0</v>
      </c>
      <c r="I145" s="123">
        <v>0</v>
      </c>
      <c r="J145" s="123">
        <v>1</v>
      </c>
      <c r="K145" s="123">
        <v>0</v>
      </c>
      <c r="L145" s="123">
        <v>0</v>
      </c>
      <c r="M145" s="123">
        <v>0</v>
      </c>
      <c r="N145" s="123">
        <v>0</v>
      </c>
      <c r="O145" s="123">
        <v>0</v>
      </c>
      <c r="P145" s="7" t="s">
        <v>162</v>
      </c>
      <c r="Q145" s="124" t="s">
        <v>356</v>
      </c>
      <c r="R145" s="1"/>
    </row>
    <row r="146" spans="1:18" ht="13.5" thickBot="1" x14ac:dyDescent="0.25">
      <c r="A146" s="123">
        <v>45</v>
      </c>
      <c r="B146" s="123">
        <v>45</v>
      </c>
      <c r="C146" s="123">
        <v>0</v>
      </c>
      <c r="D146" s="123">
        <v>0</v>
      </c>
      <c r="E146" s="123">
        <v>0</v>
      </c>
      <c r="F146" s="123">
        <v>24</v>
      </c>
      <c r="G146" s="123">
        <v>0</v>
      </c>
      <c r="H146" s="123">
        <v>18</v>
      </c>
      <c r="I146" s="123">
        <v>0</v>
      </c>
      <c r="J146" s="123">
        <v>3</v>
      </c>
      <c r="K146" s="123">
        <v>0</v>
      </c>
      <c r="L146" s="123">
        <v>0</v>
      </c>
      <c r="M146" s="123">
        <v>0</v>
      </c>
      <c r="N146" s="123">
        <v>0</v>
      </c>
      <c r="O146" s="123">
        <v>0</v>
      </c>
      <c r="P146" s="7" t="s">
        <v>13</v>
      </c>
      <c r="Q146" s="9"/>
      <c r="R146" s="1"/>
    </row>
    <row r="147" spans="1:18" ht="13.5" thickBot="1" x14ac:dyDescent="0.25">
      <c r="A147" s="123">
        <v>214</v>
      </c>
      <c r="B147" s="123">
        <v>61</v>
      </c>
      <c r="C147" s="123">
        <v>153</v>
      </c>
      <c r="D147" s="123">
        <v>0</v>
      </c>
      <c r="E147" s="123">
        <v>0</v>
      </c>
      <c r="F147" s="123">
        <v>35</v>
      </c>
      <c r="G147" s="123">
        <v>32</v>
      </c>
      <c r="H147" s="123">
        <v>19</v>
      </c>
      <c r="I147" s="123">
        <v>30</v>
      </c>
      <c r="J147" s="123">
        <v>6</v>
      </c>
      <c r="K147" s="123">
        <v>51</v>
      </c>
      <c r="L147" s="123">
        <v>1</v>
      </c>
      <c r="M147" s="123">
        <v>24</v>
      </c>
      <c r="N147" s="123">
        <v>0</v>
      </c>
      <c r="O147" s="123">
        <v>16</v>
      </c>
      <c r="P147" s="7" t="s">
        <v>163</v>
      </c>
      <c r="Q147" s="124"/>
      <c r="R147" s="1"/>
    </row>
    <row r="148" spans="1:18" ht="13.5" thickBot="1" x14ac:dyDescent="0.25">
      <c r="A148" s="123">
        <v>12</v>
      </c>
      <c r="B148" s="123">
        <v>1</v>
      </c>
      <c r="C148" s="123">
        <v>11</v>
      </c>
      <c r="D148" s="123">
        <v>0</v>
      </c>
      <c r="E148" s="123">
        <v>0</v>
      </c>
      <c r="F148" s="123">
        <v>0</v>
      </c>
      <c r="G148" s="123">
        <v>0</v>
      </c>
      <c r="H148" s="123">
        <v>0</v>
      </c>
      <c r="I148" s="123">
        <v>0</v>
      </c>
      <c r="J148" s="123">
        <v>1</v>
      </c>
      <c r="K148" s="123">
        <v>4</v>
      </c>
      <c r="L148" s="123">
        <v>0</v>
      </c>
      <c r="M148" s="123">
        <v>4</v>
      </c>
      <c r="N148" s="123">
        <v>0</v>
      </c>
      <c r="O148" s="123">
        <v>3</v>
      </c>
      <c r="P148" s="7" t="s">
        <v>162</v>
      </c>
      <c r="Q148" s="124" t="s">
        <v>348</v>
      </c>
      <c r="R148" s="1"/>
    </row>
    <row r="149" spans="1:18" ht="13.5" thickBot="1" x14ac:dyDescent="0.25">
      <c r="A149" s="123">
        <v>226</v>
      </c>
      <c r="B149" s="123">
        <v>62</v>
      </c>
      <c r="C149" s="123">
        <v>164</v>
      </c>
      <c r="D149" s="123">
        <v>0</v>
      </c>
      <c r="E149" s="123">
        <v>0</v>
      </c>
      <c r="F149" s="123">
        <v>35</v>
      </c>
      <c r="G149" s="123">
        <v>32</v>
      </c>
      <c r="H149" s="123">
        <v>19</v>
      </c>
      <c r="I149" s="123">
        <v>30</v>
      </c>
      <c r="J149" s="123">
        <v>7</v>
      </c>
      <c r="K149" s="123">
        <v>55</v>
      </c>
      <c r="L149" s="123">
        <v>1</v>
      </c>
      <c r="M149" s="123">
        <v>28</v>
      </c>
      <c r="N149" s="123">
        <v>0</v>
      </c>
      <c r="O149" s="123">
        <v>19</v>
      </c>
      <c r="P149" s="7" t="s">
        <v>13</v>
      </c>
      <c r="Q149" s="9"/>
      <c r="R149" s="1"/>
    </row>
    <row r="150" spans="1:18" ht="13.5" thickBot="1" x14ac:dyDescent="0.25">
      <c r="A150" s="123">
        <v>346</v>
      </c>
      <c r="B150" s="123">
        <v>124</v>
      </c>
      <c r="C150" s="123">
        <v>222</v>
      </c>
      <c r="D150" s="123">
        <v>0</v>
      </c>
      <c r="E150" s="123">
        <v>1</v>
      </c>
      <c r="F150" s="123">
        <v>85</v>
      </c>
      <c r="G150" s="123">
        <v>57</v>
      </c>
      <c r="H150" s="123">
        <v>31</v>
      </c>
      <c r="I150" s="123">
        <v>16</v>
      </c>
      <c r="J150" s="123">
        <v>8</v>
      </c>
      <c r="K150" s="123">
        <v>75</v>
      </c>
      <c r="L150" s="123">
        <v>0</v>
      </c>
      <c r="M150" s="123">
        <v>41</v>
      </c>
      <c r="N150" s="123">
        <v>0</v>
      </c>
      <c r="O150" s="123">
        <v>32</v>
      </c>
      <c r="P150" s="7" t="s">
        <v>163</v>
      </c>
      <c r="Q150" s="124"/>
      <c r="R150" s="1"/>
    </row>
    <row r="151" spans="1:18" ht="13.5" thickBot="1" x14ac:dyDescent="0.25">
      <c r="A151" s="123">
        <v>37</v>
      </c>
      <c r="B151" s="123">
        <v>9</v>
      </c>
      <c r="C151" s="123">
        <v>28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7</v>
      </c>
      <c r="K151" s="123">
        <v>11</v>
      </c>
      <c r="L151" s="123">
        <v>1</v>
      </c>
      <c r="M151" s="123">
        <v>6</v>
      </c>
      <c r="N151" s="123">
        <v>1</v>
      </c>
      <c r="O151" s="123">
        <v>11</v>
      </c>
      <c r="P151" s="7" t="s">
        <v>162</v>
      </c>
      <c r="Q151" s="124" t="s">
        <v>357</v>
      </c>
      <c r="R151" s="1"/>
    </row>
    <row r="152" spans="1:18" ht="13.5" thickBot="1" x14ac:dyDescent="0.25">
      <c r="A152" s="123">
        <v>383</v>
      </c>
      <c r="B152" s="123">
        <v>133</v>
      </c>
      <c r="C152" s="123">
        <v>250</v>
      </c>
      <c r="D152" s="123">
        <v>0</v>
      </c>
      <c r="E152" s="123">
        <v>1</v>
      </c>
      <c r="F152" s="123">
        <v>85</v>
      </c>
      <c r="G152" s="123">
        <v>57</v>
      </c>
      <c r="H152" s="123">
        <v>31</v>
      </c>
      <c r="I152" s="123">
        <v>16</v>
      </c>
      <c r="J152" s="123">
        <v>15</v>
      </c>
      <c r="K152" s="123">
        <v>86</v>
      </c>
      <c r="L152" s="123">
        <v>1</v>
      </c>
      <c r="M152" s="123">
        <v>47</v>
      </c>
      <c r="N152" s="123">
        <v>1</v>
      </c>
      <c r="O152" s="123">
        <v>43</v>
      </c>
      <c r="P152" s="7" t="s">
        <v>13</v>
      </c>
      <c r="Q152" s="9"/>
      <c r="R152" s="1"/>
    </row>
    <row r="153" spans="1:18" ht="13.5" thickBot="1" x14ac:dyDescent="0.25">
      <c r="A153" s="123">
        <v>4</v>
      </c>
      <c r="B153" s="123">
        <v>0</v>
      </c>
      <c r="C153" s="123">
        <v>4</v>
      </c>
      <c r="D153" s="123">
        <v>0</v>
      </c>
      <c r="E153" s="123">
        <v>1</v>
      </c>
      <c r="F153" s="123">
        <v>0</v>
      </c>
      <c r="G153" s="123">
        <v>0</v>
      </c>
      <c r="H153" s="123">
        <v>0</v>
      </c>
      <c r="I153" s="123">
        <v>2</v>
      </c>
      <c r="J153" s="123">
        <v>0</v>
      </c>
      <c r="K153" s="123">
        <v>1</v>
      </c>
      <c r="L153" s="123">
        <v>0</v>
      </c>
      <c r="M153" s="123">
        <v>0</v>
      </c>
      <c r="N153" s="123">
        <v>0</v>
      </c>
      <c r="O153" s="123">
        <v>0</v>
      </c>
      <c r="P153" s="7" t="s">
        <v>163</v>
      </c>
      <c r="Q153" s="124"/>
      <c r="R153" s="1"/>
    </row>
    <row r="154" spans="1:18" ht="13.5" thickBot="1" x14ac:dyDescent="0.25">
      <c r="A154" s="123">
        <v>19</v>
      </c>
      <c r="B154" s="123">
        <v>0</v>
      </c>
      <c r="C154" s="123">
        <v>19</v>
      </c>
      <c r="D154" s="123">
        <v>0</v>
      </c>
      <c r="E154" s="123">
        <v>2</v>
      </c>
      <c r="F154" s="123">
        <v>0</v>
      </c>
      <c r="G154" s="123">
        <v>0</v>
      </c>
      <c r="H154" s="123">
        <v>0</v>
      </c>
      <c r="I154" s="123">
        <v>7</v>
      </c>
      <c r="J154" s="123">
        <v>0</v>
      </c>
      <c r="K154" s="123">
        <v>8</v>
      </c>
      <c r="L154" s="123">
        <v>0</v>
      </c>
      <c r="M154" s="123">
        <v>2</v>
      </c>
      <c r="N154" s="123">
        <v>0</v>
      </c>
      <c r="O154" s="123">
        <v>0</v>
      </c>
      <c r="P154" s="7" t="s">
        <v>162</v>
      </c>
      <c r="Q154" s="124" t="s">
        <v>89</v>
      </c>
      <c r="R154" s="1"/>
    </row>
    <row r="155" spans="1:18" ht="13.5" thickBot="1" x14ac:dyDescent="0.25">
      <c r="A155" s="123">
        <v>23</v>
      </c>
      <c r="B155" s="123">
        <v>0</v>
      </c>
      <c r="C155" s="123">
        <v>23</v>
      </c>
      <c r="D155" s="123">
        <v>0</v>
      </c>
      <c r="E155" s="123">
        <v>3</v>
      </c>
      <c r="F155" s="123">
        <v>0</v>
      </c>
      <c r="G155" s="123">
        <v>0</v>
      </c>
      <c r="H155" s="123">
        <v>0</v>
      </c>
      <c r="I155" s="123">
        <v>9</v>
      </c>
      <c r="J155" s="123">
        <v>0</v>
      </c>
      <c r="K155" s="123">
        <v>9</v>
      </c>
      <c r="L155" s="123">
        <v>0</v>
      </c>
      <c r="M155" s="123">
        <v>2</v>
      </c>
      <c r="N155" s="123">
        <v>0</v>
      </c>
      <c r="O155" s="123">
        <v>0</v>
      </c>
      <c r="P155" s="7" t="s">
        <v>13</v>
      </c>
      <c r="Q155" s="9"/>
      <c r="R155" s="1"/>
    </row>
    <row r="156" spans="1:18" ht="13.5" thickBot="1" x14ac:dyDescent="0.25">
      <c r="A156" s="123">
        <v>50</v>
      </c>
      <c r="B156" s="123">
        <v>16</v>
      </c>
      <c r="C156" s="123">
        <v>34</v>
      </c>
      <c r="D156" s="123">
        <v>0</v>
      </c>
      <c r="E156" s="123">
        <v>0</v>
      </c>
      <c r="F156" s="123">
        <v>14</v>
      </c>
      <c r="G156" s="123">
        <v>6</v>
      </c>
      <c r="H156" s="123">
        <v>2</v>
      </c>
      <c r="I156" s="123">
        <v>3</v>
      </c>
      <c r="J156" s="123">
        <v>0</v>
      </c>
      <c r="K156" s="123">
        <v>18</v>
      </c>
      <c r="L156" s="123">
        <v>0</v>
      </c>
      <c r="M156" s="123">
        <v>6</v>
      </c>
      <c r="N156" s="123">
        <v>0</v>
      </c>
      <c r="O156" s="123">
        <v>1</v>
      </c>
      <c r="P156" s="7" t="s">
        <v>163</v>
      </c>
      <c r="Q156" s="124"/>
      <c r="R156" s="1"/>
    </row>
    <row r="157" spans="1:18" ht="13.5" thickBot="1" x14ac:dyDescent="0.25">
      <c r="A157" s="123">
        <v>14</v>
      </c>
      <c r="B157" s="123">
        <v>4</v>
      </c>
      <c r="C157" s="123">
        <v>10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4</v>
      </c>
      <c r="K157" s="123">
        <v>5</v>
      </c>
      <c r="L157" s="123">
        <v>0</v>
      </c>
      <c r="M157" s="123">
        <v>2</v>
      </c>
      <c r="N157" s="123">
        <v>0</v>
      </c>
      <c r="O157" s="123">
        <v>3</v>
      </c>
      <c r="P157" s="7" t="s">
        <v>162</v>
      </c>
      <c r="Q157" s="124" t="s">
        <v>358</v>
      </c>
      <c r="R157" s="1"/>
    </row>
    <row r="158" spans="1:18" ht="13.5" thickBot="1" x14ac:dyDescent="0.25">
      <c r="A158" s="123">
        <v>64</v>
      </c>
      <c r="B158" s="123">
        <v>20</v>
      </c>
      <c r="C158" s="123">
        <v>44</v>
      </c>
      <c r="D158" s="123">
        <v>0</v>
      </c>
      <c r="E158" s="123">
        <v>0</v>
      </c>
      <c r="F158" s="123">
        <v>14</v>
      </c>
      <c r="G158" s="123">
        <v>6</v>
      </c>
      <c r="H158" s="123">
        <v>2</v>
      </c>
      <c r="I158" s="123">
        <v>3</v>
      </c>
      <c r="J158" s="123">
        <v>4</v>
      </c>
      <c r="K158" s="123">
        <v>23</v>
      </c>
      <c r="L158" s="123">
        <v>0</v>
      </c>
      <c r="M158" s="123">
        <v>8</v>
      </c>
      <c r="N158" s="123">
        <v>0</v>
      </c>
      <c r="O158" s="123">
        <v>4</v>
      </c>
      <c r="P158" s="7" t="s">
        <v>13</v>
      </c>
      <c r="Q158" s="9"/>
      <c r="R158" s="1"/>
    </row>
    <row r="159" spans="1:18" ht="13.5" thickBot="1" x14ac:dyDescent="0.25">
      <c r="A159" s="123">
        <v>34</v>
      </c>
      <c r="B159" s="123">
        <v>27</v>
      </c>
      <c r="C159" s="123">
        <v>7</v>
      </c>
      <c r="D159" s="123">
        <v>0</v>
      </c>
      <c r="E159" s="123">
        <v>0</v>
      </c>
      <c r="F159" s="123">
        <v>19</v>
      </c>
      <c r="G159" s="123">
        <v>3</v>
      </c>
      <c r="H159" s="123">
        <v>8</v>
      </c>
      <c r="I159" s="123">
        <v>3</v>
      </c>
      <c r="J159" s="123">
        <v>0</v>
      </c>
      <c r="K159" s="123">
        <v>1</v>
      </c>
      <c r="L159" s="123">
        <v>0</v>
      </c>
      <c r="M159" s="123">
        <v>0</v>
      </c>
      <c r="N159" s="123">
        <v>0</v>
      </c>
      <c r="O159" s="123">
        <v>0</v>
      </c>
      <c r="P159" s="7" t="s">
        <v>163</v>
      </c>
      <c r="Q159" s="124"/>
      <c r="R159" s="1"/>
    </row>
    <row r="160" spans="1:18" ht="13.5" thickBot="1" x14ac:dyDescent="0.25">
      <c r="A160" s="123">
        <v>41</v>
      </c>
      <c r="B160" s="123">
        <v>18</v>
      </c>
      <c r="C160" s="123">
        <v>23</v>
      </c>
      <c r="D160" s="123">
        <v>0</v>
      </c>
      <c r="E160" s="123">
        <v>0</v>
      </c>
      <c r="F160" s="123">
        <v>0</v>
      </c>
      <c r="G160" s="123">
        <v>0</v>
      </c>
      <c r="H160" s="123">
        <v>6</v>
      </c>
      <c r="I160" s="123">
        <v>2</v>
      </c>
      <c r="J160" s="123">
        <v>12</v>
      </c>
      <c r="K160" s="123">
        <v>18</v>
      </c>
      <c r="L160" s="123">
        <v>0</v>
      </c>
      <c r="M160" s="123">
        <v>3</v>
      </c>
      <c r="N160" s="123">
        <v>0</v>
      </c>
      <c r="O160" s="123">
        <v>0</v>
      </c>
      <c r="P160" s="7" t="s">
        <v>162</v>
      </c>
      <c r="Q160" s="124" t="s">
        <v>359</v>
      </c>
      <c r="R160" s="1"/>
    </row>
    <row r="161" spans="1:18" ht="13.5" thickBot="1" x14ac:dyDescent="0.25">
      <c r="A161" s="123">
        <v>75</v>
      </c>
      <c r="B161" s="123">
        <v>45</v>
      </c>
      <c r="C161" s="123">
        <v>30</v>
      </c>
      <c r="D161" s="123">
        <v>0</v>
      </c>
      <c r="E161" s="123">
        <v>0</v>
      </c>
      <c r="F161" s="123">
        <v>19</v>
      </c>
      <c r="G161" s="123">
        <v>3</v>
      </c>
      <c r="H161" s="123">
        <v>14</v>
      </c>
      <c r="I161" s="123">
        <v>5</v>
      </c>
      <c r="J161" s="123">
        <v>12</v>
      </c>
      <c r="K161" s="123">
        <v>19</v>
      </c>
      <c r="L161" s="123">
        <v>0</v>
      </c>
      <c r="M161" s="123">
        <v>3</v>
      </c>
      <c r="N161" s="123">
        <v>0</v>
      </c>
      <c r="O161" s="123">
        <v>0</v>
      </c>
      <c r="P161" s="7" t="s">
        <v>13</v>
      </c>
      <c r="Q161" s="9"/>
      <c r="R161" s="1"/>
    </row>
    <row r="162" spans="1:18" ht="13.5" thickBot="1" x14ac:dyDescent="0.25">
      <c r="A162" s="123">
        <v>1436</v>
      </c>
      <c r="B162" s="123">
        <v>491</v>
      </c>
      <c r="C162" s="123">
        <v>945</v>
      </c>
      <c r="D162" s="123">
        <v>10</v>
      </c>
      <c r="E162" s="123">
        <v>12</v>
      </c>
      <c r="F162" s="123">
        <v>303</v>
      </c>
      <c r="G162" s="123">
        <v>224</v>
      </c>
      <c r="H162" s="123">
        <v>135</v>
      </c>
      <c r="I162" s="123">
        <v>155</v>
      </c>
      <c r="J162" s="123">
        <v>41</v>
      </c>
      <c r="K162" s="123">
        <v>319</v>
      </c>
      <c r="L162" s="123">
        <v>2</v>
      </c>
      <c r="M162" s="123">
        <v>149</v>
      </c>
      <c r="N162" s="123">
        <v>0</v>
      </c>
      <c r="O162" s="123">
        <v>86</v>
      </c>
      <c r="P162" s="7" t="s">
        <v>163</v>
      </c>
      <c r="Q162" s="3"/>
      <c r="R162" s="1"/>
    </row>
    <row r="163" spans="1:18" ht="13.5" thickBot="1" x14ac:dyDescent="0.25">
      <c r="A163" s="123">
        <v>328</v>
      </c>
      <c r="B163" s="123">
        <v>69</v>
      </c>
      <c r="C163" s="123">
        <v>259</v>
      </c>
      <c r="D163" s="123">
        <v>1</v>
      </c>
      <c r="E163" s="123">
        <v>19</v>
      </c>
      <c r="F163" s="123">
        <v>0</v>
      </c>
      <c r="G163" s="123">
        <v>1</v>
      </c>
      <c r="H163" s="123">
        <v>25</v>
      </c>
      <c r="I163" s="123">
        <v>30</v>
      </c>
      <c r="J163" s="123">
        <v>38</v>
      </c>
      <c r="K163" s="123">
        <v>126</v>
      </c>
      <c r="L163" s="123">
        <v>4</v>
      </c>
      <c r="M163" s="123">
        <v>49</v>
      </c>
      <c r="N163" s="123">
        <v>1</v>
      </c>
      <c r="O163" s="123">
        <v>34</v>
      </c>
      <c r="P163" s="7" t="s">
        <v>162</v>
      </c>
      <c r="Q163" s="11" t="s">
        <v>211</v>
      </c>
      <c r="R163" s="1"/>
    </row>
    <row r="164" spans="1:18" ht="13.5" thickBot="1" x14ac:dyDescent="0.25">
      <c r="A164" s="123">
        <v>1764</v>
      </c>
      <c r="B164" s="123">
        <v>560</v>
      </c>
      <c r="C164" s="123">
        <v>1204</v>
      </c>
      <c r="D164" s="123">
        <v>11</v>
      </c>
      <c r="E164" s="123">
        <v>31</v>
      </c>
      <c r="F164" s="123">
        <v>303</v>
      </c>
      <c r="G164" s="123">
        <v>225</v>
      </c>
      <c r="H164" s="123">
        <v>160</v>
      </c>
      <c r="I164" s="123">
        <v>185</v>
      </c>
      <c r="J164" s="123">
        <v>79</v>
      </c>
      <c r="K164" s="123">
        <v>445</v>
      </c>
      <c r="L164" s="123">
        <v>6</v>
      </c>
      <c r="M164" s="123">
        <v>198</v>
      </c>
      <c r="N164" s="123">
        <v>1</v>
      </c>
      <c r="O164" s="123">
        <v>120</v>
      </c>
      <c r="P164" s="7" t="s">
        <v>13</v>
      </c>
      <c r="Q164" s="5"/>
      <c r="R164" s="1"/>
    </row>
    <row r="165" spans="1:18" ht="18" customHeight="1" x14ac:dyDescent="0.2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1"/>
    </row>
    <row r="166" spans="1:18" ht="18" customHeight="1" x14ac:dyDescent="0.2">
      <c r="A166" s="159" t="s">
        <v>616</v>
      </c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"/>
    </row>
    <row r="167" spans="1:18" ht="18" customHeight="1" thickBot="1" x14ac:dyDescent="0.25">
      <c r="A167" s="160" t="s">
        <v>617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"/>
    </row>
    <row r="168" spans="1:18" ht="13.5" thickBot="1" x14ac:dyDescent="0.25">
      <c r="A168" s="204" t="s">
        <v>5</v>
      </c>
      <c r="B168" s="204"/>
      <c r="C168" s="204"/>
      <c r="D168" s="204" t="s">
        <v>57</v>
      </c>
      <c r="E168" s="204"/>
      <c r="F168" s="204" t="s">
        <v>609</v>
      </c>
      <c r="G168" s="204"/>
      <c r="H168" s="204" t="s">
        <v>610</v>
      </c>
      <c r="I168" s="204"/>
      <c r="J168" s="204" t="s">
        <v>611</v>
      </c>
      <c r="K168" s="204"/>
      <c r="L168" s="204" t="s">
        <v>612</v>
      </c>
      <c r="M168" s="204"/>
      <c r="N168" s="204" t="s">
        <v>613</v>
      </c>
      <c r="O168" s="204"/>
      <c r="P168" s="205" t="s">
        <v>614</v>
      </c>
      <c r="Q168" s="47" t="s">
        <v>161</v>
      </c>
      <c r="R168" s="1"/>
    </row>
    <row r="169" spans="1:18" ht="13.5" thickBot="1" x14ac:dyDescent="0.25">
      <c r="A169" s="47" t="s">
        <v>216</v>
      </c>
      <c r="B169" s="47" t="s">
        <v>11</v>
      </c>
      <c r="C169" s="47" t="s">
        <v>10</v>
      </c>
      <c r="D169" s="47" t="s">
        <v>11</v>
      </c>
      <c r="E169" s="47" t="s">
        <v>10</v>
      </c>
      <c r="F169" s="47" t="s">
        <v>11</v>
      </c>
      <c r="G169" s="47" t="s">
        <v>10</v>
      </c>
      <c r="H169" s="47" t="s">
        <v>11</v>
      </c>
      <c r="I169" s="47" t="s">
        <v>10</v>
      </c>
      <c r="J169" s="47" t="s">
        <v>11</v>
      </c>
      <c r="K169" s="47" t="s">
        <v>10</v>
      </c>
      <c r="L169" s="47" t="s">
        <v>11</v>
      </c>
      <c r="M169" s="47" t="s">
        <v>10</v>
      </c>
      <c r="N169" s="47" t="s">
        <v>11</v>
      </c>
      <c r="O169" s="47" t="s">
        <v>10</v>
      </c>
      <c r="P169" s="206"/>
      <c r="Q169" s="33" t="s">
        <v>78</v>
      </c>
      <c r="R169" s="1"/>
    </row>
    <row r="170" spans="1:18" ht="12.75" customHeight="1" thickBot="1" x14ac:dyDescent="0.25">
      <c r="A170" s="123">
        <f>C170+B170</f>
        <v>136</v>
      </c>
      <c r="B170" s="123">
        <f>N170+L170+J170+H170+F170+D170</f>
        <v>15</v>
      </c>
      <c r="C170" s="123">
        <f>O170+M170+K170+I170+G170+E170</f>
        <v>121</v>
      </c>
      <c r="D170" s="123">
        <v>0</v>
      </c>
      <c r="E170" s="123">
        <v>0</v>
      </c>
      <c r="F170" s="123">
        <v>5</v>
      </c>
      <c r="G170" s="123">
        <v>7</v>
      </c>
      <c r="H170" s="123">
        <v>6</v>
      </c>
      <c r="I170" s="123">
        <v>8</v>
      </c>
      <c r="J170" s="123">
        <v>3</v>
      </c>
      <c r="K170" s="123">
        <v>22</v>
      </c>
      <c r="L170" s="123">
        <v>1</v>
      </c>
      <c r="M170" s="123">
        <v>40</v>
      </c>
      <c r="N170" s="123">
        <v>0</v>
      </c>
      <c r="O170" s="123">
        <v>44</v>
      </c>
      <c r="P170" s="7" t="s">
        <v>163</v>
      </c>
      <c r="Q170" s="124"/>
    </row>
    <row r="171" spans="1:18" ht="12.75" customHeight="1" thickBot="1" x14ac:dyDescent="0.25">
      <c r="A171" s="123">
        <f t="shared" ref="A171:A234" si="5">C171+B171</f>
        <v>76</v>
      </c>
      <c r="B171" s="123">
        <f t="shared" ref="B171:C234" si="6">N171+L171+J171+H171+F171+D171</f>
        <v>9</v>
      </c>
      <c r="C171" s="123">
        <f t="shared" si="6"/>
        <v>67</v>
      </c>
      <c r="D171" s="123">
        <v>0</v>
      </c>
      <c r="E171" s="123">
        <v>0</v>
      </c>
      <c r="F171" s="123">
        <v>0</v>
      </c>
      <c r="G171" s="123">
        <v>14</v>
      </c>
      <c r="H171" s="123">
        <v>2</v>
      </c>
      <c r="I171" s="123">
        <v>34</v>
      </c>
      <c r="J171" s="123">
        <v>4</v>
      </c>
      <c r="K171" s="123">
        <v>1</v>
      </c>
      <c r="L171" s="123">
        <v>1</v>
      </c>
      <c r="M171" s="123">
        <v>9</v>
      </c>
      <c r="N171" s="123">
        <v>2</v>
      </c>
      <c r="O171" s="123">
        <v>9</v>
      </c>
      <c r="P171" s="7" t="s">
        <v>162</v>
      </c>
      <c r="Q171" s="124" t="s">
        <v>360</v>
      </c>
    </row>
    <row r="172" spans="1:18" ht="12.75" customHeight="1" thickBot="1" x14ac:dyDescent="0.25">
      <c r="A172" s="123">
        <f t="shared" si="5"/>
        <v>212</v>
      </c>
      <c r="B172" s="123">
        <f t="shared" si="6"/>
        <v>24</v>
      </c>
      <c r="C172" s="123">
        <f t="shared" si="6"/>
        <v>188</v>
      </c>
      <c r="D172" s="123">
        <v>0</v>
      </c>
      <c r="E172" s="123">
        <v>0</v>
      </c>
      <c r="F172" s="123">
        <v>5</v>
      </c>
      <c r="G172" s="123">
        <v>21</v>
      </c>
      <c r="H172" s="123">
        <v>8</v>
      </c>
      <c r="I172" s="123">
        <v>42</v>
      </c>
      <c r="J172" s="123">
        <v>7</v>
      </c>
      <c r="K172" s="123">
        <v>23</v>
      </c>
      <c r="L172" s="123">
        <v>2</v>
      </c>
      <c r="M172" s="123">
        <v>49</v>
      </c>
      <c r="N172" s="123">
        <v>2</v>
      </c>
      <c r="O172" s="123">
        <v>53</v>
      </c>
      <c r="P172" s="7" t="s">
        <v>13</v>
      </c>
      <c r="Q172" s="9"/>
    </row>
    <row r="173" spans="1:18" ht="12.75" customHeight="1" thickBot="1" x14ac:dyDescent="0.25">
      <c r="A173" s="123">
        <f t="shared" si="5"/>
        <v>115</v>
      </c>
      <c r="B173" s="123">
        <f t="shared" si="6"/>
        <v>50</v>
      </c>
      <c r="C173" s="123">
        <f t="shared" si="6"/>
        <v>65</v>
      </c>
      <c r="D173" s="123">
        <v>0</v>
      </c>
      <c r="E173" s="123">
        <v>0</v>
      </c>
      <c r="F173" s="123">
        <v>17</v>
      </c>
      <c r="G173" s="123">
        <v>16</v>
      </c>
      <c r="H173" s="123">
        <v>21</v>
      </c>
      <c r="I173" s="123">
        <v>1</v>
      </c>
      <c r="J173" s="123">
        <v>10</v>
      </c>
      <c r="K173" s="123">
        <v>16</v>
      </c>
      <c r="L173" s="123">
        <v>1</v>
      </c>
      <c r="M173" s="123">
        <v>13</v>
      </c>
      <c r="N173" s="123">
        <v>1</v>
      </c>
      <c r="O173" s="123">
        <v>19</v>
      </c>
      <c r="P173" s="7" t="s">
        <v>163</v>
      </c>
      <c r="Q173" s="124"/>
    </row>
    <row r="174" spans="1:18" ht="12.75" customHeight="1" thickBot="1" x14ac:dyDescent="0.25">
      <c r="A174" s="123">
        <f t="shared" si="5"/>
        <v>84</v>
      </c>
      <c r="B174" s="123">
        <f t="shared" si="6"/>
        <v>32</v>
      </c>
      <c r="C174" s="123">
        <f t="shared" si="6"/>
        <v>52</v>
      </c>
      <c r="D174" s="123">
        <v>0</v>
      </c>
      <c r="E174" s="123">
        <v>0</v>
      </c>
      <c r="F174" s="123">
        <v>0</v>
      </c>
      <c r="G174" s="123">
        <v>0</v>
      </c>
      <c r="H174" s="123">
        <v>3</v>
      </c>
      <c r="I174" s="123">
        <v>1</v>
      </c>
      <c r="J174" s="123">
        <v>6</v>
      </c>
      <c r="K174" s="123">
        <v>11</v>
      </c>
      <c r="L174" s="123">
        <v>12</v>
      </c>
      <c r="M174" s="123">
        <v>14</v>
      </c>
      <c r="N174" s="123">
        <v>11</v>
      </c>
      <c r="O174" s="123">
        <v>26</v>
      </c>
      <c r="P174" s="7" t="s">
        <v>162</v>
      </c>
      <c r="Q174" s="124" t="s">
        <v>337</v>
      </c>
    </row>
    <row r="175" spans="1:18" ht="12.75" customHeight="1" thickBot="1" x14ac:dyDescent="0.25">
      <c r="A175" s="123">
        <f t="shared" si="5"/>
        <v>199</v>
      </c>
      <c r="B175" s="123">
        <f t="shared" si="6"/>
        <v>82</v>
      </c>
      <c r="C175" s="123">
        <f t="shared" si="6"/>
        <v>117</v>
      </c>
      <c r="D175" s="123">
        <v>0</v>
      </c>
      <c r="E175" s="123">
        <v>0</v>
      </c>
      <c r="F175" s="123">
        <v>17</v>
      </c>
      <c r="G175" s="123">
        <v>16</v>
      </c>
      <c r="H175" s="123">
        <v>24</v>
      </c>
      <c r="I175" s="123">
        <v>2</v>
      </c>
      <c r="J175" s="123">
        <v>16</v>
      </c>
      <c r="K175" s="123">
        <v>27</v>
      </c>
      <c r="L175" s="123">
        <v>13</v>
      </c>
      <c r="M175" s="123">
        <v>27</v>
      </c>
      <c r="N175" s="123">
        <v>12</v>
      </c>
      <c r="O175" s="123">
        <v>45</v>
      </c>
      <c r="P175" s="7" t="s">
        <v>13</v>
      </c>
      <c r="Q175" s="9"/>
    </row>
    <row r="176" spans="1:18" ht="12.75" customHeight="1" thickBot="1" x14ac:dyDescent="0.25">
      <c r="A176" s="123">
        <f t="shared" si="5"/>
        <v>65</v>
      </c>
      <c r="B176" s="123">
        <f t="shared" si="6"/>
        <v>29</v>
      </c>
      <c r="C176" s="123">
        <f t="shared" si="6"/>
        <v>36</v>
      </c>
      <c r="D176" s="123">
        <v>0</v>
      </c>
      <c r="E176" s="123">
        <v>0</v>
      </c>
      <c r="F176" s="123">
        <v>14</v>
      </c>
      <c r="G176" s="123">
        <v>19</v>
      </c>
      <c r="H176" s="123">
        <v>12</v>
      </c>
      <c r="I176" s="123">
        <v>1</v>
      </c>
      <c r="J176" s="123">
        <v>2</v>
      </c>
      <c r="K176" s="123">
        <v>12</v>
      </c>
      <c r="L176" s="123">
        <v>0</v>
      </c>
      <c r="M176" s="123">
        <v>4</v>
      </c>
      <c r="N176" s="123">
        <v>1</v>
      </c>
      <c r="O176" s="123">
        <v>0</v>
      </c>
      <c r="P176" s="7" t="s">
        <v>163</v>
      </c>
      <c r="Q176" s="124"/>
    </row>
    <row r="177" spans="1:17" ht="12.75" customHeight="1" thickBot="1" x14ac:dyDescent="0.25">
      <c r="A177" s="123">
        <f t="shared" si="5"/>
        <v>136</v>
      </c>
      <c r="B177" s="123">
        <f t="shared" si="6"/>
        <v>27</v>
      </c>
      <c r="C177" s="123">
        <f t="shared" si="6"/>
        <v>109</v>
      </c>
      <c r="D177" s="123">
        <v>15</v>
      </c>
      <c r="E177" s="123">
        <v>43</v>
      </c>
      <c r="F177" s="123">
        <v>0</v>
      </c>
      <c r="G177" s="123">
        <v>0</v>
      </c>
      <c r="H177" s="123">
        <v>0</v>
      </c>
      <c r="I177" s="123">
        <v>3</v>
      </c>
      <c r="J177" s="123">
        <v>9</v>
      </c>
      <c r="K177" s="123">
        <v>35</v>
      </c>
      <c r="L177" s="123">
        <v>2</v>
      </c>
      <c r="M177" s="123">
        <v>23</v>
      </c>
      <c r="N177" s="123">
        <v>1</v>
      </c>
      <c r="O177" s="123">
        <v>5</v>
      </c>
      <c r="P177" s="7" t="s">
        <v>162</v>
      </c>
      <c r="Q177" s="124" t="s">
        <v>354</v>
      </c>
    </row>
    <row r="178" spans="1:17" ht="12.75" customHeight="1" thickBot="1" x14ac:dyDescent="0.25">
      <c r="A178" s="123">
        <f t="shared" si="5"/>
        <v>201</v>
      </c>
      <c r="B178" s="123">
        <f t="shared" si="6"/>
        <v>56</v>
      </c>
      <c r="C178" s="123">
        <f t="shared" si="6"/>
        <v>145</v>
      </c>
      <c r="D178" s="123">
        <v>15</v>
      </c>
      <c r="E178" s="123">
        <v>43</v>
      </c>
      <c r="F178" s="123">
        <v>14</v>
      </c>
      <c r="G178" s="123">
        <v>19</v>
      </c>
      <c r="H178" s="123">
        <v>12</v>
      </c>
      <c r="I178" s="123">
        <v>4</v>
      </c>
      <c r="J178" s="123">
        <v>11</v>
      </c>
      <c r="K178" s="123">
        <v>47</v>
      </c>
      <c r="L178" s="123">
        <v>2</v>
      </c>
      <c r="M178" s="123">
        <v>27</v>
      </c>
      <c r="N178" s="123">
        <v>2</v>
      </c>
      <c r="O178" s="123">
        <v>5</v>
      </c>
      <c r="P178" s="7" t="s">
        <v>13</v>
      </c>
      <c r="Q178" s="9"/>
    </row>
    <row r="179" spans="1:17" ht="12.75" customHeight="1" thickBot="1" x14ac:dyDescent="0.25">
      <c r="A179" s="123">
        <f t="shared" si="5"/>
        <v>166</v>
      </c>
      <c r="B179" s="123">
        <f t="shared" si="6"/>
        <v>0</v>
      </c>
      <c r="C179" s="123">
        <f t="shared" si="6"/>
        <v>166</v>
      </c>
      <c r="D179" s="123">
        <v>0</v>
      </c>
      <c r="E179" s="123">
        <v>7</v>
      </c>
      <c r="F179" s="123">
        <v>0</v>
      </c>
      <c r="G179" s="123">
        <v>47</v>
      </c>
      <c r="H179" s="123">
        <v>0</v>
      </c>
      <c r="I179" s="123">
        <v>50</v>
      </c>
      <c r="J179" s="123">
        <v>0</v>
      </c>
      <c r="K179" s="123">
        <v>40</v>
      </c>
      <c r="L179" s="123">
        <v>0</v>
      </c>
      <c r="M179" s="123">
        <v>12</v>
      </c>
      <c r="N179" s="123">
        <v>0</v>
      </c>
      <c r="O179" s="123">
        <v>10</v>
      </c>
      <c r="P179" s="7" t="s">
        <v>163</v>
      </c>
      <c r="Q179" s="124"/>
    </row>
    <row r="180" spans="1:17" ht="12.75" customHeight="1" thickBot="1" x14ac:dyDescent="0.25">
      <c r="A180" s="123">
        <f t="shared" si="5"/>
        <v>143</v>
      </c>
      <c r="B180" s="123">
        <f t="shared" si="6"/>
        <v>0</v>
      </c>
      <c r="C180" s="123">
        <f t="shared" si="6"/>
        <v>143</v>
      </c>
      <c r="D180" s="123">
        <v>0</v>
      </c>
      <c r="E180" s="123">
        <v>9</v>
      </c>
      <c r="F180" s="123">
        <v>0</v>
      </c>
      <c r="G180" s="123">
        <v>39</v>
      </c>
      <c r="H180" s="123">
        <v>0</v>
      </c>
      <c r="I180" s="123">
        <v>24</v>
      </c>
      <c r="J180" s="123">
        <v>0</v>
      </c>
      <c r="K180" s="123">
        <v>66</v>
      </c>
      <c r="L180" s="123">
        <v>0</v>
      </c>
      <c r="M180" s="123">
        <v>3</v>
      </c>
      <c r="N180" s="123">
        <v>0</v>
      </c>
      <c r="O180" s="123">
        <v>2</v>
      </c>
      <c r="P180" s="7" t="s">
        <v>162</v>
      </c>
      <c r="Q180" s="124" t="s">
        <v>362</v>
      </c>
    </row>
    <row r="181" spans="1:17" ht="12.75" customHeight="1" thickBot="1" x14ac:dyDescent="0.25">
      <c r="A181" s="123">
        <f t="shared" si="5"/>
        <v>309</v>
      </c>
      <c r="B181" s="123">
        <f t="shared" si="6"/>
        <v>0</v>
      </c>
      <c r="C181" s="123">
        <f t="shared" si="6"/>
        <v>309</v>
      </c>
      <c r="D181" s="123">
        <v>0</v>
      </c>
      <c r="E181" s="123">
        <v>16</v>
      </c>
      <c r="F181" s="123">
        <v>0</v>
      </c>
      <c r="G181" s="123">
        <v>86</v>
      </c>
      <c r="H181" s="123">
        <v>0</v>
      </c>
      <c r="I181" s="123">
        <v>74</v>
      </c>
      <c r="J181" s="123">
        <v>0</v>
      </c>
      <c r="K181" s="123">
        <v>106</v>
      </c>
      <c r="L181" s="123">
        <v>0</v>
      </c>
      <c r="M181" s="123">
        <v>15</v>
      </c>
      <c r="N181" s="123">
        <v>0</v>
      </c>
      <c r="O181" s="123">
        <v>12</v>
      </c>
      <c r="P181" s="7" t="s">
        <v>13</v>
      </c>
      <c r="Q181" s="9"/>
    </row>
    <row r="182" spans="1:17" ht="12.75" customHeight="1" thickBot="1" x14ac:dyDescent="0.25">
      <c r="A182" s="123">
        <f t="shared" si="5"/>
        <v>7</v>
      </c>
      <c r="B182" s="123">
        <f t="shared" si="6"/>
        <v>0</v>
      </c>
      <c r="C182" s="123">
        <f t="shared" si="6"/>
        <v>7</v>
      </c>
      <c r="D182" s="123">
        <v>0</v>
      </c>
      <c r="E182" s="123">
        <v>2</v>
      </c>
      <c r="F182" s="123">
        <v>0</v>
      </c>
      <c r="G182" s="123">
        <v>1</v>
      </c>
      <c r="H182" s="123">
        <v>0</v>
      </c>
      <c r="I182" s="123">
        <v>3</v>
      </c>
      <c r="J182" s="123">
        <v>0</v>
      </c>
      <c r="K182" s="123">
        <v>1</v>
      </c>
      <c r="L182" s="123">
        <v>0</v>
      </c>
      <c r="M182" s="123">
        <v>0</v>
      </c>
      <c r="N182" s="123">
        <v>0</v>
      </c>
      <c r="O182" s="123">
        <v>0</v>
      </c>
      <c r="P182" s="7" t="s">
        <v>163</v>
      </c>
      <c r="Q182" s="124"/>
    </row>
    <row r="183" spans="1:17" ht="12.75" customHeight="1" thickBot="1" x14ac:dyDescent="0.25">
      <c r="A183" s="123">
        <f t="shared" si="5"/>
        <v>31</v>
      </c>
      <c r="B183" s="123">
        <f t="shared" si="6"/>
        <v>0</v>
      </c>
      <c r="C183" s="123">
        <f t="shared" si="6"/>
        <v>31</v>
      </c>
      <c r="D183" s="123">
        <v>0</v>
      </c>
      <c r="E183" s="123">
        <v>0</v>
      </c>
      <c r="F183" s="123">
        <v>0</v>
      </c>
      <c r="G183" s="123">
        <v>1</v>
      </c>
      <c r="H183" s="123">
        <v>0</v>
      </c>
      <c r="I183" s="123">
        <v>5</v>
      </c>
      <c r="J183" s="123">
        <v>0</v>
      </c>
      <c r="K183" s="123">
        <v>25</v>
      </c>
      <c r="L183" s="123">
        <v>0</v>
      </c>
      <c r="M183" s="123">
        <v>0</v>
      </c>
      <c r="N183" s="123">
        <v>0</v>
      </c>
      <c r="O183" s="123">
        <v>0</v>
      </c>
      <c r="P183" s="7" t="s">
        <v>162</v>
      </c>
      <c r="Q183" s="124" t="s">
        <v>243</v>
      </c>
    </row>
    <row r="184" spans="1:17" ht="12.75" customHeight="1" thickBot="1" x14ac:dyDescent="0.25">
      <c r="A184" s="123">
        <f t="shared" si="5"/>
        <v>38</v>
      </c>
      <c r="B184" s="123">
        <f t="shared" si="6"/>
        <v>0</v>
      </c>
      <c r="C184" s="123">
        <f t="shared" si="6"/>
        <v>38</v>
      </c>
      <c r="D184" s="123">
        <v>0</v>
      </c>
      <c r="E184" s="123">
        <v>2</v>
      </c>
      <c r="F184" s="123">
        <v>0</v>
      </c>
      <c r="G184" s="123">
        <v>2</v>
      </c>
      <c r="H184" s="123">
        <v>0</v>
      </c>
      <c r="I184" s="123">
        <v>8</v>
      </c>
      <c r="J184" s="123">
        <v>0</v>
      </c>
      <c r="K184" s="123">
        <v>26</v>
      </c>
      <c r="L184" s="123">
        <v>0</v>
      </c>
      <c r="M184" s="123">
        <v>0</v>
      </c>
      <c r="N184" s="123">
        <v>0</v>
      </c>
      <c r="O184" s="123">
        <v>0</v>
      </c>
      <c r="P184" s="7" t="s">
        <v>13</v>
      </c>
      <c r="Q184" s="9"/>
    </row>
    <row r="185" spans="1:17" ht="12.75" customHeight="1" thickBot="1" x14ac:dyDescent="0.25">
      <c r="A185" s="123">
        <f t="shared" si="5"/>
        <v>300</v>
      </c>
      <c r="B185" s="123">
        <f t="shared" si="6"/>
        <v>108</v>
      </c>
      <c r="C185" s="123">
        <f t="shared" si="6"/>
        <v>192</v>
      </c>
      <c r="D185" s="123">
        <v>0</v>
      </c>
      <c r="E185" s="123">
        <v>0</v>
      </c>
      <c r="F185" s="123">
        <v>23</v>
      </c>
      <c r="G185" s="123">
        <v>34</v>
      </c>
      <c r="H185" s="123">
        <v>35</v>
      </c>
      <c r="I185" s="123">
        <v>13</v>
      </c>
      <c r="J185" s="123">
        <v>43</v>
      </c>
      <c r="K185" s="123">
        <v>62</v>
      </c>
      <c r="L185" s="123">
        <v>4</v>
      </c>
      <c r="M185" s="123">
        <v>51</v>
      </c>
      <c r="N185" s="123">
        <v>3</v>
      </c>
      <c r="O185" s="123">
        <v>32</v>
      </c>
      <c r="P185" s="7" t="s">
        <v>163</v>
      </c>
      <c r="Q185" s="124"/>
    </row>
    <row r="186" spans="1:17" ht="12.75" customHeight="1" thickBot="1" x14ac:dyDescent="0.25">
      <c r="A186" s="123">
        <f t="shared" si="5"/>
        <v>97</v>
      </c>
      <c r="B186" s="123">
        <f t="shared" si="6"/>
        <v>26</v>
      </c>
      <c r="C186" s="123">
        <f t="shared" si="6"/>
        <v>71</v>
      </c>
      <c r="D186" s="123">
        <v>1</v>
      </c>
      <c r="E186" s="123">
        <v>0</v>
      </c>
      <c r="F186" s="123">
        <v>0</v>
      </c>
      <c r="G186" s="123">
        <v>0</v>
      </c>
      <c r="H186" s="123">
        <v>4</v>
      </c>
      <c r="I186" s="123">
        <v>12</v>
      </c>
      <c r="J186" s="123">
        <v>10</v>
      </c>
      <c r="K186" s="123">
        <v>25</v>
      </c>
      <c r="L186" s="123">
        <v>8</v>
      </c>
      <c r="M186" s="123">
        <v>15</v>
      </c>
      <c r="N186" s="123">
        <v>3</v>
      </c>
      <c r="O186" s="123">
        <v>19</v>
      </c>
      <c r="P186" s="7" t="s">
        <v>162</v>
      </c>
      <c r="Q186" s="124" t="s">
        <v>363</v>
      </c>
    </row>
    <row r="187" spans="1:17" ht="12.75" customHeight="1" thickBot="1" x14ac:dyDescent="0.25">
      <c r="A187" s="123">
        <f t="shared" si="5"/>
        <v>397</v>
      </c>
      <c r="B187" s="123">
        <f t="shared" si="6"/>
        <v>134</v>
      </c>
      <c r="C187" s="123">
        <f t="shared" si="6"/>
        <v>263</v>
      </c>
      <c r="D187" s="123">
        <v>1</v>
      </c>
      <c r="E187" s="123">
        <v>0</v>
      </c>
      <c r="F187" s="123">
        <v>23</v>
      </c>
      <c r="G187" s="123">
        <v>34</v>
      </c>
      <c r="H187" s="123">
        <v>39</v>
      </c>
      <c r="I187" s="123">
        <v>25</v>
      </c>
      <c r="J187" s="123">
        <v>53</v>
      </c>
      <c r="K187" s="123">
        <v>87</v>
      </c>
      <c r="L187" s="123">
        <v>12</v>
      </c>
      <c r="M187" s="123">
        <v>66</v>
      </c>
      <c r="N187" s="123">
        <v>6</v>
      </c>
      <c r="O187" s="123">
        <v>51</v>
      </c>
      <c r="P187" s="7" t="s">
        <v>13</v>
      </c>
      <c r="Q187" s="9"/>
    </row>
    <row r="188" spans="1:17" ht="12.75" customHeight="1" thickBot="1" x14ac:dyDescent="0.25">
      <c r="A188" s="123">
        <f t="shared" si="5"/>
        <v>409</v>
      </c>
      <c r="B188" s="123">
        <f t="shared" si="6"/>
        <v>163</v>
      </c>
      <c r="C188" s="123">
        <f t="shared" si="6"/>
        <v>246</v>
      </c>
      <c r="D188" s="123">
        <v>0</v>
      </c>
      <c r="E188" s="123">
        <v>0</v>
      </c>
      <c r="F188" s="123">
        <v>52</v>
      </c>
      <c r="G188" s="123">
        <v>25</v>
      </c>
      <c r="H188" s="123">
        <v>60</v>
      </c>
      <c r="I188" s="123">
        <v>17</v>
      </c>
      <c r="J188" s="123">
        <v>39</v>
      </c>
      <c r="K188" s="123">
        <v>94</v>
      </c>
      <c r="L188" s="123">
        <v>5</v>
      </c>
      <c r="M188" s="123">
        <v>76</v>
      </c>
      <c r="N188" s="123">
        <v>7</v>
      </c>
      <c r="O188" s="123">
        <v>34</v>
      </c>
      <c r="P188" s="7" t="s">
        <v>163</v>
      </c>
      <c r="Q188" s="124"/>
    </row>
    <row r="189" spans="1:17" ht="12.75" customHeight="1" thickBot="1" x14ac:dyDescent="0.25">
      <c r="A189" s="123">
        <f t="shared" si="5"/>
        <v>82</v>
      </c>
      <c r="B189" s="123">
        <f t="shared" si="6"/>
        <v>27</v>
      </c>
      <c r="C189" s="123">
        <f t="shared" si="6"/>
        <v>55</v>
      </c>
      <c r="D189" s="123">
        <v>0</v>
      </c>
      <c r="E189" s="123">
        <v>0</v>
      </c>
      <c r="F189" s="123">
        <v>0</v>
      </c>
      <c r="G189" s="123">
        <v>1</v>
      </c>
      <c r="H189" s="123">
        <v>1</v>
      </c>
      <c r="I189" s="123">
        <v>2</v>
      </c>
      <c r="J189" s="123">
        <v>20</v>
      </c>
      <c r="K189" s="123">
        <v>15</v>
      </c>
      <c r="L189" s="123">
        <v>3</v>
      </c>
      <c r="M189" s="123">
        <v>20</v>
      </c>
      <c r="N189" s="123">
        <v>3</v>
      </c>
      <c r="O189" s="123">
        <v>17</v>
      </c>
      <c r="P189" s="7" t="s">
        <v>162</v>
      </c>
      <c r="Q189" s="124" t="s">
        <v>364</v>
      </c>
    </row>
    <row r="190" spans="1:17" ht="12.75" customHeight="1" thickBot="1" x14ac:dyDescent="0.25">
      <c r="A190" s="123">
        <f t="shared" si="5"/>
        <v>491</v>
      </c>
      <c r="B190" s="123">
        <f t="shared" si="6"/>
        <v>190</v>
      </c>
      <c r="C190" s="123">
        <f t="shared" si="6"/>
        <v>301</v>
      </c>
      <c r="D190" s="123">
        <v>0</v>
      </c>
      <c r="E190" s="123">
        <v>0</v>
      </c>
      <c r="F190" s="123">
        <v>52</v>
      </c>
      <c r="G190" s="123">
        <v>26</v>
      </c>
      <c r="H190" s="123">
        <v>61</v>
      </c>
      <c r="I190" s="123">
        <v>19</v>
      </c>
      <c r="J190" s="123">
        <v>59</v>
      </c>
      <c r="K190" s="123">
        <v>109</v>
      </c>
      <c r="L190" s="123">
        <v>8</v>
      </c>
      <c r="M190" s="123">
        <v>96</v>
      </c>
      <c r="N190" s="123">
        <v>10</v>
      </c>
      <c r="O190" s="123">
        <v>51</v>
      </c>
      <c r="P190" s="7" t="s">
        <v>13</v>
      </c>
      <c r="Q190" s="9"/>
    </row>
    <row r="191" spans="1:17" ht="12.75" customHeight="1" thickBot="1" x14ac:dyDescent="0.25">
      <c r="A191" s="123">
        <f t="shared" si="5"/>
        <v>286</v>
      </c>
      <c r="B191" s="123">
        <f t="shared" si="6"/>
        <v>57</v>
      </c>
      <c r="C191" s="123">
        <f t="shared" si="6"/>
        <v>229</v>
      </c>
      <c r="D191" s="123">
        <v>0</v>
      </c>
      <c r="E191" s="123">
        <v>0</v>
      </c>
      <c r="F191" s="123">
        <v>19</v>
      </c>
      <c r="G191" s="123">
        <v>47</v>
      </c>
      <c r="H191" s="123">
        <v>1</v>
      </c>
      <c r="I191" s="123">
        <v>1</v>
      </c>
      <c r="J191" s="123">
        <v>23</v>
      </c>
      <c r="K191" s="123">
        <v>88</v>
      </c>
      <c r="L191" s="123">
        <v>10</v>
      </c>
      <c r="M191" s="123">
        <v>37</v>
      </c>
      <c r="N191" s="123">
        <v>4</v>
      </c>
      <c r="O191" s="123">
        <v>56</v>
      </c>
      <c r="P191" s="7" t="s">
        <v>163</v>
      </c>
      <c r="Q191" s="124"/>
    </row>
    <row r="192" spans="1:17" ht="12.75" customHeight="1" thickBot="1" x14ac:dyDescent="0.25">
      <c r="A192" s="123">
        <f t="shared" si="5"/>
        <v>94</v>
      </c>
      <c r="B192" s="123">
        <f t="shared" si="6"/>
        <v>18</v>
      </c>
      <c r="C192" s="123">
        <f t="shared" si="6"/>
        <v>76</v>
      </c>
      <c r="D192" s="123">
        <v>0</v>
      </c>
      <c r="E192" s="123">
        <v>0</v>
      </c>
      <c r="F192" s="123">
        <v>0</v>
      </c>
      <c r="G192" s="123">
        <v>1</v>
      </c>
      <c r="H192" s="123">
        <v>1</v>
      </c>
      <c r="I192" s="123">
        <v>4</v>
      </c>
      <c r="J192" s="123">
        <v>7</v>
      </c>
      <c r="K192" s="123">
        <v>33</v>
      </c>
      <c r="L192" s="123">
        <v>9</v>
      </c>
      <c r="M192" s="123">
        <v>22</v>
      </c>
      <c r="N192" s="123">
        <v>1</v>
      </c>
      <c r="O192" s="123">
        <v>16</v>
      </c>
      <c r="P192" s="7" t="s">
        <v>162</v>
      </c>
      <c r="Q192" s="124" t="s">
        <v>263</v>
      </c>
    </row>
    <row r="193" spans="1:17" ht="12.75" customHeight="1" thickBot="1" x14ac:dyDescent="0.25">
      <c r="A193" s="123">
        <f t="shared" si="5"/>
        <v>380</v>
      </c>
      <c r="B193" s="123">
        <f t="shared" si="6"/>
        <v>75</v>
      </c>
      <c r="C193" s="123">
        <f t="shared" si="6"/>
        <v>305</v>
      </c>
      <c r="D193" s="123">
        <v>0</v>
      </c>
      <c r="E193" s="123">
        <v>0</v>
      </c>
      <c r="F193" s="123">
        <v>19</v>
      </c>
      <c r="G193" s="123">
        <v>48</v>
      </c>
      <c r="H193" s="123">
        <v>2</v>
      </c>
      <c r="I193" s="123">
        <v>5</v>
      </c>
      <c r="J193" s="123">
        <v>30</v>
      </c>
      <c r="K193" s="123">
        <v>121</v>
      </c>
      <c r="L193" s="123">
        <v>19</v>
      </c>
      <c r="M193" s="123">
        <v>59</v>
      </c>
      <c r="N193" s="123">
        <v>5</v>
      </c>
      <c r="O193" s="123">
        <v>72</v>
      </c>
      <c r="P193" s="7" t="s">
        <v>13</v>
      </c>
      <c r="Q193" s="9"/>
    </row>
    <row r="194" spans="1:17" ht="12.75" customHeight="1" thickBot="1" x14ac:dyDescent="0.25">
      <c r="A194" s="123">
        <f t="shared" si="5"/>
        <v>122</v>
      </c>
      <c r="B194" s="123">
        <f t="shared" si="6"/>
        <v>55</v>
      </c>
      <c r="C194" s="123">
        <f t="shared" si="6"/>
        <v>67</v>
      </c>
      <c r="D194" s="123">
        <v>0</v>
      </c>
      <c r="E194" s="123">
        <v>0</v>
      </c>
      <c r="F194" s="123">
        <v>21</v>
      </c>
      <c r="G194" s="123">
        <v>10</v>
      </c>
      <c r="H194" s="123">
        <v>2</v>
      </c>
      <c r="I194" s="123">
        <v>2</v>
      </c>
      <c r="J194" s="123">
        <v>19</v>
      </c>
      <c r="K194" s="123">
        <v>36</v>
      </c>
      <c r="L194" s="123">
        <v>13</v>
      </c>
      <c r="M194" s="123">
        <v>10</v>
      </c>
      <c r="N194" s="123">
        <v>0</v>
      </c>
      <c r="O194" s="123">
        <v>9</v>
      </c>
      <c r="P194" s="7" t="s">
        <v>163</v>
      </c>
      <c r="Q194" s="124"/>
    </row>
    <row r="195" spans="1:17" ht="12.75" customHeight="1" thickBot="1" x14ac:dyDescent="0.25">
      <c r="A195" s="123">
        <f t="shared" si="5"/>
        <v>34</v>
      </c>
      <c r="B195" s="123">
        <f t="shared" si="6"/>
        <v>6</v>
      </c>
      <c r="C195" s="123">
        <f t="shared" si="6"/>
        <v>28</v>
      </c>
      <c r="D195" s="123">
        <v>0</v>
      </c>
      <c r="E195" s="123">
        <v>0</v>
      </c>
      <c r="F195" s="123">
        <v>0</v>
      </c>
      <c r="G195" s="123">
        <v>1</v>
      </c>
      <c r="H195" s="123">
        <v>0</v>
      </c>
      <c r="I195" s="123">
        <v>2</v>
      </c>
      <c r="J195" s="123">
        <v>2</v>
      </c>
      <c r="K195" s="123">
        <v>4</v>
      </c>
      <c r="L195" s="123">
        <v>0</v>
      </c>
      <c r="M195" s="123">
        <v>10</v>
      </c>
      <c r="N195" s="123">
        <v>4</v>
      </c>
      <c r="O195" s="123">
        <v>11</v>
      </c>
      <c r="P195" s="7" t="s">
        <v>162</v>
      </c>
      <c r="Q195" s="124" t="s">
        <v>244</v>
      </c>
    </row>
    <row r="196" spans="1:17" ht="12.75" customHeight="1" thickBot="1" x14ac:dyDescent="0.25">
      <c r="A196" s="123">
        <f t="shared" si="5"/>
        <v>156</v>
      </c>
      <c r="B196" s="123">
        <f t="shared" si="6"/>
        <v>61</v>
      </c>
      <c r="C196" s="123">
        <f t="shared" si="6"/>
        <v>95</v>
      </c>
      <c r="D196" s="123">
        <v>0</v>
      </c>
      <c r="E196" s="123">
        <v>0</v>
      </c>
      <c r="F196" s="123">
        <v>21</v>
      </c>
      <c r="G196" s="123">
        <v>11</v>
      </c>
      <c r="H196" s="123">
        <v>2</v>
      </c>
      <c r="I196" s="123">
        <v>4</v>
      </c>
      <c r="J196" s="123">
        <v>21</v>
      </c>
      <c r="K196" s="123">
        <v>40</v>
      </c>
      <c r="L196" s="123">
        <v>13</v>
      </c>
      <c r="M196" s="123">
        <v>20</v>
      </c>
      <c r="N196" s="123">
        <v>4</v>
      </c>
      <c r="O196" s="123">
        <v>20</v>
      </c>
      <c r="P196" s="7" t="s">
        <v>13</v>
      </c>
      <c r="Q196" s="9"/>
    </row>
    <row r="197" spans="1:17" ht="12.75" customHeight="1" thickBot="1" x14ac:dyDescent="0.25">
      <c r="A197" s="123">
        <f t="shared" si="5"/>
        <v>287</v>
      </c>
      <c r="B197" s="123">
        <f t="shared" si="6"/>
        <v>103</v>
      </c>
      <c r="C197" s="123">
        <f t="shared" si="6"/>
        <v>184</v>
      </c>
      <c r="D197" s="123">
        <v>0</v>
      </c>
      <c r="E197" s="123">
        <v>0</v>
      </c>
      <c r="F197" s="123">
        <v>36</v>
      </c>
      <c r="G197" s="123">
        <v>17</v>
      </c>
      <c r="H197" s="123">
        <v>31</v>
      </c>
      <c r="I197" s="123">
        <v>7</v>
      </c>
      <c r="J197" s="123">
        <v>33</v>
      </c>
      <c r="K197" s="123">
        <v>52</v>
      </c>
      <c r="L197" s="123">
        <v>3</v>
      </c>
      <c r="M197" s="123">
        <v>45</v>
      </c>
      <c r="N197" s="123">
        <v>0</v>
      </c>
      <c r="O197" s="123">
        <v>63</v>
      </c>
      <c r="P197" s="7" t="s">
        <v>163</v>
      </c>
      <c r="Q197" s="124"/>
    </row>
    <row r="198" spans="1:17" ht="12.75" customHeight="1" thickBot="1" x14ac:dyDescent="0.25">
      <c r="A198" s="123">
        <f t="shared" si="5"/>
        <v>163</v>
      </c>
      <c r="B198" s="123">
        <f t="shared" si="6"/>
        <v>43</v>
      </c>
      <c r="C198" s="123">
        <f t="shared" si="6"/>
        <v>120</v>
      </c>
      <c r="D198" s="123">
        <v>0</v>
      </c>
      <c r="E198" s="123">
        <v>0</v>
      </c>
      <c r="F198" s="123">
        <v>0</v>
      </c>
      <c r="G198" s="123">
        <v>14</v>
      </c>
      <c r="H198" s="123">
        <v>3</v>
      </c>
      <c r="I198" s="123">
        <v>2</v>
      </c>
      <c r="J198" s="123">
        <v>22</v>
      </c>
      <c r="K198" s="123">
        <v>37</v>
      </c>
      <c r="L198" s="123">
        <v>10</v>
      </c>
      <c r="M198" s="123">
        <v>38</v>
      </c>
      <c r="N198" s="123">
        <v>8</v>
      </c>
      <c r="O198" s="123">
        <v>29</v>
      </c>
      <c r="P198" s="7" t="s">
        <v>162</v>
      </c>
      <c r="Q198" s="124" t="s">
        <v>365</v>
      </c>
    </row>
    <row r="199" spans="1:17" ht="12.75" customHeight="1" thickBot="1" x14ac:dyDescent="0.25">
      <c r="A199" s="123">
        <f t="shared" si="5"/>
        <v>450</v>
      </c>
      <c r="B199" s="123">
        <f t="shared" si="6"/>
        <v>146</v>
      </c>
      <c r="C199" s="123">
        <f t="shared" si="6"/>
        <v>304</v>
      </c>
      <c r="D199" s="123">
        <v>0</v>
      </c>
      <c r="E199" s="123">
        <v>0</v>
      </c>
      <c r="F199" s="123">
        <v>36</v>
      </c>
      <c r="G199" s="123">
        <v>31</v>
      </c>
      <c r="H199" s="123">
        <v>34</v>
      </c>
      <c r="I199" s="123">
        <v>9</v>
      </c>
      <c r="J199" s="123">
        <v>55</v>
      </c>
      <c r="K199" s="123">
        <v>89</v>
      </c>
      <c r="L199" s="123">
        <v>13</v>
      </c>
      <c r="M199" s="123">
        <v>83</v>
      </c>
      <c r="N199" s="123">
        <v>8</v>
      </c>
      <c r="O199" s="123">
        <v>92</v>
      </c>
      <c r="P199" s="7" t="s">
        <v>13</v>
      </c>
      <c r="Q199" s="9"/>
    </row>
    <row r="200" spans="1:17" ht="12.75" customHeight="1" thickBot="1" x14ac:dyDescent="0.25">
      <c r="A200" s="123">
        <f t="shared" si="5"/>
        <v>168</v>
      </c>
      <c r="B200" s="123">
        <f t="shared" si="6"/>
        <v>62</v>
      </c>
      <c r="C200" s="123">
        <f t="shared" si="6"/>
        <v>106</v>
      </c>
      <c r="D200" s="123">
        <v>0</v>
      </c>
      <c r="E200" s="123">
        <v>0</v>
      </c>
      <c r="F200" s="123">
        <v>27</v>
      </c>
      <c r="G200" s="123">
        <v>13</v>
      </c>
      <c r="H200" s="123">
        <v>31</v>
      </c>
      <c r="I200" s="123">
        <v>8</v>
      </c>
      <c r="J200" s="123">
        <v>2</v>
      </c>
      <c r="K200" s="123">
        <v>50</v>
      </c>
      <c r="L200" s="123">
        <v>2</v>
      </c>
      <c r="M200" s="123">
        <v>21</v>
      </c>
      <c r="N200" s="123">
        <v>0</v>
      </c>
      <c r="O200" s="123">
        <v>14</v>
      </c>
      <c r="P200" s="7" t="s">
        <v>163</v>
      </c>
      <c r="Q200" s="124"/>
    </row>
    <row r="201" spans="1:17" ht="12.75" customHeight="1" thickBot="1" x14ac:dyDescent="0.25">
      <c r="A201" s="123">
        <f t="shared" si="5"/>
        <v>55</v>
      </c>
      <c r="B201" s="123">
        <f t="shared" si="6"/>
        <v>13</v>
      </c>
      <c r="C201" s="123">
        <f t="shared" si="6"/>
        <v>42</v>
      </c>
      <c r="D201" s="123">
        <v>0</v>
      </c>
      <c r="E201" s="123">
        <v>0</v>
      </c>
      <c r="F201" s="123">
        <v>0</v>
      </c>
      <c r="G201" s="123">
        <v>0</v>
      </c>
      <c r="H201" s="123">
        <v>1</v>
      </c>
      <c r="I201" s="123">
        <v>2</v>
      </c>
      <c r="J201" s="123">
        <v>7</v>
      </c>
      <c r="K201" s="123">
        <v>16</v>
      </c>
      <c r="L201" s="123">
        <v>4</v>
      </c>
      <c r="M201" s="123">
        <v>17</v>
      </c>
      <c r="N201" s="123">
        <v>1</v>
      </c>
      <c r="O201" s="123">
        <v>7</v>
      </c>
      <c r="P201" s="7" t="s">
        <v>162</v>
      </c>
      <c r="Q201" s="124" t="s">
        <v>625</v>
      </c>
    </row>
    <row r="202" spans="1:17" ht="12.75" customHeight="1" thickBot="1" x14ac:dyDescent="0.25">
      <c r="A202" s="123">
        <f t="shared" si="5"/>
        <v>223</v>
      </c>
      <c r="B202" s="123">
        <f t="shared" si="6"/>
        <v>75</v>
      </c>
      <c r="C202" s="123">
        <f t="shared" si="6"/>
        <v>148</v>
      </c>
      <c r="D202" s="123">
        <v>0</v>
      </c>
      <c r="E202" s="123">
        <v>0</v>
      </c>
      <c r="F202" s="123">
        <v>27</v>
      </c>
      <c r="G202" s="123">
        <v>13</v>
      </c>
      <c r="H202" s="123">
        <v>32</v>
      </c>
      <c r="I202" s="123">
        <v>10</v>
      </c>
      <c r="J202" s="123">
        <v>9</v>
      </c>
      <c r="K202" s="123">
        <v>66</v>
      </c>
      <c r="L202" s="123">
        <v>6</v>
      </c>
      <c r="M202" s="123">
        <v>38</v>
      </c>
      <c r="N202" s="123">
        <v>1</v>
      </c>
      <c r="O202" s="123">
        <v>21</v>
      </c>
      <c r="P202" s="7" t="s">
        <v>13</v>
      </c>
      <c r="Q202" s="9"/>
    </row>
    <row r="203" spans="1:17" ht="12.75" customHeight="1" thickBot="1" x14ac:dyDescent="0.25">
      <c r="A203" s="123">
        <f t="shared" si="5"/>
        <v>88</v>
      </c>
      <c r="B203" s="123">
        <f t="shared" si="6"/>
        <v>36</v>
      </c>
      <c r="C203" s="123">
        <f t="shared" si="6"/>
        <v>52</v>
      </c>
      <c r="D203" s="123">
        <v>0</v>
      </c>
      <c r="E203" s="123">
        <v>0</v>
      </c>
      <c r="F203" s="123">
        <v>16</v>
      </c>
      <c r="G203" s="123">
        <v>14</v>
      </c>
      <c r="H203" s="123">
        <v>14</v>
      </c>
      <c r="I203" s="123">
        <v>4</v>
      </c>
      <c r="J203" s="123">
        <v>6</v>
      </c>
      <c r="K203" s="123">
        <v>21</v>
      </c>
      <c r="L203" s="123">
        <v>0</v>
      </c>
      <c r="M203" s="123">
        <v>13</v>
      </c>
      <c r="N203" s="123">
        <v>0</v>
      </c>
      <c r="O203" s="123">
        <v>0</v>
      </c>
      <c r="P203" s="7" t="s">
        <v>163</v>
      </c>
      <c r="Q203" s="124"/>
    </row>
    <row r="204" spans="1:17" ht="12.75" customHeight="1" thickBot="1" x14ac:dyDescent="0.25">
      <c r="A204" s="123">
        <f t="shared" si="5"/>
        <v>69</v>
      </c>
      <c r="B204" s="123">
        <f t="shared" si="6"/>
        <v>8</v>
      </c>
      <c r="C204" s="123">
        <f t="shared" si="6"/>
        <v>61</v>
      </c>
      <c r="D204" s="123">
        <v>0</v>
      </c>
      <c r="E204" s="123">
        <v>0</v>
      </c>
      <c r="F204" s="123">
        <v>0</v>
      </c>
      <c r="G204" s="123">
        <v>0</v>
      </c>
      <c r="H204" s="123">
        <v>0</v>
      </c>
      <c r="I204" s="123">
        <v>27</v>
      </c>
      <c r="J204" s="123">
        <v>3</v>
      </c>
      <c r="K204" s="123">
        <v>24</v>
      </c>
      <c r="L204" s="123">
        <v>4</v>
      </c>
      <c r="M204" s="123">
        <v>7</v>
      </c>
      <c r="N204" s="123">
        <v>1</v>
      </c>
      <c r="O204" s="123">
        <v>3</v>
      </c>
      <c r="P204" s="7" t="s">
        <v>162</v>
      </c>
      <c r="Q204" s="124" t="s">
        <v>355</v>
      </c>
    </row>
    <row r="205" spans="1:17" ht="12.75" customHeight="1" thickBot="1" x14ac:dyDescent="0.25">
      <c r="A205" s="123">
        <f t="shared" si="5"/>
        <v>157</v>
      </c>
      <c r="B205" s="123">
        <f t="shared" si="6"/>
        <v>44</v>
      </c>
      <c r="C205" s="123">
        <f t="shared" si="6"/>
        <v>113</v>
      </c>
      <c r="D205" s="123">
        <v>0</v>
      </c>
      <c r="E205" s="123">
        <v>0</v>
      </c>
      <c r="F205" s="123">
        <v>16</v>
      </c>
      <c r="G205" s="123">
        <v>14</v>
      </c>
      <c r="H205" s="123">
        <v>14</v>
      </c>
      <c r="I205" s="123">
        <v>31</v>
      </c>
      <c r="J205" s="123">
        <v>9</v>
      </c>
      <c r="K205" s="123">
        <v>45</v>
      </c>
      <c r="L205" s="123">
        <v>4</v>
      </c>
      <c r="M205" s="123">
        <v>20</v>
      </c>
      <c r="N205" s="123">
        <v>1</v>
      </c>
      <c r="O205" s="123">
        <v>3</v>
      </c>
      <c r="P205" s="7" t="s">
        <v>13</v>
      </c>
      <c r="Q205" s="9"/>
    </row>
    <row r="206" spans="1:17" ht="12.75" customHeight="1" thickBot="1" x14ac:dyDescent="0.25">
      <c r="A206" s="123">
        <f t="shared" si="5"/>
        <v>64</v>
      </c>
      <c r="B206" s="123">
        <f t="shared" si="6"/>
        <v>0</v>
      </c>
      <c r="C206" s="123">
        <f t="shared" si="6"/>
        <v>64</v>
      </c>
      <c r="D206" s="123">
        <v>0</v>
      </c>
      <c r="E206" s="123">
        <v>0</v>
      </c>
      <c r="F206" s="123">
        <v>0</v>
      </c>
      <c r="G206" s="123">
        <v>17</v>
      </c>
      <c r="H206" s="123">
        <v>0</v>
      </c>
      <c r="I206" s="123">
        <v>1</v>
      </c>
      <c r="J206" s="123">
        <v>0</v>
      </c>
      <c r="K206" s="123">
        <v>25</v>
      </c>
      <c r="L206" s="123">
        <v>0</v>
      </c>
      <c r="M206" s="123">
        <v>12</v>
      </c>
      <c r="N206" s="123">
        <v>0</v>
      </c>
      <c r="O206" s="123">
        <v>9</v>
      </c>
      <c r="P206" s="7" t="s">
        <v>163</v>
      </c>
      <c r="Q206" s="124"/>
    </row>
    <row r="207" spans="1:17" ht="12.75" customHeight="1" thickBot="1" x14ac:dyDescent="0.25">
      <c r="A207" s="123">
        <f t="shared" si="5"/>
        <v>30</v>
      </c>
      <c r="B207" s="123">
        <f t="shared" si="6"/>
        <v>0</v>
      </c>
      <c r="C207" s="123">
        <f t="shared" si="6"/>
        <v>30</v>
      </c>
      <c r="D207" s="123">
        <v>0</v>
      </c>
      <c r="E207" s="123">
        <v>0</v>
      </c>
      <c r="F207" s="123">
        <v>0</v>
      </c>
      <c r="G207" s="123">
        <v>0</v>
      </c>
      <c r="H207" s="123">
        <v>0</v>
      </c>
      <c r="I207" s="123">
        <v>0</v>
      </c>
      <c r="J207" s="123">
        <v>0</v>
      </c>
      <c r="K207" s="123">
        <v>14</v>
      </c>
      <c r="L207" s="123">
        <v>0</v>
      </c>
      <c r="M207" s="123">
        <v>8</v>
      </c>
      <c r="N207" s="123">
        <v>0</v>
      </c>
      <c r="O207" s="123">
        <v>8</v>
      </c>
      <c r="P207" s="7" t="s">
        <v>162</v>
      </c>
      <c r="Q207" s="124" t="s">
        <v>535</v>
      </c>
    </row>
    <row r="208" spans="1:17" ht="12.75" customHeight="1" thickBot="1" x14ac:dyDescent="0.25">
      <c r="A208" s="123">
        <f t="shared" si="5"/>
        <v>94</v>
      </c>
      <c r="B208" s="123">
        <f t="shared" si="6"/>
        <v>0</v>
      </c>
      <c r="C208" s="123">
        <f t="shared" si="6"/>
        <v>94</v>
      </c>
      <c r="D208" s="123">
        <v>0</v>
      </c>
      <c r="E208" s="123">
        <v>0</v>
      </c>
      <c r="F208" s="123">
        <v>0</v>
      </c>
      <c r="G208" s="123">
        <v>17</v>
      </c>
      <c r="H208" s="123">
        <v>0</v>
      </c>
      <c r="I208" s="123">
        <v>1</v>
      </c>
      <c r="J208" s="123">
        <v>0</v>
      </c>
      <c r="K208" s="123">
        <v>39</v>
      </c>
      <c r="L208" s="123">
        <v>0</v>
      </c>
      <c r="M208" s="123">
        <v>20</v>
      </c>
      <c r="N208" s="123">
        <v>0</v>
      </c>
      <c r="O208" s="123">
        <v>17</v>
      </c>
      <c r="P208" s="7" t="s">
        <v>13</v>
      </c>
      <c r="Q208" s="9"/>
    </row>
    <row r="209" spans="1:17" ht="12.75" customHeight="1" thickBot="1" x14ac:dyDescent="0.25">
      <c r="A209" s="123">
        <f t="shared" si="5"/>
        <v>138</v>
      </c>
      <c r="B209" s="123">
        <f t="shared" si="6"/>
        <v>0</v>
      </c>
      <c r="C209" s="123">
        <f t="shared" si="6"/>
        <v>138</v>
      </c>
      <c r="D209" s="123">
        <v>0</v>
      </c>
      <c r="E209" s="123">
        <v>0</v>
      </c>
      <c r="F209" s="123">
        <v>0</v>
      </c>
      <c r="G209" s="123">
        <v>17</v>
      </c>
      <c r="H209" s="123">
        <v>0</v>
      </c>
      <c r="I209" s="123">
        <v>7</v>
      </c>
      <c r="J209" s="123">
        <v>0</v>
      </c>
      <c r="K209" s="123">
        <v>35</v>
      </c>
      <c r="L209" s="123">
        <v>0</v>
      </c>
      <c r="M209" s="123">
        <v>43</v>
      </c>
      <c r="N209" s="123">
        <v>0</v>
      </c>
      <c r="O209" s="123">
        <v>36</v>
      </c>
      <c r="P209" s="7" t="s">
        <v>163</v>
      </c>
      <c r="Q209" s="124"/>
    </row>
    <row r="210" spans="1:17" ht="12.75" customHeight="1" thickBot="1" x14ac:dyDescent="0.25">
      <c r="A210" s="123">
        <f t="shared" si="5"/>
        <v>105</v>
      </c>
      <c r="B210" s="123">
        <f t="shared" si="6"/>
        <v>0</v>
      </c>
      <c r="C210" s="123">
        <f t="shared" si="6"/>
        <v>105</v>
      </c>
      <c r="D210" s="123">
        <v>0</v>
      </c>
      <c r="E210" s="123">
        <v>0</v>
      </c>
      <c r="F210" s="123">
        <v>0</v>
      </c>
      <c r="G210" s="123">
        <v>9</v>
      </c>
      <c r="H210" s="123">
        <v>0</v>
      </c>
      <c r="I210" s="123">
        <v>14</v>
      </c>
      <c r="J210" s="123">
        <v>0</v>
      </c>
      <c r="K210" s="123">
        <v>19</v>
      </c>
      <c r="L210" s="123">
        <v>0</v>
      </c>
      <c r="M210" s="123">
        <v>29</v>
      </c>
      <c r="N210" s="123">
        <v>0</v>
      </c>
      <c r="O210" s="123">
        <v>34</v>
      </c>
      <c r="P210" s="7" t="s">
        <v>162</v>
      </c>
      <c r="Q210" s="124" t="s">
        <v>377</v>
      </c>
    </row>
    <row r="211" spans="1:17" ht="12.75" customHeight="1" thickBot="1" x14ac:dyDescent="0.25">
      <c r="A211" s="123">
        <f t="shared" si="5"/>
        <v>243</v>
      </c>
      <c r="B211" s="123">
        <f t="shared" si="6"/>
        <v>0</v>
      </c>
      <c r="C211" s="123">
        <f t="shared" si="6"/>
        <v>243</v>
      </c>
      <c r="D211" s="123">
        <v>0</v>
      </c>
      <c r="E211" s="123">
        <v>0</v>
      </c>
      <c r="F211" s="123">
        <v>0</v>
      </c>
      <c r="G211" s="123">
        <v>26</v>
      </c>
      <c r="H211" s="123">
        <v>0</v>
      </c>
      <c r="I211" s="123">
        <v>21</v>
      </c>
      <c r="J211" s="123">
        <v>0</v>
      </c>
      <c r="K211" s="123">
        <v>54</v>
      </c>
      <c r="L211" s="123">
        <v>0</v>
      </c>
      <c r="M211" s="123">
        <v>72</v>
      </c>
      <c r="N211" s="123">
        <v>0</v>
      </c>
      <c r="O211" s="123">
        <v>70</v>
      </c>
      <c r="P211" s="7" t="s">
        <v>13</v>
      </c>
      <c r="Q211" s="9"/>
    </row>
    <row r="212" spans="1:17" ht="12.75" customHeight="1" thickBot="1" x14ac:dyDescent="0.25">
      <c r="A212" s="123">
        <f t="shared" si="5"/>
        <v>98</v>
      </c>
      <c r="B212" s="123">
        <f t="shared" si="6"/>
        <v>56</v>
      </c>
      <c r="C212" s="123">
        <f t="shared" si="6"/>
        <v>42</v>
      </c>
      <c r="D212" s="123">
        <v>0</v>
      </c>
      <c r="E212" s="123">
        <v>0</v>
      </c>
      <c r="F212" s="123">
        <v>35</v>
      </c>
      <c r="G212" s="123">
        <v>11</v>
      </c>
      <c r="H212" s="123">
        <v>9</v>
      </c>
      <c r="I212" s="123">
        <v>2</v>
      </c>
      <c r="J212" s="123">
        <v>11</v>
      </c>
      <c r="K212" s="123">
        <v>18</v>
      </c>
      <c r="L212" s="123">
        <v>1</v>
      </c>
      <c r="M212" s="123">
        <v>7</v>
      </c>
      <c r="N212" s="123">
        <v>0</v>
      </c>
      <c r="O212" s="123">
        <v>4</v>
      </c>
      <c r="P212" s="7" t="s">
        <v>163</v>
      </c>
      <c r="Q212" s="124"/>
    </row>
    <row r="213" spans="1:17" ht="12.75" customHeight="1" thickBot="1" x14ac:dyDescent="0.25">
      <c r="A213" s="123">
        <f t="shared" si="5"/>
        <v>64</v>
      </c>
      <c r="B213" s="123">
        <f t="shared" si="6"/>
        <v>21</v>
      </c>
      <c r="C213" s="123">
        <f t="shared" si="6"/>
        <v>43</v>
      </c>
      <c r="D213" s="123">
        <v>0</v>
      </c>
      <c r="E213" s="123">
        <v>0</v>
      </c>
      <c r="F213" s="123">
        <v>0</v>
      </c>
      <c r="G213" s="123">
        <v>0</v>
      </c>
      <c r="H213" s="123">
        <v>3</v>
      </c>
      <c r="I213" s="123">
        <v>6</v>
      </c>
      <c r="J213" s="123">
        <v>11</v>
      </c>
      <c r="K213" s="123">
        <v>13</v>
      </c>
      <c r="L213" s="123">
        <v>7</v>
      </c>
      <c r="M213" s="123">
        <v>16</v>
      </c>
      <c r="N213" s="123">
        <v>0</v>
      </c>
      <c r="O213" s="123">
        <v>8</v>
      </c>
      <c r="P213" s="7" t="s">
        <v>162</v>
      </c>
      <c r="Q213" s="124" t="s">
        <v>536</v>
      </c>
    </row>
    <row r="214" spans="1:17" ht="12.75" customHeight="1" thickBot="1" x14ac:dyDescent="0.25">
      <c r="A214" s="123">
        <f t="shared" si="5"/>
        <v>162</v>
      </c>
      <c r="B214" s="123">
        <f t="shared" si="6"/>
        <v>77</v>
      </c>
      <c r="C214" s="123">
        <f t="shared" si="6"/>
        <v>85</v>
      </c>
      <c r="D214" s="123">
        <v>0</v>
      </c>
      <c r="E214" s="123">
        <v>0</v>
      </c>
      <c r="F214" s="123">
        <v>35</v>
      </c>
      <c r="G214" s="123">
        <v>11</v>
      </c>
      <c r="H214" s="123">
        <v>12</v>
      </c>
      <c r="I214" s="123">
        <v>8</v>
      </c>
      <c r="J214" s="123">
        <v>22</v>
      </c>
      <c r="K214" s="123">
        <v>31</v>
      </c>
      <c r="L214" s="123">
        <v>8</v>
      </c>
      <c r="M214" s="123">
        <v>23</v>
      </c>
      <c r="N214" s="123">
        <v>0</v>
      </c>
      <c r="O214" s="123">
        <v>12</v>
      </c>
      <c r="P214" s="7" t="s">
        <v>13</v>
      </c>
      <c r="Q214" s="9"/>
    </row>
    <row r="215" spans="1:17" ht="12.75" customHeight="1" thickBot="1" x14ac:dyDescent="0.25">
      <c r="A215" s="123">
        <f t="shared" si="5"/>
        <v>12</v>
      </c>
      <c r="B215" s="123">
        <f t="shared" si="6"/>
        <v>0</v>
      </c>
      <c r="C215" s="123">
        <f t="shared" si="6"/>
        <v>12</v>
      </c>
      <c r="D215" s="123">
        <v>0</v>
      </c>
      <c r="E215" s="123">
        <v>0</v>
      </c>
      <c r="F215" s="123">
        <v>0</v>
      </c>
      <c r="G215" s="123">
        <v>0</v>
      </c>
      <c r="H215" s="123">
        <v>0</v>
      </c>
      <c r="I215" s="123">
        <v>2</v>
      </c>
      <c r="J215" s="123">
        <v>0</v>
      </c>
      <c r="K215" s="123">
        <v>7</v>
      </c>
      <c r="L215" s="123">
        <v>0</v>
      </c>
      <c r="M215" s="123">
        <v>3</v>
      </c>
      <c r="N215" s="123">
        <v>0</v>
      </c>
      <c r="O215" s="123">
        <v>0</v>
      </c>
      <c r="P215" s="7" t="s">
        <v>163</v>
      </c>
      <c r="Q215" s="124"/>
    </row>
    <row r="216" spans="1:17" ht="12.75" customHeight="1" thickBot="1" x14ac:dyDescent="0.25">
      <c r="A216" s="123">
        <f t="shared" si="5"/>
        <v>4</v>
      </c>
      <c r="B216" s="123">
        <f t="shared" si="6"/>
        <v>0</v>
      </c>
      <c r="C216" s="123">
        <f t="shared" si="6"/>
        <v>4</v>
      </c>
      <c r="D216" s="123">
        <v>0</v>
      </c>
      <c r="E216" s="123">
        <v>4</v>
      </c>
      <c r="F216" s="123">
        <v>0</v>
      </c>
      <c r="G216" s="123">
        <v>0</v>
      </c>
      <c r="H216" s="123">
        <v>0</v>
      </c>
      <c r="I216" s="123">
        <v>0</v>
      </c>
      <c r="J216" s="123">
        <v>0</v>
      </c>
      <c r="K216" s="123">
        <v>0</v>
      </c>
      <c r="L216" s="123">
        <v>0</v>
      </c>
      <c r="M216" s="123">
        <v>0</v>
      </c>
      <c r="N216" s="123">
        <v>0</v>
      </c>
      <c r="O216" s="123">
        <v>0</v>
      </c>
      <c r="P216" s="7" t="s">
        <v>162</v>
      </c>
      <c r="Q216" s="124" t="s">
        <v>245</v>
      </c>
    </row>
    <row r="217" spans="1:17" ht="12.75" customHeight="1" thickBot="1" x14ac:dyDescent="0.25">
      <c r="A217" s="123">
        <f t="shared" si="5"/>
        <v>16</v>
      </c>
      <c r="B217" s="123">
        <f t="shared" si="6"/>
        <v>0</v>
      </c>
      <c r="C217" s="123">
        <f t="shared" si="6"/>
        <v>16</v>
      </c>
      <c r="D217" s="123">
        <v>0</v>
      </c>
      <c r="E217" s="123">
        <v>4</v>
      </c>
      <c r="F217" s="123">
        <v>0</v>
      </c>
      <c r="G217" s="123">
        <v>0</v>
      </c>
      <c r="H217" s="123">
        <v>0</v>
      </c>
      <c r="I217" s="123">
        <v>2</v>
      </c>
      <c r="J217" s="123">
        <v>0</v>
      </c>
      <c r="K217" s="123">
        <v>7</v>
      </c>
      <c r="L217" s="123">
        <v>0</v>
      </c>
      <c r="M217" s="123">
        <v>3</v>
      </c>
      <c r="N217" s="123">
        <v>0</v>
      </c>
      <c r="O217" s="123">
        <v>0</v>
      </c>
      <c r="P217" s="7" t="s">
        <v>13</v>
      </c>
      <c r="Q217" s="9"/>
    </row>
    <row r="218" spans="1:17" ht="12.75" customHeight="1" thickBot="1" x14ac:dyDescent="0.25">
      <c r="A218" s="123">
        <f t="shared" si="5"/>
        <v>1</v>
      </c>
      <c r="B218" s="123">
        <f t="shared" si="6"/>
        <v>1</v>
      </c>
      <c r="C218" s="123">
        <f t="shared" si="6"/>
        <v>0</v>
      </c>
      <c r="D218" s="123">
        <v>0</v>
      </c>
      <c r="E218" s="123">
        <v>0</v>
      </c>
      <c r="F218" s="123">
        <v>1</v>
      </c>
      <c r="G218" s="123">
        <v>0</v>
      </c>
      <c r="H218" s="123">
        <v>0</v>
      </c>
      <c r="I218" s="123">
        <v>0</v>
      </c>
      <c r="J218" s="123">
        <v>0</v>
      </c>
      <c r="K218" s="123">
        <v>0</v>
      </c>
      <c r="L218" s="123">
        <v>0</v>
      </c>
      <c r="M218" s="123">
        <v>0</v>
      </c>
      <c r="N218" s="123">
        <v>0</v>
      </c>
      <c r="O218" s="123">
        <v>0</v>
      </c>
      <c r="P218" s="7" t="s">
        <v>163</v>
      </c>
      <c r="Q218" s="124"/>
    </row>
    <row r="219" spans="1:17" ht="12.75" customHeight="1" thickBot="1" x14ac:dyDescent="0.25">
      <c r="A219" s="123">
        <f t="shared" si="5"/>
        <v>1</v>
      </c>
      <c r="B219" s="123">
        <f t="shared" si="6"/>
        <v>1</v>
      </c>
      <c r="C219" s="123">
        <f t="shared" si="6"/>
        <v>0</v>
      </c>
      <c r="D219" s="123">
        <v>1</v>
      </c>
      <c r="E219" s="123">
        <v>0</v>
      </c>
      <c r="F219" s="123">
        <v>0</v>
      </c>
      <c r="G219" s="123">
        <v>0</v>
      </c>
      <c r="H219" s="123">
        <v>0</v>
      </c>
      <c r="I219" s="123">
        <v>0</v>
      </c>
      <c r="J219" s="123">
        <v>0</v>
      </c>
      <c r="K219" s="123">
        <v>0</v>
      </c>
      <c r="L219" s="123">
        <v>0</v>
      </c>
      <c r="M219" s="123">
        <v>0</v>
      </c>
      <c r="N219" s="123">
        <v>0</v>
      </c>
      <c r="O219" s="123">
        <v>0</v>
      </c>
      <c r="P219" s="7" t="s">
        <v>162</v>
      </c>
      <c r="Q219" s="124" t="s">
        <v>77</v>
      </c>
    </row>
    <row r="220" spans="1:17" ht="12.75" customHeight="1" thickBot="1" x14ac:dyDescent="0.25">
      <c r="A220" s="123">
        <f t="shared" si="5"/>
        <v>2</v>
      </c>
      <c r="B220" s="123">
        <f t="shared" si="6"/>
        <v>2</v>
      </c>
      <c r="C220" s="123">
        <f t="shared" si="6"/>
        <v>0</v>
      </c>
      <c r="D220" s="123">
        <v>1</v>
      </c>
      <c r="E220" s="123">
        <v>0</v>
      </c>
      <c r="F220" s="123">
        <v>1</v>
      </c>
      <c r="G220" s="123">
        <v>0</v>
      </c>
      <c r="H220" s="123">
        <v>0</v>
      </c>
      <c r="I220" s="123">
        <v>0</v>
      </c>
      <c r="J220" s="123">
        <v>0</v>
      </c>
      <c r="K220" s="123">
        <v>0</v>
      </c>
      <c r="L220" s="123">
        <v>0</v>
      </c>
      <c r="M220" s="123">
        <v>0</v>
      </c>
      <c r="N220" s="123">
        <v>0</v>
      </c>
      <c r="O220" s="123">
        <v>0</v>
      </c>
      <c r="P220" s="7" t="s">
        <v>13</v>
      </c>
      <c r="Q220" s="9"/>
    </row>
    <row r="221" spans="1:17" ht="12.75" customHeight="1" thickBot="1" x14ac:dyDescent="0.25">
      <c r="A221" s="123">
        <f t="shared" si="5"/>
        <v>9</v>
      </c>
      <c r="B221" s="123">
        <f t="shared" si="6"/>
        <v>0</v>
      </c>
      <c r="C221" s="123">
        <f t="shared" si="6"/>
        <v>9</v>
      </c>
      <c r="D221" s="123">
        <v>0</v>
      </c>
      <c r="E221" s="123">
        <v>0</v>
      </c>
      <c r="F221" s="123">
        <v>0</v>
      </c>
      <c r="G221" s="123">
        <v>1</v>
      </c>
      <c r="H221" s="123">
        <v>0</v>
      </c>
      <c r="I221" s="123">
        <v>4</v>
      </c>
      <c r="J221" s="123">
        <v>0</v>
      </c>
      <c r="K221" s="123">
        <v>4</v>
      </c>
      <c r="L221" s="123">
        <v>0</v>
      </c>
      <c r="M221" s="123">
        <v>0</v>
      </c>
      <c r="N221" s="123">
        <v>0</v>
      </c>
      <c r="O221" s="123">
        <v>0</v>
      </c>
      <c r="P221" s="7" t="s">
        <v>163</v>
      </c>
      <c r="Q221" s="124"/>
    </row>
    <row r="222" spans="1:17" ht="12.75" customHeight="1" thickBot="1" x14ac:dyDescent="0.25">
      <c r="A222" s="123">
        <f t="shared" si="5"/>
        <v>67</v>
      </c>
      <c r="B222" s="123">
        <f t="shared" si="6"/>
        <v>0</v>
      </c>
      <c r="C222" s="123">
        <f t="shared" si="6"/>
        <v>67</v>
      </c>
      <c r="D222" s="123">
        <v>0</v>
      </c>
      <c r="E222" s="123">
        <v>1</v>
      </c>
      <c r="F222" s="123">
        <v>0</v>
      </c>
      <c r="G222" s="123">
        <v>0</v>
      </c>
      <c r="H222" s="123">
        <v>0</v>
      </c>
      <c r="I222" s="123">
        <v>30</v>
      </c>
      <c r="J222" s="123">
        <v>0</v>
      </c>
      <c r="K222" s="123">
        <v>30</v>
      </c>
      <c r="L222" s="123">
        <v>0</v>
      </c>
      <c r="M222" s="123">
        <v>5</v>
      </c>
      <c r="N222" s="123">
        <v>0</v>
      </c>
      <c r="O222" s="123">
        <v>1</v>
      </c>
      <c r="P222" s="7" t="s">
        <v>162</v>
      </c>
      <c r="Q222" s="124" t="s">
        <v>90</v>
      </c>
    </row>
    <row r="223" spans="1:17" ht="12.75" customHeight="1" thickBot="1" x14ac:dyDescent="0.25">
      <c r="A223" s="123">
        <f t="shared" si="5"/>
        <v>76</v>
      </c>
      <c r="B223" s="123">
        <f t="shared" si="6"/>
        <v>0</v>
      </c>
      <c r="C223" s="123">
        <f t="shared" si="6"/>
        <v>76</v>
      </c>
      <c r="D223" s="123">
        <v>0</v>
      </c>
      <c r="E223" s="123">
        <v>1</v>
      </c>
      <c r="F223" s="123">
        <v>0</v>
      </c>
      <c r="G223" s="123">
        <v>1</v>
      </c>
      <c r="H223" s="123">
        <v>0</v>
      </c>
      <c r="I223" s="123">
        <v>34</v>
      </c>
      <c r="J223" s="123">
        <v>0</v>
      </c>
      <c r="K223" s="123">
        <v>34</v>
      </c>
      <c r="L223" s="123">
        <v>0</v>
      </c>
      <c r="M223" s="123">
        <v>5</v>
      </c>
      <c r="N223" s="123">
        <v>0</v>
      </c>
      <c r="O223" s="123">
        <v>1</v>
      </c>
      <c r="P223" s="7" t="s">
        <v>13</v>
      </c>
      <c r="Q223" s="9"/>
    </row>
    <row r="224" spans="1:17" ht="12.75" customHeight="1" thickBot="1" x14ac:dyDescent="0.25">
      <c r="A224" s="123">
        <f t="shared" si="5"/>
        <v>342</v>
      </c>
      <c r="B224" s="123">
        <f t="shared" si="6"/>
        <v>0</v>
      </c>
      <c r="C224" s="123">
        <f t="shared" si="6"/>
        <v>342</v>
      </c>
      <c r="D224" s="123">
        <v>0</v>
      </c>
      <c r="E224" s="123">
        <v>341</v>
      </c>
      <c r="F224" s="123">
        <v>0</v>
      </c>
      <c r="G224" s="123">
        <v>0</v>
      </c>
      <c r="H224" s="123">
        <v>0</v>
      </c>
      <c r="I224" s="123">
        <v>0</v>
      </c>
      <c r="J224" s="123">
        <v>0</v>
      </c>
      <c r="K224" s="123">
        <v>1</v>
      </c>
      <c r="L224" s="123">
        <v>0</v>
      </c>
      <c r="M224" s="123">
        <v>0</v>
      </c>
      <c r="N224" s="123">
        <v>0</v>
      </c>
      <c r="O224" s="123">
        <v>0</v>
      </c>
      <c r="P224" s="7" t="s">
        <v>163</v>
      </c>
      <c r="Q224" s="124"/>
    </row>
    <row r="225" spans="1:17" ht="12.75" customHeight="1" thickBot="1" x14ac:dyDescent="0.25">
      <c r="A225" s="123">
        <f t="shared" si="5"/>
        <v>9</v>
      </c>
      <c r="B225" s="123">
        <f t="shared" si="6"/>
        <v>0</v>
      </c>
      <c r="C225" s="123">
        <f t="shared" si="6"/>
        <v>9</v>
      </c>
      <c r="D225" s="123">
        <v>0</v>
      </c>
      <c r="E225" s="123">
        <v>0</v>
      </c>
      <c r="F225" s="123">
        <v>0</v>
      </c>
      <c r="G225" s="123">
        <v>1</v>
      </c>
      <c r="H225" s="123">
        <v>0</v>
      </c>
      <c r="I225" s="123">
        <v>0</v>
      </c>
      <c r="J225" s="123">
        <v>0</v>
      </c>
      <c r="K225" s="123">
        <v>3</v>
      </c>
      <c r="L225" s="123">
        <v>0</v>
      </c>
      <c r="M225" s="123">
        <v>3</v>
      </c>
      <c r="N225" s="123">
        <v>0</v>
      </c>
      <c r="O225" s="123">
        <v>2</v>
      </c>
      <c r="P225" s="7" t="s">
        <v>162</v>
      </c>
      <c r="Q225" s="124" t="s">
        <v>626</v>
      </c>
    </row>
    <row r="226" spans="1:17" ht="12.75" customHeight="1" thickBot="1" x14ac:dyDescent="0.25">
      <c r="A226" s="123">
        <f t="shared" si="5"/>
        <v>351</v>
      </c>
      <c r="B226" s="123">
        <f t="shared" si="6"/>
        <v>0</v>
      </c>
      <c r="C226" s="123">
        <f t="shared" si="6"/>
        <v>351</v>
      </c>
      <c r="D226" s="123">
        <v>0</v>
      </c>
      <c r="E226" s="123">
        <v>341</v>
      </c>
      <c r="F226" s="123">
        <v>0</v>
      </c>
      <c r="G226" s="123">
        <v>1</v>
      </c>
      <c r="H226" s="123">
        <v>0</v>
      </c>
      <c r="I226" s="123">
        <v>0</v>
      </c>
      <c r="J226" s="123">
        <v>0</v>
      </c>
      <c r="K226" s="123">
        <v>4</v>
      </c>
      <c r="L226" s="123">
        <v>0</v>
      </c>
      <c r="M226" s="123">
        <v>3</v>
      </c>
      <c r="N226" s="123">
        <v>0</v>
      </c>
      <c r="O226" s="123">
        <v>2</v>
      </c>
      <c r="P226" s="7" t="s">
        <v>13</v>
      </c>
      <c r="Q226" s="9"/>
    </row>
    <row r="227" spans="1:17" ht="12.75" customHeight="1" thickBot="1" x14ac:dyDescent="0.25">
      <c r="A227" s="123">
        <f t="shared" si="5"/>
        <v>1</v>
      </c>
      <c r="B227" s="123">
        <f t="shared" si="6"/>
        <v>0</v>
      </c>
      <c r="C227" s="123">
        <f t="shared" si="6"/>
        <v>1</v>
      </c>
      <c r="D227" s="123">
        <v>0</v>
      </c>
      <c r="E227" s="123">
        <v>0</v>
      </c>
      <c r="F227" s="123">
        <v>0</v>
      </c>
      <c r="G227" s="123">
        <v>0</v>
      </c>
      <c r="H227" s="123">
        <v>0</v>
      </c>
      <c r="I227" s="123">
        <v>0</v>
      </c>
      <c r="J227" s="123">
        <v>0</v>
      </c>
      <c r="K227" s="123">
        <v>1</v>
      </c>
      <c r="L227" s="123">
        <v>0</v>
      </c>
      <c r="M227" s="123">
        <v>0</v>
      </c>
      <c r="N227" s="123">
        <v>0</v>
      </c>
      <c r="O227" s="123">
        <v>0</v>
      </c>
      <c r="P227" s="7" t="s">
        <v>163</v>
      </c>
      <c r="Q227" s="124"/>
    </row>
    <row r="228" spans="1:17" ht="12.75" customHeight="1" thickBot="1" x14ac:dyDescent="0.25">
      <c r="A228" s="123">
        <f t="shared" si="5"/>
        <v>11</v>
      </c>
      <c r="B228" s="123">
        <f t="shared" si="6"/>
        <v>0</v>
      </c>
      <c r="C228" s="123">
        <f t="shared" si="6"/>
        <v>11</v>
      </c>
      <c r="D228" s="123">
        <v>0</v>
      </c>
      <c r="E228" s="123">
        <v>0</v>
      </c>
      <c r="F228" s="123">
        <v>0</v>
      </c>
      <c r="G228" s="123">
        <v>1</v>
      </c>
      <c r="H228" s="123">
        <v>0</v>
      </c>
      <c r="I228" s="123">
        <v>2</v>
      </c>
      <c r="J228" s="123">
        <v>0</v>
      </c>
      <c r="K228" s="123">
        <v>3</v>
      </c>
      <c r="L228" s="123">
        <v>0</v>
      </c>
      <c r="M228" s="123">
        <v>3</v>
      </c>
      <c r="N228" s="123">
        <v>0</v>
      </c>
      <c r="O228" s="123">
        <v>2</v>
      </c>
      <c r="P228" s="7" t="s">
        <v>162</v>
      </c>
      <c r="Q228" s="124" t="s">
        <v>627</v>
      </c>
    </row>
    <row r="229" spans="1:17" ht="12.75" customHeight="1" thickBot="1" x14ac:dyDescent="0.25">
      <c r="A229" s="123">
        <f t="shared" si="5"/>
        <v>12</v>
      </c>
      <c r="B229" s="123">
        <f t="shared" si="6"/>
        <v>0</v>
      </c>
      <c r="C229" s="123">
        <f t="shared" si="6"/>
        <v>12</v>
      </c>
      <c r="D229" s="123">
        <v>0</v>
      </c>
      <c r="E229" s="123">
        <v>0</v>
      </c>
      <c r="F229" s="123">
        <v>0</v>
      </c>
      <c r="G229" s="123">
        <v>1</v>
      </c>
      <c r="H229" s="123">
        <v>0</v>
      </c>
      <c r="I229" s="123">
        <v>2</v>
      </c>
      <c r="J229" s="123">
        <v>0</v>
      </c>
      <c r="K229" s="123">
        <v>4</v>
      </c>
      <c r="L229" s="123">
        <v>0</v>
      </c>
      <c r="M229" s="123">
        <v>3</v>
      </c>
      <c r="N229" s="123">
        <v>0</v>
      </c>
      <c r="O229" s="123">
        <v>2</v>
      </c>
      <c r="P229" s="7" t="s">
        <v>13</v>
      </c>
      <c r="Q229" s="9"/>
    </row>
    <row r="230" spans="1:17" ht="12.75" customHeight="1" thickBot="1" x14ac:dyDescent="0.25">
      <c r="A230" s="123">
        <f t="shared" si="5"/>
        <v>15</v>
      </c>
      <c r="B230" s="123">
        <f t="shared" si="6"/>
        <v>14</v>
      </c>
      <c r="C230" s="123">
        <f t="shared" si="6"/>
        <v>1</v>
      </c>
      <c r="D230" s="123">
        <v>0</v>
      </c>
      <c r="E230" s="123">
        <v>0</v>
      </c>
      <c r="F230" s="123">
        <v>10</v>
      </c>
      <c r="G230" s="123">
        <v>1</v>
      </c>
      <c r="H230" s="123">
        <v>3</v>
      </c>
      <c r="I230" s="123">
        <v>0</v>
      </c>
      <c r="J230" s="123">
        <v>1</v>
      </c>
      <c r="K230" s="123">
        <v>0</v>
      </c>
      <c r="L230" s="123">
        <v>0</v>
      </c>
      <c r="M230" s="123">
        <v>0</v>
      </c>
      <c r="N230" s="123">
        <v>0</v>
      </c>
      <c r="O230" s="123">
        <v>0</v>
      </c>
      <c r="P230" s="7" t="s">
        <v>163</v>
      </c>
      <c r="Q230" s="124"/>
    </row>
    <row r="231" spans="1:17" ht="12.75" customHeight="1" thickBot="1" x14ac:dyDescent="0.25">
      <c r="A231" s="123">
        <f t="shared" si="5"/>
        <v>22</v>
      </c>
      <c r="B231" s="123">
        <f t="shared" si="6"/>
        <v>16</v>
      </c>
      <c r="C231" s="123">
        <f t="shared" si="6"/>
        <v>6</v>
      </c>
      <c r="D231" s="123">
        <v>0</v>
      </c>
      <c r="E231" s="123">
        <v>0</v>
      </c>
      <c r="F231" s="123">
        <v>0</v>
      </c>
      <c r="G231" s="123">
        <v>0</v>
      </c>
      <c r="H231" s="123">
        <v>2</v>
      </c>
      <c r="I231" s="123">
        <v>4</v>
      </c>
      <c r="J231" s="123">
        <v>8</v>
      </c>
      <c r="K231" s="123">
        <v>2</v>
      </c>
      <c r="L231" s="123">
        <v>5</v>
      </c>
      <c r="M231" s="123">
        <v>0</v>
      </c>
      <c r="N231" s="123">
        <v>1</v>
      </c>
      <c r="O231" s="123">
        <v>0</v>
      </c>
      <c r="P231" s="7" t="s">
        <v>162</v>
      </c>
      <c r="Q231" s="124" t="s">
        <v>367</v>
      </c>
    </row>
    <row r="232" spans="1:17" ht="12.75" customHeight="1" thickBot="1" x14ac:dyDescent="0.25">
      <c r="A232" s="123">
        <f t="shared" si="5"/>
        <v>37</v>
      </c>
      <c r="B232" s="123">
        <f t="shared" si="6"/>
        <v>30</v>
      </c>
      <c r="C232" s="123">
        <f t="shared" si="6"/>
        <v>7</v>
      </c>
      <c r="D232" s="123">
        <v>0</v>
      </c>
      <c r="E232" s="123">
        <v>0</v>
      </c>
      <c r="F232" s="123">
        <v>10</v>
      </c>
      <c r="G232" s="123">
        <v>1</v>
      </c>
      <c r="H232" s="123">
        <v>5</v>
      </c>
      <c r="I232" s="123">
        <v>4</v>
      </c>
      <c r="J232" s="123">
        <v>9</v>
      </c>
      <c r="K232" s="123">
        <v>2</v>
      </c>
      <c r="L232" s="123">
        <v>5</v>
      </c>
      <c r="M232" s="123">
        <v>0</v>
      </c>
      <c r="N232" s="123">
        <v>1</v>
      </c>
      <c r="O232" s="123">
        <v>0</v>
      </c>
      <c r="P232" s="7" t="s">
        <v>13</v>
      </c>
      <c r="Q232" s="9"/>
    </row>
    <row r="233" spans="1:17" ht="12.75" customHeight="1" thickBot="1" x14ac:dyDescent="0.25">
      <c r="A233" s="123">
        <f t="shared" si="5"/>
        <v>1</v>
      </c>
      <c r="B233" s="123">
        <f t="shared" si="6"/>
        <v>0</v>
      </c>
      <c r="C233" s="123">
        <f t="shared" si="6"/>
        <v>1</v>
      </c>
      <c r="D233" s="123">
        <v>0</v>
      </c>
      <c r="E233" s="123">
        <v>0</v>
      </c>
      <c r="F233" s="123">
        <v>0</v>
      </c>
      <c r="G233" s="123">
        <v>0</v>
      </c>
      <c r="H233" s="123">
        <v>0</v>
      </c>
      <c r="I233" s="123">
        <v>1</v>
      </c>
      <c r="J233" s="123">
        <v>0</v>
      </c>
      <c r="K233" s="123">
        <v>0</v>
      </c>
      <c r="L233" s="123">
        <v>0</v>
      </c>
      <c r="M233" s="123">
        <v>0</v>
      </c>
      <c r="N233" s="123">
        <v>0</v>
      </c>
      <c r="O233" s="123">
        <v>0</v>
      </c>
      <c r="P233" s="7" t="s">
        <v>163</v>
      </c>
      <c r="Q233" s="124"/>
    </row>
    <row r="234" spans="1:17" ht="12.75" customHeight="1" thickBot="1" x14ac:dyDescent="0.25">
      <c r="A234" s="123">
        <f t="shared" si="5"/>
        <v>25</v>
      </c>
      <c r="B234" s="123">
        <f t="shared" si="6"/>
        <v>0</v>
      </c>
      <c r="C234" s="123">
        <f t="shared" si="6"/>
        <v>25</v>
      </c>
      <c r="D234" s="123">
        <v>0</v>
      </c>
      <c r="E234" s="123">
        <v>0</v>
      </c>
      <c r="F234" s="123">
        <v>0</v>
      </c>
      <c r="G234" s="123">
        <v>0</v>
      </c>
      <c r="H234" s="123">
        <v>0</v>
      </c>
      <c r="I234" s="123">
        <v>17</v>
      </c>
      <c r="J234" s="123">
        <v>0</v>
      </c>
      <c r="K234" s="123">
        <v>8</v>
      </c>
      <c r="L234" s="123">
        <v>0</v>
      </c>
      <c r="M234" s="123">
        <v>0</v>
      </c>
      <c r="N234" s="123">
        <v>0</v>
      </c>
      <c r="O234" s="123">
        <v>0</v>
      </c>
      <c r="P234" s="7" t="s">
        <v>162</v>
      </c>
      <c r="Q234" s="124" t="s">
        <v>91</v>
      </c>
    </row>
    <row r="235" spans="1:17" ht="12.75" customHeight="1" thickBot="1" x14ac:dyDescent="0.25">
      <c r="A235" s="123">
        <f t="shared" ref="A235:A256" si="7">C235+B235</f>
        <v>26</v>
      </c>
      <c r="B235" s="123">
        <f t="shared" ref="B235:C256" si="8">N235+L235+J235+H235+F235+D235</f>
        <v>0</v>
      </c>
      <c r="C235" s="123">
        <f t="shared" si="8"/>
        <v>26</v>
      </c>
      <c r="D235" s="123">
        <v>0</v>
      </c>
      <c r="E235" s="123">
        <v>0</v>
      </c>
      <c r="F235" s="123">
        <v>0</v>
      </c>
      <c r="G235" s="123">
        <v>0</v>
      </c>
      <c r="H235" s="123">
        <v>0</v>
      </c>
      <c r="I235" s="123">
        <v>18</v>
      </c>
      <c r="J235" s="123">
        <v>0</v>
      </c>
      <c r="K235" s="123">
        <v>8</v>
      </c>
      <c r="L235" s="123">
        <v>0</v>
      </c>
      <c r="M235" s="123">
        <v>0</v>
      </c>
      <c r="N235" s="123">
        <v>0</v>
      </c>
      <c r="O235" s="123">
        <v>0</v>
      </c>
      <c r="P235" s="7" t="s">
        <v>13</v>
      </c>
      <c r="Q235" s="9"/>
    </row>
    <row r="236" spans="1:17" ht="12.75" customHeight="1" thickBot="1" x14ac:dyDescent="0.25">
      <c r="A236" s="123">
        <f t="shared" si="7"/>
        <v>3</v>
      </c>
      <c r="B236" s="123">
        <f t="shared" si="8"/>
        <v>0</v>
      </c>
      <c r="C236" s="123">
        <f t="shared" si="8"/>
        <v>3</v>
      </c>
      <c r="D236" s="123">
        <v>0</v>
      </c>
      <c r="E236" s="123">
        <v>0</v>
      </c>
      <c r="F236" s="123">
        <v>0</v>
      </c>
      <c r="G236" s="123">
        <v>0</v>
      </c>
      <c r="H236" s="123">
        <v>0</v>
      </c>
      <c r="I236" s="123">
        <v>2</v>
      </c>
      <c r="J236" s="123">
        <v>0</v>
      </c>
      <c r="K236" s="123">
        <v>1</v>
      </c>
      <c r="L236" s="123">
        <v>0</v>
      </c>
      <c r="M236" s="123">
        <v>0</v>
      </c>
      <c r="N236" s="123">
        <v>0</v>
      </c>
      <c r="O236" s="123">
        <v>0</v>
      </c>
      <c r="P236" s="7" t="s">
        <v>163</v>
      </c>
      <c r="Q236" s="124"/>
    </row>
    <row r="237" spans="1:17" ht="12.75" customHeight="1" thickBot="1" x14ac:dyDescent="0.25">
      <c r="A237" s="123">
        <f t="shared" si="7"/>
        <v>28</v>
      </c>
      <c r="B237" s="123">
        <f t="shared" si="8"/>
        <v>0</v>
      </c>
      <c r="C237" s="123">
        <f t="shared" si="8"/>
        <v>28</v>
      </c>
      <c r="D237" s="123">
        <v>0</v>
      </c>
      <c r="E237" s="123">
        <v>0</v>
      </c>
      <c r="F237" s="123">
        <v>0</v>
      </c>
      <c r="G237" s="123">
        <v>0</v>
      </c>
      <c r="H237" s="123">
        <v>0</v>
      </c>
      <c r="I237" s="123">
        <v>19</v>
      </c>
      <c r="J237" s="123">
        <v>0</v>
      </c>
      <c r="K237" s="123">
        <v>8</v>
      </c>
      <c r="L237" s="123">
        <v>0</v>
      </c>
      <c r="M237" s="123">
        <v>1</v>
      </c>
      <c r="N237" s="123">
        <v>0</v>
      </c>
      <c r="O237" s="123">
        <v>0</v>
      </c>
      <c r="P237" s="7" t="s">
        <v>162</v>
      </c>
      <c r="Q237" s="124" t="s">
        <v>92</v>
      </c>
    </row>
    <row r="238" spans="1:17" ht="12.75" customHeight="1" thickBot="1" x14ac:dyDescent="0.25">
      <c r="A238" s="123">
        <f t="shared" si="7"/>
        <v>31</v>
      </c>
      <c r="B238" s="123">
        <f t="shared" si="8"/>
        <v>0</v>
      </c>
      <c r="C238" s="123">
        <f t="shared" si="8"/>
        <v>31</v>
      </c>
      <c r="D238" s="123">
        <v>0</v>
      </c>
      <c r="E238" s="123">
        <v>0</v>
      </c>
      <c r="F238" s="123">
        <v>0</v>
      </c>
      <c r="G238" s="123">
        <v>0</v>
      </c>
      <c r="H238" s="123">
        <v>0</v>
      </c>
      <c r="I238" s="123">
        <v>21</v>
      </c>
      <c r="J238" s="123">
        <v>0</v>
      </c>
      <c r="K238" s="123">
        <v>9</v>
      </c>
      <c r="L238" s="123">
        <v>0</v>
      </c>
      <c r="M238" s="123">
        <v>1</v>
      </c>
      <c r="N238" s="123">
        <v>0</v>
      </c>
      <c r="O238" s="123">
        <v>0</v>
      </c>
      <c r="P238" s="7" t="s">
        <v>13</v>
      </c>
      <c r="Q238" s="9"/>
    </row>
    <row r="239" spans="1:17" ht="12.75" customHeight="1" thickBot="1" x14ac:dyDescent="0.25">
      <c r="A239" s="123">
        <f t="shared" si="7"/>
        <v>27</v>
      </c>
      <c r="B239" s="123">
        <f t="shared" si="8"/>
        <v>0</v>
      </c>
      <c r="C239" s="123">
        <f t="shared" si="8"/>
        <v>27</v>
      </c>
      <c r="D239" s="123">
        <v>0</v>
      </c>
      <c r="E239" s="123">
        <v>0</v>
      </c>
      <c r="F239" s="123">
        <v>0</v>
      </c>
      <c r="G239" s="123">
        <v>3</v>
      </c>
      <c r="H239" s="123">
        <v>0</v>
      </c>
      <c r="I239" s="123">
        <v>1</v>
      </c>
      <c r="J239" s="123">
        <v>0</v>
      </c>
      <c r="K239" s="123">
        <v>10</v>
      </c>
      <c r="L239" s="123">
        <v>0</v>
      </c>
      <c r="M239" s="123">
        <v>8</v>
      </c>
      <c r="N239" s="123">
        <v>0</v>
      </c>
      <c r="O239" s="123">
        <v>5</v>
      </c>
      <c r="P239" s="7" t="s">
        <v>163</v>
      </c>
      <c r="Q239" s="124"/>
    </row>
    <row r="240" spans="1:17" ht="12.75" customHeight="1" thickBot="1" x14ac:dyDescent="0.25">
      <c r="A240" s="123">
        <f t="shared" si="7"/>
        <v>10</v>
      </c>
      <c r="B240" s="123">
        <f t="shared" si="8"/>
        <v>0</v>
      </c>
      <c r="C240" s="123">
        <f t="shared" si="8"/>
        <v>10</v>
      </c>
      <c r="D240" s="123">
        <v>0</v>
      </c>
      <c r="E240" s="123">
        <v>0</v>
      </c>
      <c r="F240" s="123">
        <v>0</v>
      </c>
      <c r="G240" s="123">
        <v>0</v>
      </c>
      <c r="H240" s="123">
        <v>0</v>
      </c>
      <c r="I240" s="123">
        <v>1</v>
      </c>
      <c r="J240" s="123">
        <v>0</v>
      </c>
      <c r="K240" s="123">
        <v>5</v>
      </c>
      <c r="L240" s="123">
        <v>0</v>
      </c>
      <c r="M240" s="123">
        <v>1</v>
      </c>
      <c r="N240" s="123">
        <v>0</v>
      </c>
      <c r="O240" s="123">
        <v>3</v>
      </c>
      <c r="P240" s="7" t="s">
        <v>162</v>
      </c>
      <c r="Q240" s="124" t="s">
        <v>368</v>
      </c>
    </row>
    <row r="241" spans="1:17" ht="12.75" customHeight="1" thickBot="1" x14ac:dyDescent="0.25">
      <c r="A241" s="123">
        <f t="shared" si="7"/>
        <v>37</v>
      </c>
      <c r="B241" s="123">
        <f t="shared" si="8"/>
        <v>0</v>
      </c>
      <c r="C241" s="123">
        <f t="shared" si="8"/>
        <v>37</v>
      </c>
      <c r="D241" s="123">
        <v>0</v>
      </c>
      <c r="E241" s="123">
        <v>0</v>
      </c>
      <c r="F241" s="123">
        <v>0</v>
      </c>
      <c r="G241" s="123">
        <v>3</v>
      </c>
      <c r="H241" s="123">
        <v>0</v>
      </c>
      <c r="I241" s="123">
        <v>2</v>
      </c>
      <c r="J241" s="123">
        <v>0</v>
      </c>
      <c r="K241" s="123">
        <v>15</v>
      </c>
      <c r="L241" s="123">
        <v>0</v>
      </c>
      <c r="M241" s="123">
        <v>9</v>
      </c>
      <c r="N241" s="123">
        <v>0</v>
      </c>
      <c r="O241" s="123">
        <v>8</v>
      </c>
      <c r="P241" s="7" t="s">
        <v>13</v>
      </c>
      <c r="Q241" s="9"/>
    </row>
    <row r="242" spans="1:17" ht="12.75" customHeight="1" thickBot="1" x14ac:dyDescent="0.25">
      <c r="A242" s="123">
        <f t="shared" si="7"/>
        <v>41</v>
      </c>
      <c r="B242" s="123">
        <f t="shared" si="8"/>
        <v>0</v>
      </c>
      <c r="C242" s="123">
        <f t="shared" si="8"/>
        <v>41</v>
      </c>
      <c r="D242" s="123">
        <v>0</v>
      </c>
      <c r="E242" s="123">
        <v>0</v>
      </c>
      <c r="F242" s="123">
        <v>0</v>
      </c>
      <c r="G242" s="123">
        <v>13</v>
      </c>
      <c r="H242" s="123">
        <v>0</v>
      </c>
      <c r="I242" s="123">
        <v>1</v>
      </c>
      <c r="J242" s="123">
        <v>0</v>
      </c>
      <c r="K242" s="123">
        <v>16</v>
      </c>
      <c r="L242" s="123">
        <v>0</v>
      </c>
      <c r="M242" s="123">
        <v>7</v>
      </c>
      <c r="N242" s="123">
        <v>0</v>
      </c>
      <c r="O242" s="123">
        <v>4</v>
      </c>
      <c r="P242" s="7" t="s">
        <v>163</v>
      </c>
      <c r="Q242" s="124"/>
    </row>
    <row r="243" spans="1:17" ht="12.75" customHeight="1" thickBot="1" x14ac:dyDescent="0.25">
      <c r="A243" s="123">
        <f t="shared" si="7"/>
        <v>31</v>
      </c>
      <c r="B243" s="123">
        <f t="shared" si="8"/>
        <v>6</v>
      </c>
      <c r="C243" s="123">
        <f t="shared" si="8"/>
        <v>25</v>
      </c>
      <c r="D243" s="123">
        <v>0</v>
      </c>
      <c r="E243" s="123">
        <v>0</v>
      </c>
      <c r="F243" s="123">
        <v>0</v>
      </c>
      <c r="G243" s="123">
        <v>0</v>
      </c>
      <c r="H243" s="123">
        <v>0</v>
      </c>
      <c r="I243" s="123">
        <v>0</v>
      </c>
      <c r="J243" s="123">
        <v>4</v>
      </c>
      <c r="K243" s="123">
        <v>11</v>
      </c>
      <c r="L243" s="123">
        <v>1</v>
      </c>
      <c r="M243" s="123">
        <v>10</v>
      </c>
      <c r="N243" s="123">
        <v>1</v>
      </c>
      <c r="O243" s="123">
        <v>4</v>
      </c>
      <c r="P243" s="7" t="s">
        <v>162</v>
      </c>
      <c r="Q243" s="124" t="s">
        <v>628</v>
      </c>
    </row>
    <row r="244" spans="1:17" ht="12.75" customHeight="1" thickBot="1" x14ac:dyDescent="0.25">
      <c r="A244" s="123">
        <f t="shared" si="7"/>
        <v>72</v>
      </c>
      <c r="B244" s="123">
        <f t="shared" si="8"/>
        <v>6</v>
      </c>
      <c r="C244" s="123">
        <f t="shared" si="8"/>
        <v>66</v>
      </c>
      <c r="D244" s="123">
        <v>0</v>
      </c>
      <c r="E244" s="123">
        <v>0</v>
      </c>
      <c r="F244" s="123">
        <v>0</v>
      </c>
      <c r="G244" s="123">
        <v>13</v>
      </c>
      <c r="H244" s="123">
        <v>0</v>
      </c>
      <c r="I244" s="123">
        <v>1</v>
      </c>
      <c r="J244" s="123">
        <v>4</v>
      </c>
      <c r="K244" s="123">
        <v>27</v>
      </c>
      <c r="L244" s="123">
        <v>1</v>
      </c>
      <c r="M244" s="123">
        <v>17</v>
      </c>
      <c r="N244" s="123">
        <v>1</v>
      </c>
      <c r="O244" s="123">
        <v>8</v>
      </c>
      <c r="P244" s="7" t="s">
        <v>13</v>
      </c>
      <c r="Q244" s="9"/>
    </row>
    <row r="245" spans="1:17" ht="12.75" customHeight="1" thickBot="1" x14ac:dyDescent="0.25">
      <c r="A245" s="123">
        <f t="shared" si="7"/>
        <v>2</v>
      </c>
      <c r="B245" s="123">
        <f t="shared" si="8"/>
        <v>0</v>
      </c>
      <c r="C245" s="123">
        <f t="shared" si="8"/>
        <v>2</v>
      </c>
      <c r="D245" s="123">
        <v>0</v>
      </c>
      <c r="E245" s="123">
        <v>0</v>
      </c>
      <c r="F245" s="123">
        <v>0</v>
      </c>
      <c r="G245" s="123">
        <v>0</v>
      </c>
      <c r="H245" s="123">
        <v>0</v>
      </c>
      <c r="I245" s="123">
        <v>0</v>
      </c>
      <c r="J245" s="123">
        <v>0</v>
      </c>
      <c r="K245" s="123">
        <v>2</v>
      </c>
      <c r="L245" s="123">
        <v>0</v>
      </c>
      <c r="M245" s="123">
        <v>0</v>
      </c>
      <c r="N245" s="123">
        <v>0</v>
      </c>
      <c r="O245" s="123">
        <v>0</v>
      </c>
      <c r="P245" s="7" t="s">
        <v>163</v>
      </c>
      <c r="Q245" s="124"/>
    </row>
    <row r="246" spans="1:17" ht="12.75" customHeight="1" thickBot="1" x14ac:dyDescent="0.25">
      <c r="A246" s="123">
        <f t="shared" si="7"/>
        <v>11</v>
      </c>
      <c r="B246" s="123">
        <f t="shared" si="8"/>
        <v>0</v>
      </c>
      <c r="C246" s="123">
        <f t="shared" si="8"/>
        <v>11</v>
      </c>
      <c r="D246" s="123">
        <v>0</v>
      </c>
      <c r="E246" s="123">
        <v>0</v>
      </c>
      <c r="F246" s="123">
        <v>0</v>
      </c>
      <c r="G246" s="123">
        <v>0</v>
      </c>
      <c r="H246" s="123">
        <v>0</v>
      </c>
      <c r="I246" s="123">
        <v>3</v>
      </c>
      <c r="J246" s="123">
        <v>0</v>
      </c>
      <c r="K246" s="123">
        <v>6</v>
      </c>
      <c r="L246" s="123">
        <v>0</v>
      </c>
      <c r="M246" s="123">
        <v>2</v>
      </c>
      <c r="N246" s="123">
        <v>0</v>
      </c>
      <c r="O246" s="123">
        <v>0</v>
      </c>
      <c r="P246" s="7" t="s">
        <v>162</v>
      </c>
      <c r="Q246" s="124" t="s">
        <v>93</v>
      </c>
    </row>
    <row r="247" spans="1:17" ht="12.75" customHeight="1" thickBot="1" x14ac:dyDescent="0.25">
      <c r="A247" s="123">
        <f t="shared" si="7"/>
        <v>13</v>
      </c>
      <c r="B247" s="123">
        <f t="shared" si="8"/>
        <v>0</v>
      </c>
      <c r="C247" s="123">
        <f t="shared" si="8"/>
        <v>13</v>
      </c>
      <c r="D247" s="123">
        <v>0</v>
      </c>
      <c r="E247" s="123">
        <v>0</v>
      </c>
      <c r="F247" s="123">
        <v>0</v>
      </c>
      <c r="G247" s="123">
        <v>0</v>
      </c>
      <c r="H247" s="123">
        <v>0</v>
      </c>
      <c r="I247" s="123">
        <v>3</v>
      </c>
      <c r="J247" s="123">
        <v>0</v>
      </c>
      <c r="K247" s="123">
        <v>8</v>
      </c>
      <c r="L247" s="123">
        <v>0</v>
      </c>
      <c r="M247" s="123">
        <v>2</v>
      </c>
      <c r="N247" s="123">
        <v>0</v>
      </c>
      <c r="O247" s="123">
        <v>0</v>
      </c>
      <c r="P247" s="7" t="s">
        <v>13</v>
      </c>
      <c r="Q247" s="9"/>
    </row>
    <row r="248" spans="1:17" ht="12.75" customHeight="1" thickBot="1" x14ac:dyDescent="0.25">
      <c r="A248" s="123">
        <f t="shared" si="7"/>
        <v>1</v>
      </c>
      <c r="B248" s="123">
        <f t="shared" si="8"/>
        <v>0</v>
      </c>
      <c r="C248" s="123">
        <f t="shared" si="8"/>
        <v>1</v>
      </c>
      <c r="D248" s="123">
        <v>0</v>
      </c>
      <c r="E248" s="123">
        <v>0</v>
      </c>
      <c r="F248" s="123">
        <v>0</v>
      </c>
      <c r="G248" s="123">
        <v>0</v>
      </c>
      <c r="H248" s="123">
        <v>0</v>
      </c>
      <c r="I248" s="123">
        <v>0</v>
      </c>
      <c r="J248" s="123">
        <v>0</v>
      </c>
      <c r="K248" s="123">
        <v>0</v>
      </c>
      <c r="L248" s="123">
        <v>0</v>
      </c>
      <c r="M248" s="123">
        <v>1</v>
      </c>
      <c r="N248" s="123">
        <v>0</v>
      </c>
      <c r="O248" s="123">
        <v>0</v>
      </c>
      <c r="P248" s="7" t="s">
        <v>163</v>
      </c>
      <c r="Q248" s="124"/>
    </row>
    <row r="249" spans="1:17" ht="12.75" customHeight="1" thickBot="1" x14ac:dyDescent="0.25">
      <c r="A249" s="123">
        <f t="shared" si="7"/>
        <v>2</v>
      </c>
      <c r="B249" s="123">
        <f t="shared" si="8"/>
        <v>0</v>
      </c>
      <c r="C249" s="123">
        <f t="shared" si="8"/>
        <v>2</v>
      </c>
      <c r="D249" s="123">
        <v>0</v>
      </c>
      <c r="E249" s="123">
        <v>0</v>
      </c>
      <c r="F249" s="123">
        <v>0</v>
      </c>
      <c r="G249" s="123">
        <v>0</v>
      </c>
      <c r="H249" s="123">
        <v>0</v>
      </c>
      <c r="I249" s="123">
        <v>0</v>
      </c>
      <c r="J249" s="123">
        <v>0</v>
      </c>
      <c r="K249" s="123">
        <v>2</v>
      </c>
      <c r="L249" s="123">
        <v>0</v>
      </c>
      <c r="M249" s="123">
        <v>0</v>
      </c>
      <c r="N249" s="123">
        <v>0</v>
      </c>
      <c r="O249" s="123">
        <v>0</v>
      </c>
      <c r="P249" s="7" t="s">
        <v>162</v>
      </c>
      <c r="Q249" s="124" t="s">
        <v>369</v>
      </c>
    </row>
    <row r="250" spans="1:17" ht="12.75" customHeight="1" thickBot="1" x14ac:dyDescent="0.25">
      <c r="A250" s="123">
        <f t="shared" si="7"/>
        <v>3</v>
      </c>
      <c r="B250" s="123">
        <f t="shared" si="8"/>
        <v>0</v>
      </c>
      <c r="C250" s="123">
        <f t="shared" si="8"/>
        <v>3</v>
      </c>
      <c r="D250" s="123">
        <v>0</v>
      </c>
      <c r="E250" s="123">
        <v>0</v>
      </c>
      <c r="F250" s="123">
        <v>0</v>
      </c>
      <c r="G250" s="123">
        <v>0</v>
      </c>
      <c r="H250" s="123">
        <v>0</v>
      </c>
      <c r="I250" s="123">
        <v>0</v>
      </c>
      <c r="J250" s="123">
        <v>0</v>
      </c>
      <c r="K250" s="123">
        <v>2</v>
      </c>
      <c r="L250" s="123">
        <v>0</v>
      </c>
      <c r="M250" s="123">
        <v>1</v>
      </c>
      <c r="N250" s="123">
        <v>0</v>
      </c>
      <c r="O250" s="123">
        <v>0</v>
      </c>
      <c r="P250" s="7" t="s">
        <v>13</v>
      </c>
      <c r="Q250" s="9"/>
    </row>
    <row r="251" spans="1:17" ht="12.75" customHeight="1" thickBot="1" x14ac:dyDescent="0.25">
      <c r="A251" s="123">
        <f t="shared" si="7"/>
        <v>0</v>
      </c>
      <c r="B251" s="123">
        <f t="shared" si="8"/>
        <v>0</v>
      </c>
      <c r="C251" s="123">
        <f t="shared" si="8"/>
        <v>0</v>
      </c>
      <c r="D251" s="123">
        <v>0</v>
      </c>
      <c r="E251" s="123">
        <v>0</v>
      </c>
      <c r="F251" s="123">
        <v>0</v>
      </c>
      <c r="G251" s="123">
        <v>0</v>
      </c>
      <c r="H251" s="123">
        <v>0</v>
      </c>
      <c r="I251" s="123">
        <v>0</v>
      </c>
      <c r="J251" s="123">
        <v>0</v>
      </c>
      <c r="K251" s="123">
        <v>0</v>
      </c>
      <c r="L251" s="123">
        <v>0</v>
      </c>
      <c r="M251" s="123">
        <v>0</v>
      </c>
      <c r="N251" s="123">
        <v>0</v>
      </c>
      <c r="O251" s="123">
        <v>0</v>
      </c>
      <c r="P251" s="7" t="s">
        <v>163</v>
      </c>
      <c r="Q251" s="124"/>
    </row>
    <row r="252" spans="1:17" ht="12.75" customHeight="1" thickBot="1" x14ac:dyDescent="0.25">
      <c r="A252" s="123">
        <f t="shared" si="7"/>
        <v>3</v>
      </c>
      <c r="B252" s="123">
        <f t="shared" si="8"/>
        <v>0</v>
      </c>
      <c r="C252" s="123">
        <f t="shared" si="8"/>
        <v>3</v>
      </c>
      <c r="D252" s="123">
        <v>0</v>
      </c>
      <c r="E252" s="123">
        <v>0</v>
      </c>
      <c r="F252" s="123">
        <v>0</v>
      </c>
      <c r="G252" s="123">
        <v>0</v>
      </c>
      <c r="H252" s="123">
        <v>0</v>
      </c>
      <c r="I252" s="123">
        <v>0</v>
      </c>
      <c r="J252" s="123">
        <v>0</v>
      </c>
      <c r="K252" s="123">
        <v>3</v>
      </c>
      <c r="L252" s="123">
        <v>0</v>
      </c>
      <c r="M252" s="123">
        <v>0</v>
      </c>
      <c r="N252" s="123">
        <v>0</v>
      </c>
      <c r="O252" s="123">
        <v>0</v>
      </c>
      <c r="P252" s="7" t="s">
        <v>162</v>
      </c>
      <c r="Q252" s="124" t="s">
        <v>370</v>
      </c>
    </row>
    <row r="253" spans="1:17" ht="12.75" customHeight="1" thickBot="1" x14ac:dyDescent="0.25">
      <c r="A253" s="123">
        <f t="shared" si="7"/>
        <v>3</v>
      </c>
      <c r="B253" s="123">
        <f t="shared" si="8"/>
        <v>0</v>
      </c>
      <c r="C253" s="123">
        <f t="shared" si="8"/>
        <v>3</v>
      </c>
      <c r="D253" s="123">
        <v>0</v>
      </c>
      <c r="E253" s="123">
        <v>0</v>
      </c>
      <c r="F253" s="123">
        <v>0</v>
      </c>
      <c r="G253" s="123">
        <v>0</v>
      </c>
      <c r="H253" s="123">
        <v>0</v>
      </c>
      <c r="I253" s="123">
        <v>0</v>
      </c>
      <c r="J253" s="123">
        <v>0</v>
      </c>
      <c r="K253" s="123">
        <v>3</v>
      </c>
      <c r="L253" s="123">
        <v>0</v>
      </c>
      <c r="M253" s="123">
        <v>0</v>
      </c>
      <c r="N253" s="123">
        <v>0</v>
      </c>
      <c r="O253" s="123">
        <v>0</v>
      </c>
      <c r="P253" s="7" t="s">
        <v>13</v>
      </c>
      <c r="Q253" s="9"/>
    </row>
    <row r="254" spans="1:17" ht="12.75" customHeight="1" thickBot="1" x14ac:dyDescent="0.25">
      <c r="A254" s="123">
        <f t="shared" si="7"/>
        <v>8</v>
      </c>
      <c r="B254" s="123">
        <f t="shared" si="8"/>
        <v>0</v>
      </c>
      <c r="C254" s="123">
        <f t="shared" si="8"/>
        <v>8</v>
      </c>
      <c r="D254" s="123">
        <v>0</v>
      </c>
      <c r="E254" s="123">
        <v>0</v>
      </c>
      <c r="F254" s="123">
        <v>0</v>
      </c>
      <c r="G254" s="123">
        <v>4</v>
      </c>
      <c r="H254" s="123">
        <v>0</v>
      </c>
      <c r="I254" s="123">
        <v>3</v>
      </c>
      <c r="J254" s="123">
        <v>0</v>
      </c>
      <c r="K254" s="123">
        <v>1</v>
      </c>
      <c r="L254" s="123">
        <v>0</v>
      </c>
      <c r="M254" s="123">
        <v>0</v>
      </c>
      <c r="N254" s="123">
        <v>0</v>
      </c>
      <c r="O254" s="123">
        <v>0</v>
      </c>
      <c r="P254" s="7" t="s">
        <v>163</v>
      </c>
      <c r="Q254" s="124"/>
    </row>
    <row r="255" spans="1:17" ht="12.75" customHeight="1" thickBot="1" x14ac:dyDescent="0.25">
      <c r="A255" s="123">
        <f t="shared" si="7"/>
        <v>15</v>
      </c>
      <c r="B255" s="123">
        <f>N255+L255+J255+H255+F255+D255</f>
        <v>0</v>
      </c>
      <c r="C255" s="123">
        <f t="shared" si="8"/>
        <v>15</v>
      </c>
      <c r="D255" s="123">
        <v>0</v>
      </c>
      <c r="E255" s="123">
        <v>0</v>
      </c>
      <c r="F255" s="123">
        <v>0</v>
      </c>
      <c r="G255" s="123">
        <v>0</v>
      </c>
      <c r="H255" s="123">
        <v>0</v>
      </c>
      <c r="I255" s="123">
        <v>5</v>
      </c>
      <c r="J255" s="123">
        <v>0</v>
      </c>
      <c r="K255" s="123">
        <v>8</v>
      </c>
      <c r="L255" s="123">
        <v>0</v>
      </c>
      <c r="M255" s="123">
        <v>2</v>
      </c>
      <c r="N255" s="123">
        <v>0</v>
      </c>
      <c r="O255" s="123">
        <v>0</v>
      </c>
      <c r="P255" s="7" t="s">
        <v>162</v>
      </c>
      <c r="Q255" s="124" t="s">
        <v>371</v>
      </c>
    </row>
    <row r="256" spans="1:17" ht="12.75" customHeight="1" thickBot="1" x14ac:dyDescent="0.25">
      <c r="A256" s="123">
        <f t="shared" si="7"/>
        <v>23</v>
      </c>
      <c r="B256" s="123">
        <f t="shared" si="8"/>
        <v>0</v>
      </c>
      <c r="C256" s="123">
        <f t="shared" si="8"/>
        <v>23</v>
      </c>
      <c r="D256" s="123">
        <v>0</v>
      </c>
      <c r="E256" s="123">
        <v>0</v>
      </c>
      <c r="F256" s="123">
        <v>0</v>
      </c>
      <c r="G256" s="123">
        <v>4</v>
      </c>
      <c r="H256" s="123">
        <v>0</v>
      </c>
      <c r="I256" s="123">
        <v>8</v>
      </c>
      <c r="J256" s="123">
        <v>0</v>
      </c>
      <c r="K256" s="123">
        <v>9</v>
      </c>
      <c r="L256" s="123">
        <v>0</v>
      </c>
      <c r="M256" s="123">
        <v>2</v>
      </c>
      <c r="N256" s="123">
        <v>0</v>
      </c>
      <c r="O256" s="123">
        <v>0</v>
      </c>
      <c r="P256" s="7" t="s">
        <v>13</v>
      </c>
      <c r="Q256" s="9"/>
    </row>
    <row r="257" spans="1:18" ht="12.75" customHeight="1" thickBot="1" x14ac:dyDescent="0.25">
      <c r="A257" s="123">
        <f t="shared" ref="A257:O259" si="9">A170+A173+A176+A179+A182+A185+A188+A191+A194+A197+A200+A203+A206+A209+A212+A215+A218+A221+A224+A227+A230+A233+A236+A239+A242+A245+A248+A251+A254</f>
        <v>2912</v>
      </c>
      <c r="B257" s="123">
        <f t="shared" si="9"/>
        <v>749</v>
      </c>
      <c r="C257" s="123">
        <f t="shared" si="9"/>
        <v>2163</v>
      </c>
      <c r="D257" s="123">
        <f t="shared" si="9"/>
        <v>0</v>
      </c>
      <c r="E257" s="123">
        <f t="shared" si="9"/>
        <v>350</v>
      </c>
      <c r="F257" s="123">
        <f t="shared" si="9"/>
        <v>276</v>
      </c>
      <c r="G257" s="123">
        <f t="shared" si="9"/>
        <v>317</v>
      </c>
      <c r="H257" s="123">
        <f t="shared" si="9"/>
        <v>225</v>
      </c>
      <c r="I257" s="123">
        <f t="shared" si="9"/>
        <v>139</v>
      </c>
      <c r="J257" s="123">
        <f t="shared" si="9"/>
        <v>192</v>
      </c>
      <c r="K257" s="123">
        <f t="shared" si="9"/>
        <v>615</v>
      </c>
      <c r="L257" s="123">
        <f t="shared" si="9"/>
        <v>40</v>
      </c>
      <c r="M257" s="123">
        <f t="shared" si="9"/>
        <v>403</v>
      </c>
      <c r="N257" s="123">
        <f t="shared" si="9"/>
        <v>16</v>
      </c>
      <c r="O257" s="123">
        <f>O170+O173+O176+O179+O182+O185+O188+O191+O194+O197+O200+O203+O206+O209+O212+O215+O218+O221+O224+O227+O230+O233+O236+O239+O242+O245+O248+O251+O254</f>
        <v>339</v>
      </c>
      <c r="P257" s="7" t="s">
        <v>163</v>
      </c>
      <c r="Q257" s="3"/>
    </row>
    <row r="258" spans="1:18" ht="12.75" customHeight="1" thickBot="1" x14ac:dyDescent="0.25">
      <c r="A258" s="123">
        <f t="shared" si="9"/>
        <v>1502</v>
      </c>
      <c r="B258" s="123">
        <f t="shared" si="9"/>
        <v>253</v>
      </c>
      <c r="C258" s="123">
        <f t="shared" si="9"/>
        <v>1249</v>
      </c>
      <c r="D258" s="123">
        <f t="shared" si="9"/>
        <v>17</v>
      </c>
      <c r="E258" s="123">
        <f t="shared" si="9"/>
        <v>57</v>
      </c>
      <c r="F258" s="123">
        <f t="shared" si="9"/>
        <v>0</v>
      </c>
      <c r="G258" s="123">
        <f t="shared" si="9"/>
        <v>82</v>
      </c>
      <c r="H258" s="123">
        <f t="shared" si="9"/>
        <v>20</v>
      </c>
      <c r="I258" s="123">
        <f t="shared" si="9"/>
        <v>219</v>
      </c>
      <c r="J258" s="123">
        <f t="shared" si="9"/>
        <v>113</v>
      </c>
      <c r="K258" s="123">
        <f t="shared" si="9"/>
        <v>427</v>
      </c>
      <c r="L258" s="123">
        <f t="shared" si="9"/>
        <v>66</v>
      </c>
      <c r="M258" s="123">
        <f t="shared" si="9"/>
        <v>258</v>
      </c>
      <c r="N258" s="123">
        <f t="shared" si="9"/>
        <v>37</v>
      </c>
      <c r="O258" s="123">
        <f t="shared" si="9"/>
        <v>206</v>
      </c>
      <c r="P258" s="7" t="s">
        <v>162</v>
      </c>
      <c r="Q258" s="11" t="s">
        <v>211</v>
      </c>
    </row>
    <row r="259" spans="1:18" ht="12.75" customHeight="1" thickBot="1" x14ac:dyDescent="0.25">
      <c r="A259" s="123">
        <f t="shared" si="9"/>
        <v>4414</v>
      </c>
      <c r="B259" s="123">
        <f>B172+B175+B178+B181+B184+B187+B190+B193+B196+B199+B202+B205+B208+B211+B214+B217+B220+B223+B226+B229+B232+B235+B238+B241+B244+B247+B250+B253+B256</f>
        <v>1002</v>
      </c>
      <c r="C259" s="123">
        <f t="shared" si="9"/>
        <v>3412</v>
      </c>
      <c r="D259" s="123">
        <f t="shared" si="9"/>
        <v>17</v>
      </c>
      <c r="E259" s="123">
        <f t="shared" si="9"/>
        <v>407</v>
      </c>
      <c r="F259" s="123">
        <f t="shared" si="9"/>
        <v>276</v>
      </c>
      <c r="G259" s="123">
        <f t="shared" si="9"/>
        <v>399</v>
      </c>
      <c r="H259" s="123">
        <f t="shared" si="9"/>
        <v>245</v>
      </c>
      <c r="I259" s="123">
        <f t="shared" si="9"/>
        <v>358</v>
      </c>
      <c r="J259" s="123">
        <f t="shared" si="9"/>
        <v>305</v>
      </c>
      <c r="K259" s="123">
        <f t="shared" si="9"/>
        <v>1042</v>
      </c>
      <c r="L259" s="123">
        <f t="shared" si="9"/>
        <v>106</v>
      </c>
      <c r="M259" s="123">
        <f t="shared" si="9"/>
        <v>661</v>
      </c>
      <c r="N259" s="123">
        <f t="shared" si="9"/>
        <v>53</v>
      </c>
      <c r="O259" s="123">
        <f t="shared" si="9"/>
        <v>545</v>
      </c>
      <c r="P259" s="7" t="s">
        <v>13</v>
      </c>
      <c r="Q259" s="5"/>
    </row>
    <row r="260" spans="1:18" ht="18" customHeight="1" x14ac:dyDescent="0.2">
      <c r="A260" s="207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1"/>
    </row>
    <row r="261" spans="1:18" ht="18" customHeight="1" x14ac:dyDescent="0.2">
      <c r="A261" s="159" t="s">
        <v>616</v>
      </c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"/>
    </row>
    <row r="262" spans="1:18" ht="18" customHeight="1" thickBot="1" x14ac:dyDescent="0.25">
      <c r="A262" s="160" t="s">
        <v>617</v>
      </c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"/>
    </row>
    <row r="263" spans="1:18" ht="13.5" thickBot="1" x14ac:dyDescent="0.25">
      <c r="A263" s="204" t="s">
        <v>5</v>
      </c>
      <c r="B263" s="204"/>
      <c r="C263" s="204"/>
      <c r="D263" s="204" t="s">
        <v>57</v>
      </c>
      <c r="E263" s="204"/>
      <c r="F263" s="204" t="s">
        <v>609</v>
      </c>
      <c r="G263" s="204"/>
      <c r="H263" s="204" t="s">
        <v>610</v>
      </c>
      <c r="I263" s="204"/>
      <c r="J263" s="204" t="s">
        <v>611</v>
      </c>
      <c r="K263" s="204"/>
      <c r="L263" s="204" t="s">
        <v>612</v>
      </c>
      <c r="M263" s="204"/>
      <c r="N263" s="204" t="s">
        <v>613</v>
      </c>
      <c r="O263" s="204"/>
      <c r="P263" s="205" t="s">
        <v>614</v>
      </c>
      <c r="Q263" s="47" t="s">
        <v>161</v>
      </c>
      <c r="R263" s="1"/>
    </row>
    <row r="264" spans="1:18" ht="13.5" thickBot="1" x14ac:dyDescent="0.25">
      <c r="A264" s="47" t="s">
        <v>216</v>
      </c>
      <c r="B264" s="47" t="s">
        <v>11</v>
      </c>
      <c r="C264" s="47" t="s">
        <v>10</v>
      </c>
      <c r="D264" s="47" t="s">
        <v>11</v>
      </c>
      <c r="E264" s="47" t="s">
        <v>10</v>
      </c>
      <c r="F264" s="47" t="s">
        <v>11</v>
      </c>
      <c r="G264" s="47" t="s">
        <v>10</v>
      </c>
      <c r="H264" s="47" t="s">
        <v>11</v>
      </c>
      <c r="I264" s="47" t="s">
        <v>10</v>
      </c>
      <c r="J264" s="47" t="s">
        <v>11</v>
      </c>
      <c r="K264" s="47" t="s">
        <v>10</v>
      </c>
      <c r="L264" s="47" t="s">
        <v>11</v>
      </c>
      <c r="M264" s="47" t="s">
        <v>10</v>
      </c>
      <c r="N264" s="47" t="s">
        <v>11</v>
      </c>
      <c r="O264" s="47" t="s">
        <v>10</v>
      </c>
      <c r="P264" s="206"/>
      <c r="Q264" s="33" t="s">
        <v>79</v>
      </c>
      <c r="R264" s="1"/>
    </row>
    <row r="265" spans="1:18" ht="13.5" thickBot="1" x14ac:dyDescent="0.25">
      <c r="A265" s="123">
        <v>450</v>
      </c>
      <c r="B265" s="123">
        <v>224</v>
      </c>
      <c r="C265" s="123">
        <v>226</v>
      </c>
      <c r="D265" s="123">
        <v>2</v>
      </c>
      <c r="E265" s="123">
        <v>2</v>
      </c>
      <c r="F265" s="123">
        <v>88</v>
      </c>
      <c r="G265" s="123">
        <v>60</v>
      </c>
      <c r="H265" s="123">
        <v>58</v>
      </c>
      <c r="I265" s="123">
        <v>16</v>
      </c>
      <c r="J265" s="123">
        <v>60</v>
      </c>
      <c r="K265" s="123">
        <v>93</v>
      </c>
      <c r="L265" s="123">
        <v>15</v>
      </c>
      <c r="M265" s="123">
        <v>38</v>
      </c>
      <c r="N265" s="123">
        <v>1</v>
      </c>
      <c r="O265" s="123">
        <v>17</v>
      </c>
      <c r="P265" s="7" t="s">
        <v>163</v>
      </c>
      <c r="Q265" s="124"/>
      <c r="R265" s="1"/>
    </row>
    <row r="266" spans="1:18" ht="13.5" thickBot="1" x14ac:dyDescent="0.25">
      <c r="A266" s="123">
        <v>64</v>
      </c>
      <c r="B266" s="123">
        <v>25</v>
      </c>
      <c r="C266" s="123">
        <v>39</v>
      </c>
      <c r="D266" s="123">
        <v>6</v>
      </c>
      <c r="E266" s="123">
        <v>2</v>
      </c>
      <c r="F266" s="123">
        <v>0</v>
      </c>
      <c r="G266" s="123">
        <v>1</v>
      </c>
      <c r="H266" s="123">
        <v>7</v>
      </c>
      <c r="I266" s="123">
        <v>5</v>
      </c>
      <c r="J266" s="123">
        <v>8</v>
      </c>
      <c r="K266" s="123">
        <v>24</v>
      </c>
      <c r="L266" s="123">
        <v>0</v>
      </c>
      <c r="M266" s="123">
        <v>6</v>
      </c>
      <c r="N266" s="123">
        <v>4</v>
      </c>
      <c r="O266" s="123">
        <v>1</v>
      </c>
      <c r="P266" s="7" t="s">
        <v>162</v>
      </c>
      <c r="Q266" s="124" t="s">
        <v>375</v>
      </c>
      <c r="R266" s="1"/>
    </row>
    <row r="267" spans="1:18" ht="13.5" thickBot="1" x14ac:dyDescent="0.25">
      <c r="A267" s="123">
        <v>514</v>
      </c>
      <c r="B267" s="123">
        <v>249</v>
      </c>
      <c r="C267" s="123">
        <v>265</v>
      </c>
      <c r="D267" s="123">
        <v>8</v>
      </c>
      <c r="E267" s="123">
        <v>4</v>
      </c>
      <c r="F267" s="123">
        <v>88</v>
      </c>
      <c r="G267" s="123">
        <v>61</v>
      </c>
      <c r="H267" s="123">
        <v>65</v>
      </c>
      <c r="I267" s="123">
        <v>21</v>
      </c>
      <c r="J267" s="123">
        <v>68</v>
      </c>
      <c r="K267" s="123">
        <v>117</v>
      </c>
      <c r="L267" s="123">
        <v>15</v>
      </c>
      <c r="M267" s="123">
        <v>44</v>
      </c>
      <c r="N267" s="123">
        <v>5</v>
      </c>
      <c r="O267" s="123">
        <v>18</v>
      </c>
      <c r="P267" s="7" t="s">
        <v>13</v>
      </c>
      <c r="Q267" s="9"/>
      <c r="R267" s="1"/>
    </row>
    <row r="268" spans="1:18" ht="13.5" thickBot="1" x14ac:dyDescent="0.25">
      <c r="A268" s="123">
        <v>383</v>
      </c>
      <c r="B268" s="123">
        <v>131</v>
      </c>
      <c r="C268" s="123">
        <v>252</v>
      </c>
      <c r="D268" s="123">
        <v>0</v>
      </c>
      <c r="E268" s="123">
        <v>0</v>
      </c>
      <c r="F268" s="123">
        <v>56</v>
      </c>
      <c r="G268" s="123">
        <v>84</v>
      </c>
      <c r="H268" s="123">
        <v>8</v>
      </c>
      <c r="I268" s="123">
        <v>3</v>
      </c>
      <c r="J268" s="123">
        <v>41</v>
      </c>
      <c r="K268" s="123">
        <v>72</v>
      </c>
      <c r="L268" s="123">
        <v>20</v>
      </c>
      <c r="M268" s="123">
        <v>55</v>
      </c>
      <c r="N268" s="123">
        <v>6</v>
      </c>
      <c r="O268" s="123">
        <v>38</v>
      </c>
      <c r="P268" s="7" t="s">
        <v>163</v>
      </c>
      <c r="Q268" s="124"/>
      <c r="R268" s="1"/>
    </row>
    <row r="269" spans="1:18" ht="13.5" thickBot="1" x14ac:dyDescent="0.25">
      <c r="A269" s="123">
        <v>43</v>
      </c>
      <c r="B269" s="123">
        <v>23</v>
      </c>
      <c r="C269" s="123">
        <v>20</v>
      </c>
      <c r="D269" s="123">
        <v>0</v>
      </c>
      <c r="E269" s="123">
        <v>0</v>
      </c>
      <c r="F269" s="123">
        <v>0</v>
      </c>
      <c r="G269" s="123">
        <v>0</v>
      </c>
      <c r="H269" s="123">
        <v>5</v>
      </c>
      <c r="I269" s="123">
        <v>1</v>
      </c>
      <c r="J269" s="123">
        <v>15</v>
      </c>
      <c r="K269" s="123">
        <v>18</v>
      </c>
      <c r="L269" s="123">
        <v>0</v>
      </c>
      <c r="M269" s="123">
        <v>1</v>
      </c>
      <c r="N269" s="123">
        <v>3</v>
      </c>
      <c r="O269" s="123">
        <v>0</v>
      </c>
      <c r="P269" s="7" t="s">
        <v>162</v>
      </c>
      <c r="Q269" s="124" t="s">
        <v>263</v>
      </c>
      <c r="R269" s="1"/>
    </row>
    <row r="270" spans="1:18" ht="13.5" thickBot="1" x14ac:dyDescent="0.25">
      <c r="A270" s="123">
        <v>426</v>
      </c>
      <c r="B270" s="123">
        <v>154</v>
      </c>
      <c r="C270" s="123">
        <v>272</v>
      </c>
      <c r="D270" s="123">
        <v>0</v>
      </c>
      <c r="E270" s="123">
        <v>0</v>
      </c>
      <c r="F270" s="123">
        <v>56</v>
      </c>
      <c r="G270" s="123">
        <v>84</v>
      </c>
      <c r="H270" s="123">
        <v>13</v>
      </c>
      <c r="I270" s="123">
        <v>4</v>
      </c>
      <c r="J270" s="123">
        <v>56</v>
      </c>
      <c r="K270" s="123">
        <v>90</v>
      </c>
      <c r="L270" s="123">
        <v>20</v>
      </c>
      <c r="M270" s="123">
        <v>56</v>
      </c>
      <c r="N270" s="123">
        <v>9</v>
      </c>
      <c r="O270" s="123">
        <v>38</v>
      </c>
      <c r="P270" s="7" t="s">
        <v>13</v>
      </c>
      <c r="Q270" s="9"/>
      <c r="R270" s="1"/>
    </row>
    <row r="271" spans="1:18" ht="13.5" thickBot="1" x14ac:dyDescent="0.25">
      <c r="A271" s="123">
        <v>117</v>
      </c>
      <c r="B271" s="123">
        <v>54</v>
      </c>
      <c r="C271" s="123">
        <v>63</v>
      </c>
      <c r="D271" s="123">
        <v>0</v>
      </c>
      <c r="E271" s="123">
        <v>0</v>
      </c>
      <c r="F271" s="123">
        <v>38</v>
      </c>
      <c r="G271" s="123">
        <v>36</v>
      </c>
      <c r="H271" s="123">
        <v>3</v>
      </c>
      <c r="I271" s="123">
        <v>0</v>
      </c>
      <c r="J271" s="123">
        <v>8</v>
      </c>
      <c r="K271" s="123">
        <v>14</v>
      </c>
      <c r="L271" s="123">
        <v>4</v>
      </c>
      <c r="M271" s="123">
        <v>11</v>
      </c>
      <c r="N271" s="123">
        <v>1</v>
      </c>
      <c r="O271" s="123">
        <v>2</v>
      </c>
      <c r="P271" s="7" t="s">
        <v>163</v>
      </c>
      <c r="Q271" s="124"/>
      <c r="R271" s="1"/>
    </row>
    <row r="272" spans="1:18" ht="13.5" thickBot="1" x14ac:dyDescent="0.25">
      <c r="A272" s="123">
        <v>38</v>
      </c>
      <c r="B272" s="123">
        <v>7</v>
      </c>
      <c r="C272" s="123">
        <v>31</v>
      </c>
      <c r="D272" s="123">
        <v>0</v>
      </c>
      <c r="E272" s="123">
        <v>0</v>
      </c>
      <c r="F272" s="123">
        <v>0</v>
      </c>
      <c r="G272" s="123">
        <v>0</v>
      </c>
      <c r="H272" s="123">
        <v>1</v>
      </c>
      <c r="I272" s="123">
        <v>0</v>
      </c>
      <c r="J272" s="123">
        <v>3</v>
      </c>
      <c r="K272" s="123">
        <v>17</v>
      </c>
      <c r="L272" s="123">
        <v>0</v>
      </c>
      <c r="M272" s="123">
        <v>5</v>
      </c>
      <c r="N272" s="123">
        <v>3</v>
      </c>
      <c r="O272" s="123">
        <v>9</v>
      </c>
      <c r="P272" s="7" t="s">
        <v>162</v>
      </c>
      <c r="Q272" s="124" t="s">
        <v>376</v>
      </c>
      <c r="R272" s="1"/>
    </row>
    <row r="273" spans="1:18" ht="13.5" thickBot="1" x14ac:dyDescent="0.25">
      <c r="A273" s="123">
        <v>155</v>
      </c>
      <c r="B273" s="123">
        <v>61</v>
      </c>
      <c r="C273" s="123">
        <v>94</v>
      </c>
      <c r="D273" s="123">
        <v>0</v>
      </c>
      <c r="E273" s="123">
        <v>0</v>
      </c>
      <c r="F273" s="123">
        <v>38</v>
      </c>
      <c r="G273" s="123">
        <v>36</v>
      </c>
      <c r="H273" s="123">
        <v>4</v>
      </c>
      <c r="I273" s="123">
        <v>0</v>
      </c>
      <c r="J273" s="123">
        <v>11</v>
      </c>
      <c r="K273" s="123">
        <v>31</v>
      </c>
      <c r="L273" s="123">
        <v>4</v>
      </c>
      <c r="M273" s="123">
        <v>16</v>
      </c>
      <c r="N273" s="123">
        <v>4</v>
      </c>
      <c r="O273" s="123">
        <v>11</v>
      </c>
      <c r="P273" s="7" t="s">
        <v>13</v>
      </c>
      <c r="Q273" s="9"/>
      <c r="R273" s="1"/>
    </row>
    <row r="274" spans="1:18" ht="13.5" thickBot="1" x14ac:dyDescent="0.25">
      <c r="A274" s="123">
        <v>493</v>
      </c>
      <c r="B274" s="123">
        <v>286</v>
      </c>
      <c r="C274" s="123">
        <v>207</v>
      </c>
      <c r="D274" s="123">
        <v>3</v>
      </c>
      <c r="E274" s="123">
        <v>1</v>
      </c>
      <c r="F274" s="123">
        <v>148</v>
      </c>
      <c r="G274" s="123">
        <v>43</v>
      </c>
      <c r="H274" s="123">
        <v>62</v>
      </c>
      <c r="I274" s="123">
        <v>15</v>
      </c>
      <c r="J274" s="123">
        <v>55</v>
      </c>
      <c r="K274" s="123">
        <v>67</v>
      </c>
      <c r="L274" s="123">
        <v>17</v>
      </c>
      <c r="M274" s="123">
        <v>45</v>
      </c>
      <c r="N274" s="123">
        <v>1</v>
      </c>
      <c r="O274" s="123">
        <v>36</v>
      </c>
      <c r="P274" s="7" t="s">
        <v>163</v>
      </c>
      <c r="Q274" s="124"/>
      <c r="R274" s="1"/>
    </row>
    <row r="275" spans="1:18" ht="13.5" thickBot="1" x14ac:dyDescent="0.25">
      <c r="A275" s="123">
        <v>86</v>
      </c>
      <c r="B275" s="123">
        <v>31</v>
      </c>
      <c r="C275" s="123">
        <v>55</v>
      </c>
      <c r="D275" s="123">
        <v>0</v>
      </c>
      <c r="E275" s="123">
        <v>0</v>
      </c>
      <c r="F275" s="123">
        <v>0</v>
      </c>
      <c r="G275" s="123">
        <v>0</v>
      </c>
      <c r="H275" s="123">
        <v>8</v>
      </c>
      <c r="I275" s="123">
        <v>3</v>
      </c>
      <c r="J275" s="123">
        <v>14</v>
      </c>
      <c r="K275" s="123">
        <v>34</v>
      </c>
      <c r="L275" s="123">
        <v>4</v>
      </c>
      <c r="M275" s="123">
        <v>8</v>
      </c>
      <c r="N275" s="123">
        <v>5</v>
      </c>
      <c r="O275" s="123">
        <v>10</v>
      </c>
      <c r="P275" s="7" t="s">
        <v>162</v>
      </c>
      <c r="Q275" s="124" t="s">
        <v>359</v>
      </c>
      <c r="R275" s="1"/>
    </row>
    <row r="276" spans="1:18" ht="13.5" thickBot="1" x14ac:dyDescent="0.25">
      <c r="A276" s="123">
        <v>579</v>
      </c>
      <c r="B276" s="123">
        <v>317</v>
      </c>
      <c r="C276" s="123">
        <v>262</v>
      </c>
      <c r="D276" s="123">
        <v>3</v>
      </c>
      <c r="E276" s="123">
        <v>1</v>
      </c>
      <c r="F276" s="123">
        <v>148</v>
      </c>
      <c r="G276" s="123">
        <v>43</v>
      </c>
      <c r="H276" s="123">
        <v>70</v>
      </c>
      <c r="I276" s="123">
        <v>18</v>
      </c>
      <c r="J276" s="123">
        <v>69</v>
      </c>
      <c r="K276" s="123">
        <v>101</v>
      </c>
      <c r="L276" s="123">
        <v>21</v>
      </c>
      <c r="M276" s="123">
        <v>53</v>
      </c>
      <c r="N276" s="123">
        <v>6</v>
      </c>
      <c r="O276" s="123">
        <v>46</v>
      </c>
      <c r="P276" s="7" t="s">
        <v>13</v>
      </c>
      <c r="Q276" s="9"/>
      <c r="R276" s="1"/>
    </row>
    <row r="277" spans="1:18" ht="13.5" thickBot="1" x14ac:dyDescent="0.25">
      <c r="A277" s="123">
        <v>173</v>
      </c>
      <c r="B277" s="123">
        <v>0</v>
      </c>
      <c r="C277" s="123">
        <v>173</v>
      </c>
      <c r="D277" s="123">
        <v>0</v>
      </c>
      <c r="E277" s="123">
        <v>1</v>
      </c>
      <c r="F277" s="123">
        <v>0</v>
      </c>
      <c r="G277" s="123">
        <v>35</v>
      </c>
      <c r="H277" s="123">
        <v>0</v>
      </c>
      <c r="I277" s="123">
        <v>7</v>
      </c>
      <c r="J277" s="123">
        <v>0</v>
      </c>
      <c r="K277" s="123">
        <v>60</v>
      </c>
      <c r="L277" s="123">
        <v>0</v>
      </c>
      <c r="M277" s="123">
        <v>43</v>
      </c>
      <c r="N277" s="123">
        <v>0</v>
      </c>
      <c r="O277" s="123">
        <v>27</v>
      </c>
      <c r="P277" s="7" t="s">
        <v>163</v>
      </c>
      <c r="Q277" s="124"/>
      <c r="R277" s="1"/>
    </row>
    <row r="278" spans="1:18" ht="13.5" thickBot="1" x14ac:dyDescent="0.25">
      <c r="A278" s="123">
        <v>87</v>
      </c>
      <c r="B278" s="123">
        <v>0</v>
      </c>
      <c r="C278" s="123">
        <v>87</v>
      </c>
      <c r="D278" s="123">
        <v>0</v>
      </c>
      <c r="E278" s="123">
        <v>0</v>
      </c>
      <c r="F278" s="123">
        <v>0</v>
      </c>
      <c r="G278" s="123">
        <v>0</v>
      </c>
      <c r="H278" s="123">
        <v>0</v>
      </c>
      <c r="I278" s="123">
        <v>22</v>
      </c>
      <c r="J278" s="123">
        <v>0</v>
      </c>
      <c r="K278" s="123">
        <v>27</v>
      </c>
      <c r="L278" s="123">
        <v>0</v>
      </c>
      <c r="M278" s="123">
        <v>24</v>
      </c>
      <c r="N278" s="123">
        <v>0</v>
      </c>
      <c r="O278" s="123">
        <v>14</v>
      </c>
      <c r="P278" s="7" t="s">
        <v>162</v>
      </c>
      <c r="Q278" s="124" t="s">
        <v>377</v>
      </c>
      <c r="R278" s="1"/>
    </row>
    <row r="279" spans="1:18" ht="13.5" thickBot="1" x14ac:dyDescent="0.25">
      <c r="A279" s="123">
        <v>260</v>
      </c>
      <c r="B279" s="123">
        <v>0</v>
      </c>
      <c r="C279" s="123">
        <v>260</v>
      </c>
      <c r="D279" s="123">
        <v>0</v>
      </c>
      <c r="E279" s="123">
        <v>1</v>
      </c>
      <c r="F279" s="123">
        <v>0</v>
      </c>
      <c r="G279" s="123">
        <v>35</v>
      </c>
      <c r="H279" s="123">
        <v>0</v>
      </c>
      <c r="I279" s="123">
        <v>29</v>
      </c>
      <c r="J279" s="123">
        <v>0</v>
      </c>
      <c r="K279" s="123">
        <v>87</v>
      </c>
      <c r="L279" s="123">
        <v>0</v>
      </c>
      <c r="M279" s="123">
        <v>67</v>
      </c>
      <c r="N279" s="123">
        <v>0</v>
      </c>
      <c r="O279" s="123">
        <v>41</v>
      </c>
      <c r="P279" s="7" t="s">
        <v>13</v>
      </c>
      <c r="Q279" s="9"/>
      <c r="R279" s="1"/>
    </row>
    <row r="280" spans="1:18" ht="13.5" thickBot="1" x14ac:dyDescent="0.25">
      <c r="A280" s="123">
        <v>278</v>
      </c>
      <c r="B280" s="123">
        <v>117</v>
      </c>
      <c r="C280" s="123">
        <v>161</v>
      </c>
      <c r="D280" s="123">
        <v>0</v>
      </c>
      <c r="E280" s="123">
        <v>0</v>
      </c>
      <c r="F280" s="123">
        <v>32</v>
      </c>
      <c r="G280" s="123">
        <v>31</v>
      </c>
      <c r="H280" s="123">
        <v>57</v>
      </c>
      <c r="I280" s="123">
        <v>18</v>
      </c>
      <c r="J280" s="123">
        <v>26</v>
      </c>
      <c r="K280" s="123">
        <v>66</v>
      </c>
      <c r="L280" s="123">
        <v>0</v>
      </c>
      <c r="M280" s="123">
        <v>35</v>
      </c>
      <c r="N280" s="123">
        <v>2</v>
      </c>
      <c r="O280" s="123">
        <v>11</v>
      </c>
      <c r="P280" s="7" t="s">
        <v>163</v>
      </c>
      <c r="Q280" s="124"/>
      <c r="R280" s="1"/>
    </row>
    <row r="281" spans="1:18" ht="13.5" thickBot="1" x14ac:dyDescent="0.25">
      <c r="A281" s="123">
        <v>45</v>
      </c>
      <c r="B281" s="123">
        <v>25</v>
      </c>
      <c r="C281" s="123">
        <v>20</v>
      </c>
      <c r="D281" s="123">
        <v>0</v>
      </c>
      <c r="E281" s="123">
        <v>0</v>
      </c>
      <c r="F281" s="123">
        <v>0</v>
      </c>
      <c r="G281" s="123">
        <v>0</v>
      </c>
      <c r="H281" s="123">
        <v>0</v>
      </c>
      <c r="I281" s="123">
        <v>0</v>
      </c>
      <c r="J281" s="123">
        <v>18</v>
      </c>
      <c r="K281" s="123">
        <v>19</v>
      </c>
      <c r="L281" s="123">
        <v>4</v>
      </c>
      <c r="M281" s="123">
        <v>1</v>
      </c>
      <c r="N281" s="123">
        <v>3</v>
      </c>
      <c r="O281" s="123">
        <v>0</v>
      </c>
      <c r="P281" s="7" t="s">
        <v>162</v>
      </c>
      <c r="Q281" s="124" t="s">
        <v>378</v>
      </c>
      <c r="R281" s="1"/>
    </row>
    <row r="282" spans="1:18" ht="13.5" thickBot="1" x14ac:dyDescent="0.25">
      <c r="A282" s="123">
        <v>323</v>
      </c>
      <c r="B282" s="123">
        <v>142</v>
      </c>
      <c r="C282" s="123">
        <v>181</v>
      </c>
      <c r="D282" s="123">
        <v>0</v>
      </c>
      <c r="E282" s="123">
        <v>0</v>
      </c>
      <c r="F282" s="123">
        <v>32</v>
      </c>
      <c r="G282" s="123">
        <v>31</v>
      </c>
      <c r="H282" s="123">
        <v>57</v>
      </c>
      <c r="I282" s="123">
        <v>18</v>
      </c>
      <c r="J282" s="123">
        <v>44</v>
      </c>
      <c r="K282" s="123">
        <v>85</v>
      </c>
      <c r="L282" s="123">
        <v>4</v>
      </c>
      <c r="M282" s="123">
        <v>36</v>
      </c>
      <c r="N282" s="123">
        <v>5</v>
      </c>
      <c r="O282" s="123">
        <v>11</v>
      </c>
      <c r="P282" s="7" t="s">
        <v>13</v>
      </c>
      <c r="Q282" s="9"/>
      <c r="R282" s="1"/>
    </row>
    <row r="283" spans="1:18" ht="13.5" thickBot="1" x14ac:dyDescent="0.25">
      <c r="A283" s="123">
        <v>62</v>
      </c>
      <c r="B283" s="123">
        <v>0</v>
      </c>
      <c r="C283" s="123">
        <v>62</v>
      </c>
      <c r="D283" s="123">
        <v>0</v>
      </c>
      <c r="E283" s="123">
        <v>1</v>
      </c>
      <c r="F283" s="123">
        <v>0</v>
      </c>
      <c r="G283" s="123">
        <v>24</v>
      </c>
      <c r="H283" s="123">
        <v>0</v>
      </c>
      <c r="I283" s="123">
        <v>4</v>
      </c>
      <c r="J283" s="123">
        <v>0</v>
      </c>
      <c r="K283" s="123">
        <v>22</v>
      </c>
      <c r="L283" s="123">
        <v>0</v>
      </c>
      <c r="M283" s="123">
        <v>7</v>
      </c>
      <c r="N283" s="123">
        <v>0</v>
      </c>
      <c r="O283" s="123">
        <v>4</v>
      </c>
      <c r="P283" s="7" t="s">
        <v>163</v>
      </c>
      <c r="Q283" s="124"/>
      <c r="R283" s="1"/>
    </row>
    <row r="284" spans="1:18" ht="13.5" thickBot="1" x14ac:dyDescent="0.25">
      <c r="A284" s="123">
        <v>28</v>
      </c>
      <c r="B284" s="123">
        <v>0</v>
      </c>
      <c r="C284" s="123">
        <v>28</v>
      </c>
      <c r="D284" s="123">
        <v>0</v>
      </c>
      <c r="E284" s="123">
        <v>0</v>
      </c>
      <c r="F284" s="123">
        <v>0</v>
      </c>
      <c r="G284" s="123">
        <v>1</v>
      </c>
      <c r="H284" s="123">
        <v>0</v>
      </c>
      <c r="I284" s="123">
        <v>3</v>
      </c>
      <c r="J284" s="123">
        <v>0</v>
      </c>
      <c r="K284" s="123">
        <v>21</v>
      </c>
      <c r="L284" s="123">
        <v>0</v>
      </c>
      <c r="M284" s="123">
        <v>0</v>
      </c>
      <c r="N284" s="123">
        <v>0</v>
      </c>
      <c r="O284" s="123">
        <v>3</v>
      </c>
      <c r="P284" s="7" t="s">
        <v>162</v>
      </c>
      <c r="Q284" s="124" t="s">
        <v>539</v>
      </c>
      <c r="R284" s="1"/>
    </row>
    <row r="285" spans="1:18" ht="13.5" thickBot="1" x14ac:dyDescent="0.25">
      <c r="A285" s="123">
        <v>90</v>
      </c>
      <c r="B285" s="123">
        <v>0</v>
      </c>
      <c r="C285" s="123">
        <v>90</v>
      </c>
      <c r="D285" s="123">
        <v>0</v>
      </c>
      <c r="E285" s="123">
        <v>1</v>
      </c>
      <c r="F285" s="123">
        <v>0</v>
      </c>
      <c r="G285" s="123">
        <v>25</v>
      </c>
      <c r="H285" s="123">
        <v>0</v>
      </c>
      <c r="I285" s="123">
        <v>7</v>
      </c>
      <c r="J285" s="123">
        <v>0</v>
      </c>
      <c r="K285" s="123">
        <v>43</v>
      </c>
      <c r="L285" s="123">
        <v>0</v>
      </c>
      <c r="M285" s="123">
        <v>7</v>
      </c>
      <c r="N285" s="123">
        <v>0</v>
      </c>
      <c r="O285" s="123">
        <v>7</v>
      </c>
      <c r="P285" s="7" t="s">
        <v>13</v>
      </c>
      <c r="Q285" s="9"/>
      <c r="R285" s="1"/>
    </row>
    <row r="286" spans="1:18" ht="13.5" thickBot="1" x14ac:dyDescent="0.25">
      <c r="A286" s="123">
        <v>60</v>
      </c>
      <c r="B286" s="123">
        <v>0</v>
      </c>
      <c r="C286" s="123">
        <v>60</v>
      </c>
      <c r="D286" s="123">
        <v>0</v>
      </c>
      <c r="E286" s="123">
        <v>0</v>
      </c>
      <c r="F286" s="123">
        <v>0</v>
      </c>
      <c r="G286" s="123">
        <v>13</v>
      </c>
      <c r="H286" s="123">
        <v>0</v>
      </c>
      <c r="I286" s="123">
        <v>8</v>
      </c>
      <c r="J286" s="123">
        <v>0</v>
      </c>
      <c r="K286" s="123">
        <v>17</v>
      </c>
      <c r="L286" s="123">
        <v>0</v>
      </c>
      <c r="M286" s="123">
        <v>13</v>
      </c>
      <c r="N286" s="123">
        <v>0</v>
      </c>
      <c r="O286" s="123">
        <v>9</v>
      </c>
      <c r="P286" s="7" t="s">
        <v>163</v>
      </c>
      <c r="Q286" s="124"/>
      <c r="R286" s="1"/>
    </row>
    <row r="287" spans="1:18" ht="13.5" thickBot="1" x14ac:dyDescent="0.25">
      <c r="A287" s="123">
        <v>22</v>
      </c>
      <c r="B287" s="123">
        <v>0</v>
      </c>
      <c r="C287" s="123">
        <v>22</v>
      </c>
      <c r="D287" s="123">
        <v>0</v>
      </c>
      <c r="E287" s="123">
        <v>0</v>
      </c>
      <c r="F287" s="123">
        <v>0</v>
      </c>
      <c r="G287" s="123">
        <v>0</v>
      </c>
      <c r="H287" s="123">
        <v>0</v>
      </c>
      <c r="I287" s="123">
        <v>2</v>
      </c>
      <c r="J287" s="123">
        <v>0</v>
      </c>
      <c r="K287" s="123">
        <v>12</v>
      </c>
      <c r="L287" s="123">
        <v>0</v>
      </c>
      <c r="M287" s="123">
        <v>5</v>
      </c>
      <c r="N287" s="123">
        <v>0</v>
      </c>
      <c r="O287" s="123">
        <v>3</v>
      </c>
      <c r="P287" s="7" t="s">
        <v>162</v>
      </c>
      <c r="Q287" s="124" t="s">
        <v>379</v>
      </c>
      <c r="R287" s="1"/>
    </row>
    <row r="288" spans="1:18" ht="13.5" thickBot="1" x14ac:dyDescent="0.25">
      <c r="A288" s="123">
        <v>82</v>
      </c>
      <c r="B288" s="123">
        <v>0</v>
      </c>
      <c r="C288" s="123">
        <v>82</v>
      </c>
      <c r="D288" s="123">
        <v>0</v>
      </c>
      <c r="E288" s="123">
        <v>0</v>
      </c>
      <c r="F288" s="123">
        <v>0</v>
      </c>
      <c r="G288" s="123">
        <v>13</v>
      </c>
      <c r="H288" s="123">
        <v>0</v>
      </c>
      <c r="I288" s="123">
        <v>10</v>
      </c>
      <c r="J288" s="123">
        <v>0</v>
      </c>
      <c r="K288" s="123">
        <v>29</v>
      </c>
      <c r="L288" s="123">
        <v>0</v>
      </c>
      <c r="M288" s="123">
        <v>18</v>
      </c>
      <c r="N288" s="123">
        <v>0</v>
      </c>
      <c r="O288" s="123">
        <v>12</v>
      </c>
      <c r="P288" s="7" t="s">
        <v>13</v>
      </c>
      <c r="Q288" s="9"/>
      <c r="R288" s="1"/>
    </row>
    <row r="289" spans="1:18" ht="13.5" thickBot="1" x14ac:dyDescent="0.25">
      <c r="A289" s="123">
        <v>47</v>
      </c>
      <c r="B289" s="123">
        <v>0</v>
      </c>
      <c r="C289" s="123">
        <v>47</v>
      </c>
      <c r="D289" s="123">
        <v>0</v>
      </c>
      <c r="E289" s="123">
        <v>0</v>
      </c>
      <c r="F289" s="123">
        <v>0</v>
      </c>
      <c r="G289" s="123">
        <v>10</v>
      </c>
      <c r="H289" s="123">
        <v>0</v>
      </c>
      <c r="I289" s="123">
        <v>6</v>
      </c>
      <c r="J289" s="123">
        <v>0</v>
      </c>
      <c r="K289" s="123">
        <v>11</v>
      </c>
      <c r="L289" s="123">
        <v>0</v>
      </c>
      <c r="M289" s="123">
        <v>9</v>
      </c>
      <c r="N289" s="123">
        <v>0</v>
      </c>
      <c r="O289" s="123">
        <v>11</v>
      </c>
      <c r="P289" s="7" t="s">
        <v>163</v>
      </c>
      <c r="Q289" s="124"/>
      <c r="R289" s="1"/>
    </row>
    <row r="290" spans="1:18" ht="13.5" thickBot="1" x14ac:dyDescent="0.25">
      <c r="A290" s="123">
        <v>22</v>
      </c>
      <c r="B290" s="123">
        <v>0</v>
      </c>
      <c r="C290" s="123">
        <v>22</v>
      </c>
      <c r="D290" s="123">
        <v>0</v>
      </c>
      <c r="E290" s="123">
        <v>0</v>
      </c>
      <c r="F290" s="123">
        <v>0</v>
      </c>
      <c r="G290" s="123">
        <v>2</v>
      </c>
      <c r="H290" s="123">
        <v>0</v>
      </c>
      <c r="I290" s="123">
        <v>0</v>
      </c>
      <c r="J290" s="123">
        <v>0</v>
      </c>
      <c r="K290" s="123">
        <v>13</v>
      </c>
      <c r="L290" s="123">
        <v>0</v>
      </c>
      <c r="M290" s="123">
        <v>3</v>
      </c>
      <c r="N290" s="123">
        <v>0</v>
      </c>
      <c r="O290" s="123">
        <v>4</v>
      </c>
      <c r="P290" s="7" t="s">
        <v>162</v>
      </c>
      <c r="Q290" s="124" t="s">
        <v>566</v>
      </c>
      <c r="R290" s="1"/>
    </row>
    <row r="291" spans="1:18" ht="13.5" thickBot="1" x14ac:dyDescent="0.25">
      <c r="A291" s="123">
        <v>69</v>
      </c>
      <c r="B291" s="123">
        <v>0</v>
      </c>
      <c r="C291" s="123">
        <v>69</v>
      </c>
      <c r="D291" s="123">
        <v>0</v>
      </c>
      <c r="E291" s="123">
        <v>0</v>
      </c>
      <c r="F291" s="123">
        <v>0</v>
      </c>
      <c r="G291" s="123">
        <v>12</v>
      </c>
      <c r="H291" s="123">
        <v>0</v>
      </c>
      <c r="I291" s="123">
        <v>6</v>
      </c>
      <c r="J291" s="123">
        <v>0</v>
      </c>
      <c r="K291" s="123">
        <v>24</v>
      </c>
      <c r="L291" s="123">
        <v>0</v>
      </c>
      <c r="M291" s="123">
        <v>12</v>
      </c>
      <c r="N291" s="123">
        <v>0</v>
      </c>
      <c r="O291" s="123">
        <v>15</v>
      </c>
      <c r="P291" s="7" t="s">
        <v>13</v>
      </c>
      <c r="Q291" s="9"/>
      <c r="R291" s="1"/>
    </row>
    <row r="292" spans="1:18" ht="13.5" thickBot="1" x14ac:dyDescent="0.25">
      <c r="A292" s="123">
        <v>47</v>
      </c>
      <c r="B292" s="123">
        <v>0</v>
      </c>
      <c r="C292" s="123">
        <v>47</v>
      </c>
      <c r="D292" s="123">
        <v>0</v>
      </c>
      <c r="E292" s="123">
        <v>1</v>
      </c>
      <c r="F292" s="123">
        <v>0</v>
      </c>
      <c r="G292" s="123">
        <v>11</v>
      </c>
      <c r="H292" s="123">
        <v>0</v>
      </c>
      <c r="I292" s="123">
        <v>2</v>
      </c>
      <c r="J292" s="123">
        <v>0</v>
      </c>
      <c r="K292" s="123">
        <v>20</v>
      </c>
      <c r="L292" s="123">
        <v>0</v>
      </c>
      <c r="M292" s="123">
        <v>9</v>
      </c>
      <c r="N292" s="123">
        <v>0</v>
      </c>
      <c r="O292" s="123">
        <v>4</v>
      </c>
      <c r="P292" s="7" t="s">
        <v>163</v>
      </c>
      <c r="Q292" s="124"/>
      <c r="R292" s="1"/>
    </row>
    <row r="293" spans="1:18" ht="13.5" thickBot="1" x14ac:dyDescent="0.25">
      <c r="A293" s="123">
        <v>17</v>
      </c>
      <c r="B293" s="123">
        <v>0</v>
      </c>
      <c r="C293" s="123">
        <v>17</v>
      </c>
      <c r="D293" s="123">
        <v>0</v>
      </c>
      <c r="E293" s="123">
        <v>0</v>
      </c>
      <c r="F293" s="123">
        <v>0</v>
      </c>
      <c r="G293" s="123">
        <v>0</v>
      </c>
      <c r="H293" s="123">
        <v>0</v>
      </c>
      <c r="I293" s="123">
        <v>7</v>
      </c>
      <c r="J293" s="123">
        <v>0</v>
      </c>
      <c r="K293" s="123">
        <v>7</v>
      </c>
      <c r="L293" s="123">
        <v>0</v>
      </c>
      <c r="M293" s="123">
        <v>1</v>
      </c>
      <c r="N293" s="123">
        <v>0</v>
      </c>
      <c r="O293" s="123">
        <v>2</v>
      </c>
      <c r="P293" s="7" t="s">
        <v>162</v>
      </c>
      <c r="Q293" s="124" t="s">
        <v>538</v>
      </c>
      <c r="R293" s="1"/>
    </row>
    <row r="294" spans="1:18" ht="13.5" thickBot="1" x14ac:dyDescent="0.25">
      <c r="A294" s="123">
        <v>64</v>
      </c>
      <c r="B294" s="123">
        <v>0</v>
      </c>
      <c r="C294" s="123">
        <v>64</v>
      </c>
      <c r="D294" s="123">
        <v>0</v>
      </c>
      <c r="E294" s="123">
        <v>1</v>
      </c>
      <c r="F294" s="123">
        <v>0</v>
      </c>
      <c r="G294" s="123">
        <v>11</v>
      </c>
      <c r="H294" s="123">
        <v>0</v>
      </c>
      <c r="I294" s="123">
        <v>9</v>
      </c>
      <c r="J294" s="123">
        <v>0</v>
      </c>
      <c r="K294" s="123">
        <v>27</v>
      </c>
      <c r="L294" s="123">
        <v>0</v>
      </c>
      <c r="M294" s="123">
        <v>10</v>
      </c>
      <c r="N294" s="123">
        <v>0</v>
      </c>
      <c r="O294" s="123">
        <v>6</v>
      </c>
      <c r="P294" s="7" t="s">
        <v>13</v>
      </c>
      <c r="Q294" s="9"/>
      <c r="R294" s="1"/>
    </row>
    <row r="295" spans="1:18" ht="13.5" thickBot="1" x14ac:dyDescent="0.25">
      <c r="A295" s="123">
        <v>94</v>
      </c>
      <c r="B295" s="123">
        <v>94</v>
      </c>
      <c r="C295" s="123">
        <v>0</v>
      </c>
      <c r="D295" s="123">
        <v>0</v>
      </c>
      <c r="E295" s="123">
        <v>0</v>
      </c>
      <c r="F295" s="123">
        <v>47</v>
      </c>
      <c r="G295" s="123">
        <v>0</v>
      </c>
      <c r="H295" s="123">
        <v>26</v>
      </c>
      <c r="I295" s="123">
        <v>0</v>
      </c>
      <c r="J295" s="123">
        <v>20</v>
      </c>
      <c r="K295" s="123">
        <v>0</v>
      </c>
      <c r="L295" s="123">
        <v>1</v>
      </c>
      <c r="M295" s="123">
        <v>0</v>
      </c>
      <c r="N295" s="123">
        <v>0</v>
      </c>
      <c r="O295" s="123">
        <v>0</v>
      </c>
      <c r="P295" s="7" t="s">
        <v>163</v>
      </c>
      <c r="Q295" s="124"/>
      <c r="R295" s="1"/>
    </row>
    <row r="296" spans="1:18" ht="13.5" thickBot="1" x14ac:dyDescent="0.25">
      <c r="A296" s="123">
        <v>30</v>
      </c>
      <c r="B296" s="123">
        <v>30</v>
      </c>
      <c r="C296" s="123">
        <v>0</v>
      </c>
      <c r="D296" s="123">
        <v>0</v>
      </c>
      <c r="E296" s="123">
        <v>0</v>
      </c>
      <c r="F296" s="123">
        <v>0</v>
      </c>
      <c r="G296" s="123">
        <v>0</v>
      </c>
      <c r="H296" s="123">
        <v>0</v>
      </c>
      <c r="I296" s="123">
        <v>0</v>
      </c>
      <c r="J296" s="123">
        <v>17</v>
      </c>
      <c r="K296" s="123">
        <v>0</v>
      </c>
      <c r="L296" s="123">
        <v>12</v>
      </c>
      <c r="M296" s="123">
        <v>0</v>
      </c>
      <c r="N296" s="123">
        <v>1</v>
      </c>
      <c r="O296" s="123">
        <v>0</v>
      </c>
      <c r="P296" s="7" t="s">
        <v>162</v>
      </c>
      <c r="Q296" s="124" t="s">
        <v>380</v>
      </c>
      <c r="R296" s="1"/>
    </row>
    <row r="297" spans="1:18" ht="13.5" thickBot="1" x14ac:dyDescent="0.25">
      <c r="A297" s="123">
        <v>124</v>
      </c>
      <c r="B297" s="123">
        <v>124</v>
      </c>
      <c r="C297" s="123">
        <v>0</v>
      </c>
      <c r="D297" s="123">
        <v>0</v>
      </c>
      <c r="E297" s="123">
        <v>0</v>
      </c>
      <c r="F297" s="123">
        <v>47</v>
      </c>
      <c r="G297" s="123">
        <v>0</v>
      </c>
      <c r="H297" s="123">
        <v>26</v>
      </c>
      <c r="I297" s="123">
        <v>0</v>
      </c>
      <c r="J297" s="123">
        <v>37</v>
      </c>
      <c r="K297" s="123">
        <v>0</v>
      </c>
      <c r="L297" s="123">
        <v>13</v>
      </c>
      <c r="M297" s="123">
        <v>0</v>
      </c>
      <c r="N297" s="123">
        <v>1</v>
      </c>
      <c r="O297" s="123">
        <v>0</v>
      </c>
      <c r="P297" s="7" t="s">
        <v>13</v>
      </c>
      <c r="Q297" s="9"/>
      <c r="R297" s="1"/>
    </row>
    <row r="298" spans="1:18" ht="13.5" thickBot="1" x14ac:dyDescent="0.25">
      <c r="A298" s="123">
        <v>72</v>
      </c>
      <c r="B298" s="123">
        <v>44</v>
      </c>
      <c r="C298" s="123">
        <v>28</v>
      </c>
      <c r="D298" s="123">
        <v>0</v>
      </c>
      <c r="E298" s="123">
        <v>0</v>
      </c>
      <c r="F298" s="123">
        <v>36</v>
      </c>
      <c r="G298" s="123">
        <v>9</v>
      </c>
      <c r="H298" s="123">
        <v>3</v>
      </c>
      <c r="I298" s="123">
        <v>2</v>
      </c>
      <c r="J298" s="123">
        <v>5</v>
      </c>
      <c r="K298" s="123">
        <v>14</v>
      </c>
      <c r="L298" s="123">
        <v>0</v>
      </c>
      <c r="M298" s="123">
        <v>2</v>
      </c>
      <c r="N298" s="123">
        <v>0</v>
      </c>
      <c r="O298" s="123">
        <v>1</v>
      </c>
      <c r="P298" s="7" t="s">
        <v>163</v>
      </c>
      <c r="Q298" s="124"/>
      <c r="R298" s="1"/>
    </row>
    <row r="299" spans="1:18" ht="13.5" thickBot="1" x14ac:dyDescent="0.25">
      <c r="A299" s="123">
        <v>17</v>
      </c>
      <c r="B299" s="123">
        <v>12</v>
      </c>
      <c r="C299" s="123">
        <v>5</v>
      </c>
      <c r="D299" s="123">
        <v>0</v>
      </c>
      <c r="E299" s="123">
        <v>0</v>
      </c>
      <c r="F299" s="123">
        <v>0</v>
      </c>
      <c r="G299" s="123">
        <v>0</v>
      </c>
      <c r="H299" s="123">
        <v>5</v>
      </c>
      <c r="I299" s="123">
        <v>0</v>
      </c>
      <c r="J299" s="123">
        <v>7</v>
      </c>
      <c r="K299" s="123">
        <v>5</v>
      </c>
      <c r="L299" s="123">
        <v>0</v>
      </c>
      <c r="M299" s="123">
        <v>0</v>
      </c>
      <c r="N299" s="123">
        <v>0</v>
      </c>
      <c r="O299" s="123">
        <v>0</v>
      </c>
      <c r="P299" s="7" t="s">
        <v>162</v>
      </c>
      <c r="Q299" s="124" t="s">
        <v>264</v>
      </c>
      <c r="R299" s="1"/>
    </row>
    <row r="300" spans="1:18" ht="13.5" thickBot="1" x14ac:dyDescent="0.25">
      <c r="A300" s="123">
        <v>89</v>
      </c>
      <c r="B300" s="123">
        <v>56</v>
      </c>
      <c r="C300" s="123">
        <v>33</v>
      </c>
      <c r="D300" s="123">
        <v>0</v>
      </c>
      <c r="E300" s="123">
        <v>0</v>
      </c>
      <c r="F300" s="123">
        <v>36</v>
      </c>
      <c r="G300" s="123">
        <v>9</v>
      </c>
      <c r="H300" s="123">
        <v>8</v>
      </c>
      <c r="I300" s="123">
        <v>2</v>
      </c>
      <c r="J300" s="123">
        <v>12</v>
      </c>
      <c r="K300" s="123">
        <v>19</v>
      </c>
      <c r="L300" s="123">
        <v>0</v>
      </c>
      <c r="M300" s="123">
        <v>2</v>
      </c>
      <c r="N300" s="123">
        <v>0</v>
      </c>
      <c r="O300" s="123">
        <v>1</v>
      </c>
      <c r="P300" s="7" t="s">
        <v>13</v>
      </c>
      <c r="Q300" s="9"/>
      <c r="R300" s="1"/>
    </row>
    <row r="301" spans="1:18" ht="13.5" thickBot="1" x14ac:dyDescent="0.25">
      <c r="A301" s="123">
        <v>21</v>
      </c>
      <c r="B301" s="123">
        <v>9</v>
      </c>
      <c r="C301" s="123">
        <v>12</v>
      </c>
      <c r="D301" s="123">
        <v>0</v>
      </c>
      <c r="E301" s="123">
        <v>0</v>
      </c>
      <c r="F301" s="123">
        <v>6</v>
      </c>
      <c r="G301" s="123">
        <v>9</v>
      </c>
      <c r="H301" s="123">
        <v>1</v>
      </c>
      <c r="I301" s="123">
        <v>0</v>
      </c>
      <c r="J301" s="123">
        <v>1</v>
      </c>
      <c r="K301" s="123">
        <v>2</v>
      </c>
      <c r="L301" s="123">
        <v>1</v>
      </c>
      <c r="M301" s="123">
        <v>0</v>
      </c>
      <c r="N301" s="123">
        <v>0</v>
      </c>
      <c r="O301" s="123">
        <v>1</v>
      </c>
      <c r="P301" s="7" t="s">
        <v>163</v>
      </c>
      <c r="Q301" s="124"/>
      <c r="R301" s="1"/>
    </row>
    <row r="302" spans="1:18" ht="13.5" thickBot="1" x14ac:dyDescent="0.25">
      <c r="A302" s="123">
        <v>27</v>
      </c>
      <c r="B302" s="123">
        <v>12</v>
      </c>
      <c r="C302" s="123">
        <v>15</v>
      </c>
      <c r="D302" s="123">
        <v>0</v>
      </c>
      <c r="E302" s="123">
        <v>0</v>
      </c>
      <c r="F302" s="123">
        <v>1</v>
      </c>
      <c r="G302" s="123">
        <v>0</v>
      </c>
      <c r="H302" s="123">
        <v>0</v>
      </c>
      <c r="I302" s="123">
        <v>0</v>
      </c>
      <c r="J302" s="123">
        <v>5</v>
      </c>
      <c r="K302" s="123">
        <v>1</v>
      </c>
      <c r="L302" s="123">
        <v>1</v>
      </c>
      <c r="M302" s="123">
        <v>9</v>
      </c>
      <c r="N302" s="123">
        <v>5</v>
      </c>
      <c r="O302" s="123">
        <v>5</v>
      </c>
      <c r="P302" s="7" t="s">
        <v>162</v>
      </c>
      <c r="Q302" s="124" t="s">
        <v>337</v>
      </c>
      <c r="R302" s="1"/>
    </row>
    <row r="303" spans="1:18" ht="13.5" thickBot="1" x14ac:dyDescent="0.25">
      <c r="A303" s="123">
        <v>48</v>
      </c>
      <c r="B303" s="123">
        <v>21</v>
      </c>
      <c r="C303" s="123">
        <v>27</v>
      </c>
      <c r="D303" s="123">
        <v>0</v>
      </c>
      <c r="E303" s="123">
        <v>0</v>
      </c>
      <c r="F303" s="123">
        <v>7</v>
      </c>
      <c r="G303" s="123">
        <v>9</v>
      </c>
      <c r="H303" s="123">
        <v>1</v>
      </c>
      <c r="I303" s="123">
        <v>0</v>
      </c>
      <c r="J303" s="123">
        <v>6</v>
      </c>
      <c r="K303" s="123">
        <v>3</v>
      </c>
      <c r="L303" s="123">
        <v>2</v>
      </c>
      <c r="M303" s="123">
        <v>9</v>
      </c>
      <c r="N303" s="123">
        <v>5</v>
      </c>
      <c r="O303" s="123">
        <v>6</v>
      </c>
      <c r="P303" s="7" t="s">
        <v>13</v>
      </c>
      <c r="Q303" s="9"/>
      <c r="R303" s="1"/>
    </row>
    <row r="304" spans="1:18" ht="13.5" thickBot="1" x14ac:dyDescent="0.25">
      <c r="A304" s="123">
        <v>10</v>
      </c>
      <c r="B304" s="123">
        <v>0</v>
      </c>
      <c r="C304" s="123">
        <v>10</v>
      </c>
      <c r="D304" s="123">
        <v>0</v>
      </c>
      <c r="E304" s="123">
        <v>0</v>
      </c>
      <c r="F304" s="123">
        <v>0</v>
      </c>
      <c r="G304" s="123">
        <v>2</v>
      </c>
      <c r="H304" s="123">
        <v>0</v>
      </c>
      <c r="I304" s="123">
        <v>3</v>
      </c>
      <c r="J304" s="123">
        <v>0</v>
      </c>
      <c r="K304" s="123">
        <v>3</v>
      </c>
      <c r="L304" s="123">
        <v>0</v>
      </c>
      <c r="M304" s="123">
        <v>1</v>
      </c>
      <c r="N304" s="123">
        <v>0</v>
      </c>
      <c r="O304" s="123">
        <v>1</v>
      </c>
      <c r="P304" s="7" t="s">
        <v>163</v>
      </c>
      <c r="Q304" s="124"/>
      <c r="R304" s="1"/>
    </row>
    <row r="305" spans="1:18" ht="13.5" thickBot="1" x14ac:dyDescent="0.25">
      <c r="A305" s="123">
        <v>29</v>
      </c>
      <c r="B305" s="123">
        <v>0</v>
      </c>
      <c r="C305" s="123">
        <v>29</v>
      </c>
      <c r="D305" s="123">
        <v>0</v>
      </c>
      <c r="E305" s="123">
        <v>0</v>
      </c>
      <c r="F305" s="123">
        <v>0</v>
      </c>
      <c r="G305" s="123">
        <v>0</v>
      </c>
      <c r="H305" s="123">
        <v>0</v>
      </c>
      <c r="I305" s="123">
        <v>16</v>
      </c>
      <c r="J305" s="123">
        <v>0</v>
      </c>
      <c r="K305" s="123">
        <v>11</v>
      </c>
      <c r="L305" s="123">
        <v>0</v>
      </c>
      <c r="M305" s="123">
        <v>2</v>
      </c>
      <c r="N305" s="123">
        <v>0</v>
      </c>
      <c r="O305" s="123">
        <v>0</v>
      </c>
      <c r="P305" s="7" t="s">
        <v>162</v>
      </c>
      <c r="Q305" s="124" t="s">
        <v>95</v>
      </c>
      <c r="R305" s="1"/>
    </row>
    <row r="306" spans="1:18" ht="13.5" thickBot="1" x14ac:dyDescent="0.25">
      <c r="A306" s="123">
        <v>39</v>
      </c>
      <c r="B306" s="123">
        <v>0</v>
      </c>
      <c r="C306" s="123">
        <v>39</v>
      </c>
      <c r="D306" s="123">
        <v>0</v>
      </c>
      <c r="E306" s="123">
        <v>0</v>
      </c>
      <c r="F306" s="123">
        <v>0</v>
      </c>
      <c r="G306" s="123">
        <v>2</v>
      </c>
      <c r="H306" s="123">
        <v>0</v>
      </c>
      <c r="I306" s="123">
        <v>19</v>
      </c>
      <c r="J306" s="123">
        <v>0</v>
      </c>
      <c r="K306" s="123">
        <v>14</v>
      </c>
      <c r="L306" s="123">
        <v>0</v>
      </c>
      <c r="M306" s="123">
        <v>3</v>
      </c>
      <c r="N306" s="123">
        <v>0</v>
      </c>
      <c r="O306" s="123">
        <v>1</v>
      </c>
      <c r="P306" s="7" t="s">
        <v>13</v>
      </c>
      <c r="Q306" s="9"/>
      <c r="R306" s="1"/>
    </row>
    <row r="307" spans="1:18" ht="13.5" thickBot="1" x14ac:dyDescent="0.25">
      <c r="A307" s="123">
        <v>106</v>
      </c>
      <c r="B307" s="123">
        <v>53</v>
      </c>
      <c r="C307" s="123">
        <v>53</v>
      </c>
      <c r="D307" s="123">
        <v>0</v>
      </c>
      <c r="E307" s="123">
        <v>0</v>
      </c>
      <c r="F307" s="123">
        <v>43</v>
      </c>
      <c r="G307" s="123">
        <v>26</v>
      </c>
      <c r="H307" s="123">
        <v>3</v>
      </c>
      <c r="I307" s="123">
        <v>6</v>
      </c>
      <c r="J307" s="123">
        <v>7</v>
      </c>
      <c r="K307" s="123">
        <v>15</v>
      </c>
      <c r="L307" s="123">
        <v>0</v>
      </c>
      <c r="M307" s="123">
        <v>5</v>
      </c>
      <c r="N307" s="123">
        <v>0</v>
      </c>
      <c r="O307" s="123">
        <v>1</v>
      </c>
      <c r="P307" s="7" t="s">
        <v>163</v>
      </c>
      <c r="Q307" s="124"/>
      <c r="R307" s="1"/>
    </row>
    <row r="308" spans="1:18" ht="13.5" thickBot="1" x14ac:dyDescent="0.25">
      <c r="A308" s="123">
        <v>25</v>
      </c>
      <c r="B308" s="123">
        <v>6</v>
      </c>
      <c r="C308" s="123">
        <v>19</v>
      </c>
      <c r="D308" s="123">
        <v>0</v>
      </c>
      <c r="E308" s="123">
        <v>0</v>
      </c>
      <c r="F308" s="123">
        <v>0</v>
      </c>
      <c r="G308" s="123">
        <v>0</v>
      </c>
      <c r="H308" s="123">
        <v>1</v>
      </c>
      <c r="I308" s="123">
        <v>3</v>
      </c>
      <c r="J308" s="123">
        <v>5</v>
      </c>
      <c r="K308" s="123">
        <v>12</v>
      </c>
      <c r="L308" s="123">
        <v>0</v>
      </c>
      <c r="M308" s="123">
        <v>3</v>
      </c>
      <c r="N308" s="123">
        <v>0</v>
      </c>
      <c r="O308" s="123">
        <v>1</v>
      </c>
      <c r="P308" s="7" t="s">
        <v>162</v>
      </c>
      <c r="Q308" s="124" t="s">
        <v>381</v>
      </c>
      <c r="R308" s="1"/>
    </row>
    <row r="309" spans="1:18" ht="13.5" thickBot="1" x14ac:dyDescent="0.25">
      <c r="A309" s="123">
        <v>131</v>
      </c>
      <c r="B309" s="123">
        <v>59</v>
      </c>
      <c r="C309" s="123">
        <v>72</v>
      </c>
      <c r="D309" s="123">
        <v>0</v>
      </c>
      <c r="E309" s="123">
        <v>0</v>
      </c>
      <c r="F309" s="123">
        <v>43</v>
      </c>
      <c r="G309" s="123">
        <v>26</v>
      </c>
      <c r="H309" s="123">
        <v>4</v>
      </c>
      <c r="I309" s="123">
        <v>9</v>
      </c>
      <c r="J309" s="123">
        <v>12</v>
      </c>
      <c r="K309" s="123">
        <v>27</v>
      </c>
      <c r="L309" s="123">
        <v>0</v>
      </c>
      <c r="M309" s="123">
        <v>8</v>
      </c>
      <c r="N309" s="123">
        <v>0</v>
      </c>
      <c r="O309" s="123">
        <v>2</v>
      </c>
      <c r="P309" s="7" t="s">
        <v>13</v>
      </c>
      <c r="Q309" s="9"/>
      <c r="R309" s="1"/>
    </row>
    <row r="310" spans="1:18" ht="13.5" thickBot="1" x14ac:dyDescent="0.25">
      <c r="A310" s="123">
        <v>180</v>
      </c>
      <c r="B310" s="123">
        <v>180</v>
      </c>
      <c r="C310" s="123">
        <v>0</v>
      </c>
      <c r="D310" s="123">
        <v>0</v>
      </c>
      <c r="E310" s="123">
        <v>0</v>
      </c>
      <c r="F310" s="123">
        <v>56</v>
      </c>
      <c r="G310" s="123">
        <v>0</v>
      </c>
      <c r="H310" s="123">
        <v>40</v>
      </c>
      <c r="I310" s="123">
        <v>0</v>
      </c>
      <c r="J310" s="123">
        <v>67</v>
      </c>
      <c r="K310" s="123">
        <v>0</v>
      </c>
      <c r="L310" s="123">
        <v>11</v>
      </c>
      <c r="M310" s="123">
        <v>0</v>
      </c>
      <c r="N310" s="123">
        <v>6</v>
      </c>
      <c r="O310" s="123">
        <v>0</v>
      </c>
      <c r="P310" s="7" t="s">
        <v>163</v>
      </c>
      <c r="Q310" s="124"/>
      <c r="R310" s="1"/>
    </row>
    <row r="311" spans="1:18" ht="13.5" thickBot="1" x14ac:dyDescent="0.25">
      <c r="A311" s="123">
        <v>25</v>
      </c>
      <c r="B311" s="123">
        <v>19</v>
      </c>
      <c r="C311" s="123">
        <v>6</v>
      </c>
      <c r="D311" s="123">
        <v>0</v>
      </c>
      <c r="E311" s="123">
        <v>0</v>
      </c>
      <c r="F311" s="123">
        <v>0</v>
      </c>
      <c r="G311" s="123">
        <v>0</v>
      </c>
      <c r="H311" s="123">
        <v>0</v>
      </c>
      <c r="I311" s="123">
        <v>0</v>
      </c>
      <c r="J311" s="123">
        <v>2</v>
      </c>
      <c r="K311" s="123">
        <v>1</v>
      </c>
      <c r="L311" s="123">
        <v>7</v>
      </c>
      <c r="M311" s="123">
        <v>1</v>
      </c>
      <c r="N311" s="123">
        <v>10</v>
      </c>
      <c r="O311" s="123">
        <v>4</v>
      </c>
      <c r="P311" s="7" t="s">
        <v>162</v>
      </c>
      <c r="Q311" s="124" t="s">
        <v>383</v>
      </c>
      <c r="R311" s="1"/>
    </row>
    <row r="312" spans="1:18" ht="13.5" thickBot="1" x14ac:dyDescent="0.25">
      <c r="A312" s="123">
        <v>205</v>
      </c>
      <c r="B312" s="123">
        <v>199</v>
      </c>
      <c r="C312" s="123">
        <v>6</v>
      </c>
      <c r="D312" s="123">
        <v>0</v>
      </c>
      <c r="E312" s="123">
        <v>0</v>
      </c>
      <c r="F312" s="123">
        <v>56</v>
      </c>
      <c r="G312" s="123">
        <v>0</v>
      </c>
      <c r="H312" s="123">
        <v>40</v>
      </c>
      <c r="I312" s="123">
        <v>0</v>
      </c>
      <c r="J312" s="123">
        <v>69</v>
      </c>
      <c r="K312" s="123">
        <v>1</v>
      </c>
      <c r="L312" s="123">
        <v>18</v>
      </c>
      <c r="M312" s="123">
        <v>1</v>
      </c>
      <c r="N312" s="123">
        <v>16</v>
      </c>
      <c r="O312" s="123">
        <v>4</v>
      </c>
      <c r="P312" s="7" t="s">
        <v>13</v>
      </c>
      <c r="Q312" s="9"/>
      <c r="R312" s="1"/>
    </row>
    <row r="313" spans="1:18" ht="13.5" thickBot="1" x14ac:dyDescent="0.25">
      <c r="A313" s="123">
        <v>88</v>
      </c>
      <c r="B313" s="123">
        <v>88</v>
      </c>
      <c r="C313" s="123">
        <v>0</v>
      </c>
      <c r="D313" s="123">
        <v>0</v>
      </c>
      <c r="E313" s="123">
        <v>0</v>
      </c>
      <c r="F313" s="123">
        <v>41</v>
      </c>
      <c r="G313" s="123">
        <v>0</v>
      </c>
      <c r="H313" s="123">
        <v>29</v>
      </c>
      <c r="I313" s="123">
        <v>0</v>
      </c>
      <c r="J313" s="123">
        <v>8</v>
      </c>
      <c r="K313" s="123">
        <v>0</v>
      </c>
      <c r="L313" s="123">
        <v>6</v>
      </c>
      <c r="M313" s="123">
        <v>0</v>
      </c>
      <c r="N313" s="123">
        <v>4</v>
      </c>
      <c r="O313" s="123">
        <v>0</v>
      </c>
      <c r="P313" s="7" t="s">
        <v>163</v>
      </c>
      <c r="Q313" s="124"/>
      <c r="R313" s="1"/>
    </row>
    <row r="314" spans="1:18" ht="13.5" thickBot="1" x14ac:dyDescent="0.25">
      <c r="A314" s="123">
        <v>11</v>
      </c>
      <c r="B314" s="123">
        <v>11</v>
      </c>
      <c r="C314" s="123">
        <v>0</v>
      </c>
      <c r="D314" s="123">
        <v>0</v>
      </c>
      <c r="E314" s="123">
        <v>0</v>
      </c>
      <c r="F314" s="123">
        <v>0</v>
      </c>
      <c r="G314" s="123">
        <v>0</v>
      </c>
      <c r="H314" s="123">
        <v>0</v>
      </c>
      <c r="I314" s="123">
        <v>0</v>
      </c>
      <c r="J314" s="123">
        <v>5</v>
      </c>
      <c r="K314" s="123">
        <v>0</v>
      </c>
      <c r="L314" s="123">
        <v>3</v>
      </c>
      <c r="M314" s="123">
        <v>0</v>
      </c>
      <c r="N314" s="123">
        <v>3</v>
      </c>
      <c r="O314" s="123">
        <v>0</v>
      </c>
      <c r="P314" s="7" t="s">
        <v>162</v>
      </c>
      <c r="Q314" s="124" t="s">
        <v>384</v>
      </c>
      <c r="R314" s="1"/>
    </row>
    <row r="315" spans="1:18" ht="13.5" thickBot="1" x14ac:dyDescent="0.25">
      <c r="A315" s="123">
        <v>99</v>
      </c>
      <c r="B315" s="123">
        <v>99</v>
      </c>
      <c r="C315" s="123">
        <v>0</v>
      </c>
      <c r="D315" s="123">
        <v>0</v>
      </c>
      <c r="E315" s="123">
        <v>0</v>
      </c>
      <c r="F315" s="123">
        <v>41</v>
      </c>
      <c r="G315" s="123">
        <v>0</v>
      </c>
      <c r="H315" s="123">
        <v>29</v>
      </c>
      <c r="I315" s="123">
        <v>0</v>
      </c>
      <c r="J315" s="123">
        <v>13</v>
      </c>
      <c r="K315" s="123">
        <v>0</v>
      </c>
      <c r="L315" s="123">
        <v>9</v>
      </c>
      <c r="M315" s="123">
        <v>0</v>
      </c>
      <c r="N315" s="123">
        <v>7</v>
      </c>
      <c r="O315" s="123">
        <v>0</v>
      </c>
      <c r="P315" s="7" t="s">
        <v>13</v>
      </c>
      <c r="Q315" s="9"/>
      <c r="R315" s="1"/>
    </row>
    <row r="316" spans="1:18" ht="13.5" thickBot="1" x14ac:dyDescent="0.25">
      <c r="A316" s="123">
        <v>88</v>
      </c>
      <c r="B316" s="123">
        <v>88</v>
      </c>
      <c r="C316" s="123">
        <v>0</v>
      </c>
      <c r="D316" s="123">
        <v>0</v>
      </c>
      <c r="E316" s="123">
        <v>0</v>
      </c>
      <c r="F316" s="123">
        <v>39</v>
      </c>
      <c r="G316" s="123">
        <v>0</v>
      </c>
      <c r="H316" s="123">
        <v>26</v>
      </c>
      <c r="I316" s="123">
        <v>0</v>
      </c>
      <c r="J316" s="123">
        <v>22</v>
      </c>
      <c r="K316" s="123">
        <v>0</v>
      </c>
      <c r="L316" s="123">
        <v>1</v>
      </c>
      <c r="M316" s="123">
        <v>0</v>
      </c>
      <c r="N316" s="123">
        <v>0</v>
      </c>
      <c r="O316" s="123">
        <v>0</v>
      </c>
      <c r="P316" s="7" t="s">
        <v>163</v>
      </c>
      <c r="Q316" s="124"/>
      <c r="R316" s="1"/>
    </row>
    <row r="317" spans="1:18" ht="13.5" thickBot="1" x14ac:dyDescent="0.25">
      <c r="A317" s="123">
        <v>19</v>
      </c>
      <c r="B317" s="123">
        <v>16</v>
      </c>
      <c r="C317" s="123">
        <v>3</v>
      </c>
      <c r="D317" s="123">
        <v>0</v>
      </c>
      <c r="E317" s="123">
        <v>0</v>
      </c>
      <c r="F317" s="123">
        <v>0</v>
      </c>
      <c r="G317" s="123">
        <v>0</v>
      </c>
      <c r="H317" s="123">
        <v>0</v>
      </c>
      <c r="I317" s="123">
        <v>1</v>
      </c>
      <c r="J317" s="123">
        <v>14</v>
      </c>
      <c r="K317" s="123">
        <v>2</v>
      </c>
      <c r="L317" s="123">
        <v>2</v>
      </c>
      <c r="M317" s="123">
        <v>0</v>
      </c>
      <c r="N317" s="123">
        <v>0</v>
      </c>
      <c r="O317" s="123">
        <v>0</v>
      </c>
      <c r="P317" s="7" t="s">
        <v>162</v>
      </c>
      <c r="Q317" s="124" t="s">
        <v>629</v>
      </c>
      <c r="R317" s="1"/>
    </row>
    <row r="318" spans="1:18" ht="13.5" thickBot="1" x14ac:dyDescent="0.25">
      <c r="A318" s="123">
        <v>107</v>
      </c>
      <c r="B318" s="123">
        <v>104</v>
      </c>
      <c r="C318" s="123">
        <v>3</v>
      </c>
      <c r="D318" s="123">
        <v>0</v>
      </c>
      <c r="E318" s="123">
        <v>0</v>
      </c>
      <c r="F318" s="123">
        <v>39</v>
      </c>
      <c r="G318" s="123">
        <v>0</v>
      </c>
      <c r="H318" s="123">
        <v>26</v>
      </c>
      <c r="I318" s="123">
        <v>1</v>
      </c>
      <c r="J318" s="123">
        <v>36</v>
      </c>
      <c r="K318" s="123">
        <v>2</v>
      </c>
      <c r="L318" s="123">
        <v>3</v>
      </c>
      <c r="M318" s="123">
        <v>0</v>
      </c>
      <c r="N318" s="123">
        <v>0</v>
      </c>
      <c r="O318" s="123">
        <v>0</v>
      </c>
      <c r="P318" s="7" t="s">
        <v>13</v>
      </c>
      <c r="Q318" s="9"/>
      <c r="R318" s="1"/>
    </row>
    <row r="319" spans="1:18" ht="13.5" thickBot="1" x14ac:dyDescent="0.25">
      <c r="A319" s="123">
        <v>242</v>
      </c>
      <c r="B319" s="123">
        <v>242</v>
      </c>
      <c r="C319" s="123">
        <v>0</v>
      </c>
      <c r="D319" s="123">
        <v>12</v>
      </c>
      <c r="E319" s="123">
        <v>0</v>
      </c>
      <c r="F319" s="123">
        <v>64</v>
      </c>
      <c r="G319" s="123">
        <v>0</v>
      </c>
      <c r="H319" s="123">
        <v>60</v>
      </c>
      <c r="I319" s="123">
        <v>0</v>
      </c>
      <c r="J319" s="123">
        <v>93</v>
      </c>
      <c r="K319" s="123">
        <v>0</v>
      </c>
      <c r="L319" s="123">
        <v>12</v>
      </c>
      <c r="M319" s="123">
        <v>0</v>
      </c>
      <c r="N319" s="123">
        <v>1</v>
      </c>
      <c r="O319" s="123">
        <v>0</v>
      </c>
      <c r="P319" s="7" t="s">
        <v>163</v>
      </c>
      <c r="Q319" s="124"/>
      <c r="R319" s="1"/>
    </row>
    <row r="320" spans="1:18" ht="13.5" thickBot="1" x14ac:dyDescent="0.25">
      <c r="A320" s="123">
        <v>23</v>
      </c>
      <c r="B320" s="123">
        <v>13</v>
      </c>
      <c r="C320" s="123">
        <v>10</v>
      </c>
      <c r="D320" s="123">
        <v>0</v>
      </c>
      <c r="E320" s="123">
        <v>0</v>
      </c>
      <c r="F320" s="123">
        <v>0</v>
      </c>
      <c r="G320" s="123">
        <v>0</v>
      </c>
      <c r="H320" s="123">
        <v>0</v>
      </c>
      <c r="I320" s="123">
        <v>0</v>
      </c>
      <c r="J320" s="123">
        <v>8</v>
      </c>
      <c r="K320" s="123">
        <v>2</v>
      </c>
      <c r="L320" s="123">
        <v>4</v>
      </c>
      <c r="M320" s="123">
        <v>6</v>
      </c>
      <c r="N320" s="123">
        <v>1</v>
      </c>
      <c r="O320" s="123">
        <v>2</v>
      </c>
      <c r="P320" s="7" t="s">
        <v>162</v>
      </c>
      <c r="Q320" s="124" t="s">
        <v>386</v>
      </c>
      <c r="R320" s="1"/>
    </row>
    <row r="321" spans="1:18" ht="13.5" thickBot="1" x14ac:dyDescent="0.25">
      <c r="A321" s="123">
        <v>265</v>
      </c>
      <c r="B321" s="123">
        <v>255</v>
      </c>
      <c r="C321" s="123">
        <v>10</v>
      </c>
      <c r="D321" s="123">
        <v>12</v>
      </c>
      <c r="E321" s="123">
        <v>0</v>
      </c>
      <c r="F321" s="123">
        <v>64</v>
      </c>
      <c r="G321" s="123">
        <v>0</v>
      </c>
      <c r="H321" s="123">
        <v>60</v>
      </c>
      <c r="I321" s="123">
        <v>0</v>
      </c>
      <c r="J321" s="123">
        <v>101</v>
      </c>
      <c r="K321" s="123">
        <v>2</v>
      </c>
      <c r="L321" s="123">
        <v>16</v>
      </c>
      <c r="M321" s="123">
        <v>6</v>
      </c>
      <c r="N321" s="123">
        <v>2</v>
      </c>
      <c r="O321" s="123">
        <v>2</v>
      </c>
      <c r="P321" s="7" t="s">
        <v>13</v>
      </c>
      <c r="Q321" s="9"/>
      <c r="R321" s="1"/>
    </row>
    <row r="322" spans="1:18" ht="13.5" thickBot="1" x14ac:dyDescent="0.25">
      <c r="A322" s="123">
        <v>0</v>
      </c>
      <c r="B322" s="123">
        <v>0</v>
      </c>
      <c r="C322" s="123">
        <v>0</v>
      </c>
      <c r="D322" s="123">
        <v>0</v>
      </c>
      <c r="E322" s="123">
        <v>0</v>
      </c>
      <c r="F322" s="123">
        <v>0</v>
      </c>
      <c r="G322" s="123">
        <v>0</v>
      </c>
      <c r="H322" s="123">
        <v>0</v>
      </c>
      <c r="I322" s="123">
        <v>0</v>
      </c>
      <c r="J322" s="123">
        <v>0</v>
      </c>
      <c r="K322" s="123">
        <v>0</v>
      </c>
      <c r="L322" s="123">
        <v>0</v>
      </c>
      <c r="M322" s="123">
        <v>0</v>
      </c>
      <c r="N322" s="123">
        <v>0</v>
      </c>
      <c r="O322" s="123">
        <v>0</v>
      </c>
      <c r="P322" s="7" t="s">
        <v>163</v>
      </c>
      <c r="Q322" s="124"/>
      <c r="R322" s="1"/>
    </row>
    <row r="323" spans="1:18" ht="13.5" thickBot="1" x14ac:dyDescent="0.25">
      <c r="A323" s="123">
        <v>1</v>
      </c>
      <c r="B323" s="123">
        <v>0</v>
      </c>
      <c r="C323" s="123">
        <v>1</v>
      </c>
      <c r="D323" s="123">
        <v>0</v>
      </c>
      <c r="E323" s="123">
        <v>0</v>
      </c>
      <c r="F323" s="123">
        <v>0</v>
      </c>
      <c r="G323" s="123">
        <v>0</v>
      </c>
      <c r="H323" s="123">
        <v>0</v>
      </c>
      <c r="I323" s="123">
        <v>1</v>
      </c>
      <c r="J323" s="123">
        <v>0</v>
      </c>
      <c r="K323" s="123">
        <v>0</v>
      </c>
      <c r="L323" s="123">
        <v>0</v>
      </c>
      <c r="M323" s="123">
        <v>0</v>
      </c>
      <c r="N323" s="123">
        <v>0</v>
      </c>
      <c r="O323" s="123">
        <v>0</v>
      </c>
      <c r="P323" s="7" t="s">
        <v>162</v>
      </c>
      <c r="Q323" s="124" t="s">
        <v>96</v>
      </c>
      <c r="R323" s="1"/>
    </row>
    <row r="324" spans="1:18" ht="13.5" thickBot="1" x14ac:dyDescent="0.25">
      <c r="A324" s="123">
        <v>1</v>
      </c>
      <c r="B324" s="123">
        <v>0</v>
      </c>
      <c r="C324" s="123">
        <v>1</v>
      </c>
      <c r="D324" s="123">
        <v>0</v>
      </c>
      <c r="E324" s="123">
        <v>0</v>
      </c>
      <c r="F324" s="123">
        <v>0</v>
      </c>
      <c r="G324" s="123">
        <v>0</v>
      </c>
      <c r="H324" s="123">
        <v>0</v>
      </c>
      <c r="I324" s="123">
        <v>1</v>
      </c>
      <c r="J324" s="123">
        <v>0</v>
      </c>
      <c r="K324" s="123">
        <v>0</v>
      </c>
      <c r="L324" s="123">
        <v>0</v>
      </c>
      <c r="M324" s="123">
        <v>0</v>
      </c>
      <c r="N324" s="123">
        <v>0</v>
      </c>
      <c r="O324" s="123">
        <v>0</v>
      </c>
      <c r="P324" s="7" t="s">
        <v>13</v>
      </c>
      <c r="Q324" s="9"/>
      <c r="R324" s="1"/>
    </row>
    <row r="325" spans="1:18" ht="13.5" thickBot="1" x14ac:dyDescent="0.25">
      <c r="A325" s="123">
        <v>120</v>
      </c>
      <c r="B325" s="123">
        <v>0</v>
      </c>
      <c r="C325" s="123">
        <v>120</v>
      </c>
      <c r="D325" s="123">
        <v>0</v>
      </c>
      <c r="E325" s="123">
        <v>0</v>
      </c>
      <c r="F325" s="123">
        <v>0</v>
      </c>
      <c r="G325" s="123">
        <v>39</v>
      </c>
      <c r="H325" s="123">
        <v>0</v>
      </c>
      <c r="I325" s="123">
        <v>43</v>
      </c>
      <c r="J325" s="123">
        <v>0</v>
      </c>
      <c r="K325" s="123">
        <v>30</v>
      </c>
      <c r="L325" s="123">
        <v>0</v>
      </c>
      <c r="M325" s="123">
        <v>6</v>
      </c>
      <c r="N325" s="123">
        <v>0</v>
      </c>
      <c r="O325" s="123">
        <v>2</v>
      </c>
      <c r="P325" s="7" t="s">
        <v>163</v>
      </c>
      <c r="Q325" s="124"/>
      <c r="R325" s="1"/>
    </row>
    <row r="326" spans="1:18" ht="13.5" thickBot="1" x14ac:dyDescent="0.25">
      <c r="A326" s="123">
        <v>11</v>
      </c>
      <c r="B326" s="123">
        <v>0</v>
      </c>
      <c r="C326" s="123">
        <v>11</v>
      </c>
      <c r="D326" s="123">
        <v>0</v>
      </c>
      <c r="E326" s="123">
        <v>0</v>
      </c>
      <c r="F326" s="123">
        <v>0</v>
      </c>
      <c r="G326" s="123">
        <v>0</v>
      </c>
      <c r="H326" s="123">
        <v>0</v>
      </c>
      <c r="I326" s="123">
        <v>0</v>
      </c>
      <c r="J326" s="123">
        <v>0</v>
      </c>
      <c r="K326" s="123">
        <v>10</v>
      </c>
      <c r="L326" s="123">
        <v>0</v>
      </c>
      <c r="M326" s="123">
        <v>1</v>
      </c>
      <c r="N326" s="123">
        <v>0</v>
      </c>
      <c r="O326" s="123">
        <v>0</v>
      </c>
      <c r="P326" s="7" t="s">
        <v>162</v>
      </c>
      <c r="Q326" s="124" t="s">
        <v>248</v>
      </c>
      <c r="R326" s="1"/>
    </row>
    <row r="327" spans="1:18" ht="13.5" thickBot="1" x14ac:dyDescent="0.25">
      <c r="A327" s="123">
        <v>131</v>
      </c>
      <c r="B327" s="123">
        <v>0</v>
      </c>
      <c r="C327" s="123">
        <v>131</v>
      </c>
      <c r="D327" s="123">
        <v>0</v>
      </c>
      <c r="E327" s="123">
        <v>0</v>
      </c>
      <c r="F327" s="123">
        <v>0</v>
      </c>
      <c r="G327" s="123">
        <v>39</v>
      </c>
      <c r="H327" s="123">
        <v>0</v>
      </c>
      <c r="I327" s="123">
        <v>43</v>
      </c>
      <c r="J327" s="123">
        <v>0</v>
      </c>
      <c r="K327" s="123">
        <v>40</v>
      </c>
      <c r="L327" s="123">
        <v>0</v>
      </c>
      <c r="M327" s="123">
        <v>7</v>
      </c>
      <c r="N327" s="123">
        <v>0</v>
      </c>
      <c r="O327" s="123">
        <v>2</v>
      </c>
      <c r="P327" s="7" t="s">
        <v>13</v>
      </c>
      <c r="Q327" s="9"/>
      <c r="R327" s="1"/>
    </row>
    <row r="328" spans="1:18" ht="13.5" thickBot="1" x14ac:dyDescent="0.25">
      <c r="A328" s="123">
        <v>32</v>
      </c>
      <c r="B328" s="123">
        <v>23</v>
      </c>
      <c r="C328" s="123">
        <v>9</v>
      </c>
      <c r="D328" s="123">
        <v>12</v>
      </c>
      <c r="E328" s="123">
        <v>0</v>
      </c>
      <c r="F328" s="123">
        <v>9</v>
      </c>
      <c r="G328" s="123">
        <v>3</v>
      </c>
      <c r="H328" s="123">
        <v>2</v>
      </c>
      <c r="I328" s="123">
        <v>4</v>
      </c>
      <c r="J328" s="123">
        <v>0</v>
      </c>
      <c r="K328" s="123">
        <v>2</v>
      </c>
      <c r="L328" s="123">
        <v>0</v>
      </c>
      <c r="M328" s="123">
        <v>0</v>
      </c>
      <c r="N328" s="123">
        <v>0</v>
      </c>
      <c r="O328" s="123">
        <v>0</v>
      </c>
      <c r="P328" s="7" t="s">
        <v>163</v>
      </c>
      <c r="Q328" s="124"/>
      <c r="R328" s="1"/>
    </row>
    <row r="329" spans="1:18" ht="13.5" thickBot="1" x14ac:dyDescent="0.25">
      <c r="A329" s="123">
        <v>12</v>
      </c>
      <c r="B329" s="123">
        <v>8</v>
      </c>
      <c r="C329" s="123">
        <v>4</v>
      </c>
      <c r="D329" s="123">
        <v>0</v>
      </c>
      <c r="E329" s="123">
        <v>0</v>
      </c>
      <c r="F329" s="123">
        <v>0</v>
      </c>
      <c r="G329" s="123">
        <v>0</v>
      </c>
      <c r="H329" s="123">
        <v>5</v>
      </c>
      <c r="I329" s="123">
        <v>2</v>
      </c>
      <c r="J329" s="123">
        <v>3</v>
      </c>
      <c r="K329" s="123">
        <v>2</v>
      </c>
      <c r="L329" s="123">
        <v>0</v>
      </c>
      <c r="M329" s="123">
        <v>0</v>
      </c>
      <c r="N329" s="123">
        <v>0</v>
      </c>
      <c r="O329" s="123">
        <v>0</v>
      </c>
      <c r="P329" s="7" t="s">
        <v>162</v>
      </c>
      <c r="Q329" s="124" t="s">
        <v>249</v>
      </c>
      <c r="R329" s="1"/>
    </row>
    <row r="330" spans="1:18" ht="13.5" thickBot="1" x14ac:dyDescent="0.25">
      <c r="A330" s="123">
        <v>44</v>
      </c>
      <c r="B330" s="123">
        <v>31</v>
      </c>
      <c r="C330" s="123">
        <v>13</v>
      </c>
      <c r="D330" s="123">
        <v>12</v>
      </c>
      <c r="E330" s="123">
        <v>0</v>
      </c>
      <c r="F330" s="123">
        <v>9</v>
      </c>
      <c r="G330" s="123">
        <v>3</v>
      </c>
      <c r="H330" s="123">
        <v>7</v>
      </c>
      <c r="I330" s="123">
        <v>6</v>
      </c>
      <c r="J330" s="123">
        <v>3</v>
      </c>
      <c r="K330" s="123">
        <v>4</v>
      </c>
      <c r="L330" s="123">
        <v>0</v>
      </c>
      <c r="M330" s="123">
        <v>0</v>
      </c>
      <c r="N330" s="123">
        <v>0</v>
      </c>
      <c r="O330" s="123">
        <v>0</v>
      </c>
      <c r="P330" s="7" t="s">
        <v>13</v>
      </c>
      <c r="Q330" s="9"/>
      <c r="R330" s="1"/>
    </row>
    <row r="331" spans="1:18" ht="13.5" thickBot="1" x14ac:dyDescent="0.25">
      <c r="A331" s="123">
        <v>3163</v>
      </c>
      <c r="B331" s="123">
        <v>1633</v>
      </c>
      <c r="C331" s="123">
        <v>1530</v>
      </c>
      <c r="D331" s="123">
        <v>29</v>
      </c>
      <c r="E331" s="123">
        <v>6</v>
      </c>
      <c r="F331" s="123">
        <v>703</v>
      </c>
      <c r="G331" s="123">
        <v>435</v>
      </c>
      <c r="H331" s="123">
        <v>378</v>
      </c>
      <c r="I331" s="123">
        <v>137</v>
      </c>
      <c r="J331" s="123">
        <v>413</v>
      </c>
      <c r="K331" s="123">
        <v>508</v>
      </c>
      <c r="L331" s="123">
        <v>88</v>
      </c>
      <c r="M331" s="123">
        <v>279</v>
      </c>
      <c r="N331" s="123">
        <v>22</v>
      </c>
      <c r="O331" s="123">
        <v>165</v>
      </c>
      <c r="P331" s="7" t="s">
        <v>163</v>
      </c>
      <c r="Q331" s="3"/>
      <c r="R331" s="1"/>
    </row>
    <row r="332" spans="1:18" ht="13.5" thickBot="1" x14ac:dyDescent="0.25">
      <c r="A332" s="123">
        <v>682</v>
      </c>
      <c r="B332" s="123">
        <v>238</v>
      </c>
      <c r="C332" s="123">
        <v>444</v>
      </c>
      <c r="D332" s="123">
        <v>6</v>
      </c>
      <c r="E332" s="123">
        <v>2</v>
      </c>
      <c r="F332" s="123">
        <v>1</v>
      </c>
      <c r="G332" s="123">
        <v>4</v>
      </c>
      <c r="H332" s="123">
        <v>32</v>
      </c>
      <c r="I332" s="123">
        <v>66</v>
      </c>
      <c r="J332" s="123">
        <v>124</v>
      </c>
      <c r="K332" s="123">
        <v>238</v>
      </c>
      <c r="L332" s="123">
        <v>37</v>
      </c>
      <c r="M332" s="123">
        <v>76</v>
      </c>
      <c r="N332" s="123">
        <v>38</v>
      </c>
      <c r="O332" s="123">
        <v>58</v>
      </c>
      <c r="P332" s="7" t="s">
        <v>162</v>
      </c>
      <c r="Q332" s="11" t="s">
        <v>211</v>
      </c>
      <c r="R332" s="1"/>
    </row>
    <row r="333" spans="1:18" ht="13.5" thickBot="1" x14ac:dyDescent="0.25">
      <c r="A333" s="123">
        <v>3845</v>
      </c>
      <c r="B333" s="123">
        <v>1871</v>
      </c>
      <c r="C333" s="123">
        <v>1974</v>
      </c>
      <c r="D333" s="123">
        <v>35</v>
      </c>
      <c r="E333" s="123">
        <v>8</v>
      </c>
      <c r="F333" s="123">
        <v>704</v>
      </c>
      <c r="G333" s="123">
        <v>439</v>
      </c>
      <c r="H333" s="123">
        <v>410</v>
      </c>
      <c r="I333" s="123">
        <v>203</v>
      </c>
      <c r="J333" s="123">
        <v>537</v>
      </c>
      <c r="K333" s="123">
        <v>746</v>
      </c>
      <c r="L333" s="123">
        <v>125</v>
      </c>
      <c r="M333" s="123">
        <v>355</v>
      </c>
      <c r="N333" s="123">
        <v>60</v>
      </c>
      <c r="O333" s="123">
        <v>223</v>
      </c>
      <c r="P333" s="7" t="s">
        <v>13</v>
      </c>
      <c r="Q333" s="5"/>
      <c r="R333" s="1"/>
    </row>
    <row r="334" spans="1:18" ht="18" customHeight="1" x14ac:dyDescent="0.2">
      <c r="A334" s="207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1"/>
    </row>
    <row r="335" spans="1:18" ht="18" customHeight="1" x14ac:dyDescent="0.2">
      <c r="A335" s="159" t="s">
        <v>616</v>
      </c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"/>
    </row>
    <row r="336" spans="1:18" ht="18" customHeight="1" thickBot="1" x14ac:dyDescent="0.25">
      <c r="A336" s="160" t="s">
        <v>617</v>
      </c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"/>
    </row>
    <row r="337" spans="1:18" ht="13.5" thickBot="1" x14ac:dyDescent="0.25">
      <c r="A337" s="204" t="s">
        <v>5</v>
      </c>
      <c r="B337" s="204"/>
      <c r="C337" s="204"/>
      <c r="D337" s="204" t="s">
        <v>57</v>
      </c>
      <c r="E337" s="204"/>
      <c r="F337" s="204" t="s">
        <v>609</v>
      </c>
      <c r="G337" s="204"/>
      <c r="H337" s="204" t="s">
        <v>610</v>
      </c>
      <c r="I337" s="204"/>
      <c r="J337" s="204" t="s">
        <v>611</v>
      </c>
      <c r="K337" s="204"/>
      <c r="L337" s="204" t="s">
        <v>612</v>
      </c>
      <c r="M337" s="204"/>
      <c r="N337" s="204" t="s">
        <v>613</v>
      </c>
      <c r="O337" s="204"/>
      <c r="P337" s="205" t="s">
        <v>614</v>
      </c>
      <c r="Q337" s="47" t="s">
        <v>161</v>
      </c>
      <c r="R337" s="1"/>
    </row>
    <row r="338" spans="1:18" ht="13.5" thickBot="1" x14ac:dyDescent="0.25">
      <c r="A338" s="47" t="s">
        <v>216</v>
      </c>
      <c r="B338" s="47" t="s">
        <v>11</v>
      </c>
      <c r="C338" s="47" t="s">
        <v>10</v>
      </c>
      <c r="D338" s="47" t="s">
        <v>11</v>
      </c>
      <c r="E338" s="47" t="s">
        <v>10</v>
      </c>
      <c r="F338" s="47" t="s">
        <v>11</v>
      </c>
      <c r="G338" s="47" t="s">
        <v>10</v>
      </c>
      <c r="H338" s="47" t="s">
        <v>11</v>
      </c>
      <c r="I338" s="47" t="s">
        <v>10</v>
      </c>
      <c r="J338" s="47" t="s">
        <v>11</v>
      </c>
      <c r="K338" s="47" t="s">
        <v>10</v>
      </c>
      <c r="L338" s="47" t="s">
        <v>11</v>
      </c>
      <c r="M338" s="47" t="s">
        <v>10</v>
      </c>
      <c r="N338" s="47" t="s">
        <v>11</v>
      </c>
      <c r="O338" s="47" t="s">
        <v>10</v>
      </c>
      <c r="P338" s="206"/>
      <c r="Q338" s="33" t="s">
        <v>98</v>
      </c>
      <c r="R338" s="1"/>
    </row>
    <row r="339" spans="1:18" ht="13.5" thickBot="1" x14ac:dyDescent="0.25">
      <c r="A339" s="123">
        <v>103</v>
      </c>
      <c r="B339" s="123">
        <v>0</v>
      </c>
      <c r="C339" s="123">
        <v>103</v>
      </c>
      <c r="D339" s="123">
        <v>0</v>
      </c>
      <c r="E339" s="123">
        <v>0</v>
      </c>
      <c r="F339" s="123">
        <v>0</v>
      </c>
      <c r="G339" s="123">
        <v>11</v>
      </c>
      <c r="H339" s="123">
        <v>0</v>
      </c>
      <c r="I339" s="123">
        <v>6</v>
      </c>
      <c r="J339" s="123">
        <v>0</v>
      </c>
      <c r="K339" s="123">
        <v>35</v>
      </c>
      <c r="L339" s="123">
        <v>0</v>
      </c>
      <c r="M339" s="123">
        <v>31</v>
      </c>
      <c r="N339" s="123">
        <v>0</v>
      </c>
      <c r="O339" s="123">
        <v>20</v>
      </c>
      <c r="P339" s="7" t="s">
        <v>163</v>
      </c>
      <c r="Q339" s="124"/>
      <c r="R339" s="1"/>
    </row>
    <row r="340" spans="1:18" ht="13.5" thickBot="1" x14ac:dyDescent="0.25">
      <c r="A340" s="123">
        <v>103</v>
      </c>
      <c r="B340" s="123">
        <v>0</v>
      </c>
      <c r="C340" s="123">
        <v>103</v>
      </c>
      <c r="D340" s="123">
        <v>0</v>
      </c>
      <c r="E340" s="123">
        <v>0</v>
      </c>
      <c r="F340" s="123">
        <v>0</v>
      </c>
      <c r="G340" s="123">
        <v>0</v>
      </c>
      <c r="H340" s="123">
        <v>0</v>
      </c>
      <c r="I340" s="123">
        <v>25</v>
      </c>
      <c r="J340" s="123">
        <v>0</v>
      </c>
      <c r="K340" s="123">
        <v>32</v>
      </c>
      <c r="L340" s="123">
        <v>0</v>
      </c>
      <c r="M340" s="123">
        <v>26</v>
      </c>
      <c r="N340" s="123">
        <v>0</v>
      </c>
      <c r="O340" s="123">
        <v>20</v>
      </c>
      <c r="P340" s="7" t="s">
        <v>162</v>
      </c>
      <c r="Q340" s="124" t="s">
        <v>388</v>
      </c>
      <c r="R340" s="1"/>
    </row>
    <row r="341" spans="1:18" ht="13.5" thickBot="1" x14ac:dyDescent="0.25">
      <c r="A341" s="123">
        <v>206</v>
      </c>
      <c r="B341" s="123">
        <v>0</v>
      </c>
      <c r="C341" s="123">
        <v>206</v>
      </c>
      <c r="D341" s="123">
        <v>0</v>
      </c>
      <c r="E341" s="123">
        <v>0</v>
      </c>
      <c r="F341" s="123">
        <v>0</v>
      </c>
      <c r="G341" s="123">
        <v>11</v>
      </c>
      <c r="H341" s="123">
        <v>0</v>
      </c>
      <c r="I341" s="123">
        <v>31</v>
      </c>
      <c r="J341" s="123">
        <v>0</v>
      </c>
      <c r="K341" s="123">
        <v>67</v>
      </c>
      <c r="L341" s="123">
        <v>0</v>
      </c>
      <c r="M341" s="123">
        <v>57</v>
      </c>
      <c r="N341" s="123">
        <v>0</v>
      </c>
      <c r="O341" s="123">
        <v>40</v>
      </c>
      <c r="P341" s="7" t="s">
        <v>13</v>
      </c>
      <c r="Q341" s="9"/>
      <c r="R341" s="1"/>
    </row>
    <row r="342" spans="1:18" ht="13.5" thickBot="1" x14ac:dyDescent="0.25">
      <c r="A342" s="123">
        <v>42</v>
      </c>
      <c r="B342" s="123">
        <v>0</v>
      </c>
      <c r="C342" s="123">
        <v>42</v>
      </c>
      <c r="D342" s="123">
        <v>0</v>
      </c>
      <c r="E342" s="123">
        <v>0</v>
      </c>
      <c r="F342" s="123">
        <v>0</v>
      </c>
      <c r="G342" s="123">
        <v>11</v>
      </c>
      <c r="H342" s="123">
        <v>0</v>
      </c>
      <c r="I342" s="123">
        <v>5</v>
      </c>
      <c r="J342" s="123">
        <v>0</v>
      </c>
      <c r="K342" s="123">
        <v>17</v>
      </c>
      <c r="L342" s="123">
        <v>0</v>
      </c>
      <c r="M342" s="123">
        <v>7</v>
      </c>
      <c r="N342" s="123">
        <v>0</v>
      </c>
      <c r="O342" s="123">
        <v>2</v>
      </c>
      <c r="P342" s="7" t="s">
        <v>163</v>
      </c>
      <c r="Q342" s="124"/>
      <c r="R342" s="1"/>
    </row>
    <row r="343" spans="1:18" ht="13.5" thickBot="1" x14ac:dyDescent="0.25">
      <c r="A343" s="123">
        <v>40</v>
      </c>
      <c r="B343" s="123">
        <v>0</v>
      </c>
      <c r="C343" s="123">
        <v>40</v>
      </c>
      <c r="D343" s="123">
        <v>0</v>
      </c>
      <c r="E343" s="123">
        <v>1</v>
      </c>
      <c r="F343" s="123">
        <v>0</v>
      </c>
      <c r="G343" s="123">
        <v>0</v>
      </c>
      <c r="H343" s="123">
        <v>0</v>
      </c>
      <c r="I343" s="123">
        <v>9</v>
      </c>
      <c r="J343" s="123">
        <v>0</v>
      </c>
      <c r="K343" s="123">
        <v>17</v>
      </c>
      <c r="L343" s="123">
        <v>0</v>
      </c>
      <c r="M343" s="123">
        <v>7</v>
      </c>
      <c r="N343" s="123">
        <v>0</v>
      </c>
      <c r="O343" s="123">
        <v>6</v>
      </c>
      <c r="P343" s="7" t="s">
        <v>162</v>
      </c>
      <c r="Q343" s="124" t="s">
        <v>390</v>
      </c>
      <c r="R343" s="1"/>
    </row>
    <row r="344" spans="1:18" ht="13.5" thickBot="1" x14ac:dyDescent="0.25">
      <c r="A344" s="123">
        <v>82</v>
      </c>
      <c r="B344" s="123">
        <v>0</v>
      </c>
      <c r="C344" s="123">
        <v>82</v>
      </c>
      <c r="D344" s="123">
        <v>0</v>
      </c>
      <c r="E344" s="123">
        <v>1</v>
      </c>
      <c r="F344" s="123">
        <v>0</v>
      </c>
      <c r="G344" s="123">
        <v>11</v>
      </c>
      <c r="H344" s="123">
        <v>0</v>
      </c>
      <c r="I344" s="123">
        <v>14</v>
      </c>
      <c r="J344" s="123">
        <v>0</v>
      </c>
      <c r="K344" s="123">
        <v>34</v>
      </c>
      <c r="L344" s="123">
        <v>0</v>
      </c>
      <c r="M344" s="123">
        <v>14</v>
      </c>
      <c r="N344" s="123">
        <v>0</v>
      </c>
      <c r="O344" s="123">
        <v>8</v>
      </c>
      <c r="P344" s="7" t="s">
        <v>13</v>
      </c>
      <c r="Q344" s="9"/>
      <c r="R344" s="1"/>
    </row>
    <row r="345" spans="1:18" ht="13.5" thickBot="1" x14ac:dyDescent="0.25">
      <c r="A345" s="123">
        <v>38</v>
      </c>
      <c r="B345" s="123">
        <v>0</v>
      </c>
      <c r="C345" s="123">
        <v>38</v>
      </c>
      <c r="D345" s="123">
        <v>0</v>
      </c>
      <c r="E345" s="123">
        <v>0</v>
      </c>
      <c r="F345" s="123">
        <v>0</v>
      </c>
      <c r="G345" s="123">
        <v>12</v>
      </c>
      <c r="H345" s="123">
        <v>0</v>
      </c>
      <c r="I345" s="123">
        <v>2</v>
      </c>
      <c r="J345" s="123">
        <v>0</v>
      </c>
      <c r="K345" s="123">
        <v>13</v>
      </c>
      <c r="L345" s="123">
        <v>0</v>
      </c>
      <c r="M345" s="123">
        <v>6</v>
      </c>
      <c r="N345" s="123">
        <v>0</v>
      </c>
      <c r="O345" s="123">
        <v>5</v>
      </c>
      <c r="P345" s="7" t="s">
        <v>163</v>
      </c>
      <c r="Q345" s="124"/>
      <c r="R345" s="1"/>
    </row>
    <row r="346" spans="1:18" ht="13.5" thickBot="1" x14ac:dyDescent="0.25">
      <c r="A346" s="123">
        <v>65</v>
      </c>
      <c r="B346" s="123">
        <v>0</v>
      </c>
      <c r="C346" s="123">
        <v>65</v>
      </c>
      <c r="D346" s="123">
        <v>0</v>
      </c>
      <c r="E346" s="123">
        <v>0</v>
      </c>
      <c r="F346" s="123">
        <v>0</v>
      </c>
      <c r="G346" s="123">
        <v>0</v>
      </c>
      <c r="H346" s="123">
        <v>0</v>
      </c>
      <c r="I346" s="123">
        <v>20</v>
      </c>
      <c r="J346" s="123">
        <v>0</v>
      </c>
      <c r="K346" s="123">
        <v>32</v>
      </c>
      <c r="L346" s="123">
        <v>0</v>
      </c>
      <c r="M346" s="123">
        <v>7</v>
      </c>
      <c r="N346" s="123">
        <v>0</v>
      </c>
      <c r="O346" s="123">
        <v>6</v>
      </c>
      <c r="P346" s="7" t="s">
        <v>162</v>
      </c>
      <c r="Q346" s="124" t="s">
        <v>391</v>
      </c>
      <c r="R346" s="1"/>
    </row>
    <row r="347" spans="1:18" ht="13.5" thickBot="1" x14ac:dyDescent="0.25">
      <c r="A347" s="123">
        <v>103</v>
      </c>
      <c r="B347" s="123">
        <v>0</v>
      </c>
      <c r="C347" s="123">
        <v>103</v>
      </c>
      <c r="D347" s="123">
        <v>0</v>
      </c>
      <c r="E347" s="123">
        <v>0</v>
      </c>
      <c r="F347" s="123">
        <v>0</v>
      </c>
      <c r="G347" s="123">
        <v>12</v>
      </c>
      <c r="H347" s="123">
        <v>0</v>
      </c>
      <c r="I347" s="123">
        <v>22</v>
      </c>
      <c r="J347" s="123">
        <v>0</v>
      </c>
      <c r="K347" s="123">
        <v>45</v>
      </c>
      <c r="L347" s="123">
        <v>0</v>
      </c>
      <c r="M347" s="123">
        <v>13</v>
      </c>
      <c r="N347" s="123">
        <v>0</v>
      </c>
      <c r="O347" s="123">
        <v>11</v>
      </c>
      <c r="P347" s="7" t="s">
        <v>13</v>
      </c>
      <c r="Q347" s="9"/>
      <c r="R347" s="1"/>
    </row>
    <row r="348" spans="1:18" ht="13.5" thickBot="1" x14ac:dyDescent="0.25">
      <c r="A348" s="123">
        <v>1</v>
      </c>
      <c r="B348" s="123">
        <v>0</v>
      </c>
      <c r="C348" s="123">
        <v>1</v>
      </c>
      <c r="D348" s="123">
        <v>0</v>
      </c>
      <c r="E348" s="123">
        <v>0</v>
      </c>
      <c r="F348" s="123">
        <v>0</v>
      </c>
      <c r="G348" s="123">
        <v>0</v>
      </c>
      <c r="H348" s="123">
        <v>0</v>
      </c>
      <c r="I348" s="123">
        <v>0</v>
      </c>
      <c r="J348" s="123">
        <v>0</v>
      </c>
      <c r="K348" s="123">
        <v>1</v>
      </c>
      <c r="L348" s="123">
        <v>0</v>
      </c>
      <c r="M348" s="123">
        <v>0</v>
      </c>
      <c r="N348" s="123">
        <v>0</v>
      </c>
      <c r="O348" s="123">
        <v>0</v>
      </c>
      <c r="P348" s="7" t="s">
        <v>163</v>
      </c>
      <c r="Q348" s="124"/>
      <c r="R348" s="1"/>
    </row>
    <row r="349" spans="1:18" ht="13.5" thickBot="1" x14ac:dyDescent="0.25">
      <c r="A349" s="123">
        <v>41</v>
      </c>
      <c r="B349" s="123">
        <v>0</v>
      </c>
      <c r="C349" s="123">
        <v>41</v>
      </c>
      <c r="D349" s="123">
        <v>0</v>
      </c>
      <c r="E349" s="123">
        <v>0</v>
      </c>
      <c r="F349" s="123">
        <v>0</v>
      </c>
      <c r="G349" s="123">
        <v>0</v>
      </c>
      <c r="H349" s="123">
        <v>0</v>
      </c>
      <c r="I349" s="123">
        <v>32</v>
      </c>
      <c r="J349" s="123">
        <v>0</v>
      </c>
      <c r="K349" s="123">
        <v>8</v>
      </c>
      <c r="L349" s="123">
        <v>0</v>
      </c>
      <c r="M349" s="123">
        <v>1</v>
      </c>
      <c r="N349" s="123">
        <v>0</v>
      </c>
      <c r="O349" s="123">
        <v>0</v>
      </c>
      <c r="P349" s="7" t="s">
        <v>162</v>
      </c>
      <c r="Q349" s="124" t="s">
        <v>97</v>
      </c>
      <c r="R349" s="1"/>
    </row>
    <row r="350" spans="1:18" ht="13.5" thickBot="1" x14ac:dyDescent="0.25">
      <c r="A350" s="123">
        <v>42</v>
      </c>
      <c r="B350" s="123">
        <v>0</v>
      </c>
      <c r="C350" s="123">
        <v>42</v>
      </c>
      <c r="D350" s="123">
        <v>0</v>
      </c>
      <c r="E350" s="123">
        <v>0</v>
      </c>
      <c r="F350" s="123">
        <v>0</v>
      </c>
      <c r="G350" s="123">
        <v>0</v>
      </c>
      <c r="H350" s="123">
        <v>0</v>
      </c>
      <c r="I350" s="123">
        <v>32</v>
      </c>
      <c r="J350" s="123">
        <v>0</v>
      </c>
      <c r="K350" s="123">
        <v>9</v>
      </c>
      <c r="L350" s="123">
        <v>0</v>
      </c>
      <c r="M350" s="123">
        <v>1</v>
      </c>
      <c r="N350" s="123">
        <v>0</v>
      </c>
      <c r="O350" s="123">
        <v>0</v>
      </c>
      <c r="P350" s="7" t="s">
        <v>13</v>
      </c>
      <c r="Q350" s="9"/>
      <c r="R350" s="1"/>
    </row>
    <row r="351" spans="1:18" ht="13.5" thickBot="1" x14ac:dyDescent="0.25">
      <c r="A351" s="123">
        <v>53</v>
      </c>
      <c r="B351" s="123">
        <v>0</v>
      </c>
      <c r="C351" s="123">
        <v>53</v>
      </c>
      <c r="D351" s="123">
        <v>0</v>
      </c>
      <c r="E351" s="123">
        <v>0</v>
      </c>
      <c r="F351" s="123">
        <v>0</v>
      </c>
      <c r="G351" s="123">
        <v>1</v>
      </c>
      <c r="H351" s="123">
        <v>0</v>
      </c>
      <c r="I351" s="123">
        <v>6</v>
      </c>
      <c r="J351" s="123">
        <v>0</v>
      </c>
      <c r="K351" s="123">
        <v>26</v>
      </c>
      <c r="L351" s="123">
        <v>0</v>
      </c>
      <c r="M351" s="123">
        <v>15</v>
      </c>
      <c r="N351" s="123">
        <v>0</v>
      </c>
      <c r="O351" s="123">
        <v>5</v>
      </c>
      <c r="P351" s="7" t="s">
        <v>163</v>
      </c>
      <c r="Q351" s="124"/>
      <c r="R351" s="1"/>
    </row>
    <row r="352" spans="1:18" ht="13.5" thickBot="1" x14ac:dyDescent="0.25">
      <c r="A352" s="123">
        <v>97</v>
      </c>
      <c r="B352" s="123">
        <v>0</v>
      </c>
      <c r="C352" s="123">
        <v>97</v>
      </c>
      <c r="D352" s="123">
        <v>0</v>
      </c>
      <c r="E352" s="123">
        <v>0</v>
      </c>
      <c r="F352" s="123">
        <v>0</v>
      </c>
      <c r="G352" s="123">
        <v>0</v>
      </c>
      <c r="H352" s="123">
        <v>0</v>
      </c>
      <c r="I352" s="123">
        <v>16</v>
      </c>
      <c r="J352" s="123">
        <v>0</v>
      </c>
      <c r="K352" s="123">
        <v>31</v>
      </c>
      <c r="L352" s="123">
        <v>0</v>
      </c>
      <c r="M352" s="123">
        <v>27</v>
      </c>
      <c r="N352" s="123">
        <v>0</v>
      </c>
      <c r="O352" s="123">
        <v>23</v>
      </c>
      <c r="P352" s="7" t="s">
        <v>162</v>
      </c>
      <c r="Q352" s="124" t="s">
        <v>359</v>
      </c>
      <c r="R352" s="1"/>
    </row>
    <row r="353" spans="1:18" ht="13.5" thickBot="1" x14ac:dyDescent="0.25">
      <c r="A353" s="123">
        <v>150</v>
      </c>
      <c r="B353" s="123">
        <v>0</v>
      </c>
      <c r="C353" s="123">
        <v>150</v>
      </c>
      <c r="D353" s="123">
        <v>0</v>
      </c>
      <c r="E353" s="123">
        <v>0</v>
      </c>
      <c r="F353" s="123">
        <v>0</v>
      </c>
      <c r="G353" s="123">
        <v>1</v>
      </c>
      <c r="H353" s="123">
        <v>0</v>
      </c>
      <c r="I353" s="123">
        <v>22</v>
      </c>
      <c r="J353" s="123">
        <v>0</v>
      </c>
      <c r="K353" s="123">
        <v>57</v>
      </c>
      <c r="L353" s="123">
        <v>0</v>
      </c>
      <c r="M353" s="123">
        <v>42</v>
      </c>
      <c r="N353" s="123">
        <v>0</v>
      </c>
      <c r="O353" s="123">
        <v>28</v>
      </c>
      <c r="P353" s="7" t="s">
        <v>13</v>
      </c>
      <c r="Q353" s="9"/>
      <c r="R353" s="1"/>
    </row>
    <row r="354" spans="1:18" ht="13.5" thickBot="1" x14ac:dyDescent="0.25">
      <c r="A354" s="123">
        <v>18</v>
      </c>
      <c r="B354" s="123">
        <v>0</v>
      </c>
      <c r="C354" s="123">
        <v>18</v>
      </c>
      <c r="D354" s="123">
        <v>0</v>
      </c>
      <c r="E354" s="123">
        <v>0</v>
      </c>
      <c r="F354" s="123">
        <v>0</v>
      </c>
      <c r="G354" s="123">
        <v>3</v>
      </c>
      <c r="H354" s="123">
        <v>0</v>
      </c>
      <c r="I354" s="123">
        <v>2</v>
      </c>
      <c r="J354" s="123">
        <v>0</v>
      </c>
      <c r="K354" s="123">
        <v>4</v>
      </c>
      <c r="L354" s="123">
        <v>0</v>
      </c>
      <c r="M354" s="123">
        <v>3</v>
      </c>
      <c r="N354" s="123">
        <v>0</v>
      </c>
      <c r="O354" s="123">
        <v>6</v>
      </c>
      <c r="P354" s="7" t="s">
        <v>163</v>
      </c>
      <c r="Q354" s="124"/>
      <c r="R354" s="1"/>
    </row>
    <row r="355" spans="1:18" ht="13.5" thickBot="1" x14ac:dyDescent="0.25">
      <c r="A355" s="123">
        <v>12</v>
      </c>
      <c r="B355" s="123">
        <v>0</v>
      </c>
      <c r="C355" s="123">
        <v>12</v>
      </c>
      <c r="D355" s="123">
        <v>0</v>
      </c>
      <c r="E355" s="123">
        <v>0</v>
      </c>
      <c r="F355" s="123">
        <v>0</v>
      </c>
      <c r="G355" s="123">
        <v>0</v>
      </c>
      <c r="H355" s="123">
        <v>0</v>
      </c>
      <c r="I355" s="123">
        <v>5</v>
      </c>
      <c r="J355" s="123">
        <v>0</v>
      </c>
      <c r="K355" s="123">
        <v>5</v>
      </c>
      <c r="L355" s="123">
        <v>0</v>
      </c>
      <c r="M355" s="123">
        <v>1</v>
      </c>
      <c r="N355" s="123">
        <v>0</v>
      </c>
      <c r="O355" s="123">
        <v>1</v>
      </c>
      <c r="P355" s="7" t="s">
        <v>162</v>
      </c>
      <c r="Q355" s="124" t="s">
        <v>539</v>
      </c>
      <c r="R355" s="1"/>
    </row>
    <row r="356" spans="1:18" ht="13.5" thickBot="1" x14ac:dyDescent="0.25">
      <c r="A356" s="123">
        <v>30</v>
      </c>
      <c r="B356" s="123">
        <v>0</v>
      </c>
      <c r="C356" s="123">
        <v>30</v>
      </c>
      <c r="D356" s="123">
        <v>0</v>
      </c>
      <c r="E356" s="123">
        <v>0</v>
      </c>
      <c r="F356" s="123">
        <v>0</v>
      </c>
      <c r="G356" s="123">
        <v>3</v>
      </c>
      <c r="H356" s="123">
        <v>0</v>
      </c>
      <c r="I356" s="123">
        <v>7</v>
      </c>
      <c r="J356" s="123">
        <v>0</v>
      </c>
      <c r="K356" s="123">
        <v>9</v>
      </c>
      <c r="L356" s="123">
        <v>0</v>
      </c>
      <c r="M356" s="123">
        <v>4</v>
      </c>
      <c r="N356" s="123">
        <v>0</v>
      </c>
      <c r="O356" s="123">
        <v>7</v>
      </c>
      <c r="P356" s="7" t="s">
        <v>13</v>
      </c>
      <c r="Q356" s="9"/>
      <c r="R356" s="1"/>
    </row>
    <row r="357" spans="1:18" ht="13.5" thickBot="1" x14ac:dyDescent="0.25">
      <c r="A357" s="123">
        <v>1</v>
      </c>
      <c r="B357" s="123">
        <v>0</v>
      </c>
      <c r="C357" s="123">
        <v>1</v>
      </c>
      <c r="D357" s="123">
        <v>0</v>
      </c>
      <c r="E357" s="123">
        <v>0</v>
      </c>
      <c r="F357" s="123">
        <v>0</v>
      </c>
      <c r="G357" s="123">
        <v>0</v>
      </c>
      <c r="H357" s="123">
        <v>0</v>
      </c>
      <c r="I357" s="123">
        <v>1</v>
      </c>
      <c r="J357" s="123">
        <v>0</v>
      </c>
      <c r="K357" s="123">
        <v>0</v>
      </c>
      <c r="L357" s="123">
        <v>0</v>
      </c>
      <c r="M357" s="123">
        <v>0</v>
      </c>
      <c r="N357" s="123">
        <v>0</v>
      </c>
      <c r="O357" s="123">
        <v>0</v>
      </c>
      <c r="P357" s="7" t="s">
        <v>163</v>
      </c>
      <c r="Q357" s="124"/>
      <c r="R357" s="1"/>
    </row>
    <row r="358" spans="1:18" ht="13.5" thickBot="1" x14ac:dyDescent="0.25">
      <c r="A358" s="123">
        <v>42</v>
      </c>
      <c r="B358" s="123">
        <v>0</v>
      </c>
      <c r="C358" s="123">
        <v>42</v>
      </c>
      <c r="D358" s="123">
        <v>0</v>
      </c>
      <c r="E358" s="123">
        <v>21</v>
      </c>
      <c r="F358" s="123">
        <v>0</v>
      </c>
      <c r="G358" s="123">
        <v>0</v>
      </c>
      <c r="H358" s="123">
        <v>0</v>
      </c>
      <c r="I358" s="123">
        <v>15</v>
      </c>
      <c r="J358" s="123">
        <v>0</v>
      </c>
      <c r="K358" s="123">
        <v>6</v>
      </c>
      <c r="L358" s="123">
        <v>0</v>
      </c>
      <c r="M358" s="123">
        <v>0</v>
      </c>
      <c r="N358" s="123">
        <v>0</v>
      </c>
      <c r="O358" s="123">
        <v>0</v>
      </c>
      <c r="P358" s="7" t="s">
        <v>162</v>
      </c>
      <c r="Q358" s="124" t="s">
        <v>99</v>
      </c>
      <c r="R358" s="1"/>
    </row>
    <row r="359" spans="1:18" ht="13.5" thickBot="1" x14ac:dyDescent="0.25">
      <c r="A359" s="123">
        <v>43</v>
      </c>
      <c r="B359" s="123">
        <v>0</v>
      </c>
      <c r="C359" s="123">
        <v>43</v>
      </c>
      <c r="D359" s="123">
        <v>0</v>
      </c>
      <c r="E359" s="123">
        <v>21</v>
      </c>
      <c r="F359" s="123">
        <v>0</v>
      </c>
      <c r="G359" s="123">
        <v>0</v>
      </c>
      <c r="H359" s="123">
        <v>0</v>
      </c>
      <c r="I359" s="123">
        <v>16</v>
      </c>
      <c r="J359" s="123">
        <v>0</v>
      </c>
      <c r="K359" s="123">
        <v>6</v>
      </c>
      <c r="L359" s="123">
        <v>0</v>
      </c>
      <c r="M359" s="123">
        <v>0</v>
      </c>
      <c r="N359" s="123">
        <v>0</v>
      </c>
      <c r="O359" s="123">
        <v>0</v>
      </c>
      <c r="P359" s="7" t="s">
        <v>13</v>
      </c>
      <c r="Q359" s="9"/>
      <c r="R359" s="1"/>
    </row>
    <row r="360" spans="1:18" ht="13.5" thickBot="1" x14ac:dyDescent="0.25">
      <c r="A360" s="123">
        <v>0</v>
      </c>
      <c r="B360" s="123">
        <v>0</v>
      </c>
      <c r="C360" s="123">
        <v>0</v>
      </c>
      <c r="D360" s="123">
        <v>0</v>
      </c>
      <c r="E360" s="123">
        <v>0</v>
      </c>
      <c r="F360" s="123">
        <v>0</v>
      </c>
      <c r="G360" s="123">
        <v>0</v>
      </c>
      <c r="H360" s="123">
        <v>0</v>
      </c>
      <c r="I360" s="123">
        <v>0</v>
      </c>
      <c r="J360" s="123">
        <v>0</v>
      </c>
      <c r="K360" s="123">
        <v>0</v>
      </c>
      <c r="L360" s="123">
        <v>0</v>
      </c>
      <c r="M360" s="123">
        <v>0</v>
      </c>
      <c r="N360" s="123">
        <v>0</v>
      </c>
      <c r="O360" s="123">
        <v>0</v>
      </c>
      <c r="P360" s="7" t="s">
        <v>163</v>
      </c>
      <c r="Q360" s="124"/>
      <c r="R360" s="1"/>
    </row>
    <row r="361" spans="1:18" ht="13.5" thickBot="1" x14ac:dyDescent="0.25">
      <c r="A361" s="123">
        <v>3</v>
      </c>
      <c r="B361" s="123">
        <v>0</v>
      </c>
      <c r="C361" s="123">
        <v>3</v>
      </c>
      <c r="D361" s="123">
        <v>0</v>
      </c>
      <c r="E361" s="123">
        <v>0</v>
      </c>
      <c r="F361" s="123">
        <v>0</v>
      </c>
      <c r="G361" s="123">
        <v>0</v>
      </c>
      <c r="H361" s="123">
        <v>0</v>
      </c>
      <c r="I361" s="123">
        <v>3</v>
      </c>
      <c r="J361" s="123">
        <v>0</v>
      </c>
      <c r="K361" s="123">
        <v>0</v>
      </c>
      <c r="L361" s="123">
        <v>0</v>
      </c>
      <c r="M361" s="123">
        <v>0</v>
      </c>
      <c r="N361" s="123">
        <v>0</v>
      </c>
      <c r="O361" s="123">
        <v>0</v>
      </c>
      <c r="P361" s="7" t="s">
        <v>162</v>
      </c>
      <c r="Q361" s="124" t="s">
        <v>630</v>
      </c>
      <c r="R361" s="1"/>
    </row>
    <row r="362" spans="1:18" ht="13.5" thickBot="1" x14ac:dyDescent="0.25">
      <c r="A362" s="123">
        <v>3</v>
      </c>
      <c r="B362" s="123">
        <v>0</v>
      </c>
      <c r="C362" s="123">
        <v>3</v>
      </c>
      <c r="D362" s="123">
        <v>0</v>
      </c>
      <c r="E362" s="123">
        <v>0</v>
      </c>
      <c r="F362" s="123">
        <v>0</v>
      </c>
      <c r="G362" s="123">
        <v>0</v>
      </c>
      <c r="H362" s="123">
        <v>0</v>
      </c>
      <c r="I362" s="123">
        <v>3</v>
      </c>
      <c r="J362" s="123">
        <v>0</v>
      </c>
      <c r="K362" s="123">
        <v>0</v>
      </c>
      <c r="L362" s="123">
        <v>0</v>
      </c>
      <c r="M362" s="123">
        <v>0</v>
      </c>
      <c r="N362" s="123">
        <v>0</v>
      </c>
      <c r="O362" s="123">
        <v>0</v>
      </c>
      <c r="P362" s="7" t="s">
        <v>13</v>
      </c>
      <c r="Q362" s="9"/>
      <c r="R362" s="1"/>
    </row>
    <row r="363" spans="1:18" ht="13.5" thickBot="1" x14ac:dyDescent="0.25">
      <c r="A363" s="123">
        <v>0</v>
      </c>
      <c r="B363" s="123">
        <v>0</v>
      </c>
      <c r="C363" s="123">
        <v>0</v>
      </c>
      <c r="D363" s="123">
        <v>0</v>
      </c>
      <c r="E363" s="123">
        <v>0</v>
      </c>
      <c r="F363" s="123">
        <v>0</v>
      </c>
      <c r="G363" s="123">
        <v>0</v>
      </c>
      <c r="H363" s="123">
        <v>0</v>
      </c>
      <c r="I363" s="123">
        <v>0</v>
      </c>
      <c r="J363" s="123">
        <v>0</v>
      </c>
      <c r="K363" s="123">
        <v>0</v>
      </c>
      <c r="L363" s="123">
        <v>0</v>
      </c>
      <c r="M363" s="123">
        <v>0</v>
      </c>
      <c r="N363" s="123">
        <v>0</v>
      </c>
      <c r="O363" s="123">
        <v>0</v>
      </c>
      <c r="P363" s="7" t="s">
        <v>163</v>
      </c>
      <c r="Q363" s="124"/>
      <c r="R363" s="1"/>
    </row>
    <row r="364" spans="1:18" ht="13.5" thickBot="1" x14ac:dyDescent="0.25">
      <c r="A364" s="123">
        <v>2</v>
      </c>
      <c r="B364" s="123">
        <v>0</v>
      </c>
      <c r="C364" s="123">
        <v>2</v>
      </c>
      <c r="D364" s="123">
        <v>0</v>
      </c>
      <c r="E364" s="123">
        <v>0</v>
      </c>
      <c r="F364" s="123">
        <v>0</v>
      </c>
      <c r="G364" s="123">
        <v>0</v>
      </c>
      <c r="H364" s="123">
        <v>0</v>
      </c>
      <c r="I364" s="123">
        <v>2</v>
      </c>
      <c r="J364" s="123">
        <v>0</v>
      </c>
      <c r="K364" s="123">
        <v>0</v>
      </c>
      <c r="L364" s="123">
        <v>0</v>
      </c>
      <c r="M364" s="123">
        <v>0</v>
      </c>
      <c r="N364" s="123">
        <v>0</v>
      </c>
      <c r="O364" s="123">
        <v>0</v>
      </c>
      <c r="P364" s="7" t="s">
        <v>162</v>
      </c>
      <c r="Q364" s="124" t="s">
        <v>631</v>
      </c>
      <c r="R364" s="1"/>
    </row>
    <row r="365" spans="1:18" ht="13.5" thickBot="1" x14ac:dyDescent="0.25">
      <c r="A365" s="123">
        <v>2</v>
      </c>
      <c r="B365" s="123">
        <v>0</v>
      </c>
      <c r="C365" s="123">
        <v>2</v>
      </c>
      <c r="D365" s="123">
        <v>0</v>
      </c>
      <c r="E365" s="123">
        <v>0</v>
      </c>
      <c r="F365" s="123">
        <v>0</v>
      </c>
      <c r="G365" s="123">
        <v>0</v>
      </c>
      <c r="H365" s="123">
        <v>0</v>
      </c>
      <c r="I365" s="123">
        <v>2</v>
      </c>
      <c r="J365" s="123">
        <v>0</v>
      </c>
      <c r="K365" s="123">
        <v>0</v>
      </c>
      <c r="L365" s="123">
        <v>0</v>
      </c>
      <c r="M365" s="123">
        <v>0</v>
      </c>
      <c r="N365" s="123">
        <v>0</v>
      </c>
      <c r="O365" s="123">
        <v>0</v>
      </c>
      <c r="P365" s="7" t="s">
        <v>13</v>
      </c>
      <c r="Q365" s="9"/>
      <c r="R365" s="1"/>
    </row>
    <row r="366" spans="1:18" ht="13.5" thickBot="1" x14ac:dyDescent="0.25">
      <c r="A366" s="123">
        <v>34</v>
      </c>
      <c r="B366" s="123">
        <v>0</v>
      </c>
      <c r="C366" s="123">
        <v>34</v>
      </c>
      <c r="D366" s="123">
        <v>0</v>
      </c>
      <c r="E366" s="123">
        <v>0</v>
      </c>
      <c r="F366" s="123">
        <v>0</v>
      </c>
      <c r="G366" s="123">
        <v>1</v>
      </c>
      <c r="H366" s="123">
        <v>0</v>
      </c>
      <c r="I366" s="123">
        <v>8</v>
      </c>
      <c r="J366" s="123">
        <v>0</v>
      </c>
      <c r="K366" s="123">
        <v>19</v>
      </c>
      <c r="L366" s="123">
        <v>0</v>
      </c>
      <c r="M366" s="123">
        <v>5</v>
      </c>
      <c r="N366" s="123">
        <v>0</v>
      </c>
      <c r="O366" s="123">
        <v>1</v>
      </c>
      <c r="P366" s="7" t="s">
        <v>163</v>
      </c>
      <c r="Q366" s="124"/>
      <c r="R366" s="1"/>
    </row>
    <row r="367" spans="1:18" ht="13.5" thickBot="1" x14ac:dyDescent="0.25">
      <c r="A367" s="123">
        <v>155</v>
      </c>
      <c r="B367" s="123">
        <v>33</v>
      </c>
      <c r="C367" s="123">
        <v>122</v>
      </c>
      <c r="D367" s="123">
        <v>0</v>
      </c>
      <c r="E367" s="123">
        <v>0</v>
      </c>
      <c r="F367" s="123">
        <v>33</v>
      </c>
      <c r="G367" s="123">
        <v>0</v>
      </c>
      <c r="H367" s="123">
        <v>0</v>
      </c>
      <c r="I367" s="123">
        <v>108</v>
      </c>
      <c r="J367" s="123">
        <v>0</v>
      </c>
      <c r="K367" s="123">
        <v>10</v>
      </c>
      <c r="L367" s="123">
        <v>0</v>
      </c>
      <c r="M367" s="123">
        <v>3</v>
      </c>
      <c r="N367" s="123">
        <v>0</v>
      </c>
      <c r="O367" s="123">
        <v>1</v>
      </c>
      <c r="P367" s="7" t="s">
        <v>162</v>
      </c>
      <c r="Q367" s="124" t="s">
        <v>632</v>
      </c>
      <c r="R367" s="1"/>
    </row>
    <row r="368" spans="1:18" ht="13.5" thickBot="1" x14ac:dyDescent="0.25">
      <c r="A368" s="123">
        <v>189</v>
      </c>
      <c r="B368" s="123">
        <v>33</v>
      </c>
      <c r="C368" s="123">
        <v>156</v>
      </c>
      <c r="D368" s="123">
        <v>0</v>
      </c>
      <c r="E368" s="123">
        <v>0</v>
      </c>
      <c r="F368" s="123">
        <v>33</v>
      </c>
      <c r="G368" s="123">
        <v>1</v>
      </c>
      <c r="H368" s="123">
        <v>0</v>
      </c>
      <c r="I368" s="123">
        <v>116</v>
      </c>
      <c r="J368" s="123">
        <v>0</v>
      </c>
      <c r="K368" s="123">
        <v>29</v>
      </c>
      <c r="L368" s="123">
        <v>0</v>
      </c>
      <c r="M368" s="123">
        <v>8</v>
      </c>
      <c r="N368" s="123">
        <v>0</v>
      </c>
      <c r="O368" s="123">
        <v>2</v>
      </c>
      <c r="P368" s="7" t="s">
        <v>13</v>
      </c>
      <c r="Q368" s="9"/>
      <c r="R368" s="1"/>
    </row>
    <row r="369" spans="1:18" ht="13.5" thickBot="1" x14ac:dyDescent="0.25">
      <c r="A369" s="123">
        <v>290</v>
      </c>
      <c r="B369" s="123">
        <v>0</v>
      </c>
      <c r="C369" s="123">
        <v>290</v>
      </c>
      <c r="D369" s="123">
        <v>0</v>
      </c>
      <c r="E369" s="123">
        <v>0</v>
      </c>
      <c r="F369" s="123">
        <v>0</v>
      </c>
      <c r="G369" s="123">
        <v>39</v>
      </c>
      <c r="H369" s="123">
        <v>0</v>
      </c>
      <c r="I369" s="123">
        <v>30</v>
      </c>
      <c r="J369" s="123">
        <v>0</v>
      </c>
      <c r="K369" s="123">
        <v>115</v>
      </c>
      <c r="L369" s="123">
        <v>0</v>
      </c>
      <c r="M369" s="123">
        <v>67</v>
      </c>
      <c r="N369" s="123">
        <v>0</v>
      </c>
      <c r="O369" s="123">
        <v>39</v>
      </c>
      <c r="P369" s="7" t="s">
        <v>163</v>
      </c>
      <c r="Q369" s="3"/>
      <c r="R369" s="1"/>
    </row>
    <row r="370" spans="1:18" ht="13.5" thickBot="1" x14ac:dyDescent="0.25">
      <c r="A370" s="123">
        <v>560</v>
      </c>
      <c r="B370" s="123">
        <v>33</v>
      </c>
      <c r="C370" s="123">
        <v>527</v>
      </c>
      <c r="D370" s="123">
        <v>0</v>
      </c>
      <c r="E370" s="123">
        <v>22</v>
      </c>
      <c r="F370" s="123">
        <v>33</v>
      </c>
      <c r="G370" s="123">
        <v>0</v>
      </c>
      <c r="H370" s="123">
        <v>0</v>
      </c>
      <c r="I370" s="123">
        <v>235</v>
      </c>
      <c r="J370" s="123">
        <v>0</v>
      </c>
      <c r="K370" s="123">
        <v>141</v>
      </c>
      <c r="L370" s="123">
        <v>0</v>
      </c>
      <c r="M370" s="123">
        <v>72</v>
      </c>
      <c r="N370" s="123">
        <v>0</v>
      </c>
      <c r="O370" s="123">
        <v>57</v>
      </c>
      <c r="P370" s="7" t="s">
        <v>162</v>
      </c>
      <c r="Q370" s="11" t="s">
        <v>211</v>
      </c>
      <c r="R370" s="1"/>
    </row>
    <row r="371" spans="1:18" ht="13.5" thickBot="1" x14ac:dyDescent="0.25">
      <c r="A371" s="123">
        <v>850</v>
      </c>
      <c r="B371" s="123">
        <v>33</v>
      </c>
      <c r="C371" s="123">
        <v>817</v>
      </c>
      <c r="D371" s="123">
        <v>0</v>
      </c>
      <c r="E371" s="123">
        <v>22</v>
      </c>
      <c r="F371" s="123">
        <v>33</v>
      </c>
      <c r="G371" s="123">
        <v>39</v>
      </c>
      <c r="H371" s="123">
        <v>0</v>
      </c>
      <c r="I371" s="123">
        <v>265</v>
      </c>
      <c r="J371" s="123">
        <v>0</v>
      </c>
      <c r="K371" s="123">
        <v>256</v>
      </c>
      <c r="L371" s="123">
        <v>0</v>
      </c>
      <c r="M371" s="123">
        <v>139</v>
      </c>
      <c r="N371" s="123">
        <v>0</v>
      </c>
      <c r="O371" s="123">
        <v>96</v>
      </c>
      <c r="P371" s="7" t="s">
        <v>13</v>
      </c>
      <c r="Q371" s="5"/>
      <c r="R371" s="1"/>
    </row>
    <row r="372" spans="1:18" ht="18" customHeight="1" x14ac:dyDescent="0.2">
      <c r="A372" s="207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1"/>
    </row>
    <row r="373" spans="1:18" ht="18" customHeight="1" x14ac:dyDescent="0.2">
      <c r="A373" s="159" t="s">
        <v>616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"/>
    </row>
    <row r="374" spans="1:18" ht="18" customHeight="1" thickBot="1" x14ac:dyDescent="0.25">
      <c r="A374" s="160" t="s">
        <v>617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"/>
    </row>
    <row r="375" spans="1:18" ht="13.5" thickBot="1" x14ac:dyDescent="0.25">
      <c r="A375" s="204" t="s">
        <v>5</v>
      </c>
      <c r="B375" s="204"/>
      <c r="C375" s="204"/>
      <c r="D375" s="204" t="s">
        <v>57</v>
      </c>
      <c r="E375" s="204"/>
      <c r="F375" s="204" t="s">
        <v>609</v>
      </c>
      <c r="G375" s="204"/>
      <c r="H375" s="204" t="s">
        <v>610</v>
      </c>
      <c r="I375" s="204"/>
      <c r="J375" s="204" t="s">
        <v>611</v>
      </c>
      <c r="K375" s="204"/>
      <c r="L375" s="204" t="s">
        <v>612</v>
      </c>
      <c r="M375" s="204"/>
      <c r="N375" s="204" t="s">
        <v>613</v>
      </c>
      <c r="O375" s="204"/>
      <c r="P375" s="205" t="s">
        <v>614</v>
      </c>
      <c r="Q375" s="47" t="s">
        <v>161</v>
      </c>
      <c r="R375" s="1"/>
    </row>
    <row r="376" spans="1:18" ht="13.5" thickBot="1" x14ac:dyDescent="0.25">
      <c r="A376" s="47" t="s">
        <v>216</v>
      </c>
      <c r="B376" s="47" t="s">
        <v>11</v>
      </c>
      <c r="C376" s="47" t="s">
        <v>10</v>
      </c>
      <c r="D376" s="47" t="s">
        <v>11</v>
      </c>
      <c r="E376" s="47" t="s">
        <v>10</v>
      </c>
      <c r="F376" s="47" t="s">
        <v>11</v>
      </c>
      <c r="G376" s="47" t="s">
        <v>10</v>
      </c>
      <c r="H376" s="47" t="s">
        <v>11</v>
      </c>
      <c r="I376" s="47" t="s">
        <v>10</v>
      </c>
      <c r="J376" s="47" t="s">
        <v>11</v>
      </c>
      <c r="K376" s="47" t="s">
        <v>10</v>
      </c>
      <c r="L376" s="47" t="s">
        <v>11</v>
      </c>
      <c r="M376" s="47" t="s">
        <v>10</v>
      </c>
      <c r="N376" s="47" t="s">
        <v>11</v>
      </c>
      <c r="O376" s="47" t="s">
        <v>10</v>
      </c>
      <c r="P376" s="206"/>
      <c r="Q376" s="33" t="s">
        <v>80</v>
      </c>
      <c r="R376" s="1"/>
    </row>
    <row r="377" spans="1:18" ht="13.5" thickBot="1" x14ac:dyDescent="0.25">
      <c r="A377" s="123">
        <v>62</v>
      </c>
      <c r="B377" s="123">
        <v>0</v>
      </c>
      <c r="C377" s="123">
        <v>62</v>
      </c>
      <c r="D377" s="123">
        <v>0</v>
      </c>
      <c r="E377" s="123">
        <v>0</v>
      </c>
      <c r="F377" s="123">
        <v>0</v>
      </c>
      <c r="G377" s="123">
        <v>31</v>
      </c>
      <c r="H377" s="123">
        <v>0</v>
      </c>
      <c r="I377" s="123">
        <v>21</v>
      </c>
      <c r="J377" s="123">
        <v>0</v>
      </c>
      <c r="K377" s="123">
        <v>9</v>
      </c>
      <c r="L377" s="123">
        <v>0</v>
      </c>
      <c r="M377" s="123">
        <v>1</v>
      </c>
      <c r="N377" s="123">
        <v>0</v>
      </c>
      <c r="O377" s="123">
        <v>0</v>
      </c>
      <c r="P377" s="7" t="s">
        <v>163</v>
      </c>
      <c r="Q377" s="124"/>
      <c r="R377" s="1"/>
    </row>
    <row r="378" spans="1:18" ht="13.5" thickBot="1" x14ac:dyDescent="0.25">
      <c r="A378" s="123">
        <v>74</v>
      </c>
      <c r="B378" s="123">
        <v>0</v>
      </c>
      <c r="C378" s="123">
        <v>74</v>
      </c>
      <c r="D378" s="123">
        <v>0</v>
      </c>
      <c r="E378" s="123">
        <v>8</v>
      </c>
      <c r="F378" s="123">
        <v>0</v>
      </c>
      <c r="G378" s="123">
        <v>6</v>
      </c>
      <c r="H378" s="123">
        <v>0</v>
      </c>
      <c r="I378" s="123">
        <v>9</v>
      </c>
      <c r="J378" s="123">
        <v>0</v>
      </c>
      <c r="K378" s="123">
        <v>51</v>
      </c>
      <c r="L378" s="123">
        <v>0</v>
      </c>
      <c r="M378" s="123">
        <v>0</v>
      </c>
      <c r="N378" s="123">
        <v>0</v>
      </c>
      <c r="O378" s="123">
        <v>0</v>
      </c>
      <c r="P378" s="7" t="s">
        <v>162</v>
      </c>
      <c r="Q378" s="124" t="s">
        <v>250</v>
      </c>
      <c r="R378" s="1"/>
    </row>
    <row r="379" spans="1:18" ht="13.5" thickBot="1" x14ac:dyDescent="0.25">
      <c r="A379" s="123">
        <v>136</v>
      </c>
      <c r="B379" s="123">
        <v>0</v>
      </c>
      <c r="C379" s="123">
        <v>136</v>
      </c>
      <c r="D379" s="123">
        <v>0</v>
      </c>
      <c r="E379" s="123">
        <v>8</v>
      </c>
      <c r="F379" s="123">
        <v>0</v>
      </c>
      <c r="G379" s="123">
        <v>37</v>
      </c>
      <c r="H379" s="123">
        <v>0</v>
      </c>
      <c r="I379" s="123">
        <v>30</v>
      </c>
      <c r="J379" s="123">
        <v>0</v>
      </c>
      <c r="K379" s="123">
        <v>60</v>
      </c>
      <c r="L379" s="123">
        <v>0</v>
      </c>
      <c r="M379" s="123">
        <v>1</v>
      </c>
      <c r="N379" s="123">
        <v>0</v>
      </c>
      <c r="O379" s="123">
        <v>0</v>
      </c>
      <c r="P379" s="7" t="s">
        <v>13</v>
      </c>
      <c r="Q379" s="9"/>
      <c r="R379" s="1"/>
    </row>
    <row r="380" spans="1:18" ht="13.5" thickBot="1" x14ac:dyDescent="0.25">
      <c r="A380" s="123">
        <v>36</v>
      </c>
      <c r="B380" s="123">
        <v>0</v>
      </c>
      <c r="C380" s="123">
        <v>36</v>
      </c>
      <c r="D380" s="123">
        <v>0</v>
      </c>
      <c r="E380" s="123">
        <v>0</v>
      </c>
      <c r="F380" s="123">
        <v>0</v>
      </c>
      <c r="G380" s="123">
        <v>8</v>
      </c>
      <c r="H380" s="123">
        <v>0</v>
      </c>
      <c r="I380" s="123">
        <v>0</v>
      </c>
      <c r="J380" s="123">
        <v>0</v>
      </c>
      <c r="K380" s="123">
        <v>15</v>
      </c>
      <c r="L380" s="123">
        <v>0</v>
      </c>
      <c r="M380" s="123">
        <v>9</v>
      </c>
      <c r="N380" s="123">
        <v>0</v>
      </c>
      <c r="O380" s="123">
        <v>4</v>
      </c>
      <c r="P380" s="7" t="s">
        <v>163</v>
      </c>
      <c r="Q380" s="124"/>
      <c r="R380" s="1"/>
    </row>
    <row r="381" spans="1:18" ht="13.5" thickBot="1" x14ac:dyDescent="0.25">
      <c r="A381" s="123">
        <v>17</v>
      </c>
      <c r="B381" s="123">
        <v>0</v>
      </c>
      <c r="C381" s="123">
        <v>17</v>
      </c>
      <c r="D381" s="123">
        <v>0</v>
      </c>
      <c r="E381" s="123">
        <v>0</v>
      </c>
      <c r="F381" s="123">
        <v>0</v>
      </c>
      <c r="G381" s="123">
        <v>0</v>
      </c>
      <c r="H381" s="123">
        <v>0</v>
      </c>
      <c r="I381" s="123">
        <v>0</v>
      </c>
      <c r="J381" s="123">
        <v>0</v>
      </c>
      <c r="K381" s="123">
        <v>11</v>
      </c>
      <c r="L381" s="123">
        <v>0</v>
      </c>
      <c r="M381" s="123">
        <v>4</v>
      </c>
      <c r="N381" s="123">
        <v>0</v>
      </c>
      <c r="O381" s="123">
        <v>2</v>
      </c>
      <c r="P381" s="7" t="s">
        <v>162</v>
      </c>
      <c r="Q381" s="124" t="s">
        <v>393</v>
      </c>
      <c r="R381" s="1"/>
    </row>
    <row r="382" spans="1:18" ht="13.5" thickBot="1" x14ac:dyDescent="0.25">
      <c r="A382" s="123">
        <v>53</v>
      </c>
      <c r="B382" s="123">
        <v>0</v>
      </c>
      <c r="C382" s="123">
        <v>53</v>
      </c>
      <c r="D382" s="123">
        <v>0</v>
      </c>
      <c r="E382" s="123">
        <v>0</v>
      </c>
      <c r="F382" s="123">
        <v>0</v>
      </c>
      <c r="G382" s="123">
        <v>8</v>
      </c>
      <c r="H382" s="123">
        <v>0</v>
      </c>
      <c r="I382" s="123">
        <v>0</v>
      </c>
      <c r="J382" s="123">
        <v>0</v>
      </c>
      <c r="K382" s="123">
        <v>26</v>
      </c>
      <c r="L382" s="123">
        <v>0</v>
      </c>
      <c r="M382" s="123">
        <v>13</v>
      </c>
      <c r="N382" s="123">
        <v>0</v>
      </c>
      <c r="O382" s="123">
        <v>6</v>
      </c>
      <c r="P382" s="7" t="s">
        <v>13</v>
      </c>
      <c r="Q382" s="9"/>
      <c r="R382" s="1"/>
    </row>
    <row r="383" spans="1:18" ht="13.5" thickBot="1" x14ac:dyDescent="0.25">
      <c r="A383" s="123">
        <v>96</v>
      </c>
      <c r="B383" s="123">
        <v>19</v>
      </c>
      <c r="C383" s="123">
        <v>77</v>
      </c>
      <c r="D383" s="123">
        <v>0</v>
      </c>
      <c r="E383" s="123">
        <v>0</v>
      </c>
      <c r="F383" s="123">
        <v>6</v>
      </c>
      <c r="G383" s="123">
        <v>18</v>
      </c>
      <c r="H383" s="123">
        <v>11</v>
      </c>
      <c r="I383" s="123">
        <v>5</v>
      </c>
      <c r="J383" s="123">
        <v>2</v>
      </c>
      <c r="K383" s="123">
        <v>18</v>
      </c>
      <c r="L383" s="123">
        <v>0</v>
      </c>
      <c r="M383" s="123">
        <v>20</v>
      </c>
      <c r="N383" s="123">
        <v>0</v>
      </c>
      <c r="O383" s="123">
        <v>16</v>
      </c>
      <c r="P383" s="7" t="s">
        <v>163</v>
      </c>
      <c r="Q383" s="124"/>
      <c r="R383" s="1"/>
    </row>
    <row r="384" spans="1:18" ht="13.5" thickBot="1" x14ac:dyDescent="0.25">
      <c r="A384" s="123">
        <v>33</v>
      </c>
      <c r="B384" s="123">
        <v>15</v>
      </c>
      <c r="C384" s="123">
        <v>18</v>
      </c>
      <c r="D384" s="123">
        <v>0</v>
      </c>
      <c r="E384" s="123">
        <v>0</v>
      </c>
      <c r="F384" s="123">
        <v>0</v>
      </c>
      <c r="G384" s="123">
        <v>2</v>
      </c>
      <c r="H384" s="123">
        <v>1</v>
      </c>
      <c r="I384" s="123">
        <v>5</v>
      </c>
      <c r="J384" s="123">
        <v>13</v>
      </c>
      <c r="K384" s="123">
        <v>7</v>
      </c>
      <c r="L384" s="123">
        <v>1</v>
      </c>
      <c r="M384" s="123">
        <v>2</v>
      </c>
      <c r="N384" s="123">
        <v>0</v>
      </c>
      <c r="O384" s="123">
        <v>2</v>
      </c>
      <c r="P384" s="7" t="s">
        <v>162</v>
      </c>
      <c r="Q384" s="124" t="s">
        <v>394</v>
      </c>
      <c r="R384" s="1"/>
    </row>
    <row r="385" spans="1:18" ht="13.5" thickBot="1" x14ac:dyDescent="0.25">
      <c r="A385" s="123">
        <v>129</v>
      </c>
      <c r="B385" s="123">
        <v>34</v>
      </c>
      <c r="C385" s="123">
        <v>95</v>
      </c>
      <c r="D385" s="123">
        <v>0</v>
      </c>
      <c r="E385" s="123">
        <v>0</v>
      </c>
      <c r="F385" s="123">
        <v>6</v>
      </c>
      <c r="G385" s="123">
        <v>20</v>
      </c>
      <c r="H385" s="123">
        <v>12</v>
      </c>
      <c r="I385" s="123">
        <v>10</v>
      </c>
      <c r="J385" s="123">
        <v>15</v>
      </c>
      <c r="K385" s="123">
        <v>25</v>
      </c>
      <c r="L385" s="123">
        <v>1</v>
      </c>
      <c r="M385" s="123">
        <v>22</v>
      </c>
      <c r="N385" s="123">
        <v>0</v>
      </c>
      <c r="O385" s="123">
        <v>18</v>
      </c>
      <c r="P385" s="7" t="s">
        <v>13</v>
      </c>
      <c r="Q385" s="9"/>
      <c r="R385" s="1"/>
    </row>
    <row r="386" spans="1:18" ht="13.5" thickBot="1" x14ac:dyDescent="0.25">
      <c r="A386" s="123">
        <v>111</v>
      </c>
      <c r="B386" s="123">
        <v>51</v>
      </c>
      <c r="C386" s="123">
        <v>60</v>
      </c>
      <c r="D386" s="123">
        <v>0</v>
      </c>
      <c r="E386" s="123">
        <v>0</v>
      </c>
      <c r="F386" s="123">
        <v>30</v>
      </c>
      <c r="G386" s="123">
        <v>18</v>
      </c>
      <c r="H386" s="123">
        <v>8</v>
      </c>
      <c r="I386" s="123">
        <v>4</v>
      </c>
      <c r="J386" s="123">
        <v>11</v>
      </c>
      <c r="K386" s="123">
        <v>18</v>
      </c>
      <c r="L386" s="123">
        <v>2</v>
      </c>
      <c r="M386" s="123">
        <v>11</v>
      </c>
      <c r="N386" s="123">
        <v>0</v>
      </c>
      <c r="O386" s="123">
        <v>9</v>
      </c>
      <c r="P386" s="7" t="s">
        <v>163</v>
      </c>
      <c r="Q386" s="124"/>
      <c r="R386" s="1"/>
    </row>
    <row r="387" spans="1:18" ht="13.5" thickBot="1" x14ac:dyDescent="0.25">
      <c r="A387" s="123">
        <v>69</v>
      </c>
      <c r="B387" s="123">
        <v>26</v>
      </c>
      <c r="C387" s="123">
        <v>43</v>
      </c>
      <c r="D387" s="123">
        <v>0</v>
      </c>
      <c r="E387" s="123">
        <v>0</v>
      </c>
      <c r="F387" s="123">
        <v>0</v>
      </c>
      <c r="G387" s="123">
        <v>0</v>
      </c>
      <c r="H387" s="123">
        <v>4</v>
      </c>
      <c r="I387" s="123">
        <v>5</v>
      </c>
      <c r="J387" s="123">
        <v>22</v>
      </c>
      <c r="K387" s="123">
        <v>23</v>
      </c>
      <c r="L387" s="123">
        <v>0</v>
      </c>
      <c r="M387" s="123">
        <v>13</v>
      </c>
      <c r="N387" s="123">
        <v>0</v>
      </c>
      <c r="O387" s="123">
        <v>2</v>
      </c>
      <c r="P387" s="7" t="s">
        <v>162</v>
      </c>
      <c r="Q387" s="124" t="s">
        <v>396</v>
      </c>
      <c r="R387" s="1"/>
    </row>
    <row r="388" spans="1:18" ht="13.5" thickBot="1" x14ac:dyDescent="0.25">
      <c r="A388" s="123">
        <v>180</v>
      </c>
      <c r="B388" s="123">
        <v>77</v>
      </c>
      <c r="C388" s="123">
        <v>103</v>
      </c>
      <c r="D388" s="123">
        <v>0</v>
      </c>
      <c r="E388" s="123">
        <v>0</v>
      </c>
      <c r="F388" s="123">
        <v>30</v>
      </c>
      <c r="G388" s="123">
        <v>18</v>
      </c>
      <c r="H388" s="123">
        <v>12</v>
      </c>
      <c r="I388" s="123">
        <v>9</v>
      </c>
      <c r="J388" s="123">
        <v>33</v>
      </c>
      <c r="K388" s="123">
        <v>41</v>
      </c>
      <c r="L388" s="123">
        <v>2</v>
      </c>
      <c r="M388" s="123">
        <v>24</v>
      </c>
      <c r="N388" s="123">
        <v>0</v>
      </c>
      <c r="O388" s="123">
        <v>11</v>
      </c>
      <c r="P388" s="7" t="s">
        <v>13</v>
      </c>
      <c r="Q388" s="9"/>
      <c r="R388" s="1"/>
    </row>
    <row r="389" spans="1:18" ht="13.5" thickBot="1" x14ac:dyDescent="0.25">
      <c r="A389" s="123">
        <v>51</v>
      </c>
      <c r="B389" s="123">
        <v>5</v>
      </c>
      <c r="C389" s="123">
        <v>46</v>
      </c>
      <c r="D389" s="123">
        <v>0</v>
      </c>
      <c r="E389" s="123">
        <v>0</v>
      </c>
      <c r="F389" s="123">
        <v>5</v>
      </c>
      <c r="G389" s="123">
        <v>20</v>
      </c>
      <c r="H389" s="123">
        <v>0</v>
      </c>
      <c r="I389" s="123">
        <v>4</v>
      </c>
      <c r="J389" s="123">
        <v>0</v>
      </c>
      <c r="K389" s="123">
        <v>9</v>
      </c>
      <c r="L389" s="123">
        <v>0</v>
      </c>
      <c r="M389" s="123">
        <v>10</v>
      </c>
      <c r="N389" s="123">
        <v>0</v>
      </c>
      <c r="O389" s="123">
        <v>3</v>
      </c>
      <c r="P389" s="7" t="s">
        <v>163</v>
      </c>
      <c r="Q389" s="124"/>
      <c r="R389" s="1"/>
    </row>
    <row r="390" spans="1:18" ht="13.5" thickBot="1" x14ac:dyDescent="0.25">
      <c r="A390" s="123">
        <v>29</v>
      </c>
      <c r="B390" s="123">
        <v>0</v>
      </c>
      <c r="C390" s="123">
        <v>29</v>
      </c>
      <c r="D390" s="123">
        <v>0</v>
      </c>
      <c r="E390" s="123">
        <v>0</v>
      </c>
      <c r="F390" s="123">
        <v>0</v>
      </c>
      <c r="G390" s="123">
        <v>0</v>
      </c>
      <c r="H390" s="123">
        <v>0</v>
      </c>
      <c r="I390" s="123">
        <v>0</v>
      </c>
      <c r="J390" s="123">
        <v>0</v>
      </c>
      <c r="K390" s="123">
        <v>19</v>
      </c>
      <c r="L390" s="123">
        <v>0</v>
      </c>
      <c r="M390" s="123">
        <v>9</v>
      </c>
      <c r="N390" s="123">
        <v>0</v>
      </c>
      <c r="O390" s="123">
        <v>1</v>
      </c>
      <c r="P390" s="7" t="s">
        <v>162</v>
      </c>
      <c r="Q390" s="124" t="s">
        <v>397</v>
      </c>
      <c r="R390" s="1"/>
    </row>
    <row r="391" spans="1:18" ht="13.5" thickBot="1" x14ac:dyDescent="0.25">
      <c r="A391" s="123">
        <v>80</v>
      </c>
      <c r="B391" s="123">
        <v>5</v>
      </c>
      <c r="C391" s="123">
        <v>75</v>
      </c>
      <c r="D391" s="123">
        <v>0</v>
      </c>
      <c r="E391" s="123">
        <v>0</v>
      </c>
      <c r="F391" s="123">
        <v>5</v>
      </c>
      <c r="G391" s="123">
        <v>20</v>
      </c>
      <c r="H391" s="123">
        <v>0</v>
      </c>
      <c r="I391" s="123">
        <v>4</v>
      </c>
      <c r="J391" s="123">
        <v>0</v>
      </c>
      <c r="K391" s="123">
        <v>28</v>
      </c>
      <c r="L391" s="123">
        <v>0</v>
      </c>
      <c r="M391" s="123">
        <v>19</v>
      </c>
      <c r="N391" s="123">
        <v>0</v>
      </c>
      <c r="O391" s="123">
        <v>4</v>
      </c>
      <c r="P391" s="7" t="s">
        <v>13</v>
      </c>
      <c r="Q391" s="9"/>
      <c r="R391" s="1"/>
    </row>
    <row r="392" spans="1:18" ht="13.5" thickBot="1" x14ac:dyDescent="0.25">
      <c r="A392" s="123">
        <v>6</v>
      </c>
      <c r="B392" s="123">
        <v>1</v>
      </c>
      <c r="C392" s="123">
        <v>5</v>
      </c>
      <c r="D392" s="123">
        <v>0</v>
      </c>
      <c r="E392" s="123">
        <v>0</v>
      </c>
      <c r="F392" s="123">
        <v>1</v>
      </c>
      <c r="G392" s="123">
        <v>5</v>
      </c>
      <c r="H392" s="123">
        <v>0</v>
      </c>
      <c r="I392" s="123">
        <v>0</v>
      </c>
      <c r="J392" s="123">
        <v>0</v>
      </c>
      <c r="K392" s="123">
        <v>0</v>
      </c>
      <c r="L392" s="123">
        <v>0</v>
      </c>
      <c r="M392" s="123">
        <v>0</v>
      </c>
      <c r="N392" s="123">
        <v>0</v>
      </c>
      <c r="O392" s="123">
        <v>0</v>
      </c>
      <c r="P392" s="7" t="s">
        <v>163</v>
      </c>
      <c r="Q392" s="124"/>
      <c r="R392" s="1"/>
    </row>
    <row r="393" spans="1:18" ht="13.5" thickBot="1" x14ac:dyDescent="0.25">
      <c r="A393" s="123">
        <v>60</v>
      </c>
      <c r="B393" s="123">
        <v>14</v>
      </c>
      <c r="C393" s="123">
        <v>46</v>
      </c>
      <c r="D393" s="123">
        <v>0</v>
      </c>
      <c r="E393" s="123">
        <v>0</v>
      </c>
      <c r="F393" s="123">
        <v>0</v>
      </c>
      <c r="G393" s="123">
        <v>0</v>
      </c>
      <c r="H393" s="123">
        <v>0</v>
      </c>
      <c r="I393" s="123">
        <v>0</v>
      </c>
      <c r="J393" s="123">
        <v>6</v>
      </c>
      <c r="K393" s="123">
        <v>28</v>
      </c>
      <c r="L393" s="123">
        <v>7</v>
      </c>
      <c r="M393" s="123">
        <v>9</v>
      </c>
      <c r="N393" s="123">
        <v>1</v>
      </c>
      <c r="O393" s="123">
        <v>9</v>
      </c>
      <c r="P393" s="7" t="s">
        <v>162</v>
      </c>
      <c r="Q393" s="124" t="s">
        <v>398</v>
      </c>
      <c r="R393" s="1"/>
    </row>
    <row r="394" spans="1:18" ht="13.5" thickBot="1" x14ac:dyDescent="0.25">
      <c r="A394" s="123">
        <v>66</v>
      </c>
      <c r="B394" s="123">
        <v>15</v>
      </c>
      <c r="C394" s="123">
        <v>51</v>
      </c>
      <c r="D394" s="123">
        <v>0</v>
      </c>
      <c r="E394" s="123">
        <v>0</v>
      </c>
      <c r="F394" s="123">
        <v>1</v>
      </c>
      <c r="G394" s="123">
        <v>5</v>
      </c>
      <c r="H394" s="123">
        <v>0</v>
      </c>
      <c r="I394" s="123">
        <v>0</v>
      </c>
      <c r="J394" s="123">
        <v>6</v>
      </c>
      <c r="K394" s="123">
        <v>28</v>
      </c>
      <c r="L394" s="123">
        <v>7</v>
      </c>
      <c r="M394" s="123">
        <v>9</v>
      </c>
      <c r="N394" s="123">
        <v>1</v>
      </c>
      <c r="O394" s="123">
        <v>9</v>
      </c>
      <c r="P394" s="7" t="s">
        <v>13</v>
      </c>
      <c r="Q394" s="9"/>
      <c r="R394" s="1"/>
    </row>
    <row r="395" spans="1:18" ht="13.5" thickBot="1" x14ac:dyDescent="0.25">
      <c r="A395" s="123">
        <v>39</v>
      </c>
      <c r="B395" s="123">
        <v>19</v>
      </c>
      <c r="C395" s="123">
        <v>20</v>
      </c>
      <c r="D395" s="123">
        <v>0</v>
      </c>
      <c r="E395" s="123">
        <v>0</v>
      </c>
      <c r="F395" s="123">
        <v>17</v>
      </c>
      <c r="G395" s="123">
        <v>6</v>
      </c>
      <c r="H395" s="123">
        <v>2</v>
      </c>
      <c r="I395" s="123">
        <v>0</v>
      </c>
      <c r="J395" s="123">
        <v>0</v>
      </c>
      <c r="K395" s="123">
        <v>11</v>
      </c>
      <c r="L395" s="123">
        <v>0</v>
      </c>
      <c r="M395" s="123">
        <v>1</v>
      </c>
      <c r="N395" s="123">
        <v>0</v>
      </c>
      <c r="O395" s="123">
        <v>2</v>
      </c>
      <c r="P395" s="7" t="s">
        <v>163</v>
      </c>
      <c r="Q395" s="124"/>
      <c r="R395" s="1"/>
    </row>
    <row r="396" spans="1:18" ht="13.5" thickBot="1" x14ac:dyDescent="0.25">
      <c r="A396" s="123">
        <v>55</v>
      </c>
      <c r="B396" s="123">
        <v>16</v>
      </c>
      <c r="C396" s="123">
        <v>39</v>
      </c>
      <c r="D396" s="123">
        <v>0</v>
      </c>
      <c r="E396" s="123">
        <v>0</v>
      </c>
      <c r="F396" s="123">
        <v>0</v>
      </c>
      <c r="G396" s="123">
        <v>0</v>
      </c>
      <c r="H396" s="123">
        <v>1</v>
      </c>
      <c r="I396" s="123">
        <v>2</v>
      </c>
      <c r="J396" s="123">
        <v>14</v>
      </c>
      <c r="K396" s="123">
        <v>22</v>
      </c>
      <c r="L396" s="123">
        <v>0</v>
      </c>
      <c r="M396" s="123">
        <v>12</v>
      </c>
      <c r="N396" s="123">
        <v>1</v>
      </c>
      <c r="O396" s="123">
        <v>3</v>
      </c>
      <c r="P396" s="7" t="s">
        <v>162</v>
      </c>
      <c r="Q396" s="124" t="s">
        <v>399</v>
      </c>
      <c r="R396" s="1"/>
    </row>
    <row r="397" spans="1:18" ht="13.5" thickBot="1" x14ac:dyDescent="0.25">
      <c r="A397" s="123">
        <v>94</v>
      </c>
      <c r="B397" s="123">
        <v>35</v>
      </c>
      <c r="C397" s="123">
        <v>59</v>
      </c>
      <c r="D397" s="123">
        <v>0</v>
      </c>
      <c r="E397" s="123">
        <v>0</v>
      </c>
      <c r="F397" s="123">
        <v>17</v>
      </c>
      <c r="G397" s="123">
        <v>6</v>
      </c>
      <c r="H397" s="123">
        <v>3</v>
      </c>
      <c r="I397" s="123">
        <v>2</v>
      </c>
      <c r="J397" s="123">
        <v>14</v>
      </c>
      <c r="K397" s="123">
        <v>33</v>
      </c>
      <c r="L397" s="123">
        <v>0</v>
      </c>
      <c r="M397" s="123">
        <v>13</v>
      </c>
      <c r="N397" s="123">
        <v>1</v>
      </c>
      <c r="O397" s="123">
        <v>5</v>
      </c>
      <c r="P397" s="7" t="s">
        <v>13</v>
      </c>
      <c r="Q397" s="9"/>
      <c r="R397" s="1"/>
    </row>
    <row r="398" spans="1:18" ht="13.5" thickBot="1" x14ac:dyDescent="0.25">
      <c r="A398" s="123">
        <v>7</v>
      </c>
      <c r="B398" s="123">
        <v>0</v>
      </c>
      <c r="C398" s="123">
        <v>7</v>
      </c>
      <c r="D398" s="123">
        <v>0</v>
      </c>
      <c r="E398" s="123">
        <v>0</v>
      </c>
      <c r="F398" s="123">
        <v>0</v>
      </c>
      <c r="G398" s="123">
        <v>2</v>
      </c>
      <c r="H398" s="123">
        <v>0</v>
      </c>
      <c r="I398" s="123">
        <v>0</v>
      </c>
      <c r="J398" s="123">
        <v>0</v>
      </c>
      <c r="K398" s="123">
        <v>4</v>
      </c>
      <c r="L398" s="123">
        <v>0</v>
      </c>
      <c r="M398" s="123">
        <v>1</v>
      </c>
      <c r="N398" s="123">
        <v>0</v>
      </c>
      <c r="O398" s="123">
        <v>0</v>
      </c>
      <c r="P398" s="7" t="s">
        <v>163</v>
      </c>
      <c r="Q398" s="124"/>
      <c r="R398" s="1"/>
    </row>
    <row r="399" spans="1:18" ht="13.5" thickBot="1" x14ac:dyDescent="0.25">
      <c r="A399" s="123">
        <v>14</v>
      </c>
      <c r="B399" s="123">
        <v>0</v>
      </c>
      <c r="C399" s="123">
        <v>14</v>
      </c>
      <c r="D399" s="123">
        <v>0</v>
      </c>
      <c r="E399" s="123">
        <v>0</v>
      </c>
      <c r="F399" s="123">
        <v>0</v>
      </c>
      <c r="G399" s="123">
        <v>0</v>
      </c>
      <c r="H399" s="123">
        <v>0</v>
      </c>
      <c r="I399" s="123">
        <v>4</v>
      </c>
      <c r="J399" s="123">
        <v>0</v>
      </c>
      <c r="K399" s="123">
        <v>7</v>
      </c>
      <c r="L399" s="123">
        <v>0</v>
      </c>
      <c r="M399" s="123">
        <v>2</v>
      </c>
      <c r="N399" s="123">
        <v>0</v>
      </c>
      <c r="O399" s="123">
        <v>1</v>
      </c>
      <c r="P399" s="7" t="s">
        <v>162</v>
      </c>
      <c r="Q399" s="124" t="s">
        <v>400</v>
      </c>
      <c r="R399" s="1"/>
    </row>
    <row r="400" spans="1:18" ht="13.5" thickBot="1" x14ac:dyDescent="0.25">
      <c r="A400" s="123">
        <v>21</v>
      </c>
      <c r="B400" s="123">
        <v>0</v>
      </c>
      <c r="C400" s="123">
        <v>21</v>
      </c>
      <c r="D400" s="123">
        <v>0</v>
      </c>
      <c r="E400" s="123">
        <v>0</v>
      </c>
      <c r="F400" s="123">
        <v>0</v>
      </c>
      <c r="G400" s="123">
        <v>2</v>
      </c>
      <c r="H400" s="123">
        <v>0</v>
      </c>
      <c r="I400" s="123">
        <v>4</v>
      </c>
      <c r="J400" s="123">
        <v>0</v>
      </c>
      <c r="K400" s="123">
        <v>11</v>
      </c>
      <c r="L400" s="123">
        <v>0</v>
      </c>
      <c r="M400" s="123">
        <v>3</v>
      </c>
      <c r="N400" s="123">
        <v>0</v>
      </c>
      <c r="O400" s="123">
        <v>1</v>
      </c>
      <c r="P400" s="7" t="s">
        <v>13</v>
      </c>
      <c r="Q400" s="9"/>
      <c r="R400" s="1"/>
    </row>
    <row r="401" spans="1:18" ht="13.5" thickBot="1" x14ac:dyDescent="0.25">
      <c r="A401" s="123">
        <v>70</v>
      </c>
      <c r="B401" s="123">
        <v>11</v>
      </c>
      <c r="C401" s="123">
        <v>59</v>
      </c>
      <c r="D401" s="123">
        <v>0</v>
      </c>
      <c r="E401" s="123">
        <v>0</v>
      </c>
      <c r="F401" s="123">
        <v>9</v>
      </c>
      <c r="G401" s="123">
        <v>10</v>
      </c>
      <c r="H401" s="123">
        <v>1</v>
      </c>
      <c r="I401" s="123">
        <v>2</v>
      </c>
      <c r="J401" s="123">
        <v>0</v>
      </c>
      <c r="K401" s="123">
        <v>28</v>
      </c>
      <c r="L401" s="123">
        <v>0</v>
      </c>
      <c r="M401" s="123">
        <v>16</v>
      </c>
      <c r="N401" s="123">
        <v>1</v>
      </c>
      <c r="O401" s="123">
        <v>3</v>
      </c>
      <c r="P401" s="7" t="s">
        <v>163</v>
      </c>
      <c r="Q401" s="124"/>
      <c r="R401" s="1"/>
    </row>
    <row r="402" spans="1:18" ht="13.5" thickBot="1" x14ac:dyDescent="0.25">
      <c r="A402" s="123">
        <v>28</v>
      </c>
      <c r="B402" s="123">
        <v>1</v>
      </c>
      <c r="C402" s="123">
        <v>27</v>
      </c>
      <c r="D402" s="123">
        <v>0</v>
      </c>
      <c r="E402" s="123">
        <v>0</v>
      </c>
      <c r="F402" s="123">
        <v>0</v>
      </c>
      <c r="G402" s="123">
        <v>1</v>
      </c>
      <c r="H402" s="123">
        <v>1</v>
      </c>
      <c r="I402" s="123">
        <v>8</v>
      </c>
      <c r="J402" s="123">
        <v>0</v>
      </c>
      <c r="K402" s="123">
        <v>5</v>
      </c>
      <c r="L402" s="123">
        <v>0</v>
      </c>
      <c r="M402" s="123">
        <v>8</v>
      </c>
      <c r="N402" s="123">
        <v>0</v>
      </c>
      <c r="O402" s="123">
        <v>5</v>
      </c>
      <c r="P402" s="7" t="s">
        <v>162</v>
      </c>
      <c r="Q402" s="124" t="s">
        <v>401</v>
      </c>
      <c r="R402" s="1"/>
    </row>
    <row r="403" spans="1:18" ht="13.5" thickBot="1" x14ac:dyDescent="0.25">
      <c r="A403" s="123">
        <v>98</v>
      </c>
      <c r="B403" s="123">
        <v>12</v>
      </c>
      <c r="C403" s="123">
        <v>86</v>
      </c>
      <c r="D403" s="123">
        <v>0</v>
      </c>
      <c r="E403" s="123">
        <v>0</v>
      </c>
      <c r="F403" s="123">
        <v>9</v>
      </c>
      <c r="G403" s="123">
        <v>11</v>
      </c>
      <c r="H403" s="123">
        <v>2</v>
      </c>
      <c r="I403" s="123">
        <v>10</v>
      </c>
      <c r="J403" s="123">
        <v>0</v>
      </c>
      <c r="K403" s="123">
        <v>33</v>
      </c>
      <c r="L403" s="123">
        <v>0</v>
      </c>
      <c r="M403" s="123">
        <v>24</v>
      </c>
      <c r="N403" s="123">
        <v>1</v>
      </c>
      <c r="O403" s="123">
        <v>8</v>
      </c>
      <c r="P403" s="7" t="s">
        <v>13</v>
      </c>
      <c r="Q403" s="9"/>
      <c r="R403" s="1"/>
    </row>
    <row r="404" spans="1:18" ht="13.5" thickBot="1" x14ac:dyDescent="0.25">
      <c r="A404" s="123">
        <v>146</v>
      </c>
      <c r="B404" s="123">
        <v>52</v>
      </c>
      <c r="C404" s="123">
        <v>94</v>
      </c>
      <c r="D404" s="123">
        <v>0</v>
      </c>
      <c r="E404" s="123">
        <v>0</v>
      </c>
      <c r="F404" s="123">
        <v>32</v>
      </c>
      <c r="G404" s="123">
        <v>31</v>
      </c>
      <c r="H404" s="123">
        <v>4</v>
      </c>
      <c r="I404" s="123">
        <v>0</v>
      </c>
      <c r="J404" s="123">
        <v>7</v>
      </c>
      <c r="K404" s="123">
        <v>18</v>
      </c>
      <c r="L404" s="123">
        <v>7</v>
      </c>
      <c r="M404" s="123">
        <v>22</v>
      </c>
      <c r="N404" s="123">
        <v>2</v>
      </c>
      <c r="O404" s="123">
        <v>23</v>
      </c>
      <c r="P404" s="7" t="s">
        <v>163</v>
      </c>
      <c r="Q404" s="124"/>
      <c r="R404" s="1"/>
    </row>
    <row r="405" spans="1:18" ht="13.5" thickBot="1" x14ac:dyDescent="0.25">
      <c r="A405" s="123">
        <v>124</v>
      </c>
      <c r="B405" s="123">
        <v>31</v>
      </c>
      <c r="C405" s="123">
        <v>93</v>
      </c>
      <c r="D405" s="123">
        <v>0</v>
      </c>
      <c r="E405" s="123">
        <v>0</v>
      </c>
      <c r="F405" s="123">
        <v>1</v>
      </c>
      <c r="G405" s="123">
        <v>6</v>
      </c>
      <c r="H405" s="123">
        <v>5</v>
      </c>
      <c r="I405" s="123">
        <v>4</v>
      </c>
      <c r="J405" s="123">
        <v>13</v>
      </c>
      <c r="K405" s="123">
        <v>39</v>
      </c>
      <c r="L405" s="123">
        <v>12</v>
      </c>
      <c r="M405" s="123">
        <v>21</v>
      </c>
      <c r="N405" s="123">
        <v>0</v>
      </c>
      <c r="O405" s="123">
        <v>23</v>
      </c>
      <c r="P405" s="7" t="s">
        <v>162</v>
      </c>
      <c r="Q405" s="124" t="s">
        <v>402</v>
      </c>
      <c r="R405" s="1"/>
    </row>
    <row r="406" spans="1:18" ht="13.5" thickBot="1" x14ac:dyDescent="0.25">
      <c r="A406" s="123">
        <v>270</v>
      </c>
      <c r="B406" s="123">
        <v>83</v>
      </c>
      <c r="C406" s="123">
        <v>187</v>
      </c>
      <c r="D406" s="123">
        <v>0</v>
      </c>
      <c r="E406" s="123">
        <v>0</v>
      </c>
      <c r="F406" s="123">
        <v>33</v>
      </c>
      <c r="G406" s="123">
        <v>37</v>
      </c>
      <c r="H406" s="123">
        <v>9</v>
      </c>
      <c r="I406" s="123">
        <v>4</v>
      </c>
      <c r="J406" s="123">
        <v>20</v>
      </c>
      <c r="K406" s="123">
        <v>57</v>
      </c>
      <c r="L406" s="123">
        <v>19</v>
      </c>
      <c r="M406" s="123">
        <v>43</v>
      </c>
      <c r="N406" s="123">
        <v>2</v>
      </c>
      <c r="O406" s="123">
        <v>46</v>
      </c>
      <c r="P406" s="7" t="s">
        <v>13</v>
      </c>
      <c r="Q406" s="9"/>
      <c r="R406" s="1"/>
    </row>
    <row r="407" spans="1:18" ht="13.5" thickBot="1" x14ac:dyDescent="0.25">
      <c r="A407" s="123">
        <v>20</v>
      </c>
      <c r="B407" s="123">
        <v>9</v>
      </c>
      <c r="C407" s="123">
        <v>11</v>
      </c>
      <c r="D407" s="123">
        <v>0</v>
      </c>
      <c r="E407" s="123">
        <v>0</v>
      </c>
      <c r="F407" s="123">
        <v>8</v>
      </c>
      <c r="G407" s="123">
        <v>6</v>
      </c>
      <c r="H407" s="123">
        <v>0</v>
      </c>
      <c r="I407" s="123">
        <v>0</v>
      </c>
      <c r="J407" s="123">
        <v>1</v>
      </c>
      <c r="K407" s="123">
        <v>3</v>
      </c>
      <c r="L407" s="123">
        <v>0</v>
      </c>
      <c r="M407" s="123">
        <v>2</v>
      </c>
      <c r="N407" s="123">
        <v>0</v>
      </c>
      <c r="O407" s="123">
        <v>0</v>
      </c>
      <c r="P407" s="7" t="s">
        <v>163</v>
      </c>
      <c r="Q407" s="124"/>
      <c r="R407" s="1"/>
    </row>
    <row r="408" spans="1:18" ht="13.5" thickBot="1" x14ac:dyDescent="0.25">
      <c r="A408" s="123">
        <v>21</v>
      </c>
      <c r="B408" s="123">
        <v>4</v>
      </c>
      <c r="C408" s="123">
        <v>17</v>
      </c>
      <c r="D408" s="123">
        <v>0</v>
      </c>
      <c r="E408" s="123">
        <v>0</v>
      </c>
      <c r="F408" s="123">
        <v>0</v>
      </c>
      <c r="G408" s="123">
        <v>0</v>
      </c>
      <c r="H408" s="123">
        <v>0</v>
      </c>
      <c r="I408" s="123">
        <v>1</v>
      </c>
      <c r="J408" s="123">
        <v>3</v>
      </c>
      <c r="K408" s="123">
        <v>7</v>
      </c>
      <c r="L408" s="123">
        <v>1</v>
      </c>
      <c r="M408" s="123">
        <v>7</v>
      </c>
      <c r="N408" s="123">
        <v>0</v>
      </c>
      <c r="O408" s="123">
        <v>2</v>
      </c>
      <c r="P408" s="7" t="s">
        <v>162</v>
      </c>
      <c r="Q408" s="124" t="s">
        <v>403</v>
      </c>
      <c r="R408" s="1"/>
    </row>
    <row r="409" spans="1:18" ht="13.5" thickBot="1" x14ac:dyDescent="0.25">
      <c r="A409" s="123">
        <v>41</v>
      </c>
      <c r="B409" s="123">
        <v>13</v>
      </c>
      <c r="C409" s="123">
        <v>28</v>
      </c>
      <c r="D409" s="123">
        <v>0</v>
      </c>
      <c r="E409" s="123">
        <v>0</v>
      </c>
      <c r="F409" s="123">
        <v>8</v>
      </c>
      <c r="G409" s="123">
        <v>6</v>
      </c>
      <c r="H409" s="123">
        <v>0</v>
      </c>
      <c r="I409" s="123">
        <v>1</v>
      </c>
      <c r="J409" s="123">
        <v>4</v>
      </c>
      <c r="K409" s="123">
        <v>10</v>
      </c>
      <c r="L409" s="123">
        <v>1</v>
      </c>
      <c r="M409" s="123">
        <v>9</v>
      </c>
      <c r="N409" s="123">
        <v>0</v>
      </c>
      <c r="O409" s="123">
        <v>2</v>
      </c>
      <c r="P409" s="7" t="s">
        <v>13</v>
      </c>
      <c r="Q409" s="9"/>
      <c r="R409" s="1"/>
    </row>
    <row r="410" spans="1:18" ht="13.5" thickBot="1" x14ac:dyDescent="0.25">
      <c r="A410" s="123">
        <v>35</v>
      </c>
      <c r="B410" s="123">
        <v>17</v>
      </c>
      <c r="C410" s="123">
        <v>18</v>
      </c>
      <c r="D410" s="123">
        <v>0</v>
      </c>
      <c r="E410" s="123">
        <v>0</v>
      </c>
      <c r="F410" s="123">
        <v>15</v>
      </c>
      <c r="G410" s="123">
        <v>13</v>
      </c>
      <c r="H410" s="123">
        <v>0</v>
      </c>
      <c r="I410" s="123">
        <v>3</v>
      </c>
      <c r="J410" s="123">
        <v>2</v>
      </c>
      <c r="K410" s="123">
        <v>2</v>
      </c>
      <c r="L410" s="123">
        <v>0</v>
      </c>
      <c r="M410" s="123">
        <v>0</v>
      </c>
      <c r="N410" s="123">
        <v>0</v>
      </c>
      <c r="O410" s="123">
        <v>0</v>
      </c>
      <c r="P410" s="7" t="s">
        <v>163</v>
      </c>
      <c r="Q410" s="124"/>
      <c r="R410" s="1"/>
    </row>
    <row r="411" spans="1:18" ht="13.5" thickBot="1" x14ac:dyDescent="0.25">
      <c r="A411" s="123">
        <v>32</v>
      </c>
      <c r="B411" s="123">
        <v>3</v>
      </c>
      <c r="C411" s="123">
        <v>29</v>
      </c>
      <c r="D411" s="123">
        <v>0</v>
      </c>
      <c r="E411" s="123">
        <v>0</v>
      </c>
      <c r="F411" s="123">
        <v>0</v>
      </c>
      <c r="G411" s="123">
        <v>3</v>
      </c>
      <c r="H411" s="123">
        <v>0</v>
      </c>
      <c r="I411" s="123">
        <v>4</v>
      </c>
      <c r="J411" s="123">
        <v>1</v>
      </c>
      <c r="K411" s="123">
        <v>17</v>
      </c>
      <c r="L411" s="123">
        <v>1</v>
      </c>
      <c r="M411" s="123">
        <v>3</v>
      </c>
      <c r="N411" s="123">
        <v>1</v>
      </c>
      <c r="O411" s="123">
        <v>2</v>
      </c>
      <c r="P411" s="7" t="s">
        <v>162</v>
      </c>
      <c r="Q411" s="124" t="s">
        <v>404</v>
      </c>
      <c r="R411" s="1"/>
    </row>
    <row r="412" spans="1:18" ht="13.5" thickBot="1" x14ac:dyDescent="0.25">
      <c r="A412" s="123">
        <v>67</v>
      </c>
      <c r="B412" s="123">
        <v>20</v>
      </c>
      <c r="C412" s="123">
        <v>47</v>
      </c>
      <c r="D412" s="123">
        <v>0</v>
      </c>
      <c r="E412" s="123">
        <v>0</v>
      </c>
      <c r="F412" s="123">
        <v>15</v>
      </c>
      <c r="G412" s="123">
        <v>16</v>
      </c>
      <c r="H412" s="123">
        <v>0</v>
      </c>
      <c r="I412" s="123">
        <v>7</v>
      </c>
      <c r="J412" s="123">
        <v>3</v>
      </c>
      <c r="K412" s="123">
        <v>19</v>
      </c>
      <c r="L412" s="123">
        <v>1</v>
      </c>
      <c r="M412" s="123">
        <v>3</v>
      </c>
      <c r="N412" s="123">
        <v>1</v>
      </c>
      <c r="O412" s="123">
        <v>2</v>
      </c>
      <c r="P412" s="7" t="s">
        <v>13</v>
      </c>
      <c r="Q412" s="9"/>
      <c r="R412" s="1"/>
    </row>
    <row r="413" spans="1:18" ht="13.5" thickBot="1" x14ac:dyDescent="0.25">
      <c r="A413" s="123">
        <v>8</v>
      </c>
      <c r="B413" s="123">
        <v>8</v>
      </c>
      <c r="C413" s="123">
        <v>0</v>
      </c>
      <c r="D413" s="123">
        <v>0</v>
      </c>
      <c r="E413" s="123">
        <v>0</v>
      </c>
      <c r="F413" s="123">
        <v>8</v>
      </c>
      <c r="G413" s="123">
        <v>0</v>
      </c>
      <c r="H413" s="123">
        <v>0</v>
      </c>
      <c r="I413" s="123">
        <v>0</v>
      </c>
      <c r="J413" s="123">
        <v>0</v>
      </c>
      <c r="K413" s="123">
        <v>0</v>
      </c>
      <c r="L413" s="123">
        <v>0</v>
      </c>
      <c r="M413" s="123">
        <v>0</v>
      </c>
      <c r="N413" s="123">
        <v>0</v>
      </c>
      <c r="O413" s="123">
        <v>0</v>
      </c>
      <c r="P413" s="7" t="s">
        <v>163</v>
      </c>
      <c r="Q413" s="124"/>
      <c r="R413" s="1"/>
    </row>
    <row r="414" spans="1:18" ht="13.5" thickBot="1" x14ac:dyDescent="0.25">
      <c r="A414" s="123">
        <v>15</v>
      </c>
      <c r="B414" s="123">
        <v>15</v>
      </c>
      <c r="C414" s="123">
        <v>0</v>
      </c>
      <c r="D414" s="123">
        <v>0</v>
      </c>
      <c r="E414" s="123">
        <v>0</v>
      </c>
      <c r="F414" s="123">
        <v>0</v>
      </c>
      <c r="G414" s="123">
        <v>0</v>
      </c>
      <c r="H414" s="123">
        <v>0</v>
      </c>
      <c r="I414" s="123">
        <v>0</v>
      </c>
      <c r="J414" s="123">
        <v>11</v>
      </c>
      <c r="K414" s="123">
        <v>0</v>
      </c>
      <c r="L414" s="123">
        <v>4</v>
      </c>
      <c r="M414" s="123">
        <v>0</v>
      </c>
      <c r="N414" s="123">
        <v>0</v>
      </c>
      <c r="O414" s="123">
        <v>0</v>
      </c>
      <c r="P414" s="7" t="s">
        <v>162</v>
      </c>
      <c r="Q414" s="124" t="s">
        <v>405</v>
      </c>
      <c r="R414" s="1"/>
    </row>
    <row r="415" spans="1:18" ht="13.5" thickBot="1" x14ac:dyDescent="0.25">
      <c r="A415" s="123">
        <v>23</v>
      </c>
      <c r="B415" s="123">
        <v>23</v>
      </c>
      <c r="C415" s="123">
        <v>0</v>
      </c>
      <c r="D415" s="123">
        <v>0</v>
      </c>
      <c r="E415" s="123">
        <v>0</v>
      </c>
      <c r="F415" s="123">
        <v>8</v>
      </c>
      <c r="G415" s="123">
        <v>0</v>
      </c>
      <c r="H415" s="123">
        <v>0</v>
      </c>
      <c r="I415" s="123">
        <v>0</v>
      </c>
      <c r="J415" s="123">
        <v>11</v>
      </c>
      <c r="K415" s="123">
        <v>0</v>
      </c>
      <c r="L415" s="123">
        <v>4</v>
      </c>
      <c r="M415" s="123">
        <v>0</v>
      </c>
      <c r="N415" s="123">
        <v>0</v>
      </c>
      <c r="O415" s="123">
        <v>0</v>
      </c>
      <c r="P415" s="7" t="s">
        <v>13</v>
      </c>
      <c r="Q415" s="9"/>
      <c r="R415" s="1"/>
    </row>
    <row r="416" spans="1:18" ht="13.5" thickBot="1" x14ac:dyDescent="0.25">
      <c r="A416" s="123">
        <v>2</v>
      </c>
      <c r="B416" s="123">
        <v>2</v>
      </c>
      <c r="C416" s="123">
        <v>0</v>
      </c>
      <c r="D416" s="123">
        <v>2</v>
      </c>
      <c r="E416" s="123">
        <v>0</v>
      </c>
      <c r="F416" s="123">
        <v>0</v>
      </c>
      <c r="G416" s="123">
        <v>0</v>
      </c>
      <c r="H416" s="123">
        <v>0</v>
      </c>
      <c r="I416" s="123">
        <v>0</v>
      </c>
      <c r="J416" s="123">
        <v>0</v>
      </c>
      <c r="K416" s="123">
        <v>0</v>
      </c>
      <c r="L416" s="123">
        <v>0</v>
      </c>
      <c r="M416" s="123">
        <v>0</v>
      </c>
      <c r="N416" s="123">
        <v>0</v>
      </c>
      <c r="O416" s="123">
        <v>0</v>
      </c>
      <c r="P416" s="7" t="s">
        <v>163</v>
      </c>
      <c r="Q416" s="124"/>
      <c r="R416" s="1"/>
    </row>
    <row r="417" spans="1:18" ht="13.5" thickBot="1" x14ac:dyDescent="0.25">
      <c r="A417" s="123">
        <v>58</v>
      </c>
      <c r="B417" s="123">
        <v>30</v>
      </c>
      <c r="C417" s="123">
        <v>28</v>
      </c>
      <c r="D417" s="123">
        <v>0</v>
      </c>
      <c r="E417" s="123">
        <v>0</v>
      </c>
      <c r="F417" s="123">
        <v>1</v>
      </c>
      <c r="G417" s="123">
        <v>0</v>
      </c>
      <c r="H417" s="123">
        <v>10</v>
      </c>
      <c r="I417" s="123">
        <v>5</v>
      </c>
      <c r="J417" s="123">
        <v>16</v>
      </c>
      <c r="K417" s="123">
        <v>21</v>
      </c>
      <c r="L417" s="123">
        <v>3</v>
      </c>
      <c r="M417" s="123">
        <v>2</v>
      </c>
      <c r="N417" s="123">
        <v>0</v>
      </c>
      <c r="O417" s="123">
        <v>0</v>
      </c>
      <c r="P417" s="7" t="s">
        <v>162</v>
      </c>
      <c r="Q417" s="124" t="s">
        <v>77</v>
      </c>
      <c r="R417" s="1"/>
    </row>
    <row r="418" spans="1:18" ht="13.5" thickBot="1" x14ac:dyDescent="0.25">
      <c r="A418" s="123">
        <v>60</v>
      </c>
      <c r="B418" s="123">
        <v>32</v>
      </c>
      <c r="C418" s="123">
        <v>28</v>
      </c>
      <c r="D418" s="123">
        <v>2</v>
      </c>
      <c r="E418" s="123">
        <v>0</v>
      </c>
      <c r="F418" s="123">
        <v>1</v>
      </c>
      <c r="G418" s="123">
        <v>0</v>
      </c>
      <c r="H418" s="123">
        <v>10</v>
      </c>
      <c r="I418" s="123">
        <v>5</v>
      </c>
      <c r="J418" s="123">
        <v>16</v>
      </c>
      <c r="K418" s="123">
        <v>21</v>
      </c>
      <c r="L418" s="123">
        <v>3</v>
      </c>
      <c r="M418" s="123">
        <v>2</v>
      </c>
      <c r="N418" s="123">
        <v>0</v>
      </c>
      <c r="O418" s="123">
        <v>0</v>
      </c>
      <c r="P418" s="7" t="s">
        <v>13</v>
      </c>
      <c r="Q418" s="9"/>
      <c r="R418" s="1"/>
    </row>
    <row r="419" spans="1:18" ht="13.5" thickBot="1" x14ac:dyDescent="0.25">
      <c r="A419" s="123">
        <v>5</v>
      </c>
      <c r="B419" s="123">
        <v>0</v>
      </c>
      <c r="C419" s="123">
        <v>5</v>
      </c>
      <c r="D419" s="123">
        <v>0</v>
      </c>
      <c r="E419" s="123">
        <v>0</v>
      </c>
      <c r="F419" s="123">
        <v>0</v>
      </c>
      <c r="G419" s="123">
        <v>5</v>
      </c>
      <c r="H419" s="123">
        <v>0</v>
      </c>
      <c r="I419" s="123">
        <v>0</v>
      </c>
      <c r="J419" s="123">
        <v>0</v>
      </c>
      <c r="K419" s="123">
        <v>0</v>
      </c>
      <c r="L419" s="123">
        <v>0</v>
      </c>
      <c r="M419" s="123">
        <v>0</v>
      </c>
      <c r="N419" s="123">
        <v>0</v>
      </c>
      <c r="O419" s="123">
        <v>0</v>
      </c>
      <c r="P419" s="7" t="s">
        <v>163</v>
      </c>
      <c r="Q419" s="124"/>
      <c r="R419" s="1"/>
    </row>
    <row r="420" spans="1:18" ht="13.5" thickBot="1" x14ac:dyDescent="0.25">
      <c r="A420" s="123">
        <v>11</v>
      </c>
      <c r="B420" s="123">
        <v>0</v>
      </c>
      <c r="C420" s="123">
        <v>11</v>
      </c>
      <c r="D420" s="123">
        <v>0</v>
      </c>
      <c r="E420" s="123">
        <v>0</v>
      </c>
      <c r="F420" s="123">
        <v>0</v>
      </c>
      <c r="G420" s="123">
        <v>0</v>
      </c>
      <c r="H420" s="123">
        <v>0</v>
      </c>
      <c r="I420" s="123">
        <v>0</v>
      </c>
      <c r="J420" s="123">
        <v>0</v>
      </c>
      <c r="K420" s="123">
        <v>3</v>
      </c>
      <c r="L420" s="123">
        <v>0</v>
      </c>
      <c r="M420" s="123">
        <v>5</v>
      </c>
      <c r="N420" s="123">
        <v>0</v>
      </c>
      <c r="O420" s="123">
        <v>3</v>
      </c>
      <c r="P420" s="7" t="s">
        <v>162</v>
      </c>
      <c r="Q420" s="124" t="s">
        <v>633</v>
      </c>
      <c r="R420" s="1"/>
    </row>
    <row r="421" spans="1:18" ht="13.5" thickBot="1" x14ac:dyDescent="0.25">
      <c r="A421" s="123">
        <v>16</v>
      </c>
      <c r="B421" s="123">
        <v>0</v>
      </c>
      <c r="C421" s="123">
        <v>16</v>
      </c>
      <c r="D421" s="123">
        <v>0</v>
      </c>
      <c r="E421" s="123">
        <v>0</v>
      </c>
      <c r="F421" s="123">
        <v>0</v>
      </c>
      <c r="G421" s="123">
        <v>5</v>
      </c>
      <c r="H421" s="123">
        <v>0</v>
      </c>
      <c r="I421" s="123">
        <v>0</v>
      </c>
      <c r="J421" s="123">
        <v>0</v>
      </c>
      <c r="K421" s="123">
        <v>3</v>
      </c>
      <c r="L421" s="123">
        <v>0</v>
      </c>
      <c r="M421" s="123">
        <v>5</v>
      </c>
      <c r="N421" s="123">
        <v>0</v>
      </c>
      <c r="O421" s="123">
        <v>3</v>
      </c>
      <c r="P421" s="7" t="s">
        <v>13</v>
      </c>
      <c r="Q421" s="9"/>
      <c r="R421" s="1"/>
    </row>
    <row r="422" spans="1:18" ht="13.5" thickBot="1" x14ac:dyDescent="0.25">
      <c r="A422" s="123">
        <v>45</v>
      </c>
      <c r="B422" s="123">
        <v>43</v>
      </c>
      <c r="C422" s="123">
        <v>2</v>
      </c>
      <c r="D422" s="123">
        <v>0</v>
      </c>
      <c r="E422" s="123">
        <v>0</v>
      </c>
      <c r="F422" s="123">
        <v>18</v>
      </c>
      <c r="G422" s="123">
        <v>0</v>
      </c>
      <c r="H422" s="123">
        <v>22</v>
      </c>
      <c r="I422" s="123">
        <v>0</v>
      </c>
      <c r="J422" s="123">
        <v>2</v>
      </c>
      <c r="K422" s="123">
        <v>1</v>
      </c>
      <c r="L422" s="123">
        <v>1</v>
      </c>
      <c r="M422" s="123">
        <v>1</v>
      </c>
      <c r="N422" s="123">
        <v>0</v>
      </c>
      <c r="O422" s="123">
        <v>0</v>
      </c>
      <c r="P422" s="7" t="s">
        <v>163</v>
      </c>
      <c r="Q422" s="124"/>
      <c r="R422" s="1"/>
    </row>
    <row r="423" spans="1:18" ht="13.5" thickBot="1" x14ac:dyDescent="0.25">
      <c r="A423" s="123">
        <v>42</v>
      </c>
      <c r="B423" s="123">
        <v>23</v>
      </c>
      <c r="C423" s="123">
        <v>19</v>
      </c>
      <c r="D423" s="123">
        <v>0</v>
      </c>
      <c r="E423" s="123">
        <v>0</v>
      </c>
      <c r="F423" s="123">
        <v>0</v>
      </c>
      <c r="G423" s="123">
        <v>0</v>
      </c>
      <c r="H423" s="123">
        <v>3</v>
      </c>
      <c r="I423" s="123">
        <v>0</v>
      </c>
      <c r="J423" s="123">
        <v>19</v>
      </c>
      <c r="K423" s="123">
        <v>18</v>
      </c>
      <c r="L423" s="123">
        <v>1</v>
      </c>
      <c r="M423" s="123">
        <v>1</v>
      </c>
      <c r="N423" s="123">
        <v>0</v>
      </c>
      <c r="O423" s="123">
        <v>0</v>
      </c>
      <c r="P423" s="7" t="s">
        <v>162</v>
      </c>
      <c r="Q423" s="124" t="s">
        <v>407</v>
      </c>
      <c r="R423" s="1"/>
    </row>
    <row r="424" spans="1:18" ht="13.5" thickBot="1" x14ac:dyDescent="0.25">
      <c r="A424" s="123">
        <v>87</v>
      </c>
      <c r="B424" s="123">
        <v>66</v>
      </c>
      <c r="C424" s="123">
        <v>21</v>
      </c>
      <c r="D424" s="123">
        <v>0</v>
      </c>
      <c r="E424" s="123">
        <v>0</v>
      </c>
      <c r="F424" s="123">
        <v>18</v>
      </c>
      <c r="G424" s="123">
        <v>0</v>
      </c>
      <c r="H424" s="123">
        <v>25</v>
      </c>
      <c r="I424" s="123">
        <v>0</v>
      </c>
      <c r="J424" s="123">
        <v>21</v>
      </c>
      <c r="K424" s="123">
        <v>19</v>
      </c>
      <c r="L424" s="123">
        <v>2</v>
      </c>
      <c r="M424" s="123">
        <v>2</v>
      </c>
      <c r="N424" s="123">
        <v>0</v>
      </c>
      <c r="O424" s="123">
        <v>0</v>
      </c>
      <c r="P424" s="7" t="s">
        <v>13</v>
      </c>
      <c r="Q424" s="9"/>
      <c r="R424" s="1"/>
    </row>
    <row r="425" spans="1:18" ht="13.5" thickBot="1" x14ac:dyDescent="0.25">
      <c r="A425" s="123">
        <v>29</v>
      </c>
      <c r="B425" s="123">
        <v>29</v>
      </c>
      <c r="C425" s="123">
        <v>0</v>
      </c>
      <c r="D425" s="123">
        <v>0</v>
      </c>
      <c r="E425" s="123">
        <v>0</v>
      </c>
      <c r="F425" s="123">
        <v>12</v>
      </c>
      <c r="G425" s="123">
        <v>0</v>
      </c>
      <c r="H425" s="123">
        <v>12</v>
      </c>
      <c r="I425" s="123">
        <v>0</v>
      </c>
      <c r="J425" s="123">
        <v>5</v>
      </c>
      <c r="K425" s="123">
        <v>0</v>
      </c>
      <c r="L425" s="123">
        <v>0</v>
      </c>
      <c r="M425" s="123">
        <v>0</v>
      </c>
      <c r="N425" s="123">
        <v>0</v>
      </c>
      <c r="O425" s="123">
        <v>0</v>
      </c>
      <c r="P425" s="7" t="s">
        <v>163</v>
      </c>
      <c r="Q425" s="124"/>
      <c r="R425" s="1"/>
    </row>
    <row r="426" spans="1:18" ht="13.5" thickBot="1" x14ac:dyDescent="0.25">
      <c r="A426" s="123">
        <v>28</v>
      </c>
      <c r="B426" s="123">
        <v>16</v>
      </c>
      <c r="C426" s="123">
        <v>12</v>
      </c>
      <c r="D426" s="123">
        <v>0</v>
      </c>
      <c r="E426" s="123">
        <v>0</v>
      </c>
      <c r="F426" s="123">
        <v>0</v>
      </c>
      <c r="G426" s="123">
        <v>0</v>
      </c>
      <c r="H426" s="123">
        <v>5</v>
      </c>
      <c r="I426" s="123">
        <v>0</v>
      </c>
      <c r="J426" s="123">
        <v>11</v>
      </c>
      <c r="K426" s="123">
        <v>10</v>
      </c>
      <c r="L426" s="123">
        <v>0</v>
      </c>
      <c r="M426" s="123">
        <v>1</v>
      </c>
      <c r="N426" s="123">
        <v>0</v>
      </c>
      <c r="O426" s="123">
        <v>1</v>
      </c>
      <c r="P426" s="7" t="s">
        <v>162</v>
      </c>
      <c r="Q426" s="124" t="s">
        <v>408</v>
      </c>
      <c r="R426" s="1"/>
    </row>
    <row r="427" spans="1:18" ht="13.5" thickBot="1" x14ac:dyDescent="0.25">
      <c r="A427" s="123">
        <v>57</v>
      </c>
      <c r="B427" s="123">
        <v>45</v>
      </c>
      <c r="C427" s="123">
        <v>12</v>
      </c>
      <c r="D427" s="123">
        <v>0</v>
      </c>
      <c r="E427" s="123">
        <v>0</v>
      </c>
      <c r="F427" s="123">
        <v>12</v>
      </c>
      <c r="G427" s="123">
        <v>0</v>
      </c>
      <c r="H427" s="123">
        <v>17</v>
      </c>
      <c r="I427" s="123">
        <v>0</v>
      </c>
      <c r="J427" s="123">
        <v>16</v>
      </c>
      <c r="K427" s="123">
        <v>10</v>
      </c>
      <c r="L427" s="123">
        <v>0</v>
      </c>
      <c r="M427" s="123">
        <v>1</v>
      </c>
      <c r="N427" s="123">
        <v>0</v>
      </c>
      <c r="O427" s="123">
        <v>1</v>
      </c>
      <c r="P427" s="7" t="s">
        <v>13</v>
      </c>
      <c r="Q427" s="9"/>
      <c r="R427" s="1"/>
    </row>
    <row r="428" spans="1:18" ht="13.5" thickBot="1" x14ac:dyDescent="0.25">
      <c r="A428" s="123">
        <v>15</v>
      </c>
      <c r="B428" s="123">
        <v>15</v>
      </c>
      <c r="C428" s="123">
        <v>0</v>
      </c>
      <c r="D428" s="123">
        <v>9</v>
      </c>
      <c r="E428" s="123">
        <v>0</v>
      </c>
      <c r="F428" s="123">
        <v>6</v>
      </c>
      <c r="G428" s="123">
        <v>0</v>
      </c>
      <c r="H428" s="123">
        <v>0</v>
      </c>
      <c r="I428" s="123">
        <v>0</v>
      </c>
      <c r="J428" s="123">
        <v>0</v>
      </c>
      <c r="K428" s="123">
        <v>0</v>
      </c>
      <c r="L428" s="123">
        <v>0</v>
      </c>
      <c r="M428" s="123">
        <v>0</v>
      </c>
      <c r="N428" s="123">
        <v>0</v>
      </c>
      <c r="O428" s="123">
        <v>0</v>
      </c>
      <c r="P428" s="7" t="s">
        <v>163</v>
      </c>
      <c r="Q428" s="124"/>
      <c r="R428" s="1"/>
    </row>
    <row r="429" spans="1:18" ht="13.5" thickBot="1" x14ac:dyDescent="0.25">
      <c r="A429" s="123">
        <v>26</v>
      </c>
      <c r="B429" s="123">
        <v>19</v>
      </c>
      <c r="C429" s="123">
        <v>7</v>
      </c>
      <c r="D429" s="123">
        <v>0</v>
      </c>
      <c r="E429" s="123">
        <v>0</v>
      </c>
      <c r="F429" s="123">
        <v>0</v>
      </c>
      <c r="G429" s="123">
        <v>0</v>
      </c>
      <c r="H429" s="123">
        <v>12</v>
      </c>
      <c r="I429" s="123">
        <v>0</v>
      </c>
      <c r="J429" s="123">
        <v>7</v>
      </c>
      <c r="K429" s="123">
        <v>7</v>
      </c>
      <c r="L429" s="123">
        <v>0</v>
      </c>
      <c r="M429" s="123">
        <v>0</v>
      </c>
      <c r="N429" s="123">
        <v>0</v>
      </c>
      <c r="O429" s="123">
        <v>0</v>
      </c>
      <c r="P429" s="7" t="s">
        <v>162</v>
      </c>
      <c r="Q429" s="124" t="s">
        <v>409</v>
      </c>
      <c r="R429" s="1"/>
    </row>
    <row r="430" spans="1:18" ht="13.5" thickBot="1" x14ac:dyDescent="0.25">
      <c r="A430" s="123">
        <v>41</v>
      </c>
      <c r="B430" s="123">
        <v>34</v>
      </c>
      <c r="C430" s="123">
        <v>7</v>
      </c>
      <c r="D430" s="123">
        <v>9</v>
      </c>
      <c r="E430" s="123">
        <v>0</v>
      </c>
      <c r="F430" s="123">
        <v>6</v>
      </c>
      <c r="G430" s="123">
        <v>0</v>
      </c>
      <c r="H430" s="123">
        <v>12</v>
      </c>
      <c r="I430" s="123">
        <v>0</v>
      </c>
      <c r="J430" s="123">
        <v>7</v>
      </c>
      <c r="K430" s="123">
        <v>7</v>
      </c>
      <c r="L430" s="123">
        <v>0</v>
      </c>
      <c r="M430" s="123">
        <v>0</v>
      </c>
      <c r="N430" s="123">
        <v>0</v>
      </c>
      <c r="O430" s="123">
        <v>0</v>
      </c>
      <c r="P430" s="7" t="s">
        <v>13</v>
      </c>
      <c r="Q430" s="9"/>
      <c r="R430" s="1"/>
    </row>
    <row r="431" spans="1:18" ht="13.5" thickBot="1" x14ac:dyDescent="0.25">
      <c r="A431" s="123">
        <v>10</v>
      </c>
      <c r="B431" s="123">
        <v>10</v>
      </c>
      <c r="C431" s="123">
        <v>0</v>
      </c>
      <c r="D431" s="123">
        <v>0</v>
      </c>
      <c r="E431" s="123">
        <v>0</v>
      </c>
      <c r="F431" s="123">
        <v>9</v>
      </c>
      <c r="G431" s="123">
        <v>0</v>
      </c>
      <c r="H431" s="123">
        <v>0</v>
      </c>
      <c r="I431" s="123">
        <v>0</v>
      </c>
      <c r="J431" s="123">
        <v>1</v>
      </c>
      <c r="K431" s="123">
        <v>0</v>
      </c>
      <c r="L431" s="123">
        <v>0</v>
      </c>
      <c r="M431" s="123">
        <v>0</v>
      </c>
      <c r="N431" s="123">
        <v>0</v>
      </c>
      <c r="O431" s="123">
        <v>0</v>
      </c>
      <c r="P431" s="7" t="s">
        <v>163</v>
      </c>
      <c r="Q431" s="124"/>
      <c r="R431" s="1"/>
    </row>
    <row r="432" spans="1:18" ht="13.5" thickBot="1" x14ac:dyDescent="0.25">
      <c r="A432" s="123">
        <v>39</v>
      </c>
      <c r="B432" s="123">
        <v>25</v>
      </c>
      <c r="C432" s="123">
        <v>14</v>
      </c>
      <c r="D432" s="123">
        <v>0</v>
      </c>
      <c r="E432" s="123">
        <v>0</v>
      </c>
      <c r="F432" s="123">
        <v>0</v>
      </c>
      <c r="G432" s="123">
        <v>0</v>
      </c>
      <c r="H432" s="123">
        <v>16</v>
      </c>
      <c r="I432" s="123">
        <v>1</v>
      </c>
      <c r="J432" s="123">
        <v>9</v>
      </c>
      <c r="K432" s="123">
        <v>12</v>
      </c>
      <c r="L432" s="123">
        <v>0</v>
      </c>
      <c r="M432" s="123">
        <v>1</v>
      </c>
      <c r="N432" s="123">
        <v>0</v>
      </c>
      <c r="O432" s="123">
        <v>0</v>
      </c>
      <c r="P432" s="7" t="s">
        <v>162</v>
      </c>
      <c r="Q432" s="124" t="s">
        <v>410</v>
      </c>
      <c r="R432" s="1"/>
    </row>
    <row r="433" spans="1:18" ht="13.5" thickBot="1" x14ac:dyDescent="0.25">
      <c r="A433" s="123">
        <v>49</v>
      </c>
      <c r="B433" s="123">
        <v>35</v>
      </c>
      <c r="C433" s="123">
        <v>14</v>
      </c>
      <c r="D433" s="123">
        <v>0</v>
      </c>
      <c r="E433" s="123">
        <v>0</v>
      </c>
      <c r="F433" s="123">
        <v>9</v>
      </c>
      <c r="G433" s="123">
        <v>0</v>
      </c>
      <c r="H433" s="123">
        <v>16</v>
      </c>
      <c r="I433" s="123">
        <v>1</v>
      </c>
      <c r="J433" s="123">
        <v>10</v>
      </c>
      <c r="K433" s="123">
        <v>12</v>
      </c>
      <c r="L433" s="123">
        <v>0</v>
      </c>
      <c r="M433" s="123">
        <v>1</v>
      </c>
      <c r="N433" s="123">
        <v>0</v>
      </c>
      <c r="O433" s="123">
        <v>0</v>
      </c>
      <c r="P433" s="7" t="s">
        <v>13</v>
      </c>
      <c r="Q433" s="9"/>
      <c r="R433" s="1"/>
    </row>
    <row r="434" spans="1:18" ht="13.5" thickBot="1" x14ac:dyDescent="0.25">
      <c r="A434" s="123">
        <v>125</v>
      </c>
      <c r="B434" s="123">
        <v>125</v>
      </c>
      <c r="C434" s="123">
        <v>0</v>
      </c>
      <c r="D434" s="123">
        <v>2</v>
      </c>
      <c r="E434" s="123">
        <v>0</v>
      </c>
      <c r="F434" s="123">
        <v>16</v>
      </c>
      <c r="G434" s="123">
        <v>0</v>
      </c>
      <c r="H434" s="123">
        <v>44</v>
      </c>
      <c r="I434" s="123">
        <v>0</v>
      </c>
      <c r="J434" s="123">
        <v>59</v>
      </c>
      <c r="K434" s="123">
        <v>0</v>
      </c>
      <c r="L434" s="123">
        <v>2</v>
      </c>
      <c r="M434" s="123">
        <v>0</v>
      </c>
      <c r="N434" s="123">
        <v>2</v>
      </c>
      <c r="O434" s="123">
        <v>0</v>
      </c>
      <c r="P434" s="7" t="s">
        <v>163</v>
      </c>
      <c r="Q434" s="124"/>
      <c r="R434" s="1"/>
    </row>
    <row r="435" spans="1:18" ht="13.5" thickBot="1" x14ac:dyDescent="0.25">
      <c r="A435" s="123">
        <v>50</v>
      </c>
      <c r="B435" s="123">
        <v>24</v>
      </c>
      <c r="C435" s="123">
        <v>26</v>
      </c>
      <c r="D435" s="123">
        <v>10</v>
      </c>
      <c r="E435" s="123">
        <v>0</v>
      </c>
      <c r="F435" s="123">
        <v>0</v>
      </c>
      <c r="G435" s="123">
        <v>0</v>
      </c>
      <c r="H435" s="123">
        <v>2</v>
      </c>
      <c r="I435" s="123">
        <v>0</v>
      </c>
      <c r="J435" s="123">
        <v>8</v>
      </c>
      <c r="K435" s="123">
        <v>10</v>
      </c>
      <c r="L435" s="123">
        <v>3</v>
      </c>
      <c r="M435" s="123">
        <v>11</v>
      </c>
      <c r="N435" s="123">
        <v>1</v>
      </c>
      <c r="O435" s="123">
        <v>5</v>
      </c>
      <c r="P435" s="7" t="s">
        <v>162</v>
      </c>
      <c r="Q435" s="124" t="s">
        <v>411</v>
      </c>
      <c r="R435" s="1"/>
    </row>
    <row r="436" spans="1:18" ht="13.5" thickBot="1" x14ac:dyDescent="0.25">
      <c r="A436" s="123">
        <v>175</v>
      </c>
      <c r="B436" s="123">
        <v>149</v>
      </c>
      <c r="C436" s="123">
        <v>26</v>
      </c>
      <c r="D436" s="123">
        <v>12</v>
      </c>
      <c r="E436" s="123">
        <v>0</v>
      </c>
      <c r="F436" s="123">
        <v>16</v>
      </c>
      <c r="G436" s="123">
        <v>0</v>
      </c>
      <c r="H436" s="123">
        <v>46</v>
      </c>
      <c r="I436" s="123">
        <v>0</v>
      </c>
      <c r="J436" s="123">
        <v>67</v>
      </c>
      <c r="K436" s="123">
        <v>10</v>
      </c>
      <c r="L436" s="123">
        <v>5</v>
      </c>
      <c r="M436" s="123">
        <v>11</v>
      </c>
      <c r="N436" s="123">
        <v>3</v>
      </c>
      <c r="O436" s="123">
        <v>5</v>
      </c>
      <c r="P436" s="7" t="s">
        <v>13</v>
      </c>
      <c r="Q436" s="9"/>
      <c r="R436" s="1"/>
    </row>
    <row r="437" spans="1:18" ht="13.5" thickBot="1" x14ac:dyDescent="0.25">
      <c r="A437" s="123">
        <v>6</v>
      </c>
      <c r="B437" s="123">
        <v>6</v>
      </c>
      <c r="C437" s="123">
        <v>0</v>
      </c>
      <c r="D437" s="123">
        <v>0</v>
      </c>
      <c r="E437" s="123">
        <v>0</v>
      </c>
      <c r="F437" s="123">
        <v>4</v>
      </c>
      <c r="G437" s="123">
        <v>0</v>
      </c>
      <c r="H437" s="123">
        <v>0</v>
      </c>
      <c r="I437" s="123">
        <v>0</v>
      </c>
      <c r="J437" s="123">
        <v>2</v>
      </c>
      <c r="K437" s="123">
        <v>0</v>
      </c>
      <c r="L437" s="123">
        <v>0</v>
      </c>
      <c r="M437" s="123">
        <v>0</v>
      </c>
      <c r="N437" s="123">
        <v>0</v>
      </c>
      <c r="O437" s="123">
        <v>0</v>
      </c>
      <c r="P437" s="7" t="s">
        <v>163</v>
      </c>
      <c r="Q437" s="124"/>
      <c r="R437" s="1"/>
    </row>
    <row r="438" spans="1:18" ht="13.5" thickBot="1" x14ac:dyDescent="0.25">
      <c r="A438" s="123">
        <v>3</v>
      </c>
      <c r="B438" s="123">
        <v>3</v>
      </c>
      <c r="C438" s="123">
        <v>0</v>
      </c>
      <c r="D438" s="123">
        <v>0</v>
      </c>
      <c r="E438" s="123">
        <v>0</v>
      </c>
      <c r="F438" s="123">
        <v>0</v>
      </c>
      <c r="G438" s="123">
        <v>0</v>
      </c>
      <c r="H438" s="123">
        <v>3</v>
      </c>
      <c r="I438" s="123">
        <v>0</v>
      </c>
      <c r="J438" s="123">
        <v>0</v>
      </c>
      <c r="K438" s="123">
        <v>0</v>
      </c>
      <c r="L438" s="123">
        <v>0</v>
      </c>
      <c r="M438" s="123">
        <v>0</v>
      </c>
      <c r="N438" s="123">
        <v>0</v>
      </c>
      <c r="O438" s="123">
        <v>0</v>
      </c>
      <c r="P438" s="7" t="s">
        <v>162</v>
      </c>
      <c r="Q438" s="124" t="s">
        <v>100</v>
      </c>
      <c r="R438" s="1"/>
    </row>
    <row r="439" spans="1:18" ht="13.5" thickBot="1" x14ac:dyDescent="0.25">
      <c r="A439" s="123">
        <v>9</v>
      </c>
      <c r="B439" s="123">
        <v>9</v>
      </c>
      <c r="C439" s="123">
        <v>0</v>
      </c>
      <c r="D439" s="123">
        <v>0</v>
      </c>
      <c r="E439" s="123">
        <v>0</v>
      </c>
      <c r="F439" s="123">
        <v>4</v>
      </c>
      <c r="G439" s="123">
        <v>0</v>
      </c>
      <c r="H439" s="123">
        <v>3</v>
      </c>
      <c r="I439" s="123">
        <v>0</v>
      </c>
      <c r="J439" s="123">
        <v>2</v>
      </c>
      <c r="K439" s="123">
        <v>0</v>
      </c>
      <c r="L439" s="123">
        <v>0</v>
      </c>
      <c r="M439" s="123">
        <v>0</v>
      </c>
      <c r="N439" s="123">
        <v>0</v>
      </c>
      <c r="O439" s="123">
        <v>0</v>
      </c>
      <c r="P439" s="7" t="s">
        <v>13</v>
      </c>
      <c r="Q439" s="9"/>
      <c r="R439" s="1"/>
    </row>
    <row r="440" spans="1:18" ht="13.5" thickBot="1" x14ac:dyDescent="0.25">
      <c r="A440" s="123">
        <v>7</v>
      </c>
      <c r="B440" s="123">
        <v>7</v>
      </c>
      <c r="C440" s="123">
        <v>0</v>
      </c>
      <c r="D440" s="123">
        <v>5</v>
      </c>
      <c r="E440" s="123">
        <v>0</v>
      </c>
      <c r="F440" s="123">
        <v>0</v>
      </c>
      <c r="G440" s="123">
        <v>0</v>
      </c>
      <c r="H440" s="123">
        <v>2</v>
      </c>
      <c r="I440" s="123">
        <v>0</v>
      </c>
      <c r="J440" s="123">
        <v>0</v>
      </c>
      <c r="K440" s="123">
        <v>0</v>
      </c>
      <c r="L440" s="123">
        <v>0</v>
      </c>
      <c r="M440" s="123">
        <v>0</v>
      </c>
      <c r="N440" s="123">
        <v>0</v>
      </c>
      <c r="O440" s="123">
        <v>0</v>
      </c>
      <c r="P440" s="7" t="s">
        <v>163</v>
      </c>
      <c r="Q440" s="124"/>
      <c r="R440" s="1"/>
    </row>
    <row r="441" spans="1:18" ht="13.5" thickBot="1" x14ac:dyDescent="0.25">
      <c r="A441" s="123">
        <v>3</v>
      </c>
      <c r="B441" s="123">
        <v>3</v>
      </c>
      <c r="C441" s="123">
        <v>0</v>
      </c>
      <c r="D441" s="123">
        <v>0</v>
      </c>
      <c r="E441" s="123">
        <v>0</v>
      </c>
      <c r="F441" s="123">
        <v>0</v>
      </c>
      <c r="G441" s="123">
        <v>0</v>
      </c>
      <c r="H441" s="123">
        <v>3</v>
      </c>
      <c r="I441" s="123">
        <v>0</v>
      </c>
      <c r="J441" s="123">
        <v>0</v>
      </c>
      <c r="K441" s="123">
        <v>0</v>
      </c>
      <c r="L441" s="123">
        <v>0</v>
      </c>
      <c r="M441" s="123">
        <v>0</v>
      </c>
      <c r="N441" s="123">
        <v>0</v>
      </c>
      <c r="O441" s="123">
        <v>0</v>
      </c>
      <c r="P441" s="7" t="s">
        <v>162</v>
      </c>
      <c r="Q441" s="124" t="s">
        <v>101</v>
      </c>
      <c r="R441" s="1"/>
    </row>
    <row r="442" spans="1:18" ht="13.5" thickBot="1" x14ac:dyDescent="0.25">
      <c r="A442" s="123">
        <v>10</v>
      </c>
      <c r="B442" s="123">
        <v>10</v>
      </c>
      <c r="C442" s="123">
        <v>0</v>
      </c>
      <c r="D442" s="123">
        <v>5</v>
      </c>
      <c r="E442" s="123">
        <v>0</v>
      </c>
      <c r="F442" s="123">
        <v>0</v>
      </c>
      <c r="G442" s="123">
        <v>0</v>
      </c>
      <c r="H442" s="123">
        <v>5</v>
      </c>
      <c r="I442" s="123">
        <v>0</v>
      </c>
      <c r="J442" s="123">
        <v>0</v>
      </c>
      <c r="K442" s="123">
        <v>0</v>
      </c>
      <c r="L442" s="123">
        <v>0</v>
      </c>
      <c r="M442" s="123">
        <v>0</v>
      </c>
      <c r="N442" s="123">
        <v>0</v>
      </c>
      <c r="O442" s="123">
        <v>0</v>
      </c>
      <c r="P442" s="7" t="s">
        <v>13</v>
      </c>
      <c r="Q442" s="9"/>
      <c r="R442" s="1"/>
    </row>
    <row r="443" spans="1:18" ht="13.5" thickBot="1" x14ac:dyDescent="0.25">
      <c r="A443" s="123">
        <v>11</v>
      </c>
      <c r="B443" s="123">
        <v>11</v>
      </c>
      <c r="C443" s="123">
        <v>0</v>
      </c>
      <c r="D443" s="123">
        <v>0</v>
      </c>
      <c r="E443" s="123">
        <v>0</v>
      </c>
      <c r="F443" s="123">
        <v>9</v>
      </c>
      <c r="G443" s="123">
        <v>0</v>
      </c>
      <c r="H443" s="123">
        <v>2</v>
      </c>
      <c r="I443" s="123">
        <v>0</v>
      </c>
      <c r="J443" s="123">
        <v>0</v>
      </c>
      <c r="K443" s="123">
        <v>0</v>
      </c>
      <c r="L443" s="123">
        <v>0</v>
      </c>
      <c r="M443" s="123">
        <v>0</v>
      </c>
      <c r="N443" s="123">
        <v>0</v>
      </c>
      <c r="O443" s="123">
        <v>0</v>
      </c>
      <c r="P443" s="7" t="s">
        <v>163</v>
      </c>
      <c r="Q443" s="124"/>
      <c r="R443" s="1"/>
    </row>
    <row r="444" spans="1:18" ht="13.5" thickBot="1" x14ac:dyDescent="0.25">
      <c r="A444" s="123">
        <v>19</v>
      </c>
      <c r="B444" s="123">
        <v>16</v>
      </c>
      <c r="C444" s="123">
        <v>3</v>
      </c>
      <c r="D444" s="123">
        <v>0</v>
      </c>
      <c r="E444" s="123">
        <v>0</v>
      </c>
      <c r="F444" s="123">
        <v>0</v>
      </c>
      <c r="G444" s="123">
        <v>0</v>
      </c>
      <c r="H444" s="123">
        <v>8</v>
      </c>
      <c r="I444" s="123">
        <v>0</v>
      </c>
      <c r="J444" s="123">
        <v>7</v>
      </c>
      <c r="K444" s="123">
        <v>3</v>
      </c>
      <c r="L444" s="123">
        <v>0</v>
      </c>
      <c r="M444" s="123">
        <v>0</v>
      </c>
      <c r="N444" s="123">
        <v>1</v>
      </c>
      <c r="O444" s="123">
        <v>0</v>
      </c>
      <c r="P444" s="7" t="s">
        <v>162</v>
      </c>
      <c r="Q444" s="124" t="s">
        <v>412</v>
      </c>
      <c r="R444" s="1"/>
    </row>
    <row r="445" spans="1:18" ht="13.5" thickBot="1" x14ac:dyDescent="0.25">
      <c r="A445" s="123">
        <v>30</v>
      </c>
      <c r="B445" s="123">
        <v>27</v>
      </c>
      <c r="C445" s="123">
        <v>3</v>
      </c>
      <c r="D445" s="123">
        <v>0</v>
      </c>
      <c r="E445" s="123">
        <v>0</v>
      </c>
      <c r="F445" s="123">
        <v>9</v>
      </c>
      <c r="G445" s="123">
        <v>0</v>
      </c>
      <c r="H445" s="123">
        <v>10</v>
      </c>
      <c r="I445" s="123">
        <v>0</v>
      </c>
      <c r="J445" s="123">
        <v>7</v>
      </c>
      <c r="K445" s="123">
        <v>3</v>
      </c>
      <c r="L445" s="123">
        <v>0</v>
      </c>
      <c r="M445" s="123">
        <v>0</v>
      </c>
      <c r="N445" s="123">
        <v>1</v>
      </c>
      <c r="O445" s="123">
        <v>0</v>
      </c>
      <c r="P445" s="7" t="s">
        <v>13</v>
      </c>
      <c r="Q445" s="9"/>
      <c r="R445" s="1"/>
    </row>
    <row r="446" spans="1:18" ht="13.5" thickBot="1" x14ac:dyDescent="0.25">
      <c r="A446" s="123">
        <v>110</v>
      </c>
      <c r="B446" s="123">
        <v>110</v>
      </c>
      <c r="C446" s="123">
        <v>0</v>
      </c>
      <c r="D446" s="123">
        <v>0</v>
      </c>
      <c r="E446" s="123">
        <v>0</v>
      </c>
      <c r="F446" s="123">
        <v>17</v>
      </c>
      <c r="G446" s="123">
        <v>0</v>
      </c>
      <c r="H446" s="123">
        <v>43</v>
      </c>
      <c r="I446" s="123">
        <v>0</v>
      </c>
      <c r="J446" s="123">
        <v>44</v>
      </c>
      <c r="K446" s="123">
        <v>0</v>
      </c>
      <c r="L446" s="123">
        <v>5</v>
      </c>
      <c r="M446" s="123">
        <v>0</v>
      </c>
      <c r="N446" s="123">
        <v>1</v>
      </c>
      <c r="O446" s="123">
        <v>0</v>
      </c>
      <c r="P446" s="7" t="s">
        <v>163</v>
      </c>
      <c r="Q446" s="124"/>
      <c r="R446" s="1"/>
    </row>
    <row r="447" spans="1:18" ht="13.5" thickBot="1" x14ac:dyDescent="0.25">
      <c r="A447" s="123">
        <v>43</v>
      </c>
      <c r="B447" s="123">
        <v>26</v>
      </c>
      <c r="C447" s="123">
        <v>17</v>
      </c>
      <c r="D447" s="123">
        <v>0</v>
      </c>
      <c r="E447" s="123">
        <v>0</v>
      </c>
      <c r="F447" s="123">
        <v>0</v>
      </c>
      <c r="G447" s="123">
        <v>0</v>
      </c>
      <c r="H447" s="123">
        <v>3</v>
      </c>
      <c r="I447" s="123">
        <v>0</v>
      </c>
      <c r="J447" s="123">
        <v>6</v>
      </c>
      <c r="K447" s="123">
        <v>8</v>
      </c>
      <c r="L447" s="123">
        <v>8</v>
      </c>
      <c r="M447" s="123">
        <v>4</v>
      </c>
      <c r="N447" s="123">
        <v>9</v>
      </c>
      <c r="O447" s="123">
        <v>5</v>
      </c>
      <c r="P447" s="7" t="s">
        <v>162</v>
      </c>
      <c r="Q447" s="124" t="s">
        <v>413</v>
      </c>
      <c r="R447" s="1"/>
    </row>
    <row r="448" spans="1:18" ht="13.5" thickBot="1" x14ac:dyDescent="0.25">
      <c r="A448" s="123">
        <v>153</v>
      </c>
      <c r="B448" s="123">
        <v>136</v>
      </c>
      <c r="C448" s="123">
        <v>17</v>
      </c>
      <c r="D448" s="123">
        <v>0</v>
      </c>
      <c r="E448" s="123">
        <v>0</v>
      </c>
      <c r="F448" s="123">
        <v>17</v>
      </c>
      <c r="G448" s="123">
        <v>0</v>
      </c>
      <c r="H448" s="123">
        <v>46</v>
      </c>
      <c r="I448" s="123">
        <v>0</v>
      </c>
      <c r="J448" s="123">
        <v>50</v>
      </c>
      <c r="K448" s="123">
        <v>8</v>
      </c>
      <c r="L448" s="123">
        <v>13</v>
      </c>
      <c r="M448" s="123">
        <v>4</v>
      </c>
      <c r="N448" s="123">
        <v>10</v>
      </c>
      <c r="O448" s="123">
        <v>5</v>
      </c>
      <c r="P448" s="7" t="s">
        <v>13</v>
      </c>
      <c r="Q448" s="9"/>
      <c r="R448" s="1"/>
    </row>
    <row r="449" spans="1:18" ht="13.5" thickBot="1" x14ac:dyDescent="0.25">
      <c r="A449" s="123">
        <v>5</v>
      </c>
      <c r="B449" s="123">
        <v>5</v>
      </c>
      <c r="C449" s="123">
        <v>0</v>
      </c>
      <c r="D449" s="123">
        <v>0</v>
      </c>
      <c r="E449" s="123">
        <v>0</v>
      </c>
      <c r="F449" s="123">
        <v>5</v>
      </c>
      <c r="G449" s="123">
        <v>0</v>
      </c>
      <c r="H449" s="123">
        <v>0</v>
      </c>
      <c r="I449" s="123">
        <v>0</v>
      </c>
      <c r="J449" s="123">
        <v>0</v>
      </c>
      <c r="K449" s="123">
        <v>0</v>
      </c>
      <c r="L449" s="123">
        <v>0</v>
      </c>
      <c r="M449" s="123">
        <v>0</v>
      </c>
      <c r="N449" s="123">
        <v>0</v>
      </c>
      <c r="O449" s="123">
        <v>0</v>
      </c>
      <c r="P449" s="7" t="s">
        <v>163</v>
      </c>
      <c r="Q449" s="124"/>
      <c r="R449" s="1"/>
    </row>
    <row r="450" spans="1:18" ht="13.5" thickBot="1" x14ac:dyDescent="0.25">
      <c r="A450" s="123">
        <v>33</v>
      </c>
      <c r="B450" s="123">
        <v>27</v>
      </c>
      <c r="C450" s="123">
        <v>6</v>
      </c>
      <c r="D450" s="123">
        <v>0</v>
      </c>
      <c r="E450" s="123">
        <v>0</v>
      </c>
      <c r="F450" s="123">
        <v>0</v>
      </c>
      <c r="G450" s="123">
        <v>0</v>
      </c>
      <c r="H450" s="123">
        <v>22</v>
      </c>
      <c r="I450" s="123">
        <v>1</v>
      </c>
      <c r="J450" s="123">
        <v>5</v>
      </c>
      <c r="K450" s="123">
        <v>5</v>
      </c>
      <c r="L450" s="123">
        <v>0</v>
      </c>
      <c r="M450" s="123">
        <v>0</v>
      </c>
      <c r="N450" s="123">
        <v>0</v>
      </c>
      <c r="O450" s="123">
        <v>0</v>
      </c>
      <c r="P450" s="7" t="s">
        <v>162</v>
      </c>
      <c r="Q450" s="124" t="s">
        <v>414</v>
      </c>
      <c r="R450" s="1"/>
    </row>
    <row r="451" spans="1:18" ht="13.5" thickBot="1" x14ac:dyDescent="0.25">
      <c r="A451" s="123">
        <v>38</v>
      </c>
      <c r="B451" s="123">
        <v>32</v>
      </c>
      <c r="C451" s="123">
        <v>6</v>
      </c>
      <c r="D451" s="123">
        <v>0</v>
      </c>
      <c r="E451" s="123">
        <v>0</v>
      </c>
      <c r="F451" s="123">
        <v>5</v>
      </c>
      <c r="G451" s="123">
        <v>0</v>
      </c>
      <c r="H451" s="123">
        <v>22</v>
      </c>
      <c r="I451" s="123">
        <v>1</v>
      </c>
      <c r="J451" s="123">
        <v>5</v>
      </c>
      <c r="K451" s="123">
        <v>5</v>
      </c>
      <c r="L451" s="123">
        <v>0</v>
      </c>
      <c r="M451" s="123">
        <v>0</v>
      </c>
      <c r="N451" s="123">
        <v>0</v>
      </c>
      <c r="O451" s="123">
        <v>0</v>
      </c>
      <c r="P451" s="7" t="s">
        <v>13</v>
      </c>
      <c r="Q451" s="9"/>
      <c r="R451" s="1"/>
    </row>
    <row r="452" spans="1:18" ht="13.5" thickBot="1" x14ac:dyDescent="0.25">
      <c r="A452" s="123">
        <v>45</v>
      </c>
      <c r="B452" s="123">
        <v>45</v>
      </c>
      <c r="C452" s="123">
        <v>0</v>
      </c>
      <c r="D452" s="123">
        <v>10</v>
      </c>
      <c r="E452" s="123">
        <v>0</v>
      </c>
      <c r="F452" s="123">
        <v>29</v>
      </c>
      <c r="G452" s="123">
        <v>0</v>
      </c>
      <c r="H452" s="123">
        <v>6</v>
      </c>
      <c r="I452" s="123">
        <v>0</v>
      </c>
      <c r="J452" s="123">
        <v>0</v>
      </c>
      <c r="K452" s="123">
        <v>0</v>
      </c>
      <c r="L452" s="123">
        <v>0</v>
      </c>
      <c r="M452" s="123">
        <v>0</v>
      </c>
      <c r="N452" s="123">
        <v>0</v>
      </c>
      <c r="O452" s="123">
        <v>0</v>
      </c>
      <c r="P452" s="7" t="s">
        <v>163</v>
      </c>
      <c r="Q452" s="124"/>
      <c r="R452" s="1"/>
    </row>
    <row r="453" spans="1:18" ht="13.5" thickBot="1" x14ac:dyDescent="0.25">
      <c r="A453" s="123">
        <v>34</v>
      </c>
      <c r="B453" s="123">
        <v>27</v>
      </c>
      <c r="C453" s="123">
        <v>7</v>
      </c>
      <c r="D453" s="123">
        <v>0</v>
      </c>
      <c r="E453" s="123">
        <v>0</v>
      </c>
      <c r="F453" s="123">
        <v>1</v>
      </c>
      <c r="G453" s="123">
        <v>0</v>
      </c>
      <c r="H453" s="123">
        <v>2</v>
      </c>
      <c r="I453" s="123">
        <v>0</v>
      </c>
      <c r="J453" s="123">
        <v>21</v>
      </c>
      <c r="K453" s="123">
        <v>5</v>
      </c>
      <c r="L453" s="123">
        <v>3</v>
      </c>
      <c r="M453" s="123">
        <v>1</v>
      </c>
      <c r="N453" s="123">
        <v>0</v>
      </c>
      <c r="O453" s="123">
        <v>1</v>
      </c>
      <c r="P453" s="7" t="s">
        <v>162</v>
      </c>
      <c r="Q453" s="124" t="s">
        <v>415</v>
      </c>
      <c r="R453" s="1"/>
    </row>
    <row r="454" spans="1:18" ht="13.5" thickBot="1" x14ac:dyDescent="0.25">
      <c r="A454" s="123">
        <v>79</v>
      </c>
      <c r="B454" s="123">
        <v>72</v>
      </c>
      <c r="C454" s="123">
        <v>7</v>
      </c>
      <c r="D454" s="123">
        <v>10</v>
      </c>
      <c r="E454" s="123">
        <v>0</v>
      </c>
      <c r="F454" s="123">
        <v>30</v>
      </c>
      <c r="G454" s="123">
        <v>0</v>
      </c>
      <c r="H454" s="123">
        <v>8</v>
      </c>
      <c r="I454" s="123">
        <v>0</v>
      </c>
      <c r="J454" s="123">
        <v>21</v>
      </c>
      <c r="K454" s="123">
        <v>5</v>
      </c>
      <c r="L454" s="123">
        <v>3</v>
      </c>
      <c r="M454" s="123">
        <v>1</v>
      </c>
      <c r="N454" s="123">
        <v>0</v>
      </c>
      <c r="O454" s="123">
        <v>1</v>
      </c>
      <c r="P454" s="7" t="s">
        <v>13</v>
      </c>
      <c r="Q454" s="9"/>
      <c r="R454" s="1"/>
    </row>
    <row r="455" spans="1:18" ht="13.5" thickBot="1" x14ac:dyDescent="0.25">
      <c r="A455" s="123">
        <v>18</v>
      </c>
      <c r="B455" s="123">
        <v>18</v>
      </c>
      <c r="C455" s="123">
        <v>0</v>
      </c>
      <c r="D455" s="123">
        <v>11</v>
      </c>
      <c r="E455" s="123">
        <v>0</v>
      </c>
      <c r="F455" s="123">
        <v>4</v>
      </c>
      <c r="G455" s="123">
        <v>0</v>
      </c>
      <c r="H455" s="123">
        <v>2</v>
      </c>
      <c r="I455" s="123">
        <v>0</v>
      </c>
      <c r="J455" s="123">
        <v>1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7" t="s">
        <v>163</v>
      </c>
      <c r="Q455" s="124"/>
      <c r="R455" s="1"/>
    </row>
    <row r="456" spans="1:18" ht="13.5" thickBot="1" x14ac:dyDescent="0.25">
      <c r="A456" s="123">
        <v>16</v>
      </c>
      <c r="B456" s="123">
        <v>16</v>
      </c>
      <c r="C456" s="123">
        <v>0</v>
      </c>
      <c r="D456" s="123">
        <v>9</v>
      </c>
      <c r="E456" s="123">
        <v>0</v>
      </c>
      <c r="F456" s="123">
        <v>0</v>
      </c>
      <c r="G456" s="123">
        <v>0</v>
      </c>
      <c r="H456" s="123">
        <v>5</v>
      </c>
      <c r="I456" s="123">
        <v>0</v>
      </c>
      <c r="J456" s="123">
        <v>2</v>
      </c>
      <c r="K456" s="123">
        <v>0</v>
      </c>
      <c r="L456" s="123">
        <v>0</v>
      </c>
      <c r="M456" s="123">
        <v>0</v>
      </c>
      <c r="N456" s="123">
        <v>0</v>
      </c>
      <c r="O456" s="123">
        <v>0</v>
      </c>
      <c r="P456" s="7" t="s">
        <v>162</v>
      </c>
      <c r="Q456" s="124" t="s">
        <v>251</v>
      </c>
      <c r="R456" s="1"/>
    </row>
    <row r="457" spans="1:18" ht="13.5" thickBot="1" x14ac:dyDescent="0.25">
      <c r="A457" s="123">
        <v>34</v>
      </c>
      <c r="B457" s="123">
        <v>34</v>
      </c>
      <c r="C457" s="123">
        <v>0</v>
      </c>
      <c r="D457" s="123">
        <v>20</v>
      </c>
      <c r="E457" s="123">
        <v>0</v>
      </c>
      <c r="F457" s="123">
        <v>4</v>
      </c>
      <c r="G457" s="123">
        <v>0</v>
      </c>
      <c r="H457" s="123">
        <v>7</v>
      </c>
      <c r="I457" s="123">
        <v>0</v>
      </c>
      <c r="J457" s="123">
        <v>3</v>
      </c>
      <c r="K457" s="123">
        <v>0</v>
      </c>
      <c r="L457" s="123">
        <v>0</v>
      </c>
      <c r="M457" s="123">
        <v>0</v>
      </c>
      <c r="N457" s="123">
        <v>0</v>
      </c>
      <c r="O457" s="123">
        <v>0</v>
      </c>
      <c r="P457" s="7" t="s">
        <v>13</v>
      </c>
      <c r="Q457" s="9"/>
      <c r="R457" s="1"/>
    </row>
    <row r="458" spans="1:18" ht="13.5" thickBot="1" x14ac:dyDescent="0.25">
      <c r="A458" s="123">
        <v>2</v>
      </c>
      <c r="B458" s="123">
        <v>2</v>
      </c>
      <c r="C458" s="123">
        <v>0</v>
      </c>
      <c r="D458" s="123">
        <v>0</v>
      </c>
      <c r="E458" s="123">
        <v>0</v>
      </c>
      <c r="F458" s="123">
        <v>2</v>
      </c>
      <c r="G458" s="123">
        <v>0</v>
      </c>
      <c r="H458" s="123">
        <v>0</v>
      </c>
      <c r="I458" s="123">
        <v>0</v>
      </c>
      <c r="J458" s="123">
        <v>0</v>
      </c>
      <c r="K458" s="123">
        <v>0</v>
      </c>
      <c r="L458" s="123">
        <v>0</v>
      </c>
      <c r="M458" s="123">
        <v>0</v>
      </c>
      <c r="N458" s="123">
        <v>0</v>
      </c>
      <c r="O458" s="123">
        <v>0</v>
      </c>
      <c r="P458" s="7" t="s">
        <v>163</v>
      </c>
      <c r="Q458" s="124"/>
      <c r="R458" s="1"/>
    </row>
    <row r="459" spans="1:18" ht="13.5" thickBot="1" x14ac:dyDescent="0.25">
      <c r="A459" s="123">
        <v>9</v>
      </c>
      <c r="B459" s="123">
        <v>9</v>
      </c>
      <c r="C459" s="123">
        <v>0</v>
      </c>
      <c r="D459" s="123">
        <v>0</v>
      </c>
      <c r="E459" s="123">
        <v>0</v>
      </c>
      <c r="F459" s="123">
        <v>6</v>
      </c>
      <c r="G459" s="123">
        <v>0</v>
      </c>
      <c r="H459" s="123">
        <v>1</v>
      </c>
      <c r="I459" s="123">
        <v>0</v>
      </c>
      <c r="J459" s="123">
        <v>2</v>
      </c>
      <c r="K459" s="123">
        <v>0</v>
      </c>
      <c r="L459" s="123">
        <v>0</v>
      </c>
      <c r="M459" s="123">
        <v>0</v>
      </c>
      <c r="N459" s="123">
        <v>0</v>
      </c>
      <c r="O459" s="123">
        <v>0</v>
      </c>
      <c r="P459" s="7" t="s">
        <v>162</v>
      </c>
      <c r="Q459" s="124" t="s">
        <v>252</v>
      </c>
      <c r="R459" s="1"/>
    </row>
    <row r="460" spans="1:18" ht="13.5" thickBot="1" x14ac:dyDescent="0.25">
      <c r="A460" s="123">
        <v>11</v>
      </c>
      <c r="B460" s="123">
        <v>11</v>
      </c>
      <c r="C460" s="123">
        <v>0</v>
      </c>
      <c r="D460" s="123">
        <v>0</v>
      </c>
      <c r="E460" s="123">
        <v>0</v>
      </c>
      <c r="F460" s="123">
        <v>8</v>
      </c>
      <c r="G460" s="123">
        <v>0</v>
      </c>
      <c r="H460" s="123">
        <v>1</v>
      </c>
      <c r="I460" s="123">
        <v>0</v>
      </c>
      <c r="J460" s="123">
        <v>2</v>
      </c>
      <c r="K460" s="123">
        <v>0</v>
      </c>
      <c r="L460" s="123">
        <v>0</v>
      </c>
      <c r="M460" s="123">
        <v>0</v>
      </c>
      <c r="N460" s="123">
        <v>0</v>
      </c>
      <c r="O460" s="123">
        <v>0</v>
      </c>
      <c r="P460" s="7" t="s">
        <v>13</v>
      </c>
      <c r="Q460" s="9"/>
      <c r="R460" s="1"/>
    </row>
    <row r="461" spans="1:18" ht="13.5" thickBot="1" x14ac:dyDescent="0.25">
      <c r="A461" s="123">
        <v>6</v>
      </c>
      <c r="B461" s="123">
        <v>6</v>
      </c>
      <c r="C461" s="123">
        <v>0</v>
      </c>
      <c r="D461" s="123">
        <v>3</v>
      </c>
      <c r="E461" s="123">
        <v>0</v>
      </c>
      <c r="F461" s="123">
        <v>1</v>
      </c>
      <c r="G461" s="123">
        <v>0</v>
      </c>
      <c r="H461" s="123">
        <v>2</v>
      </c>
      <c r="I461" s="123">
        <v>0</v>
      </c>
      <c r="J461" s="123">
        <v>0</v>
      </c>
      <c r="K461" s="123">
        <v>0</v>
      </c>
      <c r="L461" s="123">
        <v>0</v>
      </c>
      <c r="M461" s="123">
        <v>0</v>
      </c>
      <c r="N461" s="123">
        <v>0</v>
      </c>
      <c r="O461" s="123">
        <v>0</v>
      </c>
      <c r="P461" s="7" t="s">
        <v>163</v>
      </c>
      <c r="Q461" s="124"/>
      <c r="R461" s="1"/>
    </row>
    <row r="462" spans="1:18" ht="13.5" thickBot="1" x14ac:dyDescent="0.25">
      <c r="A462" s="123">
        <v>5</v>
      </c>
      <c r="B462" s="123">
        <v>5</v>
      </c>
      <c r="C462" s="123">
        <v>0</v>
      </c>
      <c r="D462" s="123">
        <v>3</v>
      </c>
      <c r="E462" s="123">
        <v>0</v>
      </c>
      <c r="F462" s="123">
        <v>0</v>
      </c>
      <c r="G462" s="123">
        <v>0</v>
      </c>
      <c r="H462" s="123">
        <v>1</v>
      </c>
      <c r="I462" s="123">
        <v>0</v>
      </c>
      <c r="J462" s="123">
        <v>1</v>
      </c>
      <c r="K462" s="123">
        <v>0</v>
      </c>
      <c r="L462" s="123">
        <v>0</v>
      </c>
      <c r="M462" s="123">
        <v>0</v>
      </c>
      <c r="N462" s="123">
        <v>0</v>
      </c>
      <c r="O462" s="123">
        <v>0</v>
      </c>
      <c r="P462" s="7" t="s">
        <v>162</v>
      </c>
      <c r="Q462" s="124" t="s">
        <v>253</v>
      </c>
      <c r="R462" s="1"/>
    </row>
    <row r="463" spans="1:18" ht="13.5" thickBot="1" x14ac:dyDescent="0.25">
      <c r="A463" s="123">
        <v>11</v>
      </c>
      <c r="B463" s="123">
        <v>11</v>
      </c>
      <c r="C463" s="123">
        <v>0</v>
      </c>
      <c r="D463" s="123">
        <v>6</v>
      </c>
      <c r="E463" s="123">
        <v>0</v>
      </c>
      <c r="F463" s="123">
        <v>1</v>
      </c>
      <c r="G463" s="123">
        <v>0</v>
      </c>
      <c r="H463" s="123">
        <v>3</v>
      </c>
      <c r="I463" s="123">
        <v>0</v>
      </c>
      <c r="J463" s="123">
        <v>1</v>
      </c>
      <c r="K463" s="123">
        <v>0</v>
      </c>
      <c r="L463" s="123">
        <v>0</v>
      </c>
      <c r="M463" s="123">
        <v>0</v>
      </c>
      <c r="N463" s="123">
        <v>0</v>
      </c>
      <c r="O463" s="123">
        <v>0</v>
      </c>
      <c r="P463" s="7" t="s">
        <v>13</v>
      </c>
      <c r="Q463" s="9"/>
      <c r="R463" s="1"/>
    </row>
    <row r="464" spans="1:18" ht="13.5" thickBot="1" x14ac:dyDescent="0.25">
      <c r="A464" s="123">
        <v>12</v>
      </c>
      <c r="B464" s="123">
        <v>12</v>
      </c>
      <c r="C464" s="123">
        <v>0</v>
      </c>
      <c r="D464" s="123">
        <v>7</v>
      </c>
      <c r="E464" s="123">
        <v>0</v>
      </c>
      <c r="F464" s="123">
        <v>5</v>
      </c>
      <c r="G464" s="123">
        <v>0</v>
      </c>
      <c r="H464" s="123">
        <v>0</v>
      </c>
      <c r="I464" s="123">
        <v>0</v>
      </c>
      <c r="J464" s="123">
        <v>0</v>
      </c>
      <c r="K464" s="123">
        <v>0</v>
      </c>
      <c r="L464" s="123">
        <v>0</v>
      </c>
      <c r="M464" s="123">
        <v>0</v>
      </c>
      <c r="N464" s="123">
        <v>0</v>
      </c>
      <c r="O464" s="123">
        <v>0</v>
      </c>
      <c r="P464" s="7" t="s">
        <v>163</v>
      </c>
      <c r="Q464" s="124"/>
      <c r="R464" s="1"/>
    </row>
    <row r="465" spans="1:18" ht="13.5" thickBot="1" x14ac:dyDescent="0.25">
      <c r="A465" s="123">
        <v>8</v>
      </c>
      <c r="B465" s="123">
        <v>6</v>
      </c>
      <c r="C465" s="123">
        <v>2</v>
      </c>
      <c r="D465" s="123">
        <v>3</v>
      </c>
      <c r="E465" s="123">
        <v>2</v>
      </c>
      <c r="F465" s="123">
        <v>0</v>
      </c>
      <c r="G465" s="123">
        <v>0</v>
      </c>
      <c r="H465" s="123">
        <v>2</v>
      </c>
      <c r="I465" s="123">
        <v>0</v>
      </c>
      <c r="J465" s="123">
        <v>1</v>
      </c>
      <c r="K465" s="123">
        <v>0</v>
      </c>
      <c r="L465" s="123">
        <v>0</v>
      </c>
      <c r="M465" s="123">
        <v>0</v>
      </c>
      <c r="N465" s="123">
        <v>0</v>
      </c>
      <c r="O465" s="123">
        <v>0</v>
      </c>
      <c r="P465" s="7" t="s">
        <v>162</v>
      </c>
      <c r="Q465" s="124" t="s">
        <v>254</v>
      </c>
      <c r="R465" s="1"/>
    </row>
    <row r="466" spans="1:18" ht="13.5" thickBot="1" x14ac:dyDescent="0.25">
      <c r="A466" s="123">
        <v>20</v>
      </c>
      <c r="B466" s="123">
        <v>18</v>
      </c>
      <c r="C466" s="123">
        <v>2</v>
      </c>
      <c r="D466" s="123">
        <v>10</v>
      </c>
      <c r="E466" s="123">
        <v>2</v>
      </c>
      <c r="F466" s="123">
        <v>5</v>
      </c>
      <c r="G466" s="123">
        <v>0</v>
      </c>
      <c r="H466" s="123">
        <v>2</v>
      </c>
      <c r="I466" s="123">
        <v>0</v>
      </c>
      <c r="J466" s="123">
        <v>1</v>
      </c>
      <c r="K466" s="123">
        <v>0</v>
      </c>
      <c r="L466" s="123">
        <v>0</v>
      </c>
      <c r="M466" s="123">
        <v>0</v>
      </c>
      <c r="N466" s="123">
        <v>0</v>
      </c>
      <c r="O466" s="123">
        <v>0</v>
      </c>
      <c r="P466" s="7" t="s">
        <v>13</v>
      </c>
      <c r="Q466" s="9"/>
      <c r="R466" s="1"/>
    </row>
    <row r="467" spans="1:18" ht="13.5" thickBot="1" x14ac:dyDescent="0.25">
      <c r="A467" s="123">
        <v>5</v>
      </c>
      <c r="B467" s="123">
        <v>0</v>
      </c>
      <c r="C467" s="123">
        <v>5</v>
      </c>
      <c r="D467" s="123">
        <v>0</v>
      </c>
      <c r="E467" s="123">
        <v>4</v>
      </c>
      <c r="F467" s="123">
        <v>0</v>
      </c>
      <c r="G467" s="123">
        <v>1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7" t="s">
        <v>163</v>
      </c>
      <c r="Q467" s="124"/>
      <c r="R467" s="1"/>
    </row>
    <row r="468" spans="1:18" ht="13.5" thickBot="1" x14ac:dyDescent="0.25">
      <c r="A468" s="123">
        <v>12</v>
      </c>
      <c r="B468" s="123">
        <v>0</v>
      </c>
      <c r="C468" s="123">
        <v>12</v>
      </c>
      <c r="D468" s="123">
        <v>0</v>
      </c>
      <c r="E468" s="123">
        <v>3</v>
      </c>
      <c r="F468" s="123">
        <v>0</v>
      </c>
      <c r="G468" s="123">
        <v>0</v>
      </c>
      <c r="H468" s="123">
        <v>0</v>
      </c>
      <c r="I468" s="123">
        <v>3</v>
      </c>
      <c r="J468" s="123">
        <v>0</v>
      </c>
      <c r="K468" s="123">
        <v>6</v>
      </c>
      <c r="L468" s="123">
        <v>0</v>
      </c>
      <c r="M468" s="123">
        <v>0</v>
      </c>
      <c r="N468" s="123">
        <v>0</v>
      </c>
      <c r="O468" s="123">
        <v>0</v>
      </c>
      <c r="P468" s="7" t="s">
        <v>162</v>
      </c>
      <c r="Q468" s="124" t="s">
        <v>255</v>
      </c>
      <c r="R468" s="1"/>
    </row>
    <row r="469" spans="1:18" ht="13.5" thickBot="1" x14ac:dyDescent="0.25">
      <c r="A469" s="123">
        <v>17</v>
      </c>
      <c r="B469" s="123">
        <v>0</v>
      </c>
      <c r="C469" s="123">
        <v>17</v>
      </c>
      <c r="D469" s="123">
        <v>0</v>
      </c>
      <c r="E469" s="123">
        <v>7</v>
      </c>
      <c r="F469" s="123">
        <v>0</v>
      </c>
      <c r="G469" s="123">
        <v>1</v>
      </c>
      <c r="H469" s="123">
        <v>0</v>
      </c>
      <c r="I469" s="123">
        <v>3</v>
      </c>
      <c r="J469" s="123">
        <v>0</v>
      </c>
      <c r="K469" s="123">
        <v>6</v>
      </c>
      <c r="L469" s="123">
        <v>0</v>
      </c>
      <c r="M469" s="123">
        <v>0</v>
      </c>
      <c r="N469" s="123">
        <v>0</v>
      </c>
      <c r="O469" s="123">
        <v>0</v>
      </c>
      <c r="P469" s="7" t="s">
        <v>13</v>
      </c>
      <c r="Q469" s="9"/>
      <c r="R469" s="1"/>
    </row>
    <row r="470" spans="1:18" ht="13.5" thickBot="1" x14ac:dyDescent="0.25">
      <c r="A470" s="123">
        <v>7</v>
      </c>
      <c r="B470" s="123">
        <v>0</v>
      </c>
      <c r="C470" s="123">
        <v>7</v>
      </c>
      <c r="D470" s="123">
        <v>0</v>
      </c>
      <c r="E470" s="123">
        <v>4</v>
      </c>
      <c r="F470" s="123">
        <v>0</v>
      </c>
      <c r="G470" s="123">
        <v>1</v>
      </c>
      <c r="H470" s="123">
        <v>0</v>
      </c>
      <c r="I470" s="123">
        <v>2</v>
      </c>
      <c r="J470" s="123">
        <v>0</v>
      </c>
      <c r="K470" s="123">
        <v>0</v>
      </c>
      <c r="L470" s="123">
        <v>0</v>
      </c>
      <c r="M470" s="123">
        <v>0</v>
      </c>
      <c r="N470" s="123">
        <v>0</v>
      </c>
      <c r="O470" s="123">
        <v>0</v>
      </c>
      <c r="P470" s="7" t="s">
        <v>163</v>
      </c>
      <c r="Q470" s="124"/>
      <c r="R470" s="1"/>
    </row>
    <row r="471" spans="1:18" ht="13.5" thickBot="1" x14ac:dyDescent="0.25">
      <c r="A471" s="123">
        <v>24</v>
      </c>
      <c r="B471" s="123">
        <v>0</v>
      </c>
      <c r="C471" s="123">
        <v>24</v>
      </c>
      <c r="D471" s="123">
        <v>0</v>
      </c>
      <c r="E471" s="123">
        <v>11</v>
      </c>
      <c r="F471" s="123">
        <v>0</v>
      </c>
      <c r="G471" s="123">
        <v>0</v>
      </c>
      <c r="H471" s="123">
        <v>0</v>
      </c>
      <c r="I471" s="123">
        <v>6</v>
      </c>
      <c r="J471" s="123">
        <v>0</v>
      </c>
      <c r="K471" s="123">
        <v>7</v>
      </c>
      <c r="L471" s="123">
        <v>0</v>
      </c>
      <c r="M471" s="123">
        <v>0</v>
      </c>
      <c r="N471" s="123">
        <v>0</v>
      </c>
      <c r="O471" s="123">
        <v>0</v>
      </c>
      <c r="P471" s="7" t="s">
        <v>162</v>
      </c>
      <c r="Q471" s="124" t="s">
        <v>256</v>
      </c>
      <c r="R471" s="1"/>
    </row>
    <row r="472" spans="1:18" ht="13.5" thickBot="1" x14ac:dyDescent="0.25">
      <c r="A472" s="123">
        <v>31</v>
      </c>
      <c r="B472" s="123">
        <v>0</v>
      </c>
      <c r="C472" s="123">
        <v>31</v>
      </c>
      <c r="D472" s="123">
        <v>0</v>
      </c>
      <c r="E472" s="123">
        <v>15</v>
      </c>
      <c r="F472" s="123">
        <v>0</v>
      </c>
      <c r="G472" s="123">
        <v>1</v>
      </c>
      <c r="H472" s="123">
        <v>0</v>
      </c>
      <c r="I472" s="123">
        <v>8</v>
      </c>
      <c r="J472" s="123">
        <v>0</v>
      </c>
      <c r="K472" s="123">
        <v>7</v>
      </c>
      <c r="L472" s="123">
        <v>0</v>
      </c>
      <c r="M472" s="123">
        <v>0</v>
      </c>
      <c r="N472" s="123">
        <v>0</v>
      </c>
      <c r="O472" s="123">
        <v>0</v>
      </c>
      <c r="P472" s="7" t="s">
        <v>13</v>
      </c>
      <c r="Q472" s="9"/>
      <c r="R472" s="1"/>
    </row>
    <row r="473" spans="1:18" ht="13.5" thickBot="1" x14ac:dyDescent="0.25">
      <c r="A473" s="123">
        <v>1152</v>
      </c>
      <c r="B473" s="123">
        <v>638</v>
      </c>
      <c r="C473" s="123">
        <v>514</v>
      </c>
      <c r="D473" s="123">
        <v>49</v>
      </c>
      <c r="E473" s="123">
        <v>8</v>
      </c>
      <c r="F473" s="123">
        <v>268</v>
      </c>
      <c r="G473" s="123">
        <v>175</v>
      </c>
      <c r="H473" s="123">
        <v>161</v>
      </c>
      <c r="I473" s="123">
        <v>41</v>
      </c>
      <c r="J473" s="123">
        <v>137</v>
      </c>
      <c r="K473" s="123">
        <v>136</v>
      </c>
      <c r="L473" s="123">
        <v>17</v>
      </c>
      <c r="M473" s="123">
        <v>94</v>
      </c>
      <c r="N473" s="123">
        <v>6</v>
      </c>
      <c r="O473" s="123">
        <v>60</v>
      </c>
      <c r="P473" s="7" t="s">
        <v>163</v>
      </c>
      <c r="Q473" s="3"/>
      <c r="R473" s="1"/>
    </row>
    <row r="474" spans="1:18" ht="13.5" thickBot="1" x14ac:dyDescent="0.25">
      <c r="A474" s="123">
        <v>1034</v>
      </c>
      <c r="B474" s="123">
        <v>400</v>
      </c>
      <c r="C474" s="123">
        <v>634</v>
      </c>
      <c r="D474" s="123">
        <v>25</v>
      </c>
      <c r="E474" s="123">
        <v>24</v>
      </c>
      <c r="F474" s="123">
        <v>9</v>
      </c>
      <c r="G474" s="123">
        <v>18</v>
      </c>
      <c r="H474" s="123">
        <v>110</v>
      </c>
      <c r="I474" s="123">
        <v>58</v>
      </c>
      <c r="J474" s="123">
        <v>198</v>
      </c>
      <c r="K474" s="123">
        <v>351</v>
      </c>
      <c r="L474" s="123">
        <v>44</v>
      </c>
      <c r="M474" s="123">
        <v>116</v>
      </c>
      <c r="N474" s="123">
        <v>14</v>
      </c>
      <c r="O474" s="123">
        <v>67</v>
      </c>
      <c r="P474" s="7" t="s">
        <v>162</v>
      </c>
      <c r="Q474" s="11" t="s">
        <v>211</v>
      </c>
      <c r="R474" s="1"/>
    </row>
    <row r="475" spans="1:18" ht="13.5" thickBot="1" x14ac:dyDescent="0.25">
      <c r="A475" s="123">
        <v>2186</v>
      </c>
      <c r="B475" s="123">
        <v>1038</v>
      </c>
      <c r="C475" s="123">
        <v>1148</v>
      </c>
      <c r="D475" s="123">
        <v>74</v>
      </c>
      <c r="E475" s="123">
        <v>32</v>
      </c>
      <c r="F475" s="123">
        <v>277</v>
      </c>
      <c r="G475" s="123">
        <v>193</v>
      </c>
      <c r="H475" s="123">
        <v>271</v>
      </c>
      <c r="I475" s="123">
        <v>99</v>
      </c>
      <c r="J475" s="123">
        <v>335</v>
      </c>
      <c r="K475" s="123">
        <v>487</v>
      </c>
      <c r="L475" s="123">
        <v>61</v>
      </c>
      <c r="M475" s="123">
        <v>210</v>
      </c>
      <c r="N475" s="123">
        <v>20</v>
      </c>
      <c r="O475" s="123">
        <v>127</v>
      </c>
      <c r="P475" s="7" t="s">
        <v>13</v>
      </c>
      <c r="Q475" s="5"/>
      <c r="R475" s="1"/>
    </row>
    <row r="476" spans="1:18" ht="18" customHeight="1" x14ac:dyDescent="0.2">
      <c r="A476" s="207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1"/>
    </row>
    <row r="477" spans="1:18" ht="18" customHeight="1" x14ac:dyDescent="0.2">
      <c r="A477" s="159" t="s">
        <v>616</v>
      </c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"/>
    </row>
    <row r="478" spans="1:18" ht="18" customHeight="1" thickBot="1" x14ac:dyDescent="0.25">
      <c r="A478" s="160" t="s">
        <v>617</v>
      </c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"/>
    </row>
    <row r="479" spans="1:18" ht="13.5" thickBot="1" x14ac:dyDescent="0.25">
      <c r="A479" s="204" t="s">
        <v>5</v>
      </c>
      <c r="B479" s="204"/>
      <c r="C479" s="204"/>
      <c r="D479" s="204" t="s">
        <v>57</v>
      </c>
      <c r="E479" s="204"/>
      <c r="F479" s="204" t="s">
        <v>609</v>
      </c>
      <c r="G479" s="204"/>
      <c r="H479" s="204" t="s">
        <v>610</v>
      </c>
      <c r="I479" s="204"/>
      <c r="J479" s="204" t="s">
        <v>611</v>
      </c>
      <c r="K479" s="204"/>
      <c r="L479" s="204" t="s">
        <v>612</v>
      </c>
      <c r="M479" s="204"/>
      <c r="N479" s="204" t="s">
        <v>613</v>
      </c>
      <c r="O479" s="204"/>
      <c r="P479" s="205" t="s">
        <v>614</v>
      </c>
      <c r="Q479" s="47" t="s">
        <v>161</v>
      </c>
      <c r="R479" s="1"/>
    </row>
    <row r="480" spans="1:18" ht="13.5" thickBot="1" x14ac:dyDescent="0.25">
      <c r="A480" s="47" t="s">
        <v>216</v>
      </c>
      <c r="B480" s="47" t="s">
        <v>11</v>
      </c>
      <c r="C480" s="47" t="s">
        <v>10</v>
      </c>
      <c r="D480" s="47" t="s">
        <v>11</v>
      </c>
      <c r="E480" s="47" t="s">
        <v>10</v>
      </c>
      <c r="F480" s="47" t="s">
        <v>11</v>
      </c>
      <c r="G480" s="47" t="s">
        <v>10</v>
      </c>
      <c r="H480" s="47" t="s">
        <v>11</v>
      </c>
      <c r="I480" s="47" t="s">
        <v>10</v>
      </c>
      <c r="J480" s="47" t="s">
        <v>11</v>
      </c>
      <c r="K480" s="47" t="s">
        <v>10</v>
      </c>
      <c r="L480" s="47" t="s">
        <v>11</v>
      </c>
      <c r="M480" s="47" t="s">
        <v>10</v>
      </c>
      <c r="N480" s="47" t="s">
        <v>11</v>
      </c>
      <c r="O480" s="47" t="s">
        <v>10</v>
      </c>
      <c r="P480" s="206"/>
      <c r="Q480" s="33" t="s">
        <v>81</v>
      </c>
      <c r="R480" s="1"/>
    </row>
    <row r="481" spans="1:18" ht="13.5" thickBot="1" x14ac:dyDescent="0.25">
      <c r="A481" s="123">
        <v>40</v>
      </c>
      <c r="B481" s="123">
        <v>0</v>
      </c>
      <c r="C481" s="123">
        <v>40</v>
      </c>
      <c r="D481" s="123">
        <v>0</v>
      </c>
      <c r="E481" s="123">
        <v>0</v>
      </c>
      <c r="F481" s="123">
        <v>0</v>
      </c>
      <c r="G481" s="123">
        <v>20</v>
      </c>
      <c r="H481" s="123">
        <v>0</v>
      </c>
      <c r="I481" s="123">
        <v>3</v>
      </c>
      <c r="J481" s="123">
        <v>0</v>
      </c>
      <c r="K481" s="123">
        <v>6</v>
      </c>
      <c r="L481" s="123">
        <v>0</v>
      </c>
      <c r="M481" s="123">
        <v>5</v>
      </c>
      <c r="N481" s="123">
        <v>0</v>
      </c>
      <c r="O481" s="123">
        <v>6</v>
      </c>
      <c r="P481" s="7" t="s">
        <v>163</v>
      </c>
      <c r="Q481" s="124"/>
      <c r="R481" s="1"/>
    </row>
    <row r="482" spans="1:18" ht="13.5" thickBot="1" x14ac:dyDescent="0.25">
      <c r="A482" s="123">
        <v>45</v>
      </c>
      <c r="B482" s="123">
        <v>0</v>
      </c>
      <c r="C482" s="123">
        <v>45</v>
      </c>
      <c r="D482" s="123">
        <v>0</v>
      </c>
      <c r="E482" s="123">
        <v>0</v>
      </c>
      <c r="F482" s="123">
        <v>0</v>
      </c>
      <c r="G482" s="123">
        <v>0</v>
      </c>
      <c r="H482" s="123">
        <v>0</v>
      </c>
      <c r="I482" s="123">
        <v>3</v>
      </c>
      <c r="J482" s="123">
        <v>0</v>
      </c>
      <c r="K482" s="123">
        <v>28</v>
      </c>
      <c r="L482" s="123">
        <v>0</v>
      </c>
      <c r="M482" s="123">
        <v>10</v>
      </c>
      <c r="N482" s="123">
        <v>0</v>
      </c>
      <c r="O482" s="123">
        <v>4</v>
      </c>
      <c r="P482" s="7" t="s">
        <v>162</v>
      </c>
      <c r="Q482" s="124" t="s">
        <v>540</v>
      </c>
      <c r="R482" s="1"/>
    </row>
    <row r="483" spans="1:18" ht="13.5" thickBot="1" x14ac:dyDescent="0.25">
      <c r="A483" s="123">
        <v>85</v>
      </c>
      <c r="B483" s="123">
        <v>0</v>
      </c>
      <c r="C483" s="123">
        <v>85</v>
      </c>
      <c r="D483" s="123">
        <v>0</v>
      </c>
      <c r="E483" s="123">
        <v>0</v>
      </c>
      <c r="F483" s="123">
        <v>0</v>
      </c>
      <c r="G483" s="123">
        <v>20</v>
      </c>
      <c r="H483" s="123">
        <v>0</v>
      </c>
      <c r="I483" s="123">
        <v>6</v>
      </c>
      <c r="J483" s="123">
        <v>0</v>
      </c>
      <c r="K483" s="123">
        <v>34</v>
      </c>
      <c r="L483" s="123">
        <v>0</v>
      </c>
      <c r="M483" s="123">
        <v>15</v>
      </c>
      <c r="N483" s="123">
        <v>0</v>
      </c>
      <c r="O483" s="123">
        <v>10</v>
      </c>
      <c r="P483" s="7" t="s">
        <v>13</v>
      </c>
      <c r="Q483" s="9"/>
      <c r="R483" s="1"/>
    </row>
    <row r="484" spans="1:18" ht="13.5" thickBot="1" x14ac:dyDescent="0.25">
      <c r="A484" s="123">
        <v>17</v>
      </c>
      <c r="B484" s="123">
        <v>0</v>
      </c>
      <c r="C484" s="123">
        <v>17</v>
      </c>
      <c r="D484" s="123">
        <v>0</v>
      </c>
      <c r="E484" s="123">
        <v>0</v>
      </c>
      <c r="F484" s="123">
        <v>0</v>
      </c>
      <c r="G484" s="123">
        <v>17</v>
      </c>
      <c r="H484" s="123">
        <v>0</v>
      </c>
      <c r="I484" s="123">
        <v>0</v>
      </c>
      <c r="J484" s="123">
        <v>0</v>
      </c>
      <c r="K484" s="123">
        <v>0</v>
      </c>
      <c r="L484" s="123">
        <v>0</v>
      </c>
      <c r="M484" s="123">
        <v>0</v>
      </c>
      <c r="N484" s="123">
        <v>0</v>
      </c>
      <c r="O484" s="123">
        <v>0</v>
      </c>
      <c r="P484" s="7" t="s">
        <v>163</v>
      </c>
      <c r="Q484" s="124"/>
      <c r="R484" s="1"/>
    </row>
    <row r="485" spans="1:18" ht="13.5" thickBot="1" x14ac:dyDescent="0.25">
      <c r="A485" s="123">
        <v>45</v>
      </c>
      <c r="B485" s="123">
        <v>0</v>
      </c>
      <c r="C485" s="123">
        <v>45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16</v>
      </c>
      <c r="J485" s="123">
        <v>0</v>
      </c>
      <c r="K485" s="123">
        <v>27</v>
      </c>
      <c r="L485" s="123">
        <v>0</v>
      </c>
      <c r="M485" s="123">
        <v>1</v>
      </c>
      <c r="N485" s="123">
        <v>0</v>
      </c>
      <c r="O485" s="123">
        <v>1</v>
      </c>
      <c r="P485" s="7" t="s">
        <v>162</v>
      </c>
      <c r="Q485" s="124" t="s">
        <v>416</v>
      </c>
      <c r="R485" s="1"/>
    </row>
    <row r="486" spans="1:18" ht="13.5" thickBot="1" x14ac:dyDescent="0.25">
      <c r="A486" s="123">
        <v>62</v>
      </c>
      <c r="B486" s="123">
        <v>0</v>
      </c>
      <c r="C486" s="123">
        <v>62</v>
      </c>
      <c r="D486" s="123">
        <v>0</v>
      </c>
      <c r="E486" s="123">
        <v>0</v>
      </c>
      <c r="F486" s="123">
        <v>0</v>
      </c>
      <c r="G486" s="123">
        <v>17</v>
      </c>
      <c r="H486" s="123">
        <v>0</v>
      </c>
      <c r="I486" s="123">
        <v>16</v>
      </c>
      <c r="J486" s="123">
        <v>0</v>
      </c>
      <c r="K486" s="123">
        <v>27</v>
      </c>
      <c r="L486" s="123">
        <v>0</v>
      </c>
      <c r="M486" s="123">
        <v>1</v>
      </c>
      <c r="N486" s="123">
        <v>0</v>
      </c>
      <c r="O486" s="123">
        <v>1</v>
      </c>
      <c r="P486" s="7" t="s">
        <v>13</v>
      </c>
      <c r="Q486" s="9"/>
      <c r="R486" s="1"/>
    </row>
    <row r="487" spans="1:18" ht="13.5" thickBot="1" x14ac:dyDescent="0.25">
      <c r="A487" s="123">
        <v>33</v>
      </c>
      <c r="B487" s="123">
        <v>0</v>
      </c>
      <c r="C487" s="123">
        <v>33</v>
      </c>
      <c r="D487" s="123">
        <v>0</v>
      </c>
      <c r="E487" s="123">
        <v>0</v>
      </c>
      <c r="F487" s="123">
        <v>0</v>
      </c>
      <c r="G487" s="123">
        <v>8</v>
      </c>
      <c r="H487" s="123">
        <v>0</v>
      </c>
      <c r="I487" s="123">
        <v>17</v>
      </c>
      <c r="J487" s="123">
        <v>0</v>
      </c>
      <c r="K487" s="123">
        <v>6</v>
      </c>
      <c r="L487" s="123">
        <v>0</v>
      </c>
      <c r="M487" s="123">
        <v>2</v>
      </c>
      <c r="N487" s="123">
        <v>0</v>
      </c>
      <c r="O487" s="123">
        <v>0</v>
      </c>
      <c r="P487" s="7" t="s">
        <v>163</v>
      </c>
      <c r="Q487" s="124"/>
      <c r="R487" s="1"/>
    </row>
    <row r="488" spans="1:18" ht="13.5" thickBot="1" x14ac:dyDescent="0.25">
      <c r="A488" s="123">
        <v>8</v>
      </c>
      <c r="B488" s="123">
        <v>0</v>
      </c>
      <c r="C488" s="123">
        <v>8</v>
      </c>
      <c r="D488" s="123">
        <v>0</v>
      </c>
      <c r="E488" s="123">
        <v>0</v>
      </c>
      <c r="F488" s="123">
        <v>0</v>
      </c>
      <c r="G488" s="123">
        <v>0</v>
      </c>
      <c r="H488" s="123">
        <v>0</v>
      </c>
      <c r="I488" s="123">
        <v>3</v>
      </c>
      <c r="J488" s="123">
        <v>0</v>
      </c>
      <c r="K488" s="123">
        <v>4</v>
      </c>
      <c r="L488" s="123">
        <v>0</v>
      </c>
      <c r="M488" s="123">
        <v>0</v>
      </c>
      <c r="N488" s="123">
        <v>0</v>
      </c>
      <c r="O488" s="123">
        <v>1</v>
      </c>
      <c r="P488" s="7" t="s">
        <v>162</v>
      </c>
      <c r="Q488" s="124" t="s">
        <v>417</v>
      </c>
      <c r="R488" s="1"/>
    </row>
    <row r="489" spans="1:18" ht="13.5" thickBot="1" x14ac:dyDescent="0.25">
      <c r="A489" s="123">
        <v>41</v>
      </c>
      <c r="B489" s="123">
        <v>0</v>
      </c>
      <c r="C489" s="123">
        <v>41</v>
      </c>
      <c r="D489" s="123">
        <v>0</v>
      </c>
      <c r="E489" s="123">
        <v>0</v>
      </c>
      <c r="F489" s="123">
        <v>0</v>
      </c>
      <c r="G489" s="123">
        <v>8</v>
      </c>
      <c r="H489" s="123">
        <v>0</v>
      </c>
      <c r="I489" s="123">
        <v>20</v>
      </c>
      <c r="J489" s="123">
        <v>0</v>
      </c>
      <c r="K489" s="123">
        <v>10</v>
      </c>
      <c r="L489" s="123">
        <v>0</v>
      </c>
      <c r="M489" s="123">
        <v>2</v>
      </c>
      <c r="N489" s="123">
        <v>0</v>
      </c>
      <c r="O489" s="123">
        <v>1</v>
      </c>
      <c r="P489" s="7" t="s">
        <v>13</v>
      </c>
      <c r="Q489" s="9"/>
      <c r="R489" s="1"/>
    </row>
    <row r="490" spans="1:18" ht="13.5" thickBot="1" x14ac:dyDescent="0.25">
      <c r="A490" s="123">
        <v>70</v>
      </c>
      <c r="B490" s="123">
        <v>0</v>
      </c>
      <c r="C490" s="123">
        <v>70</v>
      </c>
      <c r="D490" s="123">
        <v>0</v>
      </c>
      <c r="E490" s="123">
        <v>0</v>
      </c>
      <c r="F490" s="123">
        <v>0</v>
      </c>
      <c r="G490" s="123">
        <v>24</v>
      </c>
      <c r="H490" s="123">
        <v>0</v>
      </c>
      <c r="I490" s="123">
        <v>23</v>
      </c>
      <c r="J490" s="123">
        <v>0</v>
      </c>
      <c r="K490" s="123">
        <v>19</v>
      </c>
      <c r="L490" s="123">
        <v>0</v>
      </c>
      <c r="M490" s="123">
        <v>4</v>
      </c>
      <c r="N490" s="123">
        <v>0</v>
      </c>
      <c r="O490" s="123">
        <v>0</v>
      </c>
      <c r="P490" s="7" t="s">
        <v>163</v>
      </c>
      <c r="Q490" s="124"/>
      <c r="R490" s="1"/>
    </row>
    <row r="491" spans="1:18" ht="13.5" thickBot="1" x14ac:dyDescent="0.25">
      <c r="A491" s="123">
        <v>1</v>
      </c>
      <c r="B491" s="123">
        <v>0</v>
      </c>
      <c r="C491" s="123">
        <v>1</v>
      </c>
      <c r="D491" s="123">
        <v>0</v>
      </c>
      <c r="E491" s="123">
        <v>0</v>
      </c>
      <c r="F491" s="123">
        <v>0</v>
      </c>
      <c r="G491" s="123">
        <v>0</v>
      </c>
      <c r="H491" s="123">
        <v>0</v>
      </c>
      <c r="I491" s="123">
        <v>0</v>
      </c>
      <c r="J491" s="123">
        <v>0</v>
      </c>
      <c r="K491" s="123">
        <v>1</v>
      </c>
      <c r="L491" s="123">
        <v>0</v>
      </c>
      <c r="M491" s="123">
        <v>0</v>
      </c>
      <c r="N491" s="123">
        <v>0</v>
      </c>
      <c r="O491" s="123">
        <v>0</v>
      </c>
      <c r="P491" s="7" t="s">
        <v>162</v>
      </c>
      <c r="Q491" s="124" t="s">
        <v>257</v>
      </c>
      <c r="R491" s="1"/>
    </row>
    <row r="492" spans="1:18" ht="13.5" thickBot="1" x14ac:dyDescent="0.25">
      <c r="A492" s="123">
        <v>71</v>
      </c>
      <c r="B492" s="123">
        <v>0</v>
      </c>
      <c r="C492" s="123">
        <v>71</v>
      </c>
      <c r="D492" s="123">
        <v>0</v>
      </c>
      <c r="E492" s="123">
        <v>0</v>
      </c>
      <c r="F492" s="123">
        <v>0</v>
      </c>
      <c r="G492" s="123">
        <v>24</v>
      </c>
      <c r="H492" s="123">
        <v>0</v>
      </c>
      <c r="I492" s="123">
        <v>23</v>
      </c>
      <c r="J492" s="123">
        <v>0</v>
      </c>
      <c r="K492" s="123">
        <v>20</v>
      </c>
      <c r="L492" s="123">
        <v>0</v>
      </c>
      <c r="M492" s="123">
        <v>4</v>
      </c>
      <c r="N492" s="123">
        <v>0</v>
      </c>
      <c r="O492" s="123">
        <v>0</v>
      </c>
      <c r="P492" s="7" t="s">
        <v>13</v>
      </c>
      <c r="Q492" s="9"/>
      <c r="R492" s="1"/>
    </row>
    <row r="493" spans="1:18" ht="13.5" thickBot="1" x14ac:dyDescent="0.25">
      <c r="A493" s="123">
        <v>88</v>
      </c>
      <c r="B493" s="123">
        <v>0</v>
      </c>
      <c r="C493" s="123">
        <v>88</v>
      </c>
      <c r="D493" s="123">
        <v>0</v>
      </c>
      <c r="E493" s="123">
        <v>0</v>
      </c>
      <c r="F493" s="123">
        <v>0</v>
      </c>
      <c r="G493" s="123">
        <v>42</v>
      </c>
      <c r="H493" s="123">
        <v>0</v>
      </c>
      <c r="I493" s="123">
        <v>2</v>
      </c>
      <c r="J493" s="123">
        <v>0</v>
      </c>
      <c r="K493" s="123">
        <v>30</v>
      </c>
      <c r="L493" s="123">
        <v>0</v>
      </c>
      <c r="M493" s="123">
        <v>10</v>
      </c>
      <c r="N493" s="123">
        <v>0</v>
      </c>
      <c r="O493" s="123">
        <v>4</v>
      </c>
      <c r="P493" s="7" t="s">
        <v>163</v>
      </c>
      <c r="Q493" s="124"/>
      <c r="R493" s="1"/>
    </row>
    <row r="494" spans="1:18" ht="13.5" thickBot="1" x14ac:dyDescent="0.25">
      <c r="A494" s="123">
        <v>56</v>
      </c>
      <c r="B494" s="123">
        <v>0</v>
      </c>
      <c r="C494" s="123">
        <v>56</v>
      </c>
      <c r="D494" s="123">
        <v>0</v>
      </c>
      <c r="E494" s="123">
        <v>0</v>
      </c>
      <c r="F494" s="123">
        <v>0</v>
      </c>
      <c r="G494" s="123">
        <v>0</v>
      </c>
      <c r="H494" s="123">
        <v>0</v>
      </c>
      <c r="I494" s="123">
        <v>1</v>
      </c>
      <c r="J494" s="123">
        <v>0</v>
      </c>
      <c r="K494" s="123">
        <v>49</v>
      </c>
      <c r="L494" s="123">
        <v>0</v>
      </c>
      <c r="M494" s="123">
        <v>5</v>
      </c>
      <c r="N494" s="123">
        <v>0</v>
      </c>
      <c r="O494" s="123">
        <v>1</v>
      </c>
      <c r="P494" s="7" t="s">
        <v>162</v>
      </c>
      <c r="Q494" s="124" t="s">
        <v>418</v>
      </c>
      <c r="R494" s="1"/>
    </row>
    <row r="495" spans="1:18" ht="13.5" thickBot="1" x14ac:dyDescent="0.25">
      <c r="A495" s="123">
        <v>144</v>
      </c>
      <c r="B495" s="123">
        <v>0</v>
      </c>
      <c r="C495" s="123">
        <v>144</v>
      </c>
      <c r="D495" s="123">
        <v>0</v>
      </c>
      <c r="E495" s="123">
        <v>0</v>
      </c>
      <c r="F495" s="123">
        <v>0</v>
      </c>
      <c r="G495" s="123">
        <v>42</v>
      </c>
      <c r="H495" s="123">
        <v>0</v>
      </c>
      <c r="I495" s="123">
        <v>3</v>
      </c>
      <c r="J495" s="123">
        <v>0</v>
      </c>
      <c r="K495" s="123">
        <v>79</v>
      </c>
      <c r="L495" s="123">
        <v>0</v>
      </c>
      <c r="M495" s="123">
        <v>15</v>
      </c>
      <c r="N495" s="123">
        <v>0</v>
      </c>
      <c r="O495" s="123">
        <v>5</v>
      </c>
      <c r="P495" s="7" t="s">
        <v>13</v>
      </c>
      <c r="Q495" s="9"/>
      <c r="R495" s="1"/>
    </row>
    <row r="496" spans="1:18" ht="13.5" thickBot="1" x14ac:dyDescent="0.25">
      <c r="A496" s="123">
        <v>99</v>
      </c>
      <c r="B496" s="123">
        <v>1</v>
      </c>
      <c r="C496" s="123">
        <v>98</v>
      </c>
      <c r="D496" s="123">
        <v>0</v>
      </c>
      <c r="E496" s="123">
        <v>0</v>
      </c>
      <c r="F496" s="123">
        <v>1</v>
      </c>
      <c r="G496" s="123">
        <v>49</v>
      </c>
      <c r="H496" s="123">
        <v>0</v>
      </c>
      <c r="I496" s="123">
        <v>0</v>
      </c>
      <c r="J496" s="123">
        <v>0</v>
      </c>
      <c r="K496" s="123">
        <v>31</v>
      </c>
      <c r="L496" s="123">
        <v>0</v>
      </c>
      <c r="M496" s="123">
        <v>13</v>
      </c>
      <c r="N496" s="123">
        <v>0</v>
      </c>
      <c r="O496" s="123">
        <v>5</v>
      </c>
      <c r="P496" s="7" t="s">
        <v>163</v>
      </c>
      <c r="Q496" s="124"/>
      <c r="R496" s="1"/>
    </row>
    <row r="497" spans="1:18" ht="13.5" thickBot="1" x14ac:dyDescent="0.25">
      <c r="A497" s="123">
        <v>53</v>
      </c>
      <c r="B497" s="123">
        <v>0</v>
      </c>
      <c r="C497" s="123">
        <v>53</v>
      </c>
      <c r="D497" s="123">
        <v>0</v>
      </c>
      <c r="E497" s="123">
        <v>0</v>
      </c>
      <c r="F497" s="123">
        <v>0</v>
      </c>
      <c r="G497" s="123">
        <v>0</v>
      </c>
      <c r="H497" s="123">
        <v>0</v>
      </c>
      <c r="I497" s="123">
        <v>1</v>
      </c>
      <c r="J497" s="123">
        <v>0</v>
      </c>
      <c r="K497" s="123">
        <v>47</v>
      </c>
      <c r="L497" s="123">
        <v>0</v>
      </c>
      <c r="M497" s="123">
        <v>4</v>
      </c>
      <c r="N497" s="123">
        <v>0</v>
      </c>
      <c r="O497" s="123">
        <v>1</v>
      </c>
      <c r="P497" s="7" t="s">
        <v>162</v>
      </c>
      <c r="Q497" s="124" t="s">
        <v>419</v>
      </c>
      <c r="R497" s="1"/>
    </row>
    <row r="498" spans="1:18" ht="13.5" thickBot="1" x14ac:dyDescent="0.25">
      <c r="A498" s="123">
        <v>152</v>
      </c>
      <c r="B498" s="123">
        <v>1</v>
      </c>
      <c r="C498" s="123">
        <v>151</v>
      </c>
      <c r="D498" s="123">
        <v>0</v>
      </c>
      <c r="E498" s="123">
        <v>0</v>
      </c>
      <c r="F498" s="123">
        <v>1</v>
      </c>
      <c r="G498" s="123">
        <v>49</v>
      </c>
      <c r="H498" s="123">
        <v>0</v>
      </c>
      <c r="I498" s="123">
        <v>1</v>
      </c>
      <c r="J498" s="123">
        <v>0</v>
      </c>
      <c r="K498" s="123">
        <v>78</v>
      </c>
      <c r="L498" s="123">
        <v>0</v>
      </c>
      <c r="M498" s="123">
        <v>17</v>
      </c>
      <c r="N498" s="123">
        <v>0</v>
      </c>
      <c r="O498" s="123">
        <v>6</v>
      </c>
      <c r="P498" s="7" t="s">
        <v>13</v>
      </c>
      <c r="Q498" s="9"/>
      <c r="R498" s="1"/>
    </row>
    <row r="499" spans="1:18" ht="13.5" thickBot="1" x14ac:dyDescent="0.25">
      <c r="A499" s="123">
        <v>11</v>
      </c>
      <c r="B499" s="123">
        <v>0</v>
      </c>
      <c r="C499" s="123">
        <v>11</v>
      </c>
      <c r="D499" s="123">
        <v>0</v>
      </c>
      <c r="E499" s="123">
        <v>0</v>
      </c>
      <c r="F499" s="123">
        <v>0</v>
      </c>
      <c r="G499" s="123">
        <v>10</v>
      </c>
      <c r="H499" s="123">
        <v>0</v>
      </c>
      <c r="I499" s="123">
        <v>0</v>
      </c>
      <c r="J499" s="123">
        <v>0</v>
      </c>
      <c r="K499" s="123">
        <v>1</v>
      </c>
      <c r="L499" s="123">
        <v>0</v>
      </c>
      <c r="M499" s="123">
        <v>0</v>
      </c>
      <c r="N499" s="123">
        <v>0</v>
      </c>
      <c r="O499" s="123">
        <v>0</v>
      </c>
      <c r="P499" s="7" t="s">
        <v>163</v>
      </c>
      <c r="Q499" s="124"/>
      <c r="R499" s="1"/>
    </row>
    <row r="500" spans="1:18" ht="13.5" thickBot="1" x14ac:dyDescent="0.25">
      <c r="A500" s="123">
        <v>34</v>
      </c>
      <c r="B500" s="123">
        <v>0</v>
      </c>
      <c r="C500" s="123">
        <v>34</v>
      </c>
      <c r="D500" s="123">
        <v>0</v>
      </c>
      <c r="E500" s="123">
        <v>0</v>
      </c>
      <c r="F500" s="123">
        <v>0</v>
      </c>
      <c r="G500" s="123">
        <v>0</v>
      </c>
      <c r="H500" s="123">
        <v>0</v>
      </c>
      <c r="I500" s="123">
        <v>4</v>
      </c>
      <c r="J500" s="123">
        <v>0</v>
      </c>
      <c r="K500" s="123">
        <v>23</v>
      </c>
      <c r="L500" s="123">
        <v>0</v>
      </c>
      <c r="M500" s="123">
        <v>6</v>
      </c>
      <c r="N500" s="123">
        <v>0</v>
      </c>
      <c r="O500" s="123">
        <v>1</v>
      </c>
      <c r="P500" s="7" t="s">
        <v>162</v>
      </c>
      <c r="Q500" s="124" t="s">
        <v>244</v>
      </c>
      <c r="R500" s="1"/>
    </row>
    <row r="501" spans="1:18" ht="13.5" thickBot="1" x14ac:dyDescent="0.25">
      <c r="A501" s="123">
        <v>45</v>
      </c>
      <c r="B501" s="123">
        <v>0</v>
      </c>
      <c r="C501" s="123">
        <v>45</v>
      </c>
      <c r="D501" s="123">
        <v>0</v>
      </c>
      <c r="E501" s="123">
        <v>0</v>
      </c>
      <c r="F501" s="123">
        <v>0</v>
      </c>
      <c r="G501" s="123">
        <v>10</v>
      </c>
      <c r="H501" s="123">
        <v>0</v>
      </c>
      <c r="I501" s="123">
        <v>4</v>
      </c>
      <c r="J501" s="123">
        <v>0</v>
      </c>
      <c r="K501" s="123">
        <v>24</v>
      </c>
      <c r="L501" s="123">
        <v>0</v>
      </c>
      <c r="M501" s="123">
        <v>6</v>
      </c>
      <c r="N501" s="123">
        <v>0</v>
      </c>
      <c r="O501" s="123">
        <v>1</v>
      </c>
      <c r="P501" s="7" t="s">
        <v>13</v>
      </c>
      <c r="Q501" s="9"/>
      <c r="R501" s="1"/>
    </row>
    <row r="502" spans="1:18" ht="13.5" thickBot="1" x14ac:dyDescent="0.25">
      <c r="A502" s="123">
        <v>16</v>
      </c>
      <c r="B502" s="123">
        <v>0</v>
      </c>
      <c r="C502" s="123">
        <v>16</v>
      </c>
      <c r="D502" s="123">
        <v>0</v>
      </c>
      <c r="E502" s="123">
        <v>0</v>
      </c>
      <c r="F502" s="123">
        <v>0</v>
      </c>
      <c r="G502" s="123">
        <v>15</v>
      </c>
      <c r="H502" s="123">
        <v>0</v>
      </c>
      <c r="I502" s="123">
        <v>0</v>
      </c>
      <c r="J502" s="123">
        <v>0</v>
      </c>
      <c r="K502" s="123">
        <v>1</v>
      </c>
      <c r="L502" s="123">
        <v>0</v>
      </c>
      <c r="M502" s="123">
        <v>0</v>
      </c>
      <c r="N502" s="123">
        <v>0</v>
      </c>
      <c r="O502" s="123">
        <v>0</v>
      </c>
      <c r="P502" s="7" t="s">
        <v>163</v>
      </c>
      <c r="Q502" s="124"/>
      <c r="R502" s="1"/>
    </row>
    <row r="503" spans="1:18" ht="13.5" thickBot="1" x14ac:dyDescent="0.25">
      <c r="A503" s="123">
        <v>25</v>
      </c>
      <c r="B503" s="123">
        <v>3</v>
      </c>
      <c r="C503" s="123">
        <v>22</v>
      </c>
      <c r="D503" s="123">
        <v>0</v>
      </c>
      <c r="E503" s="123">
        <v>0</v>
      </c>
      <c r="F503" s="123">
        <v>0</v>
      </c>
      <c r="G503" s="123">
        <v>0</v>
      </c>
      <c r="H503" s="123">
        <v>1</v>
      </c>
      <c r="I503" s="123">
        <v>6</v>
      </c>
      <c r="J503" s="123">
        <v>2</v>
      </c>
      <c r="K503" s="123">
        <v>12</v>
      </c>
      <c r="L503" s="123">
        <v>0</v>
      </c>
      <c r="M503" s="123">
        <v>1</v>
      </c>
      <c r="N503" s="123">
        <v>0</v>
      </c>
      <c r="O503" s="123">
        <v>3</v>
      </c>
      <c r="P503" s="7" t="s">
        <v>162</v>
      </c>
      <c r="Q503" s="124" t="s">
        <v>337</v>
      </c>
      <c r="R503" s="1"/>
    </row>
    <row r="504" spans="1:18" ht="13.5" thickBot="1" x14ac:dyDescent="0.25">
      <c r="A504" s="123">
        <v>41</v>
      </c>
      <c r="B504" s="123">
        <v>3</v>
      </c>
      <c r="C504" s="123">
        <v>38</v>
      </c>
      <c r="D504" s="123">
        <v>0</v>
      </c>
      <c r="E504" s="123">
        <v>0</v>
      </c>
      <c r="F504" s="123">
        <v>0</v>
      </c>
      <c r="G504" s="123">
        <v>15</v>
      </c>
      <c r="H504" s="123">
        <v>1</v>
      </c>
      <c r="I504" s="123">
        <v>6</v>
      </c>
      <c r="J504" s="123">
        <v>2</v>
      </c>
      <c r="K504" s="123">
        <v>13</v>
      </c>
      <c r="L504" s="123">
        <v>0</v>
      </c>
      <c r="M504" s="123">
        <v>1</v>
      </c>
      <c r="N504" s="123">
        <v>0</v>
      </c>
      <c r="O504" s="123">
        <v>3</v>
      </c>
      <c r="P504" s="7" t="s">
        <v>13</v>
      </c>
      <c r="Q504" s="9"/>
      <c r="R504" s="1"/>
    </row>
    <row r="505" spans="1:18" ht="13.5" thickBot="1" x14ac:dyDescent="0.25">
      <c r="A505" s="123">
        <v>18</v>
      </c>
      <c r="B505" s="123">
        <v>0</v>
      </c>
      <c r="C505" s="123">
        <v>18</v>
      </c>
      <c r="D505" s="123">
        <v>0</v>
      </c>
      <c r="E505" s="123">
        <v>0</v>
      </c>
      <c r="F505" s="123">
        <v>0</v>
      </c>
      <c r="G505" s="123">
        <v>17</v>
      </c>
      <c r="H505" s="123">
        <v>0</v>
      </c>
      <c r="I505" s="123">
        <v>1</v>
      </c>
      <c r="J505" s="123">
        <v>0</v>
      </c>
      <c r="K505" s="123">
        <v>0</v>
      </c>
      <c r="L505" s="123">
        <v>0</v>
      </c>
      <c r="M505" s="123">
        <v>0</v>
      </c>
      <c r="N505" s="123">
        <v>0</v>
      </c>
      <c r="O505" s="123">
        <v>0</v>
      </c>
      <c r="P505" s="7" t="s">
        <v>163</v>
      </c>
      <c r="Q505" s="124"/>
      <c r="R505" s="1"/>
    </row>
    <row r="506" spans="1:18" ht="13.5" thickBot="1" x14ac:dyDescent="0.25">
      <c r="A506" s="123">
        <v>11</v>
      </c>
      <c r="B506" s="123">
        <v>1</v>
      </c>
      <c r="C506" s="123">
        <v>10</v>
      </c>
      <c r="D506" s="123">
        <v>0</v>
      </c>
      <c r="E506" s="123">
        <v>0</v>
      </c>
      <c r="F506" s="123">
        <v>0</v>
      </c>
      <c r="G506" s="123">
        <v>0</v>
      </c>
      <c r="H506" s="123">
        <v>0</v>
      </c>
      <c r="I506" s="123">
        <v>3</v>
      </c>
      <c r="J506" s="123">
        <v>1</v>
      </c>
      <c r="K506" s="123">
        <v>7</v>
      </c>
      <c r="L506" s="123">
        <v>0</v>
      </c>
      <c r="M506" s="123">
        <v>0</v>
      </c>
      <c r="N506" s="123">
        <v>0</v>
      </c>
      <c r="O506" s="123">
        <v>0</v>
      </c>
      <c r="P506" s="7" t="s">
        <v>162</v>
      </c>
      <c r="Q506" s="124" t="s">
        <v>264</v>
      </c>
      <c r="R506" s="1"/>
    </row>
    <row r="507" spans="1:18" ht="13.5" thickBot="1" x14ac:dyDescent="0.25">
      <c r="A507" s="123">
        <v>29</v>
      </c>
      <c r="B507" s="123">
        <v>1</v>
      </c>
      <c r="C507" s="123">
        <v>28</v>
      </c>
      <c r="D507" s="123">
        <v>0</v>
      </c>
      <c r="E507" s="123">
        <v>0</v>
      </c>
      <c r="F507" s="123">
        <v>0</v>
      </c>
      <c r="G507" s="123">
        <v>17</v>
      </c>
      <c r="H507" s="123">
        <v>0</v>
      </c>
      <c r="I507" s="123">
        <v>4</v>
      </c>
      <c r="J507" s="123">
        <v>1</v>
      </c>
      <c r="K507" s="123">
        <v>7</v>
      </c>
      <c r="L507" s="123">
        <v>0</v>
      </c>
      <c r="M507" s="123">
        <v>0</v>
      </c>
      <c r="N507" s="123">
        <v>0</v>
      </c>
      <c r="O507" s="123">
        <v>0</v>
      </c>
      <c r="P507" s="7" t="s">
        <v>13</v>
      </c>
      <c r="Q507" s="9"/>
      <c r="R507" s="1"/>
    </row>
    <row r="508" spans="1:18" ht="13.5" thickBot="1" x14ac:dyDescent="0.25">
      <c r="A508" s="123">
        <v>13</v>
      </c>
      <c r="B508" s="123">
        <v>0</v>
      </c>
      <c r="C508" s="123">
        <v>13</v>
      </c>
      <c r="D508" s="123">
        <v>0</v>
      </c>
      <c r="E508" s="123">
        <v>0</v>
      </c>
      <c r="F508" s="123">
        <v>0</v>
      </c>
      <c r="G508" s="123">
        <v>13</v>
      </c>
      <c r="H508" s="123">
        <v>0</v>
      </c>
      <c r="I508" s="123">
        <v>0</v>
      </c>
      <c r="J508" s="123">
        <v>0</v>
      </c>
      <c r="K508" s="123">
        <v>0</v>
      </c>
      <c r="L508" s="123">
        <v>0</v>
      </c>
      <c r="M508" s="123">
        <v>0</v>
      </c>
      <c r="N508" s="123">
        <v>0</v>
      </c>
      <c r="O508" s="123">
        <v>0</v>
      </c>
      <c r="P508" s="7" t="s">
        <v>163</v>
      </c>
      <c r="Q508" s="124"/>
      <c r="R508" s="1"/>
    </row>
    <row r="509" spans="1:18" ht="13.5" thickBot="1" x14ac:dyDescent="0.25">
      <c r="A509" s="123">
        <v>44</v>
      </c>
      <c r="B509" s="123">
        <v>0</v>
      </c>
      <c r="C509" s="123">
        <v>44</v>
      </c>
      <c r="D509" s="123">
        <v>0</v>
      </c>
      <c r="E509" s="123">
        <v>0</v>
      </c>
      <c r="F509" s="123">
        <v>0</v>
      </c>
      <c r="G509" s="123">
        <v>0</v>
      </c>
      <c r="H509" s="123">
        <v>0</v>
      </c>
      <c r="I509" s="123">
        <v>8</v>
      </c>
      <c r="J509" s="123">
        <v>0</v>
      </c>
      <c r="K509" s="123">
        <v>33</v>
      </c>
      <c r="L509" s="123">
        <v>0</v>
      </c>
      <c r="M509" s="123">
        <v>3</v>
      </c>
      <c r="N509" s="123">
        <v>0</v>
      </c>
      <c r="O509" s="123">
        <v>0</v>
      </c>
      <c r="P509" s="7" t="s">
        <v>162</v>
      </c>
      <c r="Q509" s="124" t="s">
        <v>377</v>
      </c>
      <c r="R509" s="1"/>
    </row>
    <row r="510" spans="1:18" ht="13.5" thickBot="1" x14ac:dyDescent="0.25">
      <c r="A510" s="123">
        <v>57</v>
      </c>
      <c r="B510" s="123">
        <v>0</v>
      </c>
      <c r="C510" s="123">
        <v>57</v>
      </c>
      <c r="D510" s="123">
        <v>0</v>
      </c>
      <c r="E510" s="123">
        <v>0</v>
      </c>
      <c r="F510" s="123">
        <v>0</v>
      </c>
      <c r="G510" s="123">
        <v>13</v>
      </c>
      <c r="H510" s="123">
        <v>0</v>
      </c>
      <c r="I510" s="123">
        <v>8</v>
      </c>
      <c r="J510" s="123">
        <v>0</v>
      </c>
      <c r="K510" s="123">
        <v>33</v>
      </c>
      <c r="L510" s="123">
        <v>0</v>
      </c>
      <c r="M510" s="123">
        <v>3</v>
      </c>
      <c r="N510" s="123">
        <v>0</v>
      </c>
      <c r="O510" s="123">
        <v>0</v>
      </c>
      <c r="P510" s="7" t="s">
        <v>13</v>
      </c>
      <c r="Q510" s="9"/>
      <c r="R510" s="1"/>
    </row>
    <row r="511" spans="1:18" ht="13.5" thickBot="1" x14ac:dyDescent="0.25">
      <c r="A511" s="123">
        <v>37</v>
      </c>
      <c r="B511" s="123">
        <v>0</v>
      </c>
      <c r="C511" s="123">
        <v>37</v>
      </c>
      <c r="D511" s="123">
        <v>0</v>
      </c>
      <c r="E511" s="123">
        <v>0</v>
      </c>
      <c r="F511" s="123">
        <v>0</v>
      </c>
      <c r="G511" s="123">
        <v>26</v>
      </c>
      <c r="H511" s="123">
        <v>0</v>
      </c>
      <c r="I511" s="123">
        <v>0</v>
      </c>
      <c r="J511" s="123">
        <v>0</v>
      </c>
      <c r="K511" s="123">
        <v>9</v>
      </c>
      <c r="L511" s="123">
        <v>0</v>
      </c>
      <c r="M511" s="123">
        <v>1</v>
      </c>
      <c r="N511" s="123">
        <v>0</v>
      </c>
      <c r="O511" s="123">
        <v>1</v>
      </c>
      <c r="P511" s="7" t="s">
        <v>163</v>
      </c>
      <c r="Q511" s="124"/>
      <c r="R511" s="1"/>
    </row>
    <row r="512" spans="1:18" ht="13.5" thickBot="1" x14ac:dyDescent="0.25">
      <c r="A512" s="123">
        <v>64</v>
      </c>
      <c r="B512" s="123">
        <v>0</v>
      </c>
      <c r="C512" s="123">
        <v>64</v>
      </c>
      <c r="D512" s="123">
        <v>0</v>
      </c>
      <c r="E512" s="123">
        <v>0</v>
      </c>
      <c r="F512" s="123">
        <v>0</v>
      </c>
      <c r="G512" s="123">
        <v>0</v>
      </c>
      <c r="H512" s="123">
        <v>0</v>
      </c>
      <c r="I512" s="123">
        <v>23</v>
      </c>
      <c r="J512" s="123">
        <v>0</v>
      </c>
      <c r="K512" s="123">
        <v>38</v>
      </c>
      <c r="L512" s="123">
        <v>0</v>
      </c>
      <c r="M512" s="123">
        <v>1</v>
      </c>
      <c r="N512" s="123">
        <v>0</v>
      </c>
      <c r="O512" s="123">
        <v>2</v>
      </c>
      <c r="P512" s="7" t="s">
        <v>162</v>
      </c>
      <c r="Q512" s="124" t="s">
        <v>354</v>
      </c>
      <c r="R512" s="1"/>
    </row>
    <row r="513" spans="1:18" ht="13.5" thickBot="1" x14ac:dyDescent="0.25">
      <c r="A513" s="123">
        <v>101</v>
      </c>
      <c r="B513" s="123">
        <v>0</v>
      </c>
      <c r="C513" s="123">
        <v>101</v>
      </c>
      <c r="D513" s="123">
        <v>0</v>
      </c>
      <c r="E513" s="123">
        <v>0</v>
      </c>
      <c r="F513" s="123">
        <v>0</v>
      </c>
      <c r="G513" s="123">
        <v>26</v>
      </c>
      <c r="H513" s="123">
        <v>0</v>
      </c>
      <c r="I513" s="123">
        <v>23</v>
      </c>
      <c r="J513" s="123">
        <v>0</v>
      </c>
      <c r="K513" s="123">
        <v>47</v>
      </c>
      <c r="L513" s="123">
        <v>0</v>
      </c>
      <c r="M513" s="123">
        <v>2</v>
      </c>
      <c r="N513" s="123">
        <v>0</v>
      </c>
      <c r="O513" s="123">
        <v>3</v>
      </c>
      <c r="P513" s="7" t="s">
        <v>13</v>
      </c>
      <c r="Q513" s="9"/>
      <c r="R513" s="1"/>
    </row>
    <row r="514" spans="1:18" ht="13.5" thickBot="1" x14ac:dyDescent="0.25">
      <c r="A514" s="123">
        <v>2</v>
      </c>
      <c r="B514" s="123">
        <v>0</v>
      </c>
      <c r="C514" s="123">
        <v>2</v>
      </c>
      <c r="D514" s="123">
        <v>0</v>
      </c>
      <c r="E514" s="123">
        <v>0</v>
      </c>
      <c r="F514" s="123">
        <v>0</v>
      </c>
      <c r="G514" s="123">
        <v>0</v>
      </c>
      <c r="H514" s="123">
        <v>0</v>
      </c>
      <c r="I514" s="123">
        <v>1</v>
      </c>
      <c r="J514" s="123">
        <v>0</v>
      </c>
      <c r="K514" s="123">
        <v>0</v>
      </c>
      <c r="L514" s="123">
        <v>0</v>
      </c>
      <c r="M514" s="123">
        <v>1</v>
      </c>
      <c r="N514" s="123">
        <v>0</v>
      </c>
      <c r="O514" s="123">
        <v>0</v>
      </c>
      <c r="P514" s="7" t="s">
        <v>163</v>
      </c>
      <c r="Q514" s="124"/>
      <c r="R514" s="1"/>
    </row>
    <row r="515" spans="1:18" ht="13.5" thickBot="1" x14ac:dyDescent="0.25">
      <c r="A515" s="123">
        <v>20</v>
      </c>
      <c r="B515" s="123">
        <v>0</v>
      </c>
      <c r="C515" s="123">
        <v>20</v>
      </c>
      <c r="D515" s="123">
        <v>0</v>
      </c>
      <c r="E515" s="123">
        <v>0</v>
      </c>
      <c r="F515" s="123">
        <v>0</v>
      </c>
      <c r="G515" s="123">
        <v>0</v>
      </c>
      <c r="H515" s="123">
        <v>0</v>
      </c>
      <c r="I515" s="123">
        <v>11</v>
      </c>
      <c r="J515" s="123">
        <v>0</v>
      </c>
      <c r="K515" s="123">
        <v>9</v>
      </c>
      <c r="L515" s="123">
        <v>0</v>
      </c>
      <c r="M515" s="123">
        <v>0</v>
      </c>
      <c r="N515" s="123">
        <v>0</v>
      </c>
      <c r="O515" s="123">
        <v>0</v>
      </c>
      <c r="P515" s="7" t="s">
        <v>162</v>
      </c>
      <c r="Q515" s="124" t="s">
        <v>102</v>
      </c>
      <c r="R515" s="1"/>
    </row>
    <row r="516" spans="1:18" ht="13.5" thickBot="1" x14ac:dyDescent="0.25">
      <c r="A516" s="123">
        <v>22</v>
      </c>
      <c r="B516" s="123">
        <v>0</v>
      </c>
      <c r="C516" s="123">
        <v>22</v>
      </c>
      <c r="D516" s="123">
        <v>0</v>
      </c>
      <c r="E516" s="123">
        <v>0</v>
      </c>
      <c r="F516" s="123">
        <v>0</v>
      </c>
      <c r="G516" s="123">
        <v>0</v>
      </c>
      <c r="H516" s="123">
        <v>0</v>
      </c>
      <c r="I516" s="123">
        <v>12</v>
      </c>
      <c r="J516" s="123">
        <v>0</v>
      </c>
      <c r="K516" s="123">
        <v>9</v>
      </c>
      <c r="L516" s="123">
        <v>0</v>
      </c>
      <c r="M516" s="123">
        <v>1</v>
      </c>
      <c r="N516" s="123">
        <v>0</v>
      </c>
      <c r="O516" s="123">
        <v>0</v>
      </c>
      <c r="P516" s="7" t="s">
        <v>13</v>
      </c>
      <c r="Q516" s="9"/>
      <c r="R516" s="1"/>
    </row>
    <row r="517" spans="1:18" ht="13.5" thickBot="1" x14ac:dyDescent="0.25">
      <c r="A517" s="123">
        <v>31</v>
      </c>
      <c r="B517" s="123">
        <v>26</v>
      </c>
      <c r="C517" s="123">
        <v>5</v>
      </c>
      <c r="D517" s="123">
        <v>0</v>
      </c>
      <c r="E517" s="123">
        <v>0</v>
      </c>
      <c r="F517" s="123">
        <v>26</v>
      </c>
      <c r="G517" s="123">
        <v>2</v>
      </c>
      <c r="H517" s="123">
        <v>0</v>
      </c>
      <c r="I517" s="123">
        <v>1</v>
      </c>
      <c r="J517" s="123">
        <v>0</v>
      </c>
      <c r="K517" s="123">
        <v>1</v>
      </c>
      <c r="L517" s="123">
        <v>0</v>
      </c>
      <c r="M517" s="123">
        <v>1</v>
      </c>
      <c r="N517" s="123">
        <v>0</v>
      </c>
      <c r="O517" s="123">
        <v>0</v>
      </c>
      <c r="P517" s="7" t="s">
        <v>163</v>
      </c>
      <c r="Q517" s="124"/>
      <c r="R517" s="1"/>
    </row>
    <row r="518" spans="1:18" ht="13.5" thickBot="1" x14ac:dyDescent="0.25">
      <c r="A518" s="123">
        <v>104</v>
      </c>
      <c r="B518" s="123">
        <v>99</v>
      </c>
      <c r="C518" s="123">
        <v>5</v>
      </c>
      <c r="D518" s="123">
        <v>0</v>
      </c>
      <c r="E518" s="123">
        <v>0</v>
      </c>
      <c r="F518" s="123">
        <v>0</v>
      </c>
      <c r="G518" s="123">
        <v>0</v>
      </c>
      <c r="H518" s="123">
        <v>34</v>
      </c>
      <c r="I518" s="123">
        <v>2</v>
      </c>
      <c r="J518" s="123">
        <v>55</v>
      </c>
      <c r="K518" s="123">
        <v>3</v>
      </c>
      <c r="L518" s="123">
        <v>8</v>
      </c>
      <c r="M518" s="123">
        <v>0</v>
      </c>
      <c r="N518" s="123">
        <v>2</v>
      </c>
      <c r="O518" s="123">
        <v>0</v>
      </c>
      <c r="P518" s="7" t="s">
        <v>162</v>
      </c>
      <c r="Q518" s="124" t="s">
        <v>634</v>
      </c>
      <c r="R518" s="1"/>
    </row>
    <row r="519" spans="1:18" ht="13.5" thickBot="1" x14ac:dyDescent="0.25">
      <c r="A519" s="123">
        <v>135</v>
      </c>
      <c r="B519" s="123">
        <v>125</v>
      </c>
      <c r="C519" s="123">
        <v>10</v>
      </c>
      <c r="D519" s="123">
        <v>0</v>
      </c>
      <c r="E519" s="123">
        <v>0</v>
      </c>
      <c r="F519" s="123">
        <v>26</v>
      </c>
      <c r="G519" s="123">
        <v>2</v>
      </c>
      <c r="H519" s="123">
        <v>34</v>
      </c>
      <c r="I519" s="123">
        <v>3</v>
      </c>
      <c r="J519" s="123">
        <v>55</v>
      </c>
      <c r="K519" s="123">
        <v>4</v>
      </c>
      <c r="L519" s="123">
        <v>8</v>
      </c>
      <c r="M519" s="123">
        <v>1</v>
      </c>
      <c r="N519" s="123">
        <v>2</v>
      </c>
      <c r="O519" s="123">
        <v>0</v>
      </c>
      <c r="P519" s="7" t="s">
        <v>13</v>
      </c>
      <c r="Q519" s="9"/>
      <c r="R519" s="1"/>
    </row>
    <row r="520" spans="1:18" ht="13.5" thickBot="1" x14ac:dyDescent="0.25">
      <c r="A520" s="123">
        <v>43</v>
      </c>
      <c r="B520" s="123">
        <v>0</v>
      </c>
      <c r="C520" s="123">
        <v>43</v>
      </c>
      <c r="D520" s="123">
        <v>0</v>
      </c>
      <c r="E520" s="123">
        <v>0</v>
      </c>
      <c r="F520" s="123">
        <v>0</v>
      </c>
      <c r="G520" s="123">
        <v>27</v>
      </c>
      <c r="H520" s="123">
        <v>0</v>
      </c>
      <c r="I520" s="123">
        <v>1</v>
      </c>
      <c r="J520" s="123">
        <v>0</v>
      </c>
      <c r="K520" s="123">
        <v>8</v>
      </c>
      <c r="L520" s="123">
        <v>0</v>
      </c>
      <c r="M520" s="123">
        <v>3</v>
      </c>
      <c r="N520" s="123">
        <v>0</v>
      </c>
      <c r="O520" s="123">
        <v>4</v>
      </c>
      <c r="P520" s="7" t="s">
        <v>163</v>
      </c>
      <c r="Q520" s="124"/>
      <c r="R520" s="1"/>
    </row>
    <row r="521" spans="1:18" ht="13.5" thickBot="1" x14ac:dyDescent="0.25">
      <c r="A521" s="123">
        <v>99</v>
      </c>
      <c r="B521" s="123">
        <v>0</v>
      </c>
      <c r="C521" s="123">
        <v>99</v>
      </c>
      <c r="D521" s="123">
        <v>0</v>
      </c>
      <c r="E521" s="123">
        <v>0</v>
      </c>
      <c r="F521" s="123">
        <v>0</v>
      </c>
      <c r="G521" s="123">
        <v>0</v>
      </c>
      <c r="H521" s="123">
        <v>0</v>
      </c>
      <c r="I521" s="123">
        <v>17</v>
      </c>
      <c r="J521" s="123">
        <v>0</v>
      </c>
      <c r="K521" s="123">
        <v>73</v>
      </c>
      <c r="L521" s="123">
        <v>0</v>
      </c>
      <c r="M521" s="123">
        <v>9</v>
      </c>
      <c r="N521" s="123">
        <v>0</v>
      </c>
      <c r="O521" s="123">
        <v>0</v>
      </c>
      <c r="P521" s="7" t="s">
        <v>162</v>
      </c>
      <c r="Q521" s="124" t="s">
        <v>365</v>
      </c>
      <c r="R521" s="1"/>
    </row>
    <row r="522" spans="1:18" ht="13.5" thickBot="1" x14ac:dyDescent="0.25">
      <c r="A522" s="123">
        <v>142</v>
      </c>
      <c r="B522" s="123">
        <v>0</v>
      </c>
      <c r="C522" s="123">
        <v>142</v>
      </c>
      <c r="D522" s="123">
        <v>0</v>
      </c>
      <c r="E522" s="123">
        <v>0</v>
      </c>
      <c r="F522" s="123">
        <v>0</v>
      </c>
      <c r="G522" s="123">
        <v>27</v>
      </c>
      <c r="H522" s="123">
        <v>0</v>
      </c>
      <c r="I522" s="123">
        <v>18</v>
      </c>
      <c r="J522" s="123">
        <v>0</v>
      </c>
      <c r="K522" s="123">
        <v>81</v>
      </c>
      <c r="L522" s="123">
        <v>0</v>
      </c>
      <c r="M522" s="123">
        <v>12</v>
      </c>
      <c r="N522" s="123">
        <v>0</v>
      </c>
      <c r="O522" s="123">
        <v>4</v>
      </c>
      <c r="P522" s="7" t="s">
        <v>13</v>
      </c>
      <c r="Q522" s="9"/>
      <c r="R522" s="1"/>
    </row>
    <row r="523" spans="1:18" ht="13.5" thickBot="1" x14ac:dyDescent="0.25">
      <c r="A523" s="123">
        <v>95</v>
      </c>
      <c r="B523" s="123">
        <v>3</v>
      </c>
      <c r="C523" s="123">
        <v>92</v>
      </c>
      <c r="D523" s="123">
        <v>0</v>
      </c>
      <c r="E523" s="123">
        <v>0</v>
      </c>
      <c r="F523" s="123">
        <v>2</v>
      </c>
      <c r="G523" s="123">
        <v>47</v>
      </c>
      <c r="H523" s="123">
        <v>0</v>
      </c>
      <c r="I523" s="123">
        <v>0</v>
      </c>
      <c r="J523" s="123">
        <v>1</v>
      </c>
      <c r="K523" s="123">
        <v>23</v>
      </c>
      <c r="L523" s="123">
        <v>0</v>
      </c>
      <c r="M523" s="123">
        <v>15</v>
      </c>
      <c r="N523" s="123">
        <v>0</v>
      </c>
      <c r="O523" s="123">
        <v>7</v>
      </c>
      <c r="P523" s="7" t="s">
        <v>163</v>
      </c>
      <c r="Q523" s="124"/>
      <c r="R523" s="1"/>
    </row>
    <row r="524" spans="1:18" ht="13.5" thickBot="1" x14ac:dyDescent="0.25">
      <c r="A524" s="123">
        <v>93</v>
      </c>
      <c r="B524" s="123">
        <v>3</v>
      </c>
      <c r="C524" s="123">
        <v>90</v>
      </c>
      <c r="D524" s="123">
        <v>0</v>
      </c>
      <c r="E524" s="123">
        <v>0</v>
      </c>
      <c r="F524" s="123">
        <v>0</v>
      </c>
      <c r="G524" s="123">
        <v>0</v>
      </c>
      <c r="H524" s="123">
        <v>1</v>
      </c>
      <c r="I524" s="123">
        <v>13</v>
      </c>
      <c r="J524" s="123">
        <v>2</v>
      </c>
      <c r="K524" s="123">
        <v>53</v>
      </c>
      <c r="L524" s="123">
        <v>0</v>
      </c>
      <c r="M524" s="123">
        <v>16</v>
      </c>
      <c r="N524" s="123">
        <v>0</v>
      </c>
      <c r="O524" s="123">
        <v>8</v>
      </c>
      <c r="P524" s="7" t="s">
        <v>162</v>
      </c>
      <c r="Q524" s="124" t="s">
        <v>263</v>
      </c>
      <c r="R524" s="1"/>
    </row>
    <row r="525" spans="1:18" ht="13.5" thickBot="1" x14ac:dyDescent="0.25">
      <c r="A525" s="123">
        <v>188</v>
      </c>
      <c r="B525" s="123">
        <v>6</v>
      </c>
      <c r="C525" s="123">
        <v>182</v>
      </c>
      <c r="D525" s="123">
        <v>0</v>
      </c>
      <c r="E525" s="123">
        <v>0</v>
      </c>
      <c r="F525" s="123">
        <v>2</v>
      </c>
      <c r="G525" s="123">
        <v>47</v>
      </c>
      <c r="H525" s="123">
        <v>1</v>
      </c>
      <c r="I525" s="123">
        <v>13</v>
      </c>
      <c r="J525" s="123">
        <v>3</v>
      </c>
      <c r="K525" s="123">
        <v>76</v>
      </c>
      <c r="L525" s="123">
        <v>0</v>
      </c>
      <c r="M525" s="123">
        <v>31</v>
      </c>
      <c r="N525" s="123">
        <v>0</v>
      </c>
      <c r="O525" s="123">
        <v>15</v>
      </c>
      <c r="P525" s="7" t="s">
        <v>13</v>
      </c>
      <c r="Q525" s="9"/>
      <c r="R525" s="1"/>
    </row>
    <row r="526" spans="1:18" ht="13.5" thickBot="1" x14ac:dyDescent="0.25">
      <c r="A526" s="123">
        <v>0</v>
      </c>
      <c r="B526" s="123">
        <v>0</v>
      </c>
      <c r="C526" s="123">
        <v>0</v>
      </c>
      <c r="D526" s="123">
        <v>0</v>
      </c>
      <c r="E526" s="123">
        <v>0</v>
      </c>
      <c r="F526" s="123">
        <v>0</v>
      </c>
      <c r="G526" s="123">
        <v>0</v>
      </c>
      <c r="H526" s="123">
        <v>0</v>
      </c>
      <c r="I526" s="123">
        <v>0</v>
      </c>
      <c r="J526" s="123">
        <v>0</v>
      </c>
      <c r="K526" s="123">
        <v>0</v>
      </c>
      <c r="L526" s="123">
        <v>0</v>
      </c>
      <c r="M526" s="123">
        <v>0</v>
      </c>
      <c r="N526" s="123">
        <v>0</v>
      </c>
      <c r="O526" s="123">
        <v>0</v>
      </c>
      <c r="P526" s="7" t="s">
        <v>163</v>
      </c>
      <c r="Q526" s="124"/>
      <c r="R526" s="1"/>
    </row>
    <row r="527" spans="1:18" ht="13.5" thickBot="1" x14ac:dyDescent="0.25">
      <c r="A527" s="123">
        <v>32</v>
      </c>
      <c r="B527" s="123">
        <v>0</v>
      </c>
      <c r="C527" s="123">
        <v>32</v>
      </c>
      <c r="D527" s="123">
        <v>0</v>
      </c>
      <c r="E527" s="123">
        <v>0</v>
      </c>
      <c r="F527" s="123">
        <v>0</v>
      </c>
      <c r="G527" s="123">
        <v>0</v>
      </c>
      <c r="H527" s="123">
        <v>0</v>
      </c>
      <c r="I527" s="123">
        <v>15</v>
      </c>
      <c r="J527" s="123">
        <v>0</v>
      </c>
      <c r="K527" s="123">
        <v>16</v>
      </c>
      <c r="L527" s="123">
        <v>0</v>
      </c>
      <c r="M527" s="123">
        <v>1</v>
      </c>
      <c r="N527" s="123">
        <v>0</v>
      </c>
      <c r="O527" s="123">
        <v>0</v>
      </c>
      <c r="P527" s="7" t="s">
        <v>162</v>
      </c>
      <c r="Q527" s="124" t="s">
        <v>103</v>
      </c>
      <c r="R527" s="1"/>
    </row>
    <row r="528" spans="1:18" ht="13.5" thickBot="1" x14ac:dyDescent="0.25">
      <c r="A528" s="123">
        <v>32</v>
      </c>
      <c r="B528" s="123">
        <v>0</v>
      </c>
      <c r="C528" s="123">
        <v>32</v>
      </c>
      <c r="D528" s="123">
        <v>0</v>
      </c>
      <c r="E528" s="123">
        <v>0</v>
      </c>
      <c r="F528" s="123">
        <v>0</v>
      </c>
      <c r="G528" s="123">
        <v>0</v>
      </c>
      <c r="H528" s="123">
        <v>0</v>
      </c>
      <c r="I528" s="123">
        <v>15</v>
      </c>
      <c r="J528" s="123">
        <v>0</v>
      </c>
      <c r="K528" s="123">
        <v>16</v>
      </c>
      <c r="L528" s="123">
        <v>0</v>
      </c>
      <c r="M528" s="123">
        <v>1</v>
      </c>
      <c r="N528" s="123">
        <v>0</v>
      </c>
      <c r="O528" s="123">
        <v>0</v>
      </c>
      <c r="P528" s="7" t="s">
        <v>13</v>
      </c>
      <c r="Q528" s="9"/>
      <c r="R528" s="1"/>
    </row>
    <row r="529" spans="1:18" ht="13.5" thickBot="1" x14ac:dyDescent="0.25">
      <c r="A529" s="123">
        <v>25</v>
      </c>
      <c r="B529" s="123">
        <v>23</v>
      </c>
      <c r="C529" s="123">
        <v>2</v>
      </c>
      <c r="D529" s="123">
        <v>0</v>
      </c>
      <c r="E529" s="123">
        <v>0</v>
      </c>
      <c r="F529" s="123">
        <v>21</v>
      </c>
      <c r="G529" s="123">
        <v>2</v>
      </c>
      <c r="H529" s="123">
        <v>2</v>
      </c>
      <c r="I529" s="123">
        <v>0</v>
      </c>
      <c r="J529" s="123">
        <v>0</v>
      </c>
      <c r="K529" s="123">
        <v>0</v>
      </c>
      <c r="L529" s="123">
        <v>0</v>
      </c>
      <c r="M529" s="123">
        <v>0</v>
      </c>
      <c r="N529" s="123">
        <v>0</v>
      </c>
      <c r="O529" s="123">
        <v>0</v>
      </c>
      <c r="P529" s="7" t="s">
        <v>163</v>
      </c>
      <c r="Q529" s="124"/>
      <c r="R529" s="1"/>
    </row>
    <row r="530" spans="1:18" ht="13.5" thickBot="1" x14ac:dyDescent="0.25">
      <c r="A530" s="123">
        <v>5</v>
      </c>
      <c r="B530" s="123">
        <v>2</v>
      </c>
      <c r="C530" s="123">
        <v>3</v>
      </c>
      <c r="D530" s="123">
        <v>0</v>
      </c>
      <c r="E530" s="123">
        <v>0</v>
      </c>
      <c r="F530" s="123">
        <v>0</v>
      </c>
      <c r="G530" s="123">
        <v>0</v>
      </c>
      <c r="H530" s="123">
        <v>2</v>
      </c>
      <c r="I530" s="123">
        <v>0</v>
      </c>
      <c r="J530" s="123">
        <v>0</v>
      </c>
      <c r="K530" s="123">
        <v>3</v>
      </c>
      <c r="L530" s="123">
        <v>0</v>
      </c>
      <c r="M530" s="123">
        <v>0</v>
      </c>
      <c r="N530" s="123">
        <v>0</v>
      </c>
      <c r="O530" s="123">
        <v>0</v>
      </c>
      <c r="P530" s="7" t="s">
        <v>162</v>
      </c>
      <c r="Q530" s="124" t="s">
        <v>420</v>
      </c>
      <c r="R530" s="1"/>
    </row>
    <row r="531" spans="1:18" ht="13.5" thickBot="1" x14ac:dyDescent="0.25">
      <c r="A531" s="123">
        <v>30</v>
      </c>
      <c r="B531" s="123">
        <v>25</v>
      </c>
      <c r="C531" s="123">
        <v>5</v>
      </c>
      <c r="D531" s="123">
        <v>0</v>
      </c>
      <c r="E531" s="123">
        <v>0</v>
      </c>
      <c r="F531" s="123">
        <v>21</v>
      </c>
      <c r="G531" s="123">
        <v>2</v>
      </c>
      <c r="H531" s="123">
        <v>4</v>
      </c>
      <c r="I531" s="123">
        <v>0</v>
      </c>
      <c r="J531" s="123">
        <v>0</v>
      </c>
      <c r="K531" s="123">
        <v>3</v>
      </c>
      <c r="L531" s="123">
        <v>0</v>
      </c>
      <c r="M531" s="123">
        <v>0</v>
      </c>
      <c r="N531" s="123">
        <v>0</v>
      </c>
      <c r="O531" s="123">
        <v>0</v>
      </c>
      <c r="P531" s="7" t="s">
        <v>13</v>
      </c>
      <c r="Q531" s="9"/>
      <c r="R531" s="1"/>
    </row>
    <row r="532" spans="1:18" ht="13.5" thickBot="1" x14ac:dyDescent="0.25">
      <c r="A532" s="123">
        <v>38</v>
      </c>
      <c r="B532" s="123">
        <v>38</v>
      </c>
      <c r="C532" s="123">
        <v>0</v>
      </c>
      <c r="D532" s="123">
        <v>0</v>
      </c>
      <c r="E532" s="123">
        <v>0</v>
      </c>
      <c r="F532" s="123">
        <v>23</v>
      </c>
      <c r="G532" s="123">
        <v>0</v>
      </c>
      <c r="H532" s="123">
        <v>10</v>
      </c>
      <c r="I532" s="123">
        <v>0</v>
      </c>
      <c r="J532" s="123">
        <v>5</v>
      </c>
      <c r="K532" s="123">
        <v>0</v>
      </c>
      <c r="L532" s="123">
        <v>0</v>
      </c>
      <c r="M532" s="123">
        <v>0</v>
      </c>
      <c r="N532" s="123">
        <v>0</v>
      </c>
      <c r="O532" s="123">
        <v>0</v>
      </c>
      <c r="P532" s="7" t="s">
        <v>163</v>
      </c>
      <c r="Q532" s="124"/>
      <c r="R532" s="1"/>
    </row>
    <row r="533" spans="1:18" ht="13.5" thickBot="1" x14ac:dyDescent="0.25">
      <c r="A533" s="123">
        <v>26</v>
      </c>
      <c r="B533" s="123">
        <v>15</v>
      </c>
      <c r="C533" s="123">
        <v>11</v>
      </c>
      <c r="D533" s="123">
        <v>0</v>
      </c>
      <c r="E533" s="123">
        <v>0</v>
      </c>
      <c r="F533" s="123">
        <v>0</v>
      </c>
      <c r="G533" s="123">
        <v>0</v>
      </c>
      <c r="H533" s="123">
        <v>4</v>
      </c>
      <c r="I533" s="123">
        <v>0</v>
      </c>
      <c r="J533" s="123">
        <v>9</v>
      </c>
      <c r="K533" s="123">
        <v>6</v>
      </c>
      <c r="L533" s="123">
        <v>2</v>
      </c>
      <c r="M533" s="123">
        <v>3</v>
      </c>
      <c r="N533" s="123">
        <v>0</v>
      </c>
      <c r="O533" s="123">
        <v>2</v>
      </c>
      <c r="P533" s="7" t="s">
        <v>162</v>
      </c>
      <c r="Q533" s="124" t="s">
        <v>421</v>
      </c>
      <c r="R533" s="1"/>
    </row>
    <row r="534" spans="1:18" ht="13.5" thickBot="1" x14ac:dyDescent="0.25">
      <c r="A534" s="123">
        <v>64</v>
      </c>
      <c r="B534" s="123">
        <v>53</v>
      </c>
      <c r="C534" s="123">
        <v>11</v>
      </c>
      <c r="D534" s="123">
        <v>0</v>
      </c>
      <c r="E534" s="123">
        <v>0</v>
      </c>
      <c r="F534" s="123">
        <v>23</v>
      </c>
      <c r="G534" s="123">
        <v>0</v>
      </c>
      <c r="H534" s="123">
        <v>14</v>
      </c>
      <c r="I534" s="123">
        <v>0</v>
      </c>
      <c r="J534" s="123">
        <v>14</v>
      </c>
      <c r="K534" s="123">
        <v>6</v>
      </c>
      <c r="L534" s="123">
        <v>2</v>
      </c>
      <c r="M534" s="123">
        <v>3</v>
      </c>
      <c r="N534" s="123">
        <v>0</v>
      </c>
      <c r="O534" s="123">
        <v>2</v>
      </c>
      <c r="P534" s="7" t="s">
        <v>13</v>
      </c>
      <c r="Q534" s="9"/>
      <c r="R534" s="1"/>
    </row>
    <row r="535" spans="1:18" ht="13.5" thickBot="1" x14ac:dyDescent="0.25">
      <c r="A535" s="123">
        <v>63</v>
      </c>
      <c r="B535" s="123">
        <v>61</v>
      </c>
      <c r="C535" s="123">
        <v>2</v>
      </c>
      <c r="D535" s="123">
        <v>0</v>
      </c>
      <c r="E535" s="123">
        <v>0</v>
      </c>
      <c r="F535" s="123">
        <v>31</v>
      </c>
      <c r="G535" s="123">
        <v>2</v>
      </c>
      <c r="H535" s="123">
        <v>20</v>
      </c>
      <c r="I535" s="123">
        <v>0</v>
      </c>
      <c r="J535" s="123">
        <v>10</v>
      </c>
      <c r="K535" s="123">
        <v>0</v>
      </c>
      <c r="L535" s="123">
        <v>0</v>
      </c>
      <c r="M535" s="123">
        <v>0</v>
      </c>
      <c r="N535" s="123">
        <v>0</v>
      </c>
      <c r="O535" s="123">
        <v>0</v>
      </c>
      <c r="P535" s="7" t="s">
        <v>163</v>
      </c>
      <c r="Q535" s="124"/>
      <c r="R535" s="1"/>
    </row>
    <row r="536" spans="1:18" ht="13.5" thickBot="1" x14ac:dyDescent="0.25">
      <c r="A536" s="123">
        <v>53</v>
      </c>
      <c r="B536" s="123">
        <v>30</v>
      </c>
      <c r="C536" s="123">
        <v>23</v>
      </c>
      <c r="D536" s="123">
        <v>0</v>
      </c>
      <c r="E536" s="123">
        <v>0</v>
      </c>
      <c r="F536" s="123">
        <v>0</v>
      </c>
      <c r="G536" s="123">
        <v>0</v>
      </c>
      <c r="H536" s="123">
        <v>5</v>
      </c>
      <c r="I536" s="123">
        <v>2</v>
      </c>
      <c r="J536" s="123">
        <v>22</v>
      </c>
      <c r="K536" s="123">
        <v>15</v>
      </c>
      <c r="L536" s="123">
        <v>3</v>
      </c>
      <c r="M536" s="123">
        <v>5</v>
      </c>
      <c r="N536" s="123">
        <v>0</v>
      </c>
      <c r="O536" s="123">
        <v>1</v>
      </c>
      <c r="P536" s="7" t="s">
        <v>162</v>
      </c>
      <c r="Q536" s="124" t="s">
        <v>422</v>
      </c>
      <c r="R536" s="1"/>
    </row>
    <row r="537" spans="1:18" ht="13.5" thickBot="1" x14ac:dyDescent="0.25">
      <c r="A537" s="123">
        <v>116</v>
      </c>
      <c r="B537" s="123">
        <v>91</v>
      </c>
      <c r="C537" s="123">
        <v>25</v>
      </c>
      <c r="D537" s="123">
        <v>0</v>
      </c>
      <c r="E537" s="123">
        <v>0</v>
      </c>
      <c r="F537" s="123">
        <v>31</v>
      </c>
      <c r="G537" s="123">
        <v>2</v>
      </c>
      <c r="H537" s="123">
        <v>25</v>
      </c>
      <c r="I537" s="123">
        <v>2</v>
      </c>
      <c r="J537" s="123">
        <v>32</v>
      </c>
      <c r="K537" s="123">
        <v>15</v>
      </c>
      <c r="L537" s="123">
        <v>3</v>
      </c>
      <c r="M537" s="123">
        <v>5</v>
      </c>
      <c r="N537" s="123">
        <v>0</v>
      </c>
      <c r="O537" s="123">
        <v>1</v>
      </c>
      <c r="P537" s="7" t="s">
        <v>13</v>
      </c>
      <c r="Q537" s="9"/>
      <c r="R537" s="1"/>
    </row>
    <row r="538" spans="1:18" ht="13.5" thickBot="1" x14ac:dyDescent="0.25">
      <c r="A538" s="123">
        <v>18</v>
      </c>
      <c r="B538" s="123">
        <v>18</v>
      </c>
      <c r="C538" s="123">
        <v>0</v>
      </c>
      <c r="D538" s="123">
        <v>0</v>
      </c>
      <c r="E538" s="123">
        <v>0</v>
      </c>
      <c r="F538" s="123">
        <v>17</v>
      </c>
      <c r="G538" s="123">
        <v>0</v>
      </c>
      <c r="H538" s="123">
        <v>1</v>
      </c>
      <c r="I538" s="123">
        <v>0</v>
      </c>
      <c r="J538" s="123">
        <v>0</v>
      </c>
      <c r="K538" s="123">
        <v>0</v>
      </c>
      <c r="L538" s="123">
        <v>0</v>
      </c>
      <c r="M538" s="123">
        <v>0</v>
      </c>
      <c r="N538" s="123">
        <v>0</v>
      </c>
      <c r="O538" s="123">
        <v>0</v>
      </c>
      <c r="P538" s="7" t="s">
        <v>163</v>
      </c>
      <c r="Q538" s="124"/>
      <c r="R538" s="1"/>
    </row>
    <row r="539" spans="1:18" ht="13.5" thickBot="1" x14ac:dyDescent="0.25">
      <c r="A539" s="123">
        <v>3</v>
      </c>
      <c r="B539" s="123">
        <v>3</v>
      </c>
      <c r="C539" s="123">
        <v>0</v>
      </c>
      <c r="D539" s="123">
        <v>0</v>
      </c>
      <c r="E539" s="123">
        <v>0</v>
      </c>
      <c r="F539" s="123">
        <v>0</v>
      </c>
      <c r="G539" s="123">
        <v>0</v>
      </c>
      <c r="H539" s="123">
        <v>3</v>
      </c>
      <c r="I539" s="123">
        <v>0</v>
      </c>
      <c r="J539" s="123">
        <v>0</v>
      </c>
      <c r="K539" s="123">
        <v>0</v>
      </c>
      <c r="L539" s="123">
        <v>0</v>
      </c>
      <c r="M539" s="123">
        <v>0</v>
      </c>
      <c r="N539" s="123">
        <v>0</v>
      </c>
      <c r="O539" s="123">
        <v>0</v>
      </c>
      <c r="P539" s="7" t="s">
        <v>162</v>
      </c>
      <c r="Q539" s="124" t="s">
        <v>423</v>
      </c>
      <c r="R539" s="1"/>
    </row>
    <row r="540" spans="1:18" ht="13.5" thickBot="1" x14ac:dyDescent="0.25">
      <c r="A540" s="123">
        <v>21</v>
      </c>
      <c r="B540" s="123">
        <v>21</v>
      </c>
      <c r="C540" s="123">
        <v>0</v>
      </c>
      <c r="D540" s="123">
        <v>0</v>
      </c>
      <c r="E540" s="123">
        <v>0</v>
      </c>
      <c r="F540" s="123">
        <v>17</v>
      </c>
      <c r="G540" s="123">
        <v>0</v>
      </c>
      <c r="H540" s="123">
        <v>4</v>
      </c>
      <c r="I540" s="123">
        <v>0</v>
      </c>
      <c r="J540" s="123">
        <v>0</v>
      </c>
      <c r="K540" s="123">
        <v>0</v>
      </c>
      <c r="L540" s="123">
        <v>0</v>
      </c>
      <c r="M540" s="123">
        <v>0</v>
      </c>
      <c r="N540" s="123">
        <v>0</v>
      </c>
      <c r="O540" s="123">
        <v>0</v>
      </c>
      <c r="P540" s="7" t="s">
        <v>13</v>
      </c>
      <c r="Q540" s="9"/>
      <c r="R540" s="1"/>
    </row>
    <row r="541" spans="1:18" ht="13.5" thickBot="1" x14ac:dyDescent="0.25">
      <c r="A541" s="123">
        <v>19</v>
      </c>
      <c r="B541" s="123">
        <v>19</v>
      </c>
      <c r="C541" s="123">
        <v>0</v>
      </c>
      <c r="D541" s="123">
        <v>0</v>
      </c>
      <c r="E541" s="123">
        <v>0</v>
      </c>
      <c r="F541" s="123">
        <v>19</v>
      </c>
      <c r="G541" s="123">
        <v>0</v>
      </c>
      <c r="H541" s="123">
        <v>0</v>
      </c>
      <c r="I541" s="123">
        <v>0</v>
      </c>
      <c r="J541" s="123">
        <v>0</v>
      </c>
      <c r="K541" s="123">
        <v>0</v>
      </c>
      <c r="L541" s="123">
        <v>0</v>
      </c>
      <c r="M541" s="123">
        <v>0</v>
      </c>
      <c r="N541" s="123">
        <v>0</v>
      </c>
      <c r="O541" s="123">
        <v>0</v>
      </c>
      <c r="P541" s="7" t="s">
        <v>163</v>
      </c>
      <c r="Q541" s="124"/>
      <c r="R541" s="1"/>
    </row>
    <row r="542" spans="1:18" ht="13.5" thickBot="1" x14ac:dyDescent="0.25">
      <c r="A542" s="123">
        <v>2</v>
      </c>
      <c r="B542" s="123">
        <v>1</v>
      </c>
      <c r="C542" s="123">
        <v>1</v>
      </c>
      <c r="D542" s="123">
        <v>0</v>
      </c>
      <c r="E542" s="123">
        <v>0</v>
      </c>
      <c r="F542" s="123">
        <v>0</v>
      </c>
      <c r="G542" s="123">
        <v>0</v>
      </c>
      <c r="H542" s="123">
        <v>1</v>
      </c>
      <c r="I542" s="123">
        <v>0</v>
      </c>
      <c r="J542" s="123">
        <v>0</v>
      </c>
      <c r="K542" s="123">
        <v>1</v>
      </c>
      <c r="L542" s="123">
        <v>0</v>
      </c>
      <c r="M542" s="123">
        <v>0</v>
      </c>
      <c r="N542" s="123">
        <v>0</v>
      </c>
      <c r="O542" s="123">
        <v>0</v>
      </c>
      <c r="P542" s="7" t="s">
        <v>162</v>
      </c>
      <c r="Q542" s="124" t="s">
        <v>424</v>
      </c>
      <c r="R542" s="1"/>
    </row>
    <row r="543" spans="1:18" ht="13.5" thickBot="1" x14ac:dyDescent="0.25">
      <c r="A543" s="123">
        <v>21</v>
      </c>
      <c r="B543" s="123">
        <v>20</v>
      </c>
      <c r="C543" s="123">
        <v>1</v>
      </c>
      <c r="D543" s="123">
        <v>0</v>
      </c>
      <c r="E543" s="123">
        <v>0</v>
      </c>
      <c r="F543" s="123">
        <v>19</v>
      </c>
      <c r="G543" s="123">
        <v>0</v>
      </c>
      <c r="H543" s="123">
        <v>1</v>
      </c>
      <c r="I543" s="123">
        <v>0</v>
      </c>
      <c r="J543" s="123">
        <v>0</v>
      </c>
      <c r="K543" s="123">
        <v>1</v>
      </c>
      <c r="L543" s="123">
        <v>0</v>
      </c>
      <c r="M543" s="123">
        <v>0</v>
      </c>
      <c r="N543" s="123">
        <v>0</v>
      </c>
      <c r="O543" s="123">
        <v>0</v>
      </c>
      <c r="P543" s="7" t="s">
        <v>13</v>
      </c>
      <c r="Q543" s="9"/>
      <c r="R543" s="1"/>
    </row>
    <row r="544" spans="1:18" ht="13.5" thickBot="1" x14ac:dyDescent="0.25">
      <c r="A544" s="123">
        <v>9</v>
      </c>
      <c r="B544" s="123">
        <v>9</v>
      </c>
      <c r="C544" s="123">
        <v>0</v>
      </c>
      <c r="D544" s="123">
        <v>0</v>
      </c>
      <c r="E544" s="123">
        <v>0</v>
      </c>
      <c r="F544" s="123">
        <v>9</v>
      </c>
      <c r="G544" s="123">
        <v>0</v>
      </c>
      <c r="H544" s="123">
        <v>0</v>
      </c>
      <c r="I544" s="123">
        <v>0</v>
      </c>
      <c r="J544" s="123">
        <v>0</v>
      </c>
      <c r="K544" s="123">
        <v>0</v>
      </c>
      <c r="L544" s="123">
        <v>0</v>
      </c>
      <c r="M544" s="123">
        <v>0</v>
      </c>
      <c r="N544" s="123">
        <v>0</v>
      </c>
      <c r="O544" s="123">
        <v>0</v>
      </c>
      <c r="P544" s="7" t="s">
        <v>163</v>
      </c>
      <c r="Q544" s="124"/>
      <c r="R544" s="1"/>
    </row>
    <row r="545" spans="1:18" ht="13.5" thickBot="1" x14ac:dyDescent="0.25">
      <c r="A545" s="123">
        <v>11</v>
      </c>
      <c r="B545" s="123">
        <v>8</v>
      </c>
      <c r="C545" s="123">
        <v>3</v>
      </c>
      <c r="D545" s="123">
        <v>0</v>
      </c>
      <c r="E545" s="123">
        <v>0</v>
      </c>
      <c r="F545" s="123">
        <v>0</v>
      </c>
      <c r="G545" s="123">
        <v>0</v>
      </c>
      <c r="H545" s="123">
        <v>3</v>
      </c>
      <c r="I545" s="123">
        <v>1</v>
      </c>
      <c r="J545" s="123">
        <v>5</v>
      </c>
      <c r="K545" s="123">
        <v>2</v>
      </c>
      <c r="L545" s="123">
        <v>0</v>
      </c>
      <c r="M545" s="123">
        <v>0</v>
      </c>
      <c r="N545" s="123">
        <v>0</v>
      </c>
      <c r="O545" s="123">
        <v>0</v>
      </c>
      <c r="P545" s="7" t="s">
        <v>162</v>
      </c>
      <c r="Q545" s="124" t="s">
        <v>425</v>
      </c>
      <c r="R545" s="1"/>
    </row>
    <row r="546" spans="1:18" ht="13.5" thickBot="1" x14ac:dyDescent="0.25">
      <c r="A546" s="123">
        <v>20</v>
      </c>
      <c r="B546" s="123">
        <v>17</v>
      </c>
      <c r="C546" s="123">
        <v>3</v>
      </c>
      <c r="D546" s="123">
        <v>0</v>
      </c>
      <c r="E546" s="123">
        <v>0</v>
      </c>
      <c r="F546" s="123">
        <v>9</v>
      </c>
      <c r="G546" s="123">
        <v>0</v>
      </c>
      <c r="H546" s="123">
        <v>3</v>
      </c>
      <c r="I546" s="123">
        <v>1</v>
      </c>
      <c r="J546" s="123">
        <v>5</v>
      </c>
      <c r="K546" s="123">
        <v>2</v>
      </c>
      <c r="L546" s="123">
        <v>0</v>
      </c>
      <c r="M546" s="123">
        <v>0</v>
      </c>
      <c r="N546" s="123">
        <v>0</v>
      </c>
      <c r="O546" s="123">
        <v>0</v>
      </c>
      <c r="P546" s="7" t="s">
        <v>13</v>
      </c>
      <c r="Q546" s="9"/>
      <c r="R546" s="1"/>
    </row>
    <row r="547" spans="1:18" ht="13.5" thickBot="1" x14ac:dyDescent="0.25">
      <c r="A547" s="123">
        <v>23</v>
      </c>
      <c r="B547" s="123">
        <v>23</v>
      </c>
      <c r="C547" s="123">
        <v>0</v>
      </c>
      <c r="D547" s="123">
        <v>0</v>
      </c>
      <c r="E547" s="123">
        <v>0</v>
      </c>
      <c r="F547" s="123">
        <v>23</v>
      </c>
      <c r="G547" s="123">
        <v>0</v>
      </c>
      <c r="H547" s="123">
        <v>0</v>
      </c>
      <c r="I547" s="123">
        <v>0</v>
      </c>
      <c r="J547" s="123">
        <v>0</v>
      </c>
      <c r="K547" s="123">
        <v>0</v>
      </c>
      <c r="L547" s="123">
        <v>0</v>
      </c>
      <c r="M547" s="123">
        <v>0</v>
      </c>
      <c r="N547" s="123">
        <v>0</v>
      </c>
      <c r="O547" s="123">
        <v>0</v>
      </c>
      <c r="P547" s="7" t="s">
        <v>163</v>
      </c>
      <c r="Q547" s="124"/>
      <c r="R547" s="1"/>
    </row>
    <row r="548" spans="1:18" ht="13.5" thickBot="1" x14ac:dyDescent="0.25">
      <c r="A548" s="123">
        <v>9</v>
      </c>
      <c r="B548" s="123">
        <v>5</v>
      </c>
      <c r="C548" s="123">
        <v>4</v>
      </c>
      <c r="D548" s="123">
        <v>0</v>
      </c>
      <c r="E548" s="123">
        <v>0</v>
      </c>
      <c r="F548" s="123">
        <v>0</v>
      </c>
      <c r="G548" s="123">
        <v>0</v>
      </c>
      <c r="H548" s="123">
        <v>2</v>
      </c>
      <c r="I548" s="123">
        <v>1</v>
      </c>
      <c r="J548" s="123">
        <v>3</v>
      </c>
      <c r="K548" s="123">
        <v>3</v>
      </c>
      <c r="L548" s="123">
        <v>0</v>
      </c>
      <c r="M548" s="123">
        <v>0</v>
      </c>
      <c r="N548" s="123">
        <v>0</v>
      </c>
      <c r="O548" s="123">
        <v>0</v>
      </c>
      <c r="P548" s="7" t="s">
        <v>162</v>
      </c>
      <c r="Q548" s="124" t="s">
        <v>426</v>
      </c>
      <c r="R548" s="1"/>
    </row>
    <row r="549" spans="1:18" ht="13.5" thickBot="1" x14ac:dyDescent="0.25">
      <c r="A549" s="123">
        <v>32</v>
      </c>
      <c r="B549" s="123">
        <v>28</v>
      </c>
      <c r="C549" s="123">
        <v>4</v>
      </c>
      <c r="D549" s="123">
        <v>0</v>
      </c>
      <c r="E549" s="123">
        <v>0</v>
      </c>
      <c r="F549" s="123">
        <v>23</v>
      </c>
      <c r="G549" s="123">
        <v>0</v>
      </c>
      <c r="H549" s="123">
        <v>2</v>
      </c>
      <c r="I549" s="123">
        <v>1</v>
      </c>
      <c r="J549" s="123">
        <v>3</v>
      </c>
      <c r="K549" s="123">
        <v>3</v>
      </c>
      <c r="L549" s="123">
        <v>0</v>
      </c>
      <c r="M549" s="123">
        <v>0</v>
      </c>
      <c r="N549" s="123">
        <v>0</v>
      </c>
      <c r="O549" s="123">
        <v>0</v>
      </c>
      <c r="P549" s="7" t="s">
        <v>13</v>
      </c>
      <c r="Q549" s="9"/>
      <c r="R549" s="1"/>
    </row>
    <row r="550" spans="1:18" ht="13.5" thickBot="1" x14ac:dyDescent="0.25">
      <c r="A550" s="123">
        <v>6</v>
      </c>
      <c r="B550" s="123">
        <v>6</v>
      </c>
      <c r="C550" s="123">
        <v>0</v>
      </c>
      <c r="D550" s="123">
        <v>0</v>
      </c>
      <c r="E550" s="123">
        <v>0</v>
      </c>
      <c r="F550" s="123">
        <v>4</v>
      </c>
      <c r="G550" s="123">
        <v>0</v>
      </c>
      <c r="H550" s="123">
        <v>0</v>
      </c>
      <c r="I550" s="123">
        <v>0</v>
      </c>
      <c r="J550" s="123">
        <v>2</v>
      </c>
      <c r="K550" s="123">
        <v>0</v>
      </c>
      <c r="L550" s="123">
        <v>0</v>
      </c>
      <c r="M550" s="123">
        <v>0</v>
      </c>
      <c r="N550" s="123">
        <v>0</v>
      </c>
      <c r="O550" s="123">
        <v>0</v>
      </c>
      <c r="P550" s="7" t="s">
        <v>163</v>
      </c>
      <c r="Q550" s="124"/>
      <c r="R550" s="1"/>
    </row>
    <row r="551" spans="1:18" ht="13.5" thickBot="1" x14ac:dyDescent="0.25">
      <c r="A551" s="123">
        <v>31</v>
      </c>
      <c r="B551" s="123">
        <v>25</v>
      </c>
      <c r="C551" s="123">
        <v>6</v>
      </c>
      <c r="D551" s="123">
        <v>0</v>
      </c>
      <c r="E551" s="123">
        <v>0</v>
      </c>
      <c r="F551" s="123">
        <v>0</v>
      </c>
      <c r="G551" s="123">
        <v>0</v>
      </c>
      <c r="H551" s="123">
        <v>12</v>
      </c>
      <c r="I551" s="123">
        <v>3</v>
      </c>
      <c r="J551" s="123">
        <v>13</v>
      </c>
      <c r="K551" s="123">
        <v>3</v>
      </c>
      <c r="L551" s="123">
        <v>0</v>
      </c>
      <c r="M551" s="123">
        <v>0</v>
      </c>
      <c r="N551" s="123">
        <v>0</v>
      </c>
      <c r="O551" s="123">
        <v>0</v>
      </c>
      <c r="P551" s="7" t="s">
        <v>162</v>
      </c>
      <c r="Q551" s="124" t="s">
        <v>104</v>
      </c>
      <c r="R551" s="1"/>
    </row>
    <row r="552" spans="1:18" ht="13.5" thickBot="1" x14ac:dyDescent="0.25">
      <c r="A552" s="123">
        <v>37</v>
      </c>
      <c r="B552" s="123">
        <v>31</v>
      </c>
      <c r="C552" s="123">
        <v>6</v>
      </c>
      <c r="D552" s="123">
        <v>0</v>
      </c>
      <c r="E552" s="123">
        <v>0</v>
      </c>
      <c r="F552" s="123">
        <v>4</v>
      </c>
      <c r="G552" s="123">
        <v>0</v>
      </c>
      <c r="H552" s="123">
        <v>12</v>
      </c>
      <c r="I552" s="123">
        <v>3</v>
      </c>
      <c r="J552" s="123">
        <v>15</v>
      </c>
      <c r="K552" s="123">
        <v>3</v>
      </c>
      <c r="L552" s="123">
        <v>0</v>
      </c>
      <c r="M552" s="123">
        <v>0</v>
      </c>
      <c r="N552" s="123">
        <v>0</v>
      </c>
      <c r="O552" s="123">
        <v>0</v>
      </c>
      <c r="P552" s="7" t="s">
        <v>13</v>
      </c>
      <c r="Q552" s="9"/>
      <c r="R552" s="1"/>
    </row>
    <row r="553" spans="1:18" ht="13.5" thickBot="1" x14ac:dyDescent="0.25">
      <c r="A553" s="123">
        <v>26</v>
      </c>
      <c r="B553" s="123">
        <v>26</v>
      </c>
      <c r="C553" s="123">
        <v>0</v>
      </c>
      <c r="D553" s="123">
        <v>0</v>
      </c>
      <c r="E553" s="123">
        <v>0</v>
      </c>
      <c r="F553" s="123">
        <v>26</v>
      </c>
      <c r="G553" s="123">
        <v>0</v>
      </c>
      <c r="H553" s="123">
        <v>0</v>
      </c>
      <c r="I553" s="123">
        <v>0</v>
      </c>
      <c r="J553" s="123">
        <v>0</v>
      </c>
      <c r="K553" s="123">
        <v>0</v>
      </c>
      <c r="L553" s="123">
        <v>0</v>
      </c>
      <c r="M553" s="123">
        <v>0</v>
      </c>
      <c r="N553" s="123">
        <v>0</v>
      </c>
      <c r="O553" s="123">
        <v>0</v>
      </c>
      <c r="P553" s="7" t="s">
        <v>163</v>
      </c>
      <c r="Q553" s="124"/>
      <c r="R553" s="1"/>
    </row>
    <row r="554" spans="1:18" ht="13.5" thickBot="1" x14ac:dyDescent="0.25">
      <c r="A554" s="123">
        <v>7</v>
      </c>
      <c r="B554" s="123">
        <v>6</v>
      </c>
      <c r="C554" s="123">
        <v>1</v>
      </c>
      <c r="D554" s="123">
        <v>0</v>
      </c>
      <c r="E554" s="123">
        <v>0</v>
      </c>
      <c r="F554" s="123">
        <v>0</v>
      </c>
      <c r="G554" s="123">
        <v>0</v>
      </c>
      <c r="H554" s="123">
        <v>1</v>
      </c>
      <c r="I554" s="123">
        <v>0</v>
      </c>
      <c r="J554" s="123">
        <v>5</v>
      </c>
      <c r="K554" s="123">
        <v>1</v>
      </c>
      <c r="L554" s="123">
        <v>0</v>
      </c>
      <c r="M554" s="123">
        <v>0</v>
      </c>
      <c r="N554" s="123">
        <v>0</v>
      </c>
      <c r="O554" s="123">
        <v>0</v>
      </c>
      <c r="P554" s="7" t="s">
        <v>162</v>
      </c>
      <c r="Q554" s="124" t="s">
        <v>427</v>
      </c>
      <c r="R554" s="1"/>
    </row>
    <row r="555" spans="1:18" ht="13.5" thickBot="1" x14ac:dyDescent="0.25">
      <c r="A555" s="123">
        <v>33</v>
      </c>
      <c r="B555" s="123">
        <v>32</v>
      </c>
      <c r="C555" s="123">
        <v>1</v>
      </c>
      <c r="D555" s="123">
        <v>0</v>
      </c>
      <c r="E555" s="123">
        <v>0</v>
      </c>
      <c r="F555" s="123">
        <v>26</v>
      </c>
      <c r="G555" s="123">
        <v>0</v>
      </c>
      <c r="H555" s="123">
        <v>1</v>
      </c>
      <c r="I555" s="123">
        <v>0</v>
      </c>
      <c r="J555" s="123">
        <v>5</v>
      </c>
      <c r="K555" s="123">
        <v>1</v>
      </c>
      <c r="L555" s="123">
        <v>0</v>
      </c>
      <c r="M555" s="123">
        <v>0</v>
      </c>
      <c r="N555" s="123">
        <v>0</v>
      </c>
      <c r="O555" s="123">
        <v>0</v>
      </c>
      <c r="P555" s="7" t="s">
        <v>13</v>
      </c>
      <c r="Q555" s="9"/>
      <c r="R555" s="1"/>
    </row>
    <row r="556" spans="1:18" ht="13.5" thickBot="1" x14ac:dyDescent="0.25">
      <c r="A556" s="123">
        <v>1</v>
      </c>
      <c r="B556" s="123">
        <v>1</v>
      </c>
      <c r="C556" s="123">
        <v>0</v>
      </c>
      <c r="D556" s="123">
        <v>0</v>
      </c>
      <c r="E556" s="123">
        <v>0</v>
      </c>
      <c r="F556" s="123">
        <v>1</v>
      </c>
      <c r="G556" s="123">
        <v>0</v>
      </c>
      <c r="H556" s="123">
        <v>0</v>
      </c>
      <c r="I556" s="123">
        <v>0</v>
      </c>
      <c r="J556" s="123">
        <v>0</v>
      </c>
      <c r="K556" s="123">
        <v>0</v>
      </c>
      <c r="L556" s="123">
        <v>0</v>
      </c>
      <c r="M556" s="123">
        <v>0</v>
      </c>
      <c r="N556" s="123">
        <v>0</v>
      </c>
      <c r="O556" s="123">
        <v>0</v>
      </c>
      <c r="P556" s="7" t="s">
        <v>163</v>
      </c>
      <c r="Q556" s="124"/>
      <c r="R556" s="1"/>
    </row>
    <row r="557" spans="1:18" ht="13.5" thickBot="1" x14ac:dyDescent="0.25">
      <c r="A557" s="123">
        <v>3</v>
      </c>
      <c r="B557" s="123">
        <v>3</v>
      </c>
      <c r="C557" s="123">
        <v>0</v>
      </c>
      <c r="D557" s="123">
        <v>0</v>
      </c>
      <c r="E557" s="123">
        <v>0</v>
      </c>
      <c r="F557" s="123">
        <v>0</v>
      </c>
      <c r="G557" s="123">
        <v>0</v>
      </c>
      <c r="H557" s="123">
        <v>2</v>
      </c>
      <c r="I557" s="123">
        <v>0</v>
      </c>
      <c r="J557" s="123">
        <v>1</v>
      </c>
      <c r="K557" s="123">
        <v>0</v>
      </c>
      <c r="L557" s="123">
        <v>0</v>
      </c>
      <c r="M557" s="123">
        <v>0</v>
      </c>
      <c r="N557" s="123">
        <v>0</v>
      </c>
      <c r="O557" s="123">
        <v>0</v>
      </c>
      <c r="P557" s="7" t="s">
        <v>162</v>
      </c>
      <c r="Q557" s="124" t="s">
        <v>635</v>
      </c>
      <c r="R557" s="1"/>
    </row>
    <row r="558" spans="1:18" ht="13.5" thickBot="1" x14ac:dyDescent="0.25">
      <c r="A558" s="123">
        <v>4</v>
      </c>
      <c r="B558" s="123">
        <v>4</v>
      </c>
      <c r="C558" s="123">
        <v>0</v>
      </c>
      <c r="D558" s="123">
        <v>0</v>
      </c>
      <c r="E558" s="123">
        <v>0</v>
      </c>
      <c r="F558" s="123">
        <v>1</v>
      </c>
      <c r="G558" s="123">
        <v>0</v>
      </c>
      <c r="H558" s="123">
        <v>2</v>
      </c>
      <c r="I558" s="123">
        <v>0</v>
      </c>
      <c r="J558" s="123">
        <v>1</v>
      </c>
      <c r="K558" s="123">
        <v>0</v>
      </c>
      <c r="L558" s="123">
        <v>0</v>
      </c>
      <c r="M558" s="123">
        <v>0</v>
      </c>
      <c r="N558" s="123">
        <v>0</v>
      </c>
      <c r="O558" s="123">
        <v>0</v>
      </c>
      <c r="P558" s="7" t="s">
        <v>13</v>
      </c>
      <c r="Q558" s="9"/>
      <c r="R558" s="1"/>
    </row>
    <row r="559" spans="1:18" ht="13.5" thickBot="1" x14ac:dyDescent="0.25">
      <c r="A559" s="123">
        <v>3</v>
      </c>
      <c r="B559" s="123">
        <v>2</v>
      </c>
      <c r="C559" s="123">
        <v>1</v>
      </c>
      <c r="D559" s="123">
        <v>0</v>
      </c>
      <c r="E559" s="123">
        <v>0</v>
      </c>
      <c r="F559" s="123">
        <v>2</v>
      </c>
      <c r="G559" s="123">
        <v>1</v>
      </c>
      <c r="H559" s="123">
        <v>0</v>
      </c>
      <c r="I559" s="123">
        <v>0</v>
      </c>
      <c r="J559" s="123">
        <v>0</v>
      </c>
      <c r="K559" s="123">
        <v>0</v>
      </c>
      <c r="L559" s="123">
        <v>0</v>
      </c>
      <c r="M559" s="123">
        <v>0</v>
      </c>
      <c r="N559" s="123">
        <v>0</v>
      </c>
      <c r="O559" s="123">
        <v>0</v>
      </c>
      <c r="P559" s="7" t="s">
        <v>163</v>
      </c>
      <c r="Q559" s="124"/>
      <c r="R559" s="1"/>
    </row>
    <row r="560" spans="1:18" ht="13.5" thickBot="1" x14ac:dyDescent="0.25">
      <c r="A560" s="123">
        <v>3</v>
      </c>
      <c r="B560" s="123">
        <v>0</v>
      </c>
      <c r="C560" s="123">
        <v>3</v>
      </c>
      <c r="D560" s="123">
        <v>0</v>
      </c>
      <c r="E560" s="123">
        <v>0</v>
      </c>
      <c r="F560" s="123">
        <v>0</v>
      </c>
      <c r="G560" s="123">
        <v>0</v>
      </c>
      <c r="H560" s="123">
        <v>0</v>
      </c>
      <c r="I560" s="123">
        <v>1</v>
      </c>
      <c r="J560" s="123">
        <v>0</v>
      </c>
      <c r="K560" s="123">
        <v>2</v>
      </c>
      <c r="L560" s="123">
        <v>0</v>
      </c>
      <c r="M560" s="123">
        <v>0</v>
      </c>
      <c r="N560" s="123">
        <v>0</v>
      </c>
      <c r="O560" s="123">
        <v>0</v>
      </c>
      <c r="P560" s="7" t="s">
        <v>162</v>
      </c>
      <c r="Q560" s="124" t="s">
        <v>430</v>
      </c>
      <c r="R560" s="1"/>
    </row>
    <row r="561" spans="1:18" ht="13.5" thickBot="1" x14ac:dyDescent="0.25">
      <c r="A561" s="123">
        <v>6</v>
      </c>
      <c r="B561" s="123">
        <v>2</v>
      </c>
      <c r="C561" s="123">
        <v>4</v>
      </c>
      <c r="D561" s="123">
        <v>0</v>
      </c>
      <c r="E561" s="123">
        <v>0</v>
      </c>
      <c r="F561" s="123">
        <v>2</v>
      </c>
      <c r="G561" s="123">
        <v>1</v>
      </c>
      <c r="H561" s="123">
        <v>0</v>
      </c>
      <c r="I561" s="123">
        <v>1</v>
      </c>
      <c r="J561" s="123">
        <v>0</v>
      </c>
      <c r="K561" s="123">
        <v>2</v>
      </c>
      <c r="L561" s="123">
        <v>0</v>
      </c>
      <c r="M561" s="123">
        <v>0</v>
      </c>
      <c r="N561" s="123">
        <v>0</v>
      </c>
      <c r="O561" s="123">
        <v>0</v>
      </c>
      <c r="P561" s="7" t="s">
        <v>13</v>
      </c>
      <c r="Q561" s="9"/>
      <c r="R561" s="1"/>
    </row>
    <row r="562" spans="1:18" ht="13.5" thickBot="1" x14ac:dyDescent="0.25">
      <c r="A562" s="123">
        <v>17</v>
      </c>
      <c r="B562" s="123">
        <v>17</v>
      </c>
      <c r="C562" s="123">
        <v>0</v>
      </c>
      <c r="D562" s="123">
        <v>0</v>
      </c>
      <c r="E562" s="123">
        <v>0</v>
      </c>
      <c r="F562" s="123">
        <v>17</v>
      </c>
      <c r="G562" s="123">
        <v>0</v>
      </c>
      <c r="H562" s="123">
        <v>0</v>
      </c>
      <c r="I562" s="123">
        <v>0</v>
      </c>
      <c r="J562" s="123">
        <v>0</v>
      </c>
      <c r="K562" s="123">
        <v>0</v>
      </c>
      <c r="L562" s="123">
        <v>0</v>
      </c>
      <c r="M562" s="123">
        <v>0</v>
      </c>
      <c r="N562" s="123">
        <v>0</v>
      </c>
      <c r="O562" s="123">
        <v>0</v>
      </c>
      <c r="P562" s="7" t="s">
        <v>163</v>
      </c>
      <c r="Q562" s="124"/>
      <c r="R562" s="1"/>
    </row>
    <row r="563" spans="1:18" ht="13.5" thickBot="1" x14ac:dyDescent="0.25">
      <c r="A563" s="123">
        <v>16</v>
      </c>
      <c r="B563" s="123">
        <v>11</v>
      </c>
      <c r="C563" s="123">
        <v>5</v>
      </c>
      <c r="D563" s="123">
        <v>0</v>
      </c>
      <c r="E563" s="123">
        <v>0</v>
      </c>
      <c r="F563" s="123">
        <v>0</v>
      </c>
      <c r="G563" s="123">
        <v>0</v>
      </c>
      <c r="H563" s="123">
        <v>7</v>
      </c>
      <c r="I563" s="123">
        <v>0</v>
      </c>
      <c r="J563" s="123">
        <v>4</v>
      </c>
      <c r="K563" s="123">
        <v>5</v>
      </c>
      <c r="L563" s="123">
        <v>0</v>
      </c>
      <c r="M563" s="123">
        <v>0</v>
      </c>
      <c r="N563" s="123">
        <v>0</v>
      </c>
      <c r="O563" s="123">
        <v>0</v>
      </c>
      <c r="P563" s="7" t="s">
        <v>162</v>
      </c>
      <c r="Q563" s="124" t="s">
        <v>431</v>
      </c>
      <c r="R563" s="1"/>
    </row>
    <row r="564" spans="1:18" ht="13.5" thickBot="1" x14ac:dyDescent="0.25">
      <c r="A564" s="123">
        <v>33</v>
      </c>
      <c r="B564" s="123">
        <v>28</v>
      </c>
      <c r="C564" s="123">
        <v>5</v>
      </c>
      <c r="D564" s="123">
        <v>0</v>
      </c>
      <c r="E564" s="123">
        <v>0</v>
      </c>
      <c r="F564" s="123">
        <v>17</v>
      </c>
      <c r="G564" s="123">
        <v>0</v>
      </c>
      <c r="H564" s="123">
        <v>7</v>
      </c>
      <c r="I564" s="123">
        <v>0</v>
      </c>
      <c r="J564" s="123">
        <v>4</v>
      </c>
      <c r="K564" s="123">
        <v>5</v>
      </c>
      <c r="L564" s="123">
        <v>0</v>
      </c>
      <c r="M564" s="123">
        <v>0</v>
      </c>
      <c r="N564" s="123">
        <v>0</v>
      </c>
      <c r="O564" s="123">
        <v>0</v>
      </c>
      <c r="P564" s="7" t="s">
        <v>13</v>
      </c>
      <c r="Q564" s="9"/>
      <c r="R564" s="1"/>
    </row>
    <row r="565" spans="1:18" ht="13.5" thickBot="1" x14ac:dyDescent="0.25">
      <c r="A565" s="123">
        <v>15</v>
      </c>
      <c r="B565" s="123">
        <v>15</v>
      </c>
      <c r="C565" s="123">
        <v>0</v>
      </c>
      <c r="D565" s="123">
        <v>0</v>
      </c>
      <c r="E565" s="123">
        <v>0</v>
      </c>
      <c r="F565" s="123">
        <v>15</v>
      </c>
      <c r="G565" s="123">
        <v>0</v>
      </c>
      <c r="H565" s="123">
        <v>0</v>
      </c>
      <c r="I565" s="123">
        <v>0</v>
      </c>
      <c r="J565" s="123">
        <v>0</v>
      </c>
      <c r="K565" s="123">
        <v>0</v>
      </c>
      <c r="L565" s="123">
        <v>0</v>
      </c>
      <c r="M565" s="123">
        <v>0</v>
      </c>
      <c r="N565" s="123">
        <v>0</v>
      </c>
      <c r="O565" s="123">
        <v>0</v>
      </c>
      <c r="P565" s="7" t="s">
        <v>163</v>
      </c>
      <c r="Q565" s="124"/>
      <c r="R565" s="1"/>
    </row>
    <row r="566" spans="1:18" ht="13.5" thickBot="1" x14ac:dyDescent="0.25">
      <c r="A566" s="123">
        <v>4</v>
      </c>
      <c r="B566" s="123">
        <v>3</v>
      </c>
      <c r="C566" s="123">
        <v>1</v>
      </c>
      <c r="D566" s="123">
        <v>0</v>
      </c>
      <c r="E566" s="123">
        <v>0</v>
      </c>
      <c r="F566" s="123">
        <v>0</v>
      </c>
      <c r="G566" s="123">
        <v>0</v>
      </c>
      <c r="H566" s="123">
        <v>1</v>
      </c>
      <c r="I566" s="123">
        <v>0</v>
      </c>
      <c r="J566" s="123">
        <v>2</v>
      </c>
      <c r="K566" s="123">
        <v>1</v>
      </c>
      <c r="L566" s="123">
        <v>0</v>
      </c>
      <c r="M566" s="123">
        <v>0</v>
      </c>
      <c r="N566" s="123">
        <v>0</v>
      </c>
      <c r="O566" s="123">
        <v>0</v>
      </c>
      <c r="P566" s="7" t="s">
        <v>162</v>
      </c>
      <c r="Q566" s="124" t="s">
        <v>429</v>
      </c>
      <c r="R566" s="1"/>
    </row>
    <row r="567" spans="1:18" ht="13.5" thickBot="1" x14ac:dyDescent="0.25">
      <c r="A567" s="123">
        <v>19</v>
      </c>
      <c r="B567" s="123">
        <v>18</v>
      </c>
      <c r="C567" s="123">
        <v>1</v>
      </c>
      <c r="D567" s="123">
        <v>0</v>
      </c>
      <c r="E567" s="123">
        <v>0</v>
      </c>
      <c r="F567" s="123">
        <v>15</v>
      </c>
      <c r="G567" s="123">
        <v>0</v>
      </c>
      <c r="H567" s="123">
        <v>1</v>
      </c>
      <c r="I567" s="123">
        <v>0</v>
      </c>
      <c r="J567" s="123">
        <v>2</v>
      </c>
      <c r="K567" s="123">
        <v>1</v>
      </c>
      <c r="L567" s="123">
        <v>0</v>
      </c>
      <c r="M567" s="123">
        <v>0</v>
      </c>
      <c r="N567" s="123">
        <v>0</v>
      </c>
      <c r="O567" s="123">
        <v>0</v>
      </c>
      <c r="P567" s="7" t="s">
        <v>13</v>
      </c>
      <c r="Q567" s="9"/>
      <c r="R567" s="1"/>
    </row>
    <row r="568" spans="1:18" ht="13.5" thickBot="1" x14ac:dyDescent="0.25">
      <c r="A568" s="123">
        <v>3</v>
      </c>
      <c r="B568" s="123">
        <v>0</v>
      </c>
      <c r="C568" s="123">
        <v>3</v>
      </c>
      <c r="D568" s="123">
        <v>0</v>
      </c>
      <c r="E568" s="123">
        <v>0</v>
      </c>
      <c r="F568" s="123">
        <v>0</v>
      </c>
      <c r="G568" s="123">
        <v>2</v>
      </c>
      <c r="H568" s="123">
        <v>0</v>
      </c>
      <c r="I568" s="123">
        <v>1</v>
      </c>
      <c r="J568" s="123">
        <v>0</v>
      </c>
      <c r="K568" s="123">
        <v>0</v>
      </c>
      <c r="L568" s="123">
        <v>0</v>
      </c>
      <c r="M568" s="123">
        <v>0</v>
      </c>
      <c r="N568" s="123">
        <v>0</v>
      </c>
      <c r="O568" s="123">
        <v>0</v>
      </c>
      <c r="P568" s="7" t="s">
        <v>163</v>
      </c>
      <c r="Q568" s="124"/>
      <c r="R568" s="1"/>
    </row>
    <row r="569" spans="1:18" ht="13.5" thickBot="1" x14ac:dyDescent="0.25">
      <c r="A569" s="123">
        <v>12</v>
      </c>
      <c r="B569" s="123">
        <v>0</v>
      </c>
      <c r="C569" s="123">
        <v>12</v>
      </c>
      <c r="D569" s="123">
        <v>0</v>
      </c>
      <c r="E569" s="123">
        <v>0</v>
      </c>
      <c r="F569" s="123">
        <v>0</v>
      </c>
      <c r="G569" s="123">
        <v>0</v>
      </c>
      <c r="H569" s="123">
        <v>0</v>
      </c>
      <c r="I569" s="123">
        <v>7</v>
      </c>
      <c r="J569" s="123">
        <v>0</v>
      </c>
      <c r="K569" s="123">
        <v>5</v>
      </c>
      <c r="L569" s="123">
        <v>0</v>
      </c>
      <c r="M569" s="123">
        <v>0</v>
      </c>
      <c r="N569" s="123">
        <v>0</v>
      </c>
      <c r="O569" s="123">
        <v>0</v>
      </c>
      <c r="P569" s="7" t="s">
        <v>162</v>
      </c>
      <c r="Q569" s="124" t="s">
        <v>259</v>
      </c>
      <c r="R569" s="1"/>
    </row>
    <row r="570" spans="1:18" ht="13.5" thickBot="1" x14ac:dyDescent="0.25">
      <c r="A570" s="123">
        <v>15</v>
      </c>
      <c r="B570" s="123">
        <v>0</v>
      </c>
      <c r="C570" s="123">
        <v>15</v>
      </c>
      <c r="D570" s="123">
        <v>0</v>
      </c>
      <c r="E570" s="123">
        <v>0</v>
      </c>
      <c r="F570" s="123">
        <v>0</v>
      </c>
      <c r="G570" s="123">
        <v>2</v>
      </c>
      <c r="H570" s="123">
        <v>0</v>
      </c>
      <c r="I570" s="123">
        <v>8</v>
      </c>
      <c r="J570" s="123">
        <v>0</v>
      </c>
      <c r="K570" s="123">
        <v>5</v>
      </c>
      <c r="L570" s="123">
        <v>0</v>
      </c>
      <c r="M570" s="123">
        <v>0</v>
      </c>
      <c r="N570" s="123">
        <v>0</v>
      </c>
      <c r="O570" s="123">
        <v>0</v>
      </c>
      <c r="P570" s="7" t="s">
        <v>13</v>
      </c>
      <c r="Q570" s="9"/>
      <c r="R570" s="1"/>
    </row>
    <row r="571" spans="1:18" ht="13.5" thickBot="1" x14ac:dyDescent="0.25">
      <c r="A571" s="123">
        <v>4</v>
      </c>
      <c r="B571" s="123">
        <v>0</v>
      </c>
      <c r="C571" s="123">
        <v>4</v>
      </c>
      <c r="D571" s="123">
        <v>0</v>
      </c>
      <c r="E571" s="123">
        <v>0</v>
      </c>
      <c r="F571" s="123">
        <v>0</v>
      </c>
      <c r="G571" s="123">
        <v>4</v>
      </c>
      <c r="H571" s="123">
        <v>0</v>
      </c>
      <c r="I571" s="123">
        <v>0</v>
      </c>
      <c r="J571" s="123">
        <v>0</v>
      </c>
      <c r="K571" s="123">
        <v>0</v>
      </c>
      <c r="L571" s="123">
        <v>0</v>
      </c>
      <c r="M571" s="123">
        <v>0</v>
      </c>
      <c r="N571" s="123">
        <v>0</v>
      </c>
      <c r="O571" s="123">
        <v>0</v>
      </c>
      <c r="P571" s="7" t="s">
        <v>163</v>
      </c>
      <c r="Q571" s="124"/>
      <c r="R571" s="1"/>
    </row>
    <row r="572" spans="1:18" ht="13.5" thickBot="1" x14ac:dyDescent="0.25">
      <c r="A572" s="123">
        <v>4</v>
      </c>
      <c r="B572" s="123">
        <v>0</v>
      </c>
      <c r="C572" s="123">
        <v>4</v>
      </c>
      <c r="D572" s="123">
        <v>0</v>
      </c>
      <c r="E572" s="123">
        <v>0</v>
      </c>
      <c r="F572" s="123">
        <v>0</v>
      </c>
      <c r="G572" s="123">
        <v>0</v>
      </c>
      <c r="H572" s="123">
        <v>0</v>
      </c>
      <c r="I572" s="123">
        <v>3</v>
      </c>
      <c r="J572" s="123">
        <v>0</v>
      </c>
      <c r="K572" s="123">
        <v>1</v>
      </c>
      <c r="L572" s="123">
        <v>0</v>
      </c>
      <c r="M572" s="123">
        <v>0</v>
      </c>
      <c r="N572" s="123">
        <v>0</v>
      </c>
      <c r="O572" s="123">
        <v>0</v>
      </c>
      <c r="P572" s="7" t="s">
        <v>162</v>
      </c>
      <c r="Q572" s="124" t="s">
        <v>433</v>
      </c>
      <c r="R572" s="1"/>
    </row>
    <row r="573" spans="1:18" ht="13.5" thickBot="1" x14ac:dyDescent="0.25">
      <c r="A573" s="123">
        <v>8</v>
      </c>
      <c r="B573" s="123">
        <v>0</v>
      </c>
      <c r="C573" s="123">
        <v>8</v>
      </c>
      <c r="D573" s="123">
        <v>0</v>
      </c>
      <c r="E573" s="123">
        <v>0</v>
      </c>
      <c r="F573" s="123">
        <v>0</v>
      </c>
      <c r="G573" s="123">
        <v>4</v>
      </c>
      <c r="H573" s="123">
        <v>0</v>
      </c>
      <c r="I573" s="123">
        <v>3</v>
      </c>
      <c r="J573" s="123">
        <v>0</v>
      </c>
      <c r="K573" s="123">
        <v>1</v>
      </c>
      <c r="L573" s="123">
        <v>0</v>
      </c>
      <c r="M573" s="123">
        <v>0</v>
      </c>
      <c r="N573" s="123">
        <v>0</v>
      </c>
      <c r="O573" s="123">
        <v>0</v>
      </c>
      <c r="P573" s="7" t="s">
        <v>13</v>
      </c>
      <c r="Q573" s="9"/>
      <c r="R573" s="1"/>
    </row>
    <row r="574" spans="1:18" ht="13.5" thickBot="1" x14ac:dyDescent="0.25">
      <c r="A574" s="123">
        <v>0</v>
      </c>
      <c r="B574" s="123">
        <v>0</v>
      </c>
      <c r="C574" s="123">
        <v>0</v>
      </c>
      <c r="D574" s="123">
        <v>0</v>
      </c>
      <c r="E574" s="123">
        <v>0</v>
      </c>
      <c r="F574" s="123">
        <v>0</v>
      </c>
      <c r="G574" s="123">
        <v>0</v>
      </c>
      <c r="H574" s="123">
        <v>0</v>
      </c>
      <c r="I574" s="123">
        <v>0</v>
      </c>
      <c r="J574" s="123">
        <v>0</v>
      </c>
      <c r="K574" s="123">
        <v>0</v>
      </c>
      <c r="L574" s="123">
        <v>0</v>
      </c>
      <c r="M574" s="123">
        <v>0</v>
      </c>
      <c r="N574" s="123">
        <v>0</v>
      </c>
      <c r="O574" s="123">
        <v>0</v>
      </c>
      <c r="P574" s="7" t="s">
        <v>163</v>
      </c>
      <c r="Q574" s="124"/>
      <c r="R574" s="1"/>
    </row>
    <row r="575" spans="1:18" ht="13.5" thickBot="1" x14ac:dyDescent="0.25">
      <c r="A575" s="123">
        <v>14</v>
      </c>
      <c r="B575" s="123">
        <v>0</v>
      </c>
      <c r="C575" s="123">
        <v>14</v>
      </c>
      <c r="D575" s="123">
        <v>0</v>
      </c>
      <c r="E575" s="123">
        <v>0</v>
      </c>
      <c r="F575" s="123">
        <v>0</v>
      </c>
      <c r="G575" s="123">
        <v>0</v>
      </c>
      <c r="H575" s="123">
        <v>0</v>
      </c>
      <c r="I575" s="123">
        <v>3</v>
      </c>
      <c r="J575" s="123">
        <v>0</v>
      </c>
      <c r="K575" s="123">
        <v>10</v>
      </c>
      <c r="L575" s="123">
        <v>0</v>
      </c>
      <c r="M575" s="123">
        <v>1</v>
      </c>
      <c r="N575" s="123">
        <v>0</v>
      </c>
      <c r="O575" s="123">
        <v>0</v>
      </c>
      <c r="P575" s="7" t="s">
        <v>162</v>
      </c>
      <c r="Q575" s="124" t="s">
        <v>260</v>
      </c>
      <c r="R575" s="1"/>
    </row>
    <row r="576" spans="1:18" ht="13.5" thickBot="1" x14ac:dyDescent="0.25">
      <c r="A576" s="123">
        <v>14</v>
      </c>
      <c r="B576" s="123">
        <v>0</v>
      </c>
      <c r="C576" s="123">
        <v>14</v>
      </c>
      <c r="D576" s="123">
        <v>0</v>
      </c>
      <c r="E576" s="123">
        <v>0</v>
      </c>
      <c r="F576" s="123">
        <v>0</v>
      </c>
      <c r="G576" s="123">
        <v>0</v>
      </c>
      <c r="H576" s="123">
        <v>0</v>
      </c>
      <c r="I576" s="123">
        <v>3</v>
      </c>
      <c r="J576" s="123">
        <v>0</v>
      </c>
      <c r="K576" s="123">
        <v>10</v>
      </c>
      <c r="L576" s="123">
        <v>0</v>
      </c>
      <c r="M576" s="123">
        <v>1</v>
      </c>
      <c r="N576" s="123">
        <v>0</v>
      </c>
      <c r="O576" s="123">
        <v>0</v>
      </c>
      <c r="P576" s="7" t="s">
        <v>13</v>
      </c>
      <c r="Q576" s="9"/>
      <c r="R576" s="1"/>
    </row>
    <row r="577" spans="1:18" ht="13.5" thickBot="1" x14ac:dyDescent="0.25">
      <c r="A577" s="123">
        <v>0</v>
      </c>
      <c r="B577" s="123">
        <v>0</v>
      </c>
      <c r="C577" s="123">
        <v>0</v>
      </c>
      <c r="D577" s="123">
        <v>0</v>
      </c>
      <c r="E577" s="123">
        <v>0</v>
      </c>
      <c r="F577" s="123">
        <v>0</v>
      </c>
      <c r="G577" s="123">
        <v>0</v>
      </c>
      <c r="H577" s="123">
        <v>0</v>
      </c>
      <c r="I577" s="123">
        <v>0</v>
      </c>
      <c r="J577" s="123">
        <v>0</v>
      </c>
      <c r="K577" s="123">
        <v>0</v>
      </c>
      <c r="L577" s="123">
        <v>0</v>
      </c>
      <c r="M577" s="123">
        <v>0</v>
      </c>
      <c r="N577" s="123">
        <v>0</v>
      </c>
      <c r="O577" s="123">
        <v>0</v>
      </c>
      <c r="P577" s="7" t="s">
        <v>163</v>
      </c>
      <c r="Q577" s="124"/>
      <c r="R577" s="1"/>
    </row>
    <row r="578" spans="1:18" ht="13.5" thickBot="1" x14ac:dyDescent="0.25">
      <c r="A578" s="123">
        <v>8</v>
      </c>
      <c r="B578" s="123">
        <v>1</v>
      </c>
      <c r="C578" s="123">
        <v>7</v>
      </c>
      <c r="D578" s="123">
        <v>0</v>
      </c>
      <c r="E578" s="123">
        <v>0</v>
      </c>
      <c r="F578" s="123">
        <v>0</v>
      </c>
      <c r="G578" s="123">
        <v>0</v>
      </c>
      <c r="H578" s="123">
        <v>0</v>
      </c>
      <c r="I578" s="123">
        <v>2</v>
      </c>
      <c r="J578" s="123">
        <v>1</v>
      </c>
      <c r="K578" s="123">
        <v>3</v>
      </c>
      <c r="L578" s="123">
        <v>0</v>
      </c>
      <c r="M578" s="123">
        <v>1</v>
      </c>
      <c r="N578" s="123">
        <v>0</v>
      </c>
      <c r="O578" s="123">
        <v>1</v>
      </c>
      <c r="P578" s="7" t="s">
        <v>162</v>
      </c>
      <c r="Q578" s="124" t="s">
        <v>435</v>
      </c>
      <c r="R578" s="1"/>
    </row>
    <row r="579" spans="1:18" ht="13.5" thickBot="1" x14ac:dyDescent="0.25">
      <c r="A579" s="123">
        <v>8</v>
      </c>
      <c r="B579" s="123">
        <v>1</v>
      </c>
      <c r="C579" s="123">
        <v>7</v>
      </c>
      <c r="D579" s="123">
        <v>0</v>
      </c>
      <c r="E579" s="123">
        <v>0</v>
      </c>
      <c r="F579" s="123">
        <v>0</v>
      </c>
      <c r="G579" s="123">
        <v>0</v>
      </c>
      <c r="H579" s="123">
        <v>0</v>
      </c>
      <c r="I579" s="123">
        <v>2</v>
      </c>
      <c r="J579" s="123">
        <v>1</v>
      </c>
      <c r="K579" s="123">
        <v>3</v>
      </c>
      <c r="L579" s="123">
        <v>0</v>
      </c>
      <c r="M579" s="123">
        <v>1</v>
      </c>
      <c r="N579" s="123">
        <v>0</v>
      </c>
      <c r="O579" s="123">
        <v>1</v>
      </c>
      <c r="P579" s="7" t="s">
        <v>13</v>
      </c>
      <c r="Q579" s="9"/>
      <c r="R579" s="1"/>
    </row>
    <row r="580" spans="1:18" ht="13.5" thickBot="1" x14ac:dyDescent="0.25">
      <c r="A580" s="123">
        <v>3</v>
      </c>
      <c r="B580" s="123">
        <v>3</v>
      </c>
      <c r="C580" s="123">
        <v>0</v>
      </c>
      <c r="D580" s="123">
        <v>0</v>
      </c>
      <c r="E580" s="123">
        <v>0</v>
      </c>
      <c r="F580" s="123">
        <v>3</v>
      </c>
      <c r="G580" s="123">
        <v>0</v>
      </c>
      <c r="H580" s="123">
        <v>0</v>
      </c>
      <c r="I580" s="123">
        <v>0</v>
      </c>
      <c r="J580" s="123">
        <v>0</v>
      </c>
      <c r="K580" s="123">
        <v>0</v>
      </c>
      <c r="L580" s="123">
        <v>0</v>
      </c>
      <c r="M580" s="123">
        <v>0</v>
      </c>
      <c r="N580" s="123">
        <v>0</v>
      </c>
      <c r="O580" s="123">
        <v>0</v>
      </c>
      <c r="P580" s="7" t="s">
        <v>163</v>
      </c>
      <c r="Q580" s="124"/>
      <c r="R580" s="1"/>
    </row>
    <row r="581" spans="1:18" ht="13.5" thickBot="1" x14ac:dyDescent="0.25">
      <c r="A581" s="123">
        <v>5</v>
      </c>
      <c r="B581" s="123">
        <v>5</v>
      </c>
      <c r="C581" s="123">
        <v>0</v>
      </c>
      <c r="D581" s="123">
        <v>0</v>
      </c>
      <c r="E581" s="123">
        <v>0</v>
      </c>
      <c r="F581" s="123">
        <v>0</v>
      </c>
      <c r="G581" s="123">
        <v>0</v>
      </c>
      <c r="H581" s="123">
        <v>3</v>
      </c>
      <c r="I581" s="123">
        <v>0</v>
      </c>
      <c r="J581" s="123">
        <v>2</v>
      </c>
      <c r="K581" s="123">
        <v>0</v>
      </c>
      <c r="L581" s="123">
        <v>0</v>
      </c>
      <c r="M581" s="123">
        <v>0</v>
      </c>
      <c r="N581" s="123">
        <v>0</v>
      </c>
      <c r="O581" s="123">
        <v>0</v>
      </c>
      <c r="P581" s="7" t="s">
        <v>162</v>
      </c>
      <c r="Q581" s="124" t="s">
        <v>436</v>
      </c>
      <c r="R581" s="1"/>
    </row>
    <row r="582" spans="1:18" ht="13.5" thickBot="1" x14ac:dyDescent="0.25">
      <c r="A582" s="123">
        <v>8</v>
      </c>
      <c r="B582" s="123">
        <v>8</v>
      </c>
      <c r="C582" s="123">
        <v>0</v>
      </c>
      <c r="D582" s="123">
        <v>0</v>
      </c>
      <c r="E582" s="123">
        <v>0</v>
      </c>
      <c r="F582" s="123">
        <v>3</v>
      </c>
      <c r="G582" s="123">
        <v>0</v>
      </c>
      <c r="H582" s="123">
        <v>3</v>
      </c>
      <c r="I582" s="123">
        <v>0</v>
      </c>
      <c r="J582" s="123">
        <v>2</v>
      </c>
      <c r="K582" s="123">
        <v>0</v>
      </c>
      <c r="L582" s="123">
        <v>0</v>
      </c>
      <c r="M582" s="123">
        <v>0</v>
      </c>
      <c r="N582" s="123">
        <v>0</v>
      </c>
      <c r="O582" s="123">
        <v>0</v>
      </c>
      <c r="P582" s="7" t="s">
        <v>13</v>
      </c>
      <c r="Q582" s="9"/>
      <c r="R582" s="1"/>
    </row>
    <row r="583" spans="1:18" ht="13.5" thickBot="1" x14ac:dyDescent="0.25">
      <c r="A583" s="123">
        <v>886</v>
      </c>
      <c r="B583" s="123">
        <v>291</v>
      </c>
      <c r="C583" s="123">
        <v>595</v>
      </c>
      <c r="D583" s="123">
        <v>0</v>
      </c>
      <c r="E583" s="123">
        <v>0</v>
      </c>
      <c r="F583" s="123">
        <v>240</v>
      </c>
      <c r="G583" s="123">
        <v>328</v>
      </c>
      <c r="H583" s="123">
        <v>33</v>
      </c>
      <c r="I583" s="123">
        <v>50</v>
      </c>
      <c r="J583" s="123">
        <v>18</v>
      </c>
      <c r="K583" s="123">
        <v>135</v>
      </c>
      <c r="L583" s="123">
        <v>0</v>
      </c>
      <c r="M583" s="123">
        <v>55</v>
      </c>
      <c r="N583" s="123">
        <v>0</v>
      </c>
      <c r="O583" s="123">
        <v>27</v>
      </c>
      <c r="P583" s="7" t="s">
        <v>163</v>
      </c>
      <c r="Q583" s="3"/>
      <c r="R583" s="1"/>
    </row>
    <row r="584" spans="1:18" ht="13.5" thickBot="1" x14ac:dyDescent="0.25">
      <c r="A584" s="123">
        <v>950</v>
      </c>
      <c r="B584" s="123">
        <v>224</v>
      </c>
      <c r="C584" s="123">
        <v>726</v>
      </c>
      <c r="D584" s="123">
        <v>0</v>
      </c>
      <c r="E584" s="123">
        <v>0</v>
      </c>
      <c r="F584" s="123">
        <v>0</v>
      </c>
      <c r="G584" s="123">
        <v>0</v>
      </c>
      <c r="H584" s="123">
        <v>82</v>
      </c>
      <c r="I584" s="123">
        <v>149</v>
      </c>
      <c r="J584" s="123">
        <v>127</v>
      </c>
      <c r="K584" s="123">
        <v>484</v>
      </c>
      <c r="L584" s="123">
        <v>13</v>
      </c>
      <c r="M584" s="123">
        <v>67</v>
      </c>
      <c r="N584" s="123">
        <v>2</v>
      </c>
      <c r="O584" s="123">
        <v>26</v>
      </c>
      <c r="P584" s="7" t="s">
        <v>162</v>
      </c>
      <c r="Q584" s="11" t="s">
        <v>211</v>
      </c>
      <c r="R584" s="1"/>
    </row>
    <row r="585" spans="1:18" ht="13.5" thickBot="1" x14ac:dyDescent="0.25">
      <c r="A585" s="123">
        <v>1836</v>
      </c>
      <c r="B585" s="123">
        <v>515</v>
      </c>
      <c r="C585" s="123">
        <v>1321</v>
      </c>
      <c r="D585" s="123">
        <v>0</v>
      </c>
      <c r="E585" s="123">
        <v>0</v>
      </c>
      <c r="F585" s="123">
        <v>240</v>
      </c>
      <c r="G585" s="123">
        <v>328</v>
      </c>
      <c r="H585" s="123">
        <v>115</v>
      </c>
      <c r="I585" s="123">
        <v>199</v>
      </c>
      <c r="J585" s="123">
        <v>145</v>
      </c>
      <c r="K585" s="123">
        <v>619</v>
      </c>
      <c r="L585" s="123">
        <v>13</v>
      </c>
      <c r="M585" s="123">
        <v>122</v>
      </c>
      <c r="N585" s="123">
        <v>2</v>
      </c>
      <c r="O585" s="123">
        <v>53</v>
      </c>
      <c r="P585" s="7" t="s">
        <v>13</v>
      </c>
      <c r="Q585" s="5"/>
      <c r="R585" s="1"/>
    </row>
    <row r="586" spans="1:18" ht="18" customHeight="1" x14ac:dyDescent="0.2">
      <c r="A586" s="207"/>
      <c r="B586" s="207"/>
      <c r="C586" s="207"/>
      <c r="D586" s="207"/>
      <c r="E586" s="207"/>
      <c r="F586" s="207"/>
      <c r="G586" s="207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1"/>
    </row>
    <row r="587" spans="1:18" ht="18" customHeight="1" x14ac:dyDescent="0.2">
      <c r="A587" s="159" t="s">
        <v>616</v>
      </c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"/>
    </row>
    <row r="588" spans="1:18" ht="18" customHeight="1" thickBot="1" x14ac:dyDescent="0.25">
      <c r="A588" s="160" t="s">
        <v>617</v>
      </c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"/>
    </row>
    <row r="589" spans="1:18" ht="13.5" thickBot="1" x14ac:dyDescent="0.25">
      <c r="A589" s="204" t="s">
        <v>5</v>
      </c>
      <c r="B589" s="204"/>
      <c r="C589" s="204"/>
      <c r="D589" s="204" t="s">
        <v>57</v>
      </c>
      <c r="E589" s="204"/>
      <c r="F589" s="204" t="s">
        <v>609</v>
      </c>
      <c r="G589" s="204"/>
      <c r="H589" s="204" t="s">
        <v>610</v>
      </c>
      <c r="I589" s="204"/>
      <c r="J589" s="204" t="s">
        <v>611</v>
      </c>
      <c r="K589" s="204"/>
      <c r="L589" s="204" t="s">
        <v>612</v>
      </c>
      <c r="M589" s="204"/>
      <c r="N589" s="204" t="s">
        <v>613</v>
      </c>
      <c r="O589" s="204"/>
      <c r="P589" s="205" t="s">
        <v>614</v>
      </c>
      <c r="Q589" s="47" t="s">
        <v>161</v>
      </c>
      <c r="R589" s="1"/>
    </row>
    <row r="590" spans="1:18" ht="13.5" thickBot="1" x14ac:dyDescent="0.25">
      <c r="A590" s="47" t="s">
        <v>216</v>
      </c>
      <c r="B590" s="47" t="s">
        <v>11</v>
      </c>
      <c r="C590" s="47" t="s">
        <v>10</v>
      </c>
      <c r="D590" s="47" t="s">
        <v>11</v>
      </c>
      <c r="E590" s="47" t="s">
        <v>10</v>
      </c>
      <c r="F590" s="47" t="s">
        <v>11</v>
      </c>
      <c r="G590" s="47" t="s">
        <v>10</v>
      </c>
      <c r="H590" s="47" t="s">
        <v>11</v>
      </c>
      <c r="I590" s="47" t="s">
        <v>10</v>
      </c>
      <c r="J590" s="47" t="s">
        <v>11</v>
      </c>
      <c r="K590" s="47" t="s">
        <v>10</v>
      </c>
      <c r="L590" s="47" t="s">
        <v>11</v>
      </c>
      <c r="M590" s="47" t="s">
        <v>10</v>
      </c>
      <c r="N590" s="47" t="s">
        <v>11</v>
      </c>
      <c r="O590" s="47" t="s">
        <v>10</v>
      </c>
      <c r="P590" s="206"/>
      <c r="Q590" s="33" t="s">
        <v>108</v>
      </c>
      <c r="R590" s="1"/>
    </row>
    <row r="591" spans="1:18" ht="13.5" thickBot="1" x14ac:dyDescent="0.25">
      <c r="A591" s="123">
        <v>53</v>
      </c>
      <c r="B591" s="123">
        <v>0</v>
      </c>
      <c r="C591" s="123">
        <v>53</v>
      </c>
      <c r="D591" s="123">
        <v>0</v>
      </c>
      <c r="E591" s="123">
        <v>0</v>
      </c>
      <c r="F591" s="123">
        <v>0</v>
      </c>
      <c r="G591" s="123">
        <v>12</v>
      </c>
      <c r="H591" s="123">
        <v>0</v>
      </c>
      <c r="I591" s="123">
        <v>10</v>
      </c>
      <c r="J591" s="123">
        <v>0</v>
      </c>
      <c r="K591" s="123">
        <v>26</v>
      </c>
      <c r="L591" s="123">
        <v>0</v>
      </c>
      <c r="M591" s="123">
        <v>3</v>
      </c>
      <c r="N591" s="123">
        <v>0</v>
      </c>
      <c r="O591" s="123">
        <v>2</v>
      </c>
      <c r="P591" s="7" t="s">
        <v>163</v>
      </c>
      <c r="Q591" s="124"/>
      <c r="R591" s="1"/>
    </row>
    <row r="592" spans="1:18" ht="13.5" thickBot="1" x14ac:dyDescent="0.25">
      <c r="A592" s="123">
        <v>49</v>
      </c>
      <c r="B592" s="123">
        <v>0</v>
      </c>
      <c r="C592" s="123">
        <v>49</v>
      </c>
      <c r="D592" s="123">
        <v>0</v>
      </c>
      <c r="E592" s="123">
        <v>0</v>
      </c>
      <c r="F592" s="123">
        <v>0</v>
      </c>
      <c r="G592" s="123">
        <v>16</v>
      </c>
      <c r="H592" s="123">
        <v>0</v>
      </c>
      <c r="I592" s="123">
        <v>7</v>
      </c>
      <c r="J592" s="123">
        <v>0</v>
      </c>
      <c r="K592" s="123">
        <v>25</v>
      </c>
      <c r="L592" s="123">
        <v>0</v>
      </c>
      <c r="M592" s="123">
        <v>1</v>
      </c>
      <c r="N592" s="123">
        <v>0</v>
      </c>
      <c r="O592" s="123">
        <v>0</v>
      </c>
      <c r="P592" s="7" t="s">
        <v>162</v>
      </c>
      <c r="Q592" s="124" t="s">
        <v>437</v>
      </c>
      <c r="R592" s="1"/>
    </row>
    <row r="593" spans="1:18" ht="13.5" thickBot="1" x14ac:dyDescent="0.25">
      <c r="A593" s="123">
        <v>102</v>
      </c>
      <c r="B593" s="123">
        <v>0</v>
      </c>
      <c r="C593" s="123">
        <v>102</v>
      </c>
      <c r="D593" s="123">
        <v>0</v>
      </c>
      <c r="E593" s="123">
        <v>0</v>
      </c>
      <c r="F593" s="123">
        <v>0</v>
      </c>
      <c r="G593" s="123">
        <v>28</v>
      </c>
      <c r="H593" s="123">
        <v>0</v>
      </c>
      <c r="I593" s="123">
        <v>17</v>
      </c>
      <c r="J593" s="123">
        <v>0</v>
      </c>
      <c r="K593" s="123">
        <v>51</v>
      </c>
      <c r="L593" s="123">
        <v>0</v>
      </c>
      <c r="M593" s="123">
        <v>4</v>
      </c>
      <c r="N593" s="123">
        <v>0</v>
      </c>
      <c r="O593" s="123">
        <v>2</v>
      </c>
      <c r="P593" s="7" t="s">
        <v>13</v>
      </c>
      <c r="Q593" s="9"/>
      <c r="R593" s="1"/>
    </row>
    <row r="594" spans="1:18" ht="13.5" thickBot="1" x14ac:dyDescent="0.25">
      <c r="A594" s="123">
        <v>166</v>
      </c>
      <c r="B594" s="123">
        <v>0</v>
      </c>
      <c r="C594" s="123">
        <v>166</v>
      </c>
      <c r="D594" s="123">
        <v>0</v>
      </c>
      <c r="E594" s="123">
        <v>1</v>
      </c>
      <c r="F594" s="123">
        <v>0</v>
      </c>
      <c r="G594" s="123">
        <v>57</v>
      </c>
      <c r="H594" s="123">
        <v>0</v>
      </c>
      <c r="I594" s="123">
        <v>9</v>
      </c>
      <c r="J594" s="123">
        <v>0</v>
      </c>
      <c r="K594" s="123">
        <v>54</v>
      </c>
      <c r="L594" s="123">
        <v>0</v>
      </c>
      <c r="M594" s="123">
        <v>29</v>
      </c>
      <c r="N594" s="123">
        <v>0</v>
      </c>
      <c r="O594" s="123">
        <v>16</v>
      </c>
      <c r="P594" s="7" t="s">
        <v>163</v>
      </c>
      <c r="Q594" s="124"/>
      <c r="R594" s="1"/>
    </row>
    <row r="595" spans="1:18" ht="13.5" thickBot="1" x14ac:dyDescent="0.25">
      <c r="A595" s="123">
        <v>6</v>
      </c>
      <c r="B595" s="123">
        <v>0</v>
      </c>
      <c r="C595" s="123">
        <v>6</v>
      </c>
      <c r="D595" s="123">
        <v>0</v>
      </c>
      <c r="E595" s="123">
        <v>0</v>
      </c>
      <c r="F595" s="123">
        <v>0</v>
      </c>
      <c r="G595" s="123">
        <v>1</v>
      </c>
      <c r="H595" s="123">
        <v>0</v>
      </c>
      <c r="I595" s="123">
        <v>1</v>
      </c>
      <c r="J595" s="123">
        <v>0</v>
      </c>
      <c r="K595" s="123">
        <v>3</v>
      </c>
      <c r="L595" s="123">
        <v>0</v>
      </c>
      <c r="M595" s="123">
        <v>1</v>
      </c>
      <c r="N595" s="123">
        <v>0</v>
      </c>
      <c r="O595" s="123">
        <v>0</v>
      </c>
      <c r="P595" s="7" t="s">
        <v>162</v>
      </c>
      <c r="Q595" s="124" t="s">
        <v>419</v>
      </c>
      <c r="R595" s="1"/>
    </row>
    <row r="596" spans="1:18" ht="13.5" thickBot="1" x14ac:dyDescent="0.25">
      <c r="A596" s="123">
        <v>172</v>
      </c>
      <c r="B596" s="123">
        <v>0</v>
      </c>
      <c r="C596" s="123">
        <v>172</v>
      </c>
      <c r="D596" s="123">
        <v>0</v>
      </c>
      <c r="E596" s="123">
        <v>1</v>
      </c>
      <c r="F596" s="123">
        <v>0</v>
      </c>
      <c r="G596" s="123">
        <v>58</v>
      </c>
      <c r="H596" s="123">
        <v>0</v>
      </c>
      <c r="I596" s="123">
        <v>10</v>
      </c>
      <c r="J596" s="123">
        <v>0</v>
      </c>
      <c r="K596" s="123">
        <v>57</v>
      </c>
      <c r="L596" s="123">
        <v>0</v>
      </c>
      <c r="M596" s="123">
        <v>30</v>
      </c>
      <c r="N596" s="123">
        <v>0</v>
      </c>
      <c r="O596" s="123">
        <v>16</v>
      </c>
      <c r="P596" s="7" t="s">
        <v>13</v>
      </c>
      <c r="Q596" s="9"/>
      <c r="R596" s="1"/>
    </row>
    <row r="597" spans="1:18" ht="13.5" thickBot="1" x14ac:dyDescent="0.25">
      <c r="A597" s="123">
        <v>110</v>
      </c>
      <c r="B597" s="123">
        <v>1</v>
      </c>
      <c r="C597" s="123">
        <v>109</v>
      </c>
      <c r="D597" s="123">
        <v>0</v>
      </c>
      <c r="E597" s="123">
        <v>4</v>
      </c>
      <c r="F597" s="123">
        <v>0</v>
      </c>
      <c r="G597" s="123">
        <v>25</v>
      </c>
      <c r="H597" s="123">
        <v>1</v>
      </c>
      <c r="I597" s="123">
        <v>4</v>
      </c>
      <c r="J597" s="123">
        <v>0</v>
      </c>
      <c r="K597" s="123">
        <v>50</v>
      </c>
      <c r="L597" s="123">
        <v>0</v>
      </c>
      <c r="M597" s="123">
        <v>17</v>
      </c>
      <c r="N597" s="123">
        <v>0</v>
      </c>
      <c r="O597" s="123">
        <v>9</v>
      </c>
      <c r="P597" s="7" t="s">
        <v>163</v>
      </c>
      <c r="Q597" s="124"/>
      <c r="R597" s="1"/>
    </row>
    <row r="598" spans="1:18" ht="13.5" thickBot="1" x14ac:dyDescent="0.25">
      <c r="A598" s="123">
        <v>31</v>
      </c>
      <c r="B598" s="123">
        <v>0</v>
      </c>
      <c r="C598" s="123">
        <v>31</v>
      </c>
      <c r="D598" s="123">
        <v>0</v>
      </c>
      <c r="E598" s="123">
        <v>0</v>
      </c>
      <c r="F598" s="123">
        <v>0</v>
      </c>
      <c r="G598" s="123">
        <v>1</v>
      </c>
      <c r="H598" s="123">
        <v>0</v>
      </c>
      <c r="I598" s="123">
        <v>6</v>
      </c>
      <c r="J598" s="123">
        <v>0</v>
      </c>
      <c r="K598" s="123">
        <v>17</v>
      </c>
      <c r="L598" s="123">
        <v>0</v>
      </c>
      <c r="M598" s="123">
        <v>7</v>
      </c>
      <c r="N598" s="123">
        <v>0</v>
      </c>
      <c r="O598" s="123">
        <v>0</v>
      </c>
      <c r="P598" s="7" t="s">
        <v>162</v>
      </c>
      <c r="Q598" s="124" t="s">
        <v>438</v>
      </c>
      <c r="R598" s="1"/>
    </row>
    <row r="599" spans="1:18" ht="13.5" thickBot="1" x14ac:dyDescent="0.25">
      <c r="A599" s="123">
        <v>141</v>
      </c>
      <c r="B599" s="123">
        <v>1</v>
      </c>
      <c r="C599" s="123">
        <v>140</v>
      </c>
      <c r="D599" s="123">
        <v>0</v>
      </c>
      <c r="E599" s="123">
        <v>4</v>
      </c>
      <c r="F599" s="123">
        <v>0</v>
      </c>
      <c r="G599" s="123">
        <v>26</v>
      </c>
      <c r="H599" s="123">
        <v>1</v>
      </c>
      <c r="I599" s="123">
        <v>10</v>
      </c>
      <c r="J599" s="123">
        <v>0</v>
      </c>
      <c r="K599" s="123">
        <v>67</v>
      </c>
      <c r="L599" s="123">
        <v>0</v>
      </c>
      <c r="M599" s="123">
        <v>24</v>
      </c>
      <c r="N599" s="123">
        <v>0</v>
      </c>
      <c r="O599" s="123">
        <v>9</v>
      </c>
      <c r="P599" s="7" t="s">
        <v>13</v>
      </c>
      <c r="Q599" s="9"/>
      <c r="R599" s="1"/>
    </row>
    <row r="600" spans="1:18" ht="13.5" thickBot="1" x14ac:dyDescent="0.25">
      <c r="A600" s="123">
        <v>131</v>
      </c>
      <c r="B600" s="123">
        <v>66</v>
      </c>
      <c r="C600" s="123">
        <v>65</v>
      </c>
      <c r="D600" s="123">
        <v>4</v>
      </c>
      <c r="E600" s="123">
        <v>28</v>
      </c>
      <c r="F600" s="123">
        <v>50</v>
      </c>
      <c r="G600" s="123">
        <v>0</v>
      </c>
      <c r="H600" s="123">
        <v>10</v>
      </c>
      <c r="I600" s="123">
        <v>0</v>
      </c>
      <c r="J600" s="123">
        <v>2</v>
      </c>
      <c r="K600" s="123">
        <v>29</v>
      </c>
      <c r="L600" s="123">
        <v>0</v>
      </c>
      <c r="M600" s="123">
        <v>5</v>
      </c>
      <c r="N600" s="123">
        <v>0</v>
      </c>
      <c r="O600" s="123">
        <v>3</v>
      </c>
      <c r="P600" s="7" t="s">
        <v>163</v>
      </c>
      <c r="Q600" s="124"/>
      <c r="R600" s="1"/>
    </row>
    <row r="601" spans="1:18" ht="13.5" thickBot="1" x14ac:dyDescent="0.25">
      <c r="A601" s="123">
        <v>155</v>
      </c>
      <c r="B601" s="123">
        <v>62</v>
      </c>
      <c r="C601" s="123">
        <v>93</v>
      </c>
      <c r="D601" s="123">
        <v>6</v>
      </c>
      <c r="E601" s="123">
        <v>10</v>
      </c>
      <c r="F601" s="123">
        <v>1</v>
      </c>
      <c r="G601" s="123">
        <v>0</v>
      </c>
      <c r="H601" s="123">
        <v>27</v>
      </c>
      <c r="I601" s="123">
        <v>20</v>
      </c>
      <c r="J601" s="123">
        <v>20</v>
      </c>
      <c r="K601" s="123">
        <v>50</v>
      </c>
      <c r="L601" s="123">
        <v>6</v>
      </c>
      <c r="M601" s="123">
        <v>9</v>
      </c>
      <c r="N601" s="123">
        <v>2</v>
      </c>
      <c r="O601" s="123">
        <v>4</v>
      </c>
      <c r="P601" s="7" t="s">
        <v>162</v>
      </c>
      <c r="Q601" s="124" t="s">
        <v>439</v>
      </c>
      <c r="R601" s="1"/>
    </row>
    <row r="602" spans="1:18" ht="13.5" thickBot="1" x14ac:dyDescent="0.25">
      <c r="A602" s="123">
        <v>286</v>
      </c>
      <c r="B602" s="123">
        <v>128</v>
      </c>
      <c r="C602" s="123">
        <v>158</v>
      </c>
      <c r="D602" s="123">
        <v>10</v>
      </c>
      <c r="E602" s="123">
        <v>38</v>
      </c>
      <c r="F602" s="123">
        <v>51</v>
      </c>
      <c r="G602" s="123">
        <v>0</v>
      </c>
      <c r="H602" s="123">
        <v>37</v>
      </c>
      <c r="I602" s="123">
        <v>20</v>
      </c>
      <c r="J602" s="123">
        <v>22</v>
      </c>
      <c r="K602" s="123">
        <v>79</v>
      </c>
      <c r="L602" s="123">
        <v>6</v>
      </c>
      <c r="M602" s="123">
        <v>14</v>
      </c>
      <c r="N602" s="123">
        <v>2</v>
      </c>
      <c r="O602" s="123">
        <v>7</v>
      </c>
      <c r="P602" s="7" t="s">
        <v>13</v>
      </c>
      <c r="Q602" s="9"/>
      <c r="R602" s="1"/>
    </row>
    <row r="603" spans="1:18" ht="13.5" thickBot="1" x14ac:dyDescent="0.25">
      <c r="A603" s="123">
        <v>36</v>
      </c>
      <c r="B603" s="123">
        <v>0</v>
      </c>
      <c r="C603" s="123">
        <v>36</v>
      </c>
      <c r="D603" s="123">
        <v>0</v>
      </c>
      <c r="E603" s="123">
        <v>0</v>
      </c>
      <c r="F603" s="123">
        <v>0</v>
      </c>
      <c r="G603" s="123">
        <v>5</v>
      </c>
      <c r="H603" s="123">
        <v>0</v>
      </c>
      <c r="I603" s="123">
        <v>2</v>
      </c>
      <c r="J603" s="123">
        <v>0</v>
      </c>
      <c r="K603" s="123">
        <v>12</v>
      </c>
      <c r="L603" s="123">
        <v>0</v>
      </c>
      <c r="M603" s="123">
        <v>8</v>
      </c>
      <c r="N603" s="123">
        <v>0</v>
      </c>
      <c r="O603" s="123">
        <v>9</v>
      </c>
      <c r="P603" s="7" t="s">
        <v>163</v>
      </c>
      <c r="Q603" s="124"/>
      <c r="R603" s="1"/>
    </row>
    <row r="604" spans="1:18" ht="13.5" thickBot="1" x14ac:dyDescent="0.25">
      <c r="A604" s="123">
        <v>41</v>
      </c>
      <c r="B604" s="123">
        <v>0</v>
      </c>
      <c r="C604" s="123">
        <v>41</v>
      </c>
      <c r="D604" s="123">
        <v>0</v>
      </c>
      <c r="E604" s="123">
        <v>0</v>
      </c>
      <c r="F604" s="123">
        <v>0</v>
      </c>
      <c r="G604" s="123">
        <v>12</v>
      </c>
      <c r="H604" s="123">
        <v>0</v>
      </c>
      <c r="I604" s="123">
        <v>0</v>
      </c>
      <c r="J604" s="123">
        <v>0</v>
      </c>
      <c r="K604" s="123">
        <v>24</v>
      </c>
      <c r="L604" s="123">
        <v>0</v>
      </c>
      <c r="M604" s="123">
        <v>4</v>
      </c>
      <c r="N604" s="123">
        <v>0</v>
      </c>
      <c r="O604" s="123">
        <v>1</v>
      </c>
      <c r="P604" s="7" t="s">
        <v>162</v>
      </c>
      <c r="Q604" s="124" t="s">
        <v>440</v>
      </c>
      <c r="R604" s="1"/>
    </row>
    <row r="605" spans="1:18" ht="13.5" thickBot="1" x14ac:dyDescent="0.25">
      <c r="A605" s="123">
        <v>77</v>
      </c>
      <c r="B605" s="123">
        <v>0</v>
      </c>
      <c r="C605" s="123">
        <v>77</v>
      </c>
      <c r="D605" s="123">
        <v>0</v>
      </c>
      <c r="E605" s="123">
        <v>0</v>
      </c>
      <c r="F605" s="123">
        <v>0</v>
      </c>
      <c r="G605" s="123">
        <v>17</v>
      </c>
      <c r="H605" s="123">
        <v>0</v>
      </c>
      <c r="I605" s="123">
        <v>2</v>
      </c>
      <c r="J605" s="123">
        <v>0</v>
      </c>
      <c r="K605" s="123">
        <v>36</v>
      </c>
      <c r="L605" s="123">
        <v>0</v>
      </c>
      <c r="M605" s="123">
        <v>12</v>
      </c>
      <c r="N605" s="123">
        <v>0</v>
      </c>
      <c r="O605" s="123">
        <v>10</v>
      </c>
      <c r="P605" s="7" t="s">
        <v>13</v>
      </c>
      <c r="Q605" s="9"/>
      <c r="R605" s="1"/>
    </row>
    <row r="606" spans="1:18" ht="13.5" thickBot="1" x14ac:dyDescent="0.25">
      <c r="A606" s="123">
        <v>26</v>
      </c>
      <c r="B606" s="123">
        <v>4</v>
      </c>
      <c r="C606" s="123">
        <v>22</v>
      </c>
      <c r="D606" s="123">
        <v>0</v>
      </c>
      <c r="E606" s="123">
        <v>0</v>
      </c>
      <c r="F606" s="123">
        <v>4</v>
      </c>
      <c r="G606" s="123">
        <v>14</v>
      </c>
      <c r="H606" s="123">
        <v>0</v>
      </c>
      <c r="I606" s="123">
        <v>0</v>
      </c>
      <c r="J606" s="123">
        <v>0</v>
      </c>
      <c r="K606" s="123">
        <v>6</v>
      </c>
      <c r="L606" s="123">
        <v>0</v>
      </c>
      <c r="M606" s="123">
        <v>1</v>
      </c>
      <c r="N606" s="123">
        <v>0</v>
      </c>
      <c r="O606" s="123">
        <v>1</v>
      </c>
      <c r="P606" s="7" t="s">
        <v>163</v>
      </c>
      <c r="Q606" s="124"/>
      <c r="R606" s="1"/>
    </row>
    <row r="607" spans="1:18" ht="13.5" thickBot="1" x14ac:dyDescent="0.25">
      <c r="A607" s="123">
        <v>53</v>
      </c>
      <c r="B607" s="123">
        <v>13</v>
      </c>
      <c r="C607" s="123">
        <v>40</v>
      </c>
      <c r="D607" s="123">
        <v>0</v>
      </c>
      <c r="E607" s="123">
        <v>0</v>
      </c>
      <c r="F607" s="123">
        <v>0</v>
      </c>
      <c r="G607" s="123">
        <v>0</v>
      </c>
      <c r="H607" s="123">
        <v>0</v>
      </c>
      <c r="I607" s="123">
        <v>0</v>
      </c>
      <c r="J607" s="123">
        <v>9</v>
      </c>
      <c r="K607" s="123">
        <v>35</v>
      </c>
      <c r="L607" s="123">
        <v>4</v>
      </c>
      <c r="M607" s="123">
        <v>5</v>
      </c>
      <c r="N607" s="123">
        <v>0</v>
      </c>
      <c r="O607" s="123">
        <v>0</v>
      </c>
      <c r="P607" s="7" t="s">
        <v>162</v>
      </c>
      <c r="Q607" s="124" t="s">
        <v>441</v>
      </c>
      <c r="R607" s="1"/>
    </row>
    <row r="608" spans="1:18" ht="13.5" thickBot="1" x14ac:dyDescent="0.25">
      <c r="A608" s="123">
        <v>79</v>
      </c>
      <c r="B608" s="123">
        <v>17</v>
      </c>
      <c r="C608" s="123">
        <v>62</v>
      </c>
      <c r="D608" s="123">
        <v>0</v>
      </c>
      <c r="E608" s="123">
        <v>0</v>
      </c>
      <c r="F608" s="123">
        <v>4</v>
      </c>
      <c r="G608" s="123">
        <v>14</v>
      </c>
      <c r="H608" s="123">
        <v>0</v>
      </c>
      <c r="I608" s="123">
        <v>0</v>
      </c>
      <c r="J608" s="123">
        <v>9</v>
      </c>
      <c r="K608" s="123">
        <v>41</v>
      </c>
      <c r="L608" s="123">
        <v>4</v>
      </c>
      <c r="M608" s="123">
        <v>6</v>
      </c>
      <c r="N608" s="123">
        <v>0</v>
      </c>
      <c r="O608" s="123">
        <v>1</v>
      </c>
      <c r="P608" s="7" t="s">
        <v>13</v>
      </c>
      <c r="Q608" s="9"/>
      <c r="R608" s="1"/>
    </row>
    <row r="609" spans="1:18" ht="13.5" thickBot="1" x14ac:dyDescent="0.25">
      <c r="A609" s="123">
        <v>7</v>
      </c>
      <c r="B609" s="123">
        <v>0</v>
      </c>
      <c r="C609" s="123">
        <v>7</v>
      </c>
      <c r="D609" s="123">
        <v>0</v>
      </c>
      <c r="E609" s="123">
        <v>0</v>
      </c>
      <c r="F609" s="123">
        <v>0</v>
      </c>
      <c r="G609" s="123">
        <v>1</v>
      </c>
      <c r="H609" s="123">
        <v>0</v>
      </c>
      <c r="I609" s="123">
        <v>0</v>
      </c>
      <c r="J609" s="123">
        <v>0</v>
      </c>
      <c r="K609" s="123">
        <v>3</v>
      </c>
      <c r="L609" s="123">
        <v>0</v>
      </c>
      <c r="M609" s="123">
        <v>1</v>
      </c>
      <c r="N609" s="123">
        <v>0</v>
      </c>
      <c r="O609" s="123">
        <v>2</v>
      </c>
      <c r="P609" s="7" t="s">
        <v>163</v>
      </c>
      <c r="Q609" s="124"/>
      <c r="R609" s="1"/>
    </row>
    <row r="610" spans="1:18" ht="13.5" thickBot="1" x14ac:dyDescent="0.25">
      <c r="A610" s="123">
        <v>33</v>
      </c>
      <c r="B610" s="123">
        <v>0</v>
      </c>
      <c r="C610" s="123">
        <v>33</v>
      </c>
      <c r="D610" s="123">
        <v>0</v>
      </c>
      <c r="E610" s="123">
        <v>0</v>
      </c>
      <c r="F610" s="123">
        <v>0</v>
      </c>
      <c r="G610" s="123">
        <v>1</v>
      </c>
      <c r="H610" s="123">
        <v>0</v>
      </c>
      <c r="I610" s="123">
        <v>1</v>
      </c>
      <c r="J610" s="123">
        <v>0</v>
      </c>
      <c r="K610" s="123">
        <v>29</v>
      </c>
      <c r="L610" s="123">
        <v>0</v>
      </c>
      <c r="M610" s="123">
        <v>2</v>
      </c>
      <c r="N610" s="123">
        <v>0</v>
      </c>
      <c r="O610" s="123">
        <v>0</v>
      </c>
      <c r="P610" s="7" t="s">
        <v>162</v>
      </c>
      <c r="Q610" s="124" t="s">
        <v>377</v>
      </c>
      <c r="R610" s="1"/>
    </row>
    <row r="611" spans="1:18" ht="13.5" thickBot="1" x14ac:dyDescent="0.25">
      <c r="A611" s="123">
        <v>40</v>
      </c>
      <c r="B611" s="123">
        <v>0</v>
      </c>
      <c r="C611" s="123">
        <v>40</v>
      </c>
      <c r="D611" s="123">
        <v>0</v>
      </c>
      <c r="E611" s="123">
        <v>0</v>
      </c>
      <c r="F611" s="123">
        <v>0</v>
      </c>
      <c r="G611" s="123">
        <v>2</v>
      </c>
      <c r="H611" s="123">
        <v>0</v>
      </c>
      <c r="I611" s="123">
        <v>1</v>
      </c>
      <c r="J611" s="123">
        <v>0</v>
      </c>
      <c r="K611" s="123">
        <v>32</v>
      </c>
      <c r="L611" s="123">
        <v>0</v>
      </c>
      <c r="M611" s="123">
        <v>3</v>
      </c>
      <c r="N611" s="123">
        <v>0</v>
      </c>
      <c r="O611" s="123">
        <v>2</v>
      </c>
      <c r="P611" s="7" t="s">
        <v>13</v>
      </c>
      <c r="Q611" s="9"/>
      <c r="R611" s="1"/>
    </row>
    <row r="612" spans="1:18" ht="13.5" thickBot="1" x14ac:dyDescent="0.25">
      <c r="A612" s="123">
        <v>7</v>
      </c>
      <c r="B612" s="123">
        <v>1</v>
      </c>
      <c r="C612" s="123">
        <v>6</v>
      </c>
      <c r="D612" s="123">
        <v>0</v>
      </c>
      <c r="E612" s="123">
        <v>2</v>
      </c>
      <c r="F612" s="123">
        <v>1</v>
      </c>
      <c r="G612" s="123">
        <v>0</v>
      </c>
      <c r="H612" s="123">
        <v>0</v>
      </c>
      <c r="I612" s="123">
        <v>1</v>
      </c>
      <c r="J612" s="123">
        <v>0</v>
      </c>
      <c r="K612" s="123">
        <v>2</v>
      </c>
      <c r="L612" s="123">
        <v>0</v>
      </c>
      <c r="M612" s="123">
        <v>1</v>
      </c>
      <c r="N612" s="123">
        <v>0</v>
      </c>
      <c r="O612" s="123">
        <v>0</v>
      </c>
      <c r="P612" s="7" t="s">
        <v>163</v>
      </c>
      <c r="Q612" s="124"/>
      <c r="R612" s="1"/>
    </row>
    <row r="613" spans="1:18" ht="13.5" thickBot="1" x14ac:dyDescent="0.25">
      <c r="A613" s="123">
        <v>34</v>
      </c>
      <c r="B613" s="123">
        <v>3</v>
      </c>
      <c r="C613" s="123">
        <v>31</v>
      </c>
      <c r="D613" s="123">
        <v>0</v>
      </c>
      <c r="E613" s="123">
        <v>0</v>
      </c>
      <c r="F613" s="123">
        <v>0</v>
      </c>
      <c r="G613" s="123">
        <v>8</v>
      </c>
      <c r="H613" s="123">
        <v>1</v>
      </c>
      <c r="I613" s="123">
        <v>1</v>
      </c>
      <c r="J613" s="123">
        <v>0</v>
      </c>
      <c r="K613" s="123">
        <v>18</v>
      </c>
      <c r="L613" s="123">
        <v>1</v>
      </c>
      <c r="M613" s="123">
        <v>1</v>
      </c>
      <c r="N613" s="123">
        <v>1</v>
      </c>
      <c r="O613" s="123">
        <v>3</v>
      </c>
      <c r="P613" s="7" t="s">
        <v>162</v>
      </c>
      <c r="Q613" s="124" t="s">
        <v>359</v>
      </c>
      <c r="R613" s="1"/>
    </row>
    <row r="614" spans="1:18" ht="13.5" thickBot="1" x14ac:dyDescent="0.25">
      <c r="A614" s="123">
        <v>41</v>
      </c>
      <c r="B614" s="123">
        <v>4</v>
      </c>
      <c r="C614" s="123">
        <v>37</v>
      </c>
      <c r="D614" s="123">
        <v>0</v>
      </c>
      <c r="E614" s="123">
        <v>2</v>
      </c>
      <c r="F614" s="123">
        <v>1</v>
      </c>
      <c r="G614" s="123">
        <v>8</v>
      </c>
      <c r="H614" s="123">
        <v>1</v>
      </c>
      <c r="I614" s="123">
        <v>2</v>
      </c>
      <c r="J614" s="123">
        <v>0</v>
      </c>
      <c r="K614" s="123">
        <v>20</v>
      </c>
      <c r="L614" s="123">
        <v>1</v>
      </c>
      <c r="M614" s="123">
        <v>2</v>
      </c>
      <c r="N614" s="123">
        <v>1</v>
      </c>
      <c r="O614" s="123">
        <v>3</v>
      </c>
      <c r="P614" s="7" t="s">
        <v>13</v>
      </c>
      <c r="Q614" s="9"/>
      <c r="R614" s="1"/>
    </row>
    <row r="615" spans="1:18" ht="13.5" thickBot="1" x14ac:dyDescent="0.25">
      <c r="A615" s="123">
        <v>3</v>
      </c>
      <c r="B615" s="123">
        <v>0</v>
      </c>
      <c r="C615" s="123">
        <v>3</v>
      </c>
      <c r="D615" s="123">
        <v>0</v>
      </c>
      <c r="E615" s="123">
        <v>0</v>
      </c>
      <c r="F615" s="123">
        <v>0</v>
      </c>
      <c r="G615" s="123">
        <v>1</v>
      </c>
      <c r="H615" s="123">
        <v>0</v>
      </c>
      <c r="I615" s="123">
        <v>1</v>
      </c>
      <c r="J615" s="123">
        <v>0</v>
      </c>
      <c r="K615" s="123">
        <v>0</v>
      </c>
      <c r="L615" s="123">
        <v>0</v>
      </c>
      <c r="M615" s="123">
        <v>1</v>
      </c>
      <c r="N615" s="123">
        <v>0</v>
      </c>
      <c r="O615" s="123">
        <v>0</v>
      </c>
      <c r="P615" s="7" t="s">
        <v>163</v>
      </c>
      <c r="Q615" s="124"/>
      <c r="R615" s="1"/>
    </row>
    <row r="616" spans="1:18" ht="13.5" thickBot="1" x14ac:dyDescent="0.25">
      <c r="A616" s="123">
        <v>21</v>
      </c>
      <c r="B616" s="123">
        <v>0</v>
      </c>
      <c r="C616" s="123">
        <v>21</v>
      </c>
      <c r="D616" s="123">
        <v>0</v>
      </c>
      <c r="E616" s="123">
        <v>0</v>
      </c>
      <c r="F616" s="123">
        <v>0</v>
      </c>
      <c r="G616" s="123">
        <v>0</v>
      </c>
      <c r="H616" s="123">
        <v>0</v>
      </c>
      <c r="I616" s="123">
        <v>5</v>
      </c>
      <c r="J616" s="123">
        <v>0</v>
      </c>
      <c r="K616" s="123">
        <v>14</v>
      </c>
      <c r="L616" s="123">
        <v>0</v>
      </c>
      <c r="M616" s="123">
        <v>2</v>
      </c>
      <c r="N616" s="123">
        <v>0</v>
      </c>
      <c r="O616" s="123">
        <v>0</v>
      </c>
      <c r="P616" s="7" t="s">
        <v>162</v>
      </c>
      <c r="Q616" s="124" t="s">
        <v>442</v>
      </c>
      <c r="R616" s="1"/>
    </row>
    <row r="617" spans="1:18" ht="13.5" thickBot="1" x14ac:dyDescent="0.25">
      <c r="A617" s="123">
        <v>24</v>
      </c>
      <c r="B617" s="123">
        <v>0</v>
      </c>
      <c r="C617" s="123">
        <v>24</v>
      </c>
      <c r="D617" s="123">
        <v>0</v>
      </c>
      <c r="E617" s="123">
        <v>0</v>
      </c>
      <c r="F617" s="123">
        <v>0</v>
      </c>
      <c r="G617" s="123">
        <v>1</v>
      </c>
      <c r="H617" s="123">
        <v>0</v>
      </c>
      <c r="I617" s="123">
        <v>6</v>
      </c>
      <c r="J617" s="123">
        <v>0</v>
      </c>
      <c r="K617" s="123">
        <v>14</v>
      </c>
      <c r="L617" s="123">
        <v>0</v>
      </c>
      <c r="M617" s="123">
        <v>3</v>
      </c>
      <c r="N617" s="123">
        <v>0</v>
      </c>
      <c r="O617" s="123">
        <v>0</v>
      </c>
      <c r="P617" s="7" t="s">
        <v>13</v>
      </c>
      <c r="Q617" s="9"/>
      <c r="R617" s="1"/>
    </row>
    <row r="618" spans="1:18" ht="13.5" thickBot="1" x14ac:dyDescent="0.25">
      <c r="A618" s="123">
        <v>4</v>
      </c>
      <c r="B618" s="123">
        <v>0</v>
      </c>
      <c r="C618" s="123">
        <v>4</v>
      </c>
      <c r="D618" s="123">
        <v>0</v>
      </c>
      <c r="E618" s="123">
        <v>0</v>
      </c>
      <c r="F618" s="123">
        <v>0</v>
      </c>
      <c r="G618" s="123">
        <v>2</v>
      </c>
      <c r="H618" s="123">
        <v>0</v>
      </c>
      <c r="I618" s="123">
        <v>0</v>
      </c>
      <c r="J618" s="123">
        <v>0</v>
      </c>
      <c r="K618" s="123">
        <v>1</v>
      </c>
      <c r="L618" s="123">
        <v>0</v>
      </c>
      <c r="M618" s="123">
        <v>0</v>
      </c>
      <c r="N618" s="123">
        <v>0</v>
      </c>
      <c r="O618" s="123">
        <v>1</v>
      </c>
      <c r="P618" s="7" t="s">
        <v>163</v>
      </c>
      <c r="Q618" s="124"/>
      <c r="R618" s="1"/>
    </row>
    <row r="619" spans="1:18" ht="13.5" thickBot="1" x14ac:dyDescent="0.25">
      <c r="A619" s="123">
        <v>19</v>
      </c>
      <c r="B619" s="123">
        <v>0</v>
      </c>
      <c r="C619" s="123">
        <v>19</v>
      </c>
      <c r="D619" s="123">
        <v>0</v>
      </c>
      <c r="E619" s="123">
        <v>0</v>
      </c>
      <c r="F619" s="123">
        <v>0</v>
      </c>
      <c r="G619" s="123">
        <v>0</v>
      </c>
      <c r="H619" s="123">
        <v>0</v>
      </c>
      <c r="I619" s="123">
        <v>0</v>
      </c>
      <c r="J619" s="123">
        <v>0</v>
      </c>
      <c r="K619" s="123">
        <v>14</v>
      </c>
      <c r="L619" s="123">
        <v>0</v>
      </c>
      <c r="M619" s="123">
        <v>4</v>
      </c>
      <c r="N619" s="123">
        <v>0</v>
      </c>
      <c r="O619" s="123">
        <v>1</v>
      </c>
      <c r="P619" s="7" t="s">
        <v>162</v>
      </c>
      <c r="Q619" s="124" t="s">
        <v>443</v>
      </c>
      <c r="R619" s="1"/>
    </row>
    <row r="620" spans="1:18" ht="13.5" thickBot="1" x14ac:dyDescent="0.25">
      <c r="A620" s="123">
        <v>23</v>
      </c>
      <c r="B620" s="123">
        <v>0</v>
      </c>
      <c r="C620" s="123">
        <v>23</v>
      </c>
      <c r="D620" s="123">
        <v>0</v>
      </c>
      <c r="E620" s="123">
        <v>0</v>
      </c>
      <c r="F620" s="123">
        <v>0</v>
      </c>
      <c r="G620" s="123">
        <v>2</v>
      </c>
      <c r="H620" s="123">
        <v>0</v>
      </c>
      <c r="I620" s="123">
        <v>0</v>
      </c>
      <c r="J620" s="123">
        <v>0</v>
      </c>
      <c r="K620" s="123">
        <v>15</v>
      </c>
      <c r="L620" s="123">
        <v>0</v>
      </c>
      <c r="M620" s="123">
        <v>4</v>
      </c>
      <c r="N620" s="123">
        <v>0</v>
      </c>
      <c r="O620" s="123">
        <v>2</v>
      </c>
      <c r="P620" s="7" t="s">
        <v>13</v>
      </c>
      <c r="Q620" s="9"/>
      <c r="R620" s="1"/>
    </row>
    <row r="621" spans="1:18" ht="13.5" thickBot="1" x14ac:dyDescent="0.25">
      <c r="A621" s="123">
        <v>7</v>
      </c>
      <c r="B621" s="123">
        <v>0</v>
      </c>
      <c r="C621" s="123">
        <v>7</v>
      </c>
      <c r="D621" s="123">
        <v>0</v>
      </c>
      <c r="E621" s="123">
        <v>0</v>
      </c>
      <c r="F621" s="123">
        <v>0</v>
      </c>
      <c r="G621" s="123">
        <v>2</v>
      </c>
      <c r="H621" s="123">
        <v>0</v>
      </c>
      <c r="I621" s="123">
        <v>0</v>
      </c>
      <c r="J621" s="123">
        <v>0</v>
      </c>
      <c r="K621" s="123">
        <v>2</v>
      </c>
      <c r="L621" s="123">
        <v>0</v>
      </c>
      <c r="M621" s="123">
        <v>1</v>
      </c>
      <c r="N621" s="123">
        <v>0</v>
      </c>
      <c r="O621" s="123">
        <v>2</v>
      </c>
      <c r="P621" s="7" t="s">
        <v>163</v>
      </c>
      <c r="Q621" s="124"/>
      <c r="R621" s="1"/>
    </row>
    <row r="622" spans="1:18" ht="13.5" thickBot="1" x14ac:dyDescent="0.25">
      <c r="A622" s="123">
        <v>9</v>
      </c>
      <c r="B622" s="123">
        <v>0</v>
      </c>
      <c r="C622" s="123">
        <v>9</v>
      </c>
      <c r="D622" s="123">
        <v>0</v>
      </c>
      <c r="E622" s="123">
        <v>0</v>
      </c>
      <c r="F622" s="123">
        <v>0</v>
      </c>
      <c r="G622" s="123">
        <v>0</v>
      </c>
      <c r="H622" s="123">
        <v>0</v>
      </c>
      <c r="I622" s="123">
        <v>0</v>
      </c>
      <c r="J622" s="123">
        <v>0</v>
      </c>
      <c r="K622" s="123">
        <v>4</v>
      </c>
      <c r="L622" s="123">
        <v>0</v>
      </c>
      <c r="M622" s="123">
        <v>5</v>
      </c>
      <c r="N622" s="123">
        <v>0</v>
      </c>
      <c r="O622" s="123">
        <v>0</v>
      </c>
      <c r="P622" s="7" t="s">
        <v>162</v>
      </c>
      <c r="Q622" s="124" t="s">
        <v>569</v>
      </c>
      <c r="R622" s="1"/>
    </row>
    <row r="623" spans="1:18" ht="13.5" thickBot="1" x14ac:dyDescent="0.25">
      <c r="A623" s="123">
        <v>16</v>
      </c>
      <c r="B623" s="123">
        <v>0</v>
      </c>
      <c r="C623" s="123">
        <v>16</v>
      </c>
      <c r="D623" s="123">
        <v>0</v>
      </c>
      <c r="E623" s="123">
        <v>0</v>
      </c>
      <c r="F623" s="123">
        <v>0</v>
      </c>
      <c r="G623" s="123">
        <v>2</v>
      </c>
      <c r="H623" s="123">
        <v>0</v>
      </c>
      <c r="I623" s="123">
        <v>0</v>
      </c>
      <c r="J623" s="123">
        <v>0</v>
      </c>
      <c r="K623" s="123">
        <v>6</v>
      </c>
      <c r="L623" s="123">
        <v>0</v>
      </c>
      <c r="M623" s="123">
        <v>6</v>
      </c>
      <c r="N623" s="123">
        <v>0</v>
      </c>
      <c r="O623" s="123">
        <v>2</v>
      </c>
      <c r="P623" s="7" t="s">
        <v>13</v>
      </c>
      <c r="Q623" s="9"/>
      <c r="R623" s="1"/>
    </row>
    <row r="624" spans="1:18" ht="13.5" thickBot="1" x14ac:dyDescent="0.25">
      <c r="A624" s="123">
        <v>3</v>
      </c>
      <c r="B624" s="123">
        <v>0</v>
      </c>
      <c r="C624" s="123">
        <v>3</v>
      </c>
      <c r="D624" s="123">
        <v>0</v>
      </c>
      <c r="E624" s="123">
        <v>0</v>
      </c>
      <c r="F624" s="123">
        <v>0</v>
      </c>
      <c r="G624" s="123">
        <v>1</v>
      </c>
      <c r="H624" s="123">
        <v>0</v>
      </c>
      <c r="I624" s="123">
        <v>1</v>
      </c>
      <c r="J624" s="123">
        <v>0</v>
      </c>
      <c r="K624" s="123">
        <v>0</v>
      </c>
      <c r="L624" s="123">
        <v>0</v>
      </c>
      <c r="M624" s="123">
        <v>1</v>
      </c>
      <c r="N624" s="123">
        <v>0</v>
      </c>
      <c r="O624" s="123">
        <v>0</v>
      </c>
      <c r="P624" s="7" t="s">
        <v>163</v>
      </c>
      <c r="Q624" s="124"/>
      <c r="R624" s="1"/>
    </row>
    <row r="625" spans="1:18" ht="13.5" thickBot="1" x14ac:dyDescent="0.25">
      <c r="A625" s="123">
        <v>5</v>
      </c>
      <c r="B625" s="123">
        <v>0</v>
      </c>
      <c r="C625" s="123">
        <v>5</v>
      </c>
      <c r="D625" s="123">
        <v>0</v>
      </c>
      <c r="E625" s="123">
        <v>0</v>
      </c>
      <c r="F625" s="123">
        <v>0</v>
      </c>
      <c r="G625" s="123">
        <v>0</v>
      </c>
      <c r="H625" s="123">
        <v>0</v>
      </c>
      <c r="I625" s="123">
        <v>2</v>
      </c>
      <c r="J625" s="123">
        <v>0</v>
      </c>
      <c r="K625" s="123">
        <v>3</v>
      </c>
      <c r="L625" s="123">
        <v>0</v>
      </c>
      <c r="M625" s="123">
        <v>0</v>
      </c>
      <c r="N625" s="123">
        <v>0</v>
      </c>
      <c r="O625" s="123">
        <v>0</v>
      </c>
      <c r="P625" s="7" t="s">
        <v>162</v>
      </c>
      <c r="Q625" s="124" t="s">
        <v>107</v>
      </c>
      <c r="R625" s="1"/>
    </row>
    <row r="626" spans="1:18" ht="13.5" thickBot="1" x14ac:dyDescent="0.25">
      <c r="A626" s="123">
        <v>8</v>
      </c>
      <c r="B626" s="123">
        <v>0</v>
      </c>
      <c r="C626" s="123">
        <v>8</v>
      </c>
      <c r="D626" s="123">
        <v>0</v>
      </c>
      <c r="E626" s="123">
        <v>0</v>
      </c>
      <c r="F626" s="123">
        <v>0</v>
      </c>
      <c r="G626" s="123">
        <v>1</v>
      </c>
      <c r="H626" s="123">
        <v>0</v>
      </c>
      <c r="I626" s="123">
        <v>3</v>
      </c>
      <c r="J626" s="123">
        <v>0</v>
      </c>
      <c r="K626" s="123">
        <v>3</v>
      </c>
      <c r="L626" s="123">
        <v>0</v>
      </c>
      <c r="M626" s="123">
        <v>1</v>
      </c>
      <c r="N626" s="123">
        <v>0</v>
      </c>
      <c r="O626" s="123">
        <v>0</v>
      </c>
      <c r="P626" s="7" t="s">
        <v>13</v>
      </c>
      <c r="Q626" s="9"/>
      <c r="R626" s="1"/>
    </row>
    <row r="627" spans="1:18" ht="13.5" thickBot="1" x14ac:dyDescent="0.25">
      <c r="A627" s="123">
        <v>50</v>
      </c>
      <c r="B627" s="123">
        <v>49</v>
      </c>
      <c r="C627" s="123">
        <v>1</v>
      </c>
      <c r="D627" s="123">
        <v>0</v>
      </c>
      <c r="E627" s="123">
        <v>0</v>
      </c>
      <c r="F627" s="123">
        <v>12</v>
      </c>
      <c r="G627" s="123">
        <v>0</v>
      </c>
      <c r="H627" s="123">
        <v>23</v>
      </c>
      <c r="I627" s="123">
        <v>0</v>
      </c>
      <c r="J627" s="123">
        <v>14</v>
      </c>
      <c r="K627" s="123">
        <v>1</v>
      </c>
      <c r="L627" s="123">
        <v>0</v>
      </c>
      <c r="M627" s="123">
        <v>0</v>
      </c>
      <c r="N627" s="123">
        <v>0</v>
      </c>
      <c r="O627" s="123">
        <v>0</v>
      </c>
      <c r="P627" s="7" t="s">
        <v>163</v>
      </c>
      <c r="Q627" s="124"/>
      <c r="R627" s="1"/>
    </row>
    <row r="628" spans="1:18" ht="13.5" thickBot="1" x14ac:dyDescent="0.25">
      <c r="A628" s="123">
        <v>26</v>
      </c>
      <c r="B628" s="123">
        <v>16</v>
      </c>
      <c r="C628" s="123">
        <v>10</v>
      </c>
      <c r="D628" s="123">
        <v>0</v>
      </c>
      <c r="E628" s="123">
        <v>0</v>
      </c>
      <c r="F628" s="123">
        <v>0</v>
      </c>
      <c r="G628" s="123">
        <v>0</v>
      </c>
      <c r="H628" s="123">
        <v>6</v>
      </c>
      <c r="I628" s="123">
        <v>2</v>
      </c>
      <c r="J628" s="123">
        <v>3</v>
      </c>
      <c r="K628" s="123">
        <v>2</v>
      </c>
      <c r="L628" s="123">
        <v>4</v>
      </c>
      <c r="M628" s="123">
        <v>6</v>
      </c>
      <c r="N628" s="123">
        <v>3</v>
      </c>
      <c r="O628" s="123">
        <v>0</v>
      </c>
      <c r="P628" s="7" t="s">
        <v>162</v>
      </c>
      <c r="Q628" s="124" t="s">
        <v>570</v>
      </c>
      <c r="R628" s="1"/>
    </row>
    <row r="629" spans="1:18" ht="13.5" thickBot="1" x14ac:dyDescent="0.25">
      <c r="A629" s="123">
        <v>76</v>
      </c>
      <c r="B629" s="123">
        <v>65</v>
      </c>
      <c r="C629" s="123">
        <v>11</v>
      </c>
      <c r="D629" s="123">
        <v>0</v>
      </c>
      <c r="E629" s="123">
        <v>0</v>
      </c>
      <c r="F629" s="123">
        <v>12</v>
      </c>
      <c r="G629" s="123">
        <v>0</v>
      </c>
      <c r="H629" s="123">
        <v>29</v>
      </c>
      <c r="I629" s="123">
        <v>2</v>
      </c>
      <c r="J629" s="123">
        <v>17</v>
      </c>
      <c r="K629" s="123">
        <v>3</v>
      </c>
      <c r="L629" s="123">
        <v>4</v>
      </c>
      <c r="M629" s="123">
        <v>6</v>
      </c>
      <c r="N629" s="123">
        <v>3</v>
      </c>
      <c r="O629" s="123">
        <v>0</v>
      </c>
      <c r="P629" s="7" t="s">
        <v>13</v>
      </c>
      <c r="Q629" s="9"/>
      <c r="R629" s="1"/>
    </row>
    <row r="630" spans="1:18" ht="13.5" thickBot="1" x14ac:dyDescent="0.25">
      <c r="A630" s="123">
        <v>38</v>
      </c>
      <c r="B630" s="123">
        <v>38</v>
      </c>
      <c r="C630" s="123">
        <v>0</v>
      </c>
      <c r="D630" s="123">
        <v>0</v>
      </c>
      <c r="E630" s="123">
        <v>0</v>
      </c>
      <c r="F630" s="123">
        <v>22</v>
      </c>
      <c r="G630" s="123">
        <v>0</v>
      </c>
      <c r="H630" s="123">
        <v>6</v>
      </c>
      <c r="I630" s="123">
        <v>0</v>
      </c>
      <c r="J630" s="123">
        <v>8</v>
      </c>
      <c r="K630" s="123">
        <v>0</v>
      </c>
      <c r="L630" s="123">
        <v>2</v>
      </c>
      <c r="M630" s="123">
        <v>0</v>
      </c>
      <c r="N630" s="123">
        <v>0</v>
      </c>
      <c r="O630" s="123">
        <v>0</v>
      </c>
      <c r="P630" s="7" t="s">
        <v>163</v>
      </c>
      <c r="Q630" s="124"/>
      <c r="R630" s="1"/>
    </row>
    <row r="631" spans="1:18" ht="13.5" thickBot="1" x14ac:dyDescent="0.25">
      <c r="A631" s="123">
        <v>26</v>
      </c>
      <c r="B631" s="123">
        <v>21</v>
      </c>
      <c r="C631" s="123">
        <v>5</v>
      </c>
      <c r="D631" s="123">
        <v>0</v>
      </c>
      <c r="E631" s="123">
        <v>0</v>
      </c>
      <c r="F631" s="123">
        <v>0</v>
      </c>
      <c r="G631" s="123">
        <v>1</v>
      </c>
      <c r="H631" s="123">
        <v>3</v>
      </c>
      <c r="I631" s="123">
        <v>1</v>
      </c>
      <c r="J631" s="123">
        <v>7</v>
      </c>
      <c r="K631" s="123">
        <v>2</v>
      </c>
      <c r="L631" s="123">
        <v>10</v>
      </c>
      <c r="M631" s="123">
        <v>1</v>
      </c>
      <c r="N631" s="123">
        <v>1</v>
      </c>
      <c r="O631" s="123">
        <v>0</v>
      </c>
      <c r="P631" s="7" t="s">
        <v>162</v>
      </c>
      <c r="Q631" s="124" t="s">
        <v>444</v>
      </c>
      <c r="R631" s="1"/>
    </row>
    <row r="632" spans="1:18" ht="13.5" thickBot="1" x14ac:dyDescent="0.25">
      <c r="A632" s="123">
        <v>64</v>
      </c>
      <c r="B632" s="123">
        <v>59</v>
      </c>
      <c r="C632" s="123">
        <v>5</v>
      </c>
      <c r="D632" s="123">
        <v>0</v>
      </c>
      <c r="E632" s="123">
        <v>0</v>
      </c>
      <c r="F632" s="123">
        <v>22</v>
      </c>
      <c r="G632" s="123">
        <v>1</v>
      </c>
      <c r="H632" s="123">
        <v>9</v>
      </c>
      <c r="I632" s="123">
        <v>1</v>
      </c>
      <c r="J632" s="123">
        <v>15</v>
      </c>
      <c r="K632" s="123">
        <v>2</v>
      </c>
      <c r="L632" s="123">
        <v>12</v>
      </c>
      <c r="M632" s="123">
        <v>1</v>
      </c>
      <c r="N632" s="123">
        <v>1</v>
      </c>
      <c r="O632" s="123">
        <v>0</v>
      </c>
      <c r="P632" s="7" t="s">
        <v>13</v>
      </c>
      <c r="Q632" s="9"/>
      <c r="R632" s="1"/>
    </row>
    <row r="633" spans="1:18" ht="13.5" thickBot="1" x14ac:dyDescent="0.25">
      <c r="A633" s="123">
        <v>30</v>
      </c>
      <c r="B633" s="123">
        <v>30</v>
      </c>
      <c r="C633" s="123">
        <v>0</v>
      </c>
      <c r="D633" s="123">
        <v>0</v>
      </c>
      <c r="E633" s="123">
        <v>0</v>
      </c>
      <c r="F633" s="123">
        <v>29</v>
      </c>
      <c r="G633" s="123">
        <v>0</v>
      </c>
      <c r="H633" s="123">
        <v>1</v>
      </c>
      <c r="I633" s="123">
        <v>0</v>
      </c>
      <c r="J633" s="123">
        <v>0</v>
      </c>
      <c r="K633" s="123">
        <v>0</v>
      </c>
      <c r="L633" s="123">
        <v>0</v>
      </c>
      <c r="M633" s="123">
        <v>0</v>
      </c>
      <c r="N633" s="123">
        <v>0</v>
      </c>
      <c r="O633" s="123">
        <v>0</v>
      </c>
      <c r="P633" s="7" t="s">
        <v>163</v>
      </c>
      <c r="Q633" s="124"/>
      <c r="R633" s="1"/>
    </row>
    <row r="634" spans="1:18" ht="13.5" thickBot="1" x14ac:dyDescent="0.25">
      <c r="A634" s="123">
        <v>29</v>
      </c>
      <c r="B634" s="123">
        <v>24</v>
      </c>
      <c r="C634" s="123">
        <v>5</v>
      </c>
      <c r="D634" s="123">
        <v>0</v>
      </c>
      <c r="E634" s="123">
        <v>0</v>
      </c>
      <c r="F634" s="123">
        <v>0</v>
      </c>
      <c r="G634" s="123">
        <v>0</v>
      </c>
      <c r="H634" s="123">
        <v>14</v>
      </c>
      <c r="I634" s="123">
        <v>1</v>
      </c>
      <c r="J634" s="123">
        <v>8</v>
      </c>
      <c r="K634" s="123">
        <v>4</v>
      </c>
      <c r="L634" s="123">
        <v>2</v>
      </c>
      <c r="M634" s="123">
        <v>0</v>
      </c>
      <c r="N634" s="123">
        <v>0</v>
      </c>
      <c r="O634" s="123">
        <v>0</v>
      </c>
      <c r="P634" s="7" t="s">
        <v>162</v>
      </c>
      <c r="Q634" s="124" t="s">
        <v>451</v>
      </c>
      <c r="R634" s="1"/>
    </row>
    <row r="635" spans="1:18" ht="13.5" thickBot="1" x14ac:dyDescent="0.25">
      <c r="A635" s="123">
        <v>59</v>
      </c>
      <c r="B635" s="123">
        <v>54</v>
      </c>
      <c r="C635" s="123">
        <v>5</v>
      </c>
      <c r="D635" s="123">
        <v>0</v>
      </c>
      <c r="E635" s="123">
        <v>0</v>
      </c>
      <c r="F635" s="123">
        <v>29</v>
      </c>
      <c r="G635" s="123">
        <v>0</v>
      </c>
      <c r="H635" s="123">
        <v>15</v>
      </c>
      <c r="I635" s="123">
        <v>1</v>
      </c>
      <c r="J635" s="123">
        <v>8</v>
      </c>
      <c r="K635" s="123">
        <v>4</v>
      </c>
      <c r="L635" s="123">
        <v>2</v>
      </c>
      <c r="M635" s="123">
        <v>0</v>
      </c>
      <c r="N635" s="123">
        <v>0</v>
      </c>
      <c r="O635" s="123">
        <v>0</v>
      </c>
      <c r="P635" s="7" t="s">
        <v>13</v>
      </c>
      <c r="Q635" s="9"/>
      <c r="R635" s="1"/>
    </row>
    <row r="636" spans="1:18" ht="13.5" thickBot="1" x14ac:dyDescent="0.25">
      <c r="A636" s="123">
        <v>11</v>
      </c>
      <c r="B636" s="123">
        <v>11</v>
      </c>
      <c r="C636" s="123">
        <v>0</v>
      </c>
      <c r="D636" s="123">
        <v>1</v>
      </c>
      <c r="E636" s="123">
        <v>0</v>
      </c>
      <c r="F636" s="123">
        <v>8</v>
      </c>
      <c r="G636" s="123">
        <v>0</v>
      </c>
      <c r="H636" s="123">
        <v>1</v>
      </c>
      <c r="I636" s="123">
        <v>0</v>
      </c>
      <c r="J636" s="123">
        <v>1</v>
      </c>
      <c r="K636" s="123">
        <v>0</v>
      </c>
      <c r="L636" s="123">
        <v>0</v>
      </c>
      <c r="M636" s="123">
        <v>0</v>
      </c>
      <c r="N636" s="123">
        <v>0</v>
      </c>
      <c r="O636" s="123">
        <v>0</v>
      </c>
      <c r="P636" s="7" t="s">
        <v>163</v>
      </c>
      <c r="Q636" s="124"/>
      <c r="R636" s="1"/>
    </row>
    <row r="637" spans="1:18" ht="13.5" thickBot="1" x14ac:dyDescent="0.25">
      <c r="A637" s="123">
        <v>14</v>
      </c>
      <c r="B637" s="123">
        <v>9</v>
      </c>
      <c r="C637" s="123">
        <v>5</v>
      </c>
      <c r="D637" s="123">
        <v>0</v>
      </c>
      <c r="E637" s="123">
        <v>0</v>
      </c>
      <c r="F637" s="123">
        <v>0</v>
      </c>
      <c r="G637" s="123">
        <v>0</v>
      </c>
      <c r="H637" s="123">
        <v>6</v>
      </c>
      <c r="I637" s="123">
        <v>0</v>
      </c>
      <c r="J637" s="123">
        <v>3</v>
      </c>
      <c r="K637" s="123">
        <v>5</v>
      </c>
      <c r="L637" s="123">
        <v>0</v>
      </c>
      <c r="M637" s="123">
        <v>0</v>
      </c>
      <c r="N637" s="123">
        <v>0</v>
      </c>
      <c r="O637" s="123">
        <v>0</v>
      </c>
      <c r="P637" s="7" t="s">
        <v>162</v>
      </c>
      <c r="Q637" s="124" t="s">
        <v>447</v>
      </c>
      <c r="R637" s="1"/>
    </row>
    <row r="638" spans="1:18" ht="13.5" thickBot="1" x14ac:dyDescent="0.25">
      <c r="A638" s="123">
        <v>25</v>
      </c>
      <c r="B638" s="123">
        <v>20</v>
      </c>
      <c r="C638" s="123">
        <v>5</v>
      </c>
      <c r="D638" s="123">
        <v>1</v>
      </c>
      <c r="E638" s="123">
        <v>0</v>
      </c>
      <c r="F638" s="123">
        <v>8</v>
      </c>
      <c r="G638" s="123">
        <v>0</v>
      </c>
      <c r="H638" s="123">
        <v>7</v>
      </c>
      <c r="I638" s="123">
        <v>0</v>
      </c>
      <c r="J638" s="123">
        <v>4</v>
      </c>
      <c r="K638" s="123">
        <v>5</v>
      </c>
      <c r="L638" s="123">
        <v>0</v>
      </c>
      <c r="M638" s="123">
        <v>0</v>
      </c>
      <c r="N638" s="123">
        <v>0</v>
      </c>
      <c r="O638" s="123">
        <v>0</v>
      </c>
      <c r="P638" s="7" t="s">
        <v>13</v>
      </c>
      <c r="Q638" s="9"/>
      <c r="R638" s="1"/>
    </row>
    <row r="639" spans="1:18" ht="13.5" thickBot="1" x14ac:dyDescent="0.25">
      <c r="A639" s="123">
        <v>46</v>
      </c>
      <c r="B639" s="123">
        <v>46</v>
      </c>
      <c r="C639" s="123">
        <v>0</v>
      </c>
      <c r="D639" s="123">
        <v>0</v>
      </c>
      <c r="E639" s="123">
        <v>0</v>
      </c>
      <c r="F639" s="123">
        <v>37</v>
      </c>
      <c r="G639" s="123">
        <v>0</v>
      </c>
      <c r="H639" s="123">
        <v>4</v>
      </c>
      <c r="I639" s="123">
        <v>0</v>
      </c>
      <c r="J639" s="123">
        <v>5</v>
      </c>
      <c r="K639" s="123">
        <v>0</v>
      </c>
      <c r="L639" s="123">
        <v>0</v>
      </c>
      <c r="M639" s="123">
        <v>0</v>
      </c>
      <c r="N639" s="123">
        <v>0</v>
      </c>
      <c r="O639" s="123">
        <v>0</v>
      </c>
      <c r="P639" s="7" t="s">
        <v>163</v>
      </c>
      <c r="Q639" s="124"/>
      <c r="R639" s="1"/>
    </row>
    <row r="640" spans="1:18" ht="13.5" thickBot="1" x14ac:dyDescent="0.25">
      <c r="A640" s="123">
        <v>54</v>
      </c>
      <c r="B640" s="123">
        <v>37</v>
      </c>
      <c r="C640" s="123">
        <v>17</v>
      </c>
      <c r="D640" s="123">
        <v>0</v>
      </c>
      <c r="E640" s="123">
        <v>0</v>
      </c>
      <c r="F640" s="123">
        <v>0</v>
      </c>
      <c r="G640" s="123">
        <v>0</v>
      </c>
      <c r="H640" s="123">
        <v>25</v>
      </c>
      <c r="I640" s="123">
        <v>4</v>
      </c>
      <c r="J640" s="123">
        <v>12</v>
      </c>
      <c r="K640" s="123">
        <v>11</v>
      </c>
      <c r="L640" s="123">
        <v>0</v>
      </c>
      <c r="M640" s="123">
        <v>1</v>
      </c>
      <c r="N640" s="123">
        <v>0</v>
      </c>
      <c r="O640" s="123">
        <v>1</v>
      </c>
      <c r="P640" s="7" t="s">
        <v>162</v>
      </c>
      <c r="Q640" s="124" t="s">
        <v>448</v>
      </c>
      <c r="R640" s="1"/>
    </row>
    <row r="641" spans="1:18" ht="13.5" thickBot="1" x14ac:dyDescent="0.25">
      <c r="A641" s="123">
        <v>100</v>
      </c>
      <c r="B641" s="123">
        <v>83</v>
      </c>
      <c r="C641" s="123">
        <v>17</v>
      </c>
      <c r="D641" s="123">
        <v>0</v>
      </c>
      <c r="E641" s="123">
        <v>0</v>
      </c>
      <c r="F641" s="123">
        <v>37</v>
      </c>
      <c r="G641" s="123">
        <v>0</v>
      </c>
      <c r="H641" s="123">
        <v>29</v>
      </c>
      <c r="I641" s="123">
        <v>4</v>
      </c>
      <c r="J641" s="123">
        <v>17</v>
      </c>
      <c r="K641" s="123">
        <v>11</v>
      </c>
      <c r="L641" s="123">
        <v>0</v>
      </c>
      <c r="M641" s="123">
        <v>1</v>
      </c>
      <c r="N641" s="123">
        <v>0</v>
      </c>
      <c r="O641" s="123">
        <v>1</v>
      </c>
      <c r="P641" s="7" t="s">
        <v>13</v>
      </c>
      <c r="Q641" s="9"/>
      <c r="R641" s="1"/>
    </row>
    <row r="642" spans="1:18" ht="13.5" thickBot="1" x14ac:dyDescent="0.25">
      <c r="A642" s="123">
        <v>3</v>
      </c>
      <c r="B642" s="123">
        <v>0</v>
      </c>
      <c r="C642" s="123">
        <v>3</v>
      </c>
      <c r="D642" s="123">
        <v>0</v>
      </c>
      <c r="E642" s="123">
        <v>0</v>
      </c>
      <c r="F642" s="123">
        <v>0</v>
      </c>
      <c r="G642" s="123">
        <v>0</v>
      </c>
      <c r="H642" s="123">
        <v>0</v>
      </c>
      <c r="I642" s="123">
        <v>0</v>
      </c>
      <c r="J642" s="123">
        <v>0</v>
      </c>
      <c r="K642" s="123">
        <v>3</v>
      </c>
      <c r="L642" s="123">
        <v>0</v>
      </c>
      <c r="M642" s="123">
        <v>0</v>
      </c>
      <c r="N642" s="123">
        <v>0</v>
      </c>
      <c r="O642" s="123">
        <v>0</v>
      </c>
      <c r="P642" s="7" t="s">
        <v>163</v>
      </c>
      <c r="Q642" s="124"/>
      <c r="R642" s="1"/>
    </row>
    <row r="643" spans="1:18" ht="13.5" thickBot="1" x14ac:dyDescent="0.25">
      <c r="A643" s="123">
        <v>5</v>
      </c>
      <c r="B643" s="123">
        <v>0</v>
      </c>
      <c r="C643" s="123">
        <v>5</v>
      </c>
      <c r="D643" s="123">
        <v>0</v>
      </c>
      <c r="E643" s="123">
        <v>0</v>
      </c>
      <c r="F643" s="123">
        <v>0</v>
      </c>
      <c r="G643" s="123">
        <v>0</v>
      </c>
      <c r="H643" s="123">
        <v>0</v>
      </c>
      <c r="I643" s="123">
        <v>0</v>
      </c>
      <c r="J643" s="123">
        <v>0</v>
      </c>
      <c r="K643" s="123">
        <v>4</v>
      </c>
      <c r="L643" s="123">
        <v>0</v>
      </c>
      <c r="M643" s="123">
        <v>1</v>
      </c>
      <c r="N643" s="123">
        <v>0</v>
      </c>
      <c r="O643" s="123">
        <v>0</v>
      </c>
      <c r="P643" s="7" t="s">
        <v>162</v>
      </c>
      <c r="Q643" s="124" t="s">
        <v>364</v>
      </c>
      <c r="R643" s="1"/>
    </row>
    <row r="644" spans="1:18" ht="13.5" thickBot="1" x14ac:dyDescent="0.25">
      <c r="A644" s="123">
        <v>8</v>
      </c>
      <c r="B644" s="123">
        <v>0</v>
      </c>
      <c r="C644" s="123">
        <v>8</v>
      </c>
      <c r="D644" s="123">
        <v>0</v>
      </c>
      <c r="E644" s="123">
        <v>0</v>
      </c>
      <c r="F644" s="123">
        <v>0</v>
      </c>
      <c r="G644" s="123">
        <v>0</v>
      </c>
      <c r="H644" s="123">
        <v>0</v>
      </c>
      <c r="I644" s="123">
        <v>0</v>
      </c>
      <c r="J644" s="123">
        <v>0</v>
      </c>
      <c r="K644" s="123">
        <v>7</v>
      </c>
      <c r="L644" s="123">
        <v>0</v>
      </c>
      <c r="M644" s="123">
        <v>1</v>
      </c>
      <c r="N644" s="123">
        <v>0</v>
      </c>
      <c r="O644" s="123">
        <v>0</v>
      </c>
      <c r="P644" s="7" t="s">
        <v>13</v>
      </c>
      <c r="Q644" s="9"/>
      <c r="R644" s="1"/>
    </row>
    <row r="645" spans="1:18" ht="13.5" thickBot="1" x14ac:dyDescent="0.25">
      <c r="A645" s="123">
        <v>0</v>
      </c>
      <c r="B645" s="123">
        <v>0</v>
      </c>
      <c r="C645" s="123">
        <v>0</v>
      </c>
      <c r="D645" s="123">
        <v>0</v>
      </c>
      <c r="E645" s="123">
        <v>0</v>
      </c>
      <c r="F645" s="123">
        <v>0</v>
      </c>
      <c r="G645" s="123">
        <v>0</v>
      </c>
      <c r="H645" s="123">
        <v>0</v>
      </c>
      <c r="I645" s="123">
        <v>0</v>
      </c>
      <c r="J645" s="123">
        <v>0</v>
      </c>
      <c r="K645" s="123">
        <v>0</v>
      </c>
      <c r="L645" s="123">
        <v>0</v>
      </c>
      <c r="M645" s="123">
        <v>0</v>
      </c>
      <c r="N645" s="123">
        <v>0</v>
      </c>
      <c r="O645" s="123">
        <v>0</v>
      </c>
      <c r="P645" s="7" t="s">
        <v>163</v>
      </c>
      <c r="Q645" s="124"/>
      <c r="R645" s="1"/>
    </row>
    <row r="646" spans="1:18" ht="13.5" thickBot="1" x14ac:dyDescent="0.25">
      <c r="A646" s="123">
        <v>40</v>
      </c>
      <c r="B646" s="123">
        <v>0</v>
      </c>
      <c r="C646" s="123">
        <v>40</v>
      </c>
      <c r="D646" s="123">
        <v>0</v>
      </c>
      <c r="E646" s="123">
        <v>15</v>
      </c>
      <c r="F646" s="123">
        <v>0</v>
      </c>
      <c r="G646" s="123">
        <v>3</v>
      </c>
      <c r="H646" s="123">
        <v>0</v>
      </c>
      <c r="I646" s="123">
        <v>12</v>
      </c>
      <c r="J646" s="123">
        <v>0</v>
      </c>
      <c r="K646" s="123">
        <v>5</v>
      </c>
      <c r="L646" s="123">
        <v>0</v>
      </c>
      <c r="M646" s="123">
        <v>4</v>
      </c>
      <c r="N646" s="123">
        <v>0</v>
      </c>
      <c r="O646" s="123">
        <v>1</v>
      </c>
      <c r="P646" s="7" t="s">
        <v>162</v>
      </c>
      <c r="Q646" s="124" t="s">
        <v>392</v>
      </c>
      <c r="R646" s="1"/>
    </row>
    <row r="647" spans="1:18" ht="13.5" thickBot="1" x14ac:dyDescent="0.25">
      <c r="A647" s="123">
        <v>40</v>
      </c>
      <c r="B647" s="123">
        <v>0</v>
      </c>
      <c r="C647" s="123">
        <v>40</v>
      </c>
      <c r="D647" s="123">
        <v>0</v>
      </c>
      <c r="E647" s="123">
        <v>15</v>
      </c>
      <c r="F647" s="123">
        <v>0</v>
      </c>
      <c r="G647" s="123">
        <v>3</v>
      </c>
      <c r="H647" s="123">
        <v>0</v>
      </c>
      <c r="I647" s="123">
        <v>12</v>
      </c>
      <c r="J647" s="123">
        <v>0</v>
      </c>
      <c r="K647" s="123">
        <v>5</v>
      </c>
      <c r="L647" s="123">
        <v>0</v>
      </c>
      <c r="M647" s="123">
        <v>4</v>
      </c>
      <c r="N647" s="123">
        <v>0</v>
      </c>
      <c r="O647" s="123">
        <v>1</v>
      </c>
      <c r="P647" s="7" t="s">
        <v>13</v>
      </c>
      <c r="Q647" s="9"/>
      <c r="R647" s="1"/>
    </row>
    <row r="648" spans="1:18" ht="13.5" thickBot="1" x14ac:dyDescent="0.25">
      <c r="A648" s="123">
        <v>0</v>
      </c>
      <c r="B648" s="123">
        <v>0</v>
      </c>
      <c r="C648" s="123">
        <v>0</v>
      </c>
      <c r="D648" s="123">
        <v>0</v>
      </c>
      <c r="E648" s="123">
        <v>0</v>
      </c>
      <c r="F648" s="123">
        <v>0</v>
      </c>
      <c r="G648" s="123">
        <v>0</v>
      </c>
      <c r="H648" s="123">
        <v>0</v>
      </c>
      <c r="I648" s="123">
        <v>0</v>
      </c>
      <c r="J648" s="123">
        <v>0</v>
      </c>
      <c r="K648" s="123">
        <v>0</v>
      </c>
      <c r="L648" s="123">
        <v>0</v>
      </c>
      <c r="M648" s="123">
        <v>0</v>
      </c>
      <c r="N648" s="123">
        <v>0</v>
      </c>
      <c r="O648" s="123">
        <v>0</v>
      </c>
      <c r="P648" s="7" t="s">
        <v>163</v>
      </c>
      <c r="Q648" s="124"/>
      <c r="R648" s="1"/>
    </row>
    <row r="649" spans="1:18" ht="13.5" thickBot="1" x14ac:dyDescent="0.25">
      <c r="A649" s="123">
        <v>1</v>
      </c>
      <c r="B649" s="123">
        <v>0</v>
      </c>
      <c r="C649" s="123">
        <v>1</v>
      </c>
      <c r="D649" s="123">
        <v>0</v>
      </c>
      <c r="E649" s="123">
        <v>0</v>
      </c>
      <c r="F649" s="123">
        <v>0</v>
      </c>
      <c r="G649" s="123">
        <v>0</v>
      </c>
      <c r="H649" s="123">
        <v>0</v>
      </c>
      <c r="I649" s="123">
        <v>0</v>
      </c>
      <c r="J649" s="123">
        <v>0</v>
      </c>
      <c r="K649" s="123">
        <v>1</v>
      </c>
      <c r="L649" s="123">
        <v>0</v>
      </c>
      <c r="M649" s="123">
        <v>0</v>
      </c>
      <c r="N649" s="123">
        <v>0</v>
      </c>
      <c r="O649" s="123">
        <v>0</v>
      </c>
      <c r="P649" s="7" t="s">
        <v>162</v>
      </c>
      <c r="Q649" s="124" t="s">
        <v>376</v>
      </c>
      <c r="R649" s="1"/>
    </row>
    <row r="650" spans="1:18" ht="13.5" thickBot="1" x14ac:dyDescent="0.25">
      <c r="A650" s="123">
        <v>1</v>
      </c>
      <c r="B650" s="123">
        <v>0</v>
      </c>
      <c r="C650" s="123">
        <v>1</v>
      </c>
      <c r="D650" s="123">
        <v>0</v>
      </c>
      <c r="E650" s="123">
        <v>0</v>
      </c>
      <c r="F650" s="123">
        <v>0</v>
      </c>
      <c r="G650" s="123">
        <v>0</v>
      </c>
      <c r="H650" s="123">
        <v>0</v>
      </c>
      <c r="I650" s="123">
        <v>0</v>
      </c>
      <c r="J650" s="123">
        <v>0</v>
      </c>
      <c r="K650" s="123">
        <v>1</v>
      </c>
      <c r="L650" s="123">
        <v>0</v>
      </c>
      <c r="M650" s="123">
        <v>0</v>
      </c>
      <c r="N650" s="123">
        <v>0</v>
      </c>
      <c r="O650" s="123">
        <v>0</v>
      </c>
      <c r="P650" s="7" t="s">
        <v>13</v>
      </c>
      <c r="Q650" s="9"/>
      <c r="R650" s="1"/>
    </row>
    <row r="651" spans="1:18" ht="13.5" thickBot="1" x14ac:dyDescent="0.25">
      <c r="A651" s="123">
        <v>0</v>
      </c>
      <c r="B651" s="123">
        <v>0</v>
      </c>
      <c r="C651" s="123">
        <v>0</v>
      </c>
      <c r="D651" s="123">
        <v>0</v>
      </c>
      <c r="E651" s="123">
        <v>0</v>
      </c>
      <c r="F651" s="123">
        <v>0</v>
      </c>
      <c r="G651" s="123">
        <v>0</v>
      </c>
      <c r="H651" s="123">
        <v>0</v>
      </c>
      <c r="I651" s="123">
        <v>0</v>
      </c>
      <c r="J651" s="123">
        <v>0</v>
      </c>
      <c r="K651" s="123">
        <v>0</v>
      </c>
      <c r="L651" s="123">
        <v>0</v>
      </c>
      <c r="M651" s="123">
        <v>0</v>
      </c>
      <c r="N651" s="123">
        <v>0</v>
      </c>
      <c r="O651" s="123">
        <v>0</v>
      </c>
      <c r="P651" s="7" t="s">
        <v>163</v>
      </c>
      <c r="Q651" s="124"/>
      <c r="R651" s="1"/>
    </row>
    <row r="652" spans="1:18" ht="13.5" thickBot="1" x14ac:dyDescent="0.25">
      <c r="A652" s="123">
        <v>10</v>
      </c>
      <c r="B652" s="123">
        <v>0</v>
      </c>
      <c r="C652" s="123">
        <v>10</v>
      </c>
      <c r="D652" s="123">
        <v>0</v>
      </c>
      <c r="E652" s="123">
        <v>0</v>
      </c>
      <c r="F652" s="123">
        <v>0</v>
      </c>
      <c r="G652" s="123">
        <v>4</v>
      </c>
      <c r="H652" s="123">
        <v>0</v>
      </c>
      <c r="I652" s="123">
        <v>0</v>
      </c>
      <c r="J652" s="123">
        <v>0</v>
      </c>
      <c r="K652" s="123">
        <v>6</v>
      </c>
      <c r="L652" s="123">
        <v>0</v>
      </c>
      <c r="M652" s="123">
        <v>0</v>
      </c>
      <c r="N652" s="123">
        <v>0</v>
      </c>
      <c r="O652" s="123">
        <v>0</v>
      </c>
      <c r="P652" s="7" t="s">
        <v>162</v>
      </c>
      <c r="Q652" s="124" t="s">
        <v>109</v>
      </c>
      <c r="R652" s="1"/>
    </row>
    <row r="653" spans="1:18" ht="13.5" thickBot="1" x14ac:dyDescent="0.25">
      <c r="A653" s="123">
        <v>10</v>
      </c>
      <c r="B653" s="123">
        <v>0</v>
      </c>
      <c r="C653" s="123">
        <v>10</v>
      </c>
      <c r="D653" s="123">
        <v>0</v>
      </c>
      <c r="E653" s="123">
        <v>0</v>
      </c>
      <c r="F653" s="123">
        <v>0</v>
      </c>
      <c r="G653" s="123">
        <v>4</v>
      </c>
      <c r="H653" s="123">
        <v>0</v>
      </c>
      <c r="I653" s="123">
        <v>0</v>
      </c>
      <c r="J653" s="123">
        <v>0</v>
      </c>
      <c r="K653" s="123">
        <v>6</v>
      </c>
      <c r="L653" s="123">
        <v>0</v>
      </c>
      <c r="M653" s="123">
        <v>0</v>
      </c>
      <c r="N653" s="123">
        <v>0</v>
      </c>
      <c r="O653" s="123">
        <v>0</v>
      </c>
      <c r="P653" s="7" t="s">
        <v>13</v>
      </c>
      <c r="Q653" s="9"/>
      <c r="R653" s="1"/>
    </row>
    <row r="654" spans="1:18" ht="13.5" thickBot="1" x14ac:dyDescent="0.25">
      <c r="A654" s="123">
        <v>731</v>
      </c>
      <c r="B654" s="123">
        <v>246</v>
      </c>
      <c r="C654" s="123">
        <v>485</v>
      </c>
      <c r="D654" s="123">
        <v>5</v>
      </c>
      <c r="E654" s="123">
        <v>35</v>
      </c>
      <c r="F654" s="123">
        <v>163</v>
      </c>
      <c r="G654" s="123">
        <v>120</v>
      </c>
      <c r="H654" s="123">
        <v>46</v>
      </c>
      <c r="I654" s="123">
        <v>28</v>
      </c>
      <c r="J654" s="123">
        <v>30</v>
      </c>
      <c r="K654" s="123">
        <v>189</v>
      </c>
      <c r="L654" s="123">
        <v>2</v>
      </c>
      <c r="M654" s="123">
        <v>68</v>
      </c>
      <c r="N654" s="123">
        <v>0</v>
      </c>
      <c r="O654" s="123">
        <v>45</v>
      </c>
      <c r="P654" s="7" t="s">
        <v>163</v>
      </c>
      <c r="Q654" s="3"/>
      <c r="R654" s="1"/>
    </row>
    <row r="655" spans="1:18" ht="13.5" thickBot="1" x14ac:dyDescent="0.25">
      <c r="A655" s="123">
        <v>661</v>
      </c>
      <c r="B655" s="123">
        <v>185</v>
      </c>
      <c r="C655" s="123">
        <v>476</v>
      </c>
      <c r="D655" s="123">
        <v>6</v>
      </c>
      <c r="E655" s="123">
        <v>25</v>
      </c>
      <c r="F655" s="123">
        <v>1</v>
      </c>
      <c r="G655" s="123">
        <v>47</v>
      </c>
      <c r="H655" s="123">
        <v>82</v>
      </c>
      <c r="I655" s="123">
        <v>63</v>
      </c>
      <c r="J655" s="123">
        <v>62</v>
      </c>
      <c r="K655" s="123">
        <v>276</v>
      </c>
      <c r="L655" s="123">
        <v>27</v>
      </c>
      <c r="M655" s="123">
        <v>54</v>
      </c>
      <c r="N655" s="123">
        <v>7</v>
      </c>
      <c r="O655" s="123">
        <v>11</v>
      </c>
      <c r="P655" s="7" t="s">
        <v>162</v>
      </c>
      <c r="Q655" s="11" t="s">
        <v>211</v>
      </c>
      <c r="R655" s="1"/>
    </row>
    <row r="656" spans="1:18" ht="13.5" thickBot="1" x14ac:dyDescent="0.25">
      <c r="A656" s="123">
        <v>1392</v>
      </c>
      <c r="B656" s="123">
        <v>431</v>
      </c>
      <c r="C656" s="123">
        <v>961</v>
      </c>
      <c r="D656" s="123">
        <v>11</v>
      </c>
      <c r="E656" s="123">
        <v>60</v>
      </c>
      <c r="F656" s="123">
        <v>164</v>
      </c>
      <c r="G656" s="123">
        <v>167</v>
      </c>
      <c r="H656" s="123">
        <v>128</v>
      </c>
      <c r="I656" s="123">
        <v>91</v>
      </c>
      <c r="J656" s="123">
        <v>92</v>
      </c>
      <c r="K656" s="123">
        <v>465</v>
      </c>
      <c r="L656" s="123">
        <v>29</v>
      </c>
      <c r="M656" s="123">
        <v>122</v>
      </c>
      <c r="N656" s="123">
        <v>7</v>
      </c>
      <c r="O656" s="123">
        <v>56</v>
      </c>
      <c r="P656" s="7" t="s">
        <v>13</v>
      </c>
      <c r="Q656" s="5"/>
      <c r="R656" s="1"/>
    </row>
    <row r="657" spans="1:18" ht="18" customHeight="1" x14ac:dyDescent="0.2">
      <c r="A657" s="207"/>
      <c r="B657" s="207"/>
      <c r="C657" s="207"/>
      <c r="D657" s="207"/>
      <c r="E657" s="207"/>
      <c r="F657" s="207"/>
      <c r="G657" s="207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1"/>
    </row>
    <row r="658" spans="1:18" ht="18" customHeight="1" x14ac:dyDescent="0.2">
      <c r="A658" s="159" t="s">
        <v>616</v>
      </c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"/>
    </row>
    <row r="659" spans="1:18" ht="18" customHeight="1" thickBot="1" x14ac:dyDescent="0.25">
      <c r="A659" s="160" t="s">
        <v>617</v>
      </c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"/>
    </row>
    <row r="660" spans="1:18" ht="13.5" thickBot="1" x14ac:dyDescent="0.25">
      <c r="A660" s="204" t="s">
        <v>5</v>
      </c>
      <c r="B660" s="204"/>
      <c r="C660" s="204"/>
      <c r="D660" s="204" t="s">
        <v>57</v>
      </c>
      <c r="E660" s="204"/>
      <c r="F660" s="204" t="s">
        <v>609</v>
      </c>
      <c r="G660" s="204"/>
      <c r="H660" s="204" t="s">
        <v>610</v>
      </c>
      <c r="I660" s="204"/>
      <c r="J660" s="204" t="s">
        <v>611</v>
      </c>
      <c r="K660" s="204"/>
      <c r="L660" s="204" t="s">
        <v>612</v>
      </c>
      <c r="M660" s="204"/>
      <c r="N660" s="204" t="s">
        <v>613</v>
      </c>
      <c r="O660" s="204"/>
      <c r="P660" s="205" t="s">
        <v>614</v>
      </c>
      <c r="Q660" s="47" t="s">
        <v>161</v>
      </c>
      <c r="R660" s="1"/>
    </row>
    <row r="661" spans="1:18" ht="13.5" thickBot="1" x14ac:dyDescent="0.25">
      <c r="A661" s="47" t="s">
        <v>216</v>
      </c>
      <c r="B661" s="47" t="s">
        <v>11</v>
      </c>
      <c r="C661" s="47" t="s">
        <v>10</v>
      </c>
      <c r="D661" s="47" t="s">
        <v>11</v>
      </c>
      <c r="E661" s="47" t="s">
        <v>10</v>
      </c>
      <c r="F661" s="47" t="s">
        <v>11</v>
      </c>
      <c r="G661" s="47" t="s">
        <v>10</v>
      </c>
      <c r="H661" s="47" t="s">
        <v>11</v>
      </c>
      <c r="I661" s="47" t="s">
        <v>10</v>
      </c>
      <c r="J661" s="47" t="s">
        <v>11</v>
      </c>
      <c r="K661" s="47" t="s">
        <v>10</v>
      </c>
      <c r="L661" s="47" t="s">
        <v>11</v>
      </c>
      <c r="M661" s="47" t="s">
        <v>10</v>
      </c>
      <c r="N661" s="47" t="s">
        <v>11</v>
      </c>
      <c r="O661" s="47" t="s">
        <v>10</v>
      </c>
      <c r="P661" s="206"/>
      <c r="Q661" s="33" t="s">
        <v>82</v>
      </c>
      <c r="R661" s="1"/>
    </row>
    <row r="662" spans="1:18" ht="13.5" thickBot="1" x14ac:dyDescent="0.25">
      <c r="A662" s="123">
        <v>214</v>
      </c>
      <c r="B662" s="123">
        <v>51</v>
      </c>
      <c r="C662" s="123">
        <v>163</v>
      </c>
      <c r="D662" s="123">
        <v>0</v>
      </c>
      <c r="E662" s="123">
        <v>0</v>
      </c>
      <c r="F662" s="123">
        <v>26</v>
      </c>
      <c r="G662" s="123">
        <v>67</v>
      </c>
      <c r="H662" s="123">
        <v>12</v>
      </c>
      <c r="I662" s="123">
        <v>24</v>
      </c>
      <c r="J662" s="123">
        <v>7</v>
      </c>
      <c r="K662" s="123">
        <v>37</v>
      </c>
      <c r="L662" s="123">
        <v>4</v>
      </c>
      <c r="M662" s="123">
        <v>26</v>
      </c>
      <c r="N662" s="123">
        <v>2</v>
      </c>
      <c r="O662" s="123">
        <v>9</v>
      </c>
      <c r="P662" s="7" t="s">
        <v>163</v>
      </c>
      <c r="Q662" s="124"/>
      <c r="R662" s="1"/>
    </row>
    <row r="663" spans="1:18" ht="13.5" thickBot="1" x14ac:dyDescent="0.25">
      <c r="A663" s="123">
        <v>131</v>
      </c>
      <c r="B663" s="123">
        <v>32</v>
      </c>
      <c r="C663" s="123">
        <v>99</v>
      </c>
      <c r="D663" s="123">
        <v>0</v>
      </c>
      <c r="E663" s="123">
        <v>0</v>
      </c>
      <c r="F663" s="123">
        <v>0</v>
      </c>
      <c r="G663" s="123">
        <v>1</v>
      </c>
      <c r="H663" s="123">
        <v>4</v>
      </c>
      <c r="I663" s="123">
        <v>9</v>
      </c>
      <c r="J663" s="123">
        <v>17</v>
      </c>
      <c r="K663" s="123">
        <v>63</v>
      </c>
      <c r="L663" s="123">
        <v>7</v>
      </c>
      <c r="M663" s="123">
        <v>16</v>
      </c>
      <c r="N663" s="123">
        <v>4</v>
      </c>
      <c r="O663" s="123">
        <v>10</v>
      </c>
      <c r="P663" s="7" t="s">
        <v>162</v>
      </c>
      <c r="Q663" s="124" t="s">
        <v>454</v>
      </c>
      <c r="R663" s="1"/>
    </row>
    <row r="664" spans="1:18" ht="13.5" thickBot="1" x14ac:dyDescent="0.25">
      <c r="A664" s="123">
        <v>345</v>
      </c>
      <c r="B664" s="123">
        <v>83</v>
      </c>
      <c r="C664" s="123">
        <v>262</v>
      </c>
      <c r="D664" s="123">
        <v>0</v>
      </c>
      <c r="E664" s="123">
        <v>0</v>
      </c>
      <c r="F664" s="123">
        <v>26</v>
      </c>
      <c r="G664" s="123">
        <v>68</v>
      </c>
      <c r="H664" s="123">
        <v>16</v>
      </c>
      <c r="I664" s="123">
        <v>33</v>
      </c>
      <c r="J664" s="123">
        <v>24</v>
      </c>
      <c r="K664" s="123">
        <v>100</v>
      </c>
      <c r="L664" s="123">
        <v>11</v>
      </c>
      <c r="M664" s="123">
        <v>42</v>
      </c>
      <c r="N664" s="123">
        <v>6</v>
      </c>
      <c r="O664" s="123">
        <v>19</v>
      </c>
      <c r="P664" s="7" t="s">
        <v>13</v>
      </c>
      <c r="Q664" s="9"/>
      <c r="R664" s="1"/>
    </row>
    <row r="665" spans="1:18" ht="13.5" thickBot="1" x14ac:dyDescent="0.25">
      <c r="A665" s="123">
        <v>118</v>
      </c>
      <c r="B665" s="123">
        <v>32</v>
      </c>
      <c r="C665" s="123">
        <v>86</v>
      </c>
      <c r="D665" s="123">
        <v>0</v>
      </c>
      <c r="E665" s="123">
        <v>0</v>
      </c>
      <c r="F665" s="123">
        <v>14</v>
      </c>
      <c r="G665" s="123">
        <v>25</v>
      </c>
      <c r="H665" s="123">
        <v>9</v>
      </c>
      <c r="I665" s="123">
        <v>16</v>
      </c>
      <c r="J665" s="123">
        <v>7</v>
      </c>
      <c r="K665" s="123">
        <v>35</v>
      </c>
      <c r="L665" s="123">
        <v>2</v>
      </c>
      <c r="M665" s="123">
        <v>7</v>
      </c>
      <c r="N665" s="123">
        <v>0</v>
      </c>
      <c r="O665" s="123">
        <v>3</v>
      </c>
      <c r="P665" s="7" t="s">
        <v>163</v>
      </c>
      <c r="Q665" s="124"/>
      <c r="R665" s="1"/>
    </row>
    <row r="666" spans="1:18" ht="13.5" thickBot="1" x14ac:dyDescent="0.25">
      <c r="A666" s="123">
        <v>64</v>
      </c>
      <c r="B666" s="123">
        <v>28</v>
      </c>
      <c r="C666" s="123">
        <v>36</v>
      </c>
      <c r="D666" s="123">
        <v>0</v>
      </c>
      <c r="E666" s="123">
        <v>0</v>
      </c>
      <c r="F666" s="123">
        <v>0</v>
      </c>
      <c r="G666" s="123">
        <v>0</v>
      </c>
      <c r="H666" s="123">
        <v>2</v>
      </c>
      <c r="I666" s="123">
        <v>4</v>
      </c>
      <c r="J666" s="123">
        <v>22</v>
      </c>
      <c r="K666" s="123">
        <v>21</v>
      </c>
      <c r="L666" s="123">
        <v>3</v>
      </c>
      <c r="M666" s="123">
        <v>9</v>
      </c>
      <c r="N666" s="123">
        <v>1</v>
      </c>
      <c r="O666" s="123">
        <v>2</v>
      </c>
      <c r="P666" s="7" t="s">
        <v>162</v>
      </c>
      <c r="Q666" s="124" t="s">
        <v>359</v>
      </c>
      <c r="R666" s="1"/>
    </row>
    <row r="667" spans="1:18" ht="13.5" thickBot="1" x14ac:dyDescent="0.25">
      <c r="A667" s="123">
        <v>182</v>
      </c>
      <c r="B667" s="123">
        <v>60</v>
      </c>
      <c r="C667" s="123">
        <v>122</v>
      </c>
      <c r="D667" s="123">
        <v>0</v>
      </c>
      <c r="E667" s="123">
        <v>0</v>
      </c>
      <c r="F667" s="123">
        <v>14</v>
      </c>
      <c r="G667" s="123">
        <v>25</v>
      </c>
      <c r="H667" s="123">
        <v>11</v>
      </c>
      <c r="I667" s="123">
        <v>20</v>
      </c>
      <c r="J667" s="123">
        <v>29</v>
      </c>
      <c r="K667" s="123">
        <v>56</v>
      </c>
      <c r="L667" s="123">
        <v>5</v>
      </c>
      <c r="M667" s="123">
        <v>16</v>
      </c>
      <c r="N667" s="123">
        <v>1</v>
      </c>
      <c r="O667" s="123">
        <v>5</v>
      </c>
      <c r="P667" s="7" t="s">
        <v>13</v>
      </c>
      <c r="Q667" s="9"/>
      <c r="R667" s="1"/>
    </row>
    <row r="668" spans="1:18" ht="13.5" thickBot="1" x14ac:dyDescent="0.25">
      <c r="A668" s="123">
        <v>78</v>
      </c>
      <c r="B668" s="123">
        <v>23</v>
      </c>
      <c r="C668" s="123">
        <v>55</v>
      </c>
      <c r="D668" s="123">
        <v>0</v>
      </c>
      <c r="E668" s="123">
        <v>0</v>
      </c>
      <c r="F668" s="123">
        <v>10</v>
      </c>
      <c r="G668" s="123">
        <v>32</v>
      </c>
      <c r="H668" s="123">
        <v>9</v>
      </c>
      <c r="I668" s="123">
        <v>5</v>
      </c>
      <c r="J668" s="123">
        <v>4</v>
      </c>
      <c r="K668" s="123">
        <v>11</v>
      </c>
      <c r="L668" s="123">
        <v>0</v>
      </c>
      <c r="M668" s="123">
        <v>4</v>
      </c>
      <c r="N668" s="123">
        <v>0</v>
      </c>
      <c r="O668" s="123">
        <v>3</v>
      </c>
      <c r="P668" s="7" t="s">
        <v>163</v>
      </c>
      <c r="Q668" s="124"/>
      <c r="R668" s="1"/>
    </row>
    <row r="669" spans="1:18" ht="13.5" thickBot="1" x14ac:dyDescent="0.25">
      <c r="A669" s="123">
        <v>53</v>
      </c>
      <c r="B669" s="123">
        <v>22</v>
      </c>
      <c r="C669" s="123">
        <v>31</v>
      </c>
      <c r="D669" s="123">
        <v>0</v>
      </c>
      <c r="E669" s="123">
        <v>0</v>
      </c>
      <c r="F669" s="123">
        <v>0</v>
      </c>
      <c r="G669" s="123">
        <v>0</v>
      </c>
      <c r="H669" s="123">
        <v>2</v>
      </c>
      <c r="I669" s="123">
        <v>3</v>
      </c>
      <c r="J669" s="123">
        <v>17</v>
      </c>
      <c r="K669" s="123">
        <v>17</v>
      </c>
      <c r="L669" s="123">
        <v>3</v>
      </c>
      <c r="M669" s="123">
        <v>5</v>
      </c>
      <c r="N669" s="123">
        <v>0</v>
      </c>
      <c r="O669" s="123">
        <v>6</v>
      </c>
      <c r="P669" s="7" t="s">
        <v>162</v>
      </c>
      <c r="Q669" s="124" t="s">
        <v>441</v>
      </c>
      <c r="R669" s="1"/>
    </row>
    <row r="670" spans="1:18" ht="13.5" thickBot="1" x14ac:dyDescent="0.25">
      <c r="A670" s="123">
        <v>131</v>
      </c>
      <c r="B670" s="123">
        <v>45</v>
      </c>
      <c r="C670" s="123">
        <v>86</v>
      </c>
      <c r="D670" s="123">
        <v>0</v>
      </c>
      <c r="E670" s="123">
        <v>0</v>
      </c>
      <c r="F670" s="123">
        <v>10</v>
      </c>
      <c r="G670" s="123">
        <v>32</v>
      </c>
      <c r="H670" s="123">
        <v>11</v>
      </c>
      <c r="I670" s="123">
        <v>8</v>
      </c>
      <c r="J670" s="123">
        <v>21</v>
      </c>
      <c r="K670" s="123">
        <v>28</v>
      </c>
      <c r="L670" s="123">
        <v>3</v>
      </c>
      <c r="M670" s="123">
        <v>9</v>
      </c>
      <c r="N670" s="123">
        <v>0</v>
      </c>
      <c r="O670" s="123">
        <v>9</v>
      </c>
      <c r="P670" s="7" t="s">
        <v>13</v>
      </c>
      <c r="Q670" s="9"/>
      <c r="R670" s="1"/>
    </row>
    <row r="671" spans="1:18" ht="13.5" thickBot="1" x14ac:dyDescent="0.25">
      <c r="A671" s="123">
        <v>13</v>
      </c>
      <c r="B671" s="123">
        <v>2</v>
      </c>
      <c r="C671" s="123">
        <v>11</v>
      </c>
      <c r="D671" s="123">
        <v>0</v>
      </c>
      <c r="E671" s="123">
        <v>0</v>
      </c>
      <c r="F671" s="123">
        <v>2</v>
      </c>
      <c r="G671" s="123">
        <v>9</v>
      </c>
      <c r="H671" s="123">
        <v>0</v>
      </c>
      <c r="I671" s="123">
        <v>0</v>
      </c>
      <c r="J671" s="123">
        <v>0</v>
      </c>
      <c r="K671" s="123">
        <v>1</v>
      </c>
      <c r="L671" s="123">
        <v>0</v>
      </c>
      <c r="M671" s="123">
        <v>0</v>
      </c>
      <c r="N671" s="123">
        <v>0</v>
      </c>
      <c r="O671" s="123">
        <v>1</v>
      </c>
      <c r="P671" s="7" t="s">
        <v>163</v>
      </c>
      <c r="Q671" s="124"/>
      <c r="R671" s="1"/>
    </row>
    <row r="672" spans="1:18" ht="13.5" thickBot="1" x14ac:dyDescent="0.25">
      <c r="A672" s="123">
        <v>23</v>
      </c>
      <c r="B672" s="123">
        <v>7</v>
      </c>
      <c r="C672" s="123">
        <v>16</v>
      </c>
      <c r="D672" s="123">
        <v>0</v>
      </c>
      <c r="E672" s="123">
        <v>0</v>
      </c>
      <c r="F672" s="123">
        <v>0</v>
      </c>
      <c r="G672" s="123">
        <v>0</v>
      </c>
      <c r="H672" s="123">
        <v>0</v>
      </c>
      <c r="I672" s="123">
        <v>0</v>
      </c>
      <c r="J672" s="123">
        <v>5</v>
      </c>
      <c r="K672" s="123">
        <v>6</v>
      </c>
      <c r="L672" s="123">
        <v>2</v>
      </c>
      <c r="M672" s="123">
        <v>6</v>
      </c>
      <c r="N672" s="123">
        <v>0</v>
      </c>
      <c r="O672" s="123">
        <v>4</v>
      </c>
      <c r="P672" s="7" t="s">
        <v>162</v>
      </c>
      <c r="Q672" s="124" t="s">
        <v>455</v>
      </c>
      <c r="R672" s="1"/>
    </row>
    <row r="673" spans="1:18" ht="13.5" thickBot="1" x14ac:dyDescent="0.25">
      <c r="A673" s="123">
        <v>36</v>
      </c>
      <c r="B673" s="123">
        <v>9</v>
      </c>
      <c r="C673" s="123">
        <v>27</v>
      </c>
      <c r="D673" s="123">
        <v>0</v>
      </c>
      <c r="E673" s="123">
        <v>0</v>
      </c>
      <c r="F673" s="123">
        <v>2</v>
      </c>
      <c r="G673" s="123">
        <v>9</v>
      </c>
      <c r="H673" s="123">
        <v>0</v>
      </c>
      <c r="I673" s="123">
        <v>0</v>
      </c>
      <c r="J673" s="123">
        <v>5</v>
      </c>
      <c r="K673" s="123">
        <v>7</v>
      </c>
      <c r="L673" s="123">
        <v>2</v>
      </c>
      <c r="M673" s="123">
        <v>6</v>
      </c>
      <c r="N673" s="123">
        <v>0</v>
      </c>
      <c r="O673" s="123">
        <v>5</v>
      </c>
      <c r="P673" s="7" t="s">
        <v>13</v>
      </c>
      <c r="Q673" s="9"/>
      <c r="R673" s="1"/>
    </row>
    <row r="674" spans="1:18" ht="13.5" thickBot="1" x14ac:dyDescent="0.25">
      <c r="A674" s="123">
        <v>50</v>
      </c>
      <c r="B674" s="123">
        <v>19</v>
      </c>
      <c r="C674" s="123">
        <v>31</v>
      </c>
      <c r="D674" s="123">
        <v>0</v>
      </c>
      <c r="E674" s="123">
        <v>0</v>
      </c>
      <c r="F674" s="123">
        <v>11</v>
      </c>
      <c r="G674" s="123">
        <v>16</v>
      </c>
      <c r="H674" s="123">
        <v>6</v>
      </c>
      <c r="I674" s="123">
        <v>4</v>
      </c>
      <c r="J674" s="123">
        <v>2</v>
      </c>
      <c r="K674" s="123">
        <v>11</v>
      </c>
      <c r="L674" s="123">
        <v>0</v>
      </c>
      <c r="M674" s="123">
        <v>0</v>
      </c>
      <c r="N674" s="123">
        <v>0</v>
      </c>
      <c r="O674" s="123">
        <v>0</v>
      </c>
      <c r="P674" s="7" t="s">
        <v>163</v>
      </c>
      <c r="Q674" s="124"/>
      <c r="R674" s="1"/>
    </row>
    <row r="675" spans="1:18" ht="13.5" thickBot="1" x14ac:dyDescent="0.25">
      <c r="A675" s="123">
        <v>23</v>
      </c>
      <c r="B675" s="123">
        <v>11</v>
      </c>
      <c r="C675" s="123">
        <v>12</v>
      </c>
      <c r="D675" s="123">
        <v>0</v>
      </c>
      <c r="E675" s="123">
        <v>0</v>
      </c>
      <c r="F675" s="123">
        <v>0</v>
      </c>
      <c r="G675" s="123">
        <v>1</v>
      </c>
      <c r="H675" s="123">
        <v>2</v>
      </c>
      <c r="I675" s="123">
        <v>2</v>
      </c>
      <c r="J675" s="123">
        <v>9</v>
      </c>
      <c r="K675" s="123">
        <v>7</v>
      </c>
      <c r="L675" s="123">
        <v>0</v>
      </c>
      <c r="M675" s="123">
        <v>1</v>
      </c>
      <c r="N675" s="123">
        <v>0</v>
      </c>
      <c r="O675" s="123">
        <v>1</v>
      </c>
      <c r="P675" s="7" t="s">
        <v>162</v>
      </c>
      <c r="Q675" s="124" t="s">
        <v>456</v>
      </c>
      <c r="R675" s="1"/>
    </row>
    <row r="676" spans="1:18" ht="13.5" thickBot="1" x14ac:dyDescent="0.25">
      <c r="A676" s="123">
        <v>73</v>
      </c>
      <c r="B676" s="123">
        <v>30</v>
      </c>
      <c r="C676" s="123">
        <v>43</v>
      </c>
      <c r="D676" s="123">
        <v>0</v>
      </c>
      <c r="E676" s="123">
        <v>0</v>
      </c>
      <c r="F676" s="123">
        <v>11</v>
      </c>
      <c r="G676" s="123">
        <v>17</v>
      </c>
      <c r="H676" s="123">
        <v>8</v>
      </c>
      <c r="I676" s="123">
        <v>6</v>
      </c>
      <c r="J676" s="123">
        <v>11</v>
      </c>
      <c r="K676" s="123">
        <v>18</v>
      </c>
      <c r="L676" s="123">
        <v>0</v>
      </c>
      <c r="M676" s="123">
        <v>1</v>
      </c>
      <c r="N676" s="123">
        <v>0</v>
      </c>
      <c r="O676" s="123">
        <v>1</v>
      </c>
      <c r="P676" s="7" t="s">
        <v>13</v>
      </c>
      <c r="Q676" s="9"/>
      <c r="R676" s="1"/>
    </row>
    <row r="677" spans="1:18" ht="13.5" thickBot="1" x14ac:dyDescent="0.25">
      <c r="A677" s="123">
        <v>26</v>
      </c>
      <c r="B677" s="123">
        <v>7</v>
      </c>
      <c r="C677" s="123">
        <v>19</v>
      </c>
      <c r="D677" s="123">
        <v>0</v>
      </c>
      <c r="E677" s="123">
        <v>0</v>
      </c>
      <c r="F677" s="123">
        <v>4</v>
      </c>
      <c r="G677" s="123">
        <v>14</v>
      </c>
      <c r="H677" s="123">
        <v>2</v>
      </c>
      <c r="I677" s="123">
        <v>1</v>
      </c>
      <c r="J677" s="123">
        <v>1</v>
      </c>
      <c r="K677" s="123">
        <v>3</v>
      </c>
      <c r="L677" s="123">
        <v>0</v>
      </c>
      <c r="M677" s="123">
        <v>1</v>
      </c>
      <c r="N677" s="123">
        <v>0</v>
      </c>
      <c r="O677" s="123">
        <v>0</v>
      </c>
      <c r="P677" s="7" t="s">
        <v>163</v>
      </c>
      <c r="Q677" s="124"/>
      <c r="R677" s="1"/>
    </row>
    <row r="678" spans="1:18" ht="13.5" thickBot="1" x14ac:dyDescent="0.25">
      <c r="A678" s="123">
        <v>19</v>
      </c>
      <c r="B678" s="123">
        <v>10</v>
      </c>
      <c r="C678" s="123">
        <v>9</v>
      </c>
      <c r="D678" s="123">
        <v>0</v>
      </c>
      <c r="E678" s="123">
        <v>0</v>
      </c>
      <c r="F678" s="123">
        <v>0</v>
      </c>
      <c r="G678" s="123">
        <v>0</v>
      </c>
      <c r="H678" s="123">
        <v>1</v>
      </c>
      <c r="I678" s="123">
        <v>0</v>
      </c>
      <c r="J678" s="123">
        <v>6</v>
      </c>
      <c r="K678" s="123">
        <v>7</v>
      </c>
      <c r="L678" s="123">
        <v>3</v>
      </c>
      <c r="M678" s="123">
        <v>2</v>
      </c>
      <c r="N678" s="123">
        <v>0</v>
      </c>
      <c r="O678" s="123">
        <v>0</v>
      </c>
      <c r="P678" s="7" t="s">
        <v>162</v>
      </c>
      <c r="Q678" s="124" t="s">
        <v>112</v>
      </c>
      <c r="R678" s="1"/>
    </row>
    <row r="679" spans="1:18" ht="13.5" thickBot="1" x14ac:dyDescent="0.25">
      <c r="A679" s="123">
        <v>45</v>
      </c>
      <c r="B679" s="123">
        <v>17</v>
      </c>
      <c r="C679" s="123">
        <v>28</v>
      </c>
      <c r="D679" s="123">
        <v>0</v>
      </c>
      <c r="E679" s="123">
        <v>0</v>
      </c>
      <c r="F679" s="123">
        <v>4</v>
      </c>
      <c r="G679" s="123">
        <v>14</v>
      </c>
      <c r="H679" s="123">
        <v>3</v>
      </c>
      <c r="I679" s="123">
        <v>1</v>
      </c>
      <c r="J679" s="123">
        <v>7</v>
      </c>
      <c r="K679" s="123">
        <v>10</v>
      </c>
      <c r="L679" s="123">
        <v>3</v>
      </c>
      <c r="M679" s="123">
        <v>3</v>
      </c>
      <c r="N679" s="123">
        <v>0</v>
      </c>
      <c r="O679" s="123">
        <v>0</v>
      </c>
      <c r="P679" s="7" t="s">
        <v>13</v>
      </c>
      <c r="Q679" s="9"/>
      <c r="R679" s="1"/>
    </row>
    <row r="680" spans="1:18" ht="13.5" thickBot="1" x14ac:dyDescent="0.25">
      <c r="A680" s="123">
        <v>19</v>
      </c>
      <c r="B680" s="123">
        <v>0</v>
      </c>
      <c r="C680" s="123">
        <v>19</v>
      </c>
      <c r="D680" s="123">
        <v>0</v>
      </c>
      <c r="E680" s="123">
        <v>0</v>
      </c>
      <c r="F680" s="123">
        <v>0</v>
      </c>
      <c r="G680" s="123">
        <v>8</v>
      </c>
      <c r="H680" s="123">
        <v>0</v>
      </c>
      <c r="I680" s="123">
        <v>3</v>
      </c>
      <c r="J680" s="123">
        <v>0</v>
      </c>
      <c r="K680" s="123">
        <v>4</v>
      </c>
      <c r="L680" s="123">
        <v>0</v>
      </c>
      <c r="M680" s="123">
        <v>2</v>
      </c>
      <c r="N680" s="123">
        <v>0</v>
      </c>
      <c r="O680" s="123">
        <v>2</v>
      </c>
      <c r="P680" s="7" t="s">
        <v>163</v>
      </c>
      <c r="Q680" s="124"/>
      <c r="R680" s="1"/>
    </row>
    <row r="681" spans="1:18" ht="13.5" thickBot="1" x14ac:dyDescent="0.25">
      <c r="A681" s="123">
        <v>4</v>
      </c>
      <c r="B681" s="123">
        <v>0</v>
      </c>
      <c r="C681" s="123">
        <v>4</v>
      </c>
      <c r="D681" s="123">
        <v>0</v>
      </c>
      <c r="E681" s="123">
        <v>0</v>
      </c>
      <c r="F681" s="123">
        <v>0</v>
      </c>
      <c r="G681" s="123">
        <v>0</v>
      </c>
      <c r="H681" s="123">
        <v>0</v>
      </c>
      <c r="I681" s="123">
        <v>0</v>
      </c>
      <c r="J681" s="123">
        <v>0</v>
      </c>
      <c r="K681" s="123">
        <v>2</v>
      </c>
      <c r="L681" s="123">
        <v>0</v>
      </c>
      <c r="M681" s="123">
        <v>0</v>
      </c>
      <c r="N681" s="123">
        <v>0</v>
      </c>
      <c r="O681" s="123">
        <v>2</v>
      </c>
      <c r="P681" s="7" t="s">
        <v>162</v>
      </c>
      <c r="Q681" s="124" t="s">
        <v>636</v>
      </c>
      <c r="R681" s="1"/>
    </row>
    <row r="682" spans="1:18" ht="13.5" thickBot="1" x14ac:dyDescent="0.25">
      <c r="A682" s="123">
        <v>23</v>
      </c>
      <c r="B682" s="123">
        <v>0</v>
      </c>
      <c r="C682" s="123">
        <v>23</v>
      </c>
      <c r="D682" s="123">
        <v>0</v>
      </c>
      <c r="E682" s="123">
        <v>0</v>
      </c>
      <c r="F682" s="123">
        <v>0</v>
      </c>
      <c r="G682" s="123">
        <v>8</v>
      </c>
      <c r="H682" s="123">
        <v>0</v>
      </c>
      <c r="I682" s="123">
        <v>3</v>
      </c>
      <c r="J682" s="123">
        <v>0</v>
      </c>
      <c r="K682" s="123">
        <v>6</v>
      </c>
      <c r="L682" s="123">
        <v>0</v>
      </c>
      <c r="M682" s="123">
        <v>2</v>
      </c>
      <c r="N682" s="123">
        <v>0</v>
      </c>
      <c r="O682" s="123">
        <v>4</v>
      </c>
      <c r="P682" s="7" t="s">
        <v>13</v>
      </c>
      <c r="Q682" s="9"/>
      <c r="R682" s="1"/>
    </row>
    <row r="683" spans="1:18" ht="13.5" thickBot="1" x14ac:dyDescent="0.25">
      <c r="A683" s="123">
        <v>518</v>
      </c>
      <c r="B683" s="123">
        <v>134</v>
      </c>
      <c r="C683" s="123">
        <v>384</v>
      </c>
      <c r="D683" s="123">
        <v>0</v>
      </c>
      <c r="E683" s="123">
        <v>0</v>
      </c>
      <c r="F683" s="123">
        <v>67</v>
      </c>
      <c r="G683" s="123">
        <v>171</v>
      </c>
      <c r="H683" s="123">
        <v>38</v>
      </c>
      <c r="I683" s="123">
        <v>53</v>
      </c>
      <c r="J683" s="123">
        <v>21</v>
      </c>
      <c r="K683" s="123">
        <v>102</v>
      </c>
      <c r="L683" s="123">
        <v>6</v>
      </c>
      <c r="M683" s="123">
        <v>40</v>
      </c>
      <c r="N683" s="123">
        <v>2</v>
      </c>
      <c r="O683" s="123">
        <v>18</v>
      </c>
      <c r="P683" s="7" t="s">
        <v>163</v>
      </c>
      <c r="Q683" s="3"/>
      <c r="R683" s="1"/>
    </row>
    <row r="684" spans="1:18" ht="13.5" thickBot="1" x14ac:dyDescent="0.25">
      <c r="A684" s="123">
        <v>317</v>
      </c>
      <c r="B684" s="123">
        <v>110</v>
      </c>
      <c r="C684" s="123">
        <v>207</v>
      </c>
      <c r="D684" s="123">
        <v>0</v>
      </c>
      <c r="E684" s="123">
        <v>0</v>
      </c>
      <c r="F684" s="123">
        <v>0</v>
      </c>
      <c r="G684" s="123">
        <v>2</v>
      </c>
      <c r="H684" s="123">
        <v>11</v>
      </c>
      <c r="I684" s="123">
        <v>18</v>
      </c>
      <c r="J684" s="123">
        <v>76</v>
      </c>
      <c r="K684" s="123">
        <v>123</v>
      </c>
      <c r="L684" s="123">
        <v>18</v>
      </c>
      <c r="M684" s="123">
        <v>39</v>
      </c>
      <c r="N684" s="123">
        <v>5</v>
      </c>
      <c r="O684" s="123">
        <v>25</v>
      </c>
      <c r="P684" s="7" t="s">
        <v>162</v>
      </c>
      <c r="Q684" s="11" t="s">
        <v>211</v>
      </c>
      <c r="R684" s="1"/>
    </row>
    <row r="685" spans="1:18" ht="13.5" thickBot="1" x14ac:dyDescent="0.25">
      <c r="A685" s="123">
        <v>835</v>
      </c>
      <c r="B685" s="123">
        <v>244</v>
      </c>
      <c r="C685" s="123">
        <v>591</v>
      </c>
      <c r="D685" s="123">
        <v>0</v>
      </c>
      <c r="E685" s="123">
        <v>0</v>
      </c>
      <c r="F685" s="123">
        <v>67</v>
      </c>
      <c r="G685" s="123">
        <v>173</v>
      </c>
      <c r="H685" s="123">
        <v>49</v>
      </c>
      <c r="I685" s="123">
        <v>71</v>
      </c>
      <c r="J685" s="123">
        <v>97</v>
      </c>
      <c r="K685" s="123">
        <v>225</v>
      </c>
      <c r="L685" s="123">
        <v>24</v>
      </c>
      <c r="M685" s="123">
        <v>79</v>
      </c>
      <c r="N685" s="123">
        <v>7</v>
      </c>
      <c r="O685" s="123">
        <v>43</v>
      </c>
      <c r="P685" s="7" t="s">
        <v>13</v>
      </c>
      <c r="Q685" s="5"/>
      <c r="R685" s="1"/>
    </row>
    <row r="686" spans="1:18" ht="18" customHeight="1" x14ac:dyDescent="0.2">
      <c r="A686" s="207"/>
      <c r="B686" s="207"/>
      <c r="C686" s="207"/>
      <c r="D686" s="207"/>
      <c r="E686" s="207"/>
      <c r="F686" s="207"/>
      <c r="G686" s="207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1"/>
    </row>
    <row r="687" spans="1:18" ht="18" customHeight="1" x14ac:dyDescent="0.2">
      <c r="A687" s="159" t="s">
        <v>616</v>
      </c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"/>
    </row>
    <row r="688" spans="1:18" ht="18" customHeight="1" thickBot="1" x14ac:dyDescent="0.25">
      <c r="A688" s="160" t="s">
        <v>617</v>
      </c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"/>
    </row>
    <row r="689" spans="1:18" ht="13.5" thickBot="1" x14ac:dyDescent="0.25">
      <c r="A689" s="204" t="s">
        <v>5</v>
      </c>
      <c r="B689" s="204"/>
      <c r="C689" s="204"/>
      <c r="D689" s="204" t="s">
        <v>57</v>
      </c>
      <c r="E689" s="204"/>
      <c r="F689" s="204" t="s">
        <v>609</v>
      </c>
      <c r="G689" s="204"/>
      <c r="H689" s="204" t="s">
        <v>610</v>
      </c>
      <c r="I689" s="204"/>
      <c r="J689" s="204" t="s">
        <v>611</v>
      </c>
      <c r="K689" s="204"/>
      <c r="L689" s="204" t="s">
        <v>612</v>
      </c>
      <c r="M689" s="204"/>
      <c r="N689" s="204" t="s">
        <v>613</v>
      </c>
      <c r="O689" s="204"/>
      <c r="P689" s="205" t="s">
        <v>614</v>
      </c>
      <c r="Q689" s="47" t="s">
        <v>161</v>
      </c>
      <c r="R689" s="1"/>
    </row>
    <row r="690" spans="1:18" ht="13.5" thickBot="1" x14ac:dyDescent="0.25">
      <c r="A690" s="47" t="s">
        <v>216</v>
      </c>
      <c r="B690" s="47" t="s">
        <v>11</v>
      </c>
      <c r="C690" s="47" t="s">
        <v>10</v>
      </c>
      <c r="D690" s="47" t="s">
        <v>11</v>
      </c>
      <c r="E690" s="47" t="s">
        <v>10</v>
      </c>
      <c r="F690" s="47" t="s">
        <v>11</v>
      </c>
      <c r="G690" s="47" t="s">
        <v>10</v>
      </c>
      <c r="H690" s="47" t="s">
        <v>11</v>
      </c>
      <c r="I690" s="47" t="s">
        <v>10</v>
      </c>
      <c r="J690" s="47" t="s">
        <v>11</v>
      </c>
      <c r="K690" s="47" t="s">
        <v>10</v>
      </c>
      <c r="L690" s="47" t="s">
        <v>11</v>
      </c>
      <c r="M690" s="47" t="s">
        <v>10</v>
      </c>
      <c r="N690" s="47" t="s">
        <v>11</v>
      </c>
      <c r="O690" s="47" t="s">
        <v>10</v>
      </c>
      <c r="P690" s="206"/>
      <c r="Q690" s="33" t="s">
        <v>83</v>
      </c>
      <c r="R690" s="1"/>
    </row>
    <row r="691" spans="1:18" ht="13.5" thickBot="1" x14ac:dyDescent="0.25">
      <c r="A691" s="123">
        <v>108</v>
      </c>
      <c r="B691" s="123">
        <v>1</v>
      </c>
      <c r="C691" s="123">
        <v>107</v>
      </c>
      <c r="D691" s="123">
        <v>0</v>
      </c>
      <c r="E691" s="123">
        <v>0</v>
      </c>
      <c r="F691" s="123">
        <v>0</v>
      </c>
      <c r="G691" s="123">
        <v>44</v>
      </c>
      <c r="H691" s="123">
        <v>0</v>
      </c>
      <c r="I691" s="123">
        <v>36</v>
      </c>
      <c r="J691" s="123">
        <v>1</v>
      </c>
      <c r="K691" s="123">
        <v>19</v>
      </c>
      <c r="L691" s="123">
        <v>0</v>
      </c>
      <c r="M691" s="123">
        <v>6</v>
      </c>
      <c r="N691" s="123">
        <v>0</v>
      </c>
      <c r="O691" s="123">
        <v>2</v>
      </c>
      <c r="P691" s="7" t="s">
        <v>163</v>
      </c>
      <c r="Q691" s="124"/>
      <c r="R691" s="1"/>
    </row>
    <row r="692" spans="1:18" ht="13.5" thickBot="1" x14ac:dyDescent="0.25">
      <c r="A692" s="123">
        <v>4</v>
      </c>
      <c r="B692" s="123">
        <v>0</v>
      </c>
      <c r="C692" s="123">
        <v>4</v>
      </c>
      <c r="D692" s="123">
        <v>0</v>
      </c>
      <c r="E692" s="123">
        <v>0</v>
      </c>
      <c r="F692" s="123">
        <v>0</v>
      </c>
      <c r="G692" s="123">
        <v>0</v>
      </c>
      <c r="H692" s="123">
        <v>0</v>
      </c>
      <c r="I692" s="123">
        <v>0</v>
      </c>
      <c r="J692" s="123">
        <v>0</v>
      </c>
      <c r="K692" s="123">
        <v>4</v>
      </c>
      <c r="L692" s="123">
        <v>0</v>
      </c>
      <c r="M692" s="123">
        <v>0</v>
      </c>
      <c r="N692" s="123">
        <v>0</v>
      </c>
      <c r="O692" s="123">
        <v>0</v>
      </c>
      <c r="P692" s="7" t="s">
        <v>162</v>
      </c>
      <c r="Q692" s="124" t="s">
        <v>261</v>
      </c>
      <c r="R692" s="1"/>
    </row>
    <row r="693" spans="1:18" ht="13.5" thickBot="1" x14ac:dyDescent="0.25">
      <c r="A693" s="123">
        <v>112</v>
      </c>
      <c r="B693" s="123">
        <v>1</v>
      </c>
      <c r="C693" s="123">
        <v>111</v>
      </c>
      <c r="D693" s="123">
        <v>0</v>
      </c>
      <c r="E693" s="123">
        <v>0</v>
      </c>
      <c r="F693" s="123">
        <v>0</v>
      </c>
      <c r="G693" s="123">
        <v>44</v>
      </c>
      <c r="H693" s="123">
        <v>0</v>
      </c>
      <c r="I693" s="123">
        <v>36</v>
      </c>
      <c r="J693" s="123">
        <v>1</v>
      </c>
      <c r="K693" s="123">
        <v>23</v>
      </c>
      <c r="L693" s="123">
        <v>0</v>
      </c>
      <c r="M693" s="123">
        <v>6</v>
      </c>
      <c r="N693" s="123">
        <v>0</v>
      </c>
      <c r="O693" s="123">
        <v>2</v>
      </c>
      <c r="P693" s="7" t="s">
        <v>13</v>
      </c>
      <c r="Q693" s="9"/>
      <c r="R693" s="1"/>
    </row>
    <row r="694" spans="1:18" ht="13.5" thickBot="1" x14ac:dyDescent="0.25">
      <c r="A694" s="123">
        <v>60</v>
      </c>
      <c r="B694" s="123">
        <v>38</v>
      </c>
      <c r="C694" s="123">
        <v>22</v>
      </c>
      <c r="D694" s="123">
        <v>0</v>
      </c>
      <c r="E694" s="123">
        <v>0</v>
      </c>
      <c r="F694" s="123">
        <v>24</v>
      </c>
      <c r="G694" s="123">
        <v>8</v>
      </c>
      <c r="H694" s="123">
        <v>8</v>
      </c>
      <c r="I694" s="123">
        <v>2</v>
      </c>
      <c r="J694" s="123">
        <v>5</v>
      </c>
      <c r="K694" s="123">
        <v>10</v>
      </c>
      <c r="L694" s="123">
        <v>1</v>
      </c>
      <c r="M694" s="123">
        <v>2</v>
      </c>
      <c r="N694" s="123">
        <v>0</v>
      </c>
      <c r="O694" s="123">
        <v>0</v>
      </c>
      <c r="P694" s="7" t="s">
        <v>163</v>
      </c>
      <c r="Q694" s="124"/>
      <c r="R694" s="1"/>
    </row>
    <row r="695" spans="1:18" ht="13.5" thickBot="1" x14ac:dyDescent="0.25">
      <c r="A695" s="123">
        <v>56</v>
      </c>
      <c r="B695" s="123">
        <v>24</v>
      </c>
      <c r="C695" s="123">
        <v>32</v>
      </c>
      <c r="D695" s="123">
        <v>2</v>
      </c>
      <c r="E695" s="123">
        <v>0</v>
      </c>
      <c r="F695" s="123">
        <v>0</v>
      </c>
      <c r="G695" s="123">
        <v>0</v>
      </c>
      <c r="H695" s="123">
        <v>0</v>
      </c>
      <c r="I695" s="123">
        <v>0</v>
      </c>
      <c r="J695" s="123">
        <v>17</v>
      </c>
      <c r="K695" s="123">
        <v>26</v>
      </c>
      <c r="L695" s="123">
        <v>4</v>
      </c>
      <c r="M695" s="123">
        <v>4</v>
      </c>
      <c r="N695" s="123">
        <v>1</v>
      </c>
      <c r="O695" s="123">
        <v>2</v>
      </c>
      <c r="P695" s="7" t="s">
        <v>162</v>
      </c>
      <c r="Q695" s="124" t="s">
        <v>364</v>
      </c>
      <c r="R695" s="1"/>
    </row>
    <row r="696" spans="1:18" ht="13.5" thickBot="1" x14ac:dyDescent="0.25">
      <c r="A696" s="123">
        <v>116</v>
      </c>
      <c r="B696" s="123">
        <v>62</v>
      </c>
      <c r="C696" s="123">
        <v>54</v>
      </c>
      <c r="D696" s="123">
        <v>2</v>
      </c>
      <c r="E696" s="123">
        <v>0</v>
      </c>
      <c r="F696" s="123">
        <v>24</v>
      </c>
      <c r="G696" s="123">
        <v>8</v>
      </c>
      <c r="H696" s="123">
        <v>8</v>
      </c>
      <c r="I696" s="123">
        <v>2</v>
      </c>
      <c r="J696" s="123">
        <v>22</v>
      </c>
      <c r="K696" s="123">
        <v>36</v>
      </c>
      <c r="L696" s="123">
        <v>5</v>
      </c>
      <c r="M696" s="123">
        <v>6</v>
      </c>
      <c r="N696" s="123">
        <v>1</v>
      </c>
      <c r="O696" s="123">
        <v>2</v>
      </c>
      <c r="P696" s="7" t="s">
        <v>13</v>
      </c>
      <c r="Q696" s="9"/>
      <c r="R696" s="1"/>
    </row>
    <row r="697" spans="1:18" ht="13.5" thickBot="1" x14ac:dyDescent="0.25">
      <c r="A697" s="123">
        <v>85</v>
      </c>
      <c r="B697" s="123">
        <v>49</v>
      </c>
      <c r="C697" s="123">
        <v>36</v>
      </c>
      <c r="D697" s="123">
        <v>0</v>
      </c>
      <c r="E697" s="123">
        <v>0</v>
      </c>
      <c r="F697" s="123">
        <v>38</v>
      </c>
      <c r="G697" s="123">
        <v>21</v>
      </c>
      <c r="H697" s="123">
        <v>9</v>
      </c>
      <c r="I697" s="123">
        <v>3</v>
      </c>
      <c r="J697" s="123">
        <v>2</v>
      </c>
      <c r="K697" s="123">
        <v>8</v>
      </c>
      <c r="L697" s="123">
        <v>0</v>
      </c>
      <c r="M697" s="123">
        <v>2</v>
      </c>
      <c r="N697" s="123">
        <v>0</v>
      </c>
      <c r="O697" s="123">
        <v>2</v>
      </c>
      <c r="P697" s="7" t="s">
        <v>163</v>
      </c>
      <c r="Q697" s="124"/>
      <c r="R697" s="1"/>
    </row>
    <row r="698" spans="1:18" ht="13.5" thickBot="1" x14ac:dyDescent="0.25">
      <c r="A698" s="123">
        <v>113</v>
      </c>
      <c r="B698" s="123">
        <v>26</v>
      </c>
      <c r="C698" s="123">
        <v>87</v>
      </c>
      <c r="D698" s="123">
        <v>0</v>
      </c>
      <c r="E698" s="123">
        <v>0</v>
      </c>
      <c r="F698" s="123">
        <v>0</v>
      </c>
      <c r="G698" s="123">
        <v>0</v>
      </c>
      <c r="H698" s="123">
        <v>0</v>
      </c>
      <c r="I698" s="123">
        <v>0</v>
      </c>
      <c r="J698" s="123">
        <v>16</v>
      </c>
      <c r="K698" s="123">
        <v>38</v>
      </c>
      <c r="L698" s="123">
        <v>6</v>
      </c>
      <c r="M698" s="123">
        <v>31</v>
      </c>
      <c r="N698" s="123">
        <v>4</v>
      </c>
      <c r="O698" s="123">
        <v>18</v>
      </c>
      <c r="P698" s="7" t="s">
        <v>162</v>
      </c>
      <c r="Q698" s="124" t="s">
        <v>359</v>
      </c>
      <c r="R698" s="1"/>
    </row>
    <row r="699" spans="1:18" ht="13.5" thickBot="1" x14ac:dyDescent="0.25">
      <c r="A699" s="123">
        <v>198</v>
      </c>
      <c r="B699" s="123">
        <v>75</v>
      </c>
      <c r="C699" s="123">
        <v>123</v>
      </c>
      <c r="D699" s="123">
        <v>0</v>
      </c>
      <c r="E699" s="123">
        <v>0</v>
      </c>
      <c r="F699" s="123">
        <v>38</v>
      </c>
      <c r="G699" s="123">
        <v>21</v>
      </c>
      <c r="H699" s="123">
        <v>9</v>
      </c>
      <c r="I699" s="123">
        <v>3</v>
      </c>
      <c r="J699" s="123">
        <v>18</v>
      </c>
      <c r="K699" s="123">
        <v>46</v>
      </c>
      <c r="L699" s="123">
        <v>6</v>
      </c>
      <c r="M699" s="123">
        <v>33</v>
      </c>
      <c r="N699" s="123">
        <v>4</v>
      </c>
      <c r="O699" s="123">
        <v>20</v>
      </c>
      <c r="P699" s="7" t="s">
        <v>13</v>
      </c>
      <c r="Q699" s="9"/>
      <c r="R699" s="1"/>
    </row>
    <row r="700" spans="1:18" ht="13.5" thickBot="1" x14ac:dyDescent="0.25">
      <c r="A700" s="123">
        <v>40</v>
      </c>
      <c r="B700" s="123">
        <v>7</v>
      </c>
      <c r="C700" s="123">
        <v>33</v>
      </c>
      <c r="D700" s="123">
        <v>0</v>
      </c>
      <c r="E700" s="123">
        <v>1</v>
      </c>
      <c r="F700" s="123">
        <v>7</v>
      </c>
      <c r="G700" s="123">
        <v>23</v>
      </c>
      <c r="H700" s="123">
        <v>0</v>
      </c>
      <c r="I700" s="123">
        <v>3</v>
      </c>
      <c r="J700" s="123">
        <v>0</v>
      </c>
      <c r="K700" s="123">
        <v>5</v>
      </c>
      <c r="L700" s="123">
        <v>0</v>
      </c>
      <c r="M700" s="123">
        <v>1</v>
      </c>
      <c r="N700" s="123">
        <v>0</v>
      </c>
      <c r="O700" s="123">
        <v>0</v>
      </c>
      <c r="P700" s="7" t="s">
        <v>163</v>
      </c>
      <c r="Q700" s="124"/>
      <c r="R700" s="1"/>
    </row>
    <row r="701" spans="1:18" ht="13.5" thickBot="1" x14ac:dyDescent="0.25">
      <c r="A701" s="123">
        <v>44</v>
      </c>
      <c r="B701" s="123">
        <v>6</v>
      </c>
      <c r="C701" s="123">
        <v>38</v>
      </c>
      <c r="D701" s="123">
        <v>0</v>
      </c>
      <c r="E701" s="123">
        <v>0</v>
      </c>
      <c r="F701" s="123">
        <v>0</v>
      </c>
      <c r="G701" s="123">
        <v>0</v>
      </c>
      <c r="H701" s="123">
        <v>0</v>
      </c>
      <c r="I701" s="123">
        <v>0</v>
      </c>
      <c r="J701" s="123">
        <v>4</v>
      </c>
      <c r="K701" s="123">
        <v>21</v>
      </c>
      <c r="L701" s="123">
        <v>2</v>
      </c>
      <c r="M701" s="123">
        <v>17</v>
      </c>
      <c r="N701" s="123">
        <v>0</v>
      </c>
      <c r="O701" s="123">
        <v>0</v>
      </c>
      <c r="P701" s="7" t="s">
        <v>162</v>
      </c>
      <c r="Q701" s="124" t="s">
        <v>470</v>
      </c>
      <c r="R701" s="1"/>
    </row>
    <row r="702" spans="1:18" ht="13.5" thickBot="1" x14ac:dyDescent="0.25">
      <c r="A702" s="123">
        <v>84</v>
      </c>
      <c r="B702" s="123">
        <v>13</v>
      </c>
      <c r="C702" s="123">
        <v>71</v>
      </c>
      <c r="D702" s="123">
        <v>0</v>
      </c>
      <c r="E702" s="123">
        <v>1</v>
      </c>
      <c r="F702" s="123">
        <v>7</v>
      </c>
      <c r="G702" s="123">
        <v>23</v>
      </c>
      <c r="H702" s="123">
        <v>0</v>
      </c>
      <c r="I702" s="123">
        <v>3</v>
      </c>
      <c r="J702" s="123">
        <v>4</v>
      </c>
      <c r="K702" s="123">
        <v>26</v>
      </c>
      <c r="L702" s="123">
        <v>2</v>
      </c>
      <c r="M702" s="123">
        <v>18</v>
      </c>
      <c r="N702" s="123">
        <v>0</v>
      </c>
      <c r="O702" s="123">
        <v>0</v>
      </c>
      <c r="P702" s="7" t="s">
        <v>13</v>
      </c>
      <c r="Q702" s="9"/>
      <c r="R702" s="1"/>
    </row>
    <row r="703" spans="1:18" ht="13.5" thickBot="1" x14ac:dyDescent="0.25">
      <c r="A703" s="123">
        <v>36</v>
      </c>
      <c r="B703" s="123">
        <v>17</v>
      </c>
      <c r="C703" s="123">
        <v>19</v>
      </c>
      <c r="D703" s="123">
        <v>0</v>
      </c>
      <c r="E703" s="123">
        <v>0</v>
      </c>
      <c r="F703" s="123">
        <v>17</v>
      </c>
      <c r="G703" s="123">
        <v>16</v>
      </c>
      <c r="H703" s="123">
        <v>0</v>
      </c>
      <c r="I703" s="123">
        <v>2</v>
      </c>
      <c r="J703" s="123">
        <v>0</v>
      </c>
      <c r="K703" s="123">
        <v>1</v>
      </c>
      <c r="L703" s="123">
        <v>0</v>
      </c>
      <c r="M703" s="123">
        <v>0</v>
      </c>
      <c r="N703" s="123">
        <v>0</v>
      </c>
      <c r="O703" s="123">
        <v>0</v>
      </c>
      <c r="P703" s="7" t="s">
        <v>163</v>
      </c>
      <c r="Q703" s="124"/>
      <c r="R703" s="1"/>
    </row>
    <row r="704" spans="1:18" ht="13.5" thickBot="1" x14ac:dyDescent="0.25">
      <c r="A704" s="123">
        <v>19</v>
      </c>
      <c r="B704" s="123">
        <v>1</v>
      </c>
      <c r="C704" s="123">
        <v>18</v>
      </c>
      <c r="D704" s="123">
        <v>0</v>
      </c>
      <c r="E704" s="123">
        <v>0</v>
      </c>
      <c r="F704" s="123">
        <v>0</v>
      </c>
      <c r="G704" s="123">
        <v>0</v>
      </c>
      <c r="H704" s="123">
        <v>0</v>
      </c>
      <c r="I704" s="123">
        <v>0</v>
      </c>
      <c r="J704" s="123">
        <v>1</v>
      </c>
      <c r="K704" s="123">
        <v>14</v>
      </c>
      <c r="L704" s="123">
        <v>0</v>
      </c>
      <c r="M704" s="123">
        <v>1</v>
      </c>
      <c r="N704" s="123">
        <v>0</v>
      </c>
      <c r="O704" s="123">
        <v>3</v>
      </c>
      <c r="P704" s="7" t="s">
        <v>162</v>
      </c>
      <c r="Q704" s="124" t="s">
        <v>471</v>
      </c>
      <c r="R704" s="1"/>
    </row>
    <row r="705" spans="1:18" ht="13.5" thickBot="1" x14ac:dyDescent="0.25">
      <c r="A705" s="123">
        <v>55</v>
      </c>
      <c r="B705" s="123">
        <v>18</v>
      </c>
      <c r="C705" s="123">
        <v>37</v>
      </c>
      <c r="D705" s="123">
        <v>0</v>
      </c>
      <c r="E705" s="123">
        <v>0</v>
      </c>
      <c r="F705" s="123">
        <v>17</v>
      </c>
      <c r="G705" s="123">
        <v>16</v>
      </c>
      <c r="H705" s="123">
        <v>0</v>
      </c>
      <c r="I705" s="123">
        <v>2</v>
      </c>
      <c r="J705" s="123">
        <v>1</v>
      </c>
      <c r="K705" s="123">
        <v>15</v>
      </c>
      <c r="L705" s="123">
        <v>0</v>
      </c>
      <c r="M705" s="123">
        <v>1</v>
      </c>
      <c r="N705" s="123">
        <v>0</v>
      </c>
      <c r="O705" s="123">
        <v>3</v>
      </c>
      <c r="P705" s="7" t="s">
        <v>13</v>
      </c>
      <c r="Q705" s="9"/>
      <c r="R705" s="1"/>
    </row>
    <row r="706" spans="1:18" ht="13.5" thickBot="1" x14ac:dyDescent="0.25">
      <c r="A706" s="123">
        <v>53</v>
      </c>
      <c r="B706" s="123">
        <v>23</v>
      </c>
      <c r="C706" s="123">
        <v>30</v>
      </c>
      <c r="D706" s="123">
        <v>0</v>
      </c>
      <c r="E706" s="123">
        <v>0</v>
      </c>
      <c r="F706" s="123">
        <v>18</v>
      </c>
      <c r="G706" s="123">
        <v>15</v>
      </c>
      <c r="H706" s="123">
        <v>4</v>
      </c>
      <c r="I706" s="123">
        <v>11</v>
      </c>
      <c r="J706" s="123">
        <v>1</v>
      </c>
      <c r="K706" s="123">
        <v>4</v>
      </c>
      <c r="L706" s="123">
        <v>0</v>
      </c>
      <c r="M706" s="123">
        <v>0</v>
      </c>
      <c r="N706" s="123">
        <v>0</v>
      </c>
      <c r="O706" s="123">
        <v>0</v>
      </c>
      <c r="P706" s="7" t="s">
        <v>163</v>
      </c>
      <c r="Q706" s="124"/>
      <c r="R706" s="1"/>
    </row>
    <row r="707" spans="1:18" ht="13.5" thickBot="1" x14ac:dyDescent="0.25">
      <c r="A707" s="123">
        <v>33</v>
      </c>
      <c r="B707" s="123">
        <v>8</v>
      </c>
      <c r="C707" s="123">
        <v>25</v>
      </c>
      <c r="D707" s="123">
        <v>0</v>
      </c>
      <c r="E707" s="123">
        <v>0</v>
      </c>
      <c r="F707" s="123">
        <v>0</v>
      </c>
      <c r="G707" s="123">
        <v>0</v>
      </c>
      <c r="H707" s="123">
        <v>0</v>
      </c>
      <c r="I707" s="123">
        <v>0</v>
      </c>
      <c r="J707" s="123">
        <v>7</v>
      </c>
      <c r="K707" s="123">
        <v>23</v>
      </c>
      <c r="L707" s="123">
        <v>1</v>
      </c>
      <c r="M707" s="123">
        <v>2</v>
      </c>
      <c r="N707" s="123">
        <v>0</v>
      </c>
      <c r="O707" s="123">
        <v>0</v>
      </c>
      <c r="P707" s="7" t="s">
        <v>162</v>
      </c>
      <c r="Q707" s="124" t="s">
        <v>455</v>
      </c>
      <c r="R707" s="1"/>
    </row>
    <row r="708" spans="1:18" ht="13.5" thickBot="1" x14ac:dyDescent="0.25">
      <c r="A708" s="123">
        <v>86</v>
      </c>
      <c r="B708" s="123">
        <v>31</v>
      </c>
      <c r="C708" s="123">
        <v>55</v>
      </c>
      <c r="D708" s="123">
        <v>0</v>
      </c>
      <c r="E708" s="123">
        <v>0</v>
      </c>
      <c r="F708" s="123">
        <v>18</v>
      </c>
      <c r="G708" s="123">
        <v>15</v>
      </c>
      <c r="H708" s="123">
        <v>4</v>
      </c>
      <c r="I708" s="123">
        <v>11</v>
      </c>
      <c r="J708" s="123">
        <v>8</v>
      </c>
      <c r="K708" s="123">
        <v>27</v>
      </c>
      <c r="L708" s="123">
        <v>1</v>
      </c>
      <c r="M708" s="123">
        <v>2</v>
      </c>
      <c r="N708" s="123">
        <v>0</v>
      </c>
      <c r="O708" s="123">
        <v>0</v>
      </c>
      <c r="P708" s="7" t="s">
        <v>13</v>
      </c>
      <c r="Q708" s="9"/>
      <c r="R708" s="1"/>
    </row>
    <row r="709" spans="1:18" ht="13.5" thickBot="1" x14ac:dyDescent="0.25">
      <c r="A709" s="123">
        <v>24</v>
      </c>
      <c r="B709" s="123">
        <v>13</v>
      </c>
      <c r="C709" s="123">
        <v>11</v>
      </c>
      <c r="D709" s="123">
        <v>0</v>
      </c>
      <c r="E709" s="123">
        <v>0</v>
      </c>
      <c r="F709" s="123">
        <v>13</v>
      </c>
      <c r="G709" s="123">
        <v>7</v>
      </c>
      <c r="H709" s="123">
        <v>0</v>
      </c>
      <c r="I709" s="123">
        <v>4</v>
      </c>
      <c r="J709" s="123">
        <v>0</v>
      </c>
      <c r="K709" s="123">
        <v>0</v>
      </c>
      <c r="L709" s="123">
        <v>0</v>
      </c>
      <c r="M709" s="123">
        <v>0</v>
      </c>
      <c r="N709" s="123">
        <v>0</v>
      </c>
      <c r="O709" s="123">
        <v>0</v>
      </c>
      <c r="P709" s="7" t="s">
        <v>163</v>
      </c>
      <c r="Q709" s="124"/>
      <c r="R709" s="1"/>
    </row>
    <row r="710" spans="1:18" ht="13.5" thickBot="1" x14ac:dyDescent="0.25">
      <c r="A710" s="123">
        <v>6</v>
      </c>
      <c r="B710" s="123">
        <v>3</v>
      </c>
      <c r="C710" s="123">
        <v>3</v>
      </c>
      <c r="D710" s="123">
        <v>0</v>
      </c>
      <c r="E710" s="123">
        <v>0</v>
      </c>
      <c r="F710" s="123">
        <v>0</v>
      </c>
      <c r="G710" s="123">
        <v>0</v>
      </c>
      <c r="H710" s="123">
        <v>0</v>
      </c>
      <c r="I710" s="123">
        <v>0</v>
      </c>
      <c r="J710" s="123">
        <v>3</v>
      </c>
      <c r="K710" s="123">
        <v>2</v>
      </c>
      <c r="L710" s="123">
        <v>0</v>
      </c>
      <c r="M710" s="123">
        <v>0</v>
      </c>
      <c r="N710" s="123">
        <v>0</v>
      </c>
      <c r="O710" s="123">
        <v>1</v>
      </c>
      <c r="P710" s="7" t="s">
        <v>162</v>
      </c>
      <c r="Q710" s="124" t="s">
        <v>603</v>
      </c>
      <c r="R710" s="1"/>
    </row>
    <row r="711" spans="1:18" ht="13.5" thickBot="1" x14ac:dyDescent="0.25">
      <c r="A711" s="123">
        <v>30</v>
      </c>
      <c r="B711" s="123">
        <v>16</v>
      </c>
      <c r="C711" s="123">
        <v>14</v>
      </c>
      <c r="D711" s="123">
        <v>0</v>
      </c>
      <c r="E711" s="123">
        <v>0</v>
      </c>
      <c r="F711" s="123">
        <v>13</v>
      </c>
      <c r="G711" s="123">
        <v>7</v>
      </c>
      <c r="H711" s="123">
        <v>0</v>
      </c>
      <c r="I711" s="123">
        <v>4</v>
      </c>
      <c r="J711" s="123">
        <v>3</v>
      </c>
      <c r="K711" s="123">
        <v>2</v>
      </c>
      <c r="L711" s="123">
        <v>0</v>
      </c>
      <c r="M711" s="123">
        <v>0</v>
      </c>
      <c r="N711" s="123">
        <v>0</v>
      </c>
      <c r="O711" s="123">
        <v>1</v>
      </c>
      <c r="P711" s="7" t="s">
        <v>13</v>
      </c>
      <c r="Q711" s="9"/>
      <c r="R711" s="1"/>
    </row>
    <row r="712" spans="1:18" ht="13.5" thickBot="1" x14ac:dyDescent="0.25">
      <c r="A712" s="123">
        <v>23</v>
      </c>
      <c r="B712" s="123">
        <v>15</v>
      </c>
      <c r="C712" s="123">
        <v>8</v>
      </c>
      <c r="D712" s="123">
        <v>0</v>
      </c>
      <c r="E712" s="123">
        <v>0</v>
      </c>
      <c r="F712" s="123">
        <v>13</v>
      </c>
      <c r="G712" s="123">
        <v>4</v>
      </c>
      <c r="H712" s="123">
        <v>2</v>
      </c>
      <c r="I712" s="123">
        <v>3</v>
      </c>
      <c r="J712" s="123">
        <v>0</v>
      </c>
      <c r="K712" s="123">
        <v>1</v>
      </c>
      <c r="L712" s="123">
        <v>0</v>
      </c>
      <c r="M712" s="123">
        <v>0</v>
      </c>
      <c r="N712" s="123">
        <v>0</v>
      </c>
      <c r="O712" s="123">
        <v>0</v>
      </c>
      <c r="P712" s="7" t="s">
        <v>163</v>
      </c>
      <c r="Q712" s="124"/>
      <c r="R712" s="1"/>
    </row>
    <row r="713" spans="1:18" ht="13.5" thickBot="1" x14ac:dyDescent="0.25">
      <c r="A713" s="123">
        <v>5</v>
      </c>
      <c r="B713" s="123">
        <v>1</v>
      </c>
      <c r="C713" s="123">
        <v>4</v>
      </c>
      <c r="D713" s="123">
        <v>0</v>
      </c>
      <c r="E713" s="123">
        <v>0</v>
      </c>
      <c r="F713" s="123">
        <v>0</v>
      </c>
      <c r="G713" s="123">
        <v>0</v>
      </c>
      <c r="H713" s="123">
        <v>0</v>
      </c>
      <c r="I713" s="123">
        <v>0</v>
      </c>
      <c r="J713" s="123">
        <v>1</v>
      </c>
      <c r="K713" s="123">
        <v>3</v>
      </c>
      <c r="L713" s="123">
        <v>0</v>
      </c>
      <c r="M713" s="123">
        <v>1</v>
      </c>
      <c r="N713" s="123">
        <v>0</v>
      </c>
      <c r="O713" s="123">
        <v>0</v>
      </c>
      <c r="P713" s="7" t="s">
        <v>162</v>
      </c>
      <c r="Q713" s="124" t="s">
        <v>604</v>
      </c>
      <c r="R713" s="1"/>
    </row>
    <row r="714" spans="1:18" ht="13.5" thickBot="1" x14ac:dyDescent="0.25">
      <c r="A714" s="123">
        <v>28</v>
      </c>
      <c r="B714" s="123">
        <v>16</v>
      </c>
      <c r="C714" s="123">
        <v>12</v>
      </c>
      <c r="D714" s="123">
        <v>0</v>
      </c>
      <c r="E714" s="123">
        <v>0</v>
      </c>
      <c r="F714" s="123">
        <v>13</v>
      </c>
      <c r="G714" s="123">
        <v>4</v>
      </c>
      <c r="H714" s="123">
        <v>2</v>
      </c>
      <c r="I714" s="123">
        <v>3</v>
      </c>
      <c r="J714" s="123">
        <v>1</v>
      </c>
      <c r="K714" s="123">
        <v>4</v>
      </c>
      <c r="L714" s="123">
        <v>0</v>
      </c>
      <c r="M714" s="123">
        <v>1</v>
      </c>
      <c r="N714" s="123">
        <v>0</v>
      </c>
      <c r="O714" s="123">
        <v>0</v>
      </c>
      <c r="P714" s="7" t="s">
        <v>13</v>
      </c>
      <c r="Q714" s="9"/>
      <c r="R714" s="1"/>
    </row>
    <row r="715" spans="1:18" ht="13.5" thickBot="1" x14ac:dyDescent="0.25">
      <c r="A715" s="123">
        <v>8</v>
      </c>
      <c r="B715" s="123">
        <v>8</v>
      </c>
      <c r="C715" s="123">
        <v>0</v>
      </c>
      <c r="D715" s="123">
        <v>0</v>
      </c>
      <c r="E715" s="123">
        <v>0</v>
      </c>
      <c r="F715" s="123">
        <v>8</v>
      </c>
      <c r="G715" s="123">
        <v>0</v>
      </c>
      <c r="H715" s="123">
        <v>0</v>
      </c>
      <c r="I715" s="123">
        <v>0</v>
      </c>
      <c r="J715" s="123">
        <v>0</v>
      </c>
      <c r="K715" s="123">
        <v>0</v>
      </c>
      <c r="L715" s="123">
        <v>0</v>
      </c>
      <c r="M715" s="123">
        <v>0</v>
      </c>
      <c r="N715" s="123">
        <v>0</v>
      </c>
      <c r="O715" s="123">
        <v>0</v>
      </c>
      <c r="P715" s="7" t="s">
        <v>163</v>
      </c>
      <c r="Q715" s="124"/>
      <c r="R715" s="1"/>
    </row>
    <row r="716" spans="1:18" ht="13.5" thickBot="1" x14ac:dyDescent="0.25">
      <c r="A716" s="123">
        <v>1</v>
      </c>
      <c r="B716" s="123">
        <v>0</v>
      </c>
      <c r="C716" s="123">
        <v>1</v>
      </c>
      <c r="D716" s="123">
        <v>0</v>
      </c>
      <c r="E716" s="123">
        <v>0</v>
      </c>
      <c r="F716" s="123">
        <v>0</v>
      </c>
      <c r="G716" s="123">
        <v>0</v>
      </c>
      <c r="H716" s="123">
        <v>0</v>
      </c>
      <c r="I716" s="123">
        <v>0</v>
      </c>
      <c r="J716" s="123">
        <v>0</v>
      </c>
      <c r="K716" s="123">
        <v>1</v>
      </c>
      <c r="L716" s="123">
        <v>0</v>
      </c>
      <c r="M716" s="123">
        <v>0</v>
      </c>
      <c r="N716" s="123">
        <v>0</v>
      </c>
      <c r="O716" s="123">
        <v>0</v>
      </c>
      <c r="P716" s="7" t="s">
        <v>162</v>
      </c>
      <c r="Q716" s="124" t="s">
        <v>113</v>
      </c>
      <c r="R716" s="1"/>
    </row>
    <row r="717" spans="1:18" ht="13.5" thickBot="1" x14ac:dyDescent="0.25">
      <c r="A717" s="123">
        <v>9</v>
      </c>
      <c r="B717" s="123">
        <v>8</v>
      </c>
      <c r="C717" s="123">
        <v>1</v>
      </c>
      <c r="D717" s="123">
        <v>0</v>
      </c>
      <c r="E717" s="123">
        <v>0</v>
      </c>
      <c r="F717" s="123">
        <v>8</v>
      </c>
      <c r="G717" s="123">
        <v>0</v>
      </c>
      <c r="H717" s="123">
        <v>0</v>
      </c>
      <c r="I717" s="123">
        <v>0</v>
      </c>
      <c r="J717" s="123">
        <v>0</v>
      </c>
      <c r="K717" s="123">
        <v>1</v>
      </c>
      <c r="L717" s="123">
        <v>0</v>
      </c>
      <c r="M717" s="123">
        <v>0</v>
      </c>
      <c r="N717" s="123">
        <v>0</v>
      </c>
      <c r="O717" s="123">
        <v>0</v>
      </c>
      <c r="P717" s="7" t="s">
        <v>13</v>
      </c>
      <c r="Q717" s="9"/>
      <c r="R717" s="1"/>
    </row>
    <row r="718" spans="1:18" ht="13.5" thickBot="1" x14ac:dyDescent="0.25">
      <c r="A718" s="123">
        <v>101</v>
      </c>
      <c r="B718" s="123">
        <v>101</v>
      </c>
      <c r="C718" s="123">
        <v>0</v>
      </c>
      <c r="D718" s="123">
        <v>3</v>
      </c>
      <c r="E718" s="123">
        <v>0</v>
      </c>
      <c r="F718" s="123">
        <v>61</v>
      </c>
      <c r="G718" s="123">
        <v>0</v>
      </c>
      <c r="H718" s="123">
        <v>29</v>
      </c>
      <c r="I718" s="123">
        <v>0</v>
      </c>
      <c r="J718" s="123">
        <v>7</v>
      </c>
      <c r="K718" s="123">
        <v>0</v>
      </c>
      <c r="L718" s="123">
        <v>1</v>
      </c>
      <c r="M718" s="123">
        <v>0</v>
      </c>
      <c r="N718" s="123">
        <v>0</v>
      </c>
      <c r="O718" s="123">
        <v>0</v>
      </c>
      <c r="P718" s="7" t="s">
        <v>163</v>
      </c>
      <c r="Q718" s="124"/>
      <c r="R718" s="1"/>
    </row>
    <row r="719" spans="1:18" ht="13.5" thickBot="1" x14ac:dyDescent="0.25">
      <c r="A719" s="123">
        <v>5</v>
      </c>
      <c r="B719" s="123">
        <v>5</v>
      </c>
      <c r="C719" s="123">
        <v>0</v>
      </c>
      <c r="D719" s="123">
        <v>0</v>
      </c>
      <c r="E719" s="123">
        <v>0</v>
      </c>
      <c r="F719" s="123">
        <v>0</v>
      </c>
      <c r="G719" s="123">
        <v>0</v>
      </c>
      <c r="H719" s="123">
        <v>0</v>
      </c>
      <c r="I719" s="123">
        <v>0</v>
      </c>
      <c r="J719" s="123">
        <v>4</v>
      </c>
      <c r="K719" s="123">
        <v>0</v>
      </c>
      <c r="L719" s="123">
        <v>1</v>
      </c>
      <c r="M719" s="123">
        <v>0</v>
      </c>
      <c r="N719" s="123">
        <v>0</v>
      </c>
      <c r="O719" s="123">
        <v>0</v>
      </c>
      <c r="P719" s="7" t="s">
        <v>162</v>
      </c>
      <c r="Q719" s="124" t="s">
        <v>574</v>
      </c>
      <c r="R719" s="1"/>
    </row>
    <row r="720" spans="1:18" ht="13.5" thickBot="1" x14ac:dyDescent="0.25">
      <c r="A720" s="123">
        <v>106</v>
      </c>
      <c r="B720" s="123">
        <v>106</v>
      </c>
      <c r="C720" s="123">
        <v>0</v>
      </c>
      <c r="D720" s="123">
        <v>3</v>
      </c>
      <c r="E720" s="123">
        <v>0</v>
      </c>
      <c r="F720" s="123">
        <v>61</v>
      </c>
      <c r="G720" s="123">
        <v>0</v>
      </c>
      <c r="H720" s="123">
        <v>29</v>
      </c>
      <c r="I720" s="123">
        <v>0</v>
      </c>
      <c r="J720" s="123">
        <v>11</v>
      </c>
      <c r="K720" s="123">
        <v>0</v>
      </c>
      <c r="L720" s="123">
        <v>2</v>
      </c>
      <c r="M720" s="123">
        <v>0</v>
      </c>
      <c r="N720" s="123">
        <v>0</v>
      </c>
      <c r="O720" s="123">
        <v>0</v>
      </c>
      <c r="P720" s="7" t="s">
        <v>13</v>
      </c>
      <c r="Q720" s="9"/>
      <c r="R720" s="1"/>
    </row>
    <row r="721" spans="1:18" ht="13.5" thickBot="1" x14ac:dyDescent="0.25">
      <c r="A721" s="123">
        <v>17</v>
      </c>
      <c r="B721" s="123">
        <v>1</v>
      </c>
      <c r="C721" s="123">
        <v>16</v>
      </c>
      <c r="D721" s="123">
        <v>0</v>
      </c>
      <c r="E721" s="123">
        <v>11</v>
      </c>
      <c r="F721" s="123">
        <v>0</v>
      </c>
      <c r="G721" s="123">
        <v>3</v>
      </c>
      <c r="H721" s="123">
        <v>1</v>
      </c>
      <c r="I721" s="123">
        <v>2</v>
      </c>
      <c r="J721" s="123">
        <v>0</v>
      </c>
      <c r="K721" s="123">
        <v>0</v>
      </c>
      <c r="L721" s="123">
        <v>0</v>
      </c>
      <c r="M721" s="123">
        <v>0</v>
      </c>
      <c r="N721" s="123">
        <v>0</v>
      </c>
      <c r="O721" s="123">
        <v>0</v>
      </c>
      <c r="P721" s="7" t="s">
        <v>163</v>
      </c>
      <c r="Q721" s="124"/>
      <c r="R721" s="1"/>
    </row>
    <row r="722" spans="1:18" ht="13.5" thickBot="1" x14ac:dyDescent="0.25">
      <c r="A722" s="123">
        <v>21</v>
      </c>
      <c r="B722" s="123">
        <v>12</v>
      </c>
      <c r="C722" s="123">
        <v>9</v>
      </c>
      <c r="D722" s="123">
        <v>3</v>
      </c>
      <c r="E722" s="123">
        <v>3</v>
      </c>
      <c r="F722" s="123">
        <v>0</v>
      </c>
      <c r="G722" s="123">
        <v>0</v>
      </c>
      <c r="H722" s="123">
        <v>4</v>
      </c>
      <c r="I722" s="123">
        <v>3</v>
      </c>
      <c r="J722" s="123">
        <v>5</v>
      </c>
      <c r="K722" s="123">
        <v>3</v>
      </c>
      <c r="L722" s="123">
        <v>0</v>
      </c>
      <c r="M722" s="123">
        <v>0</v>
      </c>
      <c r="N722" s="123">
        <v>0</v>
      </c>
      <c r="O722" s="123">
        <v>0</v>
      </c>
      <c r="P722" s="7" t="s">
        <v>162</v>
      </c>
      <c r="Q722" s="124" t="s">
        <v>637</v>
      </c>
      <c r="R722" s="1"/>
    </row>
    <row r="723" spans="1:18" ht="13.5" thickBot="1" x14ac:dyDescent="0.25">
      <c r="A723" s="123">
        <v>38</v>
      </c>
      <c r="B723" s="123">
        <v>13</v>
      </c>
      <c r="C723" s="123">
        <v>25</v>
      </c>
      <c r="D723" s="123">
        <v>3</v>
      </c>
      <c r="E723" s="123">
        <v>14</v>
      </c>
      <c r="F723" s="123">
        <v>0</v>
      </c>
      <c r="G723" s="123">
        <v>3</v>
      </c>
      <c r="H723" s="123">
        <v>5</v>
      </c>
      <c r="I723" s="123">
        <v>5</v>
      </c>
      <c r="J723" s="123">
        <v>5</v>
      </c>
      <c r="K723" s="123">
        <v>3</v>
      </c>
      <c r="L723" s="123">
        <v>0</v>
      </c>
      <c r="M723" s="123">
        <v>0</v>
      </c>
      <c r="N723" s="123">
        <v>0</v>
      </c>
      <c r="O723" s="123">
        <v>0</v>
      </c>
      <c r="P723" s="7" t="s">
        <v>13</v>
      </c>
      <c r="Q723" s="9"/>
      <c r="R723" s="1"/>
    </row>
    <row r="724" spans="1:18" ht="13.5" thickBot="1" x14ac:dyDescent="0.25">
      <c r="A724" s="123">
        <v>555</v>
      </c>
      <c r="B724" s="123">
        <v>273</v>
      </c>
      <c r="C724" s="123">
        <v>282</v>
      </c>
      <c r="D724" s="123">
        <v>3</v>
      </c>
      <c r="E724" s="123">
        <v>12</v>
      </c>
      <c r="F724" s="123">
        <v>199</v>
      </c>
      <c r="G724" s="123">
        <v>141</v>
      </c>
      <c r="H724" s="123">
        <v>53</v>
      </c>
      <c r="I724" s="123">
        <v>66</v>
      </c>
      <c r="J724" s="123">
        <v>16</v>
      </c>
      <c r="K724" s="123">
        <v>48</v>
      </c>
      <c r="L724" s="123">
        <v>2</v>
      </c>
      <c r="M724" s="123">
        <v>11</v>
      </c>
      <c r="N724" s="123">
        <v>0</v>
      </c>
      <c r="O724" s="123">
        <v>4</v>
      </c>
      <c r="P724" s="7" t="s">
        <v>163</v>
      </c>
      <c r="Q724" s="3"/>
      <c r="R724" s="1"/>
    </row>
    <row r="725" spans="1:18" ht="13.5" thickBot="1" x14ac:dyDescent="0.25">
      <c r="A725" s="123">
        <v>307</v>
      </c>
      <c r="B725" s="123">
        <v>86</v>
      </c>
      <c r="C725" s="123">
        <v>221</v>
      </c>
      <c r="D725" s="123">
        <v>5</v>
      </c>
      <c r="E725" s="123">
        <v>3</v>
      </c>
      <c r="F725" s="123">
        <v>0</v>
      </c>
      <c r="G725" s="123">
        <v>0</v>
      </c>
      <c r="H725" s="123">
        <v>4</v>
      </c>
      <c r="I725" s="123">
        <v>3</v>
      </c>
      <c r="J725" s="123">
        <v>58</v>
      </c>
      <c r="K725" s="123">
        <v>135</v>
      </c>
      <c r="L725" s="123">
        <v>14</v>
      </c>
      <c r="M725" s="123">
        <v>56</v>
      </c>
      <c r="N725" s="123">
        <v>5</v>
      </c>
      <c r="O725" s="123">
        <v>24</v>
      </c>
      <c r="P725" s="7" t="s">
        <v>162</v>
      </c>
      <c r="Q725" s="11" t="s">
        <v>211</v>
      </c>
      <c r="R725" s="1"/>
    </row>
    <row r="726" spans="1:18" ht="13.5" thickBot="1" x14ac:dyDescent="0.25">
      <c r="A726" s="123">
        <v>862</v>
      </c>
      <c r="B726" s="123">
        <v>359</v>
      </c>
      <c r="C726" s="123">
        <v>503</v>
      </c>
      <c r="D726" s="123">
        <v>8</v>
      </c>
      <c r="E726" s="123">
        <v>15</v>
      </c>
      <c r="F726" s="123">
        <v>199</v>
      </c>
      <c r="G726" s="123">
        <v>141</v>
      </c>
      <c r="H726" s="123">
        <v>57</v>
      </c>
      <c r="I726" s="123">
        <v>69</v>
      </c>
      <c r="J726" s="123">
        <v>74</v>
      </c>
      <c r="K726" s="123">
        <v>183</v>
      </c>
      <c r="L726" s="123">
        <v>16</v>
      </c>
      <c r="M726" s="123">
        <v>67</v>
      </c>
      <c r="N726" s="123">
        <v>5</v>
      </c>
      <c r="O726" s="123">
        <v>28</v>
      </c>
      <c r="P726" s="7" t="s">
        <v>13</v>
      </c>
      <c r="Q726" s="5"/>
      <c r="R726" s="1"/>
    </row>
    <row r="727" spans="1:18" ht="18" customHeight="1" x14ac:dyDescent="0.2">
      <c r="A727" s="207"/>
      <c r="B727" s="207"/>
      <c r="C727" s="207"/>
      <c r="D727" s="207"/>
      <c r="E727" s="207"/>
      <c r="F727" s="207"/>
      <c r="G727" s="207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1"/>
    </row>
    <row r="728" spans="1:18" ht="18" customHeight="1" x14ac:dyDescent="0.2">
      <c r="A728" s="159" t="s">
        <v>616</v>
      </c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"/>
    </row>
    <row r="729" spans="1:18" ht="18" customHeight="1" thickBot="1" x14ac:dyDescent="0.25">
      <c r="A729" s="160" t="s">
        <v>617</v>
      </c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"/>
    </row>
    <row r="730" spans="1:18" ht="13.5" thickBot="1" x14ac:dyDescent="0.25">
      <c r="A730" s="204" t="s">
        <v>5</v>
      </c>
      <c r="B730" s="204"/>
      <c r="C730" s="204"/>
      <c r="D730" s="204" t="s">
        <v>57</v>
      </c>
      <c r="E730" s="204"/>
      <c r="F730" s="204" t="s">
        <v>609</v>
      </c>
      <c r="G730" s="204"/>
      <c r="H730" s="204" t="s">
        <v>610</v>
      </c>
      <c r="I730" s="204"/>
      <c r="J730" s="204" t="s">
        <v>611</v>
      </c>
      <c r="K730" s="204"/>
      <c r="L730" s="204" t="s">
        <v>612</v>
      </c>
      <c r="M730" s="204"/>
      <c r="N730" s="204" t="s">
        <v>613</v>
      </c>
      <c r="O730" s="204"/>
      <c r="P730" s="205" t="s">
        <v>614</v>
      </c>
      <c r="Q730" s="47" t="s">
        <v>161</v>
      </c>
      <c r="R730" s="1"/>
    </row>
    <row r="731" spans="1:18" ht="13.5" thickBot="1" x14ac:dyDescent="0.25">
      <c r="A731" s="47" t="s">
        <v>216</v>
      </c>
      <c r="B731" s="47" t="s">
        <v>11</v>
      </c>
      <c r="C731" s="47" t="s">
        <v>10</v>
      </c>
      <c r="D731" s="47" t="s">
        <v>11</v>
      </c>
      <c r="E731" s="47" t="s">
        <v>10</v>
      </c>
      <c r="F731" s="47" t="s">
        <v>11</v>
      </c>
      <c r="G731" s="47" t="s">
        <v>10</v>
      </c>
      <c r="H731" s="47" t="s">
        <v>11</v>
      </c>
      <c r="I731" s="47" t="s">
        <v>10</v>
      </c>
      <c r="J731" s="47" t="s">
        <v>11</v>
      </c>
      <c r="K731" s="47" t="s">
        <v>10</v>
      </c>
      <c r="L731" s="47" t="s">
        <v>11</v>
      </c>
      <c r="M731" s="47" t="s">
        <v>10</v>
      </c>
      <c r="N731" s="47" t="s">
        <v>11</v>
      </c>
      <c r="O731" s="47" t="s">
        <v>10</v>
      </c>
      <c r="P731" s="206"/>
      <c r="Q731" s="33" t="s">
        <v>165</v>
      </c>
      <c r="R731" s="1"/>
    </row>
    <row r="732" spans="1:18" ht="13.5" thickBot="1" x14ac:dyDescent="0.25">
      <c r="A732" s="123">
        <v>14</v>
      </c>
      <c r="B732" s="123">
        <v>0</v>
      </c>
      <c r="C732" s="123">
        <v>14</v>
      </c>
      <c r="D732" s="123">
        <v>0</v>
      </c>
      <c r="E732" s="123">
        <v>0</v>
      </c>
      <c r="F732" s="123">
        <v>0</v>
      </c>
      <c r="G732" s="123">
        <v>0</v>
      </c>
      <c r="H732" s="123">
        <v>0</v>
      </c>
      <c r="I732" s="123">
        <v>2</v>
      </c>
      <c r="J732" s="123">
        <v>0</v>
      </c>
      <c r="K732" s="123">
        <v>8</v>
      </c>
      <c r="L732" s="123">
        <v>0</v>
      </c>
      <c r="M732" s="123">
        <v>3</v>
      </c>
      <c r="N732" s="123">
        <v>0</v>
      </c>
      <c r="O732" s="123">
        <v>1</v>
      </c>
      <c r="P732" s="7" t="s">
        <v>163</v>
      </c>
      <c r="Q732" s="124"/>
      <c r="R732" s="1"/>
    </row>
    <row r="733" spans="1:18" ht="13.5" thickBot="1" x14ac:dyDescent="0.25">
      <c r="A733" s="123">
        <v>20</v>
      </c>
      <c r="B733" s="123">
        <v>4</v>
      </c>
      <c r="C733" s="123">
        <v>16</v>
      </c>
      <c r="D733" s="123">
        <v>0</v>
      </c>
      <c r="E733" s="123">
        <v>0</v>
      </c>
      <c r="F733" s="123">
        <v>0</v>
      </c>
      <c r="G733" s="123">
        <v>0</v>
      </c>
      <c r="H733" s="123">
        <v>0</v>
      </c>
      <c r="I733" s="123">
        <v>0</v>
      </c>
      <c r="J733" s="123">
        <v>3</v>
      </c>
      <c r="K733" s="123">
        <v>6</v>
      </c>
      <c r="L733" s="123">
        <v>1</v>
      </c>
      <c r="M733" s="123">
        <v>7</v>
      </c>
      <c r="N733" s="123">
        <v>0</v>
      </c>
      <c r="O733" s="123">
        <v>3</v>
      </c>
      <c r="P733" s="7" t="s">
        <v>162</v>
      </c>
      <c r="Q733" s="124" t="s">
        <v>542</v>
      </c>
      <c r="R733" s="1"/>
    </row>
    <row r="734" spans="1:18" ht="13.5" thickBot="1" x14ac:dyDescent="0.25">
      <c r="A734" s="123">
        <v>34</v>
      </c>
      <c r="B734" s="123">
        <v>4</v>
      </c>
      <c r="C734" s="123">
        <v>30</v>
      </c>
      <c r="D734" s="123">
        <v>0</v>
      </c>
      <c r="E734" s="123">
        <v>0</v>
      </c>
      <c r="F734" s="123">
        <v>0</v>
      </c>
      <c r="G734" s="123">
        <v>0</v>
      </c>
      <c r="H734" s="123">
        <v>0</v>
      </c>
      <c r="I734" s="123">
        <v>2</v>
      </c>
      <c r="J734" s="123">
        <v>3</v>
      </c>
      <c r="K734" s="123">
        <v>14</v>
      </c>
      <c r="L734" s="123">
        <v>1</v>
      </c>
      <c r="M734" s="123">
        <v>10</v>
      </c>
      <c r="N734" s="123">
        <v>0</v>
      </c>
      <c r="O734" s="123">
        <v>4</v>
      </c>
      <c r="P734" s="7" t="s">
        <v>13</v>
      </c>
      <c r="Q734" s="9"/>
      <c r="R734" s="1"/>
    </row>
    <row r="735" spans="1:18" ht="13.5" thickBot="1" x14ac:dyDescent="0.25">
      <c r="A735" s="123">
        <v>3</v>
      </c>
      <c r="B735" s="123">
        <v>0</v>
      </c>
      <c r="C735" s="123">
        <v>3</v>
      </c>
      <c r="D735" s="123">
        <v>0</v>
      </c>
      <c r="E735" s="123">
        <v>0</v>
      </c>
      <c r="F735" s="123">
        <v>0</v>
      </c>
      <c r="G735" s="123">
        <v>0</v>
      </c>
      <c r="H735" s="123">
        <v>0</v>
      </c>
      <c r="I735" s="123">
        <v>0</v>
      </c>
      <c r="J735" s="123">
        <v>0</v>
      </c>
      <c r="K735" s="123">
        <v>0</v>
      </c>
      <c r="L735" s="123">
        <v>0</v>
      </c>
      <c r="M735" s="123">
        <v>1</v>
      </c>
      <c r="N735" s="123">
        <v>0</v>
      </c>
      <c r="O735" s="123">
        <v>2</v>
      </c>
      <c r="P735" s="7" t="s">
        <v>163</v>
      </c>
      <c r="Q735" s="124"/>
      <c r="R735" s="1"/>
    </row>
    <row r="736" spans="1:18" ht="13.5" thickBot="1" x14ac:dyDescent="0.25">
      <c r="A736" s="123">
        <v>2</v>
      </c>
      <c r="B736" s="123">
        <v>0</v>
      </c>
      <c r="C736" s="123">
        <v>2</v>
      </c>
      <c r="D736" s="123">
        <v>0</v>
      </c>
      <c r="E736" s="123">
        <v>0</v>
      </c>
      <c r="F736" s="123">
        <v>0</v>
      </c>
      <c r="G736" s="123">
        <v>0</v>
      </c>
      <c r="H736" s="123">
        <v>0</v>
      </c>
      <c r="I736" s="123">
        <v>1</v>
      </c>
      <c r="J736" s="123">
        <v>0</v>
      </c>
      <c r="K736" s="123">
        <v>0</v>
      </c>
      <c r="L736" s="123">
        <v>0</v>
      </c>
      <c r="M736" s="123">
        <v>0</v>
      </c>
      <c r="N736" s="123">
        <v>0</v>
      </c>
      <c r="O736" s="123">
        <v>1</v>
      </c>
      <c r="P736" s="7" t="s">
        <v>162</v>
      </c>
      <c r="Q736" s="124" t="s">
        <v>543</v>
      </c>
      <c r="R736" s="1"/>
    </row>
    <row r="737" spans="1:18" ht="13.5" thickBot="1" x14ac:dyDescent="0.25">
      <c r="A737" s="123">
        <v>5</v>
      </c>
      <c r="B737" s="123">
        <v>0</v>
      </c>
      <c r="C737" s="123">
        <v>5</v>
      </c>
      <c r="D737" s="123">
        <v>0</v>
      </c>
      <c r="E737" s="123">
        <v>0</v>
      </c>
      <c r="F737" s="123">
        <v>0</v>
      </c>
      <c r="G737" s="123">
        <v>0</v>
      </c>
      <c r="H737" s="123">
        <v>0</v>
      </c>
      <c r="I737" s="123">
        <v>1</v>
      </c>
      <c r="J737" s="123">
        <v>0</v>
      </c>
      <c r="K737" s="123">
        <v>0</v>
      </c>
      <c r="L737" s="123">
        <v>0</v>
      </c>
      <c r="M737" s="123">
        <v>1</v>
      </c>
      <c r="N737" s="123">
        <v>0</v>
      </c>
      <c r="O737" s="123">
        <v>3</v>
      </c>
      <c r="P737" s="7" t="s">
        <v>13</v>
      </c>
      <c r="Q737" s="9"/>
      <c r="R737" s="1"/>
    </row>
    <row r="738" spans="1:18" ht="13.5" thickBot="1" x14ac:dyDescent="0.25">
      <c r="A738" s="123">
        <v>10</v>
      </c>
      <c r="B738" s="123">
        <v>10</v>
      </c>
      <c r="C738" s="123">
        <v>0</v>
      </c>
      <c r="D738" s="123">
        <v>0</v>
      </c>
      <c r="E738" s="123">
        <v>0</v>
      </c>
      <c r="F738" s="123">
        <v>1</v>
      </c>
      <c r="G738" s="123">
        <v>0</v>
      </c>
      <c r="H738" s="123">
        <v>8</v>
      </c>
      <c r="I738" s="123">
        <v>0</v>
      </c>
      <c r="J738" s="123">
        <v>1</v>
      </c>
      <c r="K738" s="123">
        <v>0</v>
      </c>
      <c r="L738" s="123">
        <v>0</v>
      </c>
      <c r="M738" s="123">
        <v>0</v>
      </c>
      <c r="N738" s="123">
        <v>0</v>
      </c>
      <c r="O738" s="123">
        <v>0</v>
      </c>
      <c r="P738" s="7" t="s">
        <v>163</v>
      </c>
      <c r="Q738" s="124"/>
      <c r="R738" s="1"/>
    </row>
    <row r="739" spans="1:18" ht="13.5" thickBot="1" x14ac:dyDescent="0.25">
      <c r="A739" s="123">
        <v>27</v>
      </c>
      <c r="B739" s="123">
        <v>25</v>
      </c>
      <c r="C739" s="123">
        <v>2</v>
      </c>
      <c r="D739" s="123">
        <v>1</v>
      </c>
      <c r="E739" s="123">
        <v>0</v>
      </c>
      <c r="F739" s="123">
        <v>4</v>
      </c>
      <c r="G739" s="123">
        <v>0</v>
      </c>
      <c r="H739" s="123">
        <v>11</v>
      </c>
      <c r="I739" s="123">
        <v>0</v>
      </c>
      <c r="J739" s="123">
        <v>7</v>
      </c>
      <c r="K739" s="123">
        <v>0</v>
      </c>
      <c r="L739" s="123">
        <v>0</v>
      </c>
      <c r="M739" s="123">
        <v>2</v>
      </c>
      <c r="N739" s="123">
        <v>2</v>
      </c>
      <c r="O739" s="123">
        <v>0</v>
      </c>
      <c r="P739" s="7" t="s">
        <v>162</v>
      </c>
      <c r="Q739" s="124" t="s">
        <v>477</v>
      </c>
      <c r="R739" s="1"/>
    </row>
    <row r="740" spans="1:18" ht="13.5" thickBot="1" x14ac:dyDescent="0.25">
      <c r="A740" s="123">
        <v>37</v>
      </c>
      <c r="B740" s="123">
        <v>35</v>
      </c>
      <c r="C740" s="123">
        <v>2</v>
      </c>
      <c r="D740" s="123">
        <v>1</v>
      </c>
      <c r="E740" s="123">
        <v>0</v>
      </c>
      <c r="F740" s="123">
        <v>5</v>
      </c>
      <c r="G740" s="123">
        <v>0</v>
      </c>
      <c r="H740" s="123">
        <v>19</v>
      </c>
      <c r="I740" s="123">
        <v>0</v>
      </c>
      <c r="J740" s="123">
        <v>8</v>
      </c>
      <c r="K740" s="123">
        <v>0</v>
      </c>
      <c r="L740" s="123">
        <v>0</v>
      </c>
      <c r="M740" s="123">
        <v>2</v>
      </c>
      <c r="N740" s="123">
        <v>2</v>
      </c>
      <c r="O740" s="123">
        <v>0</v>
      </c>
      <c r="P740" s="7" t="s">
        <v>13</v>
      </c>
      <c r="Q740" s="9"/>
      <c r="R740" s="1"/>
    </row>
    <row r="741" spans="1:18" ht="13.5" thickBot="1" x14ac:dyDescent="0.25">
      <c r="A741" s="123">
        <v>11</v>
      </c>
      <c r="B741" s="123">
        <v>11</v>
      </c>
      <c r="C741" s="123">
        <v>0</v>
      </c>
      <c r="D741" s="123">
        <v>0</v>
      </c>
      <c r="E741" s="123">
        <v>0</v>
      </c>
      <c r="F741" s="123">
        <v>9</v>
      </c>
      <c r="G741" s="123">
        <v>0</v>
      </c>
      <c r="H741" s="123">
        <v>1</v>
      </c>
      <c r="I741" s="123">
        <v>0</v>
      </c>
      <c r="J741" s="123">
        <v>1</v>
      </c>
      <c r="K741" s="123">
        <v>0</v>
      </c>
      <c r="L741" s="123">
        <v>0</v>
      </c>
      <c r="M741" s="123">
        <v>0</v>
      </c>
      <c r="N741" s="123">
        <v>0</v>
      </c>
      <c r="O741" s="123">
        <v>0</v>
      </c>
      <c r="P741" s="7" t="s">
        <v>163</v>
      </c>
      <c r="Q741" s="124"/>
      <c r="R741" s="1"/>
    </row>
    <row r="742" spans="1:18" ht="13.5" thickBot="1" x14ac:dyDescent="0.25">
      <c r="A742" s="123">
        <v>9</v>
      </c>
      <c r="B742" s="123">
        <v>9</v>
      </c>
      <c r="C742" s="123">
        <v>0</v>
      </c>
      <c r="D742" s="123">
        <v>0</v>
      </c>
      <c r="E742" s="123">
        <v>0</v>
      </c>
      <c r="F742" s="123">
        <v>0</v>
      </c>
      <c r="G742" s="123">
        <v>0</v>
      </c>
      <c r="H742" s="123">
        <v>2</v>
      </c>
      <c r="I742" s="123">
        <v>0</v>
      </c>
      <c r="J742" s="123">
        <v>4</v>
      </c>
      <c r="K742" s="123">
        <v>0</v>
      </c>
      <c r="L742" s="123">
        <v>3</v>
      </c>
      <c r="M742" s="123">
        <v>0</v>
      </c>
      <c r="N742" s="123">
        <v>0</v>
      </c>
      <c r="O742" s="123">
        <v>0</v>
      </c>
      <c r="P742" s="7" t="s">
        <v>162</v>
      </c>
      <c r="Q742" s="124" t="s">
        <v>478</v>
      </c>
      <c r="R742" s="1"/>
    </row>
    <row r="743" spans="1:18" ht="13.5" thickBot="1" x14ac:dyDescent="0.25">
      <c r="A743" s="123">
        <v>20</v>
      </c>
      <c r="B743" s="123">
        <v>20</v>
      </c>
      <c r="C743" s="123">
        <v>0</v>
      </c>
      <c r="D743" s="123">
        <v>0</v>
      </c>
      <c r="E743" s="123">
        <v>0</v>
      </c>
      <c r="F743" s="123">
        <v>9</v>
      </c>
      <c r="G743" s="123">
        <v>0</v>
      </c>
      <c r="H743" s="123">
        <v>3</v>
      </c>
      <c r="I743" s="123">
        <v>0</v>
      </c>
      <c r="J743" s="123">
        <v>5</v>
      </c>
      <c r="K743" s="123">
        <v>0</v>
      </c>
      <c r="L743" s="123">
        <v>3</v>
      </c>
      <c r="M743" s="123">
        <v>0</v>
      </c>
      <c r="N743" s="123">
        <v>0</v>
      </c>
      <c r="O743" s="123">
        <v>0</v>
      </c>
      <c r="P743" s="7" t="s">
        <v>13</v>
      </c>
      <c r="Q743" s="9"/>
      <c r="R743" s="1"/>
    </row>
    <row r="744" spans="1:18" ht="13.5" thickBot="1" x14ac:dyDescent="0.25">
      <c r="A744" s="123">
        <v>38</v>
      </c>
      <c r="B744" s="123">
        <v>21</v>
      </c>
      <c r="C744" s="123">
        <v>17</v>
      </c>
      <c r="D744" s="123">
        <v>0</v>
      </c>
      <c r="E744" s="123">
        <v>0</v>
      </c>
      <c r="F744" s="123">
        <v>10</v>
      </c>
      <c r="G744" s="123">
        <v>0</v>
      </c>
      <c r="H744" s="123">
        <v>9</v>
      </c>
      <c r="I744" s="123">
        <v>2</v>
      </c>
      <c r="J744" s="123">
        <v>2</v>
      </c>
      <c r="K744" s="123">
        <v>8</v>
      </c>
      <c r="L744" s="123">
        <v>0</v>
      </c>
      <c r="M744" s="123">
        <v>4</v>
      </c>
      <c r="N744" s="123">
        <v>0</v>
      </c>
      <c r="O744" s="123">
        <v>3</v>
      </c>
      <c r="P744" s="7" t="s">
        <v>163</v>
      </c>
      <c r="Q744" s="3"/>
      <c r="R744" s="1"/>
    </row>
    <row r="745" spans="1:18" ht="13.5" thickBot="1" x14ac:dyDescent="0.25">
      <c r="A745" s="123">
        <v>58</v>
      </c>
      <c r="B745" s="123">
        <v>38</v>
      </c>
      <c r="C745" s="123">
        <v>20</v>
      </c>
      <c r="D745" s="123">
        <v>1</v>
      </c>
      <c r="E745" s="123">
        <v>0</v>
      </c>
      <c r="F745" s="123">
        <v>4</v>
      </c>
      <c r="G745" s="123">
        <v>0</v>
      </c>
      <c r="H745" s="123">
        <v>13</v>
      </c>
      <c r="I745" s="123">
        <v>1</v>
      </c>
      <c r="J745" s="123">
        <v>14</v>
      </c>
      <c r="K745" s="123">
        <v>6</v>
      </c>
      <c r="L745" s="123">
        <v>4</v>
      </c>
      <c r="M745" s="123">
        <v>9</v>
      </c>
      <c r="N745" s="123">
        <v>2</v>
      </c>
      <c r="O745" s="123">
        <v>4</v>
      </c>
      <c r="P745" s="7" t="s">
        <v>162</v>
      </c>
      <c r="Q745" s="11" t="s">
        <v>211</v>
      </c>
      <c r="R745" s="1"/>
    </row>
    <row r="746" spans="1:18" ht="13.5" thickBot="1" x14ac:dyDescent="0.25">
      <c r="A746" s="123">
        <v>96</v>
      </c>
      <c r="B746" s="123">
        <v>59</v>
      </c>
      <c r="C746" s="123">
        <v>37</v>
      </c>
      <c r="D746" s="123">
        <v>1</v>
      </c>
      <c r="E746" s="123">
        <v>0</v>
      </c>
      <c r="F746" s="123">
        <v>14</v>
      </c>
      <c r="G746" s="123">
        <v>0</v>
      </c>
      <c r="H746" s="123">
        <v>22</v>
      </c>
      <c r="I746" s="123">
        <v>3</v>
      </c>
      <c r="J746" s="123">
        <v>16</v>
      </c>
      <c r="K746" s="123">
        <v>14</v>
      </c>
      <c r="L746" s="123">
        <v>4</v>
      </c>
      <c r="M746" s="123">
        <v>13</v>
      </c>
      <c r="N746" s="123">
        <v>2</v>
      </c>
      <c r="O746" s="123">
        <v>7</v>
      </c>
      <c r="P746" s="7" t="s">
        <v>13</v>
      </c>
      <c r="Q746" s="5"/>
      <c r="R746" s="1"/>
    </row>
    <row r="747" spans="1:18" ht="18" customHeight="1" x14ac:dyDescent="0.2">
      <c r="A747" s="207"/>
      <c r="B747" s="207"/>
      <c r="C747" s="207"/>
      <c r="D747" s="207"/>
      <c r="E747" s="207"/>
      <c r="F747" s="207"/>
      <c r="G747" s="207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1"/>
    </row>
    <row r="748" spans="1:18" ht="18" customHeight="1" x14ac:dyDescent="0.2">
      <c r="A748" s="159" t="s">
        <v>616</v>
      </c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"/>
    </row>
    <row r="749" spans="1:18" ht="18" customHeight="1" thickBot="1" x14ac:dyDescent="0.25">
      <c r="A749" s="160" t="s">
        <v>617</v>
      </c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"/>
    </row>
    <row r="750" spans="1:18" ht="13.5" thickBot="1" x14ac:dyDescent="0.25">
      <c r="A750" s="204" t="s">
        <v>5</v>
      </c>
      <c r="B750" s="204"/>
      <c r="C750" s="204"/>
      <c r="D750" s="204" t="s">
        <v>57</v>
      </c>
      <c r="E750" s="204"/>
      <c r="F750" s="204" t="s">
        <v>609</v>
      </c>
      <c r="G750" s="204"/>
      <c r="H750" s="204" t="s">
        <v>610</v>
      </c>
      <c r="I750" s="204"/>
      <c r="J750" s="204" t="s">
        <v>611</v>
      </c>
      <c r="K750" s="204"/>
      <c r="L750" s="204" t="s">
        <v>612</v>
      </c>
      <c r="M750" s="204"/>
      <c r="N750" s="204" t="s">
        <v>613</v>
      </c>
      <c r="O750" s="204"/>
      <c r="P750" s="205" t="s">
        <v>614</v>
      </c>
      <c r="Q750" s="47" t="s">
        <v>161</v>
      </c>
      <c r="R750" s="1"/>
    </row>
    <row r="751" spans="1:18" ht="13.5" thickBot="1" x14ac:dyDescent="0.25">
      <c r="A751" s="47" t="s">
        <v>216</v>
      </c>
      <c r="B751" s="47" t="s">
        <v>11</v>
      </c>
      <c r="C751" s="47" t="s">
        <v>10</v>
      </c>
      <c r="D751" s="47" t="s">
        <v>11</v>
      </c>
      <c r="E751" s="47" t="s">
        <v>10</v>
      </c>
      <c r="F751" s="47" t="s">
        <v>11</v>
      </c>
      <c r="G751" s="47" t="s">
        <v>10</v>
      </c>
      <c r="H751" s="47" t="s">
        <v>11</v>
      </c>
      <c r="I751" s="47" t="s">
        <v>10</v>
      </c>
      <c r="J751" s="47" t="s">
        <v>11</v>
      </c>
      <c r="K751" s="47" t="s">
        <v>10</v>
      </c>
      <c r="L751" s="47" t="s">
        <v>11</v>
      </c>
      <c r="M751" s="47" t="s">
        <v>10</v>
      </c>
      <c r="N751" s="47" t="s">
        <v>11</v>
      </c>
      <c r="O751" s="47" t="s">
        <v>10</v>
      </c>
      <c r="P751" s="206"/>
      <c r="Q751" s="33" t="s">
        <v>115</v>
      </c>
      <c r="R751" s="1"/>
    </row>
    <row r="752" spans="1:18" ht="13.5" thickBot="1" x14ac:dyDescent="0.25">
      <c r="A752" s="123">
        <v>75</v>
      </c>
      <c r="B752" s="123">
        <v>0</v>
      </c>
      <c r="C752" s="123">
        <v>75</v>
      </c>
      <c r="D752" s="123">
        <v>0</v>
      </c>
      <c r="E752" s="123">
        <v>0</v>
      </c>
      <c r="F752" s="123">
        <v>0</v>
      </c>
      <c r="G752" s="123">
        <v>24</v>
      </c>
      <c r="H752" s="123">
        <v>0</v>
      </c>
      <c r="I752" s="123">
        <v>24</v>
      </c>
      <c r="J752" s="123">
        <v>0</v>
      </c>
      <c r="K752" s="123">
        <v>21</v>
      </c>
      <c r="L752" s="123">
        <v>0</v>
      </c>
      <c r="M752" s="123">
        <v>4</v>
      </c>
      <c r="N752" s="123">
        <v>0</v>
      </c>
      <c r="O752" s="123">
        <v>2</v>
      </c>
      <c r="P752" s="7" t="s">
        <v>163</v>
      </c>
      <c r="Q752" s="124"/>
      <c r="R752" s="1"/>
    </row>
    <row r="753" spans="1:18" ht="13.5" thickBot="1" x14ac:dyDescent="0.25">
      <c r="A753" s="123">
        <v>68</v>
      </c>
      <c r="B753" s="123">
        <v>0</v>
      </c>
      <c r="C753" s="123">
        <v>68</v>
      </c>
      <c r="D753" s="123">
        <v>0</v>
      </c>
      <c r="E753" s="123">
        <v>8</v>
      </c>
      <c r="F753" s="123">
        <v>0</v>
      </c>
      <c r="G753" s="123">
        <v>2</v>
      </c>
      <c r="H753" s="123">
        <v>0</v>
      </c>
      <c r="I753" s="123">
        <v>10</v>
      </c>
      <c r="J753" s="123">
        <v>0</v>
      </c>
      <c r="K753" s="123">
        <v>46</v>
      </c>
      <c r="L753" s="123">
        <v>0</v>
      </c>
      <c r="M753" s="123">
        <v>2</v>
      </c>
      <c r="N753" s="123">
        <v>0</v>
      </c>
      <c r="O753" s="123">
        <v>0</v>
      </c>
      <c r="P753" s="7" t="s">
        <v>162</v>
      </c>
      <c r="Q753" s="124" t="s">
        <v>265</v>
      </c>
      <c r="R753" s="1"/>
    </row>
    <row r="754" spans="1:18" ht="13.5" thickBot="1" x14ac:dyDescent="0.25">
      <c r="A754" s="123">
        <v>143</v>
      </c>
      <c r="B754" s="123">
        <v>0</v>
      </c>
      <c r="C754" s="123">
        <v>143</v>
      </c>
      <c r="D754" s="123">
        <v>0</v>
      </c>
      <c r="E754" s="123">
        <v>8</v>
      </c>
      <c r="F754" s="123">
        <v>0</v>
      </c>
      <c r="G754" s="123">
        <v>26</v>
      </c>
      <c r="H754" s="123">
        <v>0</v>
      </c>
      <c r="I754" s="123">
        <v>34</v>
      </c>
      <c r="J754" s="123">
        <v>0</v>
      </c>
      <c r="K754" s="123">
        <v>67</v>
      </c>
      <c r="L754" s="123">
        <v>0</v>
      </c>
      <c r="M754" s="123">
        <v>6</v>
      </c>
      <c r="N754" s="123">
        <v>0</v>
      </c>
      <c r="O754" s="123">
        <v>2</v>
      </c>
      <c r="P754" s="7" t="s">
        <v>13</v>
      </c>
      <c r="Q754" s="9"/>
      <c r="R754" s="1"/>
    </row>
    <row r="755" spans="1:18" ht="13.5" thickBot="1" x14ac:dyDescent="0.25">
      <c r="A755" s="123">
        <v>11</v>
      </c>
      <c r="B755" s="123">
        <v>3</v>
      </c>
      <c r="C755" s="123">
        <v>8</v>
      </c>
      <c r="D755" s="123">
        <v>0</v>
      </c>
      <c r="E755" s="123">
        <v>0</v>
      </c>
      <c r="F755" s="123">
        <v>3</v>
      </c>
      <c r="G755" s="123">
        <v>7</v>
      </c>
      <c r="H755" s="123">
        <v>0</v>
      </c>
      <c r="I755" s="123">
        <v>0</v>
      </c>
      <c r="J755" s="123">
        <v>0</v>
      </c>
      <c r="K755" s="123">
        <v>1</v>
      </c>
      <c r="L755" s="123">
        <v>0</v>
      </c>
      <c r="M755" s="123">
        <v>0</v>
      </c>
      <c r="N755" s="123">
        <v>0</v>
      </c>
      <c r="O755" s="123">
        <v>0</v>
      </c>
      <c r="P755" s="7" t="s">
        <v>163</v>
      </c>
      <c r="Q755" s="124"/>
      <c r="R755" s="1"/>
    </row>
    <row r="756" spans="1:18" ht="13.5" thickBot="1" x14ac:dyDescent="0.25">
      <c r="A756" s="123">
        <v>2</v>
      </c>
      <c r="B756" s="123">
        <v>0</v>
      </c>
      <c r="C756" s="123">
        <v>2</v>
      </c>
      <c r="D756" s="123">
        <v>0</v>
      </c>
      <c r="E756" s="123">
        <v>0</v>
      </c>
      <c r="F756" s="123">
        <v>0</v>
      </c>
      <c r="G756" s="123">
        <v>0</v>
      </c>
      <c r="H756" s="123">
        <v>0</v>
      </c>
      <c r="I756" s="123">
        <v>0</v>
      </c>
      <c r="J756" s="123">
        <v>0</v>
      </c>
      <c r="K756" s="123">
        <v>0</v>
      </c>
      <c r="L756" s="123">
        <v>0</v>
      </c>
      <c r="M756" s="123">
        <v>2</v>
      </c>
      <c r="N756" s="123">
        <v>0</v>
      </c>
      <c r="O756" s="123">
        <v>0</v>
      </c>
      <c r="P756" s="7" t="s">
        <v>162</v>
      </c>
      <c r="Q756" s="124" t="s">
        <v>416</v>
      </c>
      <c r="R756" s="1"/>
    </row>
    <row r="757" spans="1:18" ht="13.5" thickBot="1" x14ac:dyDescent="0.25">
      <c r="A757" s="123">
        <v>13</v>
      </c>
      <c r="B757" s="123">
        <v>3</v>
      </c>
      <c r="C757" s="123">
        <v>10</v>
      </c>
      <c r="D757" s="123">
        <v>0</v>
      </c>
      <c r="E757" s="123">
        <v>0</v>
      </c>
      <c r="F757" s="123">
        <v>3</v>
      </c>
      <c r="G757" s="123">
        <v>7</v>
      </c>
      <c r="H757" s="123">
        <v>0</v>
      </c>
      <c r="I757" s="123">
        <v>0</v>
      </c>
      <c r="J757" s="123">
        <v>0</v>
      </c>
      <c r="K757" s="123">
        <v>1</v>
      </c>
      <c r="L757" s="123">
        <v>0</v>
      </c>
      <c r="M757" s="123">
        <v>2</v>
      </c>
      <c r="N757" s="123">
        <v>0</v>
      </c>
      <c r="O757" s="123">
        <v>0</v>
      </c>
      <c r="P757" s="7" t="s">
        <v>13</v>
      </c>
      <c r="Q757" s="9"/>
      <c r="R757" s="1"/>
    </row>
    <row r="758" spans="1:18" ht="13.5" thickBot="1" x14ac:dyDescent="0.25">
      <c r="A758" s="123">
        <v>7</v>
      </c>
      <c r="B758" s="123">
        <v>0</v>
      </c>
      <c r="C758" s="123">
        <v>7</v>
      </c>
      <c r="D758" s="123">
        <v>0</v>
      </c>
      <c r="E758" s="123">
        <v>0</v>
      </c>
      <c r="F758" s="123">
        <v>0</v>
      </c>
      <c r="G758" s="123">
        <v>6</v>
      </c>
      <c r="H758" s="123">
        <v>0</v>
      </c>
      <c r="I758" s="123">
        <v>0</v>
      </c>
      <c r="J758" s="123">
        <v>0</v>
      </c>
      <c r="K758" s="123">
        <v>0</v>
      </c>
      <c r="L758" s="123">
        <v>0</v>
      </c>
      <c r="M758" s="123">
        <v>1</v>
      </c>
      <c r="N758" s="123">
        <v>0</v>
      </c>
      <c r="O758" s="123">
        <v>0</v>
      </c>
      <c r="P758" s="7" t="s">
        <v>163</v>
      </c>
      <c r="Q758" s="124"/>
      <c r="R758" s="1"/>
    </row>
    <row r="759" spans="1:18" ht="13.5" thickBot="1" x14ac:dyDescent="0.25">
      <c r="A759" s="123">
        <v>14</v>
      </c>
      <c r="B759" s="123">
        <v>0</v>
      </c>
      <c r="C759" s="123">
        <v>14</v>
      </c>
      <c r="D759" s="123">
        <v>0</v>
      </c>
      <c r="E759" s="123">
        <v>0</v>
      </c>
      <c r="F759" s="123">
        <v>0</v>
      </c>
      <c r="G759" s="123">
        <v>0</v>
      </c>
      <c r="H759" s="123">
        <v>0</v>
      </c>
      <c r="I759" s="123">
        <v>0</v>
      </c>
      <c r="J759" s="123">
        <v>0</v>
      </c>
      <c r="K759" s="123">
        <v>13</v>
      </c>
      <c r="L759" s="123">
        <v>0</v>
      </c>
      <c r="M759" s="123">
        <v>1</v>
      </c>
      <c r="N759" s="123">
        <v>0</v>
      </c>
      <c r="O759" s="123">
        <v>0</v>
      </c>
      <c r="P759" s="7" t="s">
        <v>162</v>
      </c>
      <c r="Q759" s="124" t="s">
        <v>377</v>
      </c>
      <c r="R759" s="1"/>
    </row>
    <row r="760" spans="1:18" ht="13.5" thickBot="1" x14ac:dyDescent="0.25">
      <c r="A760" s="123">
        <v>21</v>
      </c>
      <c r="B760" s="123">
        <v>0</v>
      </c>
      <c r="C760" s="123">
        <v>21</v>
      </c>
      <c r="D760" s="123">
        <v>0</v>
      </c>
      <c r="E760" s="123">
        <v>0</v>
      </c>
      <c r="F760" s="123">
        <v>0</v>
      </c>
      <c r="G760" s="123">
        <v>6</v>
      </c>
      <c r="H760" s="123">
        <v>0</v>
      </c>
      <c r="I760" s="123">
        <v>0</v>
      </c>
      <c r="J760" s="123">
        <v>0</v>
      </c>
      <c r="K760" s="123">
        <v>13</v>
      </c>
      <c r="L760" s="123">
        <v>0</v>
      </c>
      <c r="M760" s="123">
        <v>2</v>
      </c>
      <c r="N760" s="123">
        <v>0</v>
      </c>
      <c r="O760" s="123">
        <v>0</v>
      </c>
      <c r="P760" s="7" t="s">
        <v>13</v>
      </c>
      <c r="Q760" s="9"/>
      <c r="R760" s="1"/>
    </row>
    <row r="761" spans="1:18" ht="13.5" thickBot="1" x14ac:dyDescent="0.25">
      <c r="A761" s="123">
        <v>27</v>
      </c>
      <c r="B761" s="123">
        <v>0</v>
      </c>
      <c r="C761" s="123">
        <v>27</v>
      </c>
      <c r="D761" s="123">
        <v>0</v>
      </c>
      <c r="E761" s="123">
        <v>0</v>
      </c>
      <c r="F761" s="123">
        <v>0</v>
      </c>
      <c r="G761" s="123">
        <v>25</v>
      </c>
      <c r="H761" s="123">
        <v>0</v>
      </c>
      <c r="I761" s="123">
        <v>0</v>
      </c>
      <c r="J761" s="123">
        <v>0</v>
      </c>
      <c r="K761" s="123">
        <v>2</v>
      </c>
      <c r="L761" s="123">
        <v>0</v>
      </c>
      <c r="M761" s="123">
        <v>0</v>
      </c>
      <c r="N761" s="123">
        <v>0</v>
      </c>
      <c r="O761" s="123">
        <v>0</v>
      </c>
      <c r="P761" s="7" t="s">
        <v>163</v>
      </c>
      <c r="Q761" s="124"/>
      <c r="R761" s="1"/>
    </row>
    <row r="762" spans="1:18" ht="13.5" thickBot="1" x14ac:dyDescent="0.25">
      <c r="A762" s="123">
        <v>36</v>
      </c>
      <c r="B762" s="123">
        <v>0</v>
      </c>
      <c r="C762" s="123">
        <v>36</v>
      </c>
      <c r="D762" s="123">
        <v>0</v>
      </c>
      <c r="E762" s="123">
        <v>0</v>
      </c>
      <c r="F762" s="123">
        <v>0</v>
      </c>
      <c r="G762" s="123">
        <v>0</v>
      </c>
      <c r="H762" s="123">
        <v>0</v>
      </c>
      <c r="I762" s="123">
        <v>5</v>
      </c>
      <c r="J762" s="123">
        <v>0</v>
      </c>
      <c r="K762" s="123">
        <v>8</v>
      </c>
      <c r="L762" s="123">
        <v>0</v>
      </c>
      <c r="M762" s="123">
        <v>8</v>
      </c>
      <c r="N762" s="123">
        <v>0</v>
      </c>
      <c r="O762" s="123">
        <v>15</v>
      </c>
      <c r="P762" s="7" t="s">
        <v>162</v>
      </c>
      <c r="Q762" s="124" t="s">
        <v>263</v>
      </c>
      <c r="R762" s="1"/>
    </row>
    <row r="763" spans="1:18" ht="13.5" thickBot="1" x14ac:dyDescent="0.25">
      <c r="A763" s="123">
        <v>63</v>
      </c>
      <c r="B763" s="123">
        <v>0</v>
      </c>
      <c r="C763" s="123">
        <v>63</v>
      </c>
      <c r="D763" s="123">
        <v>0</v>
      </c>
      <c r="E763" s="123">
        <v>0</v>
      </c>
      <c r="F763" s="123">
        <v>0</v>
      </c>
      <c r="G763" s="123">
        <v>25</v>
      </c>
      <c r="H763" s="123">
        <v>0</v>
      </c>
      <c r="I763" s="123">
        <v>5</v>
      </c>
      <c r="J763" s="123">
        <v>0</v>
      </c>
      <c r="K763" s="123">
        <v>10</v>
      </c>
      <c r="L763" s="123">
        <v>0</v>
      </c>
      <c r="M763" s="123">
        <v>8</v>
      </c>
      <c r="N763" s="123">
        <v>0</v>
      </c>
      <c r="O763" s="123">
        <v>15</v>
      </c>
      <c r="P763" s="7" t="s">
        <v>13</v>
      </c>
      <c r="Q763" s="9"/>
      <c r="R763" s="1"/>
    </row>
    <row r="764" spans="1:18" ht="13.5" thickBot="1" x14ac:dyDescent="0.25">
      <c r="A764" s="123">
        <v>14</v>
      </c>
      <c r="B764" s="123">
        <v>0</v>
      </c>
      <c r="C764" s="123">
        <v>14</v>
      </c>
      <c r="D764" s="123">
        <v>0</v>
      </c>
      <c r="E764" s="123">
        <v>7</v>
      </c>
      <c r="F764" s="123">
        <v>0</v>
      </c>
      <c r="G764" s="123">
        <v>3</v>
      </c>
      <c r="H764" s="123">
        <v>0</v>
      </c>
      <c r="I764" s="123">
        <v>2</v>
      </c>
      <c r="J764" s="123">
        <v>0</v>
      </c>
      <c r="K764" s="123">
        <v>1</v>
      </c>
      <c r="L764" s="123">
        <v>0</v>
      </c>
      <c r="M764" s="123">
        <v>1</v>
      </c>
      <c r="N764" s="123">
        <v>0</v>
      </c>
      <c r="O764" s="123">
        <v>0</v>
      </c>
      <c r="P764" s="7" t="s">
        <v>163</v>
      </c>
      <c r="Q764" s="124"/>
      <c r="R764" s="1"/>
    </row>
    <row r="765" spans="1:18" ht="13.5" thickBot="1" x14ac:dyDescent="0.25">
      <c r="A765" s="123">
        <v>18</v>
      </c>
      <c r="B765" s="123">
        <v>0</v>
      </c>
      <c r="C765" s="123">
        <v>18</v>
      </c>
      <c r="D765" s="123">
        <v>0</v>
      </c>
      <c r="E765" s="123">
        <v>0</v>
      </c>
      <c r="F765" s="123">
        <v>0</v>
      </c>
      <c r="G765" s="123">
        <v>0</v>
      </c>
      <c r="H765" s="123">
        <v>0</v>
      </c>
      <c r="I765" s="123">
        <v>7</v>
      </c>
      <c r="J765" s="123">
        <v>0</v>
      </c>
      <c r="K765" s="123">
        <v>11</v>
      </c>
      <c r="L765" s="123">
        <v>0</v>
      </c>
      <c r="M765" s="123">
        <v>0</v>
      </c>
      <c r="N765" s="123">
        <v>0</v>
      </c>
      <c r="O765" s="123">
        <v>0</v>
      </c>
      <c r="P765" s="7" t="s">
        <v>162</v>
      </c>
      <c r="Q765" s="124" t="s">
        <v>114</v>
      </c>
      <c r="R765" s="1"/>
    </row>
    <row r="766" spans="1:18" ht="13.5" thickBot="1" x14ac:dyDescent="0.25">
      <c r="A766" s="123">
        <v>32</v>
      </c>
      <c r="B766" s="123">
        <v>0</v>
      </c>
      <c r="C766" s="123">
        <v>32</v>
      </c>
      <c r="D766" s="123">
        <v>0</v>
      </c>
      <c r="E766" s="123">
        <v>7</v>
      </c>
      <c r="F766" s="123">
        <v>0</v>
      </c>
      <c r="G766" s="123">
        <v>3</v>
      </c>
      <c r="H766" s="123">
        <v>0</v>
      </c>
      <c r="I766" s="123">
        <v>9</v>
      </c>
      <c r="J766" s="123">
        <v>0</v>
      </c>
      <c r="K766" s="123">
        <v>12</v>
      </c>
      <c r="L766" s="123">
        <v>0</v>
      </c>
      <c r="M766" s="123">
        <v>1</v>
      </c>
      <c r="N766" s="123">
        <v>0</v>
      </c>
      <c r="O766" s="123">
        <v>0</v>
      </c>
      <c r="P766" s="7" t="s">
        <v>13</v>
      </c>
      <c r="Q766" s="9"/>
      <c r="R766" s="1"/>
    </row>
    <row r="767" spans="1:18" ht="13.5" thickBot="1" x14ac:dyDescent="0.25">
      <c r="A767" s="123">
        <v>13</v>
      </c>
      <c r="B767" s="123">
        <v>0</v>
      </c>
      <c r="C767" s="123">
        <v>13</v>
      </c>
      <c r="D767" s="123">
        <v>0</v>
      </c>
      <c r="E767" s="123">
        <v>0</v>
      </c>
      <c r="F767" s="123">
        <v>0</v>
      </c>
      <c r="G767" s="123">
        <v>9</v>
      </c>
      <c r="H767" s="123">
        <v>0</v>
      </c>
      <c r="I767" s="123">
        <v>2</v>
      </c>
      <c r="J767" s="123">
        <v>0</v>
      </c>
      <c r="K767" s="123">
        <v>2</v>
      </c>
      <c r="L767" s="123">
        <v>0</v>
      </c>
      <c r="M767" s="123">
        <v>0</v>
      </c>
      <c r="N767" s="123">
        <v>0</v>
      </c>
      <c r="O767" s="123">
        <v>0</v>
      </c>
      <c r="P767" s="7" t="s">
        <v>163</v>
      </c>
      <c r="Q767" s="124"/>
      <c r="R767" s="1"/>
    </row>
    <row r="768" spans="1:18" ht="13.5" thickBot="1" x14ac:dyDescent="0.25">
      <c r="A768" s="123">
        <v>12</v>
      </c>
      <c r="B768" s="123">
        <v>0</v>
      </c>
      <c r="C768" s="123">
        <v>12</v>
      </c>
      <c r="D768" s="123">
        <v>0</v>
      </c>
      <c r="E768" s="123">
        <v>0</v>
      </c>
      <c r="F768" s="123">
        <v>0</v>
      </c>
      <c r="G768" s="123">
        <v>0</v>
      </c>
      <c r="H768" s="123">
        <v>0</v>
      </c>
      <c r="I768" s="123">
        <v>1</v>
      </c>
      <c r="J768" s="123">
        <v>0</v>
      </c>
      <c r="K768" s="123">
        <v>8</v>
      </c>
      <c r="L768" s="123">
        <v>0</v>
      </c>
      <c r="M768" s="123">
        <v>2</v>
      </c>
      <c r="N768" s="123">
        <v>0</v>
      </c>
      <c r="O768" s="123">
        <v>1</v>
      </c>
      <c r="P768" s="7" t="s">
        <v>162</v>
      </c>
      <c r="Q768" s="124" t="s">
        <v>359</v>
      </c>
      <c r="R768" s="1"/>
    </row>
    <row r="769" spans="1:18" ht="13.5" thickBot="1" x14ac:dyDescent="0.25">
      <c r="A769" s="123">
        <v>25</v>
      </c>
      <c r="B769" s="123">
        <v>0</v>
      </c>
      <c r="C769" s="123">
        <v>25</v>
      </c>
      <c r="D769" s="123">
        <v>0</v>
      </c>
      <c r="E769" s="123">
        <v>0</v>
      </c>
      <c r="F769" s="123">
        <v>0</v>
      </c>
      <c r="G769" s="123">
        <v>9</v>
      </c>
      <c r="H769" s="123">
        <v>0</v>
      </c>
      <c r="I769" s="123">
        <v>3</v>
      </c>
      <c r="J769" s="123">
        <v>0</v>
      </c>
      <c r="K769" s="123">
        <v>10</v>
      </c>
      <c r="L769" s="123">
        <v>0</v>
      </c>
      <c r="M769" s="123">
        <v>2</v>
      </c>
      <c r="N769" s="123">
        <v>0</v>
      </c>
      <c r="O769" s="123">
        <v>1</v>
      </c>
      <c r="P769" s="7" t="s">
        <v>13</v>
      </c>
      <c r="Q769" s="9"/>
      <c r="R769" s="1"/>
    </row>
    <row r="770" spans="1:18" ht="13.5" thickBot="1" x14ac:dyDescent="0.25">
      <c r="A770" s="123">
        <v>20</v>
      </c>
      <c r="B770" s="123">
        <v>1</v>
      </c>
      <c r="C770" s="123">
        <v>19</v>
      </c>
      <c r="D770" s="123">
        <v>0</v>
      </c>
      <c r="E770" s="123">
        <v>0</v>
      </c>
      <c r="F770" s="123">
        <v>1</v>
      </c>
      <c r="G770" s="123">
        <v>16</v>
      </c>
      <c r="H770" s="123">
        <v>0</v>
      </c>
      <c r="I770" s="123">
        <v>1</v>
      </c>
      <c r="J770" s="123">
        <v>0</v>
      </c>
      <c r="K770" s="123">
        <v>2</v>
      </c>
      <c r="L770" s="123">
        <v>0</v>
      </c>
      <c r="M770" s="123">
        <v>0</v>
      </c>
      <c r="N770" s="123">
        <v>0</v>
      </c>
      <c r="O770" s="123">
        <v>0</v>
      </c>
      <c r="P770" s="7" t="s">
        <v>163</v>
      </c>
      <c r="Q770" s="124"/>
      <c r="R770" s="1"/>
    </row>
    <row r="771" spans="1:18" ht="13.5" thickBot="1" x14ac:dyDescent="0.25">
      <c r="A771" s="123">
        <v>1</v>
      </c>
      <c r="B771" s="123">
        <v>0</v>
      </c>
      <c r="C771" s="123">
        <v>1</v>
      </c>
      <c r="D771" s="123">
        <v>0</v>
      </c>
      <c r="E771" s="123">
        <v>0</v>
      </c>
      <c r="F771" s="123">
        <v>0</v>
      </c>
      <c r="G771" s="123">
        <v>0</v>
      </c>
      <c r="H771" s="123">
        <v>0</v>
      </c>
      <c r="I771" s="123">
        <v>0</v>
      </c>
      <c r="J771" s="123">
        <v>0</v>
      </c>
      <c r="K771" s="123">
        <v>0</v>
      </c>
      <c r="L771" s="123">
        <v>0</v>
      </c>
      <c r="M771" s="123">
        <v>1</v>
      </c>
      <c r="N771" s="123">
        <v>0</v>
      </c>
      <c r="O771" s="123">
        <v>0</v>
      </c>
      <c r="P771" s="7" t="s">
        <v>162</v>
      </c>
      <c r="Q771" s="124" t="s">
        <v>264</v>
      </c>
      <c r="R771" s="1"/>
    </row>
    <row r="772" spans="1:18" ht="13.5" thickBot="1" x14ac:dyDescent="0.25">
      <c r="A772" s="123">
        <v>21</v>
      </c>
      <c r="B772" s="123">
        <v>1</v>
      </c>
      <c r="C772" s="123">
        <v>20</v>
      </c>
      <c r="D772" s="123">
        <v>0</v>
      </c>
      <c r="E772" s="123">
        <v>0</v>
      </c>
      <c r="F772" s="123">
        <v>1</v>
      </c>
      <c r="G772" s="123">
        <v>16</v>
      </c>
      <c r="H772" s="123">
        <v>0</v>
      </c>
      <c r="I772" s="123">
        <v>1</v>
      </c>
      <c r="J772" s="123">
        <v>0</v>
      </c>
      <c r="K772" s="123">
        <v>2</v>
      </c>
      <c r="L772" s="123">
        <v>0</v>
      </c>
      <c r="M772" s="123">
        <v>1</v>
      </c>
      <c r="N772" s="123">
        <v>0</v>
      </c>
      <c r="O772" s="123">
        <v>0</v>
      </c>
      <c r="P772" s="7" t="s">
        <v>13</v>
      </c>
      <c r="Q772" s="9"/>
      <c r="R772" s="1"/>
    </row>
    <row r="773" spans="1:18" ht="13.5" thickBot="1" x14ac:dyDescent="0.25">
      <c r="A773" s="123">
        <v>16</v>
      </c>
      <c r="B773" s="123">
        <v>0</v>
      </c>
      <c r="C773" s="123">
        <v>16</v>
      </c>
      <c r="D773" s="123">
        <v>0</v>
      </c>
      <c r="E773" s="123">
        <v>6</v>
      </c>
      <c r="F773" s="123">
        <v>0</v>
      </c>
      <c r="G773" s="123">
        <v>6</v>
      </c>
      <c r="H773" s="123">
        <v>0</v>
      </c>
      <c r="I773" s="123">
        <v>3</v>
      </c>
      <c r="J773" s="123">
        <v>0</v>
      </c>
      <c r="K773" s="123">
        <v>1</v>
      </c>
      <c r="L773" s="123">
        <v>0</v>
      </c>
      <c r="M773" s="123">
        <v>0</v>
      </c>
      <c r="N773" s="123">
        <v>0</v>
      </c>
      <c r="O773" s="123">
        <v>0</v>
      </c>
      <c r="P773" s="7" t="s">
        <v>163</v>
      </c>
      <c r="Q773" s="124"/>
      <c r="R773" s="1"/>
    </row>
    <row r="774" spans="1:18" ht="13.5" thickBot="1" x14ac:dyDescent="0.25">
      <c r="A774" s="123">
        <v>16</v>
      </c>
      <c r="B774" s="123">
        <v>0</v>
      </c>
      <c r="C774" s="123">
        <v>16</v>
      </c>
      <c r="D774" s="123">
        <v>0</v>
      </c>
      <c r="E774" s="123">
        <v>4</v>
      </c>
      <c r="F774" s="123">
        <v>0</v>
      </c>
      <c r="G774" s="123">
        <v>2</v>
      </c>
      <c r="H774" s="123">
        <v>0</v>
      </c>
      <c r="I774" s="123">
        <v>6</v>
      </c>
      <c r="J774" s="123">
        <v>0</v>
      </c>
      <c r="K774" s="123">
        <v>4</v>
      </c>
      <c r="L774" s="123">
        <v>0</v>
      </c>
      <c r="M774" s="123">
        <v>0</v>
      </c>
      <c r="N774" s="123">
        <v>0</v>
      </c>
      <c r="O774" s="123">
        <v>0</v>
      </c>
      <c r="P774" s="7" t="s">
        <v>162</v>
      </c>
      <c r="Q774" s="124" t="s">
        <v>266</v>
      </c>
      <c r="R774" s="1"/>
    </row>
    <row r="775" spans="1:18" ht="13.5" thickBot="1" x14ac:dyDescent="0.25">
      <c r="A775" s="123">
        <v>32</v>
      </c>
      <c r="B775" s="123">
        <v>0</v>
      </c>
      <c r="C775" s="123">
        <v>32</v>
      </c>
      <c r="D775" s="123">
        <v>0</v>
      </c>
      <c r="E775" s="123">
        <v>10</v>
      </c>
      <c r="F775" s="123">
        <v>0</v>
      </c>
      <c r="G775" s="123">
        <v>8</v>
      </c>
      <c r="H775" s="123">
        <v>0</v>
      </c>
      <c r="I775" s="123">
        <v>9</v>
      </c>
      <c r="J775" s="123">
        <v>0</v>
      </c>
      <c r="K775" s="123">
        <v>5</v>
      </c>
      <c r="L775" s="123">
        <v>0</v>
      </c>
      <c r="M775" s="123">
        <v>0</v>
      </c>
      <c r="N775" s="123">
        <v>0</v>
      </c>
      <c r="O775" s="123">
        <v>0</v>
      </c>
      <c r="P775" s="7" t="s">
        <v>13</v>
      </c>
      <c r="Q775" s="9"/>
      <c r="R775" s="1"/>
    </row>
    <row r="776" spans="1:18" ht="13.5" thickBot="1" x14ac:dyDescent="0.25">
      <c r="A776" s="123">
        <v>1</v>
      </c>
      <c r="B776" s="123">
        <v>1</v>
      </c>
      <c r="C776" s="123">
        <v>0</v>
      </c>
      <c r="D776" s="123">
        <v>1</v>
      </c>
      <c r="E776" s="123">
        <v>0</v>
      </c>
      <c r="F776" s="123">
        <v>0</v>
      </c>
      <c r="G776" s="123">
        <v>0</v>
      </c>
      <c r="H776" s="123">
        <v>0</v>
      </c>
      <c r="I776" s="123">
        <v>0</v>
      </c>
      <c r="J776" s="123">
        <v>0</v>
      </c>
      <c r="K776" s="123">
        <v>0</v>
      </c>
      <c r="L776" s="123">
        <v>0</v>
      </c>
      <c r="M776" s="123">
        <v>0</v>
      </c>
      <c r="N776" s="123">
        <v>0</v>
      </c>
      <c r="O776" s="123">
        <v>0</v>
      </c>
      <c r="P776" s="7" t="s">
        <v>163</v>
      </c>
      <c r="Q776" s="124"/>
      <c r="R776" s="1"/>
    </row>
    <row r="777" spans="1:18" ht="13.5" thickBot="1" x14ac:dyDescent="0.25">
      <c r="A777" s="123">
        <v>12</v>
      </c>
      <c r="B777" s="123">
        <v>12</v>
      </c>
      <c r="C777" s="123">
        <v>0</v>
      </c>
      <c r="D777" s="123">
        <v>4</v>
      </c>
      <c r="E777" s="123">
        <v>0</v>
      </c>
      <c r="F777" s="123">
        <v>0</v>
      </c>
      <c r="G777" s="123">
        <v>0</v>
      </c>
      <c r="H777" s="123">
        <v>7</v>
      </c>
      <c r="I777" s="123">
        <v>0</v>
      </c>
      <c r="J777" s="123">
        <v>1</v>
      </c>
      <c r="K777" s="123">
        <v>0</v>
      </c>
      <c r="L777" s="123">
        <v>0</v>
      </c>
      <c r="M777" s="123">
        <v>0</v>
      </c>
      <c r="N777" s="123">
        <v>0</v>
      </c>
      <c r="O777" s="123">
        <v>0</v>
      </c>
      <c r="P777" s="7" t="s">
        <v>162</v>
      </c>
      <c r="Q777" s="124" t="s">
        <v>267</v>
      </c>
      <c r="R777" s="1"/>
    </row>
    <row r="778" spans="1:18" ht="13.5" thickBot="1" x14ac:dyDescent="0.25">
      <c r="A778" s="123">
        <v>13</v>
      </c>
      <c r="B778" s="123">
        <v>13</v>
      </c>
      <c r="C778" s="123">
        <v>0</v>
      </c>
      <c r="D778" s="123">
        <v>5</v>
      </c>
      <c r="E778" s="123">
        <v>0</v>
      </c>
      <c r="F778" s="123">
        <v>0</v>
      </c>
      <c r="G778" s="123">
        <v>0</v>
      </c>
      <c r="H778" s="123">
        <v>7</v>
      </c>
      <c r="I778" s="123">
        <v>0</v>
      </c>
      <c r="J778" s="123">
        <v>1</v>
      </c>
      <c r="K778" s="123">
        <v>0</v>
      </c>
      <c r="L778" s="123">
        <v>0</v>
      </c>
      <c r="M778" s="123">
        <v>0</v>
      </c>
      <c r="N778" s="123">
        <v>0</v>
      </c>
      <c r="O778" s="123">
        <v>0</v>
      </c>
      <c r="P778" s="7" t="s">
        <v>13</v>
      </c>
      <c r="Q778" s="9"/>
      <c r="R778" s="1"/>
    </row>
    <row r="779" spans="1:18" ht="13.5" thickBot="1" x14ac:dyDescent="0.25">
      <c r="A779" s="123">
        <v>19</v>
      </c>
      <c r="B779" s="123">
        <v>19</v>
      </c>
      <c r="C779" s="123">
        <v>0</v>
      </c>
      <c r="D779" s="123">
        <v>0</v>
      </c>
      <c r="E779" s="123">
        <v>0</v>
      </c>
      <c r="F779" s="123">
        <v>8</v>
      </c>
      <c r="G779" s="123">
        <v>0</v>
      </c>
      <c r="H779" s="123">
        <v>9</v>
      </c>
      <c r="I779" s="123">
        <v>0</v>
      </c>
      <c r="J779" s="123">
        <v>2</v>
      </c>
      <c r="K779" s="123">
        <v>0</v>
      </c>
      <c r="L779" s="123">
        <v>0</v>
      </c>
      <c r="M779" s="123">
        <v>0</v>
      </c>
      <c r="N779" s="123">
        <v>0</v>
      </c>
      <c r="O779" s="123">
        <v>0</v>
      </c>
      <c r="P779" s="7" t="s">
        <v>163</v>
      </c>
      <c r="Q779" s="124"/>
      <c r="R779" s="1"/>
    </row>
    <row r="780" spans="1:18" ht="13.5" thickBot="1" x14ac:dyDescent="0.25">
      <c r="A780" s="123">
        <v>37</v>
      </c>
      <c r="B780" s="123">
        <v>19</v>
      </c>
      <c r="C780" s="123">
        <v>18</v>
      </c>
      <c r="D780" s="123">
        <v>0</v>
      </c>
      <c r="E780" s="123">
        <v>0</v>
      </c>
      <c r="F780" s="123">
        <v>0</v>
      </c>
      <c r="G780" s="123">
        <v>0</v>
      </c>
      <c r="H780" s="123">
        <v>12</v>
      </c>
      <c r="I780" s="123">
        <v>0</v>
      </c>
      <c r="J780" s="123">
        <v>7</v>
      </c>
      <c r="K780" s="123">
        <v>17</v>
      </c>
      <c r="L780" s="123">
        <v>0</v>
      </c>
      <c r="M780" s="123">
        <v>1</v>
      </c>
      <c r="N780" s="123">
        <v>0</v>
      </c>
      <c r="O780" s="123">
        <v>0</v>
      </c>
      <c r="P780" s="7" t="s">
        <v>162</v>
      </c>
      <c r="Q780" s="124" t="s">
        <v>479</v>
      </c>
      <c r="R780" s="1"/>
    </row>
    <row r="781" spans="1:18" ht="13.5" thickBot="1" x14ac:dyDescent="0.25">
      <c r="A781" s="123">
        <v>56</v>
      </c>
      <c r="B781" s="123">
        <v>38</v>
      </c>
      <c r="C781" s="123">
        <v>18</v>
      </c>
      <c r="D781" s="123">
        <v>0</v>
      </c>
      <c r="E781" s="123">
        <v>0</v>
      </c>
      <c r="F781" s="123">
        <v>8</v>
      </c>
      <c r="G781" s="123">
        <v>0</v>
      </c>
      <c r="H781" s="123">
        <v>21</v>
      </c>
      <c r="I781" s="123">
        <v>0</v>
      </c>
      <c r="J781" s="123">
        <v>9</v>
      </c>
      <c r="K781" s="123">
        <v>17</v>
      </c>
      <c r="L781" s="123">
        <v>0</v>
      </c>
      <c r="M781" s="123">
        <v>1</v>
      </c>
      <c r="N781" s="123">
        <v>0</v>
      </c>
      <c r="O781" s="123">
        <v>0</v>
      </c>
      <c r="P781" s="7" t="s">
        <v>13</v>
      </c>
      <c r="Q781" s="9"/>
      <c r="R781" s="1"/>
    </row>
    <row r="782" spans="1:18" ht="13.5" thickBot="1" x14ac:dyDescent="0.25">
      <c r="A782" s="123">
        <v>0</v>
      </c>
      <c r="B782" s="123">
        <v>0</v>
      </c>
      <c r="C782" s="123">
        <v>0</v>
      </c>
      <c r="D782" s="123">
        <v>0</v>
      </c>
      <c r="E782" s="123">
        <v>0</v>
      </c>
      <c r="F782" s="123">
        <v>0</v>
      </c>
      <c r="G782" s="123">
        <v>0</v>
      </c>
      <c r="H782" s="123">
        <v>0</v>
      </c>
      <c r="I782" s="123">
        <v>0</v>
      </c>
      <c r="J782" s="123">
        <v>0</v>
      </c>
      <c r="K782" s="123">
        <v>0</v>
      </c>
      <c r="L782" s="123">
        <v>0</v>
      </c>
      <c r="M782" s="123">
        <v>0</v>
      </c>
      <c r="N782" s="123">
        <v>0</v>
      </c>
      <c r="O782" s="123">
        <v>0</v>
      </c>
      <c r="P782" s="7" t="s">
        <v>163</v>
      </c>
      <c r="Q782" s="124"/>
      <c r="R782" s="1"/>
    </row>
    <row r="783" spans="1:18" ht="13.5" thickBot="1" x14ac:dyDescent="0.25">
      <c r="A783" s="123">
        <v>1</v>
      </c>
      <c r="B783" s="123">
        <v>1</v>
      </c>
      <c r="C783" s="123">
        <v>0</v>
      </c>
      <c r="D783" s="123">
        <v>0</v>
      </c>
      <c r="E783" s="123">
        <v>0</v>
      </c>
      <c r="F783" s="123">
        <v>0</v>
      </c>
      <c r="G783" s="123">
        <v>0</v>
      </c>
      <c r="H783" s="123">
        <v>0</v>
      </c>
      <c r="I783" s="123">
        <v>0</v>
      </c>
      <c r="J783" s="123">
        <v>1</v>
      </c>
      <c r="K783" s="123">
        <v>0</v>
      </c>
      <c r="L783" s="123">
        <v>0</v>
      </c>
      <c r="M783" s="123">
        <v>0</v>
      </c>
      <c r="N783" s="123">
        <v>0</v>
      </c>
      <c r="O783" s="123">
        <v>0</v>
      </c>
      <c r="P783" s="7" t="s">
        <v>162</v>
      </c>
      <c r="Q783" s="124" t="s">
        <v>116</v>
      </c>
      <c r="R783" s="1"/>
    </row>
    <row r="784" spans="1:18" ht="13.5" thickBot="1" x14ac:dyDescent="0.25">
      <c r="A784" s="123">
        <v>1</v>
      </c>
      <c r="B784" s="123">
        <v>1</v>
      </c>
      <c r="C784" s="123">
        <v>0</v>
      </c>
      <c r="D784" s="123">
        <v>0</v>
      </c>
      <c r="E784" s="123">
        <v>0</v>
      </c>
      <c r="F784" s="123">
        <v>0</v>
      </c>
      <c r="G784" s="123">
        <v>0</v>
      </c>
      <c r="H784" s="123">
        <v>0</v>
      </c>
      <c r="I784" s="123">
        <v>0</v>
      </c>
      <c r="J784" s="123">
        <v>1</v>
      </c>
      <c r="K784" s="123">
        <v>0</v>
      </c>
      <c r="L784" s="123">
        <v>0</v>
      </c>
      <c r="M784" s="123">
        <v>0</v>
      </c>
      <c r="N784" s="123">
        <v>0</v>
      </c>
      <c r="O784" s="123">
        <v>0</v>
      </c>
      <c r="P784" s="7" t="s">
        <v>13</v>
      </c>
      <c r="Q784" s="9"/>
      <c r="R784" s="1"/>
    </row>
    <row r="785" spans="1:18" ht="13.5" thickBot="1" x14ac:dyDescent="0.25">
      <c r="A785" s="123">
        <v>0</v>
      </c>
      <c r="B785" s="123">
        <v>0</v>
      </c>
      <c r="C785" s="123">
        <v>0</v>
      </c>
      <c r="D785" s="123">
        <v>0</v>
      </c>
      <c r="E785" s="123">
        <v>0</v>
      </c>
      <c r="F785" s="123">
        <v>0</v>
      </c>
      <c r="G785" s="123">
        <v>0</v>
      </c>
      <c r="H785" s="123">
        <v>0</v>
      </c>
      <c r="I785" s="123">
        <v>0</v>
      </c>
      <c r="J785" s="123">
        <v>0</v>
      </c>
      <c r="K785" s="123">
        <v>0</v>
      </c>
      <c r="L785" s="123">
        <v>0</v>
      </c>
      <c r="M785" s="123">
        <v>0</v>
      </c>
      <c r="N785" s="123">
        <v>0</v>
      </c>
      <c r="O785" s="123">
        <v>0</v>
      </c>
      <c r="P785" s="7" t="s">
        <v>163</v>
      </c>
      <c r="Q785" s="124"/>
      <c r="R785" s="1"/>
    </row>
    <row r="786" spans="1:18" ht="13.5" thickBot="1" x14ac:dyDescent="0.25">
      <c r="A786" s="123">
        <v>8</v>
      </c>
      <c r="B786" s="123">
        <v>6</v>
      </c>
      <c r="C786" s="123">
        <v>2</v>
      </c>
      <c r="D786" s="123">
        <v>0</v>
      </c>
      <c r="E786" s="123">
        <v>0</v>
      </c>
      <c r="F786" s="123">
        <v>0</v>
      </c>
      <c r="G786" s="123">
        <v>0</v>
      </c>
      <c r="H786" s="123">
        <v>2</v>
      </c>
      <c r="I786" s="123">
        <v>2</v>
      </c>
      <c r="J786" s="123">
        <v>4</v>
      </c>
      <c r="K786" s="123">
        <v>0</v>
      </c>
      <c r="L786" s="123">
        <v>0</v>
      </c>
      <c r="M786" s="123">
        <v>0</v>
      </c>
      <c r="N786" s="123">
        <v>0</v>
      </c>
      <c r="O786" s="123">
        <v>0</v>
      </c>
      <c r="P786" s="7" t="s">
        <v>162</v>
      </c>
      <c r="Q786" s="124" t="s">
        <v>480</v>
      </c>
      <c r="R786" s="1"/>
    </row>
    <row r="787" spans="1:18" ht="13.5" thickBot="1" x14ac:dyDescent="0.25">
      <c r="A787" s="123">
        <v>8</v>
      </c>
      <c r="B787" s="123">
        <v>6</v>
      </c>
      <c r="C787" s="123">
        <v>2</v>
      </c>
      <c r="D787" s="123">
        <v>0</v>
      </c>
      <c r="E787" s="123">
        <v>0</v>
      </c>
      <c r="F787" s="123">
        <v>0</v>
      </c>
      <c r="G787" s="123">
        <v>0</v>
      </c>
      <c r="H787" s="123">
        <v>2</v>
      </c>
      <c r="I787" s="123">
        <v>2</v>
      </c>
      <c r="J787" s="123">
        <v>4</v>
      </c>
      <c r="K787" s="123">
        <v>0</v>
      </c>
      <c r="L787" s="123">
        <v>0</v>
      </c>
      <c r="M787" s="123">
        <v>0</v>
      </c>
      <c r="N787" s="123">
        <v>0</v>
      </c>
      <c r="O787" s="123">
        <v>0</v>
      </c>
      <c r="P787" s="7" t="s">
        <v>13</v>
      </c>
      <c r="Q787" s="9"/>
      <c r="R787" s="1"/>
    </row>
    <row r="788" spans="1:18" ht="13.5" thickBot="1" x14ac:dyDescent="0.25">
      <c r="A788" s="123">
        <v>21</v>
      </c>
      <c r="B788" s="123">
        <v>21</v>
      </c>
      <c r="C788" s="123">
        <v>0</v>
      </c>
      <c r="D788" s="123">
        <v>0</v>
      </c>
      <c r="E788" s="123">
        <v>0</v>
      </c>
      <c r="F788" s="123">
        <v>7</v>
      </c>
      <c r="G788" s="123">
        <v>0</v>
      </c>
      <c r="H788" s="123">
        <v>11</v>
      </c>
      <c r="I788" s="123">
        <v>0</v>
      </c>
      <c r="J788" s="123">
        <v>3</v>
      </c>
      <c r="K788" s="123">
        <v>0</v>
      </c>
      <c r="L788" s="123">
        <v>0</v>
      </c>
      <c r="M788" s="123">
        <v>0</v>
      </c>
      <c r="N788" s="123">
        <v>0</v>
      </c>
      <c r="O788" s="123">
        <v>0</v>
      </c>
      <c r="P788" s="7" t="s">
        <v>163</v>
      </c>
      <c r="Q788" s="124"/>
      <c r="R788" s="1"/>
    </row>
    <row r="789" spans="1:18" ht="13.5" thickBot="1" x14ac:dyDescent="0.25">
      <c r="A789" s="123">
        <v>34</v>
      </c>
      <c r="B789" s="123">
        <v>28</v>
      </c>
      <c r="C789" s="123">
        <v>6</v>
      </c>
      <c r="D789" s="123">
        <v>0</v>
      </c>
      <c r="E789" s="123">
        <v>0</v>
      </c>
      <c r="F789" s="123">
        <v>0</v>
      </c>
      <c r="G789" s="123">
        <v>0</v>
      </c>
      <c r="H789" s="123">
        <v>8</v>
      </c>
      <c r="I789" s="123">
        <v>0</v>
      </c>
      <c r="J789" s="123">
        <v>19</v>
      </c>
      <c r="K789" s="123">
        <v>4</v>
      </c>
      <c r="L789" s="123">
        <v>1</v>
      </c>
      <c r="M789" s="123">
        <v>1</v>
      </c>
      <c r="N789" s="123">
        <v>0</v>
      </c>
      <c r="O789" s="123">
        <v>1</v>
      </c>
      <c r="P789" s="7" t="s">
        <v>162</v>
      </c>
      <c r="Q789" s="124" t="s">
        <v>481</v>
      </c>
      <c r="R789" s="1"/>
    </row>
    <row r="790" spans="1:18" ht="13.5" thickBot="1" x14ac:dyDescent="0.25">
      <c r="A790" s="123">
        <v>55</v>
      </c>
      <c r="B790" s="123">
        <v>49</v>
      </c>
      <c r="C790" s="123">
        <v>6</v>
      </c>
      <c r="D790" s="123">
        <v>0</v>
      </c>
      <c r="E790" s="123">
        <v>0</v>
      </c>
      <c r="F790" s="123">
        <v>7</v>
      </c>
      <c r="G790" s="123">
        <v>0</v>
      </c>
      <c r="H790" s="123">
        <v>19</v>
      </c>
      <c r="I790" s="123">
        <v>0</v>
      </c>
      <c r="J790" s="123">
        <v>22</v>
      </c>
      <c r="K790" s="123">
        <v>4</v>
      </c>
      <c r="L790" s="123">
        <v>1</v>
      </c>
      <c r="M790" s="123">
        <v>1</v>
      </c>
      <c r="N790" s="123">
        <v>0</v>
      </c>
      <c r="O790" s="123">
        <v>1</v>
      </c>
      <c r="P790" s="7" t="s">
        <v>13</v>
      </c>
      <c r="Q790" s="9"/>
      <c r="R790" s="1"/>
    </row>
    <row r="791" spans="1:18" ht="13.5" thickBot="1" x14ac:dyDescent="0.25">
      <c r="A791" s="123">
        <v>19</v>
      </c>
      <c r="B791" s="123">
        <v>19</v>
      </c>
      <c r="C791" s="123">
        <v>0</v>
      </c>
      <c r="D791" s="123">
        <v>0</v>
      </c>
      <c r="E791" s="123">
        <v>0</v>
      </c>
      <c r="F791" s="123">
        <v>17</v>
      </c>
      <c r="G791" s="123">
        <v>0</v>
      </c>
      <c r="H791" s="123">
        <v>2</v>
      </c>
      <c r="I791" s="123">
        <v>0</v>
      </c>
      <c r="J791" s="123">
        <v>0</v>
      </c>
      <c r="K791" s="123">
        <v>0</v>
      </c>
      <c r="L791" s="123">
        <v>0</v>
      </c>
      <c r="M791" s="123">
        <v>0</v>
      </c>
      <c r="N791" s="123">
        <v>0</v>
      </c>
      <c r="O791" s="123">
        <v>0</v>
      </c>
      <c r="P791" s="7" t="s">
        <v>163</v>
      </c>
      <c r="Q791" s="124"/>
      <c r="R791" s="1"/>
    </row>
    <row r="792" spans="1:18" ht="13.5" thickBot="1" x14ac:dyDescent="0.25">
      <c r="A792" s="123">
        <v>32</v>
      </c>
      <c r="B792" s="123">
        <v>24</v>
      </c>
      <c r="C792" s="123">
        <v>8</v>
      </c>
      <c r="D792" s="123">
        <v>1</v>
      </c>
      <c r="E792" s="123">
        <v>0</v>
      </c>
      <c r="F792" s="123">
        <v>0</v>
      </c>
      <c r="G792" s="123">
        <v>0</v>
      </c>
      <c r="H792" s="123">
        <v>16</v>
      </c>
      <c r="I792" s="123">
        <v>0</v>
      </c>
      <c r="J792" s="123">
        <v>6</v>
      </c>
      <c r="K792" s="123">
        <v>8</v>
      </c>
      <c r="L792" s="123">
        <v>1</v>
      </c>
      <c r="M792" s="123">
        <v>0</v>
      </c>
      <c r="N792" s="123">
        <v>0</v>
      </c>
      <c r="O792" s="123">
        <v>0</v>
      </c>
      <c r="P792" s="7" t="s">
        <v>162</v>
      </c>
      <c r="Q792" s="124" t="s">
        <v>482</v>
      </c>
      <c r="R792" s="1"/>
    </row>
    <row r="793" spans="1:18" ht="13.5" thickBot="1" x14ac:dyDescent="0.25">
      <c r="A793" s="123">
        <v>51</v>
      </c>
      <c r="B793" s="123">
        <v>43</v>
      </c>
      <c r="C793" s="123">
        <v>8</v>
      </c>
      <c r="D793" s="123">
        <v>1</v>
      </c>
      <c r="E793" s="123">
        <v>0</v>
      </c>
      <c r="F793" s="123">
        <v>17</v>
      </c>
      <c r="G793" s="123">
        <v>0</v>
      </c>
      <c r="H793" s="123">
        <v>18</v>
      </c>
      <c r="I793" s="123">
        <v>0</v>
      </c>
      <c r="J793" s="123">
        <v>6</v>
      </c>
      <c r="K793" s="123">
        <v>8</v>
      </c>
      <c r="L793" s="123">
        <v>1</v>
      </c>
      <c r="M793" s="123">
        <v>0</v>
      </c>
      <c r="N793" s="123">
        <v>0</v>
      </c>
      <c r="O793" s="123">
        <v>0</v>
      </c>
      <c r="P793" s="7" t="s">
        <v>13</v>
      </c>
      <c r="Q793" s="9"/>
      <c r="R793" s="1"/>
    </row>
    <row r="794" spans="1:18" ht="13.5" thickBot="1" x14ac:dyDescent="0.25">
      <c r="A794" s="123">
        <v>18</v>
      </c>
      <c r="B794" s="123">
        <v>0</v>
      </c>
      <c r="C794" s="123">
        <v>18</v>
      </c>
      <c r="D794" s="123">
        <v>0</v>
      </c>
      <c r="E794" s="123">
        <v>10</v>
      </c>
      <c r="F794" s="123">
        <v>0</v>
      </c>
      <c r="G794" s="123">
        <v>5</v>
      </c>
      <c r="H794" s="123">
        <v>0</v>
      </c>
      <c r="I794" s="123">
        <v>3</v>
      </c>
      <c r="J794" s="123">
        <v>0</v>
      </c>
      <c r="K794" s="123">
        <v>0</v>
      </c>
      <c r="L794" s="123">
        <v>0</v>
      </c>
      <c r="M794" s="123">
        <v>0</v>
      </c>
      <c r="N794" s="123">
        <v>0</v>
      </c>
      <c r="O794" s="123">
        <v>0</v>
      </c>
      <c r="P794" s="7" t="s">
        <v>163</v>
      </c>
      <c r="Q794" s="124"/>
      <c r="R794" s="1"/>
    </row>
    <row r="795" spans="1:18" ht="13.5" thickBot="1" x14ac:dyDescent="0.25">
      <c r="A795" s="123">
        <v>71</v>
      </c>
      <c r="B795" s="123">
        <v>25</v>
      </c>
      <c r="C795" s="123">
        <v>46</v>
      </c>
      <c r="D795" s="123">
        <v>0</v>
      </c>
      <c r="E795" s="123">
        <v>0</v>
      </c>
      <c r="F795" s="123">
        <v>0</v>
      </c>
      <c r="G795" s="123">
        <v>19</v>
      </c>
      <c r="H795" s="123">
        <v>1</v>
      </c>
      <c r="I795" s="123">
        <v>26</v>
      </c>
      <c r="J795" s="123">
        <v>20</v>
      </c>
      <c r="K795" s="123">
        <v>1</v>
      </c>
      <c r="L795" s="123">
        <v>4</v>
      </c>
      <c r="M795" s="123">
        <v>0</v>
      </c>
      <c r="N795" s="123">
        <v>0</v>
      </c>
      <c r="O795" s="123">
        <v>0</v>
      </c>
      <c r="P795" s="7" t="s">
        <v>162</v>
      </c>
      <c r="Q795" s="124" t="s">
        <v>483</v>
      </c>
      <c r="R795" s="1"/>
    </row>
    <row r="796" spans="1:18" ht="13.5" thickBot="1" x14ac:dyDescent="0.25">
      <c r="A796" s="123">
        <v>89</v>
      </c>
      <c r="B796" s="123">
        <v>25</v>
      </c>
      <c r="C796" s="123">
        <v>64</v>
      </c>
      <c r="D796" s="123">
        <v>0</v>
      </c>
      <c r="E796" s="123">
        <v>10</v>
      </c>
      <c r="F796" s="123">
        <v>0</v>
      </c>
      <c r="G796" s="123">
        <v>24</v>
      </c>
      <c r="H796" s="123">
        <v>1</v>
      </c>
      <c r="I796" s="123">
        <v>29</v>
      </c>
      <c r="J796" s="123">
        <v>20</v>
      </c>
      <c r="K796" s="123">
        <v>1</v>
      </c>
      <c r="L796" s="123">
        <v>4</v>
      </c>
      <c r="M796" s="123">
        <v>0</v>
      </c>
      <c r="N796" s="123">
        <v>0</v>
      </c>
      <c r="O796" s="123">
        <v>0</v>
      </c>
      <c r="P796" s="7" t="s">
        <v>13</v>
      </c>
      <c r="Q796" s="9"/>
      <c r="R796" s="1"/>
    </row>
    <row r="797" spans="1:18" ht="13.5" thickBot="1" x14ac:dyDescent="0.25">
      <c r="A797" s="123">
        <v>261</v>
      </c>
      <c r="B797" s="123">
        <v>64</v>
      </c>
      <c r="C797" s="123">
        <v>197</v>
      </c>
      <c r="D797" s="123">
        <v>1</v>
      </c>
      <c r="E797" s="123">
        <v>23</v>
      </c>
      <c r="F797" s="123">
        <v>36</v>
      </c>
      <c r="G797" s="123">
        <v>101</v>
      </c>
      <c r="H797" s="123">
        <v>22</v>
      </c>
      <c r="I797" s="123">
        <v>35</v>
      </c>
      <c r="J797" s="123">
        <v>5</v>
      </c>
      <c r="K797" s="123">
        <v>30</v>
      </c>
      <c r="L797" s="123">
        <v>0</v>
      </c>
      <c r="M797" s="123">
        <v>6</v>
      </c>
      <c r="N797" s="123">
        <v>0</v>
      </c>
      <c r="O797" s="123">
        <v>2</v>
      </c>
      <c r="P797" s="7" t="s">
        <v>163</v>
      </c>
      <c r="Q797" s="3"/>
      <c r="R797" s="1"/>
    </row>
    <row r="798" spans="1:18" ht="13.5" thickBot="1" x14ac:dyDescent="0.25">
      <c r="A798" s="123">
        <v>362</v>
      </c>
      <c r="B798" s="123">
        <v>115</v>
      </c>
      <c r="C798" s="123">
        <v>247</v>
      </c>
      <c r="D798" s="123">
        <v>5</v>
      </c>
      <c r="E798" s="123">
        <v>12</v>
      </c>
      <c r="F798" s="123">
        <v>0</v>
      </c>
      <c r="G798" s="123">
        <v>23</v>
      </c>
      <c r="H798" s="123">
        <v>46</v>
      </c>
      <c r="I798" s="123">
        <v>57</v>
      </c>
      <c r="J798" s="123">
        <v>58</v>
      </c>
      <c r="K798" s="123">
        <v>120</v>
      </c>
      <c r="L798" s="123">
        <v>6</v>
      </c>
      <c r="M798" s="123">
        <v>18</v>
      </c>
      <c r="N798" s="123">
        <v>0</v>
      </c>
      <c r="O798" s="123">
        <v>17</v>
      </c>
      <c r="P798" s="7" t="s">
        <v>162</v>
      </c>
      <c r="Q798" s="11" t="s">
        <v>211</v>
      </c>
      <c r="R798" s="1"/>
    </row>
    <row r="799" spans="1:18" ht="13.5" thickBot="1" x14ac:dyDescent="0.25">
      <c r="A799" s="123">
        <v>623</v>
      </c>
      <c r="B799" s="123">
        <v>179</v>
      </c>
      <c r="C799" s="123">
        <v>444</v>
      </c>
      <c r="D799" s="123">
        <v>6</v>
      </c>
      <c r="E799" s="123">
        <v>35</v>
      </c>
      <c r="F799" s="123">
        <v>36</v>
      </c>
      <c r="G799" s="123">
        <v>124</v>
      </c>
      <c r="H799" s="123">
        <v>68</v>
      </c>
      <c r="I799" s="123">
        <v>92</v>
      </c>
      <c r="J799" s="123">
        <v>63</v>
      </c>
      <c r="K799" s="123">
        <v>150</v>
      </c>
      <c r="L799" s="123">
        <v>6</v>
      </c>
      <c r="M799" s="123">
        <v>24</v>
      </c>
      <c r="N799" s="123">
        <v>0</v>
      </c>
      <c r="O799" s="123">
        <v>19</v>
      </c>
      <c r="P799" s="7" t="s">
        <v>13</v>
      </c>
      <c r="Q799" s="5"/>
      <c r="R799" s="1"/>
    </row>
    <row r="800" spans="1:18" ht="18" customHeight="1" x14ac:dyDescent="0.2">
      <c r="A800" s="207"/>
      <c r="B800" s="207"/>
      <c r="C800" s="207"/>
      <c r="D800" s="207"/>
      <c r="E800" s="207"/>
      <c r="F800" s="207"/>
      <c r="G800" s="207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1"/>
    </row>
    <row r="801" spans="1:18" ht="18" customHeight="1" x14ac:dyDescent="0.2">
      <c r="A801" s="159" t="s">
        <v>616</v>
      </c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"/>
    </row>
    <row r="802" spans="1:18" ht="18" customHeight="1" thickBot="1" x14ac:dyDescent="0.25">
      <c r="A802" s="160" t="s">
        <v>617</v>
      </c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"/>
    </row>
    <row r="803" spans="1:18" ht="13.5" thickBot="1" x14ac:dyDescent="0.25">
      <c r="A803" s="204" t="s">
        <v>5</v>
      </c>
      <c r="B803" s="204"/>
      <c r="C803" s="204"/>
      <c r="D803" s="204" t="s">
        <v>57</v>
      </c>
      <c r="E803" s="204"/>
      <c r="F803" s="204" t="s">
        <v>609</v>
      </c>
      <c r="G803" s="204"/>
      <c r="H803" s="204" t="s">
        <v>610</v>
      </c>
      <c r="I803" s="204"/>
      <c r="J803" s="204" t="s">
        <v>611</v>
      </c>
      <c r="K803" s="204"/>
      <c r="L803" s="204" t="s">
        <v>612</v>
      </c>
      <c r="M803" s="204"/>
      <c r="N803" s="204" t="s">
        <v>613</v>
      </c>
      <c r="O803" s="204"/>
      <c r="P803" s="205" t="s">
        <v>614</v>
      </c>
      <c r="Q803" s="47" t="s">
        <v>161</v>
      </c>
      <c r="R803" s="1"/>
    </row>
    <row r="804" spans="1:18" ht="13.5" thickBot="1" x14ac:dyDescent="0.25">
      <c r="A804" s="47" t="s">
        <v>216</v>
      </c>
      <c r="B804" s="47" t="s">
        <v>11</v>
      </c>
      <c r="C804" s="47" t="s">
        <v>10</v>
      </c>
      <c r="D804" s="47" t="s">
        <v>11</v>
      </c>
      <c r="E804" s="47" t="s">
        <v>10</v>
      </c>
      <c r="F804" s="47" t="s">
        <v>11</v>
      </c>
      <c r="G804" s="47" t="s">
        <v>10</v>
      </c>
      <c r="H804" s="47" t="s">
        <v>11</v>
      </c>
      <c r="I804" s="47" t="s">
        <v>10</v>
      </c>
      <c r="J804" s="47" t="s">
        <v>11</v>
      </c>
      <c r="K804" s="47" t="s">
        <v>10</v>
      </c>
      <c r="L804" s="47" t="s">
        <v>11</v>
      </c>
      <c r="M804" s="47" t="s">
        <v>10</v>
      </c>
      <c r="N804" s="47" t="s">
        <v>11</v>
      </c>
      <c r="O804" s="47" t="s">
        <v>10</v>
      </c>
      <c r="P804" s="206"/>
      <c r="Q804" s="33" t="s">
        <v>118</v>
      </c>
      <c r="R804" s="1"/>
    </row>
    <row r="805" spans="1:18" ht="13.5" thickBot="1" x14ac:dyDescent="0.25">
      <c r="A805" s="123">
        <v>0</v>
      </c>
      <c r="B805" s="123">
        <v>0</v>
      </c>
      <c r="C805" s="123">
        <v>0</v>
      </c>
      <c r="D805" s="123">
        <v>0</v>
      </c>
      <c r="E805" s="123">
        <v>0</v>
      </c>
      <c r="F805" s="123">
        <v>0</v>
      </c>
      <c r="G805" s="123">
        <v>0</v>
      </c>
      <c r="H805" s="123">
        <v>0</v>
      </c>
      <c r="I805" s="123">
        <v>0</v>
      </c>
      <c r="J805" s="123">
        <v>0</v>
      </c>
      <c r="K805" s="123">
        <v>0</v>
      </c>
      <c r="L805" s="123">
        <v>0</v>
      </c>
      <c r="M805" s="123">
        <v>0</v>
      </c>
      <c r="N805" s="123">
        <v>0</v>
      </c>
      <c r="O805" s="123">
        <v>0</v>
      </c>
      <c r="P805" s="7" t="s">
        <v>163</v>
      </c>
      <c r="Q805" s="124"/>
      <c r="R805" s="1"/>
    </row>
    <row r="806" spans="1:18" ht="13.5" thickBot="1" x14ac:dyDescent="0.25">
      <c r="A806" s="123">
        <v>7</v>
      </c>
      <c r="B806" s="123">
        <v>0</v>
      </c>
      <c r="C806" s="123">
        <v>7</v>
      </c>
      <c r="D806" s="123">
        <v>0</v>
      </c>
      <c r="E806" s="123">
        <v>0</v>
      </c>
      <c r="F806" s="123">
        <v>0</v>
      </c>
      <c r="G806" s="123">
        <v>0</v>
      </c>
      <c r="H806" s="123">
        <v>0</v>
      </c>
      <c r="I806" s="123">
        <v>0</v>
      </c>
      <c r="J806" s="123">
        <v>0</v>
      </c>
      <c r="K806" s="123">
        <v>5</v>
      </c>
      <c r="L806" s="123">
        <v>0</v>
      </c>
      <c r="M806" s="123">
        <v>2</v>
      </c>
      <c r="N806" s="123">
        <v>0</v>
      </c>
      <c r="O806" s="123">
        <v>0</v>
      </c>
      <c r="P806" s="7" t="s">
        <v>162</v>
      </c>
      <c r="Q806" s="124" t="s">
        <v>377</v>
      </c>
      <c r="R806" s="1"/>
    </row>
    <row r="807" spans="1:18" ht="13.5" thickBot="1" x14ac:dyDescent="0.25">
      <c r="A807" s="123">
        <v>7</v>
      </c>
      <c r="B807" s="123">
        <v>0</v>
      </c>
      <c r="C807" s="123">
        <v>7</v>
      </c>
      <c r="D807" s="123">
        <v>0</v>
      </c>
      <c r="E807" s="123">
        <v>0</v>
      </c>
      <c r="F807" s="123">
        <v>0</v>
      </c>
      <c r="G807" s="123">
        <v>0</v>
      </c>
      <c r="H807" s="123">
        <v>0</v>
      </c>
      <c r="I807" s="123">
        <v>0</v>
      </c>
      <c r="J807" s="123">
        <v>0</v>
      </c>
      <c r="K807" s="123">
        <v>5</v>
      </c>
      <c r="L807" s="123">
        <v>0</v>
      </c>
      <c r="M807" s="123">
        <v>2</v>
      </c>
      <c r="N807" s="123">
        <v>0</v>
      </c>
      <c r="O807" s="123">
        <v>0</v>
      </c>
      <c r="P807" s="7" t="s">
        <v>13</v>
      </c>
      <c r="Q807" s="9"/>
      <c r="R807" s="1"/>
    </row>
    <row r="808" spans="1:18" ht="13.5" thickBot="1" x14ac:dyDescent="0.25">
      <c r="A808" s="123">
        <v>20</v>
      </c>
      <c r="B808" s="123">
        <v>7</v>
      </c>
      <c r="C808" s="123">
        <v>13</v>
      </c>
      <c r="D808" s="123">
        <v>0</v>
      </c>
      <c r="E808" s="123">
        <v>0</v>
      </c>
      <c r="F808" s="123">
        <v>7</v>
      </c>
      <c r="G808" s="123">
        <v>10</v>
      </c>
      <c r="H808" s="123">
        <v>0</v>
      </c>
      <c r="I808" s="123">
        <v>3</v>
      </c>
      <c r="J808" s="123">
        <v>0</v>
      </c>
      <c r="K808" s="123">
        <v>0</v>
      </c>
      <c r="L808" s="123">
        <v>0</v>
      </c>
      <c r="M808" s="123">
        <v>0</v>
      </c>
      <c r="N808" s="123">
        <v>0</v>
      </c>
      <c r="O808" s="123">
        <v>0</v>
      </c>
      <c r="P808" s="7" t="s">
        <v>163</v>
      </c>
      <c r="Q808" s="124"/>
      <c r="R808" s="1"/>
    </row>
    <row r="809" spans="1:18" ht="13.5" thickBot="1" x14ac:dyDescent="0.25">
      <c r="A809" s="123">
        <v>44</v>
      </c>
      <c r="B809" s="123">
        <v>3</v>
      </c>
      <c r="C809" s="123">
        <v>41</v>
      </c>
      <c r="D809" s="123">
        <v>0</v>
      </c>
      <c r="E809" s="123">
        <v>0</v>
      </c>
      <c r="F809" s="123">
        <v>0</v>
      </c>
      <c r="G809" s="123">
        <v>3</v>
      </c>
      <c r="H809" s="123">
        <v>1</v>
      </c>
      <c r="I809" s="123">
        <v>23</v>
      </c>
      <c r="J809" s="123">
        <v>2</v>
      </c>
      <c r="K809" s="123">
        <v>10</v>
      </c>
      <c r="L809" s="123">
        <v>0</v>
      </c>
      <c r="M809" s="123">
        <v>3</v>
      </c>
      <c r="N809" s="123">
        <v>0</v>
      </c>
      <c r="O809" s="123">
        <v>2</v>
      </c>
      <c r="P809" s="7" t="s">
        <v>162</v>
      </c>
      <c r="Q809" s="124" t="s">
        <v>268</v>
      </c>
      <c r="R809" s="1"/>
    </row>
    <row r="810" spans="1:18" ht="13.5" thickBot="1" x14ac:dyDescent="0.25">
      <c r="A810" s="123">
        <v>64</v>
      </c>
      <c r="B810" s="123">
        <v>10</v>
      </c>
      <c r="C810" s="123">
        <v>54</v>
      </c>
      <c r="D810" s="123">
        <v>0</v>
      </c>
      <c r="E810" s="123">
        <v>0</v>
      </c>
      <c r="F810" s="123">
        <v>7</v>
      </c>
      <c r="G810" s="123">
        <v>13</v>
      </c>
      <c r="H810" s="123">
        <v>1</v>
      </c>
      <c r="I810" s="123">
        <v>26</v>
      </c>
      <c r="J810" s="123">
        <v>2</v>
      </c>
      <c r="K810" s="123">
        <v>10</v>
      </c>
      <c r="L810" s="123">
        <v>0</v>
      </c>
      <c r="M810" s="123">
        <v>3</v>
      </c>
      <c r="N810" s="123">
        <v>0</v>
      </c>
      <c r="O810" s="123">
        <v>2</v>
      </c>
      <c r="P810" s="7" t="s">
        <v>13</v>
      </c>
      <c r="Q810" s="9"/>
      <c r="R810" s="1"/>
    </row>
    <row r="811" spans="1:18" ht="13.5" thickBot="1" x14ac:dyDescent="0.25">
      <c r="A811" s="123">
        <v>28</v>
      </c>
      <c r="B811" s="123">
        <v>28</v>
      </c>
      <c r="C811" s="123">
        <v>0</v>
      </c>
      <c r="D811" s="123">
        <v>0</v>
      </c>
      <c r="E811" s="123">
        <v>0</v>
      </c>
      <c r="F811" s="123">
        <v>14</v>
      </c>
      <c r="G811" s="123">
        <v>0</v>
      </c>
      <c r="H811" s="123">
        <v>13</v>
      </c>
      <c r="I811" s="123">
        <v>0</v>
      </c>
      <c r="J811" s="123">
        <v>1</v>
      </c>
      <c r="K811" s="123">
        <v>0</v>
      </c>
      <c r="L811" s="123">
        <v>0</v>
      </c>
      <c r="M811" s="123">
        <v>0</v>
      </c>
      <c r="N811" s="123">
        <v>0</v>
      </c>
      <c r="O811" s="123">
        <v>0</v>
      </c>
      <c r="P811" s="7" t="s">
        <v>163</v>
      </c>
      <c r="Q811" s="124"/>
      <c r="R811" s="1"/>
    </row>
    <row r="812" spans="1:18" ht="13.5" thickBot="1" x14ac:dyDescent="0.25">
      <c r="A812" s="123">
        <v>62</v>
      </c>
      <c r="B812" s="123">
        <v>44</v>
      </c>
      <c r="C812" s="123">
        <v>18</v>
      </c>
      <c r="D812" s="123">
        <v>0</v>
      </c>
      <c r="E812" s="123">
        <v>0</v>
      </c>
      <c r="F812" s="123">
        <v>0</v>
      </c>
      <c r="G812" s="123">
        <v>0</v>
      </c>
      <c r="H812" s="123">
        <v>15</v>
      </c>
      <c r="I812" s="123">
        <v>4</v>
      </c>
      <c r="J812" s="123">
        <v>28</v>
      </c>
      <c r="K812" s="123">
        <v>14</v>
      </c>
      <c r="L812" s="123">
        <v>0</v>
      </c>
      <c r="M812" s="123">
        <v>0</v>
      </c>
      <c r="N812" s="123">
        <v>1</v>
      </c>
      <c r="O812" s="123">
        <v>0</v>
      </c>
      <c r="P812" s="7" t="s">
        <v>162</v>
      </c>
      <c r="Q812" s="124" t="s">
        <v>484</v>
      </c>
      <c r="R812" s="1"/>
    </row>
    <row r="813" spans="1:18" ht="13.5" thickBot="1" x14ac:dyDescent="0.25">
      <c r="A813" s="123">
        <v>90</v>
      </c>
      <c r="B813" s="123">
        <v>72</v>
      </c>
      <c r="C813" s="123">
        <v>18</v>
      </c>
      <c r="D813" s="123">
        <v>0</v>
      </c>
      <c r="E813" s="123">
        <v>0</v>
      </c>
      <c r="F813" s="123">
        <v>14</v>
      </c>
      <c r="G813" s="123">
        <v>0</v>
      </c>
      <c r="H813" s="123">
        <v>28</v>
      </c>
      <c r="I813" s="123">
        <v>4</v>
      </c>
      <c r="J813" s="123">
        <v>29</v>
      </c>
      <c r="K813" s="123">
        <v>14</v>
      </c>
      <c r="L813" s="123">
        <v>0</v>
      </c>
      <c r="M813" s="123">
        <v>0</v>
      </c>
      <c r="N813" s="123">
        <v>1</v>
      </c>
      <c r="O813" s="123">
        <v>0</v>
      </c>
      <c r="P813" s="7" t="s">
        <v>13</v>
      </c>
      <c r="Q813" s="9"/>
      <c r="R813" s="1"/>
    </row>
    <row r="814" spans="1:18" ht="13.5" thickBot="1" x14ac:dyDescent="0.25">
      <c r="A814" s="123">
        <v>17</v>
      </c>
      <c r="B814" s="123">
        <v>17</v>
      </c>
      <c r="C814" s="123">
        <v>0</v>
      </c>
      <c r="D814" s="123">
        <v>0</v>
      </c>
      <c r="E814" s="123">
        <v>0</v>
      </c>
      <c r="F814" s="123">
        <v>5</v>
      </c>
      <c r="G814" s="123">
        <v>0</v>
      </c>
      <c r="H814" s="123">
        <v>12</v>
      </c>
      <c r="I814" s="123">
        <v>0</v>
      </c>
      <c r="J814" s="123">
        <v>0</v>
      </c>
      <c r="K814" s="123">
        <v>0</v>
      </c>
      <c r="L814" s="123">
        <v>0</v>
      </c>
      <c r="M814" s="123">
        <v>0</v>
      </c>
      <c r="N814" s="123">
        <v>0</v>
      </c>
      <c r="O814" s="123">
        <v>0</v>
      </c>
      <c r="P814" s="7" t="s">
        <v>163</v>
      </c>
      <c r="Q814" s="124"/>
      <c r="R814" s="1"/>
    </row>
    <row r="815" spans="1:18" ht="13.5" thickBot="1" x14ac:dyDescent="0.25">
      <c r="A815" s="123">
        <v>40</v>
      </c>
      <c r="B815" s="123">
        <v>40</v>
      </c>
      <c r="C815" s="123">
        <v>0</v>
      </c>
      <c r="D815" s="123">
        <v>1</v>
      </c>
      <c r="E815" s="123">
        <v>0</v>
      </c>
      <c r="F815" s="123">
        <v>0</v>
      </c>
      <c r="G815" s="123">
        <v>0</v>
      </c>
      <c r="H815" s="123">
        <v>15</v>
      </c>
      <c r="I815" s="123">
        <v>0</v>
      </c>
      <c r="J815" s="123">
        <v>23</v>
      </c>
      <c r="K815" s="123">
        <v>0</v>
      </c>
      <c r="L815" s="123">
        <v>1</v>
      </c>
      <c r="M815" s="123">
        <v>0</v>
      </c>
      <c r="N815" s="123">
        <v>0</v>
      </c>
      <c r="O815" s="123">
        <v>0</v>
      </c>
      <c r="P815" s="7" t="s">
        <v>162</v>
      </c>
      <c r="Q815" s="124" t="s">
        <v>575</v>
      </c>
      <c r="R815" s="1"/>
    </row>
    <row r="816" spans="1:18" ht="13.5" thickBot="1" x14ac:dyDescent="0.25">
      <c r="A816" s="123">
        <v>57</v>
      </c>
      <c r="B816" s="123">
        <v>57</v>
      </c>
      <c r="C816" s="123">
        <v>0</v>
      </c>
      <c r="D816" s="123">
        <v>1</v>
      </c>
      <c r="E816" s="123">
        <v>0</v>
      </c>
      <c r="F816" s="123">
        <v>5</v>
      </c>
      <c r="G816" s="123">
        <v>0</v>
      </c>
      <c r="H816" s="123">
        <v>27</v>
      </c>
      <c r="I816" s="123">
        <v>0</v>
      </c>
      <c r="J816" s="123">
        <v>23</v>
      </c>
      <c r="K816" s="123">
        <v>0</v>
      </c>
      <c r="L816" s="123">
        <v>1</v>
      </c>
      <c r="M816" s="123">
        <v>0</v>
      </c>
      <c r="N816" s="123">
        <v>0</v>
      </c>
      <c r="O816" s="123">
        <v>0</v>
      </c>
      <c r="P816" s="7" t="s">
        <v>13</v>
      </c>
      <c r="Q816" s="9"/>
      <c r="R816" s="1"/>
    </row>
    <row r="817" spans="1:18" ht="13.5" thickBot="1" x14ac:dyDescent="0.25">
      <c r="A817" s="123">
        <v>3</v>
      </c>
      <c r="B817" s="123">
        <v>0</v>
      </c>
      <c r="C817" s="123">
        <v>3</v>
      </c>
      <c r="D817" s="123">
        <v>0</v>
      </c>
      <c r="E817" s="123">
        <v>0</v>
      </c>
      <c r="F817" s="123">
        <v>0</v>
      </c>
      <c r="G817" s="123">
        <v>0</v>
      </c>
      <c r="H817" s="123">
        <v>0</v>
      </c>
      <c r="I817" s="123">
        <v>2</v>
      </c>
      <c r="J817" s="123">
        <v>0</v>
      </c>
      <c r="K817" s="123">
        <v>0</v>
      </c>
      <c r="L817" s="123">
        <v>0</v>
      </c>
      <c r="M817" s="123">
        <v>1</v>
      </c>
      <c r="N817" s="123">
        <v>0</v>
      </c>
      <c r="O817" s="123">
        <v>0</v>
      </c>
      <c r="P817" s="7" t="s">
        <v>163</v>
      </c>
      <c r="Q817" s="124"/>
      <c r="R817" s="1"/>
    </row>
    <row r="818" spans="1:18" ht="13.5" thickBot="1" x14ac:dyDescent="0.25">
      <c r="A818" s="123">
        <v>16</v>
      </c>
      <c r="B818" s="123">
        <v>0</v>
      </c>
      <c r="C818" s="123">
        <v>16</v>
      </c>
      <c r="D818" s="123">
        <v>0</v>
      </c>
      <c r="E818" s="123">
        <v>0</v>
      </c>
      <c r="F818" s="123">
        <v>0</v>
      </c>
      <c r="G818" s="123">
        <v>0</v>
      </c>
      <c r="H818" s="123">
        <v>0</v>
      </c>
      <c r="I818" s="123">
        <v>11</v>
      </c>
      <c r="J818" s="123">
        <v>0</v>
      </c>
      <c r="K818" s="123">
        <v>2</v>
      </c>
      <c r="L818" s="123">
        <v>0</v>
      </c>
      <c r="M818" s="123">
        <v>2</v>
      </c>
      <c r="N818" s="123">
        <v>0</v>
      </c>
      <c r="O818" s="123">
        <v>1</v>
      </c>
      <c r="P818" s="7" t="s">
        <v>162</v>
      </c>
      <c r="Q818" s="124" t="s">
        <v>117</v>
      </c>
      <c r="R818" s="1"/>
    </row>
    <row r="819" spans="1:18" ht="13.5" thickBot="1" x14ac:dyDescent="0.25">
      <c r="A819" s="123">
        <v>19</v>
      </c>
      <c r="B819" s="123">
        <v>0</v>
      </c>
      <c r="C819" s="123">
        <v>19</v>
      </c>
      <c r="D819" s="123">
        <v>0</v>
      </c>
      <c r="E819" s="123">
        <v>0</v>
      </c>
      <c r="F819" s="123">
        <v>0</v>
      </c>
      <c r="G819" s="123">
        <v>0</v>
      </c>
      <c r="H819" s="123">
        <v>0</v>
      </c>
      <c r="I819" s="123">
        <v>13</v>
      </c>
      <c r="J819" s="123">
        <v>0</v>
      </c>
      <c r="K819" s="123">
        <v>2</v>
      </c>
      <c r="L819" s="123">
        <v>0</v>
      </c>
      <c r="M819" s="123">
        <v>3</v>
      </c>
      <c r="N819" s="123">
        <v>0</v>
      </c>
      <c r="O819" s="123">
        <v>1</v>
      </c>
      <c r="P819" s="7" t="s">
        <v>13</v>
      </c>
      <c r="Q819" s="9"/>
      <c r="R819" s="1"/>
    </row>
    <row r="820" spans="1:18" ht="13.5" thickBot="1" x14ac:dyDescent="0.25">
      <c r="A820" s="123">
        <v>10</v>
      </c>
      <c r="B820" s="123">
        <v>5</v>
      </c>
      <c r="C820" s="123">
        <v>5</v>
      </c>
      <c r="D820" s="123">
        <v>0</v>
      </c>
      <c r="E820" s="123">
        <v>2</v>
      </c>
      <c r="F820" s="123">
        <v>3</v>
      </c>
      <c r="G820" s="123">
        <v>1</v>
      </c>
      <c r="H820" s="123">
        <v>1</v>
      </c>
      <c r="I820" s="123">
        <v>1</v>
      </c>
      <c r="J820" s="123">
        <v>1</v>
      </c>
      <c r="K820" s="123">
        <v>1</v>
      </c>
      <c r="L820" s="123">
        <v>0</v>
      </c>
      <c r="M820" s="123">
        <v>0</v>
      </c>
      <c r="N820" s="123">
        <v>0</v>
      </c>
      <c r="O820" s="123">
        <v>0</v>
      </c>
      <c r="P820" s="7" t="s">
        <v>163</v>
      </c>
      <c r="Q820" s="124"/>
      <c r="R820" s="1"/>
    </row>
    <row r="821" spans="1:18" ht="13.5" thickBot="1" x14ac:dyDescent="0.25">
      <c r="A821" s="123">
        <v>14</v>
      </c>
      <c r="B821" s="123">
        <v>1</v>
      </c>
      <c r="C821" s="123">
        <v>13</v>
      </c>
      <c r="D821" s="123">
        <v>0</v>
      </c>
      <c r="E821" s="123">
        <v>0</v>
      </c>
      <c r="F821" s="123">
        <v>0</v>
      </c>
      <c r="G821" s="123">
        <v>0</v>
      </c>
      <c r="H821" s="123">
        <v>1</v>
      </c>
      <c r="I821" s="123">
        <v>7</v>
      </c>
      <c r="J821" s="123">
        <v>0</v>
      </c>
      <c r="K821" s="123">
        <v>6</v>
      </c>
      <c r="L821" s="123">
        <v>0</v>
      </c>
      <c r="M821" s="123">
        <v>0</v>
      </c>
      <c r="N821" s="123">
        <v>0</v>
      </c>
      <c r="O821" s="123">
        <v>0</v>
      </c>
      <c r="P821" s="7" t="s">
        <v>162</v>
      </c>
      <c r="Q821" s="124" t="s">
        <v>269</v>
      </c>
      <c r="R821" s="1"/>
    </row>
    <row r="822" spans="1:18" ht="13.5" thickBot="1" x14ac:dyDescent="0.25">
      <c r="A822" s="123">
        <v>24</v>
      </c>
      <c r="B822" s="123">
        <v>6</v>
      </c>
      <c r="C822" s="123">
        <v>18</v>
      </c>
      <c r="D822" s="123">
        <v>0</v>
      </c>
      <c r="E822" s="123">
        <v>2</v>
      </c>
      <c r="F822" s="123">
        <v>3</v>
      </c>
      <c r="G822" s="123">
        <v>1</v>
      </c>
      <c r="H822" s="123">
        <v>2</v>
      </c>
      <c r="I822" s="123">
        <v>8</v>
      </c>
      <c r="J822" s="123">
        <v>1</v>
      </c>
      <c r="K822" s="123">
        <v>7</v>
      </c>
      <c r="L822" s="123">
        <v>0</v>
      </c>
      <c r="M822" s="123">
        <v>0</v>
      </c>
      <c r="N822" s="123">
        <v>0</v>
      </c>
      <c r="O822" s="123">
        <v>0</v>
      </c>
      <c r="P822" s="7" t="s">
        <v>13</v>
      </c>
      <c r="Q822" s="9"/>
      <c r="R822" s="1"/>
    </row>
    <row r="823" spans="1:18" ht="13.5" thickBot="1" x14ac:dyDescent="0.25">
      <c r="A823" s="123">
        <v>67</v>
      </c>
      <c r="B823" s="123">
        <v>0</v>
      </c>
      <c r="C823" s="123">
        <v>67</v>
      </c>
      <c r="D823" s="123">
        <v>0</v>
      </c>
      <c r="E823" s="123">
        <v>12</v>
      </c>
      <c r="F823" s="123">
        <v>0</v>
      </c>
      <c r="G823" s="123">
        <v>22</v>
      </c>
      <c r="H823" s="123">
        <v>0</v>
      </c>
      <c r="I823" s="123">
        <v>21</v>
      </c>
      <c r="J823" s="123">
        <v>0</v>
      </c>
      <c r="K823" s="123">
        <v>11</v>
      </c>
      <c r="L823" s="123">
        <v>0</v>
      </c>
      <c r="M823" s="123">
        <v>0</v>
      </c>
      <c r="N823" s="123">
        <v>0</v>
      </c>
      <c r="O823" s="123">
        <v>1</v>
      </c>
      <c r="P823" s="7" t="s">
        <v>163</v>
      </c>
      <c r="Q823" s="124"/>
      <c r="R823" s="1"/>
    </row>
    <row r="824" spans="1:18" ht="13.5" thickBot="1" x14ac:dyDescent="0.25">
      <c r="A824" s="123">
        <v>74</v>
      </c>
      <c r="B824" s="123">
        <v>0</v>
      </c>
      <c r="C824" s="123">
        <v>74</v>
      </c>
      <c r="D824" s="123">
        <v>0</v>
      </c>
      <c r="E824" s="123">
        <v>6</v>
      </c>
      <c r="F824" s="123">
        <v>0</v>
      </c>
      <c r="G824" s="123">
        <v>4</v>
      </c>
      <c r="H824" s="123">
        <v>0</v>
      </c>
      <c r="I824" s="123">
        <v>5</v>
      </c>
      <c r="J824" s="123">
        <v>0</v>
      </c>
      <c r="K824" s="123">
        <v>58</v>
      </c>
      <c r="L824" s="123">
        <v>0</v>
      </c>
      <c r="M824" s="123">
        <v>1</v>
      </c>
      <c r="N824" s="123">
        <v>0</v>
      </c>
      <c r="O824" s="123">
        <v>0</v>
      </c>
      <c r="P824" s="7" t="s">
        <v>162</v>
      </c>
      <c r="Q824" s="124" t="s">
        <v>486</v>
      </c>
      <c r="R824" s="1"/>
    </row>
    <row r="825" spans="1:18" ht="13.5" thickBot="1" x14ac:dyDescent="0.25">
      <c r="A825" s="123">
        <v>141</v>
      </c>
      <c r="B825" s="123">
        <v>0</v>
      </c>
      <c r="C825" s="123">
        <v>141</v>
      </c>
      <c r="D825" s="123">
        <v>0</v>
      </c>
      <c r="E825" s="123">
        <v>18</v>
      </c>
      <c r="F825" s="123">
        <v>0</v>
      </c>
      <c r="G825" s="123">
        <v>26</v>
      </c>
      <c r="H825" s="123">
        <v>0</v>
      </c>
      <c r="I825" s="123">
        <v>26</v>
      </c>
      <c r="J825" s="123">
        <v>0</v>
      </c>
      <c r="K825" s="123">
        <v>69</v>
      </c>
      <c r="L825" s="123">
        <v>0</v>
      </c>
      <c r="M825" s="123">
        <v>1</v>
      </c>
      <c r="N825" s="123">
        <v>0</v>
      </c>
      <c r="O825" s="123">
        <v>1</v>
      </c>
      <c r="P825" s="7" t="s">
        <v>13</v>
      </c>
      <c r="Q825" s="9"/>
      <c r="R825" s="1"/>
    </row>
    <row r="826" spans="1:18" ht="13.5" thickBot="1" x14ac:dyDescent="0.25">
      <c r="A826" s="123">
        <v>0</v>
      </c>
      <c r="B826" s="123">
        <v>0</v>
      </c>
      <c r="C826" s="123">
        <v>0</v>
      </c>
      <c r="D826" s="123">
        <v>0</v>
      </c>
      <c r="E826" s="123">
        <v>0</v>
      </c>
      <c r="F826" s="123">
        <v>0</v>
      </c>
      <c r="G826" s="123">
        <v>0</v>
      </c>
      <c r="H826" s="123">
        <v>0</v>
      </c>
      <c r="I826" s="123">
        <v>0</v>
      </c>
      <c r="J826" s="123">
        <v>0</v>
      </c>
      <c r="K826" s="123">
        <v>0</v>
      </c>
      <c r="L826" s="123">
        <v>0</v>
      </c>
      <c r="M826" s="123">
        <v>0</v>
      </c>
      <c r="N826" s="123">
        <v>0</v>
      </c>
      <c r="O826" s="123">
        <v>0</v>
      </c>
      <c r="P826" s="7" t="s">
        <v>163</v>
      </c>
      <c r="Q826" s="124"/>
      <c r="R826" s="1"/>
    </row>
    <row r="827" spans="1:18" ht="13.5" thickBot="1" x14ac:dyDescent="0.25">
      <c r="A827" s="123">
        <v>60</v>
      </c>
      <c r="B827" s="123">
        <v>28</v>
      </c>
      <c r="C827" s="123">
        <v>32</v>
      </c>
      <c r="D827" s="123">
        <v>5</v>
      </c>
      <c r="E827" s="123">
        <v>2</v>
      </c>
      <c r="F827" s="123">
        <v>0</v>
      </c>
      <c r="G827" s="123">
        <v>0</v>
      </c>
      <c r="H827" s="123">
        <v>11</v>
      </c>
      <c r="I827" s="123">
        <v>8</v>
      </c>
      <c r="J827" s="123">
        <v>12</v>
      </c>
      <c r="K827" s="123">
        <v>18</v>
      </c>
      <c r="L827" s="123">
        <v>0</v>
      </c>
      <c r="M827" s="123">
        <v>2</v>
      </c>
      <c r="N827" s="123">
        <v>0</v>
      </c>
      <c r="O827" s="123">
        <v>2</v>
      </c>
      <c r="P827" s="7" t="s">
        <v>162</v>
      </c>
      <c r="Q827" s="124" t="s">
        <v>365</v>
      </c>
      <c r="R827" s="1"/>
    </row>
    <row r="828" spans="1:18" ht="13.5" thickBot="1" x14ac:dyDescent="0.25">
      <c r="A828" s="123">
        <v>60</v>
      </c>
      <c r="B828" s="123">
        <v>28</v>
      </c>
      <c r="C828" s="123">
        <v>32</v>
      </c>
      <c r="D828" s="123">
        <v>5</v>
      </c>
      <c r="E828" s="123">
        <v>2</v>
      </c>
      <c r="F828" s="123">
        <v>0</v>
      </c>
      <c r="G828" s="123">
        <v>0</v>
      </c>
      <c r="H828" s="123">
        <v>11</v>
      </c>
      <c r="I828" s="123">
        <v>8</v>
      </c>
      <c r="J828" s="123">
        <v>12</v>
      </c>
      <c r="K828" s="123">
        <v>18</v>
      </c>
      <c r="L828" s="123">
        <v>0</v>
      </c>
      <c r="M828" s="123">
        <v>2</v>
      </c>
      <c r="N828" s="123">
        <v>0</v>
      </c>
      <c r="O828" s="123">
        <v>2</v>
      </c>
      <c r="P828" s="7" t="s">
        <v>13</v>
      </c>
      <c r="Q828" s="9"/>
      <c r="R828" s="1"/>
    </row>
    <row r="829" spans="1:18" ht="13.5" thickBot="1" x14ac:dyDescent="0.25">
      <c r="A829" s="123">
        <v>145</v>
      </c>
      <c r="B829" s="123">
        <v>57</v>
      </c>
      <c r="C829" s="123">
        <v>88</v>
      </c>
      <c r="D829" s="123">
        <v>0</v>
      </c>
      <c r="E829" s="123">
        <v>14</v>
      </c>
      <c r="F829" s="123">
        <v>29</v>
      </c>
      <c r="G829" s="123">
        <v>33</v>
      </c>
      <c r="H829" s="123">
        <v>26</v>
      </c>
      <c r="I829" s="123">
        <v>27</v>
      </c>
      <c r="J829" s="123">
        <v>2</v>
      </c>
      <c r="K829" s="123">
        <v>12</v>
      </c>
      <c r="L829" s="123">
        <v>0</v>
      </c>
      <c r="M829" s="123">
        <v>1</v>
      </c>
      <c r="N829" s="123">
        <v>0</v>
      </c>
      <c r="O829" s="123">
        <v>1</v>
      </c>
      <c r="P829" s="7" t="s">
        <v>163</v>
      </c>
      <c r="Q829" s="3"/>
      <c r="R829" s="1"/>
    </row>
    <row r="830" spans="1:18" ht="13.5" thickBot="1" x14ac:dyDescent="0.25">
      <c r="A830" s="123">
        <v>317</v>
      </c>
      <c r="B830" s="123">
        <v>116</v>
      </c>
      <c r="C830" s="123">
        <v>201</v>
      </c>
      <c r="D830" s="123">
        <v>6</v>
      </c>
      <c r="E830" s="123">
        <v>8</v>
      </c>
      <c r="F830" s="123">
        <v>0</v>
      </c>
      <c r="G830" s="123">
        <v>7</v>
      </c>
      <c r="H830" s="123">
        <v>43</v>
      </c>
      <c r="I830" s="123">
        <v>58</v>
      </c>
      <c r="J830" s="123">
        <v>65</v>
      </c>
      <c r="K830" s="123">
        <v>113</v>
      </c>
      <c r="L830" s="123">
        <v>1</v>
      </c>
      <c r="M830" s="123">
        <v>10</v>
      </c>
      <c r="N830" s="123">
        <v>1</v>
      </c>
      <c r="O830" s="123">
        <v>5</v>
      </c>
      <c r="P830" s="7" t="s">
        <v>162</v>
      </c>
      <c r="Q830" s="11" t="s">
        <v>211</v>
      </c>
      <c r="R830" s="1"/>
    </row>
    <row r="831" spans="1:18" ht="13.5" thickBot="1" x14ac:dyDescent="0.25">
      <c r="A831" s="123">
        <v>462</v>
      </c>
      <c r="B831" s="123">
        <v>173</v>
      </c>
      <c r="C831" s="123">
        <v>289</v>
      </c>
      <c r="D831" s="123">
        <v>6</v>
      </c>
      <c r="E831" s="123">
        <v>22</v>
      </c>
      <c r="F831" s="123">
        <v>29</v>
      </c>
      <c r="G831" s="123">
        <v>40</v>
      </c>
      <c r="H831" s="123">
        <v>69</v>
      </c>
      <c r="I831" s="123">
        <v>85</v>
      </c>
      <c r="J831" s="123">
        <v>67</v>
      </c>
      <c r="K831" s="123">
        <v>125</v>
      </c>
      <c r="L831" s="123">
        <v>1</v>
      </c>
      <c r="M831" s="123">
        <v>11</v>
      </c>
      <c r="N831" s="123">
        <v>1</v>
      </c>
      <c r="O831" s="123">
        <v>6</v>
      </c>
      <c r="P831" s="7" t="s">
        <v>13</v>
      </c>
      <c r="Q831" s="5"/>
      <c r="R831" s="1"/>
    </row>
    <row r="832" spans="1:18" ht="18" customHeight="1" x14ac:dyDescent="0.2">
      <c r="A832" s="207"/>
      <c r="B832" s="207"/>
      <c r="C832" s="207"/>
      <c r="D832" s="207"/>
      <c r="E832" s="207"/>
      <c r="F832" s="207"/>
      <c r="G832" s="207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1"/>
    </row>
    <row r="833" spans="1:18" ht="18" customHeight="1" x14ac:dyDescent="0.2">
      <c r="A833" s="159" t="s">
        <v>616</v>
      </c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"/>
    </row>
    <row r="834" spans="1:18" ht="18" customHeight="1" thickBot="1" x14ac:dyDescent="0.25">
      <c r="A834" s="160" t="s">
        <v>617</v>
      </c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"/>
    </row>
    <row r="835" spans="1:18" ht="13.5" thickBot="1" x14ac:dyDescent="0.25">
      <c r="A835" s="204" t="s">
        <v>5</v>
      </c>
      <c r="B835" s="204"/>
      <c r="C835" s="204"/>
      <c r="D835" s="204" t="s">
        <v>57</v>
      </c>
      <c r="E835" s="204"/>
      <c r="F835" s="204" t="s">
        <v>609</v>
      </c>
      <c r="G835" s="204"/>
      <c r="H835" s="204" t="s">
        <v>610</v>
      </c>
      <c r="I835" s="204"/>
      <c r="J835" s="204" t="s">
        <v>611</v>
      </c>
      <c r="K835" s="204"/>
      <c r="L835" s="204" t="s">
        <v>612</v>
      </c>
      <c r="M835" s="204"/>
      <c r="N835" s="204" t="s">
        <v>613</v>
      </c>
      <c r="O835" s="204"/>
      <c r="P835" s="205" t="s">
        <v>614</v>
      </c>
      <c r="Q835" s="47" t="s">
        <v>161</v>
      </c>
      <c r="R835" s="1"/>
    </row>
    <row r="836" spans="1:18" ht="13.5" thickBot="1" x14ac:dyDescent="0.25">
      <c r="A836" s="47" t="s">
        <v>216</v>
      </c>
      <c r="B836" s="47" t="s">
        <v>11</v>
      </c>
      <c r="C836" s="47" t="s">
        <v>10</v>
      </c>
      <c r="D836" s="47" t="s">
        <v>11</v>
      </c>
      <c r="E836" s="47" t="s">
        <v>10</v>
      </c>
      <c r="F836" s="47" t="s">
        <v>11</v>
      </c>
      <c r="G836" s="47" t="s">
        <v>10</v>
      </c>
      <c r="H836" s="47" t="s">
        <v>11</v>
      </c>
      <c r="I836" s="47" t="s">
        <v>10</v>
      </c>
      <c r="J836" s="47" t="s">
        <v>11</v>
      </c>
      <c r="K836" s="47" t="s">
        <v>10</v>
      </c>
      <c r="L836" s="47" t="s">
        <v>11</v>
      </c>
      <c r="M836" s="47" t="s">
        <v>10</v>
      </c>
      <c r="N836" s="47" t="s">
        <v>11</v>
      </c>
      <c r="O836" s="47" t="s">
        <v>10</v>
      </c>
      <c r="P836" s="206"/>
      <c r="Q836" s="33" t="s">
        <v>120</v>
      </c>
      <c r="R836" s="1"/>
    </row>
    <row r="837" spans="1:18" ht="13.5" thickBot="1" x14ac:dyDescent="0.25">
      <c r="A837" s="123">
        <v>23</v>
      </c>
      <c r="B837" s="123">
        <v>3</v>
      </c>
      <c r="C837" s="123">
        <v>20</v>
      </c>
      <c r="D837" s="123">
        <v>0</v>
      </c>
      <c r="E837" s="123">
        <v>0</v>
      </c>
      <c r="F837" s="123">
        <v>2</v>
      </c>
      <c r="G837" s="123">
        <v>17</v>
      </c>
      <c r="H837" s="123">
        <v>1</v>
      </c>
      <c r="I837" s="123">
        <v>3</v>
      </c>
      <c r="J837" s="123">
        <v>0</v>
      </c>
      <c r="K837" s="123">
        <v>0</v>
      </c>
      <c r="L837" s="123">
        <v>0</v>
      </c>
      <c r="M837" s="123">
        <v>0</v>
      </c>
      <c r="N837" s="123">
        <v>0</v>
      </c>
      <c r="O837" s="123">
        <v>0</v>
      </c>
      <c r="P837" s="7" t="s">
        <v>163</v>
      </c>
      <c r="Q837" s="124"/>
      <c r="R837" s="1"/>
    </row>
    <row r="838" spans="1:18" ht="13.5" thickBot="1" x14ac:dyDescent="0.25">
      <c r="A838" s="123">
        <v>67</v>
      </c>
      <c r="B838" s="123">
        <v>7</v>
      </c>
      <c r="C838" s="123">
        <v>60</v>
      </c>
      <c r="D838" s="123">
        <v>0</v>
      </c>
      <c r="E838" s="123">
        <v>0</v>
      </c>
      <c r="F838" s="123">
        <v>0</v>
      </c>
      <c r="G838" s="123">
        <v>0</v>
      </c>
      <c r="H838" s="123">
        <v>7</v>
      </c>
      <c r="I838" s="123">
        <v>25</v>
      </c>
      <c r="J838" s="123">
        <v>0</v>
      </c>
      <c r="K838" s="123">
        <v>24</v>
      </c>
      <c r="L838" s="123">
        <v>0</v>
      </c>
      <c r="M838" s="123">
        <v>11</v>
      </c>
      <c r="N838" s="123">
        <v>0</v>
      </c>
      <c r="O838" s="123">
        <v>0</v>
      </c>
      <c r="P838" s="7" t="s">
        <v>162</v>
      </c>
      <c r="Q838" s="124" t="s">
        <v>359</v>
      </c>
      <c r="R838" s="1"/>
    </row>
    <row r="839" spans="1:18" ht="13.5" thickBot="1" x14ac:dyDescent="0.25">
      <c r="A839" s="123">
        <v>90</v>
      </c>
      <c r="B839" s="123">
        <v>10</v>
      </c>
      <c r="C839" s="123">
        <v>80</v>
      </c>
      <c r="D839" s="123">
        <v>0</v>
      </c>
      <c r="E839" s="123">
        <v>0</v>
      </c>
      <c r="F839" s="123">
        <v>2</v>
      </c>
      <c r="G839" s="123">
        <v>17</v>
      </c>
      <c r="H839" s="123">
        <v>8</v>
      </c>
      <c r="I839" s="123">
        <v>28</v>
      </c>
      <c r="J839" s="123">
        <v>0</v>
      </c>
      <c r="K839" s="123">
        <v>24</v>
      </c>
      <c r="L839" s="123">
        <v>0</v>
      </c>
      <c r="M839" s="123">
        <v>11</v>
      </c>
      <c r="N839" s="123">
        <v>0</v>
      </c>
      <c r="O839" s="123">
        <v>0</v>
      </c>
      <c r="P839" s="7" t="s">
        <v>13</v>
      </c>
      <c r="Q839" s="9"/>
      <c r="R839" s="1"/>
    </row>
    <row r="840" spans="1:18" ht="13.5" thickBot="1" x14ac:dyDescent="0.25">
      <c r="A840" s="123">
        <v>12</v>
      </c>
      <c r="B840" s="123">
        <v>2</v>
      </c>
      <c r="C840" s="123">
        <v>10</v>
      </c>
      <c r="D840" s="123">
        <v>0</v>
      </c>
      <c r="E840" s="123">
        <v>0</v>
      </c>
      <c r="F840" s="123">
        <v>1</v>
      </c>
      <c r="G840" s="123">
        <v>5</v>
      </c>
      <c r="H840" s="123">
        <v>1</v>
      </c>
      <c r="I840" s="123">
        <v>3</v>
      </c>
      <c r="J840" s="123">
        <v>0</v>
      </c>
      <c r="K840" s="123">
        <v>2</v>
      </c>
      <c r="L840" s="123">
        <v>0</v>
      </c>
      <c r="M840" s="123">
        <v>0</v>
      </c>
      <c r="N840" s="123">
        <v>0</v>
      </c>
      <c r="O840" s="123">
        <v>0</v>
      </c>
      <c r="P840" s="7" t="s">
        <v>163</v>
      </c>
      <c r="Q840" s="124"/>
      <c r="R840" s="1"/>
    </row>
    <row r="841" spans="1:18" ht="13.5" thickBot="1" x14ac:dyDescent="0.25">
      <c r="A841" s="123">
        <v>32</v>
      </c>
      <c r="B841" s="123">
        <v>11</v>
      </c>
      <c r="C841" s="123">
        <v>21</v>
      </c>
      <c r="D841" s="123">
        <v>0</v>
      </c>
      <c r="E841" s="123">
        <v>0</v>
      </c>
      <c r="F841" s="123">
        <v>0</v>
      </c>
      <c r="G841" s="123">
        <v>0</v>
      </c>
      <c r="H841" s="123">
        <v>2</v>
      </c>
      <c r="I841" s="123">
        <v>11</v>
      </c>
      <c r="J841" s="123">
        <v>6</v>
      </c>
      <c r="K841" s="123">
        <v>7</v>
      </c>
      <c r="L841" s="123">
        <v>3</v>
      </c>
      <c r="M841" s="123">
        <v>3</v>
      </c>
      <c r="N841" s="123">
        <v>0</v>
      </c>
      <c r="O841" s="123">
        <v>0</v>
      </c>
      <c r="P841" s="7" t="s">
        <v>162</v>
      </c>
      <c r="Q841" s="124" t="s">
        <v>264</v>
      </c>
      <c r="R841" s="1"/>
    </row>
    <row r="842" spans="1:18" ht="13.5" thickBot="1" x14ac:dyDescent="0.25">
      <c r="A842" s="123">
        <v>44</v>
      </c>
      <c r="B842" s="123">
        <v>13</v>
      </c>
      <c r="C842" s="123">
        <v>31</v>
      </c>
      <c r="D842" s="123">
        <v>0</v>
      </c>
      <c r="E842" s="123">
        <v>0</v>
      </c>
      <c r="F842" s="123">
        <v>1</v>
      </c>
      <c r="G842" s="123">
        <v>5</v>
      </c>
      <c r="H842" s="123">
        <v>3</v>
      </c>
      <c r="I842" s="123">
        <v>14</v>
      </c>
      <c r="J842" s="123">
        <v>6</v>
      </c>
      <c r="K842" s="123">
        <v>9</v>
      </c>
      <c r="L842" s="123">
        <v>3</v>
      </c>
      <c r="M842" s="123">
        <v>3</v>
      </c>
      <c r="N842" s="123">
        <v>0</v>
      </c>
      <c r="O842" s="123">
        <v>0</v>
      </c>
      <c r="P842" s="7" t="s">
        <v>13</v>
      </c>
      <c r="Q842" s="9"/>
      <c r="R842" s="1"/>
    </row>
    <row r="843" spans="1:18" ht="13.5" thickBot="1" x14ac:dyDescent="0.25">
      <c r="A843" s="123">
        <v>3</v>
      </c>
      <c r="B843" s="123">
        <v>0</v>
      </c>
      <c r="C843" s="123">
        <v>3</v>
      </c>
      <c r="D843" s="123">
        <v>0</v>
      </c>
      <c r="E843" s="123">
        <v>0</v>
      </c>
      <c r="F843" s="123">
        <v>0</v>
      </c>
      <c r="G843" s="123">
        <v>2</v>
      </c>
      <c r="H843" s="123">
        <v>0</v>
      </c>
      <c r="I843" s="123">
        <v>0</v>
      </c>
      <c r="J843" s="123">
        <v>0</v>
      </c>
      <c r="K843" s="123">
        <v>1</v>
      </c>
      <c r="L843" s="123">
        <v>0</v>
      </c>
      <c r="M843" s="123">
        <v>0</v>
      </c>
      <c r="N843" s="123">
        <v>0</v>
      </c>
      <c r="O843" s="123">
        <v>0</v>
      </c>
      <c r="P843" s="7" t="s">
        <v>163</v>
      </c>
      <c r="Q843" s="124"/>
      <c r="R843" s="1"/>
    </row>
    <row r="844" spans="1:18" ht="13.5" thickBot="1" x14ac:dyDescent="0.25">
      <c r="A844" s="123">
        <v>15</v>
      </c>
      <c r="B844" s="123">
        <v>0</v>
      </c>
      <c r="C844" s="123">
        <v>15</v>
      </c>
      <c r="D844" s="123">
        <v>0</v>
      </c>
      <c r="E844" s="123">
        <v>0</v>
      </c>
      <c r="F844" s="123">
        <v>0</v>
      </c>
      <c r="G844" s="123">
        <v>0</v>
      </c>
      <c r="H844" s="123">
        <v>0</v>
      </c>
      <c r="I844" s="123">
        <v>5</v>
      </c>
      <c r="J844" s="123">
        <v>0</v>
      </c>
      <c r="K844" s="123">
        <v>4</v>
      </c>
      <c r="L844" s="123">
        <v>0</v>
      </c>
      <c r="M844" s="123">
        <v>5</v>
      </c>
      <c r="N844" s="123">
        <v>0</v>
      </c>
      <c r="O844" s="123">
        <v>1</v>
      </c>
      <c r="P844" s="7" t="s">
        <v>162</v>
      </c>
      <c r="Q844" s="124" t="s">
        <v>377</v>
      </c>
      <c r="R844" s="1"/>
    </row>
    <row r="845" spans="1:18" ht="13.5" thickBot="1" x14ac:dyDescent="0.25">
      <c r="A845" s="123">
        <v>18</v>
      </c>
      <c r="B845" s="123">
        <v>0</v>
      </c>
      <c r="C845" s="123">
        <v>18</v>
      </c>
      <c r="D845" s="123">
        <v>0</v>
      </c>
      <c r="E845" s="123">
        <v>0</v>
      </c>
      <c r="F845" s="123">
        <v>0</v>
      </c>
      <c r="G845" s="123">
        <v>2</v>
      </c>
      <c r="H845" s="123">
        <v>0</v>
      </c>
      <c r="I845" s="123">
        <v>5</v>
      </c>
      <c r="J845" s="123">
        <v>0</v>
      </c>
      <c r="K845" s="123">
        <v>5</v>
      </c>
      <c r="L845" s="123">
        <v>0</v>
      </c>
      <c r="M845" s="123">
        <v>5</v>
      </c>
      <c r="N845" s="123">
        <v>0</v>
      </c>
      <c r="O845" s="123">
        <v>1</v>
      </c>
      <c r="P845" s="7" t="s">
        <v>13</v>
      </c>
      <c r="Q845" s="9"/>
      <c r="R845" s="1"/>
    </row>
    <row r="846" spans="1:18" ht="13.5" thickBot="1" x14ac:dyDescent="0.25">
      <c r="A846" s="123">
        <v>3</v>
      </c>
      <c r="B846" s="123">
        <v>0</v>
      </c>
      <c r="C846" s="123">
        <v>3</v>
      </c>
      <c r="D846" s="123">
        <v>0</v>
      </c>
      <c r="E846" s="123">
        <v>0</v>
      </c>
      <c r="F846" s="123">
        <v>0</v>
      </c>
      <c r="G846" s="123">
        <v>0</v>
      </c>
      <c r="H846" s="123">
        <v>0</v>
      </c>
      <c r="I846" s="123">
        <v>2</v>
      </c>
      <c r="J846" s="123">
        <v>0</v>
      </c>
      <c r="K846" s="123">
        <v>1</v>
      </c>
      <c r="L846" s="123">
        <v>0</v>
      </c>
      <c r="M846" s="123">
        <v>0</v>
      </c>
      <c r="N846" s="123">
        <v>0</v>
      </c>
      <c r="O846" s="123">
        <v>0</v>
      </c>
      <c r="P846" s="7" t="s">
        <v>163</v>
      </c>
      <c r="Q846" s="124"/>
      <c r="R846" s="1"/>
    </row>
    <row r="847" spans="1:18" ht="13.5" thickBot="1" x14ac:dyDescent="0.25">
      <c r="A847" s="123">
        <v>26</v>
      </c>
      <c r="B847" s="123">
        <v>0</v>
      </c>
      <c r="C847" s="123">
        <v>26</v>
      </c>
      <c r="D847" s="123">
        <v>0</v>
      </c>
      <c r="E847" s="123">
        <v>0</v>
      </c>
      <c r="F847" s="123">
        <v>0</v>
      </c>
      <c r="G847" s="123">
        <v>0</v>
      </c>
      <c r="H847" s="123">
        <v>0</v>
      </c>
      <c r="I847" s="123">
        <v>11</v>
      </c>
      <c r="J847" s="123">
        <v>0</v>
      </c>
      <c r="K847" s="123">
        <v>13</v>
      </c>
      <c r="L847" s="123">
        <v>0</v>
      </c>
      <c r="M847" s="123">
        <v>2</v>
      </c>
      <c r="N847" s="123">
        <v>0</v>
      </c>
      <c r="O847" s="123">
        <v>0</v>
      </c>
      <c r="P847" s="7" t="s">
        <v>162</v>
      </c>
      <c r="Q847" s="124" t="s">
        <v>119</v>
      </c>
      <c r="R847" s="1"/>
    </row>
    <row r="848" spans="1:18" ht="13.5" thickBot="1" x14ac:dyDescent="0.25">
      <c r="A848" s="123">
        <v>29</v>
      </c>
      <c r="B848" s="123">
        <v>0</v>
      </c>
      <c r="C848" s="123">
        <v>29</v>
      </c>
      <c r="D848" s="123">
        <v>0</v>
      </c>
      <c r="E848" s="123">
        <v>0</v>
      </c>
      <c r="F848" s="123">
        <v>0</v>
      </c>
      <c r="G848" s="123">
        <v>0</v>
      </c>
      <c r="H848" s="123">
        <v>0</v>
      </c>
      <c r="I848" s="123">
        <v>13</v>
      </c>
      <c r="J848" s="123">
        <v>0</v>
      </c>
      <c r="K848" s="123">
        <v>14</v>
      </c>
      <c r="L848" s="123">
        <v>0</v>
      </c>
      <c r="M848" s="123">
        <v>2</v>
      </c>
      <c r="N848" s="123">
        <v>0</v>
      </c>
      <c r="O848" s="123">
        <v>0</v>
      </c>
      <c r="P848" s="7" t="s">
        <v>13</v>
      </c>
      <c r="Q848" s="9"/>
      <c r="R848" s="1"/>
    </row>
    <row r="849" spans="1:18" ht="13.5" thickBot="1" x14ac:dyDescent="0.25">
      <c r="A849" s="123">
        <v>1</v>
      </c>
      <c r="B849" s="123">
        <v>1</v>
      </c>
      <c r="C849" s="123">
        <v>0</v>
      </c>
      <c r="D849" s="123">
        <v>0</v>
      </c>
      <c r="E849" s="123">
        <v>0</v>
      </c>
      <c r="F849" s="123">
        <v>0</v>
      </c>
      <c r="G849" s="123">
        <v>0</v>
      </c>
      <c r="H849" s="123">
        <v>0</v>
      </c>
      <c r="I849" s="123">
        <v>0</v>
      </c>
      <c r="J849" s="123">
        <v>1</v>
      </c>
      <c r="K849" s="123">
        <v>0</v>
      </c>
      <c r="L849" s="123">
        <v>0</v>
      </c>
      <c r="M849" s="123">
        <v>0</v>
      </c>
      <c r="N849" s="123">
        <v>0</v>
      </c>
      <c r="O849" s="123">
        <v>0</v>
      </c>
      <c r="P849" s="7" t="s">
        <v>163</v>
      </c>
      <c r="Q849" s="124"/>
      <c r="R849" s="1"/>
    </row>
    <row r="850" spans="1:18" ht="13.5" thickBot="1" x14ac:dyDescent="0.25">
      <c r="A850" s="123">
        <v>30</v>
      </c>
      <c r="B850" s="123">
        <v>21</v>
      </c>
      <c r="C850" s="123">
        <v>9</v>
      </c>
      <c r="D850" s="123">
        <v>0</v>
      </c>
      <c r="E850" s="123">
        <v>0</v>
      </c>
      <c r="F850" s="123">
        <v>0</v>
      </c>
      <c r="G850" s="123">
        <v>0</v>
      </c>
      <c r="H850" s="123">
        <v>10</v>
      </c>
      <c r="I850" s="123">
        <v>0</v>
      </c>
      <c r="J850" s="123">
        <v>11</v>
      </c>
      <c r="K850" s="123">
        <v>9</v>
      </c>
      <c r="L850" s="123">
        <v>0</v>
      </c>
      <c r="M850" s="123">
        <v>0</v>
      </c>
      <c r="N850" s="123">
        <v>0</v>
      </c>
      <c r="O850" s="123">
        <v>0</v>
      </c>
      <c r="P850" s="7" t="s">
        <v>162</v>
      </c>
      <c r="Q850" s="124" t="s">
        <v>487</v>
      </c>
      <c r="R850" s="1"/>
    </row>
    <row r="851" spans="1:18" ht="13.5" thickBot="1" x14ac:dyDescent="0.25">
      <c r="A851" s="123">
        <v>31</v>
      </c>
      <c r="B851" s="123">
        <v>22</v>
      </c>
      <c r="C851" s="123">
        <v>9</v>
      </c>
      <c r="D851" s="123">
        <v>0</v>
      </c>
      <c r="E851" s="123">
        <v>0</v>
      </c>
      <c r="F851" s="123">
        <v>0</v>
      </c>
      <c r="G851" s="123">
        <v>0</v>
      </c>
      <c r="H851" s="123">
        <v>10</v>
      </c>
      <c r="I851" s="123">
        <v>0</v>
      </c>
      <c r="J851" s="123">
        <v>12</v>
      </c>
      <c r="K851" s="123">
        <v>9</v>
      </c>
      <c r="L851" s="123">
        <v>0</v>
      </c>
      <c r="M851" s="123">
        <v>0</v>
      </c>
      <c r="N851" s="123">
        <v>0</v>
      </c>
      <c r="O851" s="123">
        <v>0</v>
      </c>
      <c r="P851" s="7" t="s">
        <v>13</v>
      </c>
      <c r="Q851" s="9"/>
      <c r="R851" s="1"/>
    </row>
    <row r="852" spans="1:18" ht="13.5" thickBot="1" x14ac:dyDescent="0.25">
      <c r="A852" s="123">
        <v>11</v>
      </c>
      <c r="B852" s="123">
        <v>11</v>
      </c>
      <c r="C852" s="123">
        <v>0</v>
      </c>
      <c r="D852" s="123">
        <v>0</v>
      </c>
      <c r="E852" s="123">
        <v>0</v>
      </c>
      <c r="F852" s="123">
        <v>9</v>
      </c>
      <c r="G852" s="123">
        <v>0</v>
      </c>
      <c r="H852" s="123">
        <v>1</v>
      </c>
      <c r="I852" s="123">
        <v>0</v>
      </c>
      <c r="J852" s="123">
        <v>1</v>
      </c>
      <c r="K852" s="123">
        <v>0</v>
      </c>
      <c r="L852" s="123">
        <v>0</v>
      </c>
      <c r="M852" s="123">
        <v>0</v>
      </c>
      <c r="N852" s="123">
        <v>0</v>
      </c>
      <c r="O852" s="123">
        <v>0</v>
      </c>
      <c r="P852" s="7" t="s">
        <v>163</v>
      </c>
      <c r="Q852" s="124"/>
      <c r="R852" s="1"/>
    </row>
    <row r="853" spans="1:18" ht="13.5" thickBot="1" x14ac:dyDescent="0.25">
      <c r="A853" s="123">
        <v>58</v>
      </c>
      <c r="B853" s="123">
        <v>44</v>
      </c>
      <c r="C853" s="123">
        <v>14</v>
      </c>
      <c r="D853" s="123">
        <v>0</v>
      </c>
      <c r="E853" s="123">
        <v>0</v>
      </c>
      <c r="F853" s="123">
        <v>0</v>
      </c>
      <c r="G853" s="123">
        <v>0</v>
      </c>
      <c r="H853" s="123">
        <v>28</v>
      </c>
      <c r="I853" s="123">
        <v>0</v>
      </c>
      <c r="J853" s="123">
        <v>16</v>
      </c>
      <c r="K853" s="123">
        <v>14</v>
      </c>
      <c r="L853" s="123">
        <v>0</v>
      </c>
      <c r="M853" s="123">
        <v>0</v>
      </c>
      <c r="N853" s="123">
        <v>0</v>
      </c>
      <c r="O853" s="123">
        <v>0</v>
      </c>
      <c r="P853" s="7" t="s">
        <v>162</v>
      </c>
      <c r="Q853" s="124" t="s">
        <v>488</v>
      </c>
      <c r="R853" s="1"/>
    </row>
    <row r="854" spans="1:18" ht="13.5" thickBot="1" x14ac:dyDescent="0.25">
      <c r="A854" s="123">
        <v>69</v>
      </c>
      <c r="B854" s="123">
        <v>55</v>
      </c>
      <c r="C854" s="123">
        <v>14</v>
      </c>
      <c r="D854" s="123">
        <v>0</v>
      </c>
      <c r="E854" s="123">
        <v>0</v>
      </c>
      <c r="F854" s="123">
        <v>9</v>
      </c>
      <c r="G854" s="123">
        <v>0</v>
      </c>
      <c r="H854" s="123">
        <v>29</v>
      </c>
      <c r="I854" s="123">
        <v>0</v>
      </c>
      <c r="J854" s="123">
        <v>17</v>
      </c>
      <c r="K854" s="123">
        <v>14</v>
      </c>
      <c r="L854" s="123">
        <v>0</v>
      </c>
      <c r="M854" s="123">
        <v>0</v>
      </c>
      <c r="N854" s="123">
        <v>0</v>
      </c>
      <c r="O854" s="123">
        <v>0</v>
      </c>
      <c r="P854" s="7" t="s">
        <v>13</v>
      </c>
      <c r="Q854" s="9"/>
      <c r="R854" s="1"/>
    </row>
    <row r="855" spans="1:18" ht="13.5" thickBot="1" x14ac:dyDescent="0.25">
      <c r="A855" s="123">
        <v>1</v>
      </c>
      <c r="B855" s="123">
        <v>1</v>
      </c>
      <c r="C855" s="123">
        <v>0</v>
      </c>
      <c r="D855" s="123">
        <v>0</v>
      </c>
      <c r="E855" s="123">
        <v>0</v>
      </c>
      <c r="F855" s="123">
        <v>0</v>
      </c>
      <c r="G855" s="123">
        <v>0</v>
      </c>
      <c r="H855" s="123">
        <v>0</v>
      </c>
      <c r="I855" s="123">
        <v>0</v>
      </c>
      <c r="J855" s="123">
        <v>1</v>
      </c>
      <c r="K855" s="123">
        <v>0</v>
      </c>
      <c r="L855" s="123">
        <v>0</v>
      </c>
      <c r="M855" s="123">
        <v>0</v>
      </c>
      <c r="N855" s="123">
        <v>0</v>
      </c>
      <c r="O855" s="123">
        <v>0</v>
      </c>
      <c r="P855" s="7" t="s">
        <v>163</v>
      </c>
      <c r="Q855" s="124"/>
      <c r="R855" s="1"/>
    </row>
    <row r="856" spans="1:18" ht="13.5" thickBot="1" x14ac:dyDescent="0.25">
      <c r="A856" s="123">
        <v>0</v>
      </c>
      <c r="B856" s="123">
        <v>0</v>
      </c>
      <c r="C856" s="123">
        <v>0</v>
      </c>
      <c r="D856" s="123">
        <v>0</v>
      </c>
      <c r="E856" s="123">
        <v>0</v>
      </c>
      <c r="F856" s="123">
        <v>0</v>
      </c>
      <c r="G856" s="123">
        <v>0</v>
      </c>
      <c r="H856" s="123">
        <v>0</v>
      </c>
      <c r="I856" s="123">
        <v>0</v>
      </c>
      <c r="J856" s="123">
        <v>0</v>
      </c>
      <c r="K856" s="123">
        <v>0</v>
      </c>
      <c r="L856" s="123">
        <v>0</v>
      </c>
      <c r="M856" s="123">
        <v>0</v>
      </c>
      <c r="N856" s="123">
        <v>0</v>
      </c>
      <c r="O856" s="123">
        <v>0</v>
      </c>
      <c r="P856" s="7" t="s">
        <v>162</v>
      </c>
      <c r="Q856" s="124" t="s">
        <v>121</v>
      </c>
      <c r="R856" s="1"/>
    </row>
    <row r="857" spans="1:18" ht="13.5" thickBot="1" x14ac:dyDescent="0.25">
      <c r="A857" s="123">
        <v>1</v>
      </c>
      <c r="B857" s="123">
        <v>1</v>
      </c>
      <c r="C857" s="123">
        <v>0</v>
      </c>
      <c r="D857" s="123">
        <v>0</v>
      </c>
      <c r="E857" s="123">
        <v>0</v>
      </c>
      <c r="F857" s="123">
        <v>0</v>
      </c>
      <c r="G857" s="123">
        <v>0</v>
      </c>
      <c r="H857" s="123">
        <v>0</v>
      </c>
      <c r="I857" s="123">
        <v>0</v>
      </c>
      <c r="J857" s="123">
        <v>1</v>
      </c>
      <c r="K857" s="123">
        <v>0</v>
      </c>
      <c r="L857" s="123">
        <v>0</v>
      </c>
      <c r="M857" s="123">
        <v>0</v>
      </c>
      <c r="N857" s="123">
        <v>0</v>
      </c>
      <c r="O857" s="123">
        <v>0</v>
      </c>
      <c r="P857" s="7" t="s">
        <v>13</v>
      </c>
      <c r="Q857" s="9"/>
      <c r="R857" s="1"/>
    </row>
    <row r="858" spans="1:18" ht="13.5" thickBot="1" x14ac:dyDescent="0.25">
      <c r="A858" s="123">
        <v>1</v>
      </c>
      <c r="B858" s="123">
        <v>1</v>
      </c>
      <c r="C858" s="123">
        <v>0</v>
      </c>
      <c r="D858" s="123">
        <v>0</v>
      </c>
      <c r="E858" s="123">
        <v>0</v>
      </c>
      <c r="F858" s="123">
        <v>0</v>
      </c>
      <c r="G858" s="123">
        <v>0</v>
      </c>
      <c r="H858" s="123">
        <v>0</v>
      </c>
      <c r="I858" s="123">
        <v>0</v>
      </c>
      <c r="J858" s="123">
        <v>1</v>
      </c>
      <c r="K858" s="123">
        <v>0</v>
      </c>
      <c r="L858" s="123">
        <v>0</v>
      </c>
      <c r="M858" s="123">
        <v>0</v>
      </c>
      <c r="N858" s="123">
        <v>0</v>
      </c>
      <c r="O858" s="123">
        <v>0</v>
      </c>
      <c r="P858" s="7" t="s">
        <v>163</v>
      </c>
      <c r="Q858" s="124"/>
      <c r="R858" s="1"/>
    </row>
    <row r="859" spans="1:18" ht="13.5" thickBot="1" x14ac:dyDescent="0.25">
      <c r="A859" s="123">
        <v>0</v>
      </c>
      <c r="B859" s="123">
        <v>0</v>
      </c>
      <c r="C859" s="123">
        <v>0</v>
      </c>
      <c r="D859" s="123">
        <v>0</v>
      </c>
      <c r="E859" s="123">
        <v>0</v>
      </c>
      <c r="F859" s="123">
        <v>0</v>
      </c>
      <c r="G859" s="123">
        <v>0</v>
      </c>
      <c r="H859" s="123">
        <v>0</v>
      </c>
      <c r="I859" s="123">
        <v>0</v>
      </c>
      <c r="J859" s="123">
        <v>0</v>
      </c>
      <c r="K859" s="123">
        <v>0</v>
      </c>
      <c r="L859" s="123">
        <v>0</v>
      </c>
      <c r="M859" s="123">
        <v>0</v>
      </c>
      <c r="N859" s="123">
        <v>0</v>
      </c>
      <c r="O859" s="123">
        <v>0</v>
      </c>
      <c r="P859" s="7" t="s">
        <v>162</v>
      </c>
      <c r="Q859" s="124" t="s">
        <v>122</v>
      </c>
      <c r="R859" s="1"/>
    </row>
    <row r="860" spans="1:18" ht="13.5" thickBot="1" x14ac:dyDescent="0.25">
      <c r="A860" s="123">
        <v>1</v>
      </c>
      <c r="B860" s="123">
        <v>1</v>
      </c>
      <c r="C860" s="123">
        <v>0</v>
      </c>
      <c r="D860" s="123">
        <v>0</v>
      </c>
      <c r="E860" s="123">
        <v>0</v>
      </c>
      <c r="F860" s="123">
        <v>0</v>
      </c>
      <c r="G860" s="123">
        <v>0</v>
      </c>
      <c r="H860" s="123">
        <v>0</v>
      </c>
      <c r="I860" s="123">
        <v>0</v>
      </c>
      <c r="J860" s="123">
        <v>1</v>
      </c>
      <c r="K860" s="123">
        <v>0</v>
      </c>
      <c r="L860" s="123">
        <v>0</v>
      </c>
      <c r="M860" s="123">
        <v>0</v>
      </c>
      <c r="N860" s="123">
        <v>0</v>
      </c>
      <c r="O860" s="123">
        <v>0</v>
      </c>
      <c r="P860" s="7" t="s">
        <v>13</v>
      </c>
      <c r="Q860" s="9"/>
      <c r="R860" s="1"/>
    </row>
    <row r="861" spans="1:18" ht="13.5" thickBot="1" x14ac:dyDescent="0.25">
      <c r="A861" s="123">
        <v>14</v>
      </c>
      <c r="B861" s="123">
        <v>0</v>
      </c>
      <c r="C861" s="123">
        <v>14</v>
      </c>
      <c r="D861" s="123">
        <v>0</v>
      </c>
      <c r="E861" s="123">
        <v>0</v>
      </c>
      <c r="F861" s="123">
        <v>0</v>
      </c>
      <c r="G861" s="123">
        <v>2</v>
      </c>
      <c r="H861" s="123">
        <v>0</v>
      </c>
      <c r="I861" s="123">
        <v>10</v>
      </c>
      <c r="J861" s="123">
        <v>0</v>
      </c>
      <c r="K861" s="123">
        <v>1</v>
      </c>
      <c r="L861" s="123">
        <v>0</v>
      </c>
      <c r="M861" s="123">
        <v>1</v>
      </c>
      <c r="N861" s="123">
        <v>0</v>
      </c>
      <c r="O861" s="123">
        <v>0</v>
      </c>
      <c r="P861" s="7" t="s">
        <v>163</v>
      </c>
      <c r="Q861" s="124"/>
      <c r="R861" s="1"/>
    </row>
    <row r="862" spans="1:18" ht="13.5" thickBot="1" x14ac:dyDescent="0.25">
      <c r="A862" s="123">
        <v>87</v>
      </c>
      <c r="B862" s="123">
        <v>0</v>
      </c>
      <c r="C862" s="123">
        <v>87</v>
      </c>
      <c r="D862" s="123">
        <v>0</v>
      </c>
      <c r="E862" s="123">
        <v>11</v>
      </c>
      <c r="F862" s="123">
        <v>0</v>
      </c>
      <c r="G862" s="123">
        <v>3</v>
      </c>
      <c r="H862" s="123">
        <v>0</v>
      </c>
      <c r="I862" s="123">
        <v>18</v>
      </c>
      <c r="J862" s="123">
        <v>0</v>
      </c>
      <c r="K862" s="123">
        <v>53</v>
      </c>
      <c r="L862" s="123">
        <v>0</v>
      </c>
      <c r="M862" s="123">
        <v>2</v>
      </c>
      <c r="N862" s="123">
        <v>0</v>
      </c>
      <c r="O862" s="123">
        <v>0</v>
      </c>
      <c r="P862" s="7" t="s">
        <v>162</v>
      </c>
      <c r="Q862" s="124" t="s">
        <v>270</v>
      </c>
      <c r="R862" s="1"/>
    </row>
    <row r="863" spans="1:18" ht="13.5" thickBot="1" x14ac:dyDescent="0.25">
      <c r="A863" s="123">
        <v>101</v>
      </c>
      <c r="B863" s="123">
        <v>0</v>
      </c>
      <c r="C863" s="123">
        <v>101</v>
      </c>
      <c r="D863" s="123">
        <v>0</v>
      </c>
      <c r="E863" s="123">
        <v>11</v>
      </c>
      <c r="F863" s="123">
        <v>0</v>
      </c>
      <c r="G863" s="123">
        <v>5</v>
      </c>
      <c r="H863" s="123">
        <v>0</v>
      </c>
      <c r="I863" s="123">
        <v>28</v>
      </c>
      <c r="J863" s="123">
        <v>0</v>
      </c>
      <c r="K863" s="123">
        <v>54</v>
      </c>
      <c r="L863" s="123">
        <v>0</v>
      </c>
      <c r="M863" s="123">
        <v>3</v>
      </c>
      <c r="N863" s="123">
        <v>0</v>
      </c>
      <c r="O863" s="123">
        <v>0</v>
      </c>
      <c r="P863" s="7" t="s">
        <v>13</v>
      </c>
      <c r="Q863" s="9"/>
      <c r="R863" s="1"/>
    </row>
    <row r="864" spans="1:18" ht="13.5" thickBot="1" x14ac:dyDescent="0.25">
      <c r="A864" s="123">
        <v>53</v>
      </c>
      <c r="B864" s="123">
        <v>53</v>
      </c>
      <c r="C864" s="123">
        <v>0</v>
      </c>
      <c r="D864" s="123">
        <v>2</v>
      </c>
      <c r="E864" s="123">
        <v>0</v>
      </c>
      <c r="F864" s="123">
        <v>32</v>
      </c>
      <c r="G864" s="123">
        <v>0</v>
      </c>
      <c r="H864" s="123">
        <v>18</v>
      </c>
      <c r="I864" s="123">
        <v>0</v>
      </c>
      <c r="J864" s="123">
        <v>1</v>
      </c>
      <c r="K864" s="123">
        <v>0</v>
      </c>
      <c r="L864" s="123">
        <v>0</v>
      </c>
      <c r="M864" s="123">
        <v>0</v>
      </c>
      <c r="N864" s="123">
        <v>0</v>
      </c>
      <c r="O864" s="123">
        <v>0</v>
      </c>
      <c r="P864" s="7" t="s">
        <v>163</v>
      </c>
      <c r="Q864" s="124"/>
      <c r="R864" s="1"/>
    </row>
    <row r="865" spans="1:18" ht="13.5" thickBot="1" x14ac:dyDescent="0.25">
      <c r="A865" s="123">
        <v>48</v>
      </c>
      <c r="B865" s="123">
        <v>36</v>
      </c>
      <c r="C865" s="123">
        <v>12</v>
      </c>
      <c r="D865" s="123">
        <v>0</v>
      </c>
      <c r="E865" s="123">
        <v>0</v>
      </c>
      <c r="F865" s="123">
        <v>0</v>
      </c>
      <c r="G865" s="123">
        <v>0</v>
      </c>
      <c r="H865" s="123">
        <v>21</v>
      </c>
      <c r="I865" s="123">
        <v>2</v>
      </c>
      <c r="J865" s="123">
        <v>14</v>
      </c>
      <c r="K865" s="123">
        <v>9</v>
      </c>
      <c r="L865" s="123">
        <v>1</v>
      </c>
      <c r="M865" s="123">
        <v>1</v>
      </c>
      <c r="N865" s="123">
        <v>0</v>
      </c>
      <c r="O865" s="123">
        <v>0</v>
      </c>
      <c r="P865" s="7" t="s">
        <v>162</v>
      </c>
      <c r="Q865" s="124" t="s">
        <v>489</v>
      </c>
      <c r="R865" s="1"/>
    </row>
    <row r="866" spans="1:18" ht="13.5" thickBot="1" x14ac:dyDescent="0.25">
      <c r="A866" s="123">
        <v>101</v>
      </c>
      <c r="B866" s="123">
        <v>89</v>
      </c>
      <c r="C866" s="123">
        <v>12</v>
      </c>
      <c r="D866" s="123">
        <v>2</v>
      </c>
      <c r="E866" s="123">
        <v>0</v>
      </c>
      <c r="F866" s="123">
        <v>32</v>
      </c>
      <c r="G866" s="123">
        <v>0</v>
      </c>
      <c r="H866" s="123">
        <v>39</v>
      </c>
      <c r="I866" s="123">
        <v>2</v>
      </c>
      <c r="J866" s="123">
        <v>15</v>
      </c>
      <c r="K866" s="123">
        <v>9</v>
      </c>
      <c r="L866" s="123">
        <v>1</v>
      </c>
      <c r="M866" s="123">
        <v>1</v>
      </c>
      <c r="N866" s="123">
        <v>0</v>
      </c>
      <c r="O866" s="123">
        <v>0</v>
      </c>
      <c r="P866" s="7" t="s">
        <v>13</v>
      </c>
      <c r="Q866" s="9"/>
      <c r="R866" s="1"/>
    </row>
    <row r="867" spans="1:18" ht="13.5" thickBot="1" x14ac:dyDescent="0.25">
      <c r="A867" s="123">
        <v>1</v>
      </c>
      <c r="B867" s="123">
        <v>0</v>
      </c>
      <c r="C867" s="123">
        <v>1</v>
      </c>
      <c r="D867" s="123">
        <v>0</v>
      </c>
      <c r="E867" s="123">
        <v>0</v>
      </c>
      <c r="F867" s="123">
        <v>0</v>
      </c>
      <c r="G867" s="123">
        <v>0</v>
      </c>
      <c r="H867" s="123">
        <v>0</v>
      </c>
      <c r="I867" s="123">
        <v>0</v>
      </c>
      <c r="J867" s="123">
        <v>0</v>
      </c>
      <c r="K867" s="123">
        <v>1</v>
      </c>
      <c r="L867" s="123">
        <v>0</v>
      </c>
      <c r="M867" s="123">
        <v>0</v>
      </c>
      <c r="N867" s="123">
        <v>0</v>
      </c>
      <c r="O867" s="123">
        <v>0</v>
      </c>
      <c r="P867" s="7" t="s">
        <v>163</v>
      </c>
      <c r="Q867" s="124"/>
      <c r="R867" s="1"/>
    </row>
    <row r="868" spans="1:18" ht="13.5" thickBot="1" x14ac:dyDescent="0.25">
      <c r="A868" s="123">
        <v>0</v>
      </c>
      <c r="B868" s="123">
        <v>0</v>
      </c>
      <c r="C868" s="123">
        <v>0</v>
      </c>
      <c r="D868" s="123">
        <v>0</v>
      </c>
      <c r="E868" s="123">
        <v>0</v>
      </c>
      <c r="F868" s="123">
        <v>0</v>
      </c>
      <c r="G868" s="123">
        <v>0</v>
      </c>
      <c r="H868" s="123">
        <v>0</v>
      </c>
      <c r="I868" s="123">
        <v>0</v>
      </c>
      <c r="J868" s="123">
        <v>0</v>
      </c>
      <c r="K868" s="123">
        <v>0</v>
      </c>
      <c r="L868" s="123">
        <v>0</v>
      </c>
      <c r="M868" s="123">
        <v>0</v>
      </c>
      <c r="N868" s="123">
        <v>0</v>
      </c>
      <c r="O868" s="123">
        <v>0</v>
      </c>
      <c r="P868" s="7" t="s">
        <v>162</v>
      </c>
      <c r="Q868" s="124" t="s">
        <v>490</v>
      </c>
      <c r="R868" s="1"/>
    </row>
    <row r="869" spans="1:18" ht="13.5" thickBot="1" x14ac:dyDescent="0.25">
      <c r="A869" s="123">
        <v>1</v>
      </c>
      <c r="B869" s="123">
        <v>0</v>
      </c>
      <c r="C869" s="123">
        <v>1</v>
      </c>
      <c r="D869" s="123">
        <v>0</v>
      </c>
      <c r="E869" s="123">
        <v>0</v>
      </c>
      <c r="F869" s="123">
        <v>0</v>
      </c>
      <c r="G869" s="123">
        <v>0</v>
      </c>
      <c r="H869" s="123">
        <v>0</v>
      </c>
      <c r="I869" s="123">
        <v>0</v>
      </c>
      <c r="J869" s="123">
        <v>0</v>
      </c>
      <c r="K869" s="123">
        <v>1</v>
      </c>
      <c r="L869" s="123">
        <v>0</v>
      </c>
      <c r="M869" s="123">
        <v>0</v>
      </c>
      <c r="N869" s="123">
        <v>0</v>
      </c>
      <c r="O869" s="123">
        <v>0</v>
      </c>
      <c r="P869" s="7" t="s">
        <v>13</v>
      </c>
      <c r="Q869" s="9"/>
      <c r="R869" s="1"/>
    </row>
    <row r="870" spans="1:18" ht="13.5" thickBot="1" x14ac:dyDescent="0.25">
      <c r="A870" s="123">
        <v>1</v>
      </c>
      <c r="B870" s="123">
        <v>1</v>
      </c>
      <c r="C870" s="123">
        <v>0</v>
      </c>
      <c r="D870" s="123">
        <v>0</v>
      </c>
      <c r="E870" s="123">
        <v>0</v>
      </c>
      <c r="F870" s="123">
        <v>1</v>
      </c>
      <c r="G870" s="123">
        <v>0</v>
      </c>
      <c r="H870" s="123">
        <v>0</v>
      </c>
      <c r="I870" s="123">
        <v>0</v>
      </c>
      <c r="J870" s="123">
        <v>0</v>
      </c>
      <c r="K870" s="123">
        <v>0</v>
      </c>
      <c r="L870" s="123">
        <v>0</v>
      </c>
      <c r="M870" s="123">
        <v>0</v>
      </c>
      <c r="N870" s="123">
        <v>0</v>
      </c>
      <c r="O870" s="123">
        <v>0</v>
      </c>
      <c r="P870" s="7" t="s">
        <v>163</v>
      </c>
      <c r="Q870" s="124"/>
      <c r="R870" s="1"/>
    </row>
    <row r="871" spans="1:18" ht="13.5" thickBot="1" x14ac:dyDescent="0.25">
      <c r="A871" s="123">
        <v>11</v>
      </c>
      <c r="B871" s="123">
        <v>11</v>
      </c>
      <c r="C871" s="123">
        <v>0</v>
      </c>
      <c r="D871" s="123">
        <v>5</v>
      </c>
      <c r="E871" s="123">
        <v>0</v>
      </c>
      <c r="F871" s="123">
        <v>0</v>
      </c>
      <c r="G871" s="123">
        <v>0</v>
      </c>
      <c r="H871" s="123">
        <v>5</v>
      </c>
      <c r="I871" s="123">
        <v>0</v>
      </c>
      <c r="J871" s="123">
        <v>1</v>
      </c>
      <c r="K871" s="123">
        <v>0</v>
      </c>
      <c r="L871" s="123">
        <v>0</v>
      </c>
      <c r="M871" s="123">
        <v>0</v>
      </c>
      <c r="N871" s="123">
        <v>0</v>
      </c>
      <c r="O871" s="123">
        <v>0</v>
      </c>
      <c r="P871" s="7" t="s">
        <v>162</v>
      </c>
      <c r="Q871" s="124" t="s">
        <v>271</v>
      </c>
      <c r="R871" s="1"/>
    </row>
    <row r="872" spans="1:18" ht="13.5" thickBot="1" x14ac:dyDescent="0.25">
      <c r="A872" s="123">
        <v>12</v>
      </c>
      <c r="B872" s="123">
        <v>12</v>
      </c>
      <c r="C872" s="123">
        <v>0</v>
      </c>
      <c r="D872" s="123">
        <v>5</v>
      </c>
      <c r="E872" s="123">
        <v>0</v>
      </c>
      <c r="F872" s="123">
        <v>1</v>
      </c>
      <c r="G872" s="123">
        <v>0</v>
      </c>
      <c r="H872" s="123">
        <v>5</v>
      </c>
      <c r="I872" s="123">
        <v>0</v>
      </c>
      <c r="J872" s="123">
        <v>1</v>
      </c>
      <c r="K872" s="123">
        <v>0</v>
      </c>
      <c r="L872" s="123">
        <v>0</v>
      </c>
      <c r="M872" s="123">
        <v>0</v>
      </c>
      <c r="N872" s="123">
        <v>0</v>
      </c>
      <c r="O872" s="123">
        <v>0</v>
      </c>
      <c r="P872" s="7" t="s">
        <v>13</v>
      </c>
      <c r="Q872" s="9"/>
      <c r="R872" s="1"/>
    </row>
    <row r="873" spans="1:18" ht="13.5" thickBot="1" x14ac:dyDescent="0.25">
      <c r="A873" s="123">
        <v>4</v>
      </c>
      <c r="B873" s="123">
        <v>0</v>
      </c>
      <c r="C873" s="123">
        <v>4</v>
      </c>
      <c r="D873" s="123">
        <v>0</v>
      </c>
      <c r="E873" s="123">
        <v>3</v>
      </c>
      <c r="F873" s="123">
        <v>0</v>
      </c>
      <c r="G873" s="123">
        <v>1</v>
      </c>
      <c r="H873" s="123">
        <v>0</v>
      </c>
      <c r="I873" s="123">
        <v>0</v>
      </c>
      <c r="J873" s="123">
        <v>0</v>
      </c>
      <c r="K873" s="123">
        <v>0</v>
      </c>
      <c r="L873" s="123">
        <v>0</v>
      </c>
      <c r="M873" s="123">
        <v>0</v>
      </c>
      <c r="N873" s="123">
        <v>0</v>
      </c>
      <c r="O873" s="123">
        <v>0</v>
      </c>
      <c r="P873" s="7" t="s">
        <v>163</v>
      </c>
      <c r="Q873" s="124"/>
      <c r="R873" s="1"/>
    </row>
    <row r="874" spans="1:18" ht="13.5" thickBot="1" x14ac:dyDescent="0.25">
      <c r="A874" s="123">
        <v>16</v>
      </c>
      <c r="B874" s="123">
        <v>0</v>
      </c>
      <c r="C874" s="123">
        <v>16</v>
      </c>
      <c r="D874" s="123">
        <v>0</v>
      </c>
      <c r="E874" s="123">
        <v>4</v>
      </c>
      <c r="F874" s="123">
        <v>0</v>
      </c>
      <c r="G874" s="123">
        <v>0</v>
      </c>
      <c r="H874" s="123">
        <v>0</v>
      </c>
      <c r="I874" s="123">
        <v>9</v>
      </c>
      <c r="J874" s="123">
        <v>0</v>
      </c>
      <c r="K874" s="123">
        <v>3</v>
      </c>
      <c r="L874" s="123">
        <v>0</v>
      </c>
      <c r="M874" s="123">
        <v>0</v>
      </c>
      <c r="N874" s="123">
        <v>0</v>
      </c>
      <c r="O874" s="123">
        <v>0</v>
      </c>
      <c r="P874" s="7" t="s">
        <v>162</v>
      </c>
      <c r="Q874" s="124" t="s">
        <v>596</v>
      </c>
      <c r="R874" s="1"/>
    </row>
    <row r="875" spans="1:18" ht="13.5" thickBot="1" x14ac:dyDescent="0.25">
      <c r="A875" s="123">
        <v>20</v>
      </c>
      <c r="B875" s="123">
        <v>0</v>
      </c>
      <c r="C875" s="123">
        <v>20</v>
      </c>
      <c r="D875" s="123">
        <v>0</v>
      </c>
      <c r="E875" s="123">
        <v>7</v>
      </c>
      <c r="F875" s="123">
        <v>0</v>
      </c>
      <c r="G875" s="123">
        <v>1</v>
      </c>
      <c r="H875" s="123">
        <v>0</v>
      </c>
      <c r="I875" s="123">
        <v>9</v>
      </c>
      <c r="J875" s="123">
        <v>0</v>
      </c>
      <c r="K875" s="123">
        <v>3</v>
      </c>
      <c r="L875" s="123">
        <v>0</v>
      </c>
      <c r="M875" s="123">
        <v>0</v>
      </c>
      <c r="N875" s="123">
        <v>0</v>
      </c>
      <c r="O875" s="123">
        <v>0</v>
      </c>
      <c r="P875" s="7" t="s">
        <v>13</v>
      </c>
      <c r="Q875" s="9"/>
      <c r="R875" s="1"/>
    </row>
    <row r="876" spans="1:18" ht="13.5" thickBot="1" x14ac:dyDescent="0.25">
      <c r="A876" s="123">
        <v>6</v>
      </c>
      <c r="B876" s="123">
        <v>6</v>
      </c>
      <c r="C876" s="123">
        <v>0</v>
      </c>
      <c r="D876" s="123">
        <v>1</v>
      </c>
      <c r="E876" s="123">
        <v>0</v>
      </c>
      <c r="F876" s="123">
        <v>5</v>
      </c>
      <c r="G876" s="123">
        <v>0</v>
      </c>
      <c r="H876" s="123">
        <v>0</v>
      </c>
      <c r="I876" s="123">
        <v>0</v>
      </c>
      <c r="J876" s="123">
        <v>0</v>
      </c>
      <c r="K876" s="123">
        <v>0</v>
      </c>
      <c r="L876" s="123">
        <v>0</v>
      </c>
      <c r="M876" s="123">
        <v>0</v>
      </c>
      <c r="N876" s="123">
        <v>0</v>
      </c>
      <c r="O876" s="123">
        <v>0</v>
      </c>
      <c r="P876" s="7" t="s">
        <v>163</v>
      </c>
      <c r="Q876" s="124"/>
      <c r="R876" s="1"/>
    </row>
    <row r="877" spans="1:18" ht="13.5" thickBot="1" x14ac:dyDescent="0.25">
      <c r="A877" s="123">
        <v>3</v>
      </c>
      <c r="B877" s="123">
        <v>3</v>
      </c>
      <c r="C877" s="123">
        <v>0</v>
      </c>
      <c r="D877" s="123">
        <v>0</v>
      </c>
      <c r="E877" s="123">
        <v>0</v>
      </c>
      <c r="F877" s="123">
        <v>0</v>
      </c>
      <c r="G877" s="123">
        <v>0</v>
      </c>
      <c r="H877" s="123">
        <v>1</v>
      </c>
      <c r="I877" s="123">
        <v>0</v>
      </c>
      <c r="J877" s="123">
        <v>2</v>
      </c>
      <c r="K877" s="123">
        <v>0</v>
      </c>
      <c r="L877" s="123">
        <v>0</v>
      </c>
      <c r="M877" s="123">
        <v>0</v>
      </c>
      <c r="N877" s="123">
        <v>0</v>
      </c>
      <c r="O877" s="123">
        <v>0</v>
      </c>
      <c r="P877" s="7" t="s">
        <v>162</v>
      </c>
      <c r="Q877" s="124" t="s">
        <v>273</v>
      </c>
      <c r="R877" s="1"/>
    </row>
    <row r="878" spans="1:18" ht="13.5" thickBot="1" x14ac:dyDescent="0.25">
      <c r="A878" s="123">
        <v>9</v>
      </c>
      <c r="B878" s="123">
        <v>9</v>
      </c>
      <c r="C878" s="123">
        <v>0</v>
      </c>
      <c r="D878" s="123">
        <v>1</v>
      </c>
      <c r="E878" s="123">
        <v>0</v>
      </c>
      <c r="F878" s="123">
        <v>5</v>
      </c>
      <c r="G878" s="123">
        <v>0</v>
      </c>
      <c r="H878" s="123">
        <v>1</v>
      </c>
      <c r="I878" s="123">
        <v>0</v>
      </c>
      <c r="J878" s="123">
        <v>2</v>
      </c>
      <c r="K878" s="123">
        <v>0</v>
      </c>
      <c r="L878" s="123">
        <v>0</v>
      </c>
      <c r="M878" s="123">
        <v>0</v>
      </c>
      <c r="N878" s="123">
        <v>0</v>
      </c>
      <c r="O878" s="123">
        <v>0</v>
      </c>
      <c r="P878" s="7" t="s">
        <v>13</v>
      </c>
      <c r="Q878" s="9"/>
      <c r="R878" s="1"/>
    </row>
    <row r="879" spans="1:18" ht="13.5" thickBot="1" x14ac:dyDescent="0.25">
      <c r="A879" s="123">
        <v>134</v>
      </c>
      <c r="B879" s="123">
        <v>79</v>
      </c>
      <c r="C879" s="123">
        <v>55</v>
      </c>
      <c r="D879" s="123">
        <v>3</v>
      </c>
      <c r="E879" s="123">
        <v>3</v>
      </c>
      <c r="F879" s="123">
        <v>50</v>
      </c>
      <c r="G879" s="123">
        <v>27</v>
      </c>
      <c r="H879" s="123">
        <v>21</v>
      </c>
      <c r="I879" s="123">
        <v>18</v>
      </c>
      <c r="J879" s="123">
        <v>5</v>
      </c>
      <c r="K879" s="123">
        <v>6</v>
      </c>
      <c r="L879" s="123">
        <v>0</v>
      </c>
      <c r="M879" s="123">
        <v>1</v>
      </c>
      <c r="N879" s="123">
        <v>0</v>
      </c>
      <c r="O879" s="123">
        <v>0</v>
      </c>
      <c r="P879" s="7" t="s">
        <v>163</v>
      </c>
      <c r="Q879" s="3"/>
      <c r="R879" s="1"/>
    </row>
    <row r="880" spans="1:18" ht="13.5" thickBot="1" x14ac:dyDescent="0.25">
      <c r="A880" s="123">
        <v>393</v>
      </c>
      <c r="B880" s="123">
        <v>133</v>
      </c>
      <c r="C880" s="123">
        <v>260</v>
      </c>
      <c r="D880" s="123">
        <v>5</v>
      </c>
      <c r="E880" s="123">
        <v>15</v>
      </c>
      <c r="F880" s="123">
        <v>0</v>
      </c>
      <c r="G880" s="123">
        <v>3</v>
      </c>
      <c r="H880" s="123">
        <v>74</v>
      </c>
      <c r="I880" s="123">
        <v>81</v>
      </c>
      <c r="J880" s="123">
        <v>50</v>
      </c>
      <c r="K880" s="123">
        <v>136</v>
      </c>
      <c r="L880" s="123">
        <v>4</v>
      </c>
      <c r="M880" s="123">
        <v>24</v>
      </c>
      <c r="N880" s="123">
        <v>0</v>
      </c>
      <c r="O880" s="123">
        <v>1</v>
      </c>
      <c r="P880" s="7" t="s">
        <v>162</v>
      </c>
      <c r="Q880" s="11" t="s">
        <v>211</v>
      </c>
      <c r="R880" s="1"/>
    </row>
    <row r="881" spans="1:18" ht="13.5" thickBot="1" x14ac:dyDescent="0.25">
      <c r="A881" s="123">
        <v>527</v>
      </c>
      <c r="B881" s="123">
        <v>212</v>
      </c>
      <c r="C881" s="123">
        <v>315</v>
      </c>
      <c r="D881" s="123">
        <v>8</v>
      </c>
      <c r="E881" s="123">
        <v>18</v>
      </c>
      <c r="F881" s="123">
        <v>50</v>
      </c>
      <c r="G881" s="123">
        <v>30</v>
      </c>
      <c r="H881" s="123">
        <v>95</v>
      </c>
      <c r="I881" s="123">
        <v>99</v>
      </c>
      <c r="J881" s="123">
        <v>55</v>
      </c>
      <c r="K881" s="123">
        <v>142</v>
      </c>
      <c r="L881" s="123">
        <v>4</v>
      </c>
      <c r="M881" s="123">
        <v>25</v>
      </c>
      <c r="N881" s="123">
        <v>0</v>
      </c>
      <c r="O881" s="123">
        <v>1</v>
      </c>
      <c r="P881" s="7" t="s">
        <v>13</v>
      </c>
      <c r="Q881" s="5"/>
      <c r="R881" s="1"/>
    </row>
    <row r="882" spans="1:18" ht="18" customHeight="1" x14ac:dyDescent="0.2">
      <c r="A882" s="207"/>
      <c r="B882" s="207"/>
      <c r="C882" s="207"/>
      <c r="D882" s="207"/>
      <c r="E882" s="207"/>
      <c r="F882" s="207"/>
      <c r="G882" s="207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1"/>
    </row>
    <row r="883" spans="1:18" ht="18" customHeight="1" x14ac:dyDescent="0.2">
      <c r="A883" s="159" t="s">
        <v>616</v>
      </c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"/>
    </row>
    <row r="884" spans="1:18" ht="18" customHeight="1" thickBot="1" x14ac:dyDescent="0.25">
      <c r="A884" s="160" t="s">
        <v>617</v>
      </c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"/>
    </row>
    <row r="885" spans="1:18" ht="13.5" thickBot="1" x14ac:dyDescent="0.25">
      <c r="A885" s="204" t="s">
        <v>5</v>
      </c>
      <c r="B885" s="204"/>
      <c r="C885" s="204"/>
      <c r="D885" s="204" t="s">
        <v>57</v>
      </c>
      <c r="E885" s="204"/>
      <c r="F885" s="204" t="s">
        <v>609</v>
      </c>
      <c r="G885" s="204"/>
      <c r="H885" s="204" t="s">
        <v>610</v>
      </c>
      <c r="I885" s="204"/>
      <c r="J885" s="204" t="s">
        <v>611</v>
      </c>
      <c r="K885" s="204"/>
      <c r="L885" s="204" t="s">
        <v>612</v>
      </c>
      <c r="M885" s="204"/>
      <c r="N885" s="204" t="s">
        <v>613</v>
      </c>
      <c r="O885" s="204"/>
      <c r="P885" s="205" t="s">
        <v>614</v>
      </c>
      <c r="Q885" s="47" t="s">
        <v>161</v>
      </c>
      <c r="R885" s="1"/>
    </row>
    <row r="886" spans="1:18" ht="13.5" thickBot="1" x14ac:dyDescent="0.25">
      <c r="A886" s="47" t="s">
        <v>216</v>
      </c>
      <c r="B886" s="47" t="s">
        <v>11</v>
      </c>
      <c r="C886" s="47" t="s">
        <v>10</v>
      </c>
      <c r="D886" s="47" t="s">
        <v>11</v>
      </c>
      <c r="E886" s="47" t="s">
        <v>10</v>
      </c>
      <c r="F886" s="47" t="s">
        <v>11</v>
      </c>
      <c r="G886" s="47" t="s">
        <v>10</v>
      </c>
      <c r="H886" s="47" t="s">
        <v>11</v>
      </c>
      <c r="I886" s="47" t="s">
        <v>10</v>
      </c>
      <c r="J886" s="47" t="s">
        <v>11</v>
      </c>
      <c r="K886" s="47" t="s">
        <v>10</v>
      </c>
      <c r="L886" s="47" t="s">
        <v>11</v>
      </c>
      <c r="M886" s="47" t="s">
        <v>10</v>
      </c>
      <c r="N886" s="47" t="s">
        <v>11</v>
      </c>
      <c r="O886" s="47" t="s">
        <v>10</v>
      </c>
      <c r="P886" s="206"/>
      <c r="Q886" s="33" t="s">
        <v>124</v>
      </c>
      <c r="R886" s="1"/>
    </row>
    <row r="887" spans="1:18" ht="13.5" thickBot="1" x14ac:dyDescent="0.25">
      <c r="A887" s="123">
        <v>4</v>
      </c>
      <c r="B887" s="123">
        <v>0</v>
      </c>
      <c r="C887" s="123">
        <v>4</v>
      </c>
      <c r="D887" s="123">
        <v>0</v>
      </c>
      <c r="E887" s="123">
        <v>0</v>
      </c>
      <c r="F887" s="123">
        <v>0</v>
      </c>
      <c r="G887" s="123">
        <v>3</v>
      </c>
      <c r="H887" s="123">
        <v>0</v>
      </c>
      <c r="I887" s="123">
        <v>0</v>
      </c>
      <c r="J887" s="123">
        <v>0</v>
      </c>
      <c r="K887" s="123">
        <v>0</v>
      </c>
      <c r="L887" s="123">
        <v>0</v>
      </c>
      <c r="M887" s="123">
        <v>0</v>
      </c>
      <c r="N887" s="123">
        <v>0</v>
      </c>
      <c r="O887" s="123">
        <v>1</v>
      </c>
      <c r="P887" s="7" t="s">
        <v>163</v>
      </c>
      <c r="Q887" s="124"/>
      <c r="R887" s="1"/>
    </row>
    <row r="888" spans="1:18" ht="13.5" thickBot="1" x14ac:dyDescent="0.25">
      <c r="A888" s="123">
        <v>5</v>
      </c>
      <c r="B888" s="123">
        <v>0</v>
      </c>
      <c r="C888" s="123">
        <v>5</v>
      </c>
      <c r="D888" s="123">
        <v>0</v>
      </c>
      <c r="E888" s="123">
        <v>0</v>
      </c>
      <c r="F888" s="123">
        <v>0</v>
      </c>
      <c r="G888" s="123">
        <v>0</v>
      </c>
      <c r="H888" s="123">
        <v>0</v>
      </c>
      <c r="I888" s="123">
        <v>2</v>
      </c>
      <c r="J888" s="123">
        <v>0</v>
      </c>
      <c r="K888" s="123">
        <v>2</v>
      </c>
      <c r="L888" s="123">
        <v>0</v>
      </c>
      <c r="M888" s="123">
        <v>1</v>
      </c>
      <c r="N888" s="123">
        <v>0</v>
      </c>
      <c r="O888" s="123">
        <v>0</v>
      </c>
      <c r="P888" s="7" t="s">
        <v>162</v>
      </c>
      <c r="Q888" s="124" t="s">
        <v>359</v>
      </c>
      <c r="R888" s="1"/>
    </row>
    <row r="889" spans="1:18" ht="13.5" thickBot="1" x14ac:dyDescent="0.25">
      <c r="A889" s="123">
        <v>9</v>
      </c>
      <c r="B889" s="123">
        <v>0</v>
      </c>
      <c r="C889" s="123">
        <v>9</v>
      </c>
      <c r="D889" s="123">
        <v>0</v>
      </c>
      <c r="E889" s="123">
        <v>0</v>
      </c>
      <c r="F889" s="123">
        <v>0</v>
      </c>
      <c r="G889" s="123">
        <v>3</v>
      </c>
      <c r="H889" s="123">
        <v>0</v>
      </c>
      <c r="I889" s="123">
        <v>2</v>
      </c>
      <c r="J889" s="123">
        <v>0</v>
      </c>
      <c r="K889" s="123">
        <v>2</v>
      </c>
      <c r="L889" s="123">
        <v>0</v>
      </c>
      <c r="M889" s="123">
        <v>1</v>
      </c>
      <c r="N889" s="123">
        <v>0</v>
      </c>
      <c r="O889" s="123">
        <v>1</v>
      </c>
      <c r="P889" s="7" t="s">
        <v>13</v>
      </c>
      <c r="Q889" s="9"/>
      <c r="R889" s="1"/>
    </row>
    <row r="890" spans="1:18" ht="13.5" thickBot="1" x14ac:dyDescent="0.25">
      <c r="A890" s="123">
        <v>4</v>
      </c>
      <c r="B890" s="123">
        <v>4</v>
      </c>
      <c r="C890" s="123">
        <v>0</v>
      </c>
      <c r="D890" s="123">
        <v>0</v>
      </c>
      <c r="E890" s="123">
        <v>0</v>
      </c>
      <c r="F890" s="123">
        <v>2</v>
      </c>
      <c r="G890" s="123">
        <v>0</v>
      </c>
      <c r="H890" s="123">
        <v>2</v>
      </c>
      <c r="I890" s="123">
        <v>0</v>
      </c>
      <c r="J890" s="123">
        <v>0</v>
      </c>
      <c r="K890" s="123">
        <v>0</v>
      </c>
      <c r="L890" s="123">
        <v>0</v>
      </c>
      <c r="M890" s="123">
        <v>0</v>
      </c>
      <c r="N890" s="123">
        <v>0</v>
      </c>
      <c r="O890" s="123">
        <v>0</v>
      </c>
      <c r="P890" s="7" t="s">
        <v>163</v>
      </c>
      <c r="Q890" s="124"/>
      <c r="R890" s="1"/>
    </row>
    <row r="891" spans="1:18" ht="13.5" thickBot="1" x14ac:dyDescent="0.25">
      <c r="A891" s="123">
        <v>10</v>
      </c>
      <c r="B891" s="123">
        <v>1</v>
      </c>
      <c r="C891" s="123">
        <v>9</v>
      </c>
      <c r="D891" s="123">
        <v>0</v>
      </c>
      <c r="E891" s="123">
        <v>0</v>
      </c>
      <c r="F891" s="123">
        <v>0</v>
      </c>
      <c r="G891" s="123">
        <v>0</v>
      </c>
      <c r="H891" s="123">
        <v>0</v>
      </c>
      <c r="I891" s="123">
        <v>0</v>
      </c>
      <c r="J891" s="123">
        <v>1</v>
      </c>
      <c r="K891" s="123">
        <v>5</v>
      </c>
      <c r="L891" s="123">
        <v>0</v>
      </c>
      <c r="M891" s="123">
        <v>3</v>
      </c>
      <c r="N891" s="123">
        <v>0</v>
      </c>
      <c r="O891" s="123">
        <v>1</v>
      </c>
      <c r="P891" s="7" t="s">
        <v>162</v>
      </c>
      <c r="Q891" s="124" t="s">
        <v>264</v>
      </c>
      <c r="R891" s="1"/>
    </row>
    <row r="892" spans="1:18" ht="13.5" thickBot="1" x14ac:dyDescent="0.25">
      <c r="A892" s="123">
        <v>14</v>
      </c>
      <c r="B892" s="123">
        <v>5</v>
      </c>
      <c r="C892" s="123">
        <v>9</v>
      </c>
      <c r="D892" s="123">
        <v>0</v>
      </c>
      <c r="E892" s="123">
        <v>0</v>
      </c>
      <c r="F892" s="123">
        <v>2</v>
      </c>
      <c r="G892" s="123">
        <v>0</v>
      </c>
      <c r="H892" s="123">
        <v>2</v>
      </c>
      <c r="I892" s="123">
        <v>0</v>
      </c>
      <c r="J892" s="123">
        <v>1</v>
      </c>
      <c r="K892" s="123">
        <v>5</v>
      </c>
      <c r="L892" s="123">
        <v>0</v>
      </c>
      <c r="M892" s="123">
        <v>3</v>
      </c>
      <c r="N892" s="123">
        <v>0</v>
      </c>
      <c r="O892" s="123">
        <v>1</v>
      </c>
      <c r="P892" s="7" t="s">
        <v>13</v>
      </c>
      <c r="Q892" s="9"/>
      <c r="R892" s="1"/>
    </row>
    <row r="893" spans="1:18" ht="13.5" thickBot="1" x14ac:dyDescent="0.25">
      <c r="A893" s="123">
        <v>48</v>
      </c>
      <c r="B893" s="123">
        <v>48</v>
      </c>
      <c r="C893" s="123">
        <v>0</v>
      </c>
      <c r="D893" s="123">
        <v>0</v>
      </c>
      <c r="E893" s="123">
        <v>0</v>
      </c>
      <c r="F893" s="123">
        <v>34</v>
      </c>
      <c r="G893" s="123">
        <v>0</v>
      </c>
      <c r="H893" s="123">
        <v>10</v>
      </c>
      <c r="I893" s="123">
        <v>0</v>
      </c>
      <c r="J893" s="123">
        <v>4</v>
      </c>
      <c r="K893" s="123">
        <v>0</v>
      </c>
      <c r="L893" s="123">
        <v>0</v>
      </c>
      <c r="M893" s="123">
        <v>0</v>
      </c>
      <c r="N893" s="123">
        <v>0</v>
      </c>
      <c r="O893" s="123">
        <v>0</v>
      </c>
      <c r="P893" s="7" t="s">
        <v>163</v>
      </c>
      <c r="Q893" s="124"/>
      <c r="R893" s="1"/>
    </row>
    <row r="894" spans="1:18" ht="13.5" thickBot="1" x14ac:dyDescent="0.25">
      <c r="A894" s="123">
        <v>32</v>
      </c>
      <c r="B894" s="123">
        <v>26</v>
      </c>
      <c r="C894" s="123">
        <v>6</v>
      </c>
      <c r="D894" s="123">
        <v>0</v>
      </c>
      <c r="E894" s="123">
        <v>0</v>
      </c>
      <c r="F894" s="123">
        <v>0</v>
      </c>
      <c r="G894" s="123">
        <v>0</v>
      </c>
      <c r="H894" s="123">
        <v>3</v>
      </c>
      <c r="I894" s="123">
        <v>0</v>
      </c>
      <c r="J894" s="123">
        <v>20</v>
      </c>
      <c r="K894" s="123">
        <v>5</v>
      </c>
      <c r="L894" s="123">
        <v>3</v>
      </c>
      <c r="M894" s="123">
        <v>1</v>
      </c>
      <c r="N894" s="123">
        <v>0</v>
      </c>
      <c r="O894" s="123">
        <v>0</v>
      </c>
      <c r="P894" s="7" t="s">
        <v>162</v>
      </c>
      <c r="Q894" s="124" t="s">
        <v>491</v>
      </c>
      <c r="R894" s="1"/>
    </row>
    <row r="895" spans="1:18" ht="13.5" thickBot="1" x14ac:dyDescent="0.25">
      <c r="A895" s="123">
        <v>80</v>
      </c>
      <c r="B895" s="123">
        <v>74</v>
      </c>
      <c r="C895" s="123">
        <v>6</v>
      </c>
      <c r="D895" s="123">
        <v>0</v>
      </c>
      <c r="E895" s="123">
        <v>0</v>
      </c>
      <c r="F895" s="123">
        <v>34</v>
      </c>
      <c r="G895" s="123">
        <v>0</v>
      </c>
      <c r="H895" s="123">
        <v>13</v>
      </c>
      <c r="I895" s="123">
        <v>0</v>
      </c>
      <c r="J895" s="123">
        <v>24</v>
      </c>
      <c r="K895" s="123">
        <v>5</v>
      </c>
      <c r="L895" s="123">
        <v>3</v>
      </c>
      <c r="M895" s="123">
        <v>1</v>
      </c>
      <c r="N895" s="123">
        <v>0</v>
      </c>
      <c r="O895" s="123">
        <v>0</v>
      </c>
      <c r="P895" s="7" t="s">
        <v>13</v>
      </c>
      <c r="Q895" s="9"/>
      <c r="R895" s="1"/>
    </row>
    <row r="896" spans="1:18" ht="13.5" thickBot="1" x14ac:dyDescent="0.25">
      <c r="A896" s="123">
        <v>69</v>
      </c>
      <c r="B896" s="123">
        <v>69</v>
      </c>
      <c r="C896" s="123">
        <v>0</v>
      </c>
      <c r="D896" s="123">
        <v>0</v>
      </c>
      <c r="E896" s="123">
        <v>0</v>
      </c>
      <c r="F896" s="123">
        <v>37</v>
      </c>
      <c r="G896" s="123">
        <v>0</v>
      </c>
      <c r="H896" s="123">
        <v>15</v>
      </c>
      <c r="I896" s="123">
        <v>0</v>
      </c>
      <c r="J896" s="123">
        <v>16</v>
      </c>
      <c r="K896" s="123">
        <v>0</v>
      </c>
      <c r="L896" s="123">
        <v>1</v>
      </c>
      <c r="M896" s="123">
        <v>0</v>
      </c>
      <c r="N896" s="123">
        <v>0</v>
      </c>
      <c r="O896" s="123">
        <v>0</v>
      </c>
      <c r="P896" s="7" t="s">
        <v>163</v>
      </c>
      <c r="Q896" s="124"/>
      <c r="R896" s="1"/>
    </row>
    <row r="897" spans="1:18" ht="13.5" thickBot="1" x14ac:dyDescent="0.25">
      <c r="A897" s="123">
        <v>39</v>
      </c>
      <c r="B897" s="123">
        <v>24</v>
      </c>
      <c r="C897" s="123">
        <v>15</v>
      </c>
      <c r="D897" s="123">
        <v>0</v>
      </c>
      <c r="E897" s="123">
        <v>0</v>
      </c>
      <c r="F897" s="123">
        <v>0</v>
      </c>
      <c r="G897" s="123">
        <v>0</v>
      </c>
      <c r="H897" s="123">
        <v>8</v>
      </c>
      <c r="I897" s="123">
        <v>1</v>
      </c>
      <c r="J897" s="123">
        <v>15</v>
      </c>
      <c r="K897" s="123">
        <v>9</v>
      </c>
      <c r="L897" s="123">
        <v>1</v>
      </c>
      <c r="M897" s="123">
        <v>5</v>
      </c>
      <c r="N897" s="123">
        <v>0</v>
      </c>
      <c r="O897" s="123">
        <v>0</v>
      </c>
      <c r="P897" s="7" t="s">
        <v>162</v>
      </c>
      <c r="Q897" s="124" t="s">
        <v>492</v>
      </c>
      <c r="R897" s="1"/>
    </row>
    <row r="898" spans="1:18" ht="13.5" thickBot="1" x14ac:dyDescent="0.25">
      <c r="A898" s="123">
        <v>108</v>
      </c>
      <c r="B898" s="123">
        <v>93</v>
      </c>
      <c r="C898" s="123">
        <v>15</v>
      </c>
      <c r="D898" s="123">
        <v>0</v>
      </c>
      <c r="E898" s="123">
        <v>0</v>
      </c>
      <c r="F898" s="123">
        <v>37</v>
      </c>
      <c r="G898" s="123">
        <v>0</v>
      </c>
      <c r="H898" s="123">
        <v>23</v>
      </c>
      <c r="I898" s="123">
        <v>1</v>
      </c>
      <c r="J898" s="123">
        <v>31</v>
      </c>
      <c r="K898" s="123">
        <v>9</v>
      </c>
      <c r="L898" s="123">
        <v>2</v>
      </c>
      <c r="M898" s="123">
        <v>5</v>
      </c>
      <c r="N898" s="123">
        <v>0</v>
      </c>
      <c r="O898" s="123">
        <v>0</v>
      </c>
      <c r="P898" s="7" t="s">
        <v>13</v>
      </c>
      <c r="Q898" s="9"/>
      <c r="R898" s="1"/>
    </row>
    <row r="899" spans="1:18" ht="13.5" thickBot="1" x14ac:dyDescent="0.25">
      <c r="A899" s="123">
        <v>49</v>
      </c>
      <c r="B899" s="123">
        <v>0</v>
      </c>
      <c r="C899" s="123">
        <v>49</v>
      </c>
      <c r="D899" s="123">
        <v>0</v>
      </c>
      <c r="E899" s="123">
        <v>4</v>
      </c>
      <c r="F899" s="123">
        <v>0</v>
      </c>
      <c r="G899" s="123">
        <v>15</v>
      </c>
      <c r="H899" s="123">
        <v>0</v>
      </c>
      <c r="I899" s="123">
        <v>16</v>
      </c>
      <c r="J899" s="123">
        <v>0</v>
      </c>
      <c r="K899" s="123">
        <v>12</v>
      </c>
      <c r="L899" s="123">
        <v>0</v>
      </c>
      <c r="M899" s="123">
        <v>0</v>
      </c>
      <c r="N899" s="123">
        <v>0</v>
      </c>
      <c r="O899" s="123">
        <v>2</v>
      </c>
      <c r="P899" s="7" t="s">
        <v>163</v>
      </c>
      <c r="Q899" s="124"/>
      <c r="R899" s="1"/>
    </row>
    <row r="900" spans="1:18" ht="13.5" thickBot="1" x14ac:dyDescent="0.25">
      <c r="A900" s="123">
        <v>45</v>
      </c>
      <c r="B900" s="123">
        <v>0</v>
      </c>
      <c r="C900" s="123">
        <v>45</v>
      </c>
      <c r="D900" s="123">
        <v>0</v>
      </c>
      <c r="E900" s="123">
        <v>8</v>
      </c>
      <c r="F900" s="123">
        <v>0</v>
      </c>
      <c r="G900" s="123">
        <v>1</v>
      </c>
      <c r="H900" s="123">
        <v>0</v>
      </c>
      <c r="I900" s="123">
        <v>4</v>
      </c>
      <c r="J900" s="123">
        <v>0</v>
      </c>
      <c r="K900" s="123">
        <v>31</v>
      </c>
      <c r="L900" s="123">
        <v>0</v>
      </c>
      <c r="M900" s="123">
        <v>1</v>
      </c>
      <c r="N900" s="123">
        <v>0</v>
      </c>
      <c r="O900" s="123">
        <v>0</v>
      </c>
      <c r="P900" s="7" t="s">
        <v>162</v>
      </c>
      <c r="Q900" s="124" t="s">
        <v>247</v>
      </c>
      <c r="R900" s="1"/>
    </row>
    <row r="901" spans="1:18" ht="13.5" thickBot="1" x14ac:dyDescent="0.25">
      <c r="A901" s="123">
        <v>94</v>
      </c>
      <c r="B901" s="123">
        <v>0</v>
      </c>
      <c r="C901" s="123">
        <v>94</v>
      </c>
      <c r="D901" s="123">
        <v>0</v>
      </c>
      <c r="E901" s="123">
        <v>12</v>
      </c>
      <c r="F901" s="123">
        <v>0</v>
      </c>
      <c r="G901" s="123">
        <v>16</v>
      </c>
      <c r="H901" s="123">
        <v>0</v>
      </c>
      <c r="I901" s="123">
        <v>20</v>
      </c>
      <c r="J901" s="123">
        <v>0</v>
      </c>
      <c r="K901" s="123">
        <v>43</v>
      </c>
      <c r="L901" s="123">
        <v>0</v>
      </c>
      <c r="M901" s="123">
        <v>1</v>
      </c>
      <c r="N901" s="123">
        <v>0</v>
      </c>
      <c r="O901" s="123">
        <v>2</v>
      </c>
      <c r="P901" s="7" t="s">
        <v>13</v>
      </c>
      <c r="Q901" s="9"/>
      <c r="R901" s="1"/>
    </row>
    <row r="902" spans="1:18" ht="13.5" thickBot="1" x14ac:dyDescent="0.25">
      <c r="A902" s="123">
        <v>4</v>
      </c>
      <c r="B902" s="123">
        <v>0</v>
      </c>
      <c r="C902" s="123">
        <v>4</v>
      </c>
      <c r="D902" s="123">
        <v>0</v>
      </c>
      <c r="E902" s="123">
        <v>2</v>
      </c>
      <c r="F902" s="123">
        <v>0</v>
      </c>
      <c r="G902" s="123">
        <v>2</v>
      </c>
      <c r="H902" s="123">
        <v>0</v>
      </c>
      <c r="I902" s="123">
        <v>0</v>
      </c>
      <c r="J902" s="123">
        <v>0</v>
      </c>
      <c r="K902" s="123">
        <v>0</v>
      </c>
      <c r="L902" s="123">
        <v>0</v>
      </c>
      <c r="M902" s="123">
        <v>0</v>
      </c>
      <c r="N902" s="123">
        <v>0</v>
      </c>
      <c r="O902" s="123">
        <v>0</v>
      </c>
      <c r="P902" s="7" t="s">
        <v>163</v>
      </c>
      <c r="Q902" s="124"/>
      <c r="R902" s="1"/>
    </row>
    <row r="903" spans="1:18" ht="13.5" thickBot="1" x14ac:dyDescent="0.25">
      <c r="A903" s="123">
        <v>13</v>
      </c>
      <c r="B903" s="123">
        <v>0</v>
      </c>
      <c r="C903" s="123">
        <v>13</v>
      </c>
      <c r="D903" s="123">
        <v>0</v>
      </c>
      <c r="E903" s="123">
        <v>6</v>
      </c>
      <c r="F903" s="123">
        <v>0</v>
      </c>
      <c r="G903" s="123">
        <v>0</v>
      </c>
      <c r="H903" s="123">
        <v>0</v>
      </c>
      <c r="I903" s="123">
        <v>3</v>
      </c>
      <c r="J903" s="123">
        <v>0</v>
      </c>
      <c r="K903" s="123">
        <v>4</v>
      </c>
      <c r="L903" s="123">
        <v>0</v>
      </c>
      <c r="M903" s="123">
        <v>0</v>
      </c>
      <c r="N903" s="123">
        <v>0</v>
      </c>
      <c r="O903" s="123">
        <v>0</v>
      </c>
      <c r="P903" s="7" t="s">
        <v>162</v>
      </c>
      <c r="Q903" s="124" t="s">
        <v>274</v>
      </c>
      <c r="R903" s="1"/>
    </row>
    <row r="904" spans="1:18" ht="13.5" thickBot="1" x14ac:dyDescent="0.25">
      <c r="A904" s="123">
        <v>17</v>
      </c>
      <c r="B904" s="123">
        <v>0</v>
      </c>
      <c r="C904" s="123">
        <v>17</v>
      </c>
      <c r="D904" s="123">
        <v>0</v>
      </c>
      <c r="E904" s="123">
        <v>8</v>
      </c>
      <c r="F904" s="123">
        <v>0</v>
      </c>
      <c r="G904" s="123">
        <v>2</v>
      </c>
      <c r="H904" s="123">
        <v>0</v>
      </c>
      <c r="I904" s="123">
        <v>3</v>
      </c>
      <c r="J904" s="123">
        <v>0</v>
      </c>
      <c r="K904" s="123">
        <v>4</v>
      </c>
      <c r="L904" s="123">
        <v>0</v>
      </c>
      <c r="M904" s="123">
        <v>0</v>
      </c>
      <c r="N904" s="123">
        <v>0</v>
      </c>
      <c r="O904" s="123">
        <v>0</v>
      </c>
      <c r="P904" s="7" t="s">
        <v>13</v>
      </c>
      <c r="Q904" s="9"/>
      <c r="R904" s="1"/>
    </row>
    <row r="905" spans="1:18" ht="13.5" thickBot="1" x14ac:dyDescent="0.25">
      <c r="A905" s="123">
        <v>2</v>
      </c>
      <c r="B905" s="123">
        <v>0</v>
      </c>
      <c r="C905" s="123">
        <v>2</v>
      </c>
      <c r="D905" s="123">
        <v>0</v>
      </c>
      <c r="E905" s="123">
        <v>0</v>
      </c>
      <c r="F905" s="123">
        <v>0</v>
      </c>
      <c r="G905" s="123">
        <v>2</v>
      </c>
      <c r="H905" s="123">
        <v>0</v>
      </c>
      <c r="I905" s="123">
        <v>0</v>
      </c>
      <c r="J905" s="123">
        <v>0</v>
      </c>
      <c r="K905" s="123">
        <v>0</v>
      </c>
      <c r="L905" s="123">
        <v>0</v>
      </c>
      <c r="M905" s="123">
        <v>0</v>
      </c>
      <c r="N905" s="123">
        <v>0</v>
      </c>
      <c r="O905" s="123">
        <v>0</v>
      </c>
      <c r="P905" s="7" t="s">
        <v>163</v>
      </c>
      <c r="Q905" s="124"/>
      <c r="R905" s="1"/>
    </row>
    <row r="906" spans="1:18" ht="13.5" thickBot="1" x14ac:dyDescent="0.25">
      <c r="A906" s="123">
        <v>1</v>
      </c>
      <c r="B906" s="123">
        <v>0</v>
      </c>
      <c r="C906" s="123">
        <v>1</v>
      </c>
      <c r="D906" s="123">
        <v>0</v>
      </c>
      <c r="E906" s="123">
        <v>0</v>
      </c>
      <c r="F906" s="123">
        <v>0</v>
      </c>
      <c r="G906" s="123">
        <v>0</v>
      </c>
      <c r="H906" s="123">
        <v>0</v>
      </c>
      <c r="I906" s="123">
        <v>1</v>
      </c>
      <c r="J906" s="123">
        <v>0</v>
      </c>
      <c r="K906" s="123">
        <v>0</v>
      </c>
      <c r="L906" s="123">
        <v>0</v>
      </c>
      <c r="M906" s="123">
        <v>0</v>
      </c>
      <c r="N906" s="123">
        <v>0</v>
      </c>
      <c r="O906" s="123">
        <v>0</v>
      </c>
      <c r="P906" s="7" t="s">
        <v>162</v>
      </c>
      <c r="Q906" s="124" t="s">
        <v>263</v>
      </c>
      <c r="R906" s="1"/>
    </row>
    <row r="907" spans="1:18" ht="13.5" thickBot="1" x14ac:dyDescent="0.25">
      <c r="A907" s="123">
        <v>3</v>
      </c>
      <c r="B907" s="123">
        <v>0</v>
      </c>
      <c r="C907" s="123">
        <v>3</v>
      </c>
      <c r="D907" s="123">
        <v>0</v>
      </c>
      <c r="E907" s="123">
        <v>0</v>
      </c>
      <c r="F907" s="123">
        <v>0</v>
      </c>
      <c r="G907" s="123">
        <v>2</v>
      </c>
      <c r="H907" s="123">
        <v>0</v>
      </c>
      <c r="I907" s="123">
        <v>1</v>
      </c>
      <c r="J907" s="123">
        <v>0</v>
      </c>
      <c r="K907" s="123">
        <v>0</v>
      </c>
      <c r="L907" s="123">
        <v>0</v>
      </c>
      <c r="M907" s="123">
        <v>0</v>
      </c>
      <c r="N907" s="123">
        <v>0</v>
      </c>
      <c r="O907" s="123">
        <v>0</v>
      </c>
      <c r="P907" s="7" t="s">
        <v>13</v>
      </c>
      <c r="Q907" s="9"/>
      <c r="R907" s="1"/>
    </row>
    <row r="908" spans="1:18" ht="13.5" thickBot="1" x14ac:dyDescent="0.25">
      <c r="A908" s="123">
        <v>1</v>
      </c>
      <c r="B908" s="123">
        <v>1</v>
      </c>
      <c r="C908" s="123">
        <v>0</v>
      </c>
      <c r="D908" s="123">
        <v>0</v>
      </c>
      <c r="E908" s="123">
        <v>0</v>
      </c>
      <c r="F908" s="123">
        <v>0</v>
      </c>
      <c r="G908" s="123">
        <v>0</v>
      </c>
      <c r="H908" s="123">
        <v>0</v>
      </c>
      <c r="I908" s="123">
        <v>0</v>
      </c>
      <c r="J908" s="123">
        <v>1</v>
      </c>
      <c r="K908" s="123">
        <v>0</v>
      </c>
      <c r="L908" s="123">
        <v>0</v>
      </c>
      <c r="M908" s="123">
        <v>0</v>
      </c>
      <c r="N908" s="123">
        <v>0</v>
      </c>
      <c r="O908" s="123">
        <v>0</v>
      </c>
      <c r="P908" s="7" t="s">
        <v>163</v>
      </c>
      <c r="Q908" s="124"/>
      <c r="R908" s="1"/>
    </row>
    <row r="909" spans="1:18" ht="13.5" thickBot="1" x14ac:dyDescent="0.25">
      <c r="A909" s="123">
        <v>0</v>
      </c>
      <c r="B909" s="123">
        <v>0</v>
      </c>
      <c r="C909" s="123">
        <v>0</v>
      </c>
      <c r="D909" s="123">
        <v>0</v>
      </c>
      <c r="E909" s="123">
        <v>0</v>
      </c>
      <c r="F909" s="123">
        <v>0</v>
      </c>
      <c r="G909" s="123">
        <v>0</v>
      </c>
      <c r="H909" s="123">
        <v>0</v>
      </c>
      <c r="I909" s="123">
        <v>0</v>
      </c>
      <c r="J909" s="123">
        <v>0</v>
      </c>
      <c r="K909" s="123">
        <v>0</v>
      </c>
      <c r="L909" s="123">
        <v>0</v>
      </c>
      <c r="M909" s="123">
        <v>0</v>
      </c>
      <c r="N909" s="123">
        <v>0</v>
      </c>
      <c r="O909" s="123">
        <v>0</v>
      </c>
      <c r="P909" s="7" t="s">
        <v>162</v>
      </c>
      <c r="Q909" s="124" t="s">
        <v>275</v>
      </c>
      <c r="R909" s="1"/>
    </row>
    <row r="910" spans="1:18" ht="13.5" thickBot="1" x14ac:dyDescent="0.25">
      <c r="A910" s="123">
        <v>1</v>
      </c>
      <c r="B910" s="123">
        <v>1</v>
      </c>
      <c r="C910" s="123">
        <v>0</v>
      </c>
      <c r="D910" s="123">
        <v>0</v>
      </c>
      <c r="E910" s="123">
        <v>0</v>
      </c>
      <c r="F910" s="123">
        <v>0</v>
      </c>
      <c r="G910" s="123">
        <v>0</v>
      </c>
      <c r="H910" s="123">
        <v>0</v>
      </c>
      <c r="I910" s="123">
        <v>0</v>
      </c>
      <c r="J910" s="123">
        <v>1</v>
      </c>
      <c r="K910" s="123">
        <v>0</v>
      </c>
      <c r="L910" s="123">
        <v>0</v>
      </c>
      <c r="M910" s="123">
        <v>0</v>
      </c>
      <c r="N910" s="123">
        <v>0</v>
      </c>
      <c r="O910" s="123">
        <v>0</v>
      </c>
      <c r="P910" s="7" t="s">
        <v>13</v>
      </c>
      <c r="Q910" s="9"/>
      <c r="R910" s="1"/>
    </row>
    <row r="911" spans="1:18" ht="13.5" thickBot="1" x14ac:dyDescent="0.25">
      <c r="A911" s="123">
        <v>6</v>
      </c>
      <c r="B911" s="123">
        <v>6</v>
      </c>
      <c r="C911" s="123">
        <v>0</v>
      </c>
      <c r="D911" s="123">
        <v>4</v>
      </c>
      <c r="E911" s="123">
        <v>0</v>
      </c>
      <c r="F911" s="123">
        <v>2</v>
      </c>
      <c r="G911" s="123">
        <v>0</v>
      </c>
      <c r="H911" s="123">
        <v>0</v>
      </c>
      <c r="I911" s="123">
        <v>0</v>
      </c>
      <c r="J911" s="123">
        <v>0</v>
      </c>
      <c r="K911" s="123">
        <v>0</v>
      </c>
      <c r="L911" s="123">
        <v>0</v>
      </c>
      <c r="M911" s="123">
        <v>0</v>
      </c>
      <c r="N911" s="123">
        <v>0</v>
      </c>
      <c r="O911" s="123">
        <v>0</v>
      </c>
      <c r="P911" s="7" t="s">
        <v>163</v>
      </c>
      <c r="Q911" s="124"/>
      <c r="R911" s="1"/>
    </row>
    <row r="912" spans="1:18" ht="13.5" thickBot="1" x14ac:dyDescent="0.25">
      <c r="A912" s="123">
        <v>7</v>
      </c>
      <c r="B912" s="123">
        <v>7</v>
      </c>
      <c r="C912" s="123">
        <v>0</v>
      </c>
      <c r="D912" s="123">
        <v>1</v>
      </c>
      <c r="E912" s="123">
        <v>0</v>
      </c>
      <c r="F912" s="123">
        <v>0</v>
      </c>
      <c r="G912" s="123">
        <v>0</v>
      </c>
      <c r="H912" s="123">
        <v>4</v>
      </c>
      <c r="I912" s="123">
        <v>0</v>
      </c>
      <c r="J912" s="123">
        <v>2</v>
      </c>
      <c r="K912" s="123">
        <v>0</v>
      </c>
      <c r="L912" s="123">
        <v>0</v>
      </c>
      <c r="M912" s="123">
        <v>0</v>
      </c>
      <c r="N912" s="123">
        <v>0</v>
      </c>
      <c r="O912" s="123">
        <v>0</v>
      </c>
      <c r="P912" s="7" t="s">
        <v>162</v>
      </c>
      <c r="Q912" s="124" t="s">
        <v>276</v>
      </c>
      <c r="R912" s="1"/>
    </row>
    <row r="913" spans="1:18" ht="13.5" thickBot="1" x14ac:dyDescent="0.25">
      <c r="A913" s="123">
        <v>13</v>
      </c>
      <c r="B913" s="123">
        <v>13</v>
      </c>
      <c r="C913" s="123">
        <v>0</v>
      </c>
      <c r="D913" s="123">
        <v>5</v>
      </c>
      <c r="E913" s="123">
        <v>0</v>
      </c>
      <c r="F913" s="123">
        <v>2</v>
      </c>
      <c r="G913" s="123">
        <v>0</v>
      </c>
      <c r="H913" s="123">
        <v>4</v>
      </c>
      <c r="I913" s="123">
        <v>0</v>
      </c>
      <c r="J913" s="123">
        <v>2</v>
      </c>
      <c r="K913" s="123">
        <v>0</v>
      </c>
      <c r="L913" s="123">
        <v>0</v>
      </c>
      <c r="M913" s="123">
        <v>0</v>
      </c>
      <c r="N913" s="123">
        <v>0</v>
      </c>
      <c r="O913" s="123">
        <v>0</v>
      </c>
      <c r="P913" s="7" t="s">
        <v>13</v>
      </c>
      <c r="Q913" s="9"/>
      <c r="R913" s="1"/>
    </row>
    <row r="914" spans="1:18" ht="13.5" thickBot="1" x14ac:dyDescent="0.25">
      <c r="A914" s="123">
        <v>18</v>
      </c>
      <c r="B914" s="123">
        <v>18</v>
      </c>
      <c r="C914" s="123">
        <v>0</v>
      </c>
      <c r="D914" s="123">
        <v>1</v>
      </c>
      <c r="E914" s="123">
        <v>0</v>
      </c>
      <c r="F914" s="123">
        <v>15</v>
      </c>
      <c r="G914" s="123">
        <v>0</v>
      </c>
      <c r="H914" s="123">
        <v>1</v>
      </c>
      <c r="I914" s="123">
        <v>0</v>
      </c>
      <c r="J914" s="123">
        <v>1</v>
      </c>
      <c r="K914" s="123">
        <v>0</v>
      </c>
      <c r="L914" s="123">
        <v>0</v>
      </c>
      <c r="M914" s="123">
        <v>0</v>
      </c>
      <c r="N914" s="123">
        <v>0</v>
      </c>
      <c r="O914" s="123">
        <v>0</v>
      </c>
      <c r="P914" s="7" t="s">
        <v>163</v>
      </c>
      <c r="Q914" s="124"/>
      <c r="R914" s="1"/>
    </row>
    <row r="915" spans="1:18" ht="13.5" thickBot="1" x14ac:dyDescent="0.25">
      <c r="A915" s="123">
        <v>31</v>
      </c>
      <c r="B915" s="123">
        <v>28</v>
      </c>
      <c r="C915" s="123">
        <v>3</v>
      </c>
      <c r="D915" s="123">
        <v>0</v>
      </c>
      <c r="E915" s="123">
        <v>0</v>
      </c>
      <c r="F915" s="123">
        <v>0</v>
      </c>
      <c r="G915" s="123">
        <v>0</v>
      </c>
      <c r="H915" s="123">
        <v>16</v>
      </c>
      <c r="I915" s="123">
        <v>0</v>
      </c>
      <c r="J915" s="123">
        <v>10</v>
      </c>
      <c r="K915" s="123">
        <v>3</v>
      </c>
      <c r="L915" s="123">
        <v>1</v>
      </c>
      <c r="M915" s="123">
        <v>0</v>
      </c>
      <c r="N915" s="123">
        <v>1</v>
      </c>
      <c r="O915" s="123">
        <v>0</v>
      </c>
      <c r="P915" s="7" t="s">
        <v>162</v>
      </c>
      <c r="Q915" s="124" t="s">
        <v>493</v>
      </c>
      <c r="R915" s="1"/>
    </row>
    <row r="916" spans="1:18" ht="13.5" thickBot="1" x14ac:dyDescent="0.25">
      <c r="A916" s="123">
        <v>49</v>
      </c>
      <c r="B916" s="123">
        <v>46</v>
      </c>
      <c r="C916" s="123">
        <v>3</v>
      </c>
      <c r="D916" s="123">
        <v>1</v>
      </c>
      <c r="E916" s="123">
        <v>0</v>
      </c>
      <c r="F916" s="123">
        <v>15</v>
      </c>
      <c r="G916" s="123">
        <v>0</v>
      </c>
      <c r="H916" s="123">
        <v>17</v>
      </c>
      <c r="I916" s="123">
        <v>0</v>
      </c>
      <c r="J916" s="123">
        <v>11</v>
      </c>
      <c r="K916" s="123">
        <v>3</v>
      </c>
      <c r="L916" s="123">
        <v>1</v>
      </c>
      <c r="M916" s="123">
        <v>0</v>
      </c>
      <c r="N916" s="123">
        <v>1</v>
      </c>
      <c r="O916" s="123">
        <v>0</v>
      </c>
      <c r="P916" s="7" t="s">
        <v>13</v>
      </c>
      <c r="Q916" s="9"/>
      <c r="R916" s="1"/>
    </row>
    <row r="917" spans="1:18" ht="13.5" thickBot="1" x14ac:dyDescent="0.25">
      <c r="A917" s="123">
        <v>205</v>
      </c>
      <c r="B917" s="123">
        <v>146</v>
      </c>
      <c r="C917" s="123">
        <v>59</v>
      </c>
      <c r="D917" s="123">
        <v>5</v>
      </c>
      <c r="E917" s="123">
        <v>6</v>
      </c>
      <c r="F917" s="123">
        <v>90</v>
      </c>
      <c r="G917" s="123">
        <v>22</v>
      </c>
      <c r="H917" s="123">
        <v>28</v>
      </c>
      <c r="I917" s="123">
        <v>16</v>
      </c>
      <c r="J917" s="123">
        <v>22</v>
      </c>
      <c r="K917" s="123">
        <v>12</v>
      </c>
      <c r="L917" s="123">
        <v>1</v>
      </c>
      <c r="M917" s="123">
        <v>0</v>
      </c>
      <c r="N917" s="123">
        <v>0</v>
      </c>
      <c r="O917" s="123">
        <v>3</v>
      </c>
      <c r="P917" s="7" t="s">
        <v>163</v>
      </c>
      <c r="Q917" s="3"/>
      <c r="R917" s="1"/>
    </row>
    <row r="918" spans="1:18" ht="13.5" thickBot="1" x14ac:dyDescent="0.25">
      <c r="A918" s="123">
        <v>183</v>
      </c>
      <c r="B918" s="123">
        <v>86</v>
      </c>
      <c r="C918" s="123">
        <v>97</v>
      </c>
      <c r="D918" s="123">
        <v>1</v>
      </c>
      <c r="E918" s="123">
        <v>14</v>
      </c>
      <c r="F918" s="123">
        <v>0</v>
      </c>
      <c r="G918" s="123">
        <v>1</v>
      </c>
      <c r="H918" s="123">
        <v>31</v>
      </c>
      <c r="I918" s="123">
        <v>11</v>
      </c>
      <c r="J918" s="123">
        <v>48</v>
      </c>
      <c r="K918" s="123">
        <v>59</v>
      </c>
      <c r="L918" s="123">
        <v>5</v>
      </c>
      <c r="M918" s="123">
        <v>11</v>
      </c>
      <c r="N918" s="123">
        <v>1</v>
      </c>
      <c r="O918" s="123">
        <v>1</v>
      </c>
      <c r="P918" s="7" t="s">
        <v>162</v>
      </c>
      <c r="Q918" s="11" t="s">
        <v>211</v>
      </c>
      <c r="R918" s="1"/>
    </row>
    <row r="919" spans="1:18" ht="13.5" thickBot="1" x14ac:dyDescent="0.25">
      <c r="A919" s="123">
        <v>388</v>
      </c>
      <c r="B919" s="123">
        <v>232</v>
      </c>
      <c r="C919" s="123">
        <v>156</v>
      </c>
      <c r="D919" s="123">
        <v>6</v>
      </c>
      <c r="E919" s="123">
        <v>20</v>
      </c>
      <c r="F919" s="123">
        <v>90</v>
      </c>
      <c r="G919" s="123">
        <v>23</v>
      </c>
      <c r="H919" s="123">
        <v>59</v>
      </c>
      <c r="I919" s="123">
        <v>27</v>
      </c>
      <c r="J919" s="123">
        <v>70</v>
      </c>
      <c r="K919" s="123">
        <v>71</v>
      </c>
      <c r="L919" s="123">
        <v>6</v>
      </c>
      <c r="M919" s="123">
        <v>11</v>
      </c>
      <c r="N919" s="123">
        <v>1</v>
      </c>
      <c r="O919" s="123">
        <v>4</v>
      </c>
      <c r="P919" s="7" t="s">
        <v>13</v>
      </c>
      <c r="Q919" s="5"/>
      <c r="R919" s="1"/>
    </row>
    <row r="920" spans="1:18" ht="18" customHeight="1" x14ac:dyDescent="0.2">
      <c r="A920" s="207"/>
      <c r="B920" s="207"/>
      <c r="C920" s="207"/>
      <c r="D920" s="207"/>
      <c r="E920" s="207"/>
      <c r="F920" s="207"/>
      <c r="G920" s="207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1"/>
    </row>
    <row r="921" spans="1:18" ht="18" customHeight="1" x14ac:dyDescent="0.2">
      <c r="A921" s="159" t="s">
        <v>616</v>
      </c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"/>
    </row>
    <row r="922" spans="1:18" ht="18" customHeight="1" thickBot="1" x14ac:dyDescent="0.25">
      <c r="A922" s="160" t="s">
        <v>617</v>
      </c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"/>
    </row>
    <row r="923" spans="1:18" ht="13.5" thickBot="1" x14ac:dyDescent="0.25">
      <c r="A923" s="204" t="s">
        <v>5</v>
      </c>
      <c r="B923" s="204"/>
      <c r="C923" s="204"/>
      <c r="D923" s="204" t="s">
        <v>57</v>
      </c>
      <c r="E923" s="204"/>
      <c r="F923" s="204" t="s">
        <v>609</v>
      </c>
      <c r="G923" s="204"/>
      <c r="H923" s="204" t="s">
        <v>610</v>
      </c>
      <c r="I923" s="204"/>
      <c r="J923" s="204" t="s">
        <v>611</v>
      </c>
      <c r="K923" s="204"/>
      <c r="L923" s="204" t="s">
        <v>612</v>
      </c>
      <c r="M923" s="204"/>
      <c r="N923" s="204" t="s">
        <v>613</v>
      </c>
      <c r="O923" s="204"/>
      <c r="P923" s="205" t="s">
        <v>614</v>
      </c>
      <c r="Q923" s="47" t="s">
        <v>161</v>
      </c>
      <c r="R923" s="1"/>
    </row>
    <row r="924" spans="1:18" ht="13.5" thickBot="1" x14ac:dyDescent="0.25">
      <c r="A924" s="47" t="s">
        <v>216</v>
      </c>
      <c r="B924" s="47" t="s">
        <v>11</v>
      </c>
      <c r="C924" s="47" t="s">
        <v>10</v>
      </c>
      <c r="D924" s="47" t="s">
        <v>11</v>
      </c>
      <c r="E924" s="47" t="s">
        <v>10</v>
      </c>
      <c r="F924" s="47" t="s">
        <v>11</v>
      </c>
      <c r="G924" s="47" t="s">
        <v>10</v>
      </c>
      <c r="H924" s="47" t="s">
        <v>11</v>
      </c>
      <c r="I924" s="47" t="s">
        <v>10</v>
      </c>
      <c r="J924" s="47" t="s">
        <v>11</v>
      </c>
      <c r="K924" s="47" t="s">
        <v>10</v>
      </c>
      <c r="L924" s="47" t="s">
        <v>11</v>
      </c>
      <c r="M924" s="47" t="s">
        <v>10</v>
      </c>
      <c r="N924" s="47" t="s">
        <v>11</v>
      </c>
      <c r="O924" s="47" t="s">
        <v>10</v>
      </c>
      <c r="P924" s="206"/>
      <c r="Q924" s="33" t="s">
        <v>126</v>
      </c>
      <c r="R924" s="1"/>
    </row>
    <row r="925" spans="1:18" ht="13.5" thickBot="1" x14ac:dyDescent="0.25">
      <c r="A925" s="123">
        <v>40</v>
      </c>
      <c r="B925" s="123">
        <v>0</v>
      </c>
      <c r="C925" s="123">
        <v>40</v>
      </c>
      <c r="D925" s="123">
        <v>0</v>
      </c>
      <c r="E925" s="123">
        <v>1</v>
      </c>
      <c r="F925" s="123">
        <v>0</v>
      </c>
      <c r="G925" s="123">
        <v>17</v>
      </c>
      <c r="H925" s="123">
        <v>0</v>
      </c>
      <c r="I925" s="123">
        <v>14</v>
      </c>
      <c r="J925" s="123">
        <v>0</v>
      </c>
      <c r="K925" s="123">
        <v>8</v>
      </c>
      <c r="L925" s="123">
        <v>0</v>
      </c>
      <c r="M925" s="123">
        <v>0</v>
      </c>
      <c r="N925" s="123">
        <v>0</v>
      </c>
      <c r="O925" s="123">
        <v>0</v>
      </c>
      <c r="P925" s="7" t="s">
        <v>163</v>
      </c>
      <c r="Q925" s="124"/>
      <c r="R925" s="1"/>
    </row>
    <row r="926" spans="1:18" ht="13.5" thickBot="1" x14ac:dyDescent="0.25">
      <c r="A926" s="123">
        <v>90</v>
      </c>
      <c r="B926" s="123">
        <v>0</v>
      </c>
      <c r="C926" s="123">
        <v>90</v>
      </c>
      <c r="D926" s="123">
        <v>0</v>
      </c>
      <c r="E926" s="123">
        <v>15</v>
      </c>
      <c r="F926" s="123">
        <v>0</v>
      </c>
      <c r="G926" s="123">
        <v>9</v>
      </c>
      <c r="H926" s="123">
        <v>0</v>
      </c>
      <c r="I926" s="123">
        <v>2</v>
      </c>
      <c r="J926" s="123">
        <v>0</v>
      </c>
      <c r="K926" s="123">
        <v>64</v>
      </c>
      <c r="L926" s="123">
        <v>0</v>
      </c>
      <c r="M926" s="123">
        <v>0</v>
      </c>
      <c r="N926" s="123">
        <v>0</v>
      </c>
      <c r="O926" s="123">
        <v>0</v>
      </c>
      <c r="P926" s="7" t="s">
        <v>162</v>
      </c>
      <c r="Q926" s="124" t="s">
        <v>494</v>
      </c>
      <c r="R926" s="1"/>
    </row>
    <row r="927" spans="1:18" ht="13.5" thickBot="1" x14ac:dyDescent="0.25">
      <c r="A927" s="123">
        <v>130</v>
      </c>
      <c r="B927" s="123">
        <v>0</v>
      </c>
      <c r="C927" s="123">
        <v>130</v>
      </c>
      <c r="D927" s="123">
        <v>0</v>
      </c>
      <c r="E927" s="123">
        <v>16</v>
      </c>
      <c r="F927" s="123">
        <v>0</v>
      </c>
      <c r="G927" s="123">
        <v>26</v>
      </c>
      <c r="H927" s="123">
        <v>0</v>
      </c>
      <c r="I927" s="123">
        <v>16</v>
      </c>
      <c r="J927" s="123">
        <v>0</v>
      </c>
      <c r="K927" s="123">
        <v>72</v>
      </c>
      <c r="L927" s="123">
        <v>0</v>
      </c>
      <c r="M927" s="123">
        <v>0</v>
      </c>
      <c r="N927" s="123">
        <v>0</v>
      </c>
      <c r="O927" s="123">
        <v>0</v>
      </c>
      <c r="P927" s="7" t="s">
        <v>13</v>
      </c>
      <c r="Q927" s="9"/>
      <c r="R927" s="1"/>
    </row>
    <row r="928" spans="1:18" ht="13.5" thickBot="1" x14ac:dyDescent="0.25">
      <c r="A928" s="123">
        <v>18</v>
      </c>
      <c r="B928" s="123">
        <v>6</v>
      </c>
      <c r="C928" s="123">
        <v>12</v>
      </c>
      <c r="D928" s="123">
        <v>0</v>
      </c>
      <c r="E928" s="123">
        <v>0</v>
      </c>
      <c r="F928" s="123">
        <v>6</v>
      </c>
      <c r="G928" s="123">
        <v>11</v>
      </c>
      <c r="H928" s="123">
        <v>0</v>
      </c>
      <c r="I928" s="123">
        <v>0</v>
      </c>
      <c r="J928" s="123">
        <v>0</v>
      </c>
      <c r="K928" s="123">
        <v>1</v>
      </c>
      <c r="L928" s="123">
        <v>0</v>
      </c>
      <c r="M928" s="123">
        <v>0</v>
      </c>
      <c r="N928" s="123">
        <v>0</v>
      </c>
      <c r="O928" s="123">
        <v>0</v>
      </c>
      <c r="P928" s="7" t="s">
        <v>163</v>
      </c>
      <c r="Q928" s="124"/>
      <c r="R928" s="1"/>
    </row>
    <row r="929" spans="1:18" ht="13.5" thickBot="1" x14ac:dyDescent="0.25">
      <c r="A929" s="123">
        <v>7</v>
      </c>
      <c r="B929" s="123">
        <v>0</v>
      </c>
      <c r="C929" s="123">
        <v>7</v>
      </c>
      <c r="D929" s="123">
        <v>0</v>
      </c>
      <c r="E929" s="123">
        <v>0</v>
      </c>
      <c r="F929" s="123">
        <v>0</v>
      </c>
      <c r="G929" s="123">
        <v>0</v>
      </c>
      <c r="H929" s="123">
        <v>0</v>
      </c>
      <c r="I929" s="123">
        <v>2</v>
      </c>
      <c r="J929" s="123">
        <v>0</v>
      </c>
      <c r="K929" s="123">
        <v>5</v>
      </c>
      <c r="L929" s="123">
        <v>0</v>
      </c>
      <c r="M929" s="123">
        <v>0</v>
      </c>
      <c r="N929" s="123">
        <v>0</v>
      </c>
      <c r="O929" s="123">
        <v>0</v>
      </c>
      <c r="P929" s="7" t="s">
        <v>162</v>
      </c>
      <c r="Q929" s="124" t="s">
        <v>359</v>
      </c>
      <c r="R929" s="1"/>
    </row>
    <row r="930" spans="1:18" ht="13.5" thickBot="1" x14ac:dyDescent="0.25">
      <c r="A930" s="123">
        <v>25</v>
      </c>
      <c r="B930" s="123">
        <v>6</v>
      </c>
      <c r="C930" s="123">
        <v>19</v>
      </c>
      <c r="D930" s="123">
        <v>0</v>
      </c>
      <c r="E930" s="123">
        <v>0</v>
      </c>
      <c r="F930" s="123">
        <v>6</v>
      </c>
      <c r="G930" s="123">
        <v>11</v>
      </c>
      <c r="H930" s="123">
        <v>0</v>
      </c>
      <c r="I930" s="123">
        <v>2</v>
      </c>
      <c r="J930" s="123">
        <v>0</v>
      </c>
      <c r="K930" s="123">
        <v>6</v>
      </c>
      <c r="L930" s="123">
        <v>0</v>
      </c>
      <c r="M930" s="123">
        <v>0</v>
      </c>
      <c r="N930" s="123">
        <v>0</v>
      </c>
      <c r="O930" s="123">
        <v>0</v>
      </c>
      <c r="P930" s="7" t="s">
        <v>13</v>
      </c>
      <c r="Q930" s="9"/>
      <c r="R930" s="1"/>
    </row>
    <row r="931" spans="1:18" ht="13.5" thickBot="1" x14ac:dyDescent="0.25">
      <c r="A931" s="123">
        <v>8</v>
      </c>
      <c r="B931" s="123">
        <v>0</v>
      </c>
      <c r="C931" s="123">
        <v>8</v>
      </c>
      <c r="D931" s="123">
        <v>0</v>
      </c>
      <c r="E931" s="123">
        <v>0</v>
      </c>
      <c r="F931" s="123">
        <v>0</v>
      </c>
      <c r="G931" s="123">
        <v>7</v>
      </c>
      <c r="H931" s="123">
        <v>0</v>
      </c>
      <c r="I931" s="123">
        <v>0</v>
      </c>
      <c r="J931" s="123">
        <v>0</v>
      </c>
      <c r="K931" s="123">
        <v>1</v>
      </c>
      <c r="L931" s="123">
        <v>0</v>
      </c>
      <c r="M931" s="123">
        <v>0</v>
      </c>
      <c r="N931" s="123">
        <v>0</v>
      </c>
      <c r="O931" s="123">
        <v>0</v>
      </c>
      <c r="P931" s="7" t="s">
        <v>163</v>
      </c>
      <c r="Q931" s="124"/>
      <c r="R931" s="1"/>
    </row>
    <row r="932" spans="1:18" ht="13.5" thickBot="1" x14ac:dyDescent="0.25">
      <c r="A932" s="123">
        <v>26</v>
      </c>
      <c r="B932" s="123">
        <v>0</v>
      </c>
      <c r="C932" s="123">
        <v>26</v>
      </c>
      <c r="D932" s="123">
        <v>0</v>
      </c>
      <c r="E932" s="123">
        <v>0</v>
      </c>
      <c r="F932" s="123">
        <v>0</v>
      </c>
      <c r="G932" s="123">
        <v>0</v>
      </c>
      <c r="H932" s="123">
        <v>0</v>
      </c>
      <c r="I932" s="123">
        <v>3</v>
      </c>
      <c r="J932" s="123">
        <v>0</v>
      </c>
      <c r="K932" s="123">
        <v>15</v>
      </c>
      <c r="L932" s="123">
        <v>0</v>
      </c>
      <c r="M932" s="123">
        <v>7</v>
      </c>
      <c r="N932" s="123">
        <v>0</v>
      </c>
      <c r="O932" s="123">
        <v>1</v>
      </c>
      <c r="P932" s="7" t="s">
        <v>162</v>
      </c>
      <c r="Q932" s="124" t="s">
        <v>377</v>
      </c>
      <c r="R932" s="1"/>
    </row>
    <row r="933" spans="1:18" ht="13.5" thickBot="1" x14ac:dyDescent="0.25">
      <c r="A933" s="123">
        <v>34</v>
      </c>
      <c r="B933" s="123">
        <v>0</v>
      </c>
      <c r="C933" s="123">
        <v>34</v>
      </c>
      <c r="D933" s="123">
        <v>0</v>
      </c>
      <c r="E933" s="123">
        <v>0</v>
      </c>
      <c r="F933" s="123">
        <v>0</v>
      </c>
      <c r="G933" s="123">
        <v>7</v>
      </c>
      <c r="H933" s="123">
        <v>0</v>
      </c>
      <c r="I933" s="123">
        <v>3</v>
      </c>
      <c r="J933" s="123">
        <v>0</v>
      </c>
      <c r="K933" s="123">
        <v>16</v>
      </c>
      <c r="L933" s="123">
        <v>0</v>
      </c>
      <c r="M933" s="123">
        <v>7</v>
      </c>
      <c r="N933" s="123">
        <v>0</v>
      </c>
      <c r="O933" s="123">
        <v>1</v>
      </c>
      <c r="P933" s="7" t="s">
        <v>13</v>
      </c>
      <c r="Q933" s="9"/>
      <c r="R933" s="1"/>
    </row>
    <row r="934" spans="1:18" ht="13.5" thickBot="1" x14ac:dyDescent="0.25">
      <c r="A934" s="123">
        <v>1</v>
      </c>
      <c r="B934" s="123">
        <v>0</v>
      </c>
      <c r="C934" s="123">
        <v>1</v>
      </c>
      <c r="D934" s="123">
        <v>0</v>
      </c>
      <c r="E934" s="123">
        <v>1</v>
      </c>
      <c r="F934" s="123">
        <v>0</v>
      </c>
      <c r="G934" s="123">
        <v>0</v>
      </c>
      <c r="H934" s="123">
        <v>0</v>
      </c>
      <c r="I934" s="123">
        <v>0</v>
      </c>
      <c r="J934" s="123">
        <v>0</v>
      </c>
      <c r="K934" s="123">
        <v>0</v>
      </c>
      <c r="L934" s="123">
        <v>0</v>
      </c>
      <c r="M934" s="123">
        <v>0</v>
      </c>
      <c r="N934" s="123">
        <v>0</v>
      </c>
      <c r="O934" s="123">
        <v>0</v>
      </c>
      <c r="P934" s="7" t="s">
        <v>163</v>
      </c>
      <c r="Q934" s="124"/>
      <c r="R934" s="1"/>
    </row>
    <row r="935" spans="1:18" ht="13.5" thickBot="1" x14ac:dyDescent="0.25">
      <c r="A935" s="123">
        <v>7</v>
      </c>
      <c r="B935" s="123">
        <v>3</v>
      </c>
      <c r="C935" s="123">
        <v>4</v>
      </c>
      <c r="D935" s="123">
        <v>0</v>
      </c>
      <c r="E935" s="123">
        <v>2</v>
      </c>
      <c r="F935" s="123">
        <v>0</v>
      </c>
      <c r="G935" s="123">
        <v>0</v>
      </c>
      <c r="H935" s="123">
        <v>0</v>
      </c>
      <c r="I935" s="123">
        <v>0</v>
      </c>
      <c r="J935" s="123">
        <v>3</v>
      </c>
      <c r="K935" s="123">
        <v>1</v>
      </c>
      <c r="L935" s="123">
        <v>0</v>
      </c>
      <c r="M935" s="123">
        <v>1</v>
      </c>
      <c r="N935" s="123">
        <v>0</v>
      </c>
      <c r="O935" s="123">
        <v>0</v>
      </c>
      <c r="P935" s="7" t="s">
        <v>162</v>
      </c>
      <c r="Q935" s="124" t="s">
        <v>264</v>
      </c>
      <c r="R935" s="1"/>
    </row>
    <row r="936" spans="1:18" ht="13.5" thickBot="1" x14ac:dyDescent="0.25">
      <c r="A936" s="123">
        <v>8</v>
      </c>
      <c r="B936" s="123">
        <v>3</v>
      </c>
      <c r="C936" s="123">
        <v>5</v>
      </c>
      <c r="D936" s="123">
        <v>0</v>
      </c>
      <c r="E936" s="123">
        <v>3</v>
      </c>
      <c r="F936" s="123">
        <v>0</v>
      </c>
      <c r="G936" s="123">
        <v>0</v>
      </c>
      <c r="H936" s="123">
        <v>0</v>
      </c>
      <c r="I936" s="123">
        <v>0</v>
      </c>
      <c r="J936" s="123">
        <v>3</v>
      </c>
      <c r="K936" s="123">
        <v>1</v>
      </c>
      <c r="L936" s="123">
        <v>0</v>
      </c>
      <c r="M936" s="123">
        <v>1</v>
      </c>
      <c r="N936" s="123">
        <v>0</v>
      </c>
      <c r="O936" s="123">
        <v>0</v>
      </c>
      <c r="P936" s="7" t="s">
        <v>13</v>
      </c>
      <c r="Q936" s="9"/>
      <c r="R936" s="1"/>
    </row>
    <row r="937" spans="1:18" ht="13.5" thickBot="1" x14ac:dyDescent="0.25">
      <c r="A937" s="123">
        <v>1</v>
      </c>
      <c r="B937" s="123">
        <v>0</v>
      </c>
      <c r="C937" s="123">
        <v>1</v>
      </c>
      <c r="D937" s="123">
        <v>0</v>
      </c>
      <c r="E937" s="123">
        <v>0</v>
      </c>
      <c r="F937" s="123">
        <v>0</v>
      </c>
      <c r="G937" s="123">
        <v>0</v>
      </c>
      <c r="H937" s="123">
        <v>0</v>
      </c>
      <c r="I937" s="123">
        <v>0</v>
      </c>
      <c r="J937" s="123">
        <v>0</v>
      </c>
      <c r="K937" s="123">
        <v>1</v>
      </c>
      <c r="L937" s="123">
        <v>0</v>
      </c>
      <c r="M937" s="123">
        <v>0</v>
      </c>
      <c r="N937" s="123">
        <v>0</v>
      </c>
      <c r="O937" s="123">
        <v>0</v>
      </c>
      <c r="P937" s="7" t="s">
        <v>163</v>
      </c>
      <c r="Q937" s="124"/>
      <c r="R937" s="1"/>
    </row>
    <row r="938" spans="1:18" ht="13.5" thickBot="1" x14ac:dyDescent="0.25">
      <c r="A938" s="123">
        <v>38</v>
      </c>
      <c r="B938" s="123">
        <v>0</v>
      </c>
      <c r="C938" s="123">
        <v>38</v>
      </c>
      <c r="D938" s="123">
        <v>0</v>
      </c>
      <c r="E938" s="123">
        <v>0</v>
      </c>
      <c r="F938" s="123">
        <v>0</v>
      </c>
      <c r="G938" s="123">
        <v>0</v>
      </c>
      <c r="H938" s="123">
        <v>0</v>
      </c>
      <c r="I938" s="123">
        <v>16</v>
      </c>
      <c r="J938" s="123">
        <v>0</v>
      </c>
      <c r="K938" s="123">
        <v>18</v>
      </c>
      <c r="L938" s="123">
        <v>0</v>
      </c>
      <c r="M938" s="123">
        <v>4</v>
      </c>
      <c r="N938" s="123">
        <v>0</v>
      </c>
      <c r="O938" s="123">
        <v>0</v>
      </c>
      <c r="P938" s="7" t="s">
        <v>162</v>
      </c>
      <c r="Q938" s="124" t="s">
        <v>125</v>
      </c>
      <c r="R938" s="1"/>
    </row>
    <row r="939" spans="1:18" ht="13.5" thickBot="1" x14ac:dyDescent="0.25">
      <c r="A939" s="123">
        <v>39</v>
      </c>
      <c r="B939" s="123">
        <v>0</v>
      </c>
      <c r="C939" s="123">
        <v>39</v>
      </c>
      <c r="D939" s="123">
        <v>0</v>
      </c>
      <c r="E939" s="123">
        <v>0</v>
      </c>
      <c r="F939" s="123">
        <v>0</v>
      </c>
      <c r="G939" s="123">
        <v>0</v>
      </c>
      <c r="H939" s="123">
        <v>0</v>
      </c>
      <c r="I939" s="123">
        <v>16</v>
      </c>
      <c r="J939" s="123">
        <v>0</v>
      </c>
      <c r="K939" s="123">
        <v>19</v>
      </c>
      <c r="L939" s="123">
        <v>0</v>
      </c>
      <c r="M939" s="123">
        <v>4</v>
      </c>
      <c r="N939" s="123">
        <v>0</v>
      </c>
      <c r="O939" s="123">
        <v>0</v>
      </c>
      <c r="P939" s="7" t="s">
        <v>13</v>
      </c>
      <c r="Q939" s="9"/>
      <c r="R939" s="1"/>
    </row>
    <row r="940" spans="1:18" ht="13.5" thickBot="1" x14ac:dyDescent="0.25">
      <c r="A940" s="123">
        <v>8</v>
      </c>
      <c r="B940" s="123">
        <v>8</v>
      </c>
      <c r="C940" s="123">
        <v>0</v>
      </c>
      <c r="D940" s="123">
        <v>2</v>
      </c>
      <c r="E940" s="123">
        <v>0</v>
      </c>
      <c r="F940" s="123">
        <v>6</v>
      </c>
      <c r="G940" s="123">
        <v>0</v>
      </c>
      <c r="H940" s="123">
        <v>0</v>
      </c>
      <c r="I940" s="123">
        <v>0</v>
      </c>
      <c r="J940" s="123">
        <v>0</v>
      </c>
      <c r="K940" s="123">
        <v>0</v>
      </c>
      <c r="L940" s="123">
        <v>0</v>
      </c>
      <c r="M940" s="123">
        <v>0</v>
      </c>
      <c r="N940" s="123">
        <v>0</v>
      </c>
      <c r="O940" s="123">
        <v>0</v>
      </c>
      <c r="P940" s="7" t="s">
        <v>163</v>
      </c>
      <c r="Q940" s="124"/>
      <c r="R940" s="1"/>
    </row>
    <row r="941" spans="1:18" ht="13.5" thickBot="1" x14ac:dyDescent="0.25">
      <c r="A941" s="123">
        <v>48</v>
      </c>
      <c r="B941" s="123">
        <v>39</v>
      </c>
      <c r="C941" s="123">
        <v>9</v>
      </c>
      <c r="D941" s="123">
        <v>0</v>
      </c>
      <c r="E941" s="123">
        <v>0</v>
      </c>
      <c r="F941" s="123">
        <v>0</v>
      </c>
      <c r="G941" s="123">
        <v>0</v>
      </c>
      <c r="H941" s="123">
        <v>26</v>
      </c>
      <c r="I941" s="123">
        <v>0</v>
      </c>
      <c r="J941" s="123">
        <v>11</v>
      </c>
      <c r="K941" s="123">
        <v>9</v>
      </c>
      <c r="L941" s="123">
        <v>2</v>
      </c>
      <c r="M941" s="123">
        <v>0</v>
      </c>
      <c r="N941" s="123">
        <v>0</v>
      </c>
      <c r="O941" s="123">
        <v>0</v>
      </c>
      <c r="P941" s="7" t="s">
        <v>162</v>
      </c>
      <c r="Q941" s="124" t="s">
        <v>495</v>
      </c>
      <c r="R941" s="1"/>
    </row>
    <row r="942" spans="1:18" ht="13.5" thickBot="1" x14ac:dyDescent="0.25">
      <c r="A942" s="123">
        <v>56</v>
      </c>
      <c r="B942" s="123">
        <v>47</v>
      </c>
      <c r="C942" s="123">
        <v>9</v>
      </c>
      <c r="D942" s="123">
        <v>2</v>
      </c>
      <c r="E942" s="123">
        <v>0</v>
      </c>
      <c r="F942" s="123">
        <v>6</v>
      </c>
      <c r="G942" s="123">
        <v>0</v>
      </c>
      <c r="H942" s="123">
        <v>26</v>
      </c>
      <c r="I942" s="123">
        <v>0</v>
      </c>
      <c r="J942" s="123">
        <v>11</v>
      </c>
      <c r="K942" s="123">
        <v>9</v>
      </c>
      <c r="L942" s="123">
        <v>2</v>
      </c>
      <c r="M942" s="123">
        <v>0</v>
      </c>
      <c r="N942" s="123">
        <v>0</v>
      </c>
      <c r="O942" s="123">
        <v>0</v>
      </c>
      <c r="P942" s="7" t="s">
        <v>13</v>
      </c>
      <c r="Q942" s="9"/>
      <c r="R942" s="1"/>
    </row>
    <row r="943" spans="1:18" ht="13.5" thickBot="1" x14ac:dyDescent="0.25">
      <c r="A943" s="123">
        <v>0</v>
      </c>
      <c r="B943" s="123">
        <v>0</v>
      </c>
      <c r="C943" s="123">
        <v>0</v>
      </c>
      <c r="D943" s="123">
        <v>0</v>
      </c>
      <c r="E943" s="123">
        <v>0</v>
      </c>
      <c r="F943" s="123">
        <v>0</v>
      </c>
      <c r="G943" s="123">
        <v>0</v>
      </c>
      <c r="H943" s="123">
        <v>0</v>
      </c>
      <c r="I943" s="123">
        <v>0</v>
      </c>
      <c r="J943" s="123">
        <v>0</v>
      </c>
      <c r="K943" s="123">
        <v>0</v>
      </c>
      <c r="L943" s="123">
        <v>0</v>
      </c>
      <c r="M943" s="123">
        <v>0</v>
      </c>
      <c r="N943" s="123">
        <v>0</v>
      </c>
      <c r="O943" s="123">
        <v>0</v>
      </c>
      <c r="P943" s="7" t="s">
        <v>163</v>
      </c>
      <c r="Q943" s="124"/>
      <c r="R943" s="1"/>
    </row>
    <row r="944" spans="1:18" ht="13.5" thickBot="1" x14ac:dyDescent="0.25">
      <c r="A944" s="123">
        <v>1</v>
      </c>
      <c r="B944" s="123">
        <v>1</v>
      </c>
      <c r="C944" s="123">
        <v>0</v>
      </c>
      <c r="D944" s="123">
        <v>0</v>
      </c>
      <c r="E944" s="123">
        <v>0</v>
      </c>
      <c r="F944" s="123">
        <v>0</v>
      </c>
      <c r="G944" s="123">
        <v>0</v>
      </c>
      <c r="H944" s="123">
        <v>1</v>
      </c>
      <c r="I944" s="123">
        <v>0</v>
      </c>
      <c r="J944" s="123">
        <v>0</v>
      </c>
      <c r="K944" s="123">
        <v>0</v>
      </c>
      <c r="L944" s="123">
        <v>0</v>
      </c>
      <c r="M944" s="123">
        <v>0</v>
      </c>
      <c r="N944" s="123">
        <v>0</v>
      </c>
      <c r="O944" s="123">
        <v>0</v>
      </c>
      <c r="P944" s="7" t="s">
        <v>162</v>
      </c>
      <c r="Q944" s="124" t="s">
        <v>127</v>
      </c>
      <c r="R944" s="1"/>
    </row>
    <row r="945" spans="1:18" ht="13.5" thickBot="1" x14ac:dyDescent="0.25">
      <c r="A945" s="123">
        <v>1</v>
      </c>
      <c r="B945" s="123">
        <v>1</v>
      </c>
      <c r="C945" s="123">
        <v>0</v>
      </c>
      <c r="D945" s="123">
        <v>0</v>
      </c>
      <c r="E945" s="123">
        <v>0</v>
      </c>
      <c r="F945" s="123">
        <v>0</v>
      </c>
      <c r="G945" s="123">
        <v>0</v>
      </c>
      <c r="H945" s="123">
        <v>1</v>
      </c>
      <c r="I945" s="123">
        <v>0</v>
      </c>
      <c r="J945" s="123">
        <v>0</v>
      </c>
      <c r="K945" s="123">
        <v>0</v>
      </c>
      <c r="L945" s="123">
        <v>0</v>
      </c>
      <c r="M945" s="123">
        <v>0</v>
      </c>
      <c r="N945" s="123">
        <v>0</v>
      </c>
      <c r="O945" s="123">
        <v>0</v>
      </c>
      <c r="P945" s="7" t="s">
        <v>13</v>
      </c>
      <c r="Q945" s="9"/>
      <c r="R945" s="1"/>
    </row>
    <row r="946" spans="1:18" ht="13.5" thickBot="1" x14ac:dyDescent="0.25">
      <c r="A946" s="123">
        <v>8</v>
      </c>
      <c r="B946" s="123">
        <v>8</v>
      </c>
      <c r="C946" s="123">
        <v>0</v>
      </c>
      <c r="D946" s="123">
        <v>0</v>
      </c>
      <c r="E946" s="123">
        <v>0</v>
      </c>
      <c r="F946" s="123">
        <v>6</v>
      </c>
      <c r="G946" s="123">
        <v>0</v>
      </c>
      <c r="H946" s="123">
        <v>2</v>
      </c>
      <c r="I946" s="123">
        <v>0</v>
      </c>
      <c r="J946" s="123">
        <v>0</v>
      </c>
      <c r="K946" s="123">
        <v>0</v>
      </c>
      <c r="L946" s="123">
        <v>0</v>
      </c>
      <c r="M946" s="123">
        <v>0</v>
      </c>
      <c r="N946" s="123">
        <v>0</v>
      </c>
      <c r="O946" s="123">
        <v>0</v>
      </c>
      <c r="P946" s="7" t="s">
        <v>163</v>
      </c>
      <c r="Q946" s="124"/>
      <c r="R946" s="1"/>
    </row>
    <row r="947" spans="1:18" ht="13.5" thickBot="1" x14ac:dyDescent="0.25">
      <c r="A947" s="123">
        <v>23</v>
      </c>
      <c r="B947" s="123">
        <v>19</v>
      </c>
      <c r="C947" s="123">
        <v>4</v>
      </c>
      <c r="D947" s="123">
        <v>0</v>
      </c>
      <c r="E947" s="123">
        <v>0</v>
      </c>
      <c r="F947" s="123">
        <v>0</v>
      </c>
      <c r="G947" s="123">
        <v>0</v>
      </c>
      <c r="H947" s="123">
        <v>10</v>
      </c>
      <c r="I947" s="123">
        <v>0</v>
      </c>
      <c r="J947" s="123">
        <v>9</v>
      </c>
      <c r="K947" s="123">
        <v>4</v>
      </c>
      <c r="L947" s="123">
        <v>0</v>
      </c>
      <c r="M947" s="123">
        <v>0</v>
      </c>
      <c r="N947" s="123">
        <v>0</v>
      </c>
      <c r="O947" s="123">
        <v>0</v>
      </c>
      <c r="P947" s="7" t="s">
        <v>162</v>
      </c>
      <c r="Q947" s="124" t="s">
        <v>496</v>
      </c>
      <c r="R947" s="1"/>
    </row>
    <row r="948" spans="1:18" ht="13.5" thickBot="1" x14ac:dyDescent="0.25">
      <c r="A948" s="123">
        <v>31</v>
      </c>
      <c r="B948" s="123">
        <v>27</v>
      </c>
      <c r="C948" s="123">
        <v>4</v>
      </c>
      <c r="D948" s="123">
        <v>0</v>
      </c>
      <c r="E948" s="123">
        <v>0</v>
      </c>
      <c r="F948" s="123">
        <v>6</v>
      </c>
      <c r="G948" s="123">
        <v>0</v>
      </c>
      <c r="H948" s="123">
        <v>12</v>
      </c>
      <c r="I948" s="123">
        <v>0</v>
      </c>
      <c r="J948" s="123">
        <v>9</v>
      </c>
      <c r="K948" s="123">
        <v>4</v>
      </c>
      <c r="L948" s="123">
        <v>0</v>
      </c>
      <c r="M948" s="123">
        <v>0</v>
      </c>
      <c r="N948" s="123">
        <v>0</v>
      </c>
      <c r="O948" s="123">
        <v>0</v>
      </c>
      <c r="P948" s="7" t="s">
        <v>13</v>
      </c>
      <c r="Q948" s="9"/>
      <c r="R948" s="1"/>
    </row>
    <row r="949" spans="1:18" ht="13.5" thickBot="1" x14ac:dyDescent="0.25">
      <c r="A949" s="123">
        <v>6</v>
      </c>
      <c r="B949" s="123">
        <v>6</v>
      </c>
      <c r="C949" s="123">
        <v>0</v>
      </c>
      <c r="D949" s="123">
        <v>0</v>
      </c>
      <c r="E949" s="123">
        <v>0</v>
      </c>
      <c r="F949" s="123">
        <v>4</v>
      </c>
      <c r="G949" s="123">
        <v>0</v>
      </c>
      <c r="H949" s="123">
        <v>2</v>
      </c>
      <c r="I949" s="123">
        <v>0</v>
      </c>
      <c r="J949" s="123">
        <v>0</v>
      </c>
      <c r="K949" s="123">
        <v>0</v>
      </c>
      <c r="L949" s="123">
        <v>0</v>
      </c>
      <c r="M949" s="123">
        <v>0</v>
      </c>
      <c r="N949" s="123">
        <v>0</v>
      </c>
      <c r="O949" s="123">
        <v>0</v>
      </c>
      <c r="P949" s="7" t="s">
        <v>163</v>
      </c>
      <c r="Q949" s="124"/>
      <c r="R949" s="1"/>
    </row>
    <row r="950" spans="1:18" ht="13.5" thickBot="1" x14ac:dyDescent="0.25">
      <c r="A950" s="123">
        <v>34</v>
      </c>
      <c r="B950" s="123">
        <v>31</v>
      </c>
      <c r="C950" s="123">
        <v>3</v>
      </c>
      <c r="D950" s="123">
        <v>0</v>
      </c>
      <c r="E950" s="123">
        <v>0</v>
      </c>
      <c r="F950" s="123">
        <v>0</v>
      </c>
      <c r="G950" s="123">
        <v>0</v>
      </c>
      <c r="H950" s="123">
        <v>8</v>
      </c>
      <c r="I950" s="123">
        <v>0</v>
      </c>
      <c r="J950" s="123">
        <v>21</v>
      </c>
      <c r="K950" s="123">
        <v>2</v>
      </c>
      <c r="L950" s="123">
        <v>1</v>
      </c>
      <c r="M950" s="123">
        <v>1</v>
      </c>
      <c r="N950" s="123">
        <v>1</v>
      </c>
      <c r="O950" s="123">
        <v>0</v>
      </c>
      <c r="P950" s="7" t="s">
        <v>162</v>
      </c>
      <c r="Q950" s="124" t="s">
        <v>497</v>
      </c>
      <c r="R950" s="1"/>
    </row>
    <row r="951" spans="1:18" ht="13.5" thickBot="1" x14ac:dyDescent="0.25">
      <c r="A951" s="123">
        <v>40</v>
      </c>
      <c r="B951" s="123">
        <v>37</v>
      </c>
      <c r="C951" s="123">
        <v>3</v>
      </c>
      <c r="D951" s="123">
        <v>0</v>
      </c>
      <c r="E951" s="123">
        <v>0</v>
      </c>
      <c r="F951" s="123">
        <v>4</v>
      </c>
      <c r="G951" s="123">
        <v>0</v>
      </c>
      <c r="H951" s="123">
        <v>10</v>
      </c>
      <c r="I951" s="123">
        <v>0</v>
      </c>
      <c r="J951" s="123">
        <v>21</v>
      </c>
      <c r="K951" s="123">
        <v>2</v>
      </c>
      <c r="L951" s="123">
        <v>1</v>
      </c>
      <c r="M951" s="123">
        <v>1</v>
      </c>
      <c r="N951" s="123">
        <v>1</v>
      </c>
      <c r="O951" s="123">
        <v>0</v>
      </c>
      <c r="P951" s="7" t="s">
        <v>13</v>
      </c>
      <c r="Q951" s="9"/>
      <c r="R951" s="1"/>
    </row>
    <row r="952" spans="1:18" ht="13.5" thickBot="1" x14ac:dyDescent="0.25">
      <c r="A952" s="123">
        <v>12</v>
      </c>
      <c r="B952" s="123">
        <v>12</v>
      </c>
      <c r="C952" s="123">
        <v>0</v>
      </c>
      <c r="D952" s="123">
        <v>0</v>
      </c>
      <c r="E952" s="123">
        <v>0</v>
      </c>
      <c r="F952" s="123">
        <v>9</v>
      </c>
      <c r="G952" s="123">
        <v>0</v>
      </c>
      <c r="H952" s="123">
        <v>3</v>
      </c>
      <c r="I952" s="123">
        <v>0</v>
      </c>
      <c r="J952" s="123">
        <v>0</v>
      </c>
      <c r="K952" s="123">
        <v>0</v>
      </c>
      <c r="L952" s="123">
        <v>0</v>
      </c>
      <c r="M952" s="123">
        <v>0</v>
      </c>
      <c r="N952" s="123">
        <v>0</v>
      </c>
      <c r="O952" s="123">
        <v>0</v>
      </c>
      <c r="P952" s="7" t="s">
        <v>163</v>
      </c>
      <c r="Q952" s="124"/>
      <c r="R952" s="1"/>
    </row>
    <row r="953" spans="1:18" ht="13.5" thickBot="1" x14ac:dyDescent="0.25">
      <c r="A953" s="123">
        <v>36</v>
      </c>
      <c r="B953" s="123">
        <v>26</v>
      </c>
      <c r="C953" s="123">
        <v>10</v>
      </c>
      <c r="D953" s="123">
        <v>0</v>
      </c>
      <c r="E953" s="123">
        <v>0</v>
      </c>
      <c r="F953" s="123">
        <v>0</v>
      </c>
      <c r="G953" s="123">
        <v>0</v>
      </c>
      <c r="H953" s="123">
        <v>11</v>
      </c>
      <c r="I953" s="123">
        <v>0</v>
      </c>
      <c r="J953" s="123">
        <v>15</v>
      </c>
      <c r="K953" s="123">
        <v>10</v>
      </c>
      <c r="L953" s="123">
        <v>0</v>
      </c>
      <c r="M953" s="123">
        <v>0</v>
      </c>
      <c r="N953" s="123">
        <v>0</v>
      </c>
      <c r="O953" s="123">
        <v>0</v>
      </c>
      <c r="P953" s="7" t="s">
        <v>162</v>
      </c>
      <c r="Q953" s="124" t="s">
        <v>498</v>
      </c>
      <c r="R953" s="1"/>
    </row>
    <row r="954" spans="1:18" ht="13.5" thickBot="1" x14ac:dyDescent="0.25">
      <c r="A954" s="123">
        <v>48</v>
      </c>
      <c r="B954" s="123">
        <v>38</v>
      </c>
      <c r="C954" s="123">
        <v>10</v>
      </c>
      <c r="D954" s="123">
        <v>0</v>
      </c>
      <c r="E954" s="123">
        <v>0</v>
      </c>
      <c r="F954" s="123">
        <v>9</v>
      </c>
      <c r="G954" s="123">
        <v>0</v>
      </c>
      <c r="H954" s="123">
        <v>14</v>
      </c>
      <c r="I954" s="123">
        <v>0</v>
      </c>
      <c r="J954" s="123">
        <v>15</v>
      </c>
      <c r="K954" s="123">
        <v>10</v>
      </c>
      <c r="L954" s="123">
        <v>0</v>
      </c>
      <c r="M954" s="123">
        <v>0</v>
      </c>
      <c r="N954" s="123">
        <v>0</v>
      </c>
      <c r="O954" s="123">
        <v>0</v>
      </c>
      <c r="P954" s="7" t="s">
        <v>13</v>
      </c>
      <c r="Q954" s="9"/>
      <c r="R954" s="1"/>
    </row>
    <row r="955" spans="1:18" ht="13.5" thickBot="1" x14ac:dyDescent="0.25">
      <c r="A955" s="123">
        <v>102</v>
      </c>
      <c r="B955" s="123">
        <v>40</v>
      </c>
      <c r="C955" s="123">
        <v>62</v>
      </c>
      <c r="D955" s="123">
        <v>2</v>
      </c>
      <c r="E955" s="123">
        <v>2</v>
      </c>
      <c r="F955" s="123">
        <v>31</v>
      </c>
      <c r="G955" s="123">
        <v>35</v>
      </c>
      <c r="H955" s="123">
        <v>7</v>
      </c>
      <c r="I955" s="123">
        <v>14</v>
      </c>
      <c r="J955" s="123">
        <v>0</v>
      </c>
      <c r="K955" s="123">
        <v>11</v>
      </c>
      <c r="L955" s="123">
        <v>0</v>
      </c>
      <c r="M955" s="123">
        <v>0</v>
      </c>
      <c r="N955" s="123">
        <v>0</v>
      </c>
      <c r="O955" s="123">
        <v>0</v>
      </c>
      <c r="P955" s="7" t="s">
        <v>163</v>
      </c>
      <c r="Q955" s="3"/>
      <c r="R955" s="1"/>
    </row>
    <row r="956" spans="1:18" ht="13.5" thickBot="1" x14ac:dyDescent="0.25">
      <c r="A956" s="123">
        <v>310</v>
      </c>
      <c r="B956" s="123">
        <v>119</v>
      </c>
      <c r="C956" s="123">
        <v>191</v>
      </c>
      <c r="D956" s="123">
        <v>0</v>
      </c>
      <c r="E956" s="123">
        <v>17</v>
      </c>
      <c r="F956" s="123">
        <v>0</v>
      </c>
      <c r="G956" s="123">
        <v>9</v>
      </c>
      <c r="H956" s="123">
        <v>56</v>
      </c>
      <c r="I956" s="123">
        <v>23</v>
      </c>
      <c r="J956" s="123">
        <v>59</v>
      </c>
      <c r="K956" s="123">
        <v>128</v>
      </c>
      <c r="L956" s="123">
        <v>3</v>
      </c>
      <c r="M956" s="123">
        <v>13</v>
      </c>
      <c r="N956" s="123">
        <v>1</v>
      </c>
      <c r="O956" s="123">
        <v>1</v>
      </c>
      <c r="P956" s="7" t="s">
        <v>162</v>
      </c>
      <c r="Q956" s="11" t="s">
        <v>211</v>
      </c>
      <c r="R956" s="1"/>
    </row>
    <row r="957" spans="1:18" ht="13.5" thickBot="1" x14ac:dyDescent="0.25">
      <c r="A957" s="123">
        <v>412</v>
      </c>
      <c r="B957" s="123">
        <v>159</v>
      </c>
      <c r="C957" s="123">
        <v>253</v>
      </c>
      <c r="D957" s="123">
        <v>2</v>
      </c>
      <c r="E957" s="123">
        <v>19</v>
      </c>
      <c r="F957" s="123">
        <v>31</v>
      </c>
      <c r="G957" s="123">
        <v>44</v>
      </c>
      <c r="H957" s="123">
        <v>63</v>
      </c>
      <c r="I957" s="123">
        <v>37</v>
      </c>
      <c r="J957" s="123">
        <v>59</v>
      </c>
      <c r="K957" s="123">
        <v>139</v>
      </c>
      <c r="L957" s="123">
        <v>3</v>
      </c>
      <c r="M957" s="123">
        <v>13</v>
      </c>
      <c r="N957" s="123">
        <v>1</v>
      </c>
      <c r="O957" s="123">
        <v>1</v>
      </c>
      <c r="P957" s="7" t="s">
        <v>13</v>
      </c>
      <c r="Q957" s="5"/>
      <c r="R957" s="1"/>
    </row>
    <row r="958" spans="1:18" ht="18" customHeight="1" x14ac:dyDescent="0.2">
      <c r="A958" s="207"/>
      <c r="B958" s="207"/>
      <c r="C958" s="207"/>
      <c r="D958" s="207"/>
      <c r="E958" s="207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1"/>
    </row>
    <row r="959" spans="1:18" ht="18" customHeight="1" x14ac:dyDescent="0.2">
      <c r="A959" s="159" t="s">
        <v>616</v>
      </c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"/>
    </row>
    <row r="960" spans="1:18" ht="18" customHeight="1" thickBot="1" x14ac:dyDescent="0.25">
      <c r="A960" s="160" t="s">
        <v>617</v>
      </c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"/>
    </row>
    <row r="961" spans="1:18" ht="13.5" thickBot="1" x14ac:dyDescent="0.25">
      <c r="A961" s="204" t="s">
        <v>5</v>
      </c>
      <c r="B961" s="204"/>
      <c r="C961" s="204"/>
      <c r="D961" s="204" t="s">
        <v>57</v>
      </c>
      <c r="E961" s="204"/>
      <c r="F961" s="204" t="s">
        <v>609</v>
      </c>
      <c r="G961" s="204"/>
      <c r="H961" s="204" t="s">
        <v>610</v>
      </c>
      <c r="I961" s="204"/>
      <c r="J961" s="204" t="s">
        <v>611</v>
      </c>
      <c r="K961" s="204"/>
      <c r="L961" s="204" t="s">
        <v>612</v>
      </c>
      <c r="M961" s="204"/>
      <c r="N961" s="204" t="s">
        <v>613</v>
      </c>
      <c r="O961" s="204"/>
      <c r="P961" s="205" t="s">
        <v>614</v>
      </c>
      <c r="Q961" s="47" t="s">
        <v>161</v>
      </c>
      <c r="R961" s="1"/>
    </row>
    <row r="962" spans="1:18" ht="13.5" thickBot="1" x14ac:dyDescent="0.25">
      <c r="A962" s="47" t="s">
        <v>216</v>
      </c>
      <c r="B962" s="47" t="s">
        <v>11</v>
      </c>
      <c r="C962" s="47" t="s">
        <v>10</v>
      </c>
      <c r="D962" s="47" t="s">
        <v>11</v>
      </c>
      <c r="E962" s="47" t="s">
        <v>10</v>
      </c>
      <c r="F962" s="47" t="s">
        <v>11</v>
      </c>
      <c r="G962" s="47" t="s">
        <v>10</v>
      </c>
      <c r="H962" s="47" t="s">
        <v>11</v>
      </c>
      <c r="I962" s="47" t="s">
        <v>10</v>
      </c>
      <c r="J962" s="47" t="s">
        <v>11</v>
      </c>
      <c r="K962" s="47" t="s">
        <v>10</v>
      </c>
      <c r="L962" s="47" t="s">
        <v>11</v>
      </c>
      <c r="M962" s="47" t="s">
        <v>10</v>
      </c>
      <c r="N962" s="47" t="s">
        <v>11</v>
      </c>
      <c r="O962" s="47" t="s">
        <v>10</v>
      </c>
      <c r="P962" s="206"/>
      <c r="Q962" s="33" t="s">
        <v>129</v>
      </c>
      <c r="R962" s="1"/>
    </row>
    <row r="963" spans="1:18" ht="13.5" thickBot="1" x14ac:dyDescent="0.25">
      <c r="A963" s="123">
        <v>10</v>
      </c>
      <c r="B963" s="123">
        <v>8</v>
      </c>
      <c r="C963" s="123">
        <v>2</v>
      </c>
      <c r="D963" s="123">
        <v>0</v>
      </c>
      <c r="E963" s="123">
        <v>2</v>
      </c>
      <c r="F963" s="123">
        <v>7</v>
      </c>
      <c r="G963" s="123">
        <v>0</v>
      </c>
      <c r="H963" s="123">
        <v>0</v>
      </c>
      <c r="I963" s="123">
        <v>0</v>
      </c>
      <c r="J963" s="123">
        <v>1</v>
      </c>
      <c r="K963" s="123">
        <v>0</v>
      </c>
      <c r="L963" s="123">
        <v>0</v>
      </c>
      <c r="M963" s="123">
        <v>0</v>
      </c>
      <c r="N963" s="123">
        <v>0</v>
      </c>
      <c r="O963" s="123">
        <v>0</v>
      </c>
      <c r="P963" s="7" t="s">
        <v>163</v>
      </c>
      <c r="Q963" s="124"/>
      <c r="R963" s="1"/>
    </row>
    <row r="964" spans="1:18" ht="13.5" thickBot="1" x14ac:dyDescent="0.25">
      <c r="A964" s="123">
        <v>38</v>
      </c>
      <c r="B964" s="123">
        <v>31</v>
      </c>
      <c r="C964" s="123">
        <v>7</v>
      </c>
      <c r="D964" s="123">
        <v>0</v>
      </c>
      <c r="E964" s="123">
        <v>0</v>
      </c>
      <c r="F964" s="123">
        <v>0</v>
      </c>
      <c r="G964" s="123">
        <v>0</v>
      </c>
      <c r="H964" s="123">
        <v>17</v>
      </c>
      <c r="I964" s="123">
        <v>0</v>
      </c>
      <c r="J964" s="123">
        <v>14</v>
      </c>
      <c r="K964" s="123">
        <v>6</v>
      </c>
      <c r="L964" s="123">
        <v>0</v>
      </c>
      <c r="M964" s="123">
        <v>0</v>
      </c>
      <c r="N964" s="123">
        <v>0</v>
      </c>
      <c r="O964" s="123">
        <v>1</v>
      </c>
      <c r="P964" s="7" t="s">
        <v>162</v>
      </c>
      <c r="Q964" s="124" t="s">
        <v>499</v>
      </c>
      <c r="R964" s="1"/>
    </row>
    <row r="965" spans="1:18" ht="13.5" thickBot="1" x14ac:dyDescent="0.25">
      <c r="A965" s="123">
        <v>48</v>
      </c>
      <c r="B965" s="123">
        <v>39</v>
      </c>
      <c r="C965" s="123">
        <v>9</v>
      </c>
      <c r="D965" s="123">
        <v>0</v>
      </c>
      <c r="E965" s="123">
        <v>2</v>
      </c>
      <c r="F965" s="123">
        <v>7</v>
      </c>
      <c r="G965" s="123">
        <v>0</v>
      </c>
      <c r="H965" s="123">
        <v>17</v>
      </c>
      <c r="I965" s="123">
        <v>0</v>
      </c>
      <c r="J965" s="123">
        <v>15</v>
      </c>
      <c r="K965" s="123">
        <v>6</v>
      </c>
      <c r="L965" s="123">
        <v>0</v>
      </c>
      <c r="M965" s="123">
        <v>0</v>
      </c>
      <c r="N965" s="123">
        <v>0</v>
      </c>
      <c r="O965" s="123">
        <v>1</v>
      </c>
      <c r="P965" s="7" t="s">
        <v>13</v>
      </c>
      <c r="Q965" s="9"/>
      <c r="R965" s="1"/>
    </row>
    <row r="966" spans="1:18" ht="13.5" thickBot="1" x14ac:dyDescent="0.25">
      <c r="A966" s="123">
        <v>27</v>
      </c>
      <c r="B966" s="123">
        <v>27</v>
      </c>
      <c r="C966" s="123">
        <v>0</v>
      </c>
      <c r="D966" s="123">
        <v>0</v>
      </c>
      <c r="E966" s="123">
        <v>0</v>
      </c>
      <c r="F966" s="123">
        <v>27</v>
      </c>
      <c r="G966" s="123">
        <v>0</v>
      </c>
      <c r="H966" s="123">
        <v>0</v>
      </c>
      <c r="I966" s="123">
        <v>0</v>
      </c>
      <c r="J966" s="123">
        <v>0</v>
      </c>
      <c r="K966" s="123">
        <v>0</v>
      </c>
      <c r="L966" s="123">
        <v>0</v>
      </c>
      <c r="M966" s="123">
        <v>0</v>
      </c>
      <c r="N966" s="123">
        <v>0</v>
      </c>
      <c r="O966" s="123">
        <v>0</v>
      </c>
      <c r="P966" s="7" t="s">
        <v>163</v>
      </c>
      <c r="Q966" s="124"/>
      <c r="R966" s="1"/>
    </row>
    <row r="967" spans="1:18" ht="13.5" thickBot="1" x14ac:dyDescent="0.25">
      <c r="A967" s="123">
        <v>28</v>
      </c>
      <c r="B967" s="123">
        <v>18</v>
      </c>
      <c r="C967" s="123">
        <v>10</v>
      </c>
      <c r="D967" s="123">
        <v>0</v>
      </c>
      <c r="E967" s="123">
        <v>0</v>
      </c>
      <c r="F967" s="123">
        <v>0</v>
      </c>
      <c r="G967" s="123">
        <v>0</v>
      </c>
      <c r="H967" s="123">
        <v>16</v>
      </c>
      <c r="I967" s="123">
        <v>5</v>
      </c>
      <c r="J967" s="123">
        <v>2</v>
      </c>
      <c r="K967" s="123">
        <v>5</v>
      </c>
      <c r="L967" s="123">
        <v>0</v>
      </c>
      <c r="M967" s="123">
        <v>0</v>
      </c>
      <c r="N967" s="123">
        <v>0</v>
      </c>
      <c r="O967" s="123">
        <v>0</v>
      </c>
      <c r="P967" s="7" t="s">
        <v>162</v>
      </c>
      <c r="Q967" s="124" t="s">
        <v>500</v>
      </c>
      <c r="R967" s="1"/>
    </row>
    <row r="968" spans="1:18" ht="13.5" thickBot="1" x14ac:dyDescent="0.25">
      <c r="A968" s="123">
        <v>55</v>
      </c>
      <c r="B968" s="123">
        <v>45</v>
      </c>
      <c r="C968" s="123">
        <v>10</v>
      </c>
      <c r="D968" s="123">
        <v>0</v>
      </c>
      <c r="E968" s="123">
        <v>0</v>
      </c>
      <c r="F968" s="123">
        <v>27</v>
      </c>
      <c r="G968" s="123">
        <v>0</v>
      </c>
      <c r="H968" s="123">
        <v>16</v>
      </c>
      <c r="I968" s="123">
        <v>5</v>
      </c>
      <c r="J968" s="123">
        <v>2</v>
      </c>
      <c r="K968" s="123">
        <v>5</v>
      </c>
      <c r="L968" s="123">
        <v>0</v>
      </c>
      <c r="M968" s="123">
        <v>0</v>
      </c>
      <c r="N968" s="123">
        <v>0</v>
      </c>
      <c r="O968" s="123">
        <v>0</v>
      </c>
      <c r="P968" s="7" t="s">
        <v>13</v>
      </c>
      <c r="Q968" s="9"/>
      <c r="R968" s="1"/>
    </row>
    <row r="969" spans="1:18" ht="13.5" thickBot="1" x14ac:dyDescent="0.25">
      <c r="A969" s="123">
        <v>7</v>
      </c>
      <c r="B969" s="123">
        <v>7</v>
      </c>
      <c r="C969" s="123">
        <v>0</v>
      </c>
      <c r="D969" s="123">
        <v>2</v>
      </c>
      <c r="E969" s="123">
        <v>0</v>
      </c>
      <c r="F969" s="123">
        <v>4</v>
      </c>
      <c r="G969" s="123">
        <v>0</v>
      </c>
      <c r="H969" s="123">
        <v>1</v>
      </c>
      <c r="I969" s="123">
        <v>0</v>
      </c>
      <c r="J969" s="123">
        <v>0</v>
      </c>
      <c r="K969" s="123">
        <v>0</v>
      </c>
      <c r="L969" s="123">
        <v>0</v>
      </c>
      <c r="M969" s="123">
        <v>0</v>
      </c>
      <c r="N969" s="123">
        <v>0</v>
      </c>
      <c r="O969" s="123">
        <v>0</v>
      </c>
      <c r="P969" s="7" t="s">
        <v>163</v>
      </c>
      <c r="Q969" s="124"/>
      <c r="R969" s="1"/>
    </row>
    <row r="970" spans="1:18" ht="13.5" thickBot="1" x14ac:dyDescent="0.25">
      <c r="A970" s="123">
        <v>19</v>
      </c>
      <c r="B970" s="123">
        <v>18</v>
      </c>
      <c r="C970" s="123">
        <v>1</v>
      </c>
      <c r="D970" s="123">
        <v>0</v>
      </c>
      <c r="E970" s="123">
        <v>0</v>
      </c>
      <c r="F970" s="123">
        <v>14</v>
      </c>
      <c r="G970" s="123">
        <v>0</v>
      </c>
      <c r="H970" s="123">
        <v>4</v>
      </c>
      <c r="I970" s="123">
        <v>1</v>
      </c>
      <c r="J970" s="123">
        <v>0</v>
      </c>
      <c r="K970" s="123">
        <v>0</v>
      </c>
      <c r="L970" s="123">
        <v>0</v>
      </c>
      <c r="M970" s="123">
        <v>0</v>
      </c>
      <c r="N970" s="123">
        <v>0</v>
      </c>
      <c r="O970" s="123">
        <v>0</v>
      </c>
      <c r="P970" s="7" t="s">
        <v>162</v>
      </c>
      <c r="Q970" s="124" t="s">
        <v>128</v>
      </c>
      <c r="R970" s="1"/>
    </row>
    <row r="971" spans="1:18" ht="13.5" thickBot="1" x14ac:dyDescent="0.25">
      <c r="A971" s="123">
        <v>26</v>
      </c>
      <c r="B971" s="123">
        <v>25</v>
      </c>
      <c r="C971" s="123">
        <v>1</v>
      </c>
      <c r="D971" s="123">
        <v>2</v>
      </c>
      <c r="E971" s="123">
        <v>0</v>
      </c>
      <c r="F971" s="123">
        <v>18</v>
      </c>
      <c r="G971" s="123">
        <v>0</v>
      </c>
      <c r="H971" s="123">
        <v>5</v>
      </c>
      <c r="I971" s="123">
        <v>1</v>
      </c>
      <c r="J971" s="123">
        <v>0</v>
      </c>
      <c r="K971" s="123">
        <v>0</v>
      </c>
      <c r="L971" s="123">
        <v>0</v>
      </c>
      <c r="M971" s="123">
        <v>0</v>
      </c>
      <c r="N971" s="123">
        <v>0</v>
      </c>
      <c r="O971" s="123">
        <v>0</v>
      </c>
      <c r="P971" s="7" t="s">
        <v>13</v>
      </c>
      <c r="Q971" s="9"/>
      <c r="R971" s="1"/>
    </row>
    <row r="972" spans="1:18" ht="13.5" thickBot="1" x14ac:dyDescent="0.25">
      <c r="A972" s="123">
        <v>8</v>
      </c>
      <c r="B972" s="123">
        <v>0</v>
      </c>
      <c r="C972" s="123">
        <v>8</v>
      </c>
      <c r="D972" s="123">
        <v>0</v>
      </c>
      <c r="E972" s="123">
        <v>0</v>
      </c>
      <c r="F972" s="123">
        <v>0</v>
      </c>
      <c r="G972" s="123">
        <v>4</v>
      </c>
      <c r="H972" s="123">
        <v>0</v>
      </c>
      <c r="I972" s="123">
        <v>1</v>
      </c>
      <c r="J972" s="123">
        <v>0</v>
      </c>
      <c r="K972" s="123">
        <v>3</v>
      </c>
      <c r="L972" s="123">
        <v>0</v>
      </c>
      <c r="M972" s="123">
        <v>0</v>
      </c>
      <c r="N972" s="123">
        <v>0</v>
      </c>
      <c r="O972" s="123">
        <v>0</v>
      </c>
      <c r="P972" s="7" t="s">
        <v>163</v>
      </c>
      <c r="Q972" s="124"/>
      <c r="R972" s="1"/>
    </row>
    <row r="973" spans="1:18" ht="13.5" thickBot="1" x14ac:dyDescent="0.25">
      <c r="A973" s="123">
        <v>22</v>
      </c>
      <c r="B973" s="123">
        <v>0</v>
      </c>
      <c r="C973" s="123">
        <v>22</v>
      </c>
      <c r="D973" s="123">
        <v>0</v>
      </c>
      <c r="E973" s="123">
        <v>1</v>
      </c>
      <c r="F973" s="123">
        <v>0</v>
      </c>
      <c r="G973" s="123">
        <v>0</v>
      </c>
      <c r="H973" s="123">
        <v>0</v>
      </c>
      <c r="I973" s="123">
        <v>9</v>
      </c>
      <c r="J973" s="123">
        <v>0</v>
      </c>
      <c r="K973" s="123">
        <v>10</v>
      </c>
      <c r="L973" s="123">
        <v>0</v>
      </c>
      <c r="M973" s="123">
        <v>2</v>
      </c>
      <c r="N973" s="123">
        <v>0</v>
      </c>
      <c r="O973" s="123">
        <v>0</v>
      </c>
      <c r="P973" s="7" t="s">
        <v>162</v>
      </c>
      <c r="Q973" s="124" t="s">
        <v>277</v>
      </c>
      <c r="R973" s="1"/>
    </row>
    <row r="974" spans="1:18" ht="13.5" thickBot="1" x14ac:dyDescent="0.25">
      <c r="A974" s="123">
        <v>30</v>
      </c>
      <c r="B974" s="123">
        <v>0</v>
      </c>
      <c r="C974" s="123">
        <v>30</v>
      </c>
      <c r="D974" s="123">
        <v>0</v>
      </c>
      <c r="E974" s="123">
        <v>1</v>
      </c>
      <c r="F974" s="123">
        <v>0</v>
      </c>
      <c r="G974" s="123">
        <v>4</v>
      </c>
      <c r="H974" s="123">
        <v>0</v>
      </c>
      <c r="I974" s="123">
        <v>10</v>
      </c>
      <c r="J974" s="123">
        <v>0</v>
      </c>
      <c r="K974" s="123">
        <v>13</v>
      </c>
      <c r="L974" s="123">
        <v>0</v>
      </c>
      <c r="M974" s="123">
        <v>2</v>
      </c>
      <c r="N974" s="123">
        <v>0</v>
      </c>
      <c r="O974" s="123">
        <v>0</v>
      </c>
      <c r="P974" s="7" t="s">
        <v>13</v>
      </c>
      <c r="Q974" s="9"/>
      <c r="R974" s="1"/>
    </row>
    <row r="975" spans="1:18" ht="13.5" thickBot="1" x14ac:dyDescent="0.25">
      <c r="A975" s="123">
        <v>52</v>
      </c>
      <c r="B975" s="123">
        <v>42</v>
      </c>
      <c r="C975" s="123">
        <v>10</v>
      </c>
      <c r="D975" s="123">
        <v>2</v>
      </c>
      <c r="E975" s="123">
        <v>2</v>
      </c>
      <c r="F975" s="123">
        <v>38</v>
      </c>
      <c r="G975" s="123">
        <v>4</v>
      </c>
      <c r="H975" s="123">
        <v>1</v>
      </c>
      <c r="I975" s="123">
        <v>1</v>
      </c>
      <c r="J975" s="123">
        <v>1</v>
      </c>
      <c r="K975" s="123">
        <v>3</v>
      </c>
      <c r="L975" s="123">
        <v>0</v>
      </c>
      <c r="M975" s="123">
        <v>0</v>
      </c>
      <c r="N975" s="123">
        <v>0</v>
      </c>
      <c r="O975" s="123">
        <v>0</v>
      </c>
      <c r="P975" s="7" t="s">
        <v>163</v>
      </c>
      <c r="Q975" s="3"/>
      <c r="R975" s="1"/>
    </row>
    <row r="976" spans="1:18" ht="13.5" thickBot="1" x14ac:dyDescent="0.25">
      <c r="A976" s="123">
        <v>107</v>
      </c>
      <c r="B976" s="123">
        <v>67</v>
      </c>
      <c r="C976" s="123">
        <v>40</v>
      </c>
      <c r="D976" s="123">
        <v>0</v>
      </c>
      <c r="E976" s="123">
        <v>1</v>
      </c>
      <c r="F976" s="123">
        <v>14</v>
      </c>
      <c r="G976" s="123">
        <v>0</v>
      </c>
      <c r="H976" s="123">
        <v>37</v>
      </c>
      <c r="I976" s="123">
        <v>15</v>
      </c>
      <c r="J976" s="123">
        <v>16</v>
      </c>
      <c r="K976" s="123">
        <v>21</v>
      </c>
      <c r="L976" s="123">
        <v>0</v>
      </c>
      <c r="M976" s="123">
        <v>2</v>
      </c>
      <c r="N976" s="123">
        <v>0</v>
      </c>
      <c r="O976" s="123">
        <v>1</v>
      </c>
      <c r="P976" s="7" t="s">
        <v>162</v>
      </c>
      <c r="Q976" s="11" t="s">
        <v>211</v>
      </c>
      <c r="R976" s="1"/>
    </row>
    <row r="977" spans="1:18" ht="13.5" thickBot="1" x14ac:dyDescent="0.25">
      <c r="A977" s="123">
        <v>159</v>
      </c>
      <c r="B977" s="123">
        <v>109</v>
      </c>
      <c r="C977" s="123">
        <v>50</v>
      </c>
      <c r="D977" s="123">
        <v>2</v>
      </c>
      <c r="E977" s="123">
        <v>3</v>
      </c>
      <c r="F977" s="123">
        <v>52</v>
      </c>
      <c r="G977" s="123">
        <v>4</v>
      </c>
      <c r="H977" s="123">
        <v>38</v>
      </c>
      <c r="I977" s="123">
        <v>16</v>
      </c>
      <c r="J977" s="123">
        <v>17</v>
      </c>
      <c r="K977" s="123">
        <v>24</v>
      </c>
      <c r="L977" s="123">
        <v>0</v>
      </c>
      <c r="M977" s="123">
        <v>2</v>
      </c>
      <c r="N977" s="123">
        <v>0</v>
      </c>
      <c r="O977" s="123">
        <v>1</v>
      </c>
      <c r="P977" s="7" t="s">
        <v>13</v>
      </c>
      <c r="Q977" s="5"/>
      <c r="R977" s="1"/>
    </row>
    <row r="978" spans="1:18" ht="18" customHeight="1" x14ac:dyDescent="0.2">
      <c r="A978" s="207"/>
      <c r="B978" s="207"/>
      <c r="C978" s="207"/>
      <c r="D978" s="207"/>
      <c r="E978" s="207"/>
      <c r="F978" s="207"/>
      <c r="G978" s="207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1"/>
    </row>
    <row r="979" spans="1:18" ht="18" customHeight="1" x14ac:dyDescent="0.2">
      <c r="A979" s="159" t="s">
        <v>616</v>
      </c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"/>
    </row>
    <row r="980" spans="1:18" ht="18" customHeight="1" thickBot="1" x14ac:dyDescent="0.25">
      <c r="A980" s="160" t="s">
        <v>617</v>
      </c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"/>
    </row>
    <row r="981" spans="1:18" ht="13.5" thickBot="1" x14ac:dyDescent="0.25">
      <c r="A981" s="204" t="s">
        <v>5</v>
      </c>
      <c r="B981" s="204"/>
      <c r="C981" s="204"/>
      <c r="D981" s="204" t="s">
        <v>57</v>
      </c>
      <c r="E981" s="204"/>
      <c r="F981" s="204" t="s">
        <v>609</v>
      </c>
      <c r="G981" s="204"/>
      <c r="H981" s="204" t="s">
        <v>610</v>
      </c>
      <c r="I981" s="204"/>
      <c r="J981" s="204" t="s">
        <v>611</v>
      </c>
      <c r="K981" s="204"/>
      <c r="L981" s="204" t="s">
        <v>612</v>
      </c>
      <c r="M981" s="204"/>
      <c r="N981" s="204" t="s">
        <v>613</v>
      </c>
      <c r="O981" s="204"/>
      <c r="P981" s="205" t="s">
        <v>614</v>
      </c>
      <c r="Q981" s="47" t="s">
        <v>161</v>
      </c>
      <c r="R981" s="1"/>
    </row>
    <row r="982" spans="1:18" ht="13.5" thickBot="1" x14ac:dyDescent="0.25">
      <c r="A982" s="47" t="s">
        <v>216</v>
      </c>
      <c r="B982" s="47" t="s">
        <v>11</v>
      </c>
      <c r="C982" s="47" t="s">
        <v>10</v>
      </c>
      <c r="D982" s="47" t="s">
        <v>11</v>
      </c>
      <c r="E982" s="47" t="s">
        <v>10</v>
      </c>
      <c r="F982" s="47" t="s">
        <v>11</v>
      </c>
      <c r="G982" s="47" t="s">
        <v>10</v>
      </c>
      <c r="H982" s="47" t="s">
        <v>11</v>
      </c>
      <c r="I982" s="47" t="s">
        <v>10</v>
      </c>
      <c r="J982" s="47" t="s">
        <v>11</v>
      </c>
      <c r="K982" s="47" t="s">
        <v>10</v>
      </c>
      <c r="L982" s="47" t="s">
        <v>11</v>
      </c>
      <c r="M982" s="47" t="s">
        <v>10</v>
      </c>
      <c r="N982" s="47" t="s">
        <v>11</v>
      </c>
      <c r="O982" s="47" t="s">
        <v>10</v>
      </c>
      <c r="P982" s="206"/>
      <c r="Q982" s="33" t="s">
        <v>131</v>
      </c>
      <c r="R982" s="1"/>
    </row>
    <row r="983" spans="1:18" ht="13.5" thickBot="1" x14ac:dyDescent="0.25">
      <c r="A983" s="123">
        <v>178</v>
      </c>
      <c r="B983" s="123">
        <v>178</v>
      </c>
      <c r="C983" s="123">
        <v>0</v>
      </c>
      <c r="D983" s="123">
        <v>0</v>
      </c>
      <c r="E983" s="123">
        <v>0</v>
      </c>
      <c r="F983" s="123">
        <v>19</v>
      </c>
      <c r="G983" s="123">
        <v>0</v>
      </c>
      <c r="H983" s="123">
        <v>70</v>
      </c>
      <c r="I983" s="123">
        <v>0</v>
      </c>
      <c r="J983" s="123">
        <v>75</v>
      </c>
      <c r="K983" s="123">
        <v>0</v>
      </c>
      <c r="L983" s="123">
        <v>11</v>
      </c>
      <c r="M983" s="123">
        <v>0</v>
      </c>
      <c r="N983" s="123">
        <v>3</v>
      </c>
      <c r="O983" s="123">
        <v>0</v>
      </c>
      <c r="P983" s="7" t="s">
        <v>163</v>
      </c>
      <c r="Q983" s="124"/>
      <c r="R983" s="1"/>
    </row>
    <row r="984" spans="1:18" ht="13.5" thickBot="1" x14ac:dyDescent="0.25">
      <c r="A984" s="123">
        <v>18</v>
      </c>
      <c r="B984" s="123">
        <v>6</v>
      </c>
      <c r="C984" s="123">
        <v>12</v>
      </c>
      <c r="D984" s="123">
        <v>0</v>
      </c>
      <c r="E984" s="123">
        <v>0</v>
      </c>
      <c r="F984" s="123">
        <v>0</v>
      </c>
      <c r="G984" s="123">
        <v>0</v>
      </c>
      <c r="H984" s="123">
        <v>0</v>
      </c>
      <c r="I984" s="123">
        <v>0</v>
      </c>
      <c r="J984" s="123">
        <v>1</v>
      </c>
      <c r="K984" s="123">
        <v>4</v>
      </c>
      <c r="L984" s="123">
        <v>1</v>
      </c>
      <c r="M984" s="123">
        <v>1</v>
      </c>
      <c r="N984" s="123">
        <v>4</v>
      </c>
      <c r="O984" s="123">
        <v>7</v>
      </c>
      <c r="P984" s="7" t="s">
        <v>162</v>
      </c>
      <c r="Q984" s="124" t="s">
        <v>502</v>
      </c>
      <c r="R984" s="1"/>
    </row>
    <row r="985" spans="1:18" ht="13.5" thickBot="1" x14ac:dyDescent="0.25">
      <c r="A985" s="123">
        <v>196</v>
      </c>
      <c r="B985" s="123">
        <v>184</v>
      </c>
      <c r="C985" s="123">
        <v>12</v>
      </c>
      <c r="D985" s="123">
        <v>0</v>
      </c>
      <c r="E985" s="123">
        <v>0</v>
      </c>
      <c r="F985" s="123">
        <v>19</v>
      </c>
      <c r="G985" s="123">
        <v>0</v>
      </c>
      <c r="H985" s="123">
        <v>70</v>
      </c>
      <c r="I985" s="123">
        <v>0</v>
      </c>
      <c r="J985" s="123">
        <v>76</v>
      </c>
      <c r="K985" s="123">
        <v>4</v>
      </c>
      <c r="L985" s="123">
        <v>12</v>
      </c>
      <c r="M985" s="123">
        <v>1</v>
      </c>
      <c r="N985" s="123">
        <v>7</v>
      </c>
      <c r="O985" s="123">
        <v>7</v>
      </c>
      <c r="P985" s="7" t="s">
        <v>13</v>
      </c>
      <c r="Q985" s="9"/>
      <c r="R985" s="1"/>
    </row>
    <row r="986" spans="1:18" ht="13.5" thickBot="1" x14ac:dyDescent="0.25">
      <c r="A986" s="123">
        <v>259</v>
      </c>
      <c r="B986" s="123">
        <v>259</v>
      </c>
      <c r="C986" s="123">
        <v>0</v>
      </c>
      <c r="D986" s="123">
        <v>0</v>
      </c>
      <c r="E986" s="123">
        <v>0</v>
      </c>
      <c r="F986" s="123">
        <v>23</v>
      </c>
      <c r="G986" s="123">
        <v>0</v>
      </c>
      <c r="H986" s="123">
        <v>95</v>
      </c>
      <c r="I986" s="123">
        <v>0</v>
      </c>
      <c r="J986" s="123">
        <v>128</v>
      </c>
      <c r="K986" s="123">
        <v>0</v>
      </c>
      <c r="L986" s="123">
        <v>12</v>
      </c>
      <c r="M986" s="123">
        <v>0</v>
      </c>
      <c r="N986" s="123">
        <v>1</v>
      </c>
      <c r="O986" s="123">
        <v>0</v>
      </c>
      <c r="P986" s="7" t="s">
        <v>163</v>
      </c>
      <c r="Q986" s="124"/>
      <c r="R986" s="1"/>
    </row>
    <row r="987" spans="1:18" ht="13.5" thickBot="1" x14ac:dyDescent="0.25">
      <c r="A987" s="123">
        <v>13</v>
      </c>
      <c r="B987" s="123">
        <v>4</v>
      </c>
      <c r="C987" s="123">
        <v>9</v>
      </c>
      <c r="D987" s="123">
        <v>0</v>
      </c>
      <c r="E987" s="123">
        <v>0</v>
      </c>
      <c r="F987" s="123">
        <v>0</v>
      </c>
      <c r="G987" s="123">
        <v>0</v>
      </c>
      <c r="H987" s="123">
        <v>1</v>
      </c>
      <c r="I987" s="123">
        <v>0</v>
      </c>
      <c r="J987" s="123">
        <v>2</v>
      </c>
      <c r="K987" s="123">
        <v>1</v>
      </c>
      <c r="L987" s="123">
        <v>1</v>
      </c>
      <c r="M987" s="123">
        <v>5</v>
      </c>
      <c r="N987" s="123">
        <v>0</v>
      </c>
      <c r="O987" s="123">
        <v>3</v>
      </c>
      <c r="P987" s="7" t="s">
        <v>162</v>
      </c>
      <c r="Q987" s="124" t="s">
        <v>503</v>
      </c>
      <c r="R987" s="1"/>
    </row>
    <row r="988" spans="1:18" ht="13.5" thickBot="1" x14ac:dyDescent="0.25">
      <c r="A988" s="123">
        <v>272</v>
      </c>
      <c r="B988" s="123">
        <v>263</v>
      </c>
      <c r="C988" s="123">
        <v>9</v>
      </c>
      <c r="D988" s="123">
        <v>0</v>
      </c>
      <c r="E988" s="123">
        <v>0</v>
      </c>
      <c r="F988" s="123">
        <v>23</v>
      </c>
      <c r="G988" s="123">
        <v>0</v>
      </c>
      <c r="H988" s="123">
        <v>96</v>
      </c>
      <c r="I988" s="123">
        <v>0</v>
      </c>
      <c r="J988" s="123">
        <v>130</v>
      </c>
      <c r="K988" s="123">
        <v>1</v>
      </c>
      <c r="L988" s="123">
        <v>13</v>
      </c>
      <c r="M988" s="123">
        <v>5</v>
      </c>
      <c r="N988" s="123">
        <v>1</v>
      </c>
      <c r="O988" s="123">
        <v>3</v>
      </c>
      <c r="P988" s="7" t="s">
        <v>13</v>
      </c>
      <c r="Q988" s="9"/>
      <c r="R988" s="1"/>
    </row>
    <row r="989" spans="1:18" ht="13.5" thickBot="1" x14ac:dyDescent="0.25">
      <c r="A989" s="123">
        <v>101</v>
      </c>
      <c r="B989" s="123">
        <v>101</v>
      </c>
      <c r="C989" s="123">
        <v>0</v>
      </c>
      <c r="D989" s="123">
        <v>0</v>
      </c>
      <c r="E989" s="123">
        <v>0</v>
      </c>
      <c r="F989" s="123">
        <v>37</v>
      </c>
      <c r="G989" s="123">
        <v>0</v>
      </c>
      <c r="H989" s="123">
        <v>36</v>
      </c>
      <c r="I989" s="123">
        <v>0</v>
      </c>
      <c r="J989" s="123">
        <v>21</v>
      </c>
      <c r="K989" s="123">
        <v>0</v>
      </c>
      <c r="L989" s="123">
        <v>6</v>
      </c>
      <c r="M989" s="123">
        <v>0</v>
      </c>
      <c r="N989" s="123">
        <v>1</v>
      </c>
      <c r="O989" s="123">
        <v>0</v>
      </c>
      <c r="P989" s="7" t="s">
        <v>163</v>
      </c>
      <c r="Q989" s="124"/>
      <c r="R989" s="1"/>
    </row>
    <row r="990" spans="1:18" ht="13.5" thickBot="1" x14ac:dyDescent="0.25">
      <c r="A990" s="123">
        <v>13</v>
      </c>
      <c r="B990" s="123">
        <v>12</v>
      </c>
      <c r="C990" s="123">
        <v>1</v>
      </c>
      <c r="D990" s="123">
        <v>0</v>
      </c>
      <c r="E990" s="123">
        <v>0</v>
      </c>
      <c r="F990" s="123">
        <v>0</v>
      </c>
      <c r="G990" s="123">
        <v>0</v>
      </c>
      <c r="H990" s="123">
        <v>0</v>
      </c>
      <c r="I990" s="123">
        <v>0</v>
      </c>
      <c r="J990" s="123">
        <v>6</v>
      </c>
      <c r="K990" s="123">
        <v>0</v>
      </c>
      <c r="L990" s="123">
        <v>4</v>
      </c>
      <c r="M990" s="123">
        <v>1</v>
      </c>
      <c r="N990" s="123">
        <v>2</v>
      </c>
      <c r="O990" s="123">
        <v>0</v>
      </c>
      <c r="P990" s="7" t="s">
        <v>162</v>
      </c>
      <c r="Q990" s="124" t="s">
        <v>504</v>
      </c>
      <c r="R990" s="1"/>
    </row>
    <row r="991" spans="1:18" ht="13.5" thickBot="1" x14ac:dyDescent="0.25">
      <c r="A991" s="123">
        <v>114</v>
      </c>
      <c r="B991" s="123">
        <v>113</v>
      </c>
      <c r="C991" s="123">
        <v>1</v>
      </c>
      <c r="D991" s="123">
        <v>0</v>
      </c>
      <c r="E991" s="123">
        <v>0</v>
      </c>
      <c r="F991" s="123">
        <v>37</v>
      </c>
      <c r="G991" s="123">
        <v>0</v>
      </c>
      <c r="H991" s="123">
        <v>36</v>
      </c>
      <c r="I991" s="123">
        <v>0</v>
      </c>
      <c r="J991" s="123">
        <v>27</v>
      </c>
      <c r="K991" s="123">
        <v>0</v>
      </c>
      <c r="L991" s="123">
        <v>10</v>
      </c>
      <c r="M991" s="123">
        <v>1</v>
      </c>
      <c r="N991" s="123">
        <v>3</v>
      </c>
      <c r="O991" s="123">
        <v>0</v>
      </c>
      <c r="P991" s="7" t="s">
        <v>13</v>
      </c>
      <c r="Q991" s="9"/>
      <c r="R991" s="1"/>
    </row>
    <row r="992" spans="1:18" ht="13.5" thickBot="1" x14ac:dyDescent="0.25">
      <c r="A992" s="123">
        <v>59</v>
      </c>
      <c r="B992" s="123">
        <v>59</v>
      </c>
      <c r="C992" s="123">
        <v>0</v>
      </c>
      <c r="D992" s="123">
        <v>0</v>
      </c>
      <c r="E992" s="123">
        <v>0</v>
      </c>
      <c r="F992" s="123">
        <v>2</v>
      </c>
      <c r="G992" s="123">
        <v>0</v>
      </c>
      <c r="H992" s="123">
        <v>21</v>
      </c>
      <c r="I992" s="123">
        <v>0</v>
      </c>
      <c r="J992" s="123">
        <v>30</v>
      </c>
      <c r="K992" s="123">
        <v>0</v>
      </c>
      <c r="L992" s="123">
        <v>5</v>
      </c>
      <c r="M992" s="123">
        <v>0</v>
      </c>
      <c r="N992" s="123">
        <v>1</v>
      </c>
      <c r="O992" s="123">
        <v>0</v>
      </c>
      <c r="P992" s="7" t="s">
        <v>163</v>
      </c>
      <c r="Q992" s="124"/>
      <c r="R992" s="1"/>
    </row>
    <row r="993" spans="1:18" ht="13.5" thickBot="1" x14ac:dyDescent="0.25">
      <c r="A993" s="123">
        <v>6</v>
      </c>
      <c r="B993" s="123">
        <v>5</v>
      </c>
      <c r="C993" s="123">
        <v>1</v>
      </c>
      <c r="D993" s="123">
        <v>0</v>
      </c>
      <c r="E993" s="123">
        <v>0</v>
      </c>
      <c r="F993" s="123">
        <v>0</v>
      </c>
      <c r="G993" s="123">
        <v>0</v>
      </c>
      <c r="H993" s="123">
        <v>0</v>
      </c>
      <c r="I993" s="123">
        <v>0</v>
      </c>
      <c r="J993" s="123">
        <v>1</v>
      </c>
      <c r="K993" s="123">
        <v>0</v>
      </c>
      <c r="L993" s="123">
        <v>3</v>
      </c>
      <c r="M993" s="123">
        <v>1</v>
      </c>
      <c r="N993" s="123">
        <v>1</v>
      </c>
      <c r="O993" s="123">
        <v>0</v>
      </c>
      <c r="P993" s="7" t="s">
        <v>162</v>
      </c>
      <c r="Q993" s="124" t="s">
        <v>505</v>
      </c>
      <c r="R993" s="1"/>
    </row>
    <row r="994" spans="1:18" ht="13.5" thickBot="1" x14ac:dyDescent="0.25">
      <c r="A994" s="123">
        <v>65</v>
      </c>
      <c r="B994" s="123">
        <v>64</v>
      </c>
      <c r="C994" s="123">
        <v>1</v>
      </c>
      <c r="D994" s="123">
        <v>0</v>
      </c>
      <c r="E994" s="123">
        <v>0</v>
      </c>
      <c r="F994" s="123">
        <v>2</v>
      </c>
      <c r="G994" s="123">
        <v>0</v>
      </c>
      <c r="H994" s="123">
        <v>21</v>
      </c>
      <c r="I994" s="123">
        <v>0</v>
      </c>
      <c r="J994" s="123">
        <v>31</v>
      </c>
      <c r="K994" s="123">
        <v>0</v>
      </c>
      <c r="L994" s="123">
        <v>8</v>
      </c>
      <c r="M994" s="123">
        <v>1</v>
      </c>
      <c r="N994" s="123">
        <v>2</v>
      </c>
      <c r="O994" s="123">
        <v>0</v>
      </c>
      <c r="P994" s="7" t="s">
        <v>13</v>
      </c>
      <c r="Q994" s="9"/>
      <c r="R994" s="1"/>
    </row>
    <row r="995" spans="1:18" ht="13.5" thickBot="1" x14ac:dyDescent="0.25">
      <c r="A995" s="123">
        <v>94</v>
      </c>
      <c r="B995" s="123">
        <v>94</v>
      </c>
      <c r="C995" s="123">
        <v>0</v>
      </c>
      <c r="D995" s="123">
        <v>0</v>
      </c>
      <c r="E995" s="123">
        <v>0</v>
      </c>
      <c r="F995" s="123">
        <v>34</v>
      </c>
      <c r="G995" s="123">
        <v>0</v>
      </c>
      <c r="H995" s="123">
        <v>44</v>
      </c>
      <c r="I995" s="123">
        <v>0</v>
      </c>
      <c r="J995" s="123">
        <v>15</v>
      </c>
      <c r="K995" s="123">
        <v>0</v>
      </c>
      <c r="L995" s="123">
        <v>1</v>
      </c>
      <c r="M995" s="123">
        <v>0</v>
      </c>
      <c r="N995" s="123">
        <v>0</v>
      </c>
      <c r="O995" s="123">
        <v>0</v>
      </c>
      <c r="P995" s="7" t="s">
        <v>163</v>
      </c>
      <c r="Q995" s="124"/>
      <c r="R995" s="1"/>
    </row>
    <row r="996" spans="1:18" ht="13.5" thickBot="1" x14ac:dyDescent="0.25">
      <c r="A996" s="123">
        <v>15</v>
      </c>
      <c r="B996" s="123">
        <v>11</v>
      </c>
      <c r="C996" s="123">
        <v>4</v>
      </c>
      <c r="D996" s="123">
        <v>0</v>
      </c>
      <c r="E996" s="123">
        <v>0</v>
      </c>
      <c r="F996" s="123">
        <v>0</v>
      </c>
      <c r="G996" s="123">
        <v>0</v>
      </c>
      <c r="H996" s="123">
        <v>0</v>
      </c>
      <c r="I996" s="123">
        <v>0</v>
      </c>
      <c r="J996" s="123">
        <v>9</v>
      </c>
      <c r="K996" s="123">
        <v>4</v>
      </c>
      <c r="L996" s="123">
        <v>2</v>
      </c>
      <c r="M996" s="123">
        <v>0</v>
      </c>
      <c r="N996" s="123">
        <v>0</v>
      </c>
      <c r="O996" s="123">
        <v>0</v>
      </c>
      <c r="P996" s="7" t="s">
        <v>162</v>
      </c>
      <c r="Q996" s="124" t="s">
        <v>506</v>
      </c>
      <c r="R996" s="1"/>
    </row>
    <row r="997" spans="1:18" ht="13.5" thickBot="1" x14ac:dyDescent="0.25">
      <c r="A997" s="123">
        <v>109</v>
      </c>
      <c r="B997" s="123">
        <v>105</v>
      </c>
      <c r="C997" s="123">
        <v>4</v>
      </c>
      <c r="D997" s="123">
        <v>0</v>
      </c>
      <c r="E997" s="123">
        <v>0</v>
      </c>
      <c r="F997" s="123">
        <v>34</v>
      </c>
      <c r="G997" s="123">
        <v>0</v>
      </c>
      <c r="H997" s="123">
        <v>44</v>
      </c>
      <c r="I997" s="123">
        <v>0</v>
      </c>
      <c r="J997" s="123">
        <v>24</v>
      </c>
      <c r="K997" s="123">
        <v>4</v>
      </c>
      <c r="L997" s="123">
        <v>3</v>
      </c>
      <c r="M997" s="123">
        <v>0</v>
      </c>
      <c r="N997" s="123">
        <v>0</v>
      </c>
      <c r="O997" s="123">
        <v>0</v>
      </c>
      <c r="P997" s="7" t="s">
        <v>13</v>
      </c>
      <c r="Q997" s="9"/>
      <c r="R997" s="1"/>
    </row>
    <row r="998" spans="1:18" ht="13.5" thickBot="1" x14ac:dyDescent="0.25">
      <c r="A998" s="123">
        <v>6</v>
      </c>
      <c r="B998" s="123">
        <v>6</v>
      </c>
      <c r="C998" s="123">
        <v>0</v>
      </c>
      <c r="D998" s="123">
        <v>0</v>
      </c>
      <c r="E998" s="123">
        <v>0</v>
      </c>
      <c r="F998" s="123">
        <v>6</v>
      </c>
      <c r="G998" s="123">
        <v>0</v>
      </c>
      <c r="H998" s="123">
        <v>0</v>
      </c>
      <c r="I998" s="123">
        <v>0</v>
      </c>
      <c r="J998" s="123">
        <v>0</v>
      </c>
      <c r="K998" s="123">
        <v>0</v>
      </c>
      <c r="L998" s="123">
        <v>0</v>
      </c>
      <c r="M998" s="123">
        <v>0</v>
      </c>
      <c r="N998" s="123">
        <v>0</v>
      </c>
      <c r="O998" s="123">
        <v>0</v>
      </c>
      <c r="P998" s="7" t="s">
        <v>163</v>
      </c>
      <c r="Q998" s="124"/>
      <c r="R998" s="1"/>
    </row>
    <row r="999" spans="1:18" ht="13.5" thickBot="1" x14ac:dyDescent="0.25">
      <c r="A999" s="123">
        <v>35</v>
      </c>
      <c r="B999" s="123">
        <v>27</v>
      </c>
      <c r="C999" s="123">
        <v>8</v>
      </c>
      <c r="D999" s="123">
        <v>0</v>
      </c>
      <c r="E999" s="123">
        <v>0</v>
      </c>
      <c r="F999" s="123">
        <v>0</v>
      </c>
      <c r="G999" s="123">
        <v>0</v>
      </c>
      <c r="H999" s="123">
        <v>14</v>
      </c>
      <c r="I999" s="123">
        <v>2</v>
      </c>
      <c r="J999" s="123">
        <v>12</v>
      </c>
      <c r="K999" s="123">
        <v>6</v>
      </c>
      <c r="L999" s="123">
        <v>1</v>
      </c>
      <c r="M999" s="123">
        <v>0</v>
      </c>
      <c r="N999" s="123">
        <v>0</v>
      </c>
      <c r="O999" s="123">
        <v>0</v>
      </c>
      <c r="P999" s="7" t="s">
        <v>162</v>
      </c>
      <c r="Q999" s="124" t="s">
        <v>507</v>
      </c>
      <c r="R999" s="1"/>
    </row>
    <row r="1000" spans="1:18" ht="13.5" thickBot="1" x14ac:dyDescent="0.25">
      <c r="A1000" s="123">
        <v>41</v>
      </c>
      <c r="B1000" s="123">
        <v>33</v>
      </c>
      <c r="C1000" s="123">
        <v>8</v>
      </c>
      <c r="D1000" s="123">
        <v>0</v>
      </c>
      <c r="E1000" s="123">
        <v>0</v>
      </c>
      <c r="F1000" s="123">
        <v>6</v>
      </c>
      <c r="G1000" s="123">
        <v>0</v>
      </c>
      <c r="H1000" s="123">
        <v>14</v>
      </c>
      <c r="I1000" s="123">
        <v>2</v>
      </c>
      <c r="J1000" s="123">
        <v>12</v>
      </c>
      <c r="K1000" s="123">
        <v>6</v>
      </c>
      <c r="L1000" s="123">
        <v>1</v>
      </c>
      <c r="M1000" s="123">
        <v>0</v>
      </c>
      <c r="N1000" s="123">
        <v>0</v>
      </c>
      <c r="O1000" s="123">
        <v>0</v>
      </c>
      <c r="P1000" s="7" t="s">
        <v>13</v>
      </c>
      <c r="Q1000" s="9"/>
      <c r="R1000" s="1"/>
    </row>
    <row r="1001" spans="1:18" ht="13.5" thickBot="1" x14ac:dyDescent="0.25">
      <c r="A1001" s="123">
        <v>10</v>
      </c>
      <c r="B1001" s="123">
        <v>10</v>
      </c>
      <c r="C1001" s="123">
        <v>0</v>
      </c>
      <c r="D1001" s="123">
        <v>1</v>
      </c>
      <c r="E1001" s="123">
        <v>0</v>
      </c>
      <c r="F1001" s="123">
        <v>9</v>
      </c>
      <c r="G1001" s="123">
        <v>0</v>
      </c>
      <c r="H1001" s="123">
        <v>0</v>
      </c>
      <c r="I1001" s="123">
        <v>0</v>
      </c>
      <c r="J1001" s="123">
        <v>0</v>
      </c>
      <c r="K1001" s="123">
        <v>0</v>
      </c>
      <c r="L1001" s="123">
        <v>0</v>
      </c>
      <c r="M1001" s="123">
        <v>0</v>
      </c>
      <c r="N1001" s="123">
        <v>0</v>
      </c>
      <c r="O1001" s="123">
        <v>0</v>
      </c>
      <c r="P1001" s="7" t="s">
        <v>163</v>
      </c>
      <c r="Q1001" s="124"/>
      <c r="R1001" s="1"/>
    </row>
    <row r="1002" spans="1:18" ht="13.5" thickBot="1" x14ac:dyDescent="0.25">
      <c r="A1002" s="123">
        <v>30</v>
      </c>
      <c r="B1002" s="123">
        <v>20</v>
      </c>
      <c r="C1002" s="123">
        <v>10</v>
      </c>
      <c r="D1002" s="123">
        <v>0</v>
      </c>
      <c r="E1002" s="123">
        <v>0</v>
      </c>
      <c r="F1002" s="123">
        <v>0</v>
      </c>
      <c r="G1002" s="123">
        <v>0</v>
      </c>
      <c r="H1002" s="123">
        <v>12</v>
      </c>
      <c r="I1002" s="123">
        <v>1</v>
      </c>
      <c r="J1002" s="123">
        <v>7</v>
      </c>
      <c r="K1002" s="123">
        <v>9</v>
      </c>
      <c r="L1002" s="123">
        <v>1</v>
      </c>
      <c r="M1002" s="123">
        <v>0</v>
      </c>
      <c r="N1002" s="123">
        <v>0</v>
      </c>
      <c r="O1002" s="123">
        <v>0</v>
      </c>
      <c r="P1002" s="7" t="s">
        <v>162</v>
      </c>
      <c r="Q1002" s="124" t="s">
        <v>508</v>
      </c>
      <c r="R1002" s="1"/>
    </row>
    <row r="1003" spans="1:18" ht="13.5" thickBot="1" x14ac:dyDescent="0.25">
      <c r="A1003" s="123">
        <v>40</v>
      </c>
      <c r="B1003" s="123">
        <v>30</v>
      </c>
      <c r="C1003" s="123">
        <v>10</v>
      </c>
      <c r="D1003" s="123">
        <v>1</v>
      </c>
      <c r="E1003" s="123">
        <v>0</v>
      </c>
      <c r="F1003" s="123">
        <v>9</v>
      </c>
      <c r="G1003" s="123">
        <v>0</v>
      </c>
      <c r="H1003" s="123">
        <v>12</v>
      </c>
      <c r="I1003" s="123">
        <v>1</v>
      </c>
      <c r="J1003" s="123">
        <v>7</v>
      </c>
      <c r="K1003" s="123">
        <v>9</v>
      </c>
      <c r="L1003" s="123">
        <v>1</v>
      </c>
      <c r="M1003" s="123">
        <v>0</v>
      </c>
      <c r="N1003" s="123">
        <v>0</v>
      </c>
      <c r="O1003" s="123">
        <v>0</v>
      </c>
      <c r="P1003" s="7" t="s">
        <v>13</v>
      </c>
      <c r="Q1003" s="9"/>
      <c r="R1003" s="1"/>
    </row>
    <row r="1004" spans="1:18" ht="13.5" thickBot="1" x14ac:dyDescent="0.25">
      <c r="A1004" s="123">
        <v>13</v>
      </c>
      <c r="B1004" s="123">
        <v>13</v>
      </c>
      <c r="C1004" s="123">
        <v>0</v>
      </c>
      <c r="D1004" s="123">
        <v>0</v>
      </c>
      <c r="E1004" s="123">
        <v>0</v>
      </c>
      <c r="F1004" s="123">
        <v>13</v>
      </c>
      <c r="G1004" s="123">
        <v>0</v>
      </c>
      <c r="H1004" s="123">
        <v>0</v>
      </c>
      <c r="I1004" s="123">
        <v>0</v>
      </c>
      <c r="J1004" s="123">
        <v>0</v>
      </c>
      <c r="K1004" s="123">
        <v>0</v>
      </c>
      <c r="L1004" s="123">
        <v>0</v>
      </c>
      <c r="M1004" s="123">
        <v>0</v>
      </c>
      <c r="N1004" s="123">
        <v>0</v>
      </c>
      <c r="O1004" s="123">
        <v>0</v>
      </c>
      <c r="P1004" s="7" t="s">
        <v>163</v>
      </c>
      <c r="Q1004" s="124"/>
      <c r="R1004" s="1"/>
    </row>
    <row r="1005" spans="1:18" ht="13.5" thickBot="1" x14ac:dyDescent="0.25">
      <c r="A1005" s="123">
        <v>18</v>
      </c>
      <c r="B1005" s="123">
        <v>15</v>
      </c>
      <c r="C1005" s="123">
        <v>3</v>
      </c>
      <c r="D1005" s="123">
        <v>0</v>
      </c>
      <c r="E1005" s="123">
        <v>0</v>
      </c>
      <c r="F1005" s="123">
        <v>0</v>
      </c>
      <c r="G1005" s="123">
        <v>0</v>
      </c>
      <c r="H1005" s="123">
        <v>6</v>
      </c>
      <c r="I1005" s="123">
        <v>1</v>
      </c>
      <c r="J1005" s="123">
        <v>9</v>
      </c>
      <c r="K1005" s="123">
        <v>2</v>
      </c>
      <c r="L1005" s="123">
        <v>0</v>
      </c>
      <c r="M1005" s="123">
        <v>0</v>
      </c>
      <c r="N1005" s="123">
        <v>0</v>
      </c>
      <c r="O1005" s="123">
        <v>0</v>
      </c>
      <c r="P1005" s="7" t="s">
        <v>162</v>
      </c>
      <c r="Q1005" s="124" t="s">
        <v>509</v>
      </c>
      <c r="R1005" s="1"/>
    </row>
    <row r="1006" spans="1:18" ht="13.5" thickBot="1" x14ac:dyDescent="0.25">
      <c r="A1006" s="123">
        <v>31</v>
      </c>
      <c r="B1006" s="123">
        <v>28</v>
      </c>
      <c r="C1006" s="123">
        <v>3</v>
      </c>
      <c r="D1006" s="123">
        <v>0</v>
      </c>
      <c r="E1006" s="123">
        <v>0</v>
      </c>
      <c r="F1006" s="123">
        <v>13</v>
      </c>
      <c r="G1006" s="123">
        <v>0</v>
      </c>
      <c r="H1006" s="123">
        <v>6</v>
      </c>
      <c r="I1006" s="123">
        <v>1</v>
      </c>
      <c r="J1006" s="123">
        <v>9</v>
      </c>
      <c r="K1006" s="123">
        <v>2</v>
      </c>
      <c r="L1006" s="123">
        <v>0</v>
      </c>
      <c r="M1006" s="123">
        <v>0</v>
      </c>
      <c r="N1006" s="123">
        <v>0</v>
      </c>
      <c r="O1006" s="123">
        <v>0</v>
      </c>
      <c r="P1006" s="7" t="s">
        <v>13</v>
      </c>
      <c r="Q1006" s="9"/>
      <c r="R1006" s="1"/>
    </row>
    <row r="1007" spans="1:18" ht="13.5" thickBot="1" x14ac:dyDescent="0.25">
      <c r="A1007" s="123">
        <v>10</v>
      </c>
      <c r="B1007" s="123">
        <v>10</v>
      </c>
      <c r="C1007" s="123">
        <v>0</v>
      </c>
      <c r="D1007" s="123">
        <v>0</v>
      </c>
      <c r="E1007" s="123">
        <v>0</v>
      </c>
      <c r="F1007" s="123">
        <v>7</v>
      </c>
      <c r="G1007" s="123">
        <v>0</v>
      </c>
      <c r="H1007" s="123">
        <v>3</v>
      </c>
      <c r="I1007" s="123">
        <v>0</v>
      </c>
      <c r="J1007" s="123">
        <v>0</v>
      </c>
      <c r="K1007" s="123">
        <v>0</v>
      </c>
      <c r="L1007" s="123">
        <v>0</v>
      </c>
      <c r="M1007" s="123">
        <v>0</v>
      </c>
      <c r="N1007" s="123">
        <v>0</v>
      </c>
      <c r="O1007" s="123">
        <v>0</v>
      </c>
      <c r="P1007" s="7" t="s">
        <v>163</v>
      </c>
      <c r="Q1007" s="124"/>
      <c r="R1007" s="1"/>
    </row>
    <row r="1008" spans="1:18" ht="13.5" thickBot="1" x14ac:dyDescent="0.25">
      <c r="A1008" s="123">
        <v>36</v>
      </c>
      <c r="B1008" s="123">
        <v>32</v>
      </c>
      <c r="C1008" s="123">
        <v>4</v>
      </c>
      <c r="D1008" s="123">
        <v>0</v>
      </c>
      <c r="E1008" s="123">
        <v>0</v>
      </c>
      <c r="F1008" s="123">
        <v>0</v>
      </c>
      <c r="G1008" s="123">
        <v>0</v>
      </c>
      <c r="H1008" s="123">
        <v>20</v>
      </c>
      <c r="I1008" s="123">
        <v>2</v>
      </c>
      <c r="J1008" s="123">
        <v>12</v>
      </c>
      <c r="K1008" s="123">
        <v>1</v>
      </c>
      <c r="L1008" s="123">
        <v>0</v>
      </c>
      <c r="M1008" s="123">
        <v>1</v>
      </c>
      <c r="N1008" s="123">
        <v>0</v>
      </c>
      <c r="O1008" s="123">
        <v>0</v>
      </c>
      <c r="P1008" s="7" t="s">
        <v>162</v>
      </c>
      <c r="Q1008" s="124" t="s">
        <v>510</v>
      </c>
      <c r="R1008" s="1"/>
    </row>
    <row r="1009" spans="1:18" ht="13.5" thickBot="1" x14ac:dyDescent="0.25">
      <c r="A1009" s="123">
        <v>46</v>
      </c>
      <c r="B1009" s="123">
        <v>42</v>
      </c>
      <c r="C1009" s="123">
        <v>4</v>
      </c>
      <c r="D1009" s="123">
        <v>0</v>
      </c>
      <c r="E1009" s="123">
        <v>0</v>
      </c>
      <c r="F1009" s="123">
        <v>7</v>
      </c>
      <c r="G1009" s="123">
        <v>0</v>
      </c>
      <c r="H1009" s="123">
        <v>23</v>
      </c>
      <c r="I1009" s="123">
        <v>2</v>
      </c>
      <c r="J1009" s="123">
        <v>12</v>
      </c>
      <c r="K1009" s="123">
        <v>1</v>
      </c>
      <c r="L1009" s="123">
        <v>0</v>
      </c>
      <c r="M1009" s="123">
        <v>1</v>
      </c>
      <c r="N1009" s="123">
        <v>0</v>
      </c>
      <c r="O1009" s="123">
        <v>0</v>
      </c>
      <c r="P1009" s="7" t="s">
        <v>13</v>
      </c>
      <c r="Q1009" s="9"/>
      <c r="R1009" s="1"/>
    </row>
    <row r="1010" spans="1:18" ht="13.5" thickBot="1" x14ac:dyDescent="0.25">
      <c r="A1010" s="123">
        <v>7</v>
      </c>
      <c r="B1010" s="123">
        <v>7</v>
      </c>
      <c r="C1010" s="123">
        <v>0</v>
      </c>
      <c r="D1010" s="123">
        <v>0</v>
      </c>
      <c r="E1010" s="123">
        <v>0</v>
      </c>
      <c r="F1010" s="123">
        <v>6</v>
      </c>
      <c r="G1010" s="123">
        <v>0</v>
      </c>
      <c r="H1010" s="123">
        <v>1</v>
      </c>
      <c r="I1010" s="123">
        <v>0</v>
      </c>
      <c r="J1010" s="123">
        <v>0</v>
      </c>
      <c r="K1010" s="123">
        <v>0</v>
      </c>
      <c r="L1010" s="123">
        <v>0</v>
      </c>
      <c r="M1010" s="123">
        <v>0</v>
      </c>
      <c r="N1010" s="123">
        <v>0</v>
      </c>
      <c r="O1010" s="123">
        <v>0</v>
      </c>
      <c r="P1010" s="7" t="s">
        <v>163</v>
      </c>
      <c r="Q1010" s="124"/>
      <c r="R1010" s="1"/>
    </row>
    <row r="1011" spans="1:18" ht="13.5" thickBot="1" x14ac:dyDescent="0.25">
      <c r="A1011" s="123">
        <v>43</v>
      </c>
      <c r="B1011" s="123">
        <v>34</v>
      </c>
      <c r="C1011" s="123">
        <v>9</v>
      </c>
      <c r="D1011" s="123">
        <v>1</v>
      </c>
      <c r="E1011" s="123">
        <v>0</v>
      </c>
      <c r="F1011" s="123">
        <v>0</v>
      </c>
      <c r="G1011" s="123">
        <v>0</v>
      </c>
      <c r="H1011" s="123">
        <v>13</v>
      </c>
      <c r="I1011" s="123">
        <v>0</v>
      </c>
      <c r="J1011" s="123">
        <v>20</v>
      </c>
      <c r="K1011" s="123">
        <v>8</v>
      </c>
      <c r="L1011" s="123">
        <v>0</v>
      </c>
      <c r="M1011" s="123">
        <v>1</v>
      </c>
      <c r="N1011" s="123">
        <v>0</v>
      </c>
      <c r="O1011" s="123">
        <v>0</v>
      </c>
      <c r="P1011" s="7" t="s">
        <v>162</v>
      </c>
      <c r="Q1011" s="124" t="s">
        <v>511</v>
      </c>
      <c r="R1011" s="1"/>
    </row>
    <row r="1012" spans="1:18" ht="13.5" thickBot="1" x14ac:dyDescent="0.25">
      <c r="A1012" s="123">
        <v>50</v>
      </c>
      <c r="B1012" s="123">
        <v>41</v>
      </c>
      <c r="C1012" s="123">
        <v>9</v>
      </c>
      <c r="D1012" s="123">
        <v>1</v>
      </c>
      <c r="E1012" s="123">
        <v>0</v>
      </c>
      <c r="F1012" s="123">
        <v>6</v>
      </c>
      <c r="G1012" s="123">
        <v>0</v>
      </c>
      <c r="H1012" s="123">
        <v>14</v>
      </c>
      <c r="I1012" s="123">
        <v>0</v>
      </c>
      <c r="J1012" s="123">
        <v>20</v>
      </c>
      <c r="K1012" s="123">
        <v>8</v>
      </c>
      <c r="L1012" s="123">
        <v>0</v>
      </c>
      <c r="M1012" s="123">
        <v>1</v>
      </c>
      <c r="N1012" s="123">
        <v>0</v>
      </c>
      <c r="O1012" s="123">
        <v>0</v>
      </c>
      <c r="P1012" s="7" t="s">
        <v>13</v>
      </c>
      <c r="Q1012" s="9"/>
      <c r="R1012" s="1"/>
    </row>
    <row r="1013" spans="1:18" ht="13.5" thickBot="1" x14ac:dyDescent="0.25">
      <c r="A1013" s="123">
        <v>5</v>
      </c>
      <c r="B1013" s="123">
        <v>3</v>
      </c>
      <c r="C1013" s="123">
        <v>2</v>
      </c>
      <c r="D1013" s="123">
        <v>0</v>
      </c>
      <c r="E1013" s="123">
        <v>0</v>
      </c>
      <c r="F1013" s="123">
        <v>2</v>
      </c>
      <c r="G1013" s="123">
        <v>2</v>
      </c>
      <c r="H1013" s="123">
        <v>1</v>
      </c>
      <c r="I1013" s="123">
        <v>0</v>
      </c>
      <c r="J1013" s="123">
        <v>0</v>
      </c>
      <c r="K1013" s="123">
        <v>0</v>
      </c>
      <c r="L1013" s="123">
        <v>0</v>
      </c>
      <c r="M1013" s="123">
        <v>0</v>
      </c>
      <c r="N1013" s="123">
        <v>0</v>
      </c>
      <c r="O1013" s="123">
        <v>0</v>
      </c>
      <c r="P1013" s="7" t="s">
        <v>163</v>
      </c>
      <c r="Q1013" s="124"/>
      <c r="R1013" s="1"/>
    </row>
    <row r="1014" spans="1:18" ht="13.5" thickBot="1" x14ac:dyDescent="0.25">
      <c r="A1014" s="123">
        <v>31</v>
      </c>
      <c r="B1014" s="123">
        <v>26</v>
      </c>
      <c r="C1014" s="123">
        <v>5</v>
      </c>
      <c r="D1014" s="123">
        <v>0</v>
      </c>
      <c r="E1014" s="123">
        <v>0</v>
      </c>
      <c r="F1014" s="123">
        <v>0</v>
      </c>
      <c r="G1014" s="123">
        <v>0</v>
      </c>
      <c r="H1014" s="123">
        <v>10</v>
      </c>
      <c r="I1014" s="123">
        <v>0</v>
      </c>
      <c r="J1014" s="123">
        <v>14</v>
      </c>
      <c r="K1014" s="123">
        <v>5</v>
      </c>
      <c r="L1014" s="123">
        <v>2</v>
      </c>
      <c r="M1014" s="123">
        <v>0</v>
      </c>
      <c r="N1014" s="123">
        <v>0</v>
      </c>
      <c r="O1014" s="123">
        <v>0</v>
      </c>
      <c r="P1014" s="7" t="s">
        <v>162</v>
      </c>
      <c r="Q1014" s="124" t="s">
        <v>512</v>
      </c>
      <c r="R1014" s="1"/>
    </row>
    <row r="1015" spans="1:18" ht="13.5" thickBot="1" x14ac:dyDescent="0.25">
      <c r="A1015" s="123">
        <v>36</v>
      </c>
      <c r="B1015" s="123">
        <v>29</v>
      </c>
      <c r="C1015" s="123">
        <v>7</v>
      </c>
      <c r="D1015" s="123">
        <v>0</v>
      </c>
      <c r="E1015" s="123">
        <v>0</v>
      </c>
      <c r="F1015" s="123">
        <v>2</v>
      </c>
      <c r="G1015" s="123">
        <v>2</v>
      </c>
      <c r="H1015" s="123">
        <v>11</v>
      </c>
      <c r="I1015" s="123">
        <v>0</v>
      </c>
      <c r="J1015" s="123">
        <v>14</v>
      </c>
      <c r="K1015" s="123">
        <v>5</v>
      </c>
      <c r="L1015" s="123">
        <v>2</v>
      </c>
      <c r="M1015" s="123">
        <v>0</v>
      </c>
      <c r="N1015" s="123">
        <v>0</v>
      </c>
      <c r="O1015" s="123">
        <v>0</v>
      </c>
      <c r="P1015" s="7" t="s">
        <v>13</v>
      </c>
      <c r="Q1015" s="9"/>
      <c r="R1015" s="1"/>
    </row>
    <row r="1016" spans="1:18" ht="13.5" thickBot="1" x14ac:dyDescent="0.25">
      <c r="A1016" s="123">
        <v>2</v>
      </c>
      <c r="B1016" s="123">
        <v>2</v>
      </c>
      <c r="C1016" s="123">
        <v>0</v>
      </c>
      <c r="D1016" s="123">
        <v>0</v>
      </c>
      <c r="E1016" s="123">
        <v>0</v>
      </c>
      <c r="F1016" s="123">
        <v>2</v>
      </c>
      <c r="G1016" s="123">
        <v>0</v>
      </c>
      <c r="H1016" s="123">
        <v>0</v>
      </c>
      <c r="I1016" s="123">
        <v>0</v>
      </c>
      <c r="J1016" s="123">
        <v>0</v>
      </c>
      <c r="K1016" s="123">
        <v>0</v>
      </c>
      <c r="L1016" s="123">
        <v>0</v>
      </c>
      <c r="M1016" s="123">
        <v>0</v>
      </c>
      <c r="N1016" s="123">
        <v>0</v>
      </c>
      <c r="O1016" s="123">
        <v>0</v>
      </c>
      <c r="P1016" s="7" t="s">
        <v>163</v>
      </c>
      <c r="Q1016" s="124"/>
      <c r="R1016" s="1"/>
    </row>
    <row r="1017" spans="1:18" ht="13.5" thickBot="1" x14ac:dyDescent="0.25">
      <c r="A1017" s="123">
        <v>46</v>
      </c>
      <c r="B1017" s="123">
        <v>35</v>
      </c>
      <c r="C1017" s="123">
        <v>11</v>
      </c>
      <c r="D1017" s="123">
        <v>0</v>
      </c>
      <c r="E1017" s="123">
        <v>0</v>
      </c>
      <c r="F1017" s="123">
        <v>0</v>
      </c>
      <c r="G1017" s="123">
        <v>0</v>
      </c>
      <c r="H1017" s="123">
        <v>25</v>
      </c>
      <c r="I1017" s="123">
        <v>1</v>
      </c>
      <c r="J1017" s="123">
        <v>10</v>
      </c>
      <c r="K1017" s="123">
        <v>8</v>
      </c>
      <c r="L1017" s="123">
        <v>0</v>
      </c>
      <c r="M1017" s="123">
        <v>1</v>
      </c>
      <c r="N1017" s="123">
        <v>0</v>
      </c>
      <c r="O1017" s="123">
        <v>1</v>
      </c>
      <c r="P1017" s="7" t="s">
        <v>162</v>
      </c>
      <c r="Q1017" s="124" t="s">
        <v>513</v>
      </c>
      <c r="R1017" s="1"/>
    </row>
    <row r="1018" spans="1:18" ht="13.5" thickBot="1" x14ac:dyDescent="0.25">
      <c r="A1018" s="123">
        <v>48</v>
      </c>
      <c r="B1018" s="123">
        <v>37</v>
      </c>
      <c r="C1018" s="123">
        <v>11</v>
      </c>
      <c r="D1018" s="123">
        <v>0</v>
      </c>
      <c r="E1018" s="123">
        <v>0</v>
      </c>
      <c r="F1018" s="123">
        <v>2</v>
      </c>
      <c r="G1018" s="123">
        <v>0</v>
      </c>
      <c r="H1018" s="123">
        <v>25</v>
      </c>
      <c r="I1018" s="123">
        <v>1</v>
      </c>
      <c r="J1018" s="123">
        <v>10</v>
      </c>
      <c r="K1018" s="123">
        <v>8</v>
      </c>
      <c r="L1018" s="123">
        <v>0</v>
      </c>
      <c r="M1018" s="123">
        <v>1</v>
      </c>
      <c r="N1018" s="123">
        <v>0</v>
      </c>
      <c r="O1018" s="123">
        <v>1</v>
      </c>
      <c r="P1018" s="7" t="s">
        <v>13</v>
      </c>
      <c r="Q1018" s="9"/>
      <c r="R1018" s="1"/>
    </row>
    <row r="1019" spans="1:18" ht="13.5" thickBot="1" x14ac:dyDescent="0.25">
      <c r="A1019" s="123">
        <v>15</v>
      </c>
      <c r="B1019" s="123">
        <v>15</v>
      </c>
      <c r="C1019" s="123">
        <v>0</v>
      </c>
      <c r="D1019" s="123">
        <v>0</v>
      </c>
      <c r="E1019" s="123">
        <v>0</v>
      </c>
      <c r="F1019" s="123">
        <v>14</v>
      </c>
      <c r="G1019" s="123">
        <v>0</v>
      </c>
      <c r="H1019" s="123">
        <v>1</v>
      </c>
      <c r="I1019" s="123">
        <v>0</v>
      </c>
      <c r="J1019" s="123">
        <v>0</v>
      </c>
      <c r="K1019" s="123">
        <v>0</v>
      </c>
      <c r="L1019" s="123">
        <v>0</v>
      </c>
      <c r="M1019" s="123">
        <v>0</v>
      </c>
      <c r="N1019" s="123">
        <v>0</v>
      </c>
      <c r="O1019" s="123">
        <v>0</v>
      </c>
      <c r="P1019" s="7" t="s">
        <v>163</v>
      </c>
      <c r="Q1019" s="124"/>
      <c r="R1019" s="1"/>
    </row>
    <row r="1020" spans="1:18" ht="13.5" thickBot="1" x14ac:dyDescent="0.25">
      <c r="A1020" s="123">
        <v>16</v>
      </c>
      <c r="B1020" s="123">
        <v>14</v>
      </c>
      <c r="C1020" s="123">
        <v>2</v>
      </c>
      <c r="D1020" s="123">
        <v>0</v>
      </c>
      <c r="E1020" s="123">
        <v>0</v>
      </c>
      <c r="F1020" s="123">
        <v>0</v>
      </c>
      <c r="G1020" s="123">
        <v>0</v>
      </c>
      <c r="H1020" s="123">
        <v>8</v>
      </c>
      <c r="I1020" s="123">
        <v>1</v>
      </c>
      <c r="J1020" s="123">
        <v>4</v>
      </c>
      <c r="K1020" s="123">
        <v>1</v>
      </c>
      <c r="L1020" s="123">
        <v>2</v>
      </c>
      <c r="M1020" s="123">
        <v>0</v>
      </c>
      <c r="N1020" s="123">
        <v>0</v>
      </c>
      <c r="O1020" s="123">
        <v>0</v>
      </c>
      <c r="P1020" s="7" t="s">
        <v>162</v>
      </c>
      <c r="Q1020" s="124" t="s">
        <v>514</v>
      </c>
      <c r="R1020" s="1"/>
    </row>
    <row r="1021" spans="1:18" ht="13.5" thickBot="1" x14ac:dyDescent="0.25">
      <c r="A1021" s="123">
        <v>31</v>
      </c>
      <c r="B1021" s="123">
        <v>29</v>
      </c>
      <c r="C1021" s="123">
        <v>2</v>
      </c>
      <c r="D1021" s="123">
        <v>0</v>
      </c>
      <c r="E1021" s="123">
        <v>0</v>
      </c>
      <c r="F1021" s="123">
        <v>14</v>
      </c>
      <c r="G1021" s="123">
        <v>0</v>
      </c>
      <c r="H1021" s="123">
        <v>9</v>
      </c>
      <c r="I1021" s="123">
        <v>1</v>
      </c>
      <c r="J1021" s="123">
        <v>4</v>
      </c>
      <c r="K1021" s="123">
        <v>1</v>
      </c>
      <c r="L1021" s="123">
        <v>2</v>
      </c>
      <c r="M1021" s="123">
        <v>0</v>
      </c>
      <c r="N1021" s="123">
        <v>0</v>
      </c>
      <c r="O1021" s="123">
        <v>0</v>
      </c>
      <c r="P1021" s="7" t="s">
        <v>13</v>
      </c>
      <c r="Q1021" s="9"/>
      <c r="R1021" s="1"/>
    </row>
    <row r="1022" spans="1:18" ht="13.5" thickBot="1" x14ac:dyDescent="0.25">
      <c r="A1022" s="123">
        <v>20</v>
      </c>
      <c r="B1022" s="123">
        <v>20</v>
      </c>
      <c r="C1022" s="123">
        <v>0</v>
      </c>
      <c r="D1022" s="123">
        <v>0</v>
      </c>
      <c r="E1022" s="123">
        <v>0</v>
      </c>
      <c r="F1022" s="123">
        <v>16</v>
      </c>
      <c r="G1022" s="123">
        <v>0</v>
      </c>
      <c r="H1022" s="123">
        <v>3</v>
      </c>
      <c r="I1022" s="123">
        <v>0</v>
      </c>
      <c r="J1022" s="123">
        <v>1</v>
      </c>
      <c r="K1022" s="123">
        <v>0</v>
      </c>
      <c r="L1022" s="123">
        <v>0</v>
      </c>
      <c r="M1022" s="123">
        <v>0</v>
      </c>
      <c r="N1022" s="123">
        <v>0</v>
      </c>
      <c r="O1022" s="123">
        <v>0</v>
      </c>
      <c r="P1022" s="7" t="s">
        <v>163</v>
      </c>
      <c r="Q1022" s="124"/>
      <c r="R1022" s="1"/>
    </row>
    <row r="1023" spans="1:18" ht="13.5" thickBot="1" x14ac:dyDescent="0.25">
      <c r="A1023" s="123">
        <v>49</v>
      </c>
      <c r="B1023" s="123">
        <v>41</v>
      </c>
      <c r="C1023" s="123">
        <v>8</v>
      </c>
      <c r="D1023" s="123">
        <v>0</v>
      </c>
      <c r="E1023" s="123">
        <v>0</v>
      </c>
      <c r="F1023" s="123">
        <v>0</v>
      </c>
      <c r="G1023" s="123">
        <v>0</v>
      </c>
      <c r="H1023" s="123">
        <v>19</v>
      </c>
      <c r="I1023" s="123">
        <v>0</v>
      </c>
      <c r="J1023" s="123">
        <v>21</v>
      </c>
      <c r="K1023" s="123">
        <v>8</v>
      </c>
      <c r="L1023" s="123">
        <v>0</v>
      </c>
      <c r="M1023" s="123">
        <v>0</v>
      </c>
      <c r="N1023" s="123">
        <v>1</v>
      </c>
      <c r="O1023" s="123">
        <v>0</v>
      </c>
      <c r="P1023" s="7" t="s">
        <v>162</v>
      </c>
      <c r="Q1023" s="124" t="s">
        <v>515</v>
      </c>
      <c r="R1023" s="1"/>
    </row>
    <row r="1024" spans="1:18" ht="13.5" thickBot="1" x14ac:dyDescent="0.25">
      <c r="A1024" s="123">
        <v>69</v>
      </c>
      <c r="B1024" s="123">
        <v>61</v>
      </c>
      <c r="C1024" s="123">
        <v>8</v>
      </c>
      <c r="D1024" s="123">
        <v>0</v>
      </c>
      <c r="E1024" s="123">
        <v>0</v>
      </c>
      <c r="F1024" s="123">
        <v>16</v>
      </c>
      <c r="G1024" s="123">
        <v>0</v>
      </c>
      <c r="H1024" s="123">
        <v>22</v>
      </c>
      <c r="I1024" s="123">
        <v>0</v>
      </c>
      <c r="J1024" s="123">
        <v>22</v>
      </c>
      <c r="K1024" s="123">
        <v>8</v>
      </c>
      <c r="L1024" s="123">
        <v>0</v>
      </c>
      <c r="M1024" s="123">
        <v>0</v>
      </c>
      <c r="N1024" s="123">
        <v>1</v>
      </c>
      <c r="O1024" s="123">
        <v>0</v>
      </c>
      <c r="P1024" s="7" t="s">
        <v>13</v>
      </c>
      <c r="Q1024" s="9"/>
      <c r="R1024" s="1"/>
    </row>
    <row r="1025" spans="1:18" ht="13.5" thickBot="1" x14ac:dyDescent="0.25">
      <c r="A1025" s="123">
        <v>48</v>
      </c>
      <c r="B1025" s="123">
        <v>48</v>
      </c>
      <c r="C1025" s="123">
        <v>0</v>
      </c>
      <c r="D1025" s="123">
        <v>0</v>
      </c>
      <c r="E1025" s="123">
        <v>0</v>
      </c>
      <c r="F1025" s="123">
        <v>32</v>
      </c>
      <c r="G1025" s="123">
        <v>0</v>
      </c>
      <c r="H1025" s="123">
        <v>13</v>
      </c>
      <c r="I1025" s="123">
        <v>0</v>
      </c>
      <c r="J1025" s="123">
        <v>3</v>
      </c>
      <c r="K1025" s="123">
        <v>0</v>
      </c>
      <c r="L1025" s="123">
        <v>0</v>
      </c>
      <c r="M1025" s="123">
        <v>0</v>
      </c>
      <c r="N1025" s="123">
        <v>0</v>
      </c>
      <c r="O1025" s="123">
        <v>0</v>
      </c>
      <c r="P1025" s="7" t="s">
        <v>163</v>
      </c>
      <c r="Q1025" s="124"/>
      <c r="R1025" s="1"/>
    </row>
    <row r="1026" spans="1:18" ht="13.5" thickBot="1" x14ac:dyDescent="0.25">
      <c r="A1026" s="123">
        <v>43</v>
      </c>
      <c r="B1026" s="123">
        <v>30</v>
      </c>
      <c r="C1026" s="123">
        <v>13</v>
      </c>
      <c r="D1026" s="123">
        <v>0</v>
      </c>
      <c r="E1026" s="123">
        <v>0</v>
      </c>
      <c r="F1026" s="123">
        <v>0</v>
      </c>
      <c r="G1026" s="123">
        <v>0</v>
      </c>
      <c r="H1026" s="123">
        <v>17</v>
      </c>
      <c r="I1026" s="123">
        <v>1</v>
      </c>
      <c r="J1026" s="123">
        <v>11</v>
      </c>
      <c r="K1026" s="123">
        <v>9</v>
      </c>
      <c r="L1026" s="123">
        <v>1</v>
      </c>
      <c r="M1026" s="123">
        <v>3</v>
      </c>
      <c r="N1026" s="123">
        <v>1</v>
      </c>
      <c r="O1026" s="123">
        <v>0</v>
      </c>
      <c r="P1026" s="7" t="s">
        <v>162</v>
      </c>
      <c r="Q1026" s="124" t="s">
        <v>516</v>
      </c>
      <c r="R1026" s="1"/>
    </row>
    <row r="1027" spans="1:18" ht="13.5" thickBot="1" x14ac:dyDescent="0.25">
      <c r="A1027" s="123">
        <v>91</v>
      </c>
      <c r="B1027" s="123">
        <v>78</v>
      </c>
      <c r="C1027" s="123">
        <v>13</v>
      </c>
      <c r="D1027" s="123">
        <v>0</v>
      </c>
      <c r="E1027" s="123">
        <v>0</v>
      </c>
      <c r="F1027" s="123">
        <v>32</v>
      </c>
      <c r="G1027" s="123">
        <v>0</v>
      </c>
      <c r="H1027" s="123">
        <v>30</v>
      </c>
      <c r="I1027" s="123">
        <v>1</v>
      </c>
      <c r="J1027" s="123">
        <v>14</v>
      </c>
      <c r="K1027" s="123">
        <v>9</v>
      </c>
      <c r="L1027" s="123">
        <v>1</v>
      </c>
      <c r="M1027" s="123">
        <v>3</v>
      </c>
      <c r="N1027" s="123">
        <v>1</v>
      </c>
      <c r="O1027" s="123">
        <v>0</v>
      </c>
      <c r="P1027" s="7" t="s">
        <v>13</v>
      </c>
      <c r="Q1027" s="9"/>
      <c r="R1027" s="1"/>
    </row>
    <row r="1028" spans="1:18" ht="13.5" thickBot="1" x14ac:dyDescent="0.25">
      <c r="A1028" s="123">
        <v>9</v>
      </c>
      <c r="B1028" s="123">
        <v>9</v>
      </c>
      <c r="C1028" s="123">
        <v>0</v>
      </c>
      <c r="D1028" s="123">
        <v>0</v>
      </c>
      <c r="E1028" s="123">
        <v>0</v>
      </c>
      <c r="F1028" s="123">
        <v>9</v>
      </c>
      <c r="G1028" s="123">
        <v>0</v>
      </c>
      <c r="H1028" s="123">
        <v>0</v>
      </c>
      <c r="I1028" s="123">
        <v>0</v>
      </c>
      <c r="J1028" s="123">
        <v>0</v>
      </c>
      <c r="K1028" s="123">
        <v>0</v>
      </c>
      <c r="L1028" s="123">
        <v>0</v>
      </c>
      <c r="M1028" s="123">
        <v>0</v>
      </c>
      <c r="N1028" s="123">
        <v>0</v>
      </c>
      <c r="O1028" s="123">
        <v>0</v>
      </c>
      <c r="P1028" s="7" t="s">
        <v>163</v>
      </c>
      <c r="Q1028" s="124"/>
      <c r="R1028" s="1"/>
    </row>
    <row r="1029" spans="1:18" ht="13.5" thickBot="1" x14ac:dyDescent="0.25">
      <c r="A1029" s="123">
        <v>53</v>
      </c>
      <c r="B1029" s="123">
        <v>35</v>
      </c>
      <c r="C1029" s="123">
        <v>18</v>
      </c>
      <c r="D1029" s="123">
        <v>0</v>
      </c>
      <c r="E1029" s="123">
        <v>0</v>
      </c>
      <c r="F1029" s="123">
        <v>0</v>
      </c>
      <c r="G1029" s="123">
        <v>0</v>
      </c>
      <c r="H1029" s="123">
        <v>19</v>
      </c>
      <c r="I1029" s="123">
        <v>2</v>
      </c>
      <c r="J1029" s="123">
        <v>14</v>
      </c>
      <c r="K1029" s="123">
        <v>14</v>
      </c>
      <c r="L1029" s="123">
        <v>1</v>
      </c>
      <c r="M1029" s="123">
        <v>2</v>
      </c>
      <c r="N1029" s="123">
        <v>1</v>
      </c>
      <c r="O1029" s="123">
        <v>0</v>
      </c>
      <c r="P1029" s="7" t="s">
        <v>162</v>
      </c>
      <c r="Q1029" s="124" t="s">
        <v>517</v>
      </c>
      <c r="R1029" s="1"/>
    </row>
    <row r="1030" spans="1:18" ht="13.5" thickBot="1" x14ac:dyDescent="0.25">
      <c r="A1030" s="123">
        <v>62</v>
      </c>
      <c r="B1030" s="123">
        <v>44</v>
      </c>
      <c r="C1030" s="123">
        <v>18</v>
      </c>
      <c r="D1030" s="123">
        <v>0</v>
      </c>
      <c r="E1030" s="123">
        <v>0</v>
      </c>
      <c r="F1030" s="123">
        <v>9</v>
      </c>
      <c r="G1030" s="123">
        <v>0</v>
      </c>
      <c r="H1030" s="123">
        <v>19</v>
      </c>
      <c r="I1030" s="123">
        <v>2</v>
      </c>
      <c r="J1030" s="123">
        <v>14</v>
      </c>
      <c r="K1030" s="123">
        <v>14</v>
      </c>
      <c r="L1030" s="123">
        <v>1</v>
      </c>
      <c r="M1030" s="123">
        <v>2</v>
      </c>
      <c r="N1030" s="123">
        <v>1</v>
      </c>
      <c r="O1030" s="123">
        <v>0</v>
      </c>
      <c r="P1030" s="7" t="s">
        <v>13</v>
      </c>
      <c r="Q1030" s="9"/>
      <c r="R1030" s="1"/>
    </row>
    <row r="1031" spans="1:18" ht="13.5" thickBot="1" x14ac:dyDescent="0.25">
      <c r="A1031" s="123">
        <v>22</v>
      </c>
      <c r="B1031" s="123">
        <v>22</v>
      </c>
      <c r="C1031" s="123">
        <v>0</v>
      </c>
      <c r="D1031" s="123">
        <v>0</v>
      </c>
      <c r="E1031" s="123">
        <v>0</v>
      </c>
      <c r="F1031" s="123">
        <v>18</v>
      </c>
      <c r="G1031" s="123">
        <v>0</v>
      </c>
      <c r="H1031" s="123">
        <v>4</v>
      </c>
      <c r="I1031" s="123">
        <v>0</v>
      </c>
      <c r="J1031" s="123">
        <v>0</v>
      </c>
      <c r="K1031" s="123">
        <v>0</v>
      </c>
      <c r="L1031" s="123">
        <v>0</v>
      </c>
      <c r="M1031" s="123">
        <v>0</v>
      </c>
      <c r="N1031" s="123">
        <v>0</v>
      </c>
      <c r="O1031" s="123">
        <v>0</v>
      </c>
      <c r="P1031" s="7" t="s">
        <v>163</v>
      </c>
      <c r="Q1031" s="124"/>
      <c r="R1031" s="1"/>
    </row>
    <row r="1032" spans="1:18" ht="13.5" thickBot="1" x14ac:dyDescent="0.25">
      <c r="A1032" s="123">
        <v>44</v>
      </c>
      <c r="B1032" s="123">
        <v>38</v>
      </c>
      <c r="C1032" s="123">
        <v>6</v>
      </c>
      <c r="D1032" s="123">
        <v>0</v>
      </c>
      <c r="E1032" s="123">
        <v>0</v>
      </c>
      <c r="F1032" s="123">
        <v>0</v>
      </c>
      <c r="G1032" s="123">
        <v>0</v>
      </c>
      <c r="H1032" s="123">
        <v>18</v>
      </c>
      <c r="I1032" s="123">
        <v>0</v>
      </c>
      <c r="J1032" s="123">
        <v>19</v>
      </c>
      <c r="K1032" s="123">
        <v>6</v>
      </c>
      <c r="L1032" s="123">
        <v>1</v>
      </c>
      <c r="M1032" s="123">
        <v>0</v>
      </c>
      <c r="N1032" s="123">
        <v>0</v>
      </c>
      <c r="O1032" s="123">
        <v>0</v>
      </c>
      <c r="P1032" s="7" t="s">
        <v>162</v>
      </c>
      <c r="Q1032" s="124" t="s">
        <v>518</v>
      </c>
      <c r="R1032" s="1"/>
    </row>
    <row r="1033" spans="1:18" ht="13.5" thickBot="1" x14ac:dyDescent="0.25">
      <c r="A1033" s="123">
        <v>66</v>
      </c>
      <c r="B1033" s="123">
        <v>60</v>
      </c>
      <c r="C1033" s="123">
        <v>6</v>
      </c>
      <c r="D1033" s="123">
        <v>0</v>
      </c>
      <c r="E1033" s="123">
        <v>0</v>
      </c>
      <c r="F1033" s="123">
        <v>18</v>
      </c>
      <c r="G1033" s="123">
        <v>0</v>
      </c>
      <c r="H1033" s="123">
        <v>22</v>
      </c>
      <c r="I1033" s="123">
        <v>0</v>
      </c>
      <c r="J1033" s="123">
        <v>19</v>
      </c>
      <c r="K1033" s="123">
        <v>6</v>
      </c>
      <c r="L1033" s="123">
        <v>1</v>
      </c>
      <c r="M1033" s="123">
        <v>0</v>
      </c>
      <c r="N1033" s="123">
        <v>0</v>
      </c>
      <c r="O1033" s="123">
        <v>0</v>
      </c>
      <c r="P1033" s="7" t="s">
        <v>13</v>
      </c>
      <c r="Q1033" s="9"/>
      <c r="R1033" s="1"/>
    </row>
    <row r="1034" spans="1:18" ht="13.5" thickBot="1" x14ac:dyDescent="0.25">
      <c r="A1034" s="123">
        <v>13</v>
      </c>
      <c r="B1034" s="123">
        <v>13</v>
      </c>
      <c r="C1034" s="123">
        <v>0</v>
      </c>
      <c r="D1034" s="123">
        <v>1</v>
      </c>
      <c r="E1034" s="123">
        <v>0</v>
      </c>
      <c r="F1034" s="123">
        <v>12</v>
      </c>
      <c r="G1034" s="123">
        <v>0</v>
      </c>
      <c r="H1034" s="123">
        <v>0</v>
      </c>
      <c r="I1034" s="123">
        <v>0</v>
      </c>
      <c r="J1034" s="123">
        <v>0</v>
      </c>
      <c r="K1034" s="123">
        <v>0</v>
      </c>
      <c r="L1034" s="123">
        <v>0</v>
      </c>
      <c r="M1034" s="123">
        <v>0</v>
      </c>
      <c r="N1034" s="123">
        <v>0</v>
      </c>
      <c r="O1034" s="123">
        <v>0</v>
      </c>
      <c r="P1034" s="7" t="s">
        <v>163</v>
      </c>
      <c r="Q1034" s="124"/>
      <c r="R1034" s="1"/>
    </row>
    <row r="1035" spans="1:18" ht="13.5" thickBot="1" x14ac:dyDescent="0.25">
      <c r="A1035" s="123">
        <v>75</v>
      </c>
      <c r="B1035" s="123">
        <v>55</v>
      </c>
      <c r="C1035" s="123">
        <v>20</v>
      </c>
      <c r="D1035" s="123">
        <v>0</v>
      </c>
      <c r="E1035" s="123">
        <v>0</v>
      </c>
      <c r="F1035" s="123">
        <v>0</v>
      </c>
      <c r="G1035" s="123">
        <v>0</v>
      </c>
      <c r="H1035" s="123">
        <v>30</v>
      </c>
      <c r="I1035" s="123">
        <v>4</v>
      </c>
      <c r="J1035" s="123">
        <v>20</v>
      </c>
      <c r="K1035" s="123">
        <v>14</v>
      </c>
      <c r="L1035" s="123">
        <v>4</v>
      </c>
      <c r="M1035" s="123">
        <v>2</v>
      </c>
      <c r="N1035" s="123">
        <v>1</v>
      </c>
      <c r="O1035" s="123">
        <v>0</v>
      </c>
      <c r="P1035" s="7" t="s">
        <v>162</v>
      </c>
      <c r="Q1035" s="124" t="s">
        <v>519</v>
      </c>
      <c r="R1035" s="1"/>
    </row>
    <row r="1036" spans="1:18" ht="13.5" thickBot="1" x14ac:dyDescent="0.25">
      <c r="A1036" s="123">
        <v>88</v>
      </c>
      <c r="B1036" s="123">
        <v>68</v>
      </c>
      <c r="C1036" s="123">
        <v>20</v>
      </c>
      <c r="D1036" s="123">
        <v>1</v>
      </c>
      <c r="E1036" s="123">
        <v>0</v>
      </c>
      <c r="F1036" s="123">
        <v>12</v>
      </c>
      <c r="G1036" s="123">
        <v>0</v>
      </c>
      <c r="H1036" s="123">
        <v>30</v>
      </c>
      <c r="I1036" s="123">
        <v>4</v>
      </c>
      <c r="J1036" s="123">
        <v>20</v>
      </c>
      <c r="K1036" s="123">
        <v>14</v>
      </c>
      <c r="L1036" s="123">
        <v>4</v>
      </c>
      <c r="M1036" s="123">
        <v>2</v>
      </c>
      <c r="N1036" s="123">
        <v>1</v>
      </c>
      <c r="O1036" s="123">
        <v>0</v>
      </c>
      <c r="P1036" s="7" t="s">
        <v>13</v>
      </c>
      <c r="Q1036" s="9"/>
      <c r="R1036" s="1"/>
    </row>
    <row r="1037" spans="1:18" ht="13.5" thickBot="1" x14ac:dyDescent="0.25">
      <c r="A1037" s="123">
        <v>135</v>
      </c>
      <c r="B1037" s="123">
        <v>135</v>
      </c>
      <c r="C1037" s="123">
        <v>0</v>
      </c>
      <c r="D1037" s="123">
        <v>0</v>
      </c>
      <c r="E1037" s="123">
        <v>0</v>
      </c>
      <c r="F1037" s="123">
        <v>17</v>
      </c>
      <c r="G1037" s="123">
        <v>0</v>
      </c>
      <c r="H1037" s="123">
        <v>51</v>
      </c>
      <c r="I1037" s="123">
        <v>0</v>
      </c>
      <c r="J1037" s="123">
        <v>63</v>
      </c>
      <c r="K1037" s="123">
        <v>0</v>
      </c>
      <c r="L1037" s="123">
        <v>4</v>
      </c>
      <c r="M1037" s="123">
        <v>0</v>
      </c>
      <c r="N1037" s="123">
        <v>0</v>
      </c>
      <c r="O1037" s="123">
        <v>0</v>
      </c>
      <c r="P1037" s="7" t="s">
        <v>163</v>
      </c>
      <c r="Q1037" s="124"/>
      <c r="R1037" s="1"/>
    </row>
    <row r="1038" spans="1:18" ht="13.5" thickBot="1" x14ac:dyDescent="0.25">
      <c r="A1038" s="123">
        <v>10</v>
      </c>
      <c r="B1038" s="123">
        <v>2</v>
      </c>
      <c r="C1038" s="123">
        <v>8</v>
      </c>
      <c r="D1038" s="123">
        <v>0</v>
      </c>
      <c r="E1038" s="123">
        <v>0</v>
      </c>
      <c r="F1038" s="123">
        <v>0</v>
      </c>
      <c r="G1038" s="123">
        <v>0</v>
      </c>
      <c r="H1038" s="123">
        <v>0</v>
      </c>
      <c r="I1038" s="123">
        <v>0</v>
      </c>
      <c r="J1038" s="123">
        <v>1</v>
      </c>
      <c r="K1038" s="123">
        <v>4</v>
      </c>
      <c r="L1038" s="123">
        <v>1</v>
      </c>
      <c r="M1038" s="123">
        <v>4</v>
      </c>
      <c r="N1038" s="123">
        <v>0</v>
      </c>
      <c r="O1038" s="123">
        <v>0</v>
      </c>
      <c r="P1038" s="7" t="s">
        <v>162</v>
      </c>
      <c r="Q1038" s="124" t="s">
        <v>520</v>
      </c>
      <c r="R1038" s="1"/>
    </row>
    <row r="1039" spans="1:18" ht="13.5" thickBot="1" x14ac:dyDescent="0.25">
      <c r="A1039" s="123">
        <v>145</v>
      </c>
      <c r="B1039" s="123">
        <v>137</v>
      </c>
      <c r="C1039" s="123">
        <v>8</v>
      </c>
      <c r="D1039" s="123">
        <v>0</v>
      </c>
      <c r="E1039" s="123">
        <v>0</v>
      </c>
      <c r="F1039" s="123">
        <v>17</v>
      </c>
      <c r="G1039" s="123">
        <v>0</v>
      </c>
      <c r="H1039" s="123">
        <v>51</v>
      </c>
      <c r="I1039" s="123">
        <v>0</v>
      </c>
      <c r="J1039" s="123">
        <v>64</v>
      </c>
      <c r="K1039" s="123">
        <v>4</v>
      </c>
      <c r="L1039" s="123">
        <v>5</v>
      </c>
      <c r="M1039" s="123">
        <v>4</v>
      </c>
      <c r="N1039" s="123">
        <v>0</v>
      </c>
      <c r="O1039" s="123">
        <v>0</v>
      </c>
      <c r="P1039" s="7" t="s">
        <v>13</v>
      </c>
      <c r="Q1039" s="9"/>
      <c r="R1039" s="1"/>
    </row>
    <row r="1040" spans="1:18" ht="13.5" thickBot="1" x14ac:dyDescent="0.25">
      <c r="A1040" s="123">
        <v>31</v>
      </c>
      <c r="B1040" s="123">
        <v>31</v>
      </c>
      <c r="C1040" s="123">
        <v>0</v>
      </c>
      <c r="D1040" s="123">
        <v>0</v>
      </c>
      <c r="E1040" s="123">
        <v>0</v>
      </c>
      <c r="F1040" s="123">
        <v>19</v>
      </c>
      <c r="G1040" s="123">
        <v>0</v>
      </c>
      <c r="H1040" s="123">
        <v>11</v>
      </c>
      <c r="I1040" s="123">
        <v>0</v>
      </c>
      <c r="J1040" s="123">
        <v>1</v>
      </c>
      <c r="K1040" s="123">
        <v>0</v>
      </c>
      <c r="L1040" s="123">
        <v>0</v>
      </c>
      <c r="M1040" s="123">
        <v>0</v>
      </c>
      <c r="N1040" s="123">
        <v>0</v>
      </c>
      <c r="O1040" s="123">
        <v>0</v>
      </c>
      <c r="P1040" s="7" t="s">
        <v>163</v>
      </c>
      <c r="Q1040" s="124"/>
      <c r="R1040" s="1"/>
    </row>
    <row r="1041" spans="1:18" ht="13.5" thickBot="1" x14ac:dyDescent="0.25">
      <c r="A1041" s="123">
        <v>24</v>
      </c>
      <c r="B1041" s="123">
        <v>19</v>
      </c>
      <c r="C1041" s="123">
        <v>5</v>
      </c>
      <c r="D1041" s="123">
        <v>0</v>
      </c>
      <c r="E1041" s="123">
        <v>0</v>
      </c>
      <c r="F1041" s="123">
        <v>0</v>
      </c>
      <c r="G1041" s="123">
        <v>0</v>
      </c>
      <c r="H1041" s="123">
        <v>3</v>
      </c>
      <c r="I1041" s="123">
        <v>0</v>
      </c>
      <c r="J1041" s="123">
        <v>15</v>
      </c>
      <c r="K1041" s="123">
        <v>3</v>
      </c>
      <c r="L1041" s="123">
        <v>1</v>
      </c>
      <c r="M1041" s="123">
        <v>1</v>
      </c>
      <c r="N1041" s="123">
        <v>0</v>
      </c>
      <c r="O1041" s="123">
        <v>1</v>
      </c>
      <c r="P1041" s="7" t="s">
        <v>162</v>
      </c>
      <c r="Q1041" s="124" t="s">
        <v>521</v>
      </c>
      <c r="R1041" s="1"/>
    </row>
    <row r="1042" spans="1:18" ht="13.5" thickBot="1" x14ac:dyDescent="0.25">
      <c r="A1042" s="123">
        <v>55</v>
      </c>
      <c r="B1042" s="123">
        <v>50</v>
      </c>
      <c r="C1042" s="123">
        <v>5</v>
      </c>
      <c r="D1042" s="123">
        <v>0</v>
      </c>
      <c r="E1042" s="123">
        <v>0</v>
      </c>
      <c r="F1042" s="123">
        <v>19</v>
      </c>
      <c r="G1042" s="123">
        <v>0</v>
      </c>
      <c r="H1042" s="123">
        <v>14</v>
      </c>
      <c r="I1042" s="123">
        <v>0</v>
      </c>
      <c r="J1042" s="123">
        <v>16</v>
      </c>
      <c r="K1042" s="123">
        <v>3</v>
      </c>
      <c r="L1042" s="123">
        <v>1</v>
      </c>
      <c r="M1042" s="123">
        <v>1</v>
      </c>
      <c r="N1042" s="123">
        <v>0</v>
      </c>
      <c r="O1042" s="123">
        <v>1</v>
      </c>
      <c r="P1042" s="7" t="s">
        <v>13</v>
      </c>
      <c r="Q1042" s="9"/>
      <c r="R1042" s="1"/>
    </row>
    <row r="1043" spans="1:18" ht="13.5" thickBot="1" x14ac:dyDescent="0.25">
      <c r="A1043" s="123">
        <v>3</v>
      </c>
      <c r="B1043" s="123">
        <v>3</v>
      </c>
      <c r="C1043" s="123">
        <v>0</v>
      </c>
      <c r="D1043" s="123">
        <v>0</v>
      </c>
      <c r="E1043" s="123">
        <v>0</v>
      </c>
      <c r="F1043" s="123">
        <v>3</v>
      </c>
      <c r="G1043" s="123">
        <v>0</v>
      </c>
      <c r="H1043" s="123">
        <v>0</v>
      </c>
      <c r="I1043" s="123">
        <v>0</v>
      </c>
      <c r="J1043" s="123">
        <v>0</v>
      </c>
      <c r="K1043" s="123">
        <v>0</v>
      </c>
      <c r="L1043" s="123">
        <v>0</v>
      </c>
      <c r="M1043" s="123">
        <v>0</v>
      </c>
      <c r="N1043" s="123">
        <v>0</v>
      </c>
      <c r="O1043" s="123">
        <v>0</v>
      </c>
      <c r="P1043" s="7" t="s">
        <v>163</v>
      </c>
      <c r="Q1043" s="124"/>
      <c r="R1043" s="1"/>
    </row>
    <row r="1044" spans="1:18" ht="13.5" thickBot="1" x14ac:dyDescent="0.25">
      <c r="A1044" s="123">
        <v>24</v>
      </c>
      <c r="B1044" s="123">
        <v>16</v>
      </c>
      <c r="C1044" s="123">
        <v>8</v>
      </c>
      <c r="D1044" s="123">
        <v>0</v>
      </c>
      <c r="E1044" s="123">
        <v>0</v>
      </c>
      <c r="F1044" s="123">
        <v>0</v>
      </c>
      <c r="G1044" s="123">
        <v>0</v>
      </c>
      <c r="H1044" s="123">
        <v>5</v>
      </c>
      <c r="I1044" s="123">
        <v>0</v>
      </c>
      <c r="J1044" s="123">
        <v>11</v>
      </c>
      <c r="K1044" s="123">
        <v>8</v>
      </c>
      <c r="L1044" s="123">
        <v>0</v>
      </c>
      <c r="M1044" s="123">
        <v>0</v>
      </c>
      <c r="N1044" s="123">
        <v>0</v>
      </c>
      <c r="O1044" s="123">
        <v>0</v>
      </c>
      <c r="P1044" s="7" t="s">
        <v>162</v>
      </c>
      <c r="Q1044" s="124" t="s">
        <v>522</v>
      </c>
      <c r="R1044" s="1"/>
    </row>
    <row r="1045" spans="1:18" ht="13.5" thickBot="1" x14ac:dyDescent="0.25">
      <c r="A1045" s="123">
        <v>27</v>
      </c>
      <c r="B1045" s="123">
        <v>19</v>
      </c>
      <c r="C1045" s="123">
        <v>8</v>
      </c>
      <c r="D1045" s="123">
        <v>0</v>
      </c>
      <c r="E1045" s="123">
        <v>0</v>
      </c>
      <c r="F1045" s="123">
        <v>3</v>
      </c>
      <c r="G1045" s="123">
        <v>0</v>
      </c>
      <c r="H1045" s="123">
        <v>5</v>
      </c>
      <c r="I1045" s="123">
        <v>0</v>
      </c>
      <c r="J1045" s="123">
        <v>11</v>
      </c>
      <c r="K1045" s="123">
        <v>8</v>
      </c>
      <c r="L1045" s="123">
        <v>0</v>
      </c>
      <c r="M1045" s="123">
        <v>0</v>
      </c>
      <c r="N1045" s="123">
        <v>0</v>
      </c>
      <c r="O1045" s="123">
        <v>0</v>
      </c>
      <c r="P1045" s="7" t="s">
        <v>13</v>
      </c>
      <c r="Q1045" s="9"/>
      <c r="R1045" s="1"/>
    </row>
    <row r="1046" spans="1:18" ht="13.5" thickBot="1" x14ac:dyDescent="0.25">
      <c r="A1046" s="123">
        <v>1</v>
      </c>
      <c r="B1046" s="123">
        <v>1</v>
      </c>
      <c r="C1046" s="123">
        <v>0</v>
      </c>
      <c r="D1046" s="123">
        <v>0</v>
      </c>
      <c r="E1046" s="123">
        <v>0</v>
      </c>
      <c r="F1046" s="123">
        <v>0</v>
      </c>
      <c r="G1046" s="123">
        <v>0</v>
      </c>
      <c r="H1046" s="123">
        <v>0</v>
      </c>
      <c r="I1046" s="123">
        <v>0</v>
      </c>
      <c r="J1046" s="123">
        <v>0</v>
      </c>
      <c r="K1046" s="123">
        <v>0</v>
      </c>
      <c r="L1046" s="123">
        <v>0</v>
      </c>
      <c r="M1046" s="123">
        <v>0</v>
      </c>
      <c r="N1046" s="123">
        <v>1</v>
      </c>
      <c r="O1046" s="123">
        <v>0</v>
      </c>
      <c r="P1046" s="7" t="s">
        <v>163</v>
      </c>
      <c r="Q1046" s="124"/>
      <c r="R1046" s="1"/>
    </row>
    <row r="1047" spans="1:18" ht="13.5" thickBot="1" x14ac:dyDescent="0.25">
      <c r="A1047" s="123">
        <v>0</v>
      </c>
      <c r="B1047" s="123">
        <v>0</v>
      </c>
      <c r="C1047" s="123">
        <v>0</v>
      </c>
      <c r="D1047" s="123">
        <v>0</v>
      </c>
      <c r="E1047" s="123">
        <v>0</v>
      </c>
      <c r="F1047" s="123">
        <v>0</v>
      </c>
      <c r="G1047" s="123">
        <v>0</v>
      </c>
      <c r="H1047" s="123">
        <v>0</v>
      </c>
      <c r="I1047" s="123">
        <v>0</v>
      </c>
      <c r="J1047" s="123">
        <v>0</v>
      </c>
      <c r="K1047" s="123">
        <v>0</v>
      </c>
      <c r="L1047" s="123">
        <v>0</v>
      </c>
      <c r="M1047" s="123">
        <v>0</v>
      </c>
      <c r="N1047" s="123">
        <v>0</v>
      </c>
      <c r="O1047" s="123">
        <v>0</v>
      </c>
      <c r="P1047" s="7" t="s">
        <v>162</v>
      </c>
      <c r="Q1047" s="124" t="s">
        <v>130</v>
      </c>
      <c r="R1047" s="1"/>
    </row>
    <row r="1048" spans="1:18" ht="13.5" thickBot="1" x14ac:dyDescent="0.25">
      <c r="A1048" s="123">
        <v>1</v>
      </c>
      <c r="B1048" s="123">
        <v>1</v>
      </c>
      <c r="C1048" s="123">
        <v>0</v>
      </c>
      <c r="D1048" s="123">
        <v>0</v>
      </c>
      <c r="E1048" s="123">
        <v>0</v>
      </c>
      <c r="F1048" s="123">
        <v>0</v>
      </c>
      <c r="G1048" s="123">
        <v>0</v>
      </c>
      <c r="H1048" s="123">
        <v>0</v>
      </c>
      <c r="I1048" s="123">
        <v>0</v>
      </c>
      <c r="J1048" s="123">
        <v>0</v>
      </c>
      <c r="K1048" s="123">
        <v>0</v>
      </c>
      <c r="L1048" s="123">
        <v>0</v>
      </c>
      <c r="M1048" s="123">
        <v>0</v>
      </c>
      <c r="N1048" s="123">
        <v>1</v>
      </c>
      <c r="O1048" s="123">
        <v>0</v>
      </c>
      <c r="P1048" s="7" t="s">
        <v>13</v>
      </c>
      <c r="Q1048" s="9"/>
      <c r="R1048" s="1"/>
    </row>
    <row r="1049" spans="1:18" ht="13.5" thickBot="1" x14ac:dyDescent="0.25">
      <c r="A1049" s="123">
        <v>29</v>
      </c>
      <c r="B1049" s="123">
        <v>29</v>
      </c>
      <c r="C1049" s="123">
        <v>0</v>
      </c>
      <c r="D1049" s="123">
        <v>0</v>
      </c>
      <c r="E1049" s="123">
        <v>0</v>
      </c>
      <c r="F1049" s="123">
        <v>18</v>
      </c>
      <c r="G1049" s="123">
        <v>0</v>
      </c>
      <c r="H1049" s="123">
        <v>11</v>
      </c>
      <c r="I1049" s="123">
        <v>0</v>
      </c>
      <c r="J1049" s="123">
        <v>0</v>
      </c>
      <c r="K1049" s="123">
        <v>0</v>
      </c>
      <c r="L1049" s="123">
        <v>0</v>
      </c>
      <c r="M1049" s="123">
        <v>0</v>
      </c>
      <c r="N1049" s="123">
        <v>0</v>
      </c>
      <c r="O1049" s="123">
        <v>0</v>
      </c>
      <c r="P1049" s="7" t="s">
        <v>163</v>
      </c>
      <c r="Q1049" s="124"/>
      <c r="R1049" s="1"/>
    </row>
    <row r="1050" spans="1:18" ht="13.5" thickBot="1" x14ac:dyDescent="0.25">
      <c r="A1050" s="123">
        <v>23</v>
      </c>
      <c r="B1050" s="123">
        <v>15</v>
      </c>
      <c r="C1050" s="123">
        <v>8</v>
      </c>
      <c r="D1050" s="123">
        <v>0</v>
      </c>
      <c r="E1050" s="123">
        <v>0</v>
      </c>
      <c r="F1050" s="123">
        <v>0</v>
      </c>
      <c r="G1050" s="123">
        <v>0</v>
      </c>
      <c r="H1050" s="123">
        <v>9</v>
      </c>
      <c r="I1050" s="123">
        <v>0</v>
      </c>
      <c r="J1050" s="123">
        <v>6</v>
      </c>
      <c r="K1050" s="123">
        <v>5</v>
      </c>
      <c r="L1050" s="123">
        <v>0</v>
      </c>
      <c r="M1050" s="123">
        <v>1</v>
      </c>
      <c r="N1050" s="123">
        <v>0</v>
      </c>
      <c r="O1050" s="123">
        <v>2</v>
      </c>
      <c r="P1050" s="7" t="s">
        <v>162</v>
      </c>
      <c r="Q1050" s="124" t="s">
        <v>523</v>
      </c>
      <c r="R1050" s="1"/>
    </row>
    <row r="1051" spans="1:18" ht="13.5" thickBot="1" x14ac:dyDescent="0.25">
      <c r="A1051" s="123">
        <v>52</v>
      </c>
      <c r="B1051" s="123">
        <v>44</v>
      </c>
      <c r="C1051" s="123">
        <v>8</v>
      </c>
      <c r="D1051" s="123">
        <v>0</v>
      </c>
      <c r="E1051" s="123">
        <v>0</v>
      </c>
      <c r="F1051" s="123">
        <v>18</v>
      </c>
      <c r="G1051" s="123">
        <v>0</v>
      </c>
      <c r="H1051" s="123">
        <v>20</v>
      </c>
      <c r="I1051" s="123">
        <v>0</v>
      </c>
      <c r="J1051" s="123">
        <v>6</v>
      </c>
      <c r="K1051" s="123">
        <v>5</v>
      </c>
      <c r="L1051" s="123">
        <v>0</v>
      </c>
      <c r="M1051" s="123">
        <v>1</v>
      </c>
      <c r="N1051" s="123">
        <v>0</v>
      </c>
      <c r="O1051" s="123">
        <v>2</v>
      </c>
      <c r="P1051" s="7" t="s">
        <v>13</v>
      </c>
      <c r="Q1051" s="9"/>
      <c r="R1051" s="1"/>
    </row>
    <row r="1052" spans="1:18" ht="13.5" thickBot="1" x14ac:dyDescent="0.25">
      <c r="A1052" s="123">
        <v>1070</v>
      </c>
      <c r="B1052" s="123">
        <v>1068</v>
      </c>
      <c r="C1052" s="123">
        <v>2</v>
      </c>
      <c r="D1052" s="123">
        <v>2</v>
      </c>
      <c r="E1052" s="123">
        <v>0</v>
      </c>
      <c r="F1052" s="123">
        <v>318</v>
      </c>
      <c r="G1052" s="123">
        <v>2</v>
      </c>
      <c r="H1052" s="123">
        <v>365</v>
      </c>
      <c r="I1052" s="123">
        <v>0</v>
      </c>
      <c r="J1052" s="123">
        <v>337</v>
      </c>
      <c r="K1052" s="123">
        <v>0</v>
      </c>
      <c r="L1052" s="123">
        <v>39</v>
      </c>
      <c r="M1052" s="123">
        <v>0</v>
      </c>
      <c r="N1052" s="123">
        <v>7</v>
      </c>
      <c r="O1052" s="123">
        <v>0</v>
      </c>
      <c r="P1052" s="7" t="s">
        <v>163</v>
      </c>
      <c r="Q1052" s="3"/>
      <c r="R1052" s="1"/>
    </row>
    <row r="1053" spans="1:18" ht="13.5" thickBot="1" x14ac:dyDescent="0.25">
      <c r="A1053" s="123">
        <v>665</v>
      </c>
      <c r="B1053" s="123">
        <v>492</v>
      </c>
      <c r="C1053" s="123">
        <v>173</v>
      </c>
      <c r="D1053" s="123">
        <v>1</v>
      </c>
      <c r="E1053" s="123">
        <v>0</v>
      </c>
      <c r="F1053" s="123">
        <v>0</v>
      </c>
      <c r="G1053" s="123">
        <v>0</v>
      </c>
      <c r="H1053" s="123">
        <v>229</v>
      </c>
      <c r="I1053" s="123">
        <v>15</v>
      </c>
      <c r="J1053" s="123">
        <v>225</v>
      </c>
      <c r="K1053" s="123">
        <v>120</v>
      </c>
      <c r="L1053" s="123">
        <v>26</v>
      </c>
      <c r="M1053" s="123">
        <v>24</v>
      </c>
      <c r="N1053" s="123">
        <v>11</v>
      </c>
      <c r="O1053" s="123">
        <v>14</v>
      </c>
      <c r="P1053" s="7" t="s">
        <v>162</v>
      </c>
      <c r="Q1053" s="11" t="s">
        <v>211</v>
      </c>
      <c r="R1053" s="1"/>
    </row>
    <row r="1054" spans="1:18" ht="13.5" thickBot="1" x14ac:dyDescent="0.25">
      <c r="A1054" s="123">
        <v>1735</v>
      </c>
      <c r="B1054" s="123">
        <v>1560</v>
      </c>
      <c r="C1054" s="123">
        <v>175</v>
      </c>
      <c r="D1054" s="123">
        <v>3</v>
      </c>
      <c r="E1054" s="123">
        <v>0</v>
      </c>
      <c r="F1054" s="123">
        <v>318</v>
      </c>
      <c r="G1054" s="123">
        <v>2</v>
      </c>
      <c r="H1054" s="123">
        <v>594</v>
      </c>
      <c r="I1054" s="123">
        <v>15</v>
      </c>
      <c r="J1054" s="123">
        <v>562</v>
      </c>
      <c r="K1054" s="123">
        <v>120</v>
      </c>
      <c r="L1054" s="123">
        <v>65</v>
      </c>
      <c r="M1054" s="123">
        <v>24</v>
      </c>
      <c r="N1054" s="123">
        <v>18</v>
      </c>
      <c r="O1054" s="123">
        <v>14</v>
      </c>
      <c r="P1054" s="7" t="s">
        <v>13</v>
      </c>
      <c r="Q1054" s="5"/>
      <c r="R1054" s="1"/>
    </row>
    <row r="1055" spans="1:18" ht="18" customHeight="1" x14ac:dyDescent="0.2">
      <c r="A1055" s="207"/>
      <c r="B1055" s="207"/>
      <c r="C1055" s="207"/>
      <c r="D1055" s="207"/>
      <c r="E1055" s="207"/>
      <c r="F1055" s="207"/>
      <c r="G1055" s="207"/>
      <c r="H1055" s="207"/>
      <c r="I1055" s="207"/>
      <c r="J1055" s="207"/>
      <c r="K1055" s="207"/>
      <c r="L1055" s="207"/>
      <c r="M1055" s="207"/>
      <c r="N1055" s="207"/>
      <c r="O1055" s="207"/>
      <c r="P1055" s="207"/>
      <c r="Q1055" s="207"/>
      <c r="R1055" s="1"/>
    </row>
    <row r="1056" spans="1:18" ht="18" customHeight="1" x14ac:dyDescent="0.2">
      <c r="A1056" s="159" t="s">
        <v>616</v>
      </c>
      <c r="B1056" s="159"/>
      <c r="C1056" s="159"/>
      <c r="D1056" s="159"/>
      <c r="E1056" s="159"/>
      <c r="F1056" s="159"/>
      <c r="G1056" s="159"/>
      <c r="H1056" s="159"/>
      <c r="I1056" s="159"/>
      <c r="J1056" s="159"/>
      <c r="K1056" s="159"/>
      <c r="L1056" s="159"/>
      <c r="M1056" s="159"/>
      <c r="N1056" s="159"/>
      <c r="O1056" s="159"/>
      <c r="P1056" s="159"/>
      <c r="Q1056" s="159"/>
      <c r="R1056" s="1"/>
    </row>
    <row r="1057" spans="1:18" ht="18" customHeight="1" thickBot="1" x14ac:dyDescent="0.25">
      <c r="A1057" s="160" t="s">
        <v>617</v>
      </c>
      <c r="B1057" s="160"/>
      <c r="C1057" s="160"/>
      <c r="D1057" s="160"/>
      <c r="E1057" s="160"/>
      <c r="F1057" s="160"/>
      <c r="G1057" s="160"/>
      <c r="H1057" s="160"/>
      <c r="I1057" s="160"/>
      <c r="J1057" s="160"/>
      <c r="K1057" s="160"/>
      <c r="L1057" s="160"/>
      <c r="M1057" s="160"/>
      <c r="N1057" s="160"/>
      <c r="O1057" s="160"/>
      <c r="P1057" s="160"/>
      <c r="Q1057" s="160"/>
      <c r="R1057" s="1"/>
    </row>
    <row r="1058" spans="1:18" ht="13.5" thickBot="1" x14ac:dyDescent="0.25">
      <c r="A1058" s="204" t="s">
        <v>5</v>
      </c>
      <c r="B1058" s="204"/>
      <c r="C1058" s="204"/>
      <c r="D1058" s="204" t="s">
        <v>57</v>
      </c>
      <c r="E1058" s="204"/>
      <c r="F1058" s="204" t="s">
        <v>609</v>
      </c>
      <c r="G1058" s="204"/>
      <c r="H1058" s="204" t="s">
        <v>610</v>
      </c>
      <c r="I1058" s="204"/>
      <c r="J1058" s="204" t="s">
        <v>611</v>
      </c>
      <c r="K1058" s="204"/>
      <c r="L1058" s="204" t="s">
        <v>612</v>
      </c>
      <c r="M1058" s="204"/>
      <c r="N1058" s="204" t="s">
        <v>613</v>
      </c>
      <c r="O1058" s="204"/>
      <c r="P1058" s="205" t="s">
        <v>614</v>
      </c>
      <c r="Q1058" s="47" t="s">
        <v>161</v>
      </c>
      <c r="R1058" s="1"/>
    </row>
    <row r="1059" spans="1:18" ht="13.5" thickBot="1" x14ac:dyDescent="0.25">
      <c r="A1059" s="47" t="s">
        <v>216</v>
      </c>
      <c r="B1059" s="47" t="s">
        <v>11</v>
      </c>
      <c r="C1059" s="47" t="s">
        <v>10</v>
      </c>
      <c r="D1059" s="47" t="s">
        <v>11</v>
      </c>
      <c r="E1059" s="47" t="s">
        <v>10</v>
      </c>
      <c r="F1059" s="47" t="s">
        <v>11</v>
      </c>
      <c r="G1059" s="47" t="s">
        <v>10</v>
      </c>
      <c r="H1059" s="47" t="s">
        <v>11</v>
      </c>
      <c r="I1059" s="47" t="s">
        <v>10</v>
      </c>
      <c r="J1059" s="47" t="s">
        <v>11</v>
      </c>
      <c r="K1059" s="47" t="s">
        <v>10</v>
      </c>
      <c r="L1059" s="47" t="s">
        <v>11</v>
      </c>
      <c r="M1059" s="47" t="s">
        <v>10</v>
      </c>
      <c r="N1059" s="47" t="s">
        <v>11</v>
      </c>
      <c r="O1059" s="47" t="s">
        <v>10</v>
      </c>
      <c r="P1059" s="206"/>
      <c r="Q1059" s="33" t="s">
        <v>133</v>
      </c>
      <c r="R1059" s="1"/>
    </row>
    <row r="1060" spans="1:18" ht="13.5" thickBot="1" x14ac:dyDescent="0.25">
      <c r="A1060" s="123">
        <v>0</v>
      </c>
      <c r="B1060" s="123">
        <v>0</v>
      </c>
      <c r="C1060" s="123">
        <v>0</v>
      </c>
      <c r="D1060" s="123">
        <v>0</v>
      </c>
      <c r="E1060" s="123">
        <v>0</v>
      </c>
      <c r="F1060" s="123">
        <v>0</v>
      </c>
      <c r="G1060" s="123">
        <v>0</v>
      </c>
      <c r="H1060" s="123">
        <v>0</v>
      </c>
      <c r="I1060" s="123">
        <v>0</v>
      </c>
      <c r="J1060" s="123">
        <v>0</v>
      </c>
      <c r="K1060" s="123">
        <v>0</v>
      </c>
      <c r="L1060" s="123">
        <v>0</v>
      </c>
      <c r="M1060" s="123">
        <v>0</v>
      </c>
      <c r="N1060" s="123">
        <v>0</v>
      </c>
      <c r="O1060" s="123">
        <v>0</v>
      </c>
      <c r="P1060" s="7" t="s">
        <v>163</v>
      </c>
      <c r="Q1060" s="124"/>
      <c r="R1060" s="1"/>
    </row>
    <row r="1061" spans="1:18" ht="13.5" thickBot="1" x14ac:dyDescent="0.25">
      <c r="A1061" s="123">
        <v>12</v>
      </c>
      <c r="B1061" s="123">
        <v>0</v>
      </c>
      <c r="C1061" s="123">
        <v>12</v>
      </c>
      <c r="D1061" s="123">
        <v>0</v>
      </c>
      <c r="E1061" s="123">
        <v>2</v>
      </c>
      <c r="F1061" s="123">
        <v>0</v>
      </c>
      <c r="G1061" s="123">
        <v>0</v>
      </c>
      <c r="H1061" s="123">
        <v>0</v>
      </c>
      <c r="I1061" s="123">
        <v>3</v>
      </c>
      <c r="J1061" s="123">
        <v>0</v>
      </c>
      <c r="K1061" s="123">
        <v>2</v>
      </c>
      <c r="L1061" s="123">
        <v>0</v>
      </c>
      <c r="M1061" s="123">
        <v>2</v>
      </c>
      <c r="N1061" s="123">
        <v>0</v>
      </c>
      <c r="O1061" s="123">
        <v>3</v>
      </c>
      <c r="P1061" s="7" t="s">
        <v>162</v>
      </c>
      <c r="Q1061" s="124" t="s">
        <v>524</v>
      </c>
      <c r="R1061" s="1"/>
    </row>
    <row r="1062" spans="1:18" ht="13.5" thickBot="1" x14ac:dyDescent="0.25">
      <c r="A1062" s="123">
        <v>12</v>
      </c>
      <c r="B1062" s="123">
        <v>0</v>
      </c>
      <c r="C1062" s="123">
        <v>12</v>
      </c>
      <c r="D1062" s="123">
        <v>0</v>
      </c>
      <c r="E1062" s="123">
        <v>2</v>
      </c>
      <c r="F1062" s="123">
        <v>0</v>
      </c>
      <c r="G1062" s="123">
        <v>0</v>
      </c>
      <c r="H1062" s="123">
        <v>0</v>
      </c>
      <c r="I1062" s="123">
        <v>3</v>
      </c>
      <c r="J1062" s="123">
        <v>0</v>
      </c>
      <c r="K1062" s="123">
        <v>2</v>
      </c>
      <c r="L1062" s="123">
        <v>0</v>
      </c>
      <c r="M1062" s="123">
        <v>2</v>
      </c>
      <c r="N1062" s="123">
        <v>0</v>
      </c>
      <c r="O1062" s="123">
        <v>3</v>
      </c>
      <c r="P1062" s="7" t="s">
        <v>13</v>
      </c>
      <c r="Q1062" s="9"/>
      <c r="R1062" s="1"/>
    </row>
    <row r="1063" spans="1:18" ht="13.5" thickBot="1" x14ac:dyDescent="0.25">
      <c r="A1063" s="123">
        <v>4</v>
      </c>
      <c r="B1063" s="123">
        <v>4</v>
      </c>
      <c r="C1063" s="123">
        <v>0</v>
      </c>
      <c r="D1063" s="123">
        <v>4</v>
      </c>
      <c r="E1063" s="123">
        <v>0</v>
      </c>
      <c r="F1063" s="123">
        <v>0</v>
      </c>
      <c r="G1063" s="123">
        <v>0</v>
      </c>
      <c r="H1063" s="123">
        <v>0</v>
      </c>
      <c r="I1063" s="123">
        <v>0</v>
      </c>
      <c r="J1063" s="123">
        <v>0</v>
      </c>
      <c r="K1063" s="123">
        <v>0</v>
      </c>
      <c r="L1063" s="123">
        <v>0</v>
      </c>
      <c r="M1063" s="123">
        <v>0</v>
      </c>
      <c r="N1063" s="123">
        <v>0</v>
      </c>
      <c r="O1063" s="123">
        <v>0</v>
      </c>
      <c r="P1063" s="7" t="s">
        <v>163</v>
      </c>
      <c r="Q1063" s="124"/>
      <c r="R1063" s="1"/>
    </row>
    <row r="1064" spans="1:18" ht="13.5" thickBot="1" x14ac:dyDescent="0.25">
      <c r="A1064" s="123">
        <v>8</v>
      </c>
      <c r="B1064" s="123">
        <v>8</v>
      </c>
      <c r="C1064" s="123">
        <v>0</v>
      </c>
      <c r="D1064" s="123">
        <v>4</v>
      </c>
      <c r="E1064" s="123">
        <v>0</v>
      </c>
      <c r="F1064" s="123">
        <v>0</v>
      </c>
      <c r="G1064" s="123">
        <v>0</v>
      </c>
      <c r="H1064" s="123">
        <v>3</v>
      </c>
      <c r="I1064" s="123">
        <v>0</v>
      </c>
      <c r="J1064" s="123">
        <v>1</v>
      </c>
      <c r="K1064" s="123">
        <v>0</v>
      </c>
      <c r="L1064" s="123">
        <v>0</v>
      </c>
      <c r="M1064" s="123">
        <v>0</v>
      </c>
      <c r="N1064" s="123">
        <v>0</v>
      </c>
      <c r="O1064" s="123">
        <v>0</v>
      </c>
      <c r="P1064" s="7" t="s">
        <v>162</v>
      </c>
      <c r="Q1064" s="124" t="s">
        <v>132</v>
      </c>
      <c r="R1064" s="1"/>
    </row>
    <row r="1065" spans="1:18" ht="13.5" thickBot="1" x14ac:dyDescent="0.25">
      <c r="A1065" s="123">
        <v>12</v>
      </c>
      <c r="B1065" s="123">
        <v>12</v>
      </c>
      <c r="C1065" s="123">
        <v>0</v>
      </c>
      <c r="D1065" s="123">
        <v>8</v>
      </c>
      <c r="E1065" s="123">
        <v>0</v>
      </c>
      <c r="F1065" s="123">
        <v>0</v>
      </c>
      <c r="G1065" s="123">
        <v>0</v>
      </c>
      <c r="H1065" s="123">
        <v>3</v>
      </c>
      <c r="I1065" s="123">
        <v>0</v>
      </c>
      <c r="J1065" s="123">
        <v>1</v>
      </c>
      <c r="K1065" s="123">
        <v>0</v>
      </c>
      <c r="L1065" s="123">
        <v>0</v>
      </c>
      <c r="M1065" s="123">
        <v>0</v>
      </c>
      <c r="N1065" s="123">
        <v>0</v>
      </c>
      <c r="O1065" s="123">
        <v>0</v>
      </c>
      <c r="P1065" s="7" t="s">
        <v>13</v>
      </c>
      <c r="Q1065" s="9"/>
      <c r="R1065" s="1"/>
    </row>
    <row r="1066" spans="1:18" ht="13.5" thickBot="1" x14ac:dyDescent="0.25">
      <c r="A1066" s="123">
        <v>68</v>
      </c>
      <c r="B1066" s="123">
        <v>0</v>
      </c>
      <c r="C1066" s="123">
        <v>68</v>
      </c>
      <c r="D1066" s="123">
        <v>0</v>
      </c>
      <c r="E1066" s="123">
        <v>0</v>
      </c>
      <c r="F1066" s="123">
        <v>0</v>
      </c>
      <c r="G1066" s="123">
        <v>39</v>
      </c>
      <c r="H1066" s="123">
        <v>0</v>
      </c>
      <c r="I1066" s="123">
        <v>23</v>
      </c>
      <c r="J1066" s="123">
        <v>0</v>
      </c>
      <c r="K1066" s="123">
        <v>6</v>
      </c>
      <c r="L1066" s="123">
        <v>0</v>
      </c>
      <c r="M1066" s="123">
        <v>0</v>
      </c>
      <c r="N1066" s="123">
        <v>0</v>
      </c>
      <c r="O1066" s="123">
        <v>0</v>
      </c>
      <c r="P1066" s="7" t="s">
        <v>163</v>
      </c>
      <c r="Q1066" s="124"/>
      <c r="R1066" s="1"/>
    </row>
    <row r="1067" spans="1:18" ht="13.5" thickBot="1" x14ac:dyDescent="0.25">
      <c r="A1067" s="123">
        <v>75</v>
      </c>
      <c r="B1067" s="123">
        <v>0</v>
      </c>
      <c r="C1067" s="123">
        <v>75</v>
      </c>
      <c r="D1067" s="123">
        <v>0</v>
      </c>
      <c r="E1067" s="123">
        <v>11</v>
      </c>
      <c r="F1067" s="123">
        <v>0</v>
      </c>
      <c r="G1067" s="123">
        <v>8</v>
      </c>
      <c r="H1067" s="123">
        <v>0</v>
      </c>
      <c r="I1067" s="123">
        <v>7</v>
      </c>
      <c r="J1067" s="123">
        <v>0</v>
      </c>
      <c r="K1067" s="123">
        <v>49</v>
      </c>
      <c r="L1067" s="123">
        <v>0</v>
      </c>
      <c r="M1067" s="123">
        <v>0</v>
      </c>
      <c r="N1067" s="123">
        <v>0</v>
      </c>
      <c r="O1067" s="123">
        <v>0</v>
      </c>
      <c r="P1067" s="7" t="s">
        <v>162</v>
      </c>
      <c r="Q1067" s="124" t="s">
        <v>638</v>
      </c>
      <c r="R1067" s="1"/>
    </row>
    <row r="1068" spans="1:18" ht="13.5" thickBot="1" x14ac:dyDescent="0.25">
      <c r="A1068" s="123">
        <v>143</v>
      </c>
      <c r="B1068" s="123">
        <v>0</v>
      </c>
      <c r="C1068" s="123">
        <v>143</v>
      </c>
      <c r="D1068" s="123">
        <v>0</v>
      </c>
      <c r="E1068" s="123">
        <v>11</v>
      </c>
      <c r="F1068" s="123">
        <v>0</v>
      </c>
      <c r="G1068" s="123">
        <v>47</v>
      </c>
      <c r="H1068" s="123">
        <v>0</v>
      </c>
      <c r="I1068" s="123">
        <v>30</v>
      </c>
      <c r="J1068" s="123">
        <v>0</v>
      </c>
      <c r="K1068" s="123">
        <v>55</v>
      </c>
      <c r="L1068" s="123">
        <v>0</v>
      </c>
      <c r="M1068" s="123">
        <v>0</v>
      </c>
      <c r="N1068" s="123">
        <v>0</v>
      </c>
      <c r="O1068" s="123">
        <v>0</v>
      </c>
      <c r="P1068" s="7" t="s">
        <v>13</v>
      </c>
      <c r="Q1068" s="9"/>
      <c r="R1068" s="1"/>
    </row>
    <row r="1069" spans="1:18" ht="13.5" thickBot="1" x14ac:dyDescent="0.25">
      <c r="A1069" s="123">
        <v>31</v>
      </c>
      <c r="B1069" s="123">
        <v>31</v>
      </c>
      <c r="C1069" s="123">
        <v>0</v>
      </c>
      <c r="D1069" s="123">
        <v>0</v>
      </c>
      <c r="E1069" s="123">
        <v>0</v>
      </c>
      <c r="F1069" s="123">
        <v>30</v>
      </c>
      <c r="G1069" s="123">
        <v>0</v>
      </c>
      <c r="H1069" s="123">
        <v>1</v>
      </c>
      <c r="I1069" s="123">
        <v>0</v>
      </c>
      <c r="J1069" s="123">
        <v>0</v>
      </c>
      <c r="K1069" s="123">
        <v>0</v>
      </c>
      <c r="L1069" s="123">
        <v>0</v>
      </c>
      <c r="M1069" s="123">
        <v>0</v>
      </c>
      <c r="N1069" s="123">
        <v>0</v>
      </c>
      <c r="O1069" s="123">
        <v>0</v>
      </c>
      <c r="P1069" s="7" t="s">
        <v>163</v>
      </c>
      <c r="Q1069" s="124"/>
      <c r="R1069" s="1"/>
    </row>
    <row r="1070" spans="1:18" ht="13.5" thickBot="1" x14ac:dyDescent="0.25">
      <c r="A1070" s="123">
        <v>52</v>
      </c>
      <c r="B1070" s="123">
        <v>47</v>
      </c>
      <c r="C1070" s="123">
        <v>5</v>
      </c>
      <c r="D1070" s="123">
        <v>0</v>
      </c>
      <c r="E1070" s="123">
        <v>0</v>
      </c>
      <c r="F1070" s="123">
        <v>0</v>
      </c>
      <c r="G1070" s="123">
        <v>0</v>
      </c>
      <c r="H1070" s="123">
        <v>35</v>
      </c>
      <c r="I1070" s="123">
        <v>0</v>
      </c>
      <c r="J1070" s="123">
        <v>12</v>
      </c>
      <c r="K1070" s="123">
        <v>5</v>
      </c>
      <c r="L1070" s="123">
        <v>0</v>
      </c>
      <c r="M1070" s="123">
        <v>0</v>
      </c>
      <c r="N1070" s="123">
        <v>0</v>
      </c>
      <c r="O1070" s="123">
        <v>0</v>
      </c>
      <c r="P1070" s="7" t="s">
        <v>162</v>
      </c>
      <c r="Q1070" s="124" t="s">
        <v>525</v>
      </c>
      <c r="R1070" s="1"/>
    </row>
    <row r="1071" spans="1:18" ht="13.5" thickBot="1" x14ac:dyDescent="0.25">
      <c r="A1071" s="123">
        <v>83</v>
      </c>
      <c r="B1071" s="123">
        <v>78</v>
      </c>
      <c r="C1071" s="123">
        <v>5</v>
      </c>
      <c r="D1071" s="123">
        <v>0</v>
      </c>
      <c r="E1071" s="123">
        <v>0</v>
      </c>
      <c r="F1071" s="123">
        <v>30</v>
      </c>
      <c r="G1071" s="123">
        <v>0</v>
      </c>
      <c r="H1071" s="123">
        <v>36</v>
      </c>
      <c r="I1071" s="123">
        <v>0</v>
      </c>
      <c r="J1071" s="123">
        <v>12</v>
      </c>
      <c r="K1071" s="123">
        <v>5</v>
      </c>
      <c r="L1071" s="123">
        <v>0</v>
      </c>
      <c r="M1071" s="123">
        <v>0</v>
      </c>
      <c r="N1071" s="123">
        <v>0</v>
      </c>
      <c r="O1071" s="123">
        <v>0</v>
      </c>
      <c r="P1071" s="7" t="s">
        <v>13</v>
      </c>
      <c r="Q1071" s="9"/>
      <c r="R1071" s="1"/>
    </row>
    <row r="1072" spans="1:18" ht="13.5" thickBot="1" x14ac:dyDescent="0.25">
      <c r="A1072" s="123">
        <v>4</v>
      </c>
      <c r="B1072" s="123">
        <v>4</v>
      </c>
      <c r="C1072" s="123">
        <v>0</v>
      </c>
      <c r="D1072" s="123">
        <v>0</v>
      </c>
      <c r="E1072" s="123">
        <v>0</v>
      </c>
      <c r="F1072" s="123">
        <v>4</v>
      </c>
      <c r="G1072" s="123">
        <v>0</v>
      </c>
      <c r="H1072" s="123">
        <v>0</v>
      </c>
      <c r="I1072" s="123">
        <v>0</v>
      </c>
      <c r="J1072" s="123">
        <v>0</v>
      </c>
      <c r="K1072" s="123">
        <v>0</v>
      </c>
      <c r="L1072" s="123">
        <v>0</v>
      </c>
      <c r="M1072" s="123">
        <v>0</v>
      </c>
      <c r="N1072" s="123">
        <v>0</v>
      </c>
      <c r="O1072" s="123">
        <v>0</v>
      </c>
      <c r="P1072" s="7" t="s">
        <v>163</v>
      </c>
      <c r="Q1072" s="124"/>
      <c r="R1072" s="1"/>
    </row>
    <row r="1073" spans="1:18" ht="13.5" thickBot="1" x14ac:dyDescent="0.25">
      <c r="A1073" s="123">
        <v>6</v>
      </c>
      <c r="B1073" s="123">
        <v>6</v>
      </c>
      <c r="C1073" s="123">
        <v>0</v>
      </c>
      <c r="D1073" s="123">
        <v>3</v>
      </c>
      <c r="E1073" s="123">
        <v>0</v>
      </c>
      <c r="F1073" s="123">
        <v>0</v>
      </c>
      <c r="G1073" s="123">
        <v>0</v>
      </c>
      <c r="H1073" s="123">
        <v>1</v>
      </c>
      <c r="I1073" s="123">
        <v>0</v>
      </c>
      <c r="J1073" s="123">
        <v>2</v>
      </c>
      <c r="K1073" s="123">
        <v>0</v>
      </c>
      <c r="L1073" s="123">
        <v>0</v>
      </c>
      <c r="M1073" s="123">
        <v>0</v>
      </c>
      <c r="N1073" s="123">
        <v>0</v>
      </c>
      <c r="O1073" s="123">
        <v>0</v>
      </c>
      <c r="P1073" s="7" t="s">
        <v>162</v>
      </c>
      <c r="Q1073" s="124" t="s">
        <v>279</v>
      </c>
      <c r="R1073" s="1"/>
    </row>
    <row r="1074" spans="1:18" ht="13.5" thickBot="1" x14ac:dyDescent="0.25">
      <c r="A1074" s="123">
        <v>10</v>
      </c>
      <c r="B1074" s="123">
        <v>10</v>
      </c>
      <c r="C1074" s="123">
        <v>0</v>
      </c>
      <c r="D1074" s="123">
        <v>3</v>
      </c>
      <c r="E1074" s="123">
        <v>0</v>
      </c>
      <c r="F1074" s="123">
        <v>4</v>
      </c>
      <c r="G1074" s="123">
        <v>0</v>
      </c>
      <c r="H1074" s="123">
        <v>1</v>
      </c>
      <c r="I1074" s="123">
        <v>0</v>
      </c>
      <c r="J1074" s="123">
        <v>2</v>
      </c>
      <c r="K1074" s="123">
        <v>0</v>
      </c>
      <c r="L1074" s="123">
        <v>0</v>
      </c>
      <c r="M1074" s="123">
        <v>0</v>
      </c>
      <c r="N1074" s="123">
        <v>0</v>
      </c>
      <c r="O1074" s="123">
        <v>0</v>
      </c>
      <c r="P1074" s="7" t="s">
        <v>13</v>
      </c>
      <c r="Q1074" s="9"/>
      <c r="R1074" s="1"/>
    </row>
    <row r="1075" spans="1:18" ht="13.5" thickBot="1" x14ac:dyDescent="0.25">
      <c r="A1075" s="123">
        <v>3</v>
      </c>
      <c r="B1075" s="123">
        <v>0</v>
      </c>
      <c r="C1075" s="123">
        <v>3</v>
      </c>
      <c r="D1075" s="123">
        <v>0</v>
      </c>
      <c r="E1075" s="123">
        <v>0</v>
      </c>
      <c r="F1075" s="123">
        <v>0</v>
      </c>
      <c r="G1075" s="123">
        <v>1</v>
      </c>
      <c r="H1075" s="123">
        <v>0</v>
      </c>
      <c r="I1075" s="123">
        <v>0</v>
      </c>
      <c r="J1075" s="123">
        <v>0</v>
      </c>
      <c r="K1075" s="123">
        <v>1</v>
      </c>
      <c r="L1075" s="123">
        <v>0</v>
      </c>
      <c r="M1075" s="123">
        <v>1</v>
      </c>
      <c r="N1075" s="123">
        <v>0</v>
      </c>
      <c r="O1075" s="123">
        <v>0</v>
      </c>
      <c r="P1075" s="7" t="s">
        <v>163</v>
      </c>
      <c r="Q1075" s="124"/>
      <c r="R1075" s="1"/>
    </row>
    <row r="1076" spans="1:18" ht="13.5" thickBot="1" x14ac:dyDescent="0.25">
      <c r="A1076" s="123">
        <v>10</v>
      </c>
      <c r="B1076" s="123">
        <v>0</v>
      </c>
      <c r="C1076" s="123">
        <v>10</v>
      </c>
      <c r="D1076" s="123">
        <v>0</v>
      </c>
      <c r="E1076" s="123">
        <v>2</v>
      </c>
      <c r="F1076" s="123">
        <v>0</v>
      </c>
      <c r="G1076" s="123">
        <v>0</v>
      </c>
      <c r="H1076" s="123">
        <v>0</v>
      </c>
      <c r="I1076" s="123">
        <v>3</v>
      </c>
      <c r="J1076" s="123">
        <v>0</v>
      </c>
      <c r="K1076" s="123">
        <v>5</v>
      </c>
      <c r="L1076" s="123">
        <v>0</v>
      </c>
      <c r="M1076" s="123">
        <v>0</v>
      </c>
      <c r="N1076" s="123">
        <v>0</v>
      </c>
      <c r="O1076" s="123">
        <v>0</v>
      </c>
      <c r="P1076" s="7" t="s">
        <v>162</v>
      </c>
      <c r="Q1076" s="124" t="s">
        <v>134</v>
      </c>
      <c r="R1076" s="1"/>
    </row>
    <row r="1077" spans="1:18" ht="13.5" thickBot="1" x14ac:dyDescent="0.25">
      <c r="A1077" s="123">
        <v>13</v>
      </c>
      <c r="B1077" s="123">
        <v>0</v>
      </c>
      <c r="C1077" s="123">
        <v>13</v>
      </c>
      <c r="D1077" s="123">
        <v>0</v>
      </c>
      <c r="E1077" s="123">
        <v>2</v>
      </c>
      <c r="F1077" s="123">
        <v>0</v>
      </c>
      <c r="G1077" s="123">
        <v>1</v>
      </c>
      <c r="H1077" s="123">
        <v>0</v>
      </c>
      <c r="I1077" s="123">
        <v>3</v>
      </c>
      <c r="J1077" s="123">
        <v>0</v>
      </c>
      <c r="K1077" s="123">
        <v>6</v>
      </c>
      <c r="L1077" s="123">
        <v>0</v>
      </c>
      <c r="M1077" s="123">
        <v>1</v>
      </c>
      <c r="N1077" s="123">
        <v>0</v>
      </c>
      <c r="O1077" s="123">
        <v>0</v>
      </c>
      <c r="P1077" s="7" t="s">
        <v>13</v>
      </c>
      <c r="Q1077" s="9"/>
      <c r="R1077" s="1"/>
    </row>
    <row r="1078" spans="1:18" ht="13.5" thickBot="1" x14ac:dyDescent="0.25">
      <c r="A1078" s="123">
        <v>110</v>
      </c>
      <c r="B1078" s="123">
        <v>39</v>
      </c>
      <c r="C1078" s="123">
        <v>71</v>
      </c>
      <c r="D1078" s="123">
        <v>4</v>
      </c>
      <c r="E1078" s="123">
        <v>0</v>
      </c>
      <c r="F1078" s="123">
        <v>34</v>
      </c>
      <c r="G1078" s="123">
        <v>40</v>
      </c>
      <c r="H1078" s="123">
        <v>1</v>
      </c>
      <c r="I1078" s="123">
        <v>23</v>
      </c>
      <c r="J1078" s="123">
        <v>0</v>
      </c>
      <c r="K1078" s="123">
        <v>7</v>
      </c>
      <c r="L1078" s="123">
        <v>0</v>
      </c>
      <c r="M1078" s="123">
        <v>1</v>
      </c>
      <c r="N1078" s="123">
        <v>0</v>
      </c>
      <c r="O1078" s="123">
        <v>0</v>
      </c>
      <c r="P1078" s="7" t="s">
        <v>163</v>
      </c>
      <c r="Q1078" s="3"/>
      <c r="R1078" s="1"/>
    </row>
    <row r="1079" spans="1:18" ht="13.5" thickBot="1" x14ac:dyDescent="0.25">
      <c r="A1079" s="123">
        <v>163</v>
      </c>
      <c r="B1079" s="123">
        <v>61</v>
      </c>
      <c r="C1079" s="123">
        <v>102</v>
      </c>
      <c r="D1079" s="123">
        <v>7</v>
      </c>
      <c r="E1079" s="123">
        <v>15</v>
      </c>
      <c r="F1079" s="123">
        <v>0</v>
      </c>
      <c r="G1079" s="123">
        <v>8</v>
      </c>
      <c r="H1079" s="123">
        <v>39</v>
      </c>
      <c r="I1079" s="123">
        <v>13</v>
      </c>
      <c r="J1079" s="123">
        <v>15</v>
      </c>
      <c r="K1079" s="123">
        <v>61</v>
      </c>
      <c r="L1079" s="123">
        <v>0</v>
      </c>
      <c r="M1079" s="123">
        <v>2</v>
      </c>
      <c r="N1079" s="123">
        <v>0</v>
      </c>
      <c r="O1079" s="123">
        <v>3</v>
      </c>
      <c r="P1079" s="7" t="s">
        <v>162</v>
      </c>
      <c r="Q1079" s="11" t="s">
        <v>211</v>
      </c>
      <c r="R1079" s="1"/>
    </row>
    <row r="1080" spans="1:18" ht="13.5" thickBot="1" x14ac:dyDescent="0.25">
      <c r="A1080" s="123">
        <v>273</v>
      </c>
      <c r="B1080" s="123">
        <v>100</v>
      </c>
      <c r="C1080" s="123">
        <v>173</v>
      </c>
      <c r="D1080" s="123">
        <v>11</v>
      </c>
      <c r="E1080" s="123">
        <v>15</v>
      </c>
      <c r="F1080" s="123">
        <v>34</v>
      </c>
      <c r="G1080" s="123">
        <v>48</v>
      </c>
      <c r="H1080" s="123">
        <v>40</v>
      </c>
      <c r="I1080" s="123">
        <v>36</v>
      </c>
      <c r="J1080" s="123">
        <v>15</v>
      </c>
      <c r="K1080" s="123">
        <v>68</v>
      </c>
      <c r="L1080" s="123">
        <v>0</v>
      </c>
      <c r="M1080" s="123">
        <v>3</v>
      </c>
      <c r="N1080" s="123">
        <v>0</v>
      </c>
      <c r="O1080" s="123">
        <v>3</v>
      </c>
      <c r="P1080" s="7" t="s">
        <v>13</v>
      </c>
      <c r="Q1080" s="5"/>
      <c r="R1080" s="1"/>
    </row>
    <row r="1081" spans="1:18" ht="18" customHeight="1" x14ac:dyDescent="0.2">
      <c r="A1081" s="207"/>
      <c r="B1081" s="207"/>
      <c r="C1081" s="207"/>
      <c r="D1081" s="207"/>
      <c r="E1081" s="207"/>
      <c r="F1081" s="207"/>
      <c r="G1081" s="207"/>
      <c r="H1081" s="207"/>
      <c r="I1081" s="207"/>
      <c r="J1081" s="207"/>
      <c r="K1081" s="207"/>
      <c r="L1081" s="207"/>
      <c r="M1081" s="207"/>
      <c r="N1081" s="207"/>
      <c r="O1081" s="207"/>
      <c r="P1081" s="207"/>
      <c r="Q1081" s="207"/>
      <c r="R1081" s="1"/>
    </row>
    <row r="1082" spans="1:18" ht="18" customHeight="1" x14ac:dyDescent="0.2">
      <c r="A1082" s="159" t="s">
        <v>616</v>
      </c>
      <c r="B1082" s="159"/>
      <c r="C1082" s="159"/>
      <c r="D1082" s="159"/>
      <c r="E1082" s="159"/>
      <c r="F1082" s="159"/>
      <c r="G1082" s="159"/>
      <c r="H1082" s="159"/>
      <c r="I1082" s="159"/>
      <c r="J1082" s="159"/>
      <c r="K1082" s="159"/>
      <c r="L1082" s="159"/>
      <c r="M1082" s="159"/>
      <c r="N1082" s="159"/>
      <c r="O1082" s="159"/>
      <c r="P1082" s="159"/>
      <c r="Q1082" s="159"/>
      <c r="R1082" s="1"/>
    </row>
    <row r="1083" spans="1:18" ht="18" customHeight="1" thickBot="1" x14ac:dyDescent="0.25">
      <c r="A1083" s="160" t="s">
        <v>617</v>
      </c>
      <c r="B1083" s="160"/>
      <c r="C1083" s="160"/>
      <c r="D1083" s="160"/>
      <c r="E1083" s="160"/>
      <c r="F1083" s="160"/>
      <c r="G1083" s="160"/>
      <c r="H1083" s="160"/>
      <c r="I1083" s="160"/>
      <c r="J1083" s="160"/>
      <c r="K1083" s="160"/>
      <c r="L1083" s="160"/>
      <c r="M1083" s="160"/>
      <c r="N1083" s="160"/>
      <c r="O1083" s="160"/>
      <c r="P1083" s="160"/>
      <c r="Q1083" s="160"/>
      <c r="R1083" s="1"/>
    </row>
    <row r="1084" spans="1:18" ht="13.5" thickBot="1" x14ac:dyDescent="0.25">
      <c r="A1084" s="204" t="s">
        <v>5</v>
      </c>
      <c r="B1084" s="204"/>
      <c r="C1084" s="204"/>
      <c r="D1084" s="204" t="s">
        <v>57</v>
      </c>
      <c r="E1084" s="204"/>
      <c r="F1084" s="204" t="s">
        <v>609</v>
      </c>
      <c r="G1084" s="204"/>
      <c r="H1084" s="204" t="s">
        <v>610</v>
      </c>
      <c r="I1084" s="204"/>
      <c r="J1084" s="204" t="s">
        <v>611</v>
      </c>
      <c r="K1084" s="204"/>
      <c r="L1084" s="204" t="s">
        <v>612</v>
      </c>
      <c r="M1084" s="204"/>
      <c r="N1084" s="204" t="s">
        <v>613</v>
      </c>
      <c r="O1084" s="204"/>
      <c r="P1084" s="205" t="s">
        <v>614</v>
      </c>
      <c r="Q1084" s="47" t="s">
        <v>161</v>
      </c>
      <c r="R1084" s="1"/>
    </row>
    <row r="1085" spans="1:18" ht="13.5" thickBot="1" x14ac:dyDescent="0.25">
      <c r="A1085" s="47" t="s">
        <v>216</v>
      </c>
      <c r="B1085" s="47" t="s">
        <v>11</v>
      </c>
      <c r="C1085" s="47" t="s">
        <v>10</v>
      </c>
      <c r="D1085" s="47" t="s">
        <v>11</v>
      </c>
      <c r="E1085" s="47" t="s">
        <v>10</v>
      </c>
      <c r="F1085" s="47" t="s">
        <v>11</v>
      </c>
      <c r="G1085" s="47" t="s">
        <v>10</v>
      </c>
      <c r="H1085" s="47" t="s">
        <v>11</v>
      </c>
      <c r="I1085" s="47" t="s">
        <v>10</v>
      </c>
      <c r="J1085" s="47" t="s">
        <v>11</v>
      </c>
      <c r="K1085" s="47" t="s">
        <v>10</v>
      </c>
      <c r="L1085" s="47" t="s">
        <v>11</v>
      </c>
      <c r="M1085" s="47" t="s">
        <v>10</v>
      </c>
      <c r="N1085" s="47" t="s">
        <v>11</v>
      </c>
      <c r="O1085" s="47" t="s">
        <v>10</v>
      </c>
      <c r="P1085" s="206"/>
      <c r="Q1085" s="33" t="s">
        <v>168</v>
      </c>
      <c r="R1085" s="1"/>
    </row>
    <row r="1086" spans="1:18" ht="13.5" thickBot="1" x14ac:dyDescent="0.25">
      <c r="A1086" s="123">
        <v>545</v>
      </c>
      <c r="B1086" s="123">
        <v>0</v>
      </c>
      <c r="C1086" s="123">
        <v>545</v>
      </c>
      <c r="D1086" s="123">
        <v>0</v>
      </c>
      <c r="E1086" s="123">
        <v>10</v>
      </c>
      <c r="F1086" s="123">
        <v>0</v>
      </c>
      <c r="G1086" s="123">
        <v>464</v>
      </c>
      <c r="H1086" s="123">
        <v>0</v>
      </c>
      <c r="I1086" s="123">
        <v>22</v>
      </c>
      <c r="J1086" s="123">
        <v>0</v>
      </c>
      <c r="K1086" s="123">
        <v>44</v>
      </c>
      <c r="L1086" s="123">
        <v>0</v>
      </c>
      <c r="M1086" s="123">
        <v>4</v>
      </c>
      <c r="N1086" s="123">
        <v>0</v>
      </c>
      <c r="O1086" s="123">
        <v>1</v>
      </c>
      <c r="P1086" s="7" t="s">
        <v>163</v>
      </c>
      <c r="Q1086" s="124"/>
      <c r="R1086" s="1"/>
    </row>
    <row r="1087" spans="1:18" ht="13.5" thickBot="1" x14ac:dyDescent="0.25">
      <c r="A1087" s="123">
        <v>67</v>
      </c>
      <c r="B1087" s="123">
        <v>0</v>
      </c>
      <c r="C1087" s="123">
        <v>67</v>
      </c>
      <c r="D1087" s="123">
        <v>0</v>
      </c>
      <c r="E1087" s="123">
        <v>0</v>
      </c>
      <c r="F1087" s="123">
        <v>0</v>
      </c>
      <c r="G1087" s="123">
        <v>33</v>
      </c>
      <c r="H1087" s="123">
        <v>0</v>
      </c>
      <c r="I1087" s="123">
        <v>18</v>
      </c>
      <c r="J1087" s="123">
        <v>0</v>
      </c>
      <c r="K1087" s="123">
        <v>16</v>
      </c>
      <c r="L1087" s="123">
        <v>0</v>
      </c>
      <c r="M1087" s="123">
        <v>0</v>
      </c>
      <c r="N1087" s="123">
        <v>0</v>
      </c>
      <c r="O1087" s="123">
        <v>0</v>
      </c>
      <c r="P1087" s="7" t="s">
        <v>162</v>
      </c>
      <c r="Q1087" s="124" t="s">
        <v>280</v>
      </c>
      <c r="R1087" s="1"/>
    </row>
    <row r="1088" spans="1:18" ht="13.5" thickBot="1" x14ac:dyDescent="0.25">
      <c r="A1088" s="123">
        <v>612</v>
      </c>
      <c r="B1088" s="123">
        <v>0</v>
      </c>
      <c r="C1088" s="123">
        <v>612</v>
      </c>
      <c r="D1088" s="123">
        <v>0</v>
      </c>
      <c r="E1088" s="123">
        <v>10</v>
      </c>
      <c r="F1088" s="123">
        <v>0</v>
      </c>
      <c r="G1088" s="123">
        <v>497</v>
      </c>
      <c r="H1088" s="123">
        <v>0</v>
      </c>
      <c r="I1088" s="123">
        <v>40</v>
      </c>
      <c r="J1088" s="123">
        <v>0</v>
      </c>
      <c r="K1088" s="123">
        <v>60</v>
      </c>
      <c r="L1088" s="123">
        <v>0</v>
      </c>
      <c r="M1088" s="123">
        <v>4</v>
      </c>
      <c r="N1088" s="123">
        <v>0</v>
      </c>
      <c r="O1088" s="123">
        <v>1</v>
      </c>
      <c r="P1088" s="7" t="s">
        <v>13</v>
      </c>
      <c r="Q1088" s="9"/>
      <c r="R1088" s="1"/>
    </row>
    <row r="1089" spans="1:18" ht="13.5" thickBot="1" x14ac:dyDescent="0.25">
      <c r="A1089" s="123">
        <v>150</v>
      </c>
      <c r="B1089" s="123">
        <v>0</v>
      </c>
      <c r="C1089" s="123">
        <v>150</v>
      </c>
      <c r="D1089" s="123">
        <v>0</v>
      </c>
      <c r="E1089" s="123">
        <v>6</v>
      </c>
      <c r="F1089" s="123">
        <v>0</v>
      </c>
      <c r="G1089" s="123">
        <v>130</v>
      </c>
      <c r="H1089" s="123">
        <v>0</v>
      </c>
      <c r="I1089" s="123">
        <v>8</v>
      </c>
      <c r="J1089" s="123">
        <v>0</v>
      </c>
      <c r="K1089" s="123">
        <v>6</v>
      </c>
      <c r="L1089" s="123">
        <v>0</v>
      </c>
      <c r="M1089" s="123">
        <v>0</v>
      </c>
      <c r="N1089" s="123">
        <v>0</v>
      </c>
      <c r="O1089" s="123">
        <v>0</v>
      </c>
      <c r="P1089" s="7" t="s">
        <v>163</v>
      </c>
      <c r="Q1089" s="124"/>
      <c r="R1089" s="1"/>
    </row>
    <row r="1090" spans="1:18" ht="13.5" thickBot="1" x14ac:dyDescent="0.25">
      <c r="A1090" s="123">
        <v>17</v>
      </c>
      <c r="B1090" s="123">
        <v>0</v>
      </c>
      <c r="C1090" s="123">
        <v>17</v>
      </c>
      <c r="D1090" s="123">
        <v>0</v>
      </c>
      <c r="E1090" s="123">
        <v>0</v>
      </c>
      <c r="F1090" s="123">
        <v>0</v>
      </c>
      <c r="G1090" s="123">
        <v>10</v>
      </c>
      <c r="H1090" s="123">
        <v>0</v>
      </c>
      <c r="I1090" s="123">
        <v>1</v>
      </c>
      <c r="J1090" s="123">
        <v>0</v>
      </c>
      <c r="K1090" s="123">
        <v>6</v>
      </c>
      <c r="L1090" s="123">
        <v>0</v>
      </c>
      <c r="M1090" s="123">
        <v>0</v>
      </c>
      <c r="N1090" s="123">
        <v>0</v>
      </c>
      <c r="O1090" s="123">
        <v>0</v>
      </c>
      <c r="P1090" s="7" t="s">
        <v>162</v>
      </c>
      <c r="Q1090" s="124" t="s">
        <v>639</v>
      </c>
      <c r="R1090" s="1"/>
    </row>
    <row r="1091" spans="1:18" ht="13.5" thickBot="1" x14ac:dyDescent="0.25">
      <c r="A1091" s="123">
        <v>167</v>
      </c>
      <c r="B1091" s="123">
        <v>0</v>
      </c>
      <c r="C1091" s="123">
        <v>167</v>
      </c>
      <c r="D1091" s="123">
        <v>0</v>
      </c>
      <c r="E1091" s="123">
        <v>6</v>
      </c>
      <c r="F1091" s="123">
        <v>0</v>
      </c>
      <c r="G1091" s="123">
        <v>140</v>
      </c>
      <c r="H1091" s="123">
        <v>0</v>
      </c>
      <c r="I1091" s="123">
        <v>9</v>
      </c>
      <c r="J1091" s="123">
        <v>0</v>
      </c>
      <c r="K1091" s="123">
        <v>12</v>
      </c>
      <c r="L1091" s="123">
        <v>0</v>
      </c>
      <c r="M1091" s="123">
        <v>0</v>
      </c>
      <c r="N1091" s="123">
        <v>0</v>
      </c>
      <c r="O1091" s="123">
        <v>0</v>
      </c>
      <c r="P1091" s="7" t="s">
        <v>13</v>
      </c>
      <c r="Q1091" s="9"/>
      <c r="R1091" s="1"/>
    </row>
    <row r="1092" spans="1:18" ht="13.5" thickBot="1" x14ac:dyDescent="0.25">
      <c r="A1092" s="123">
        <v>261</v>
      </c>
      <c r="B1092" s="123">
        <v>0</v>
      </c>
      <c r="C1092" s="123">
        <v>261</v>
      </c>
      <c r="D1092" s="123">
        <v>0</v>
      </c>
      <c r="E1092" s="123">
        <v>47</v>
      </c>
      <c r="F1092" s="123">
        <v>0</v>
      </c>
      <c r="G1092" s="123">
        <v>190</v>
      </c>
      <c r="H1092" s="123">
        <v>0</v>
      </c>
      <c r="I1092" s="123">
        <v>12</v>
      </c>
      <c r="J1092" s="123">
        <v>0</v>
      </c>
      <c r="K1092" s="123">
        <v>12</v>
      </c>
      <c r="L1092" s="123">
        <v>0</v>
      </c>
      <c r="M1092" s="123">
        <v>0</v>
      </c>
      <c r="N1092" s="123">
        <v>0</v>
      </c>
      <c r="O1092" s="123">
        <v>0</v>
      </c>
      <c r="P1092" s="7" t="s">
        <v>163</v>
      </c>
      <c r="Q1092" s="124"/>
      <c r="R1092" s="1"/>
    </row>
    <row r="1093" spans="1:18" ht="13.5" thickBot="1" x14ac:dyDescent="0.25">
      <c r="A1093" s="123">
        <v>19</v>
      </c>
      <c r="B1093" s="123">
        <v>0</v>
      </c>
      <c r="C1093" s="123">
        <v>19</v>
      </c>
      <c r="D1093" s="123">
        <v>0</v>
      </c>
      <c r="E1093" s="123">
        <v>0</v>
      </c>
      <c r="F1093" s="123">
        <v>0</v>
      </c>
      <c r="G1093" s="123">
        <v>7</v>
      </c>
      <c r="H1093" s="123">
        <v>0</v>
      </c>
      <c r="I1093" s="123">
        <v>4</v>
      </c>
      <c r="J1093" s="123">
        <v>0</v>
      </c>
      <c r="K1093" s="123">
        <v>8</v>
      </c>
      <c r="L1093" s="123">
        <v>0</v>
      </c>
      <c r="M1093" s="123">
        <v>0</v>
      </c>
      <c r="N1093" s="123">
        <v>0</v>
      </c>
      <c r="O1093" s="123">
        <v>0</v>
      </c>
      <c r="P1093" s="7" t="s">
        <v>162</v>
      </c>
      <c r="Q1093" s="124" t="s">
        <v>282</v>
      </c>
      <c r="R1093" s="1"/>
    </row>
    <row r="1094" spans="1:18" ht="13.5" thickBot="1" x14ac:dyDescent="0.25">
      <c r="A1094" s="123">
        <v>280</v>
      </c>
      <c r="B1094" s="123">
        <v>0</v>
      </c>
      <c r="C1094" s="123">
        <v>280</v>
      </c>
      <c r="D1094" s="123">
        <v>0</v>
      </c>
      <c r="E1094" s="123">
        <v>47</v>
      </c>
      <c r="F1094" s="123">
        <v>0</v>
      </c>
      <c r="G1094" s="123">
        <v>197</v>
      </c>
      <c r="H1094" s="123">
        <v>0</v>
      </c>
      <c r="I1094" s="123">
        <v>16</v>
      </c>
      <c r="J1094" s="123">
        <v>0</v>
      </c>
      <c r="K1094" s="123">
        <v>20</v>
      </c>
      <c r="L1094" s="123">
        <v>0</v>
      </c>
      <c r="M1094" s="123">
        <v>0</v>
      </c>
      <c r="N1094" s="123">
        <v>0</v>
      </c>
      <c r="O1094" s="123">
        <v>0</v>
      </c>
      <c r="P1094" s="7" t="s">
        <v>13</v>
      </c>
      <c r="Q1094" s="9"/>
      <c r="R1094" s="1"/>
    </row>
    <row r="1095" spans="1:18" ht="13.5" thickBot="1" x14ac:dyDescent="0.25">
      <c r="A1095" s="123">
        <v>76</v>
      </c>
      <c r="B1095" s="123">
        <v>0</v>
      </c>
      <c r="C1095" s="123">
        <v>76</v>
      </c>
      <c r="D1095" s="123">
        <v>0</v>
      </c>
      <c r="E1095" s="123">
        <v>8</v>
      </c>
      <c r="F1095" s="123">
        <v>0</v>
      </c>
      <c r="G1095" s="123">
        <v>63</v>
      </c>
      <c r="H1095" s="123">
        <v>0</v>
      </c>
      <c r="I1095" s="123">
        <v>2</v>
      </c>
      <c r="J1095" s="123">
        <v>0</v>
      </c>
      <c r="K1095" s="123">
        <v>0</v>
      </c>
      <c r="L1095" s="123">
        <v>0</v>
      </c>
      <c r="M1095" s="123">
        <v>2</v>
      </c>
      <c r="N1095" s="123">
        <v>0</v>
      </c>
      <c r="O1095" s="123">
        <v>1</v>
      </c>
      <c r="P1095" s="7" t="s">
        <v>163</v>
      </c>
      <c r="Q1095" s="124"/>
      <c r="R1095" s="1"/>
    </row>
    <row r="1096" spans="1:18" ht="13.5" thickBot="1" x14ac:dyDescent="0.25">
      <c r="A1096" s="123">
        <v>18</v>
      </c>
      <c r="B1096" s="123">
        <v>0</v>
      </c>
      <c r="C1096" s="123">
        <v>18</v>
      </c>
      <c r="D1096" s="123">
        <v>0</v>
      </c>
      <c r="E1096" s="123">
        <v>0</v>
      </c>
      <c r="F1096" s="123">
        <v>0</v>
      </c>
      <c r="G1096" s="123">
        <v>10</v>
      </c>
      <c r="H1096" s="123">
        <v>0</v>
      </c>
      <c r="I1096" s="123">
        <v>5</v>
      </c>
      <c r="J1096" s="123">
        <v>0</v>
      </c>
      <c r="K1096" s="123">
        <v>3</v>
      </c>
      <c r="L1096" s="123">
        <v>0</v>
      </c>
      <c r="M1096" s="123">
        <v>0</v>
      </c>
      <c r="N1096" s="123">
        <v>0</v>
      </c>
      <c r="O1096" s="123">
        <v>0</v>
      </c>
      <c r="P1096" s="7" t="s">
        <v>162</v>
      </c>
      <c r="Q1096" s="124" t="s">
        <v>283</v>
      </c>
      <c r="R1096" s="1"/>
    </row>
    <row r="1097" spans="1:18" ht="13.5" thickBot="1" x14ac:dyDescent="0.25">
      <c r="A1097" s="123">
        <v>94</v>
      </c>
      <c r="B1097" s="123">
        <v>0</v>
      </c>
      <c r="C1097" s="123">
        <v>94</v>
      </c>
      <c r="D1097" s="123">
        <v>0</v>
      </c>
      <c r="E1097" s="123">
        <v>8</v>
      </c>
      <c r="F1097" s="123">
        <v>0</v>
      </c>
      <c r="G1097" s="123">
        <v>73</v>
      </c>
      <c r="H1097" s="123">
        <v>0</v>
      </c>
      <c r="I1097" s="123">
        <v>7</v>
      </c>
      <c r="J1097" s="123">
        <v>0</v>
      </c>
      <c r="K1097" s="123">
        <v>3</v>
      </c>
      <c r="L1097" s="123">
        <v>0</v>
      </c>
      <c r="M1097" s="123">
        <v>2</v>
      </c>
      <c r="N1097" s="123">
        <v>0</v>
      </c>
      <c r="O1097" s="123">
        <v>1</v>
      </c>
      <c r="P1097" s="7" t="s">
        <v>13</v>
      </c>
      <c r="Q1097" s="9"/>
      <c r="R1097" s="1"/>
    </row>
    <row r="1098" spans="1:18" ht="13.5" thickBot="1" x14ac:dyDescent="0.25">
      <c r="A1098" s="123">
        <v>113</v>
      </c>
      <c r="B1098" s="123">
        <v>0</v>
      </c>
      <c r="C1098" s="123">
        <v>113</v>
      </c>
      <c r="D1098" s="123">
        <v>0</v>
      </c>
      <c r="E1098" s="123">
        <v>23</v>
      </c>
      <c r="F1098" s="123">
        <v>0</v>
      </c>
      <c r="G1098" s="123">
        <v>65</v>
      </c>
      <c r="H1098" s="123">
        <v>0</v>
      </c>
      <c r="I1098" s="123">
        <v>20</v>
      </c>
      <c r="J1098" s="123">
        <v>0</v>
      </c>
      <c r="K1098" s="123">
        <v>5</v>
      </c>
      <c r="L1098" s="123">
        <v>0</v>
      </c>
      <c r="M1098" s="123">
        <v>0</v>
      </c>
      <c r="N1098" s="123">
        <v>0</v>
      </c>
      <c r="O1098" s="123">
        <v>0</v>
      </c>
      <c r="P1098" s="7" t="s">
        <v>163</v>
      </c>
      <c r="Q1098" s="124"/>
      <c r="R1098" s="1"/>
    </row>
    <row r="1099" spans="1:18" ht="13.5" thickBot="1" x14ac:dyDescent="0.25">
      <c r="A1099" s="123">
        <v>20</v>
      </c>
      <c r="B1099" s="123">
        <v>0</v>
      </c>
      <c r="C1099" s="123">
        <v>20</v>
      </c>
      <c r="D1099" s="123">
        <v>0</v>
      </c>
      <c r="E1099" s="123">
        <v>0</v>
      </c>
      <c r="F1099" s="123">
        <v>0</v>
      </c>
      <c r="G1099" s="123">
        <v>9</v>
      </c>
      <c r="H1099" s="123">
        <v>0</v>
      </c>
      <c r="I1099" s="123">
        <v>5</v>
      </c>
      <c r="J1099" s="123">
        <v>0</v>
      </c>
      <c r="K1099" s="123">
        <v>6</v>
      </c>
      <c r="L1099" s="123">
        <v>0</v>
      </c>
      <c r="M1099" s="123">
        <v>0</v>
      </c>
      <c r="N1099" s="123">
        <v>0</v>
      </c>
      <c r="O1099" s="123">
        <v>0</v>
      </c>
      <c r="P1099" s="7" t="s">
        <v>162</v>
      </c>
      <c r="Q1099" s="124" t="s">
        <v>284</v>
      </c>
      <c r="R1099" s="1"/>
    </row>
    <row r="1100" spans="1:18" ht="13.5" thickBot="1" x14ac:dyDescent="0.25">
      <c r="A1100" s="123">
        <v>133</v>
      </c>
      <c r="B1100" s="123">
        <v>0</v>
      </c>
      <c r="C1100" s="123">
        <v>133</v>
      </c>
      <c r="D1100" s="123">
        <v>0</v>
      </c>
      <c r="E1100" s="123">
        <v>23</v>
      </c>
      <c r="F1100" s="123">
        <v>0</v>
      </c>
      <c r="G1100" s="123">
        <v>74</v>
      </c>
      <c r="H1100" s="123">
        <v>0</v>
      </c>
      <c r="I1100" s="123">
        <v>25</v>
      </c>
      <c r="J1100" s="123">
        <v>0</v>
      </c>
      <c r="K1100" s="123">
        <v>11</v>
      </c>
      <c r="L1100" s="123">
        <v>0</v>
      </c>
      <c r="M1100" s="123">
        <v>0</v>
      </c>
      <c r="N1100" s="123">
        <v>0</v>
      </c>
      <c r="O1100" s="123">
        <v>0</v>
      </c>
      <c r="P1100" s="7" t="s">
        <v>13</v>
      </c>
      <c r="Q1100" s="9"/>
      <c r="R1100" s="1"/>
    </row>
    <row r="1101" spans="1:18" ht="13.5" thickBot="1" x14ac:dyDescent="0.25">
      <c r="A1101" s="123">
        <v>187</v>
      </c>
      <c r="B1101" s="123">
        <v>0</v>
      </c>
      <c r="C1101" s="123">
        <v>187</v>
      </c>
      <c r="D1101" s="123">
        <v>0</v>
      </c>
      <c r="E1101" s="123">
        <v>21</v>
      </c>
      <c r="F1101" s="123">
        <v>0</v>
      </c>
      <c r="G1101" s="123">
        <v>149</v>
      </c>
      <c r="H1101" s="123">
        <v>0</v>
      </c>
      <c r="I1101" s="123">
        <v>9</v>
      </c>
      <c r="J1101" s="123">
        <v>0</v>
      </c>
      <c r="K1101" s="123">
        <v>6</v>
      </c>
      <c r="L1101" s="123">
        <v>0</v>
      </c>
      <c r="M1101" s="123">
        <v>2</v>
      </c>
      <c r="N1101" s="123">
        <v>0</v>
      </c>
      <c r="O1101" s="123">
        <v>0</v>
      </c>
      <c r="P1101" s="7" t="s">
        <v>163</v>
      </c>
      <c r="Q1101" s="124"/>
      <c r="R1101" s="1"/>
    </row>
    <row r="1102" spans="1:18" ht="13.5" thickBot="1" x14ac:dyDescent="0.25">
      <c r="A1102" s="123">
        <v>6</v>
      </c>
      <c r="B1102" s="123">
        <v>0</v>
      </c>
      <c r="C1102" s="123">
        <v>6</v>
      </c>
      <c r="D1102" s="123">
        <v>0</v>
      </c>
      <c r="E1102" s="123">
        <v>0</v>
      </c>
      <c r="F1102" s="123">
        <v>0</v>
      </c>
      <c r="G1102" s="123">
        <v>0</v>
      </c>
      <c r="H1102" s="123">
        <v>0</v>
      </c>
      <c r="I1102" s="123">
        <v>1</v>
      </c>
      <c r="J1102" s="123">
        <v>0</v>
      </c>
      <c r="K1102" s="123">
        <v>4</v>
      </c>
      <c r="L1102" s="123">
        <v>0</v>
      </c>
      <c r="M1102" s="123">
        <v>1</v>
      </c>
      <c r="N1102" s="123">
        <v>0</v>
      </c>
      <c r="O1102" s="123">
        <v>0</v>
      </c>
      <c r="P1102" s="7" t="s">
        <v>162</v>
      </c>
      <c r="Q1102" s="124" t="s">
        <v>285</v>
      </c>
      <c r="R1102" s="1"/>
    </row>
    <row r="1103" spans="1:18" ht="13.5" thickBot="1" x14ac:dyDescent="0.25">
      <c r="A1103" s="123">
        <v>193</v>
      </c>
      <c r="B1103" s="123">
        <v>0</v>
      </c>
      <c r="C1103" s="123">
        <v>193</v>
      </c>
      <c r="D1103" s="123">
        <v>0</v>
      </c>
      <c r="E1103" s="123">
        <v>21</v>
      </c>
      <c r="F1103" s="123">
        <v>0</v>
      </c>
      <c r="G1103" s="123">
        <v>149</v>
      </c>
      <c r="H1103" s="123">
        <v>0</v>
      </c>
      <c r="I1103" s="123">
        <v>10</v>
      </c>
      <c r="J1103" s="123">
        <v>0</v>
      </c>
      <c r="K1103" s="123">
        <v>10</v>
      </c>
      <c r="L1103" s="123">
        <v>0</v>
      </c>
      <c r="M1103" s="123">
        <v>3</v>
      </c>
      <c r="N1103" s="123">
        <v>0</v>
      </c>
      <c r="O1103" s="123">
        <v>0</v>
      </c>
      <c r="P1103" s="7" t="s">
        <v>13</v>
      </c>
      <c r="Q1103" s="9"/>
      <c r="R1103" s="1"/>
    </row>
    <row r="1104" spans="1:18" ht="13.5" thickBot="1" x14ac:dyDescent="0.25">
      <c r="A1104" s="123">
        <v>99</v>
      </c>
      <c r="B1104" s="123">
        <v>0</v>
      </c>
      <c r="C1104" s="123">
        <v>99</v>
      </c>
      <c r="D1104" s="123">
        <v>0</v>
      </c>
      <c r="E1104" s="123">
        <v>13</v>
      </c>
      <c r="F1104" s="123">
        <v>0</v>
      </c>
      <c r="G1104" s="123">
        <v>80</v>
      </c>
      <c r="H1104" s="123">
        <v>0</v>
      </c>
      <c r="I1104" s="123">
        <v>4</v>
      </c>
      <c r="J1104" s="123">
        <v>0</v>
      </c>
      <c r="K1104" s="123">
        <v>2</v>
      </c>
      <c r="L1104" s="123">
        <v>0</v>
      </c>
      <c r="M1104" s="123">
        <v>0</v>
      </c>
      <c r="N1104" s="123">
        <v>0</v>
      </c>
      <c r="O1104" s="123">
        <v>0</v>
      </c>
      <c r="P1104" s="7" t="s">
        <v>163</v>
      </c>
      <c r="Q1104" s="124"/>
      <c r="R1104" s="1"/>
    </row>
    <row r="1105" spans="1:18" ht="13.5" thickBot="1" x14ac:dyDescent="0.25">
      <c r="A1105" s="123">
        <v>15</v>
      </c>
      <c r="B1105" s="123">
        <v>0</v>
      </c>
      <c r="C1105" s="123">
        <v>15</v>
      </c>
      <c r="D1105" s="123">
        <v>0</v>
      </c>
      <c r="E1105" s="123">
        <v>0</v>
      </c>
      <c r="F1105" s="123">
        <v>0</v>
      </c>
      <c r="G1105" s="123">
        <v>2</v>
      </c>
      <c r="H1105" s="123">
        <v>0</v>
      </c>
      <c r="I1105" s="123">
        <v>7</v>
      </c>
      <c r="J1105" s="123">
        <v>0</v>
      </c>
      <c r="K1105" s="123">
        <v>6</v>
      </c>
      <c r="L1105" s="123">
        <v>0</v>
      </c>
      <c r="M1105" s="123">
        <v>0</v>
      </c>
      <c r="N1105" s="123">
        <v>0</v>
      </c>
      <c r="O1105" s="123">
        <v>0</v>
      </c>
      <c r="P1105" s="7" t="s">
        <v>162</v>
      </c>
      <c r="Q1105" s="124" t="s">
        <v>286</v>
      </c>
      <c r="R1105" s="1"/>
    </row>
    <row r="1106" spans="1:18" ht="13.5" thickBot="1" x14ac:dyDescent="0.25">
      <c r="A1106" s="123">
        <v>114</v>
      </c>
      <c r="B1106" s="123">
        <v>0</v>
      </c>
      <c r="C1106" s="123">
        <v>114</v>
      </c>
      <c r="D1106" s="123">
        <v>0</v>
      </c>
      <c r="E1106" s="123">
        <v>13</v>
      </c>
      <c r="F1106" s="123">
        <v>0</v>
      </c>
      <c r="G1106" s="123">
        <v>82</v>
      </c>
      <c r="H1106" s="123">
        <v>0</v>
      </c>
      <c r="I1106" s="123">
        <v>11</v>
      </c>
      <c r="J1106" s="123">
        <v>0</v>
      </c>
      <c r="K1106" s="123">
        <v>8</v>
      </c>
      <c r="L1106" s="123">
        <v>0</v>
      </c>
      <c r="M1106" s="123">
        <v>0</v>
      </c>
      <c r="N1106" s="123">
        <v>0</v>
      </c>
      <c r="O1106" s="123">
        <v>0</v>
      </c>
      <c r="P1106" s="7" t="s">
        <v>13</v>
      </c>
      <c r="Q1106" s="9"/>
      <c r="R1106" s="1"/>
    </row>
    <row r="1107" spans="1:18" ht="13.5" thickBot="1" x14ac:dyDescent="0.25">
      <c r="A1107" s="123">
        <v>147</v>
      </c>
      <c r="B1107" s="123">
        <v>0</v>
      </c>
      <c r="C1107" s="123">
        <v>147</v>
      </c>
      <c r="D1107" s="123">
        <v>0</v>
      </c>
      <c r="E1107" s="123">
        <v>28</v>
      </c>
      <c r="F1107" s="123">
        <v>0</v>
      </c>
      <c r="G1107" s="123">
        <v>95</v>
      </c>
      <c r="H1107" s="123">
        <v>0</v>
      </c>
      <c r="I1107" s="123">
        <v>12</v>
      </c>
      <c r="J1107" s="123">
        <v>0</v>
      </c>
      <c r="K1107" s="123">
        <v>12</v>
      </c>
      <c r="L1107" s="123">
        <v>0</v>
      </c>
      <c r="M1107" s="123">
        <v>0</v>
      </c>
      <c r="N1107" s="123">
        <v>0</v>
      </c>
      <c r="O1107" s="123">
        <v>0</v>
      </c>
      <c r="P1107" s="7" t="s">
        <v>163</v>
      </c>
      <c r="Q1107" s="124"/>
      <c r="R1107" s="1"/>
    </row>
    <row r="1108" spans="1:18" ht="13.5" thickBot="1" x14ac:dyDescent="0.25">
      <c r="A1108" s="123">
        <v>121</v>
      </c>
      <c r="B1108" s="123">
        <v>0</v>
      </c>
      <c r="C1108" s="123">
        <v>121</v>
      </c>
      <c r="D1108" s="123">
        <v>0</v>
      </c>
      <c r="E1108" s="123">
        <v>0</v>
      </c>
      <c r="F1108" s="123">
        <v>0</v>
      </c>
      <c r="G1108" s="123">
        <v>97</v>
      </c>
      <c r="H1108" s="123">
        <v>0</v>
      </c>
      <c r="I1108" s="123">
        <v>10</v>
      </c>
      <c r="J1108" s="123">
        <v>0</v>
      </c>
      <c r="K1108" s="123">
        <v>14</v>
      </c>
      <c r="L1108" s="123">
        <v>0</v>
      </c>
      <c r="M1108" s="123">
        <v>0</v>
      </c>
      <c r="N1108" s="123">
        <v>0</v>
      </c>
      <c r="O1108" s="123">
        <v>0</v>
      </c>
      <c r="P1108" s="7" t="s">
        <v>162</v>
      </c>
      <c r="Q1108" s="124" t="s">
        <v>287</v>
      </c>
      <c r="R1108" s="1"/>
    </row>
    <row r="1109" spans="1:18" ht="13.5" thickBot="1" x14ac:dyDescent="0.25">
      <c r="A1109" s="123">
        <v>268</v>
      </c>
      <c r="B1109" s="123">
        <v>0</v>
      </c>
      <c r="C1109" s="123">
        <v>268</v>
      </c>
      <c r="D1109" s="123">
        <v>0</v>
      </c>
      <c r="E1109" s="123">
        <v>28</v>
      </c>
      <c r="F1109" s="123">
        <v>0</v>
      </c>
      <c r="G1109" s="123">
        <v>192</v>
      </c>
      <c r="H1109" s="123">
        <v>0</v>
      </c>
      <c r="I1109" s="123">
        <v>22</v>
      </c>
      <c r="J1109" s="123">
        <v>0</v>
      </c>
      <c r="K1109" s="123">
        <v>26</v>
      </c>
      <c r="L1109" s="123">
        <v>0</v>
      </c>
      <c r="M1109" s="123">
        <v>0</v>
      </c>
      <c r="N1109" s="123">
        <v>0</v>
      </c>
      <c r="O1109" s="123">
        <v>0</v>
      </c>
      <c r="P1109" s="7" t="s">
        <v>13</v>
      </c>
      <c r="Q1109" s="9"/>
      <c r="R1109" s="1"/>
    </row>
    <row r="1110" spans="1:18" ht="13.5" thickBot="1" x14ac:dyDescent="0.25">
      <c r="A1110" s="123">
        <v>330</v>
      </c>
      <c r="B1110" s="123">
        <v>0</v>
      </c>
      <c r="C1110" s="123">
        <v>330</v>
      </c>
      <c r="D1110" s="123">
        <v>0</v>
      </c>
      <c r="E1110" s="123">
        <v>0</v>
      </c>
      <c r="F1110" s="123">
        <v>0</v>
      </c>
      <c r="G1110" s="123">
        <v>317</v>
      </c>
      <c r="H1110" s="123">
        <v>0</v>
      </c>
      <c r="I1110" s="123">
        <v>8</v>
      </c>
      <c r="J1110" s="123">
        <v>0</v>
      </c>
      <c r="K1110" s="123">
        <v>5</v>
      </c>
      <c r="L1110" s="123">
        <v>0</v>
      </c>
      <c r="M1110" s="123">
        <v>0</v>
      </c>
      <c r="N1110" s="123">
        <v>0</v>
      </c>
      <c r="O1110" s="123">
        <v>0</v>
      </c>
      <c r="P1110" s="7" t="s">
        <v>163</v>
      </c>
      <c r="Q1110" s="124"/>
      <c r="R1110" s="1"/>
    </row>
    <row r="1111" spans="1:18" ht="13.5" thickBot="1" x14ac:dyDescent="0.25">
      <c r="A1111" s="123">
        <v>10</v>
      </c>
      <c r="B1111" s="123">
        <v>0</v>
      </c>
      <c r="C1111" s="123">
        <v>10</v>
      </c>
      <c r="D1111" s="123">
        <v>0</v>
      </c>
      <c r="E1111" s="123">
        <v>0</v>
      </c>
      <c r="F1111" s="123">
        <v>0</v>
      </c>
      <c r="G1111" s="123">
        <v>0</v>
      </c>
      <c r="H1111" s="123">
        <v>0</v>
      </c>
      <c r="I1111" s="123">
        <v>4</v>
      </c>
      <c r="J1111" s="123">
        <v>0</v>
      </c>
      <c r="K1111" s="123">
        <v>6</v>
      </c>
      <c r="L1111" s="123">
        <v>0</v>
      </c>
      <c r="M1111" s="123">
        <v>0</v>
      </c>
      <c r="N1111" s="123">
        <v>0</v>
      </c>
      <c r="O1111" s="123">
        <v>0</v>
      </c>
      <c r="P1111" s="7" t="s">
        <v>162</v>
      </c>
      <c r="Q1111" s="124" t="s">
        <v>288</v>
      </c>
      <c r="R1111" s="1"/>
    </row>
    <row r="1112" spans="1:18" ht="13.5" thickBot="1" x14ac:dyDescent="0.25">
      <c r="A1112" s="123">
        <v>340</v>
      </c>
      <c r="B1112" s="123">
        <v>0</v>
      </c>
      <c r="C1112" s="123">
        <v>340</v>
      </c>
      <c r="D1112" s="123">
        <v>0</v>
      </c>
      <c r="E1112" s="123">
        <v>0</v>
      </c>
      <c r="F1112" s="123">
        <v>0</v>
      </c>
      <c r="G1112" s="123">
        <v>317</v>
      </c>
      <c r="H1112" s="123">
        <v>0</v>
      </c>
      <c r="I1112" s="123">
        <v>12</v>
      </c>
      <c r="J1112" s="123">
        <v>0</v>
      </c>
      <c r="K1112" s="123">
        <v>11</v>
      </c>
      <c r="L1112" s="123">
        <v>0</v>
      </c>
      <c r="M1112" s="123">
        <v>0</v>
      </c>
      <c r="N1112" s="123">
        <v>0</v>
      </c>
      <c r="O1112" s="123">
        <v>0</v>
      </c>
      <c r="P1112" s="7" t="s">
        <v>13</v>
      </c>
      <c r="Q1112" s="9"/>
      <c r="R1112" s="1"/>
    </row>
    <row r="1113" spans="1:18" ht="13.5" thickBot="1" x14ac:dyDescent="0.25">
      <c r="A1113" s="123">
        <v>131</v>
      </c>
      <c r="B1113" s="123">
        <v>0</v>
      </c>
      <c r="C1113" s="123">
        <v>131</v>
      </c>
      <c r="D1113" s="123">
        <v>0</v>
      </c>
      <c r="E1113" s="123">
        <v>17</v>
      </c>
      <c r="F1113" s="123">
        <v>0</v>
      </c>
      <c r="G1113" s="123">
        <v>100</v>
      </c>
      <c r="H1113" s="123">
        <v>0</v>
      </c>
      <c r="I1113" s="123">
        <v>6</v>
      </c>
      <c r="J1113" s="123">
        <v>0</v>
      </c>
      <c r="K1113" s="123">
        <v>8</v>
      </c>
      <c r="L1113" s="123">
        <v>0</v>
      </c>
      <c r="M1113" s="123">
        <v>0</v>
      </c>
      <c r="N1113" s="123">
        <v>0</v>
      </c>
      <c r="O1113" s="123">
        <v>0</v>
      </c>
      <c r="P1113" s="7" t="s">
        <v>163</v>
      </c>
      <c r="Q1113" s="124"/>
      <c r="R1113" s="1"/>
    </row>
    <row r="1114" spans="1:18" ht="13.5" thickBot="1" x14ac:dyDescent="0.25">
      <c r="A1114" s="123">
        <v>63</v>
      </c>
      <c r="B1114" s="123">
        <v>0</v>
      </c>
      <c r="C1114" s="123">
        <v>63</v>
      </c>
      <c r="D1114" s="123">
        <v>0</v>
      </c>
      <c r="E1114" s="123">
        <v>0</v>
      </c>
      <c r="F1114" s="123">
        <v>0</v>
      </c>
      <c r="G1114" s="123">
        <v>58</v>
      </c>
      <c r="H1114" s="123">
        <v>0</v>
      </c>
      <c r="I1114" s="123">
        <v>2</v>
      </c>
      <c r="J1114" s="123">
        <v>0</v>
      </c>
      <c r="K1114" s="123">
        <v>3</v>
      </c>
      <c r="L1114" s="123">
        <v>0</v>
      </c>
      <c r="M1114" s="123">
        <v>0</v>
      </c>
      <c r="N1114" s="123">
        <v>0</v>
      </c>
      <c r="O1114" s="123">
        <v>0</v>
      </c>
      <c r="P1114" s="7" t="s">
        <v>162</v>
      </c>
      <c r="Q1114" s="124" t="s">
        <v>289</v>
      </c>
      <c r="R1114" s="1"/>
    </row>
    <row r="1115" spans="1:18" ht="13.5" thickBot="1" x14ac:dyDescent="0.25">
      <c r="A1115" s="123">
        <v>194</v>
      </c>
      <c r="B1115" s="123">
        <v>0</v>
      </c>
      <c r="C1115" s="123">
        <v>194</v>
      </c>
      <c r="D1115" s="123">
        <v>0</v>
      </c>
      <c r="E1115" s="123">
        <v>17</v>
      </c>
      <c r="F1115" s="123">
        <v>0</v>
      </c>
      <c r="G1115" s="123">
        <v>158</v>
      </c>
      <c r="H1115" s="123">
        <v>0</v>
      </c>
      <c r="I1115" s="123">
        <v>8</v>
      </c>
      <c r="J1115" s="123">
        <v>0</v>
      </c>
      <c r="K1115" s="123">
        <v>11</v>
      </c>
      <c r="L1115" s="123">
        <v>0</v>
      </c>
      <c r="M1115" s="123">
        <v>0</v>
      </c>
      <c r="N1115" s="123">
        <v>0</v>
      </c>
      <c r="O1115" s="123">
        <v>0</v>
      </c>
      <c r="P1115" s="7" t="s">
        <v>13</v>
      </c>
      <c r="Q1115" s="9"/>
      <c r="R1115" s="1"/>
    </row>
    <row r="1116" spans="1:18" ht="13.5" thickBot="1" x14ac:dyDescent="0.25">
      <c r="A1116" s="123">
        <v>101</v>
      </c>
      <c r="B1116" s="123">
        <v>0</v>
      </c>
      <c r="C1116" s="123">
        <v>101</v>
      </c>
      <c r="D1116" s="123">
        <v>0</v>
      </c>
      <c r="E1116" s="123">
        <v>18</v>
      </c>
      <c r="F1116" s="123">
        <v>0</v>
      </c>
      <c r="G1116" s="123">
        <v>60</v>
      </c>
      <c r="H1116" s="123">
        <v>0</v>
      </c>
      <c r="I1116" s="123">
        <v>8</v>
      </c>
      <c r="J1116" s="123">
        <v>0</v>
      </c>
      <c r="K1116" s="123">
        <v>15</v>
      </c>
      <c r="L1116" s="123">
        <v>0</v>
      </c>
      <c r="M1116" s="123">
        <v>0</v>
      </c>
      <c r="N1116" s="123">
        <v>0</v>
      </c>
      <c r="O1116" s="123">
        <v>0</v>
      </c>
      <c r="P1116" s="7" t="s">
        <v>163</v>
      </c>
      <c r="Q1116" s="124"/>
      <c r="R1116" s="1"/>
    </row>
    <row r="1117" spans="1:18" ht="13.5" thickBot="1" x14ac:dyDescent="0.25">
      <c r="A1117" s="123">
        <v>29</v>
      </c>
      <c r="B1117" s="123">
        <v>0</v>
      </c>
      <c r="C1117" s="123">
        <v>29</v>
      </c>
      <c r="D1117" s="123">
        <v>0</v>
      </c>
      <c r="E1117" s="123">
        <v>2</v>
      </c>
      <c r="F1117" s="123">
        <v>0</v>
      </c>
      <c r="G1117" s="123">
        <v>10</v>
      </c>
      <c r="H1117" s="123">
        <v>0</v>
      </c>
      <c r="I1117" s="123">
        <v>11</v>
      </c>
      <c r="J1117" s="123">
        <v>0</v>
      </c>
      <c r="K1117" s="123">
        <v>6</v>
      </c>
      <c r="L1117" s="123">
        <v>0</v>
      </c>
      <c r="M1117" s="123">
        <v>0</v>
      </c>
      <c r="N1117" s="123">
        <v>0</v>
      </c>
      <c r="O1117" s="123">
        <v>0</v>
      </c>
      <c r="P1117" s="7" t="s">
        <v>162</v>
      </c>
      <c r="Q1117" s="124" t="s">
        <v>640</v>
      </c>
      <c r="R1117" s="1"/>
    </row>
    <row r="1118" spans="1:18" ht="13.5" thickBot="1" x14ac:dyDescent="0.25">
      <c r="A1118" s="123">
        <v>130</v>
      </c>
      <c r="B1118" s="123">
        <v>0</v>
      </c>
      <c r="C1118" s="123">
        <v>130</v>
      </c>
      <c r="D1118" s="123">
        <v>0</v>
      </c>
      <c r="E1118" s="123">
        <v>20</v>
      </c>
      <c r="F1118" s="123">
        <v>0</v>
      </c>
      <c r="G1118" s="123">
        <v>70</v>
      </c>
      <c r="H1118" s="123">
        <v>0</v>
      </c>
      <c r="I1118" s="123">
        <v>19</v>
      </c>
      <c r="J1118" s="123">
        <v>0</v>
      </c>
      <c r="K1118" s="123">
        <v>21</v>
      </c>
      <c r="L1118" s="123">
        <v>0</v>
      </c>
      <c r="M1118" s="123">
        <v>0</v>
      </c>
      <c r="N1118" s="123">
        <v>0</v>
      </c>
      <c r="O1118" s="123">
        <v>0</v>
      </c>
      <c r="P1118" s="7" t="s">
        <v>13</v>
      </c>
      <c r="Q1118" s="9"/>
      <c r="R1118" s="1"/>
    </row>
    <row r="1119" spans="1:18" ht="13.5" thickBot="1" x14ac:dyDescent="0.25">
      <c r="A1119" s="123">
        <v>102</v>
      </c>
      <c r="B1119" s="123">
        <v>0</v>
      </c>
      <c r="C1119" s="123">
        <v>102</v>
      </c>
      <c r="D1119" s="123">
        <v>0</v>
      </c>
      <c r="E1119" s="123">
        <v>24</v>
      </c>
      <c r="F1119" s="123">
        <v>0</v>
      </c>
      <c r="G1119" s="123">
        <v>63</v>
      </c>
      <c r="H1119" s="123">
        <v>0</v>
      </c>
      <c r="I1119" s="123">
        <v>5</v>
      </c>
      <c r="J1119" s="123">
        <v>0</v>
      </c>
      <c r="K1119" s="123">
        <v>10</v>
      </c>
      <c r="L1119" s="123">
        <v>0</v>
      </c>
      <c r="M1119" s="123">
        <v>0</v>
      </c>
      <c r="N1119" s="123">
        <v>0</v>
      </c>
      <c r="O1119" s="123">
        <v>0</v>
      </c>
      <c r="P1119" s="7" t="s">
        <v>163</v>
      </c>
      <c r="Q1119" s="124"/>
      <c r="R1119" s="1"/>
    </row>
    <row r="1120" spans="1:18" ht="13.5" thickBot="1" x14ac:dyDescent="0.25">
      <c r="A1120" s="123">
        <v>20</v>
      </c>
      <c r="B1120" s="123">
        <v>0</v>
      </c>
      <c r="C1120" s="123">
        <v>20</v>
      </c>
      <c r="D1120" s="123">
        <v>0</v>
      </c>
      <c r="E1120" s="123">
        <v>0</v>
      </c>
      <c r="F1120" s="123">
        <v>0</v>
      </c>
      <c r="G1120" s="123">
        <v>10</v>
      </c>
      <c r="H1120" s="123">
        <v>0</v>
      </c>
      <c r="I1120" s="123">
        <v>4</v>
      </c>
      <c r="J1120" s="123">
        <v>0</v>
      </c>
      <c r="K1120" s="123">
        <v>6</v>
      </c>
      <c r="L1120" s="123">
        <v>0</v>
      </c>
      <c r="M1120" s="123">
        <v>0</v>
      </c>
      <c r="N1120" s="123">
        <v>0</v>
      </c>
      <c r="O1120" s="123">
        <v>0</v>
      </c>
      <c r="P1120" s="7" t="s">
        <v>162</v>
      </c>
      <c r="Q1120" s="124" t="s">
        <v>291</v>
      </c>
      <c r="R1120" s="1"/>
    </row>
    <row r="1121" spans="1:18" ht="13.5" thickBot="1" x14ac:dyDescent="0.25">
      <c r="A1121" s="123">
        <v>122</v>
      </c>
      <c r="B1121" s="123">
        <v>0</v>
      </c>
      <c r="C1121" s="123">
        <v>122</v>
      </c>
      <c r="D1121" s="123">
        <v>0</v>
      </c>
      <c r="E1121" s="123">
        <v>24</v>
      </c>
      <c r="F1121" s="123">
        <v>0</v>
      </c>
      <c r="G1121" s="123">
        <v>73</v>
      </c>
      <c r="H1121" s="123">
        <v>0</v>
      </c>
      <c r="I1121" s="123">
        <v>9</v>
      </c>
      <c r="J1121" s="123">
        <v>0</v>
      </c>
      <c r="K1121" s="123">
        <v>16</v>
      </c>
      <c r="L1121" s="123">
        <v>0</v>
      </c>
      <c r="M1121" s="123">
        <v>0</v>
      </c>
      <c r="N1121" s="123">
        <v>0</v>
      </c>
      <c r="O1121" s="123">
        <v>0</v>
      </c>
      <c r="P1121" s="7" t="s">
        <v>13</v>
      </c>
      <c r="Q1121" s="9"/>
      <c r="R1121" s="1"/>
    </row>
    <row r="1122" spans="1:18" ht="13.5" thickBot="1" x14ac:dyDescent="0.25">
      <c r="A1122" s="123">
        <v>34</v>
      </c>
      <c r="B1122" s="123">
        <v>0</v>
      </c>
      <c r="C1122" s="123">
        <v>34</v>
      </c>
      <c r="D1122" s="123">
        <v>0</v>
      </c>
      <c r="E1122" s="123">
        <v>0</v>
      </c>
      <c r="F1122" s="123">
        <v>0</v>
      </c>
      <c r="G1122" s="123">
        <v>30</v>
      </c>
      <c r="H1122" s="123">
        <v>0</v>
      </c>
      <c r="I1122" s="123">
        <v>4</v>
      </c>
      <c r="J1122" s="123">
        <v>0</v>
      </c>
      <c r="K1122" s="123">
        <v>0</v>
      </c>
      <c r="L1122" s="123">
        <v>0</v>
      </c>
      <c r="M1122" s="123">
        <v>0</v>
      </c>
      <c r="N1122" s="123">
        <v>0</v>
      </c>
      <c r="O1122" s="123">
        <v>0</v>
      </c>
      <c r="P1122" s="7" t="s">
        <v>163</v>
      </c>
      <c r="Q1122" s="124"/>
      <c r="R1122" s="1"/>
    </row>
    <row r="1123" spans="1:18" ht="13.5" thickBot="1" x14ac:dyDescent="0.25">
      <c r="A1123" s="123">
        <v>30</v>
      </c>
      <c r="B1123" s="123">
        <v>0</v>
      </c>
      <c r="C1123" s="123">
        <v>30</v>
      </c>
      <c r="D1123" s="123">
        <v>0</v>
      </c>
      <c r="E1123" s="123">
        <v>0</v>
      </c>
      <c r="F1123" s="123">
        <v>0</v>
      </c>
      <c r="G1123" s="123">
        <v>25</v>
      </c>
      <c r="H1123" s="123">
        <v>0</v>
      </c>
      <c r="I1123" s="123">
        <v>5</v>
      </c>
      <c r="J1123" s="123">
        <v>0</v>
      </c>
      <c r="K1123" s="123">
        <v>0</v>
      </c>
      <c r="L1123" s="123">
        <v>0</v>
      </c>
      <c r="M1123" s="123">
        <v>0</v>
      </c>
      <c r="N1123" s="123">
        <v>0</v>
      </c>
      <c r="O1123" s="123">
        <v>0</v>
      </c>
      <c r="P1123" s="7" t="s">
        <v>162</v>
      </c>
      <c r="Q1123" s="124" t="s">
        <v>292</v>
      </c>
      <c r="R1123" s="1"/>
    </row>
    <row r="1124" spans="1:18" ht="13.5" thickBot="1" x14ac:dyDescent="0.25">
      <c r="A1124" s="123">
        <v>64</v>
      </c>
      <c r="B1124" s="123">
        <v>0</v>
      </c>
      <c r="C1124" s="123">
        <v>64</v>
      </c>
      <c r="D1124" s="123">
        <v>0</v>
      </c>
      <c r="E1124" s="123">
        <v>0</v>
      </c>
      <c r="F1124" s="123">
        <v>0</v>
      </c>
      <c r="G1124" s="123">
        <v>55</v>
      </c>
      <c r="H1124" s="123">
        <v>0</v>
      </c>
      <c r="I1124" s="123">
        <v>9</v>
      </c>
      <c r="J1124" s="123">
        <v>0</v>
      </c>
      <c r="K1124" s="123">
        <v>0</v>
      </c>
      <c r="L1124" s="123">
        <v>0</v>
      </c>
      <c r="M1124" s="123">
        <v>0</v>
      </c>
      <c r="N1124" s="123">
        <v>0</v>
      </c>
      <c r="O1124" s="123">
        <v>0</v>
      </c>
      <c r="P1124" s="7" t="s">
        <v>13</v>
      </c>
      <c r="Q1124" s="9"/>
      <c r="R1124" s="1"/>
    </row>
    <row r="1125" spans="1:18" ht="13.5" thickBot="1" x14ac:dyDescent="0.25">
      <c r="A1125" s="123">
        <v>89</v>
      </c>
      <c r="B1125" s="123">
        <v>0</v>
      </c>
      <c r="C1125" s="123">
        <v>89</v>
      </c>
      <c r="D1125" s="123">
        <v>0</v>
      </c>
      <c r="E1125" s="123">
        <v>5</v>
      </c>
      <c r="F1125" s="123">
        <v>0</v>
      </c>
      <c r="G1125" s="123">
        <v>68</v>
      </c>
      <c r="H1125" s="123">
        <v>0</v>
      </c>
      <c r="I1125" s="123">
        <v>15</v>
      </c>
      <c r="J1125" s="123">
        <v>0</v>
      </c>
      <c r="K1125" s="123">
        <v>1</v>
      </c>
      <c r="L1125" s="123">
        <v>0</v>
      </c>
      <c r="M1125" s="123">
        <v>0</v>
      </c>
      <c r="N1125" s="123">
        <v>0</v>
      </c>
      <c r="O1125" s="123">
        <v>0</v>
      </c>
      <c r="P1125" s="7" t="s">
        <v>163</v>
      </c>
      <c r="Q1125" s="124"/>
      <c r="R1125" s="1"/>
    </row>
    <row r="1126" spans="1:18" ht="13.5" thickBot="1" x14ac:dyDescent="0.25">
      <c r="A1126" s="123">
        <v>15</v>
      </c>
      <c r="B1126" s="123">
        <v>0</v>
      </c>
      <c r="C1126" s="123">
        <v>15</v>
      </c>
      <c r="D1126" s="123">
        <v>0</v>
      </c>
      <c r="E1126" s="123">
        <v>0</v>
      </c>
      <c r="F1126" s="123">
        <v>0</v>
      </c>
      <c r="G1126" s="123">
        <v>11</v>
      </c>
      <c r="H1126" s="123">
        <v>0</v>
      </c>
      <c r="I1126" s="123">
        <v>4</v>
      </c>
      <c r="J1126" s="123">
        <v>0</v>
      </c>
      <c r="K1126" s="123">
        <v>0</v>
      </c>
      <c r="L1126" s="123">
        <v>0</v>
      </c>
      <c r="M1126" s="123">
        <v>0</v>
      </c>
      <c r="N1126" s="123">
        <v>0</v>
      </c>
      <c r="O1126" s="123">
        <v>0</v>
      </c>
      <c r="P1126" s="7" t="s">
        <v>162</v>
      </c>
      <c r="Q1126" s="124" t="s">
        <v>293</v>
      </c>
      <c r="R1126" s="1"/>
    </row>
    <row r="1127" spans="1:18" ht="13.5" thickBot="1" x14ac:dyDescent="0.25">
      <c r="A1127" s="123">
        <v>104</v>
      </c>
      <c r="B1127" s="123">
        <v>0</v>
      </c>
      <c r="C1127" s="123">
        <v>104</v>
      </c>
      <c r="D1127" s="123">
        <v>0</v>
      </c>
      <c r="E1127" s="123">
        <v>5</v>
      </c>
      <c r="F1127" s="123">
        <v>0</v>
      </c>
      <c r="G1127" s="123">
        <v>79</v>
      </c>
      <c r="H1127" s="123">
        <v>0</v>
      </c>
      <c r="I1127" s="123">
        <v>19</v>
      </c>
      <c r="J1127" s="123">
        <v>0</v>
      </c>
      <c r="K1127" s="123">
        <v>1</v>
      </c>
      <c r="L1127" s="123">
        <v>0</v>
      </c>
      <c r="M1127" s="123">
        <v>0</v>
      </c>
      <c r="N1127" s="123">
        <v>0</v>
      </c>
      <c r="O1127" s="123">
        <v>0</v>
      </c>
      <c r="P1127" s="7" t="s">
        <v>13</v>
      </c>
      <c r="Q1127" s="9"/>
      <c r="R1127" s="1"/>
    </row>
    <row r="1128" spans="1:18" ht="13.5" thickBot="1" x14ac:dyDescent="0.25">
      <c r="A1128" s="123">
        <v>130</v>
      </c>
      <c r="B1128" s="123">
        <v>0</v>
      </c>
      <c r="C1128" s="123">
        <v>130</v>
      </c>
      <c r="D1128" s="123">
        <v>0</v>
      </c>
      <c r="E1128" s="123">
        <v>17</v>
      </c>
      <c r="F1128" s="123">
        <v>0</v>
      </c>
      <c r="G1128" s="123">
        <v>100</v>
      </c>
      <c r="H1128" s="123">
        <v>0</v>
      </c>
      <c r="I1128" s="123">
        <v>13</v>
      </c>
      <c r="J1128" s="123">
        <v>0</v>
      </c>
      <c r="K1128" s="123">
        <v>0</v>
      </c>
      <c r="L1128" s="123">
        <v>0</v>
      </c>
      <c r="M1128" s="123">
        <v>0</v>
      </c>
      <c r="N1128" s="123">
        <v>0</v>
      </c>
      <c r="O1128" s="123">
        <v>0</v>
      </c>
      <c r="P1128" s="7" t="s">
        <v>163</v>
      </c>
      <c r="Q1128" s="124"/>
      <c r="R1128" s="1"/>
    </row>
    <row r="1129" spans="1:18" ht="13.5" thickBot="1" x14ac:dyDescent="0.25">
      <c r="A1129" s="123">
        <v>21</v>
      </c>
      <c r="B1129" s="123">
        <v>0</v>
      </c>
      <c r="C1129" s="123">
        <v>21</v>
      </c>
      <c r="D1129" s="123">
        <v>0</v>
      </c>
      <c r="E1129" s="123">
        <v>0</v>
      </c>
      <c r="F1129" s="123">
        <v>0</v>
      </c>
      <c r="G1129" s="123">
        <v>11</v>
      </c>
      <c r="H1129" s="123">
        <v>0</v>
      </c>
      <c r="I1129" s="123">
        <v>8</v>
      </c>
      <c r="J1129" s="123">
        <v>0</v>
      </c>
      <c r="K1129" s="123">
        <v>2</v>
      </c>
      <c r="L1129" s="123">
        <v>0</v>
      </c>
      <c r="M1129" s="123">
        <v>0</v>
      </c>
      <c r="N1129" s="123">
        <v>0</v>
      </c>
      <c r="O1129" s="123">
        <v>0</v>
      </c>
      <c r="P1129" s="7" t="s">
        <v>162</v>
      </c>
      <c r="Q1129" s="124" t="s">
        <v>294</v>
      </c>
      <c r="R1129" s="1"/>
    </row>
    <row r="1130" spans="1:18" ht="13.5" thickBot="1" x14ac:dyDescent="0.25">
      <c r="A1130" s="123">
        <v>151</v>
      </c>
      <c r="B1130" s="123">
        <v>0</v>
      </c>
      <c r="C1130" s="123">
        <v>151</v>
      </c>
      <c r="D1130" s="123">
        <v>0</v>
      </c>
      <c r="E1130" s="123">
        <v>17</v>
      </c>
      <c r="F1130" s="123">
        <v>0</v>
      </c>
      <c r="G1130" s="123">
        <v>111</v>
      </c>
      <c r="H1130" s="123">
        <v>0</v>
      </c>
      <c r="I1130" s="123">
        <v>21</v>
      </c>
      <c r="J1130" s="123">
        <v>0</v>
      </c>
      <c r="K1130" s="123">
        <v>2</v>
      </c>
      <c r="L1130" s="123">
        <v>0</v>
      </c>
      <c r="M1130" s="123">
        <v>0</v>
      </c>
      <c r="N1130" s="123">
        <v>0</v>
      </c>
      <c r="O1130" s="123">
        <v>0</v>
      </c>
      <c r="P1130" s="7" t="s">
        <v>13</v>
      </c>
      <c r="Q1130" s="9"/>
      <c r="R1130" s="1"/>
    </row>
    <row r="1131" spans="1:18" ht="13.5" thickBot="1" x14ac:dyDescent="0.25">
      <c r="A1131" s="123">
        <v>71</v>
      </c>
      <c r="B1131" s="123">
        <v>0</v>
      </c>
      <c r="C1131" s="123">
        <v>71</v>
      </c>
      <c r="D1131" s="123">
        <v>0</v>
      </c>
      <c r="E1131" s="123">
        <v>3</v>
      </c>
      <c r="F1131" s="123">
        <v>0</v>
      </c>
      <c r="G1131" s="123">
        <v>60</v>
      </c>
      <c r="H1131" s="123">
        <v>0</v>
      </c>
      <c r="I1131" s="123">
        <v>6</v>
      </c>
      <c r="J1131" s="123">
        <v>0</v>
      </c>
      <c r="K1131" s="123">
        <v>2</v>
      </c>
      <c r="L1131" s="123">
        <v>0</v>
      </c>
      <c r="M1131" s="123">
        <v>0</v>
      </c>
      <c r="N1131" s="123">
        <v>0</v>
      </c>
      <c r="O1131" s="123">
        <v>0</v>
      </c>
      <c r="P1131" s="7" t="s">
        <v>163</v>
      </c>
      <c r="Q1131" s="124"/>
      <c r="R1131" s="1"/>
    </row>
    <row r="1132" spans="1:18" ht="13.5" thickBot="1" x14ac:dyDescent="0.25">
      <c r="A1132" s="123">
        <v>14</v>
      </c>
      <c r="B1132" s="123">
        <v>0</v>
      </c>
      <c r="C1132" s="123">
        <v>14</v>
      </c>
      <c r="D1132" s="123">
        <v>0</v>
      </c>
      <c r="E1132" s="123">
        <v>0</v>
      </c>
      <c r="F1132" s="123">
        <v>0</v>
      </c>
      <c r="G1132" s="123">
        <v>4</v>
      </c>
      <c r="H1132" s="123">
        <v>0</v>
      </c>
      <c r="I1132" s="123">
        <v>7</v>
      </c>
      <c r="J1132" s="123">
        <v>0</v>
      </c>
      <c r="K1132" s="123">
        <v>3</v>
      </c>
      <c r="L1132" s="123">
        <v>0</v>
      </c>
      <c r="M1132" s="123">
        <v>0</v>
      </c>
      <c r="N1132" s="123">
        <v>0</v>
      </c>
      <c r="O1132" s="123">
        <v>0</v>
      </c>
      <c r="P1132" s="7" t="s">
        <v>162</v>
      </c>
      <c r="Q1132" s="124" t="s">
        <v>295</v>
      </c>
      <c r="R1132" s="1"/>
    </row>
    <row r="1133" spans="1:18" ht="13.5" thickBot="1" x14ac:dyDescent="0.25">
      <c r="A1133" s="123">
        <v>85</v>
      </c>
      <c r="B1133" s="123">
        <v>0</v>
      </c>
      <c r="C1133" s="123">
        <v>85</v>
      </c>
      <c r="D1133" s="123">
        <v>0</v>
      </c>
      <c r="E1133" s="123">
        <v>3</v>
      </c>
      <c r="F1133" s="123">
        <v>0</v>
      </c>
      <c r="G1133" s="123">
        <v>64</v>
      </c>
      <c r="H1133" s="123">
        <v>0</v>
      </c>
      <c r="I1133" s="123">
        <v>13</v>
      </c>
      <c r="J1133" s="123">
        <v>0</v>
      </c>
      <c r="K1133" s="123">
        <v>5</v>
      </c>
      <c r="L1133" s="123">
        <v>0</v>
      </c>
      <c r="M1133" s="123">
        <v>0</v>
      </c>
      <c r="N1133" s="123">
        <v>0</v>
      </c>
      <c r="O1133" s="123">
        <v>0</v>
      </c>
      <c r="P1133" s="7" t="s">
        <v>13</v>
      </c>
      <c r="Q1133" s="9"/>
      <c r="R1133" s="1"/>
    </row>
    <row r="1134" spans="1:18" ht="13.5" thickBot="1" x14ac:dyDescent="0.25">
      <c r="A1134" s="123">
        <v>92</v>
      </c>
      <c r="B1134" s="123">
        <v>0</v>
      </c>
      <c r="C1134" s="123">
        <v>92</v>
      </c>
      <c r="D1134" s="123">
        <v>0</v>
      </c>
      <c r="E1134" s="123">
        <v>25</v>
      </c>
      <c r="F1134" s="123">
        <v>0</v>
      </c>
      <c r="G1134" s="123">
        <v>46</v>
      </c>
      <c r="H1134" s="123">
        <v>0</v>
      </c>
      <c r="I1134" s="123">
        <v>21</v>
      </c>
      <c r="J1134" s="123">
        <v>0</v>
      </c>
      <c r="K1134" s="123">
        <v>0</v>
      </c>
      <c r="L1134" s="123">
        <v>0</v>
      </c>
      <c r="M1134" s="123">
        <v>0</v>
      </c>
      <c r="N1134" s="123">
        <v>0</v>
      </c>
      <c r="O1134" s="123">
        <v>0</v>
      </c>
      <c r="P1134" s="7" t="s">
        <v>163</v>
      </c>
      <c r="Q1134" s="124"/>
      <c r="R1134" s="1"/>
    </row>
    <row r="1135" spans="1:18" ht="13.5" thickBot="1" x14ac:dyDescent="0.25">
      <c r="A1135" s="123">
        <v>5</v>
      </c>
      <c r="B1135" s="123">
        <v>0</v>
      </c>
      <c r="C1135" s="123">
        <v>5</v>
      </c>
      <c r="D1135" s="123">
        <v>0</v>
      </c>
      <c r="E1135" s="123">
        <v>0</v>
      </c>
      <c r="F1135" s="123">
        <v>0</v>
      </c>
      <c r="G1135" s="123">
        <v>0</v>
      </c>
      <c r="H1135" s="123">
        <v>0</v>
      </c>
      <c r="I1135" s="123">
        <v>0</v>
      </c>
      <c r="J1135" s="123">
        <v>0</v>
      </c>
      <c r="K1135" s="123">
        <v>3</v>
      </c>
      <c r="L1135" s="123">
        <v>0</v>
      </c>
      <c r="M1135" s="123">
        <v>2</v>
      </c>
      <c r="N1135" s="123">
        <v>0</v>
      </c>
      <c r="O1135" s="123">
        <v>0</v>
      </c>
      <c r="P1135" s="7" t="s">
        <v>162</v>
      </c>
      <c r="Q1135" s="124" t="s">
        <v>296</v>
      </c>
      <c r="R1135" s="1"/>
    </row>
    <row r="1136" spans="1:18" ht="13.5" thickBot="1" x14ac:dyDescent="0.25">
      <c r="A1136" s="123">
        <v>97</v>
      </c>
      <c r="B1136" s="123">
        <v>0</v>
      </c>
      <c r="C1136" s="123">
        <v>97</v>
      </c>
      <c r="D1136" s="123">
        <v>0</v>
      </c>
      <c r="E1136" s="123">
        <v>25</v>
      </c>
      <c r="F1136" s="123">
        <v>0</v>
      </c>
      <c r="G1136" s="123">
        <v>46</v>
      </c>
      <c r="H1136" s="123">
        <v>0</v>
      </c>
      <c r="I1136" s="123">
        <v>21</v>
      </c>
      <c r="J1136" s="123">
        <v>0</v>
      </c>
      <c r="K1136" s="123">
        <v>3</v>
      </c>
      <c r="L1136" s="123">
        <v>0</v>
      </c>
      <c r="M1136" s="123">
        <v>2</v>
      </c>
      <c r="N1136" s="123">
        <v>0</v>
      </c>
      <c r="O1136" s="123">
        <v>0</v>
      </c>
      <c r="P1136" s="7" t="s">
        <v>13</v>
      </c>
      <c r="Q1136" s="9"/>
      <c r="R1136" s="1"/>
    </row>
    <row r="1137" spans="1:18" ht="13.5" thickBot="1" x14ac:dyDescent="0.25">
      <c r="A1137" s="123">
        <v>45</v>
      </c>
      <c r="B1137" s="123">
        <v>0</v>
      </c>
      <c r="C1137" s="123">
        <v>45</v>
      </c>
      <c r="D1137" s="123">
        <v>0</v>
      </c>
      <c r="E1137" s="123">
        <v>0</v>
      </c>
      <c r="F1137" s="123">
        <v>0</v>
      </c>
      <c r="G1137" s="123">
        <v>45</v>
      </c>
      <c r="H1137" s="123">
        <v>0</v>
      </c>
      <c r="I1137" s="123">
        <v>0</v>
      </c>
      <c r="J1137" s="123">
        <v>0</v>
      </c>
      <c r="K1137" s="123">
        <v>0</v>
      </c>
      <c r="L1137" s="123">
        <v>0</v>
      </c>
      <c r="M1137" s="123">
        <v>0</v>
      </c>
      <c r="N1137" s="123">
        <v>0</v>
      </c>
      <c r="O1137" s="123">
        <v>0</v>
      </c>
      <c r="P1137" s="7" t="s">
        <v>163</v>
      </c>
      <c r="Q1137" s="124"/>
      <c r="R1137" s="1"/>
    </row>
    <row r="1138" spans="1:18" ht="13.5" thickBot="1" x14ac:dyDescent="0.25">
      <c r="A1138" s="123">
        <v>13</v>
      </c>
      <c r="B1138" s="123">
        <v>0</v>
      </c>
      <c r="C1138" s="123">
        <v>13</v>
      </c>
      <c r="D1138" s="123">
        <v>0</v>
      </c>
      <c r="E1138" s="123">
        <v>0</v>
      </c>
      <c r="F1138" s="123">
        <v>0</v>
      </c>
      <c r="G1138" s="123">
        <v>0</v>
      </c>
      <c r="H1138" s="123">
        <v>0</v>
      </c>
      <c r="I1138" s="123">
        <v>12</v>
      </c>
      <c r="J1138" s="123">
        <v>0</v>
      </c>
      <c r="K1138" s="123">
        <v>1</v>
      </c>
      <c r="L1138" s="123">
        <v>0</v>
      </c>
      <c r="M1138" s="123">
        <v>0</v>
      </c>
      <c r="N1138" s="123">
        <v>0</v>
      </c>
      <c r="O1138" s="123">
        <v>0</v>
      </c>
      <c r="P1138" s="7" t="s">
        <v>162</v>
      </c>
      <c r="Q1138" s="124" t="s">
        <v>297</v>
      </c>
      <c r="R1138" s="1"/>
    </row>
    <row r="1139" spans="1:18" ht="13.5" thickBot="1" x14ac:dyDescent="0.25">
      <c r="A1139" s="123">
        <v>58</v>
      </c>
      <c r="B1139" s="123">
        <v>0</v>
      </c>
      <c r="C1139" s="123">
        <v>58</v>
      </c>
      <c r="D1139" s="123">
        <v>0</v>
      </c>
      <c r="E1139" s="123">
        <v>0</v>
      </c>
      <c r="F1139" s="123">
        <v>0</v>
      </c>
      <c r="G1139" s="123">
        <v>45</v>
      </c>
      <c r="H1139" s="123">
        <v>0</v>
      </c>
      <c r="I1139" s="123">
        <v>12</v>
      </c>
      <c r="J1139" s="123">
        <v>0</v>
      </c>
      <c r="K1139" s="123">
        <v>1</v>
      </c>
      <c r="L1139" s="123">
        <v>0</v>
      </c>
      <c r="M1139" s="123">
        <v>0</v>
      </c>
      <c r="N1139" s="123">
        <v>0</v>
      </c>
      <c r="O1139" s="123">
        <v>0</v>
      </c>
      <c r="P1139" s="7" t="s">
        <v>13</v>
      </c>
      <c r="Q1139" s="9"/>
      <c r="R1139" s="1"/>
    </row>
    <row r="1140" spans="1:18" ht="13.5" thickBot="1" x14ac:dyDescent="0.25">
      <c r="A1140" s="123">
        <v>31</v>
      </c>
      <c r="B1140" s="123">
        <v>0</v>
      </c>
      <c r="C1140" s="123">
        <v>31</v>
      </c>
      <c r="D1140" s="123">
        <v>0</v>
      </c>
      <c r="E1140" s="123">
        <v>0</v>
      </c>
      <c r="F1140" s="123">
        <v>0</v>
      </c>
      <c r="G1140" s="123">
        <v>31</v>
      </c>
      <c r="H1140" s="123">
        <v>0</v>
      </c>
      <c r="I1140" s="123">
        <v>0</v>
      </c>
      <c r="J1140" s="123">
        <v>0</v>
      </c>
      <c r="K1140" s="123">
        <v>0</v>
      </c>
      <c r="L1140" s="123">
        <v>0</v>
      </c>
      <c r="M1140" s="123">
        <v>0</v>
      </c>
      <c r="N1140" s="123">
        <v>0</v>
      </c>
      <c r="O1140" s="123">
        <v>0</v>
      </c>
      <c r="P1140" s="7" t="s">
        <v>163</v>
      </c>
      <c r="Q1140" s="124"/>
      <c r="R1140" s="1"/>
    </row>
    <row r="1141" spans="1:18" ht="13.5" thickBot="1" x14ac:dyDescent="0.25">
      <c r="A1141" s="123">
        <v>14</v>
      </c>
      <c r="B1141" s="123">
        <v>0</v>
      </c>
      <c r="C1141" s="123">
        <v>14</v>
      </c>
      <c r="D1141" s="123">
        <v>0</v>
      </c>
      <c r="E1141" s="123">
        <v>0</v>
      </c>
      <c r="F1141" s="123">
        <v>0</v>
      </c>
      <c r="G1141" s="123">
        <v>0</v>
      </c>
      <c r="H1141" s="123">
        <v>0</v>
      </c>
      <c r="I1141" s="123">
        <v>12</v>
      </c>
      <c r="J1141" s="123">
        <v>0</v>
      </c>
      <c r="K1141" s="123">
        <v>2</v>
      </c>
      <c r="L1141" s="123">
        <v>0</v>
      </c>
      <c r="M1141" s="123">
        <v>0</v>
      </c>
      <c r="N1141" s="123">
        <v>0</v>
      </c>
      <c r="O1141" s="123">
        <v>0</v>
      </c>
      <c r="P1141" s="7" t="s">
        <v>162</v>
      </c>
      <c r="Q1141" s="124" t="s">
        <v>298</v>
      </c>
      <c r="R1141" s="1"/>
    </row>
    <row r="1142" spans="1:18" ht="13.5" thickBot="1" x14ac:dyDescent="0.25">
      <c r="A1142" s="123">
        <v>45</v>
      </c>
      <c r="B1142" s="123">
        <v>0</v>
      </c>
      <c r="C1142" s="123">
        <v>45</v>
      </c>
      <c r="D1142" s="123">
        <v>0</v>
      </c>
      <c r="E1142" s="123">
        <v>0</v>
      </c>
      <c r="F1142" s="123">
        <v>0</v>
      </c>
      <c r="G1142" s="123">
        <v>31</v>
      </c>
      <c r="H1142" s="123">
        <v>0</v>
      </c>
      <c r="I1142" s="123">
        <v>12</v>
      </c>
      <c r="J1142" s="123">
        <v>0</v>
      </c>
      <c r="K1142" s="123">
        <v>2</v>
      </c>
      <c r="L1142" s="123">
        <v>0</v>
      </c>
      <c r="M1142" s="123">
        <v>0</v>
      </c>
      <c r="N1142" s="123">
        <v>0</v>
      </c>
      <c r="O1142" s="123">
        <v>0</v>
      </c>
      <c r="P1142" s="7" t="s">
        <v>13</v>
      </c>
      <c r="Q1142" s="9"/>
      <c r="R1142" s="1"/>
    </row>
    <row r="1143" spans="1:18" ht="13.5" thickBot="1" x14ac:dyDescent="0.25">
      <c r="A1143" s="123">
        <v>80</v>
      </c>
      <c r="B1143" s="123">
        <v>0</v>
      </c>
      <c r="C1143" s="123">
        <v>80</v>
      </c>
      <c r="D1143" s="123">
        <v>0</v>
      </c>
      <c r="E1143" s="123">
        <v>2</v>
      </c>
      <c r="F1143" s="123">
        <v>0</v>
      </c>
      <c r="G1143" s="123">
        <v>70</v>
      </c>
      <c r="H1143" s="123">
        <v>0</v>
      </c>
      <c r="I1143" s="123">
        <v>8</v>
      </c>
      <c r="J1143" s="123">
        <v>0</v>
      </c>
      <c r="K1143" s="123">
        <v>0</v>
      </c>
      <c r="L1143" s="123">
        <v>0</v>
      </c>
      <c r="M1143" s="123">
        <v>0</v>
      </c>
      <c r="N1143" s="123">
        <v>0</v>
      </c>
      <c r="O1143" s="123">
        <v>0</v>
      </c>
      <c r="P1143" s="7" t="s">
        <v>163</v>
      </c>
      <c r="Q1143" s="124"/>
      <c r="R1143" s="1"/>
    </row>
    <row r="1144" spans="1:18" ht="13.5" thickBot="1" x14ac:dyDescent="0.25">
      <c r="A1144" s="123">
        <v>9</v>
      </c>
      <c r="B1144" s="123">
        <v>0</v>
      </c>
      <c r="C1144" s="123">
        <v>9</v>
      </c>
      <c r="D1144" s="123">
        <v>0</v>
      </c>
      <c r="E1144" s="123">
        <v>0</v>
      </c>
      <c r="F1144" s="123">
        <v>0</v>
      </c>
      <c r="G1144" s="123">
        <v>5</v>
      </c>
      <c r="H1144" s="123">
        <v>0</v>
      </c>
      <c r="I1144" s="123">
        <v>0</v>
      </c>
      <c r="J1144" s="123">
        <v>0</v>
      </c>
      <c r="K1144" s="123">
        <v>4</v>
      </c>
      <c r="L1144" s="123">
        <v>0</v>
      </c>
      <c r="M1144" s="123">
        <v>0</v>
      </c>
      <c r="N1144" s="123">
        <v>0</v>
      </c>
      <c r="O1144" s="123">
        <v>0</v>
      </c>
      <c r="P1144" s="7" t="s">
        <v>162</v>
      </c>
      <c r="Q1144" s="124" t="s">
        <v>299</v>
      </c>
      <c r="R1144" s="1"/>
    </row>
    <row r="1145" spans="1:18" ht="13.5" thickBot="1" x14ac:dyDescent="0.25">
      <c r="A1145" s="123">
        <v>89</v>
      </c>
      <c r="B1145" s="123">
        <v>0</v>
      </c>
      <c r="C1145" s="123">
        <v>89</v>
      </c>
      <c r="D1145" s="123">
        <v>0</v>
      </c>
      <c r="E1145" s="123">
        <v>2</v>
      </c>
      <c r="F1145" s="123">
        <v>0</v>
      </c>
      <c r="G1145" s="123">
        <v>75</v>
      </c>
      <c r="H1145" s="123">
        <v>0</v>
      </c>
      <c r="I1145" s="123">
        <v>8</v>
      </c>
      <c r="J1145" s="123">
        <v>0</v>
      </c>
      <c r="K1145" s="123">
        <v>4</v>
      </c>
      <c r="L1145" s="123">
        <v>0</v>
      </c>
      <c r="M1145" s="123">
        <v>0</v>
      </c>
      <c r="N1145" s="123">
        <v>0</v>
      </c>
      <c r="O1145" s="123">
        <v>0</v>
      </c>
      <c r="P1145" s="7" t="s">
        <v>13</v>
      </c>
      <c r="Q1145" s="9"/>
      <c r="R1145" s="1"/>
    </row>
    <row r="1146" spans="1:18" ht="13.5" thickBot="1" x14ac:dyDescent="0.25">
      <c r="A1146" s="123">
        <v>34</v>
      </c>
      <c r="B1146" s="123">
        <v>0</v>
      </c>
      <c r="C1146" s="123">
        <v>34</v>
      </c>
      <c r="D1146" s="123">
        <v>0</v>
      </c>
      <c r="E1146" s="123">
        <v>1</v>
      </c>
      <c r="F1146" s="123">
        <v>0</v>
      </c>
      <c r="G1146" s="123">
        <v>33</v>
      </c>
      <c r="H1146" s="123">
        <v>0</v>
      </c>
      <c r="I1146" s="123">
        <v>0</v>
      </c>
      <c r="J1146" s="123">
        <v>0</v>
      </c>
      <c r="K1146" s="123">
        <v>0</v>
      </c>
      <c r="L1146" s="123">
        <v>0</v>
      </c>
      <c r="M1146" s="123">
        <v>0</v>
      </c>
      <c r="N1146" s="123">
        <v>0</v>
      </c>
      <c r="O1146" s="123">
        <v>0</v>
      </c>
      <c r="P1146" s="7" t="s">
        <v>163</v>
      </c>
      <c r="Q1146" s="124"/>
      <c r="R1146" s="1"/>
    </row>
    <row r="1147" spans="1:18" ht="13.5" thickBot="1" x14ac:dyDescent="0.25">
      <c r="A1147" s="123">
        <v>3</v>
      </c>
      <c r="B1147" s="123">
        <v>0</v>
      </c>
      <c r="C1147" s="123">
        <v>3</v>
      </c>
      <c r="D1147" s="123">
        <v>0</v>
      </c>
      <c r="E1147" s="123">
        <v>0</v>
      </c>
      <c r="F1147" s="123">
        <v>0</v>
      </c>
      <c r="G1147" s="123">
        <v>0</v>
      </c>
      <c r="H1147" s="123">
        <v>0</v>
      </c>
      <c r="I1147" s="123">
        <v>3</v>
      </c>
      <c r="J1147" s="123">
        <v>0</v>
      </c>
      <c r="K1147" s="123">
        <v>0</v>
      </c>
      <c r="L1147" s="123">
        <v>0</v>
      </c>
      <c r="M1147" s="123">
        <v>0</v>
      </c>
      <c r="N1147" s="123">
        <v>0</v>
      </c>
      <c r="O1147" s="123">
        <v>0</v>
      </c>
      <c r="P1147" s="7" t="s">
        <v>162</v>
      </c>
      <c r="Q1147" s="124" t="s">
        <v>300</v>
      </c>
      <c r="R1147" s="1"/>
    </row>
    <row r="1148" spans="1:18" ht="13.5" thickBot="1" x14ac:dyDescent="0.25">
      <c r="A1148" s="123">
        <v>37</v>
      </c>
      <c r="B1148" s="123">
        <v>0</v>
      </c>
      <c r="C1148" s="123">
        <v>37</v>
      </c>
      <c r="D1148" s="123">
        <v>0</v>
      </c>
      <c r="E1148" s="123">
        <v>1</v>
      </c>
      <c r="F1148" s="123">
        <v>0</v>
      </c>
      <c r="G1148" s="123">
        <v>33</v>
      </c>
      <c r="H1148" s="123">
        <v>0</v>
      </c>
      <c r="I1148" s="123">
        <v>3</v>
      </c>
      <c r="J1148" s="123">
        <v>0</v>
      </c>
      <c r="K1148" s="123">
        <v>0</v>
      </c>
      <c r="L1148" s="123">
        <v>0</v>
      </c>
      <c r="M1148" s="123">
        <v>0</v>
      </c>
      <c r="N1148" s="123">
        <v>0</v>
      </c>
      <c r="O1148" s="123">
        <v>0</v>
      </c>
      <c r="P1148" s="7" t="s">
        <v>13</v>
      </c>
      <c r="Q1148" s="9"/>
      <c r="R1148" s="1"/>
    </row>
    <row r="1149" spans="1:18" ht="13.5" thickBot="1" x14ac:dyDescent="0.25">
      <c r="A1149" s="123">
        <v>217</v>
      </c>
      <c r="B1149" s="123">
        <v>0</v>
      </c>
      <c r="C1149" s="123">
        <v>217</v>
      </c>
      <c r="D1149" s="123">
        <v>0</v>
      </c>
      <c r="E1149" s="123">
        <v>90</v>
      </c>
      <c r="F1149" s="123">
        <v>0</v>
      </c>
      <c r="G1149" s="123">
        <v>120</v>
      </c>
      <c r="H1149" s="123">
        <v>0</v>
      </c>
      <c r="I1149" s="123">
        <v>7</v>
      </c>
      <c r="J1149" s="123">
        <v>0</v>
      </c>
      <c r="K1149" s="123">
        <v>0</v>
      </c>
      <c r="L1149" s="123">
        <v>0</v>
      </c>
      <c r="M1149" s="123">
        <v>0</v>
      </c>
      <c r="N1149" s="123">
        <v>0</v>
      </c>
      <c r="O1149" s="123">
        <v>0</v>
      </c>
      <c r="P1149" s="7" t="s">
        <v>163</v>
      </c>
      <c r="Q1149" s="124"/>
      <c r="R1149" s="1"/>
    </row>
    <row r="1150" spans="1:18" ht="13.5" thickBot="1" x14ac:dyDescent="0.25">
      <c r="A1150" s="123">
        <v>33</v>
      </c>
      <c r="B1150" s="123">
        <v>0</v>
      </c>
      <c r="C1150" s="123">
        <v>33</v>
      </c>
      <c r="D1150" s="123">
        <v>0</v>
      </c>
      <c r="E1150" s="123">
        <v>12</v>
      </c>
      <c r="F1150" s="123">
        <v>0</v>
      </c>
      <c r="G1150" s="123">
        <v>10</v>
      </c>
      <c r="H1150" s="123">
        <v>0</v>
      </c>
      <c r="I1150" s="123">
        <v>7</v>
      </c>
      <c r="J1150" s="123">
        <v>0</v>
      </c>
      <c r="K1150" s="123">
        <v>4</v>
      </c>
      <c r="L1150" s="123">
        <v>0</v>
      </c>
      <c r="M1150" s="123">
        <v>0</v>
      </c>
      <c r="N1150" s="123">
        <v>0</v>
      </c>
      <c r="O1150" s="123">
        <v>0</v>
      </c>
      <c r="P1150" s="7" t="s">
        <v>162</v>
      </c>
      <c r="Q1150" s="124" t="s">
        <v>301</v>
      </c>
      <c r="R1150" s="1"/>
    </row>
    <row r="1151" spans="1:18" ht="13.5" thickBot="1" x14ac:dyDescent="0.25">
      <c r="A1151" s="123">
        <v>250</v>
      </c>
      <c r="B1151" s="123">
        <v>0</v>
      </c>
      <c r="C1151" s="123">
        <v>250</v>
      </c>
      <c r="D1151" s="123">
        <v>0</v>
      </c>
      <c r="E1151" s="123">
        <v>102</v>
      </c>
      <c r="F1151" s="123">
        <v>0</v>
      </c>
      <c r="G1151" s="123">
        <v>130</v>
      </c>
      <c r="H1151" s="123">
        <v>0</v>
      </c>
      <c r="I1151" s="123">
        <v>14</v>
      </c>
      <c r="J1151" s="123">
        <v>0</v>
      </c>
      <c r="K1151" s="123">
        <v>4</v>
      </c>
      <c r="L1151" s="123">
        <v>0</v>
      </c>
      <c r="M1151" s="123">
        <v>0</v>
      </c>
      <c r="N1151" s="123">
        <v>0</v>
      </c>
      <c r="O1151" s="123">
        <v>0</v>
      </c>
      <c r="P1151" s="7" t="s">
        <v>13</v>
      </c>
      <c r="Q1151" s="9"/>
      <c r="R1151" s="1"/>
    </row>
    <row r="1152" spans="1:18" ht="13.5" thickBot="1" x14ac:dyDescent="0.25">
      <c r="A1152" s="123">
        <v>34</v>
      </c>
      <c r="B1152" s="123">
        <v>0</v>
      </c>
      <c r="C1152" s="123">
        <v>34</v>
      </c>
      <c r="D1152" s="123">
        <v>0</v>
      </c>
      <c r="E1152" s="123">
        <v>1</v>
      </c>
      <c r="F1152" s="123">
        <v>0</v>
      </c>
      <c r="G1152" s="123">
        <v>30</v>
      </c>
      <c r="H1152" s="123">
        <v>0</v>
      </c>
      <c r="I1152" s="123">
        <v>3</v>
      </c>
      <c r="J1152" s="123">
        <v>0</v>
      </c>
      <c r="K1152" s="123">
        <v>0</v>
      </c>
      <c r="L1152" s="123">
        <v>0</v>
      </c>
      <c r="M1152" s="123">
        <v>0</v>
      </c>
      <c r="N1152" s="123">
        <v>0</v>
      </c>
      <c r="O1152" s="123">
        <v>0</v>
      </c>
      <c r="P1152" s="7" t="s">
        <v>163</v>
      </c>
      <c r="Q1152" s="124"/>
      <c r="R1152" s="1"/>
    </row>
    <row r="1153" spans="1:18" ht="13.5" thickBot="1" x14ac:dyDescent="0.25">
      <c r="A1153" s="123">
        <v>20</v>
      </c>
      <c r="B1153" s="123">
        <v>0</v>
      </c>
      <c r="C1153" s="123">
        <v>20</v>
      </c>
      <c r="D1153" s="123">
        <v>0</v>
      </c>
      <c r="E1153" s="123">
        <v>0</v>
      </c>
      <c r="F1153" s="123">
        <v>0</v>
      </c>
      <c r="G1153" s="123">
        <v>14</v>
      </c>
      <c r="H1153" s="123">
        <v>0</v>
      </c>
      <c r="I1153" s="123">
        <v>6</v>
      </c>
      <c r="J1153" s="123">
        <v>0</v>
      </c>
      <c r="K1153" s="123">
        <v>0</v>
      </c>
      <c r="L1153" s="123">
        <v>0</v>
      </c>
      <c r="M1153" s="123">
        <v>0</v>
      </c>
      <c r="N1153" s="123">
        <v>0</v>
      </c>
      <c r="O1153" s="123">
        <v>0</v>
      </c>
      <c r="P1153" s="7" t="s">
        <v>162</v>
      </c>
      <c r="Q1153" s="124" t="s">
        <v>302</v>
      </c>
      <c r="R1153" s="1"/>
    </row>
    <row r="1154" spans="1:18" ht="13.5" thickBot="1" x14ac:dyDescent="0.25">
      <c r="A1154" s="123">
        <v>54</v>
      </c>
      <c r="B1154" s="123">
        <v>0</v>
      </c>
      <c r="C1154" s="123">
        <v>54</v>
      </c>
      <c r="D1154" s="123">
        <v>0</v>
      </c>
      <c r="E1154" s="123">
        <v>1</v>
      </c>
      <c r="F1154" s="123">
        <v>0</v>
      </c>
      <c r="G1154" s="123">
        <v>44</v>
      </c>
      <c r="H1154" s="123">
        <v>0</v>
      </c>
      <c r="I1154" s="123">
        <v>9</v>
      </c>
      <c r="J1154" s="123">
        <v>0</v>
      </c>
      <c r="K1154" s="123">
        <v>0</v>
      </c>
      <c r="L1154" s="123">
        <v>0</v>
      </c>
      <c r="M1154" s="123">
        <v>0</v>
      </c>
      <c r="N1154" s="123">
        <v>0</v>
      </c>
      <c r="O1154" s="123">
        <v>0</v>
      </c>
      <c r="P1154" s="7" t="s">
        <v>13</v>
      </c>
      <c r="Q1154" s="9"/>
      <c r="R1154" s="1"/>
    </row>
    <row r="1155" spans="1:18" ht="13.5" thickBot="1" x14ac:dyDescent="0.25">
      <c r="A1155" s="123">
        <v>40</v>
      </c>
      <c r="B1155" s="123">
        <v>0</v>
      </c>
      <c r="C1155" s="123">
        <v>40</v>
      </c>
      <c r="D1155" s="123">
        <v>0</v>
      </c>
      <c r="E1155" s="123">
        <v>6</v>
      </c>
      <c r="F1155" s="123">
        <v>0</v>
      </c>
      <c r="G1155" s="123">
        <v>30</v>
      </c>
      <c r="H1155" s="123">
        <v>0</v>
      </c>
      <c r="I1155" s="123">
        <v>4</v>
      </c>
      <c r="J1155" s="123">
        <v>0</v>
      </c>
      <c r="K1155" s="123">
        <v>0</v>
      </c>
      <c r="L1155" s="123">
        <v>0</v>
      </c>
      <c r="M1155" s="123">
        <v>0</v>
      </c>
      <c r="N1155" s="123">
        <v>0</v>
      </c>
      <c r="O1155" s="123">
        <v>0</v>
      </c>
      <c r="P1155" s="7" t="s">
        <v>163</v>
      </c>
      <c r="Q1155" s="124"/>
      <c r="R1155" s="1"/>
    </row>
    <row r="1156" spans="1:18" ht="13.5" thickBot="1" x14ac:dyDescent="0.25">
      <c r="A1156" s="123">
        <v>31</v>
      </c>
      <c r="B1156" s="123">
        <v>0</v>
      </c>
      <c r="C1156" s="123">
        <v>31</v>
      </c>
      <c r="D1156" s="123">
        <v>0</v>
      </c>
      <c r="E1156" s="123">
        <v>0</v>
      </c>
      <c r="F1156" s="123">
        <v>0</v>
      </c>
      <c r="G1156" s="123">
        <v>20</v>
      </c>
      <c r="H1156" s="123">
        <v>0</v>
      </c>
      <c r="I1156" s="123">
        <v>8</v>
      </c>
      <c r="J1156" s="123">
        <v>0</v>
      </c>
      <c r="K1156" s="123">
        <v>3</v>
      </c>
      <c r="L1156" s="123">
        <v>0</v>
      </c>
      <c r="M1156" s="123">
        <v>0</v>
      </c>
      <c r="N1156" s="123">
        <v>0</v>
      </c>
      <c r="O1156" s="123">
        <v>0</v>
      </c>
      <c r="P1156" s="7" t="s">
        <v>162</v>
      </c>
      <c r="Q1156" s="124" t="s">
        <v>303</v>
      </c>
      <c r="R1156" s="1"/>
    </row>
    <row r="1157" spans="1:18" ht="13.5" thickBot="1" x14ac:dyDescent="0.25">
      <c r="A1157" s="123">
        <v>71</v>
      </c>
      <c r="B1157" s="123">
        <v>0</v>
      </c>
      <c r="C1157" s="123">
        <v>71</v>
      </c>
      <c r="D1157" s="123">
        <v>0</v>
      </c>
      <c r="E1157" s="123">
        <v>6</v>
      </c>
      <c r="F1157" s="123">
        <v>0</v>
      </c>
      <c r="G1157" s="123">
        <v>50</v>
      </c>
      <c r="H1157" s="123">
        <v>0</v>
      </c>
      <c r="I1157" s="123">
        <v>12</v>
      </c>
      <c r="J1157" s="123">
        <v>0</v>
      </c>
      <c r="K1157" s="123">
        <v>3</v>
      </c>
      <c r="L1157" s="123">
        <v>0</v>
      </c>
      <c r="M1157" s="123">
        <v>0</v>
      </c>
      <c r="N1157" s="123">
        <v>0</v>
      </c>
      <c r="O1157" s="123">
        <v>0</v>
      </c>
      <c r="P1157" s="7" t="s">
        <v>13</v>
      </c>
      <c r="Q1157" s="9"/>
      <c r="R1157" s="1"/>
    </row>
    <row r="1158" spans="1:18" ht="13.5" thickBot="1" x14ac:dyDescent="0.25">
      <c r="A1158" s="123">
        <v>32</v>
      </c>
      <c r="B1158" s="123">
        <v>0</v>
      </c>
      <c r="C1158" s="123">
        <v>32</v>
      </c>
      <c r="D1158" s="123">
        <v>0</v>
      </c>
      <c r="E1158" s="123">
        <v>2</v>
      </c>
      <c r="F1158" s="123">
        <v>0</v>
      </c>
      <c r="G1158" s="123">
        <v>30</v>
      </c>
      <c r="H1158" s="123">
        <v>0</v>
      </c>
      <c r="I1158" s="123">
        <v>0</v>
      </c>
      <c r="J1158" s="123">
        <v>0</v>
      </c>
      <c r="K1158" s="123">
        <v>0</v>
      </c>
      <c r="L1158" s="123">
        <v>0</v>
      </c>
      <c r="M1158" s="123">
        <v>0</v>
      </c>
      <c r="N1158" s="123">
        <v>0</v>
      </c>
      <c r="O1158" s="123">
        <v>0</v>
      </c>
      <c r="P1158" s="7" t="s">
        <v>163</v>
      </c>
      <c r="Q1158" s="124"/>
      <c r="R1158" s="1"/>
    </row>
    <row r="1159" spans="1:18" ht="13.5" thickBot="1" x14ac:dyDescent="0.25">
      <c r="A1159" s="123">
        <v>13</v>
      </c>
      <c r="B1159" s="123">
        <v>0</v>
      </c>
      <c r="C1159" s="123">
        <v>13</v>
      </c>
      <c r="D1159" s="123">
        <v>0</v>
      </c>
      <c r="E1159" s="123">
        <v>0</v>
      </c>
      <c r="F1159" s="123">
        <v>0</v>
      </c>
      <c r="G1159" s="123">
        <v>9</v>
      </c>
      <c r="H1159" s="123">
        <v>0</v>
      </c>
      <c r="I1159" s="123">
        <v>3</v>
      </c>
      <c r="J1159" s="123">
        <v>0</v>
      </c>
      <c r="K1159" s="123">
        <v>1</v>
      </c>
      <c r="L1159" s="123">
        <v>0</v>
      </c>
      <c r="M1159" s="123">
        <v>0</v>
      </c>
      <c r="N1159" s="123">
        <v>0</v>
      </c>
      <c r="O1159" s="123">
        <v>0</v>
      </c>
      <c r="P1159" s="7" t="s">
        <v>162</v>
      </c>
      <c r="Q1159" s="124" t="s">
        <v>304</v>
      </c>
      <c r="R1159" s="1"/>
    </row>
    <row r="1160" spans="1:18" ht="13.5" thickBot="1" x14ac:dyDescent="0.25">
      <c r="A1160" s="123">
        <v>45</v>
      </c>
      <c r="B1160" s="123">
        <v>0</v>
      </c>
      <c r="C1160" s="123">
        <v>45</v>
      </c>
      <c r="D1160" s="123">
        <v>0</v>
      </c>
      <c r="E1160" s="123">
        <v>2</v>
      </c>
      <c r="F1160" s="123">
        <v>0</v>
      </c>
      <c r="G1160" s="123">
        <v>39</v>
      </c>
      <c r="H1160" s="123">
        <v>0</v>
      </c>
      <c r="I1160" s="123">
        <v>3</v>
      </c>
      <c r="J1160" s="123">
        <v>0</v>
      </c>
      <c r="K1160" s="123">
        <v>1</v>
      </c>
      <c r="L1160" s="123">
        <v>0</v>
      </c>
      <c r="M1160" s="123">
        <v>0</v>
      </c>
      <c r="N1160" s="123">
        <v>0</v>
      </c>
      <c r="O1160" s="123">
        <v>0</v>
      </c>
      <c r="P1160" s="7" t="s">
        <v>13</v>
      </c>
      <c r="Q1160" s="9"/>
      <c r="R1160" s="1"/>
    </row>
    <row r="1161" spans="1:18" ht="13.5" thickBot="1" x14ac:dyDescent="0.25">
      <c r="A1161" s="123">
        <v>29</v>
      </c>
      <c r="B1161" s="123">
        <v>0</v>
      </c>
      <c r="C1161" s="123">
        <v>29</v>
      </c>
      <c r="D1161" s="123">
        <v>0</v>
      </c>
      <c r="E1161" s="123">
        <v>5</v>
      </c>
      <c r="F1161" s="123">
        <v>0</v>
      </c>
      <c r="G1161" s="123">
        <v>24</v>
      </c>
      <c r="H1161" s="123">
        <v>0</v>
      </c>
      <c r="I1161" s="123">
        <v>0</v>
      </c>
      <c r="J1161" s="123">
        <v>0</v>
      </c>
      <c r="K1161" s="123">
        <v>0</v>
      </c>
      <c r="L1161" s="123">
        <v>0</v>
      </c>
      <c r="M1161" s="123">
        <v>0</v>
      </c>
      <c r="N1161" s="123">
        <v>0</v>
      </c>
      <c r="O1161" s="123">
        <v>0</v>
      </c>
      <c r="P1161" s="7" t="s">
        <v>163</v>
      </c>
      <c r="Q1161" s="124"/>
      <c r="R1161" s="1"/>
    </row>
    <row r="1162" spans="1:18" ht="13.5" thickBot="1" x14ac:dyDescent="0.25">
      <c r="A1162" s="123">
        <v>17</v>
      </c>
      <c r="B1162" s="123">
        <v>0</v>
      </c>
      <c r="C1162" s="123">
        <v>17</v>
      </c>
      <c r="D1162" s="123">
        <v>0</v>
      </c>
      <c r="E1162" s="123">
        <v>0</v>
      </c>
      <c r="F1162" s="123">
        <v>0</v>
      </c>
      <c r="G1162" s="123">
        <v>14</v>
      </c>
      <c r="H1162" s="123">
        <v>0</v>
      </c>
      <c r="I1162" s="123">
        <v>2</v>
      </c>
      <c r="J1162" s="123">
        <v>0</v>
      </c>
      <c r="K1162" s="123">
        <v>1</v>
      </c>
      <c r="L1162" s="123">
        <v>0</v>
      </c>
      <c r="M1162" s="123">
        <v>0</v>
      </c>
      <c r="N1162" s="123">
        <v>0</v>
      </c>
      <c r="O1162" s="123">
        <v>0</v>
      </c>
      <c r="P1162" s="7" t="s">
        <v>162</v>
      </c>
      <c r="Q1162" s="124" t="s">
        <v>305</v>
      </c>
      <c r="R1162" s="1"/>
    </row>
    <row r="1163" spans="1:18" ht="13.5" thickBot="1" x14ac:dyDescent="0.25">
      <c r="A1163" s="123">
        <v>46</v>
      </c>
      <c r="B1163" s="123">
        <v>0</v>
      </c>
      <c r="C1163" s="123">
        <v>46</v>
      </c>
      <c r="D1163" s="123">
        <v>0</v>
      </c>
      <c r="E1163" s="123">
        <v>5</v>
      </c>
      <c r="F1163" s="123">
        <v>0</v>
      </c>
      <c r="G1163" s="123">
        <v>38</v>
      </c>
      <c r="H1163" s="123">
        <v>0</v>
      </c>
      <c r="I1163" s="123">
        <v>2</v>
      </c>
      <c r="J1163" s="123">
        <v>0</v>
      </c>
      <c r="K1163" s="123">
        <v>1</v>
      </c>
      <c r="L1163" s="123">
        <v>0</v>
      </c>
      <c r="M1163" s="123">
        <v>0</v>
      </c>
      <c r="N1163" s="123">
        <v>0</v>
      </c>
      <c r="O1163" s="123">
        <v>0</v>
      </c>
      <c r="P1163" s="7" t="s">
        <v>13</v>
      </c>
      <c r="Q1163" s="9"/>
      <c r="R1163" s="1"/>
    </row>
    <row r="1164" spans="1:18" ht="13.5" thickBot="1" x14ac:dyDescent="0.25">
      <c r="A1164" s="123">
        <v>35</v>
      </c>
      <c r="B1164" s="123">
        <v>0</v>
      </c>
      <c r="C1164" s="123">
        <v>35</v>
      </c>
      <c r="D1164" s="123">
        <v>0</v>
      </c>
      <c r="E1164" s="123">
        <v>0</v>
      </c>
      <c r="F1164" s="123">
        <v>0</v>
      </c>
      <c r="G1164" s="123">
        <v>30</v>
      </c>
      <c r="H1164" s="123">
        <v>0</v>
      </c>
      <c r="I1164" s="123">
        <v>5</v>
      </c>
      <c r="J1164" s="123">
        <v>0</v>
      </c>
      <c r="K1164" s="123">
        <v>0</v>
      </c>
      <c r="L1164" s="123">
        <v>0</v>
      </c>
      <c r="M1164" s="123">
        <v>0</v>
      </c>
      <c r="N1164" s="123">
        <v>0</v>
      </c>
      <c r="O1164" s="123">
        <v>0</v>
      </c>
      <c r="P1164" s="7" t="s">
        <v>163</v>
      </c>
      <c r="Q1164" s="124"/>
      <c r="R1164" s="1"/>
    </row>
    <row r="1165" spans="1:18" ht="13.5" thickBot="1" x14ac:dyDescent="0.25">
      <c r="A1165" s="123">
        <v>17</v>
      </c>
      <c r="B1165" s="123">
        <v>0</v>
      </c>
      <c r="C1165" s="123">
        <v>17</v>
      </c>
      <c r="D1165" s="123">
        <v>0</v>
      </c>
      <c r="E1165" s="123">
        <v>0</v>
      </c>
      <c r="F1165" s="123">
        <v>0</v>
      </c>
      <c r="G1165" s="123">
        <v>14</v>
      </c>
      <c r="H1165" s="123">
        <v>0</v>
      </c>
      <c r="I1165" s="123">
        <v>3</v>
      </c>
      <c r="J1165" s="123">
        <v>0</v>
      </c>
      <c r="K1165" s="123">
        <v>0</v>
      </c>
      <c r="L1165" s="123">
        <v>0</v>
      </c>
      <c r="M1165" s="123">
        <v>0</v>
      </c>
      <c r="N1165" s="123">
        <v>0</v>
      </c>
      <c r="O1165" s="123">
        <v>0</v>
      </c>
      <c r="P1165" s="7" t="s">
        <v>162</v>
      </c>
      <c r="Q1165" s="124" t="s">
        <v>306</v>
      </c>
      <c r="R1165" s="1"/>
    </row>
    <row r="1166" spans="1:18" ht="13.5" thickBot="1" x14ac:dyDescent="0.25">
      <c r="A1166" s="123">
        <v>52</v>
      </c>
      <c r="B1166" s="123">
        <v>0</v>
      </c>
      <c r="C1166" s="123">
        <v>52</v>
      </c>
      <c r="D1166" s="123">
        <v>0</v>
      </c>
      <c r="E1166" s="123">
        <v>0</v>
      </c>
      <c r="F1166" s="123">
        <v>0</v>
      </c>
      <c r="G1166" s="123">
        <v>44</v>
      </c>
      <c r="H1166" s="123">
        <v>0</v>
      </c>
      <c r="I1166" s="123">
        <v>8</v>
      </c>
      <c r="J1166" s="123">
        <v>0</v>
      </c>
      <c r="K1166" s="123">
        <v>0</v>
      </c>
      <c r="L1166" s="123">
        <v>0</v>
      </c>
      <c r="M1166" s="123">
        <v>0</v>
      </c>
      <c r="N1166" s="123">
        <v>0</v>
      </c>
      <c r="O1166" s="123">
        <v>0</v>
      </c>
      <c r="P1166" s="7" t="s">
        <v>13</v>
      </c>
      <c r="Q1166" s="9"/>
      <c r="R1166" s="1"/>
    </row>
    <row r="1167" spans="1:18" ht="13.5" thickBot="1" x14ac:dyDescent="0.25">
      <c r="A1167" s="123">
        <v>28</v>
      </c>
      <c r="B1167" s="123">
        <v>0</v>
      </c>
      <c r="C1167" s="123">
        <v>28</v>
      </c>
      <c r="D1167" s="123">
        <v>0</v>
      </c>
      <c r="E1167" s="123">
        <v>1</v>
      </c>
      <c r="F1167" s="123">
        <v>0</v>
      </c>
      <c r="G1167" s="123">
        <v>27</v>
      </c>
      <c r="H1167" s="123">
        <v>0</v>
      </c>
      <c r="I1167" s="123">
        <v>0</v>
      </c>
      <c r="J1167" s="123">
        <v>0</v>
      </c>
      <c r="K1167" s="123">
        <v>0</v>
      </c>
      <c r="L1167" s="123">
        <v>0</v>
      </c>
      <c r="M1167" s="123">
        <v>0</v>
      </c>
      <c r="N1167" s="123">
        <v>0</v>
      </c>
      <c r="O1167" s="123">
        <v>0</v>
      </c>
      <c r="P1167" s="7" t="s">
        <v>163</v>
      </c>
      <c r="Q1167" s="124"/>
      <c r="R1167" s="1"/>
    </row>
    <row r="1168" spans="1:18" ht="13.5" thickBot="1" x14ac:dyDescent="0.25">
      <c r="A1168" s="123">
        <v>25</v>
      </c>
      <c r="B1168" s="123">
        <v>0</v>
      </c>
      <c r="C1168" s="123">
        <v>25</v>
      </c>
      <c r="D1168" s="123">
        <v>0</v>
      </c>
      <c r="E1168" s="123">
        <v>0</v>
      </c>
      <c r="F1168" s="123">
        <v>0</v>
      </c>
      <c r="G1168" s="123">
        <v>20</v>
      </c>
      <c r="H1168" s="123">
        <v>0</v>
      </c>
      <c r="I1168" s="123">
        <v>4</v>
      </c>
      <c r="J1168" s="123">
        <v>0</v>
      </c>
      <c r="K1168" s="123">
        <v>1</v>
      </c>
      <c r="L1168" s="123">
        <v>0</v>
      </c>
      <c r="M1168" s="123">
        <v>0</v>
      </c>
      <c r="N1168" s="123">
        <v>0</v>
      </c>
      <c r="O1168" s="123">
        <v>0</v>
      </c>
      <c r="P1168" s="7" t="s">
        <v>162</v>
      </c>
      <c r="Q1168" s="124" t="s">
        <v>307</v>
      </c>
      <c r="R1168" s="1"/>
    </row>
    <row r="1169" spans="1:18" ht="13.5" thickBot="1" x14ac:dyDescent="0.25">
      <c r="A1169" s="123">
        <v>53</v>
      </c>
      <c r="B1169" s="123">
        <v>0</v>
      </c>
      <c r="C1169" s="123">
        <v>53</v>
      </c>
      <c r="D1169" s="123">
        <v>0</v>
      </c>
      <c r="E1169" s="123">
        <v>1</v>
      </c>
      <c r="F1169" s="123">
        <v>0</v>
      </c>
      <c r="G1169" s="123">
        <v>47</v>
      </c>
      <c r="H1169" s="123">
        <v>0</v>
      </c>
      <c r="I1169" s="123">
        <v>4</v>
      </c>
      <c r="J1169" s="123">
        <v>0</v>
      </c>
      <c r="K1169" s="123">
        <v>1</v>
      </c>
      <c r="L1169" s="123">
        <v>0</v>
      </c>
      <c r="M1169" s="123">
        <v>0</v>
      </c>
      <c r="N1169" s="123">
        <v>0</v>
      </c>
      <c r="O1169" s="123">
        <v>0</v>
      </c>
      <c r="P1169" s="7" t="s">
        <v>13</v>
      </c>
      <c r="Q1169" s="9"/>
      <c r="R1169" s="1"/>
    </row>
    <row r="1170" spans="1:18" ht="13.5" thickBot="1" x14ac:dyDescent="0.25">
      <c r="A1170" s="123">
        <v>38</v>
      </c>
      <c r="B1170" s="123">
        <v>0</v>
      </c>
      <c r="C1170" s="123">
        <v>38</v>
      </c>
      <c r="D1170" s="123">
        <v>0</v>
      </c>
      <c r="E1170" s="123">
        <v>8</v>
      </c>
      <c r="F1170" s="123">
        <v>0</v>
      </c>
      <c r="G1170" s="123">
        <v>30</v>
      </c>
      <c r="H1170" s="123">
        <v>0</v>
      </c>
      <c r="I1170" s="123">
        <v>0</v>
      </c>
      <c r="J1170" s="123">
        <v>0</v>
      </c>
      <c r="K1170" s="123">
        <v>0</v>
      </c>
      <c r="L1170" s="123">
        <v>0</v>
      </c>
      <c r="M1170" s="123">
        <v>0</v>
      </c>
      <c r="N1170" s="123">
        <v>0</v>
      </c>
      <c r="O1170" s="123">
        <v>0</v>
      </c>
      <c r="P1170" s="7" t="s">
        <v>163</v>
      </c>
      <c r="Q1170" s="124"/>
      <c r="R1170" s="1"/>
    </row>
    <row r="1171" spans="1:18" ht="13.5" thickBot="1" x14ac:dyDescent="0.25">
      <c r="A1171" s="123">
        <v>18</v>
      </c>
      <c r="B1171" s="123">
        <v>0</v>
      </c>
      <c r="C1171" s="123">
        <v>18</v>
      </c>
      <c r="D1171" s="123">
        <v>0</v>
      </c>
      <c r="E1171" s="123">
        <v>0</v>
      </c>
      <c r="F1171" s="123">
        <v>0</v>
      </c>
      <c r="G1171" s="123">
        <v>14</v>
      </c>
      <c r="H1171" s="123">
        <v>0</v>
      </c>
      <c r="I1171" s="123">
        <v>3</v>
      </c>
      <c r="J1171" s="123">
        <v>0</v>
      </c>
      <c r="K1171" s="123">
        <v>1</v>
      </c>
      <c r="L1171" s="123">
        <v>0</v>
      </c>
      <c r="M1171" s="123">
        <v>0</v>
      </c>
      <c r="N1171" s="123">
        <v>0</v>
      </c>
      <c r="O1171" s="123">
        <v>0</v>
      </c>
      <c r="P1171" s="7" t="s">
        <v>162</v>
      </c>
      <c r="Q1171" s="124" t="s">
        <v>308</v>
      </c>
      <c r="R1171" s="1"/>
    </row>
    <row r="1172" spans="1:18" ht="13.5" thickBot="1" x14ac:dyDescent="0.25">
      <c r="A1172" s="123">
        <v>56</v>
      </c>
      <c r="B1172" s="123">
        <v>0</v>
      </c>
      <c r="C1172" s="123">
        <v>56</v>
      </c>
      <c r="D1172" s="123">
        <v>0</v>
      </c>
      <c r="E1172" s="123">
        <v>8</v>
      </c>
      <c r="F1172" s="123">
        <v>0</v>
      </c>
      <c r="G1172" s="123">
        <v>44</v>
      </c>
      <c r="H1172" s="123">
        <v>0</v>
      </c>
      <c r="I1172" s="123">
        <v>3</v>
      </c>
      <c r="J1172" s="123">
        <v>0</v>
      </c>
      <c r="K1172" s="123">
        <v>1</v>
      </c>
      <c r="L1172" s="123">
        <v>0</v>
      </c>
      <c r="M1172" s="123">
        <v>0</v>
      </c>
      <c r="N1172" s="123">
        <v>0</v>
      </c>
      <c r="O1172" s="123">
        <v>0</v>
      </c>
      <c r="P1172" s="7" t="s">
        <v>13</v>
      </c>
      <c r="Q1172" s="9"/>
      <c r="R1172" s="1"/>
    </row>
    <row r="1173" spans="1:18" ht="13.5" thickBot="1" x14ac:dyDescent="0.25">
      <c r="A1173" s="123">
        <v>19</v>
      </c>
      <c r="B1173" s="123">
        <v>0</v>
      </c>
      <c r="C1173" s="123">
        <v>19</v>
      </c>
      <c r="D1173" s="123">
        <v>0</v>
      </c>
      <c r="E1173" s="123">
        <v>1</v>
      </c>
      <c r="F1173" s="123">
        <v>0</v>
      </c>
      <c r="G1173" s="123">
        <v>15</v>
      </c>
      <c r="H1173" s="123">
        <v>0</v>
      </c>
      <c r="I1173" s="123">
        <v>3</v>
      </c>
      <c r="J1173" s="123">
        <v>0</v>
      </c>
      <c r="K1173" s="123">
        <v>0</v>
      </c>
      <c r="L1173" s="123">
        <v>0</v>
      </c>
      <c r="M1173" s="123">
        <v>0</v>
      </c>
      <c r="N1173" s="123">
        <v>0</v>
      </c>
      <c r="O1173" s="123">
        <v>0</v>
      </c>
      <c r="P1173" s="7" t="s">
        <v>163</v>
      </c>
      <c r="Q1173" s="124"/>
      <c r="R1173" s="1"/>
    </row>
    <row r="1174" spans="1:18" ht="13.5" thickBot="1" x14ac:dyDescent="0.25">
      <c r="A1174" s="123">
        <v>12</v>
      </c>
      <c r="B1174" s="123">
        <v>0</v>
      </c>
      <c r="C1174" s="123">
        <v>12</v>
      </c>
      <c r="D1174" s="123">
        <v>0</v>
      </c>
      <c r="E1174" s="123">
        <v>0</v>
      </c>
      <c r="F1174" s="123">
        <v>0</v>
      </c>
      <c r="G1174" s="123">
        <v>8</v>
      </c>
      <c r="H1174" s="123">
        <v>0</v>
      </c>
      <c r="I1174" s="123">
        <v>4</v>
      </c>
      <c r="J1174" s="123">
        <v>0</v>
      </c>
      <c r="K1174" s="123">
        <v>0</v>
      </c>
      <c r="L1174" s="123">
        <v>0</v>
      </c>
      <c r="M1174" s="123">
        <v>0</v>
      </c>
      <c r="N1174" s="123">
        <v>0</v>
      </c>
      <c r="O1174" s="123">
        <v>0</v>
      </c>
      <c r="P1174" s="7" t="s">
        <v>162</v>
      </c>
      <c r="Q1174" s="124" t="s">
        <v>309</v>
      </c>
      <c r="R1174" s="1"/>
    </row>
    <row r="1175" spans="1:18" ht="13.5" thickBot="1" x14ac:dyDescent="0.25">
      <c r="A1175" s="123">
        <v>31</v>
      </c>
      <c r="B1175" s="123">
        <v>0</v>
      </c>
      <c r="C1175" s="123">
        <v>31</v>
      </c>
      <c r="D1175" s="123">
        <v>0</v>
      </c>
      <c r="E1175" s="123">
        <v>1</v>
      </c>
      <c r="F1175" s="123">
        <v>0</v>
      </c>
      <c r="G1175" s="123">
        <v>23</v>
      </c>
      <c r="H1175" s="123">
        <v>0</v>
      </c>
      <c r="I1175" s="123">
        <v>7</v>
      </c>
      <c r="J1175" s="123">
        <v>0</v>
      </c>
      <c r="K1175" s="123">
        <v>0</v>
      </c>
      <c r="L1175" s="123">
        <v>0</v>
      </c>
      <c r="M1175" s="123">
        <v>0</v>
      </c>
      <c r="N1175" s="123">
        <v>0</v>
      </c>
      <c r="O1175" s="123">
        <v>0</v>
      </c>
      <c r="P1175" s="7" t="s">
        <v>13</v>
      </c>
      <c r="Q1175" s="9"/>
      <c r="R1175" s="1"/>
    </row>
    <row r="1176" spans="1:18" ht="13.5" thickBot="1" x14ac:dyDescent="0.25">
      <c r="A1176" s="123">
        <v>61</v>
      </c>
      <c r="B1176" s="123">
        <v>0</v>
      </c>
      <c r="C1176" s="123">
        <v>61</v>
      </c>
      <c r="D1176" s="123">
        <v>0</v>
      </c>
      <c r="E1176" s="123">
        <v>17</v>
      </c>
      <c r="F1176" s="123">
        <v>0</v>
      </c>
      <c r="G1176" s="123">
        <v>40</v>
      </c>
      <c r="H1176" s="123">
        <v>0</v>
      </c>
      <c r="I1176" s="123">
        <v>4</v>
      </c>
      <c r="J1176" s="123">
        <v>0</v>
      </c>
      <c r="K1176" s="123">
        <v>0</v>
      </c>
      <c r="L1176" s="123">
        <v>0</v>
      </c>
      <c r="M1176" s="123">
        <v>0</v>
      </c>
      <c r="N1176" s="123">
        <v>0</v>
      </c>
      <c r="O1176" s="123">
        <v>0</v>
      </c>
      <c r="P1176" s="7" t="s">
        <v>163</v>
      </c>
      <c r="Q1176" s="124"/>
      <c r="R1176" s="1"/>
    </row>
    <row r="1177" spans="1:18" ht="13.5" thickBot="1" x14ac:dyDescent="0.25">
      <c r="A1177" s="123">
        <v>23</v>
      </c>
      <c r="B1177" s="123">
        <v>0</v>
      </c>
      <c r="C1177" s="123">
        <v>23</v>
      </c>
      <c r="D1177" s="123">
        <v>0</v>
      </c>
      <c r="E1177" s="123">
        <v>0</v>
      </c>
      <c r="F1177" s="123">
        <v>0</v>
      </c>
      <c r="G1177" s="123">
        <v>23</v>
      </c>
      <c r="H1177" s="123">
        <v>0</v>
      </c>
      <c r="I1177" s="123">
        <v>0</v>
      </c>
      <c r="J1177" s="123">
        <v>0</v>
      </c>
      <c r="K1177" s="123">
        <v>0</v>
      </c>
      <c r="L1177" s="123">
        <v>0</v>
      </c>
      <c r="M1177" s="123">
        <v>0</v>
      </c>
      <c r="N1177" s="123">
        <v>0</v>
      </c>
      <c r="O1177" s="123">
        <v>0</v>
      </c>
      <c r="P1177" s="7" t="s">
        <v>162</v>
      </c>
      <c r="Q1177" s="124" t="s">
        <v>310</v>
      </c>
      <c r="R1177" s="1"/>
    </row>
    <row r="1178" spans="1:18" ht="13.5" thickBot="1" x14ac:dyDescent="0.25">
      <c r="A1178" s="123">
        <v>84</v>
      </c>
      <c r="B1178" s="123">
        <v>0</v>
      </c>
      <c r="C1178" s="123">
        <v>84</v>
      </c>
      <c r="D1178" s="123">
        <v>0</v>
      </c>
      <c r="E1178" s="123">
        <v>17</v>
      </c>
      <c r="F1178" s="123">
        <v>0</v>
      </c>
      <c r="G1178" s="123">
        <v>63</v>
      </c>
      <c r="H1178" s="123">
        <v>0</v>
      </c>
      <c r="I1178" s="123">
        <v>4</v>
      </c>
      <c r="J1178" s="123">
        <v>0</v>
      </c>
      <c r="K1178" s="123">
        <v>0</v>
      </c>
      <c r="L1178" s="123">
        <v>0</v>
      </c>
      <c r="M1178" s="123">
        <v>0</v>
      </c>
      <c r="N1178" s="123">
        <v>0</v>
      </c>
      <c r="O1178" s="123">
        <v>0</v>
      </c>
      <c r="P1178" s="7" t="s">
        <v>13</v>
      </c>
      <c r="Q1178" s="9"/>
      <c r="R1178" s="1"/>
    </row>
    <row r="1179" spans="1:18" ht="13.5" thickBot="1" x14ac:dyDescent="0.25">
      <c r="A1179" s="123">
        <v>35</v>
      </c>
      <c r="B1179" s="123">
        <v>0</v>
      </c>
      <c r="C1179" s="123">
        <v>35</v>
      </c>
      <c r="D1179" s="123">
        <v>0</v>
      </c>
      <c r="E1179" s="123">
        <v>0</v>
      </c>
      <c r="F1179" s="123">
        <v>0</v>
      </c>
      <c r="G1179" s="123">
        <v>30</v>
      </c>
      <c r="H1179" s="123">
        <v>0</v>
      </c>
      <c r="I1179" s="123">
        <v>5</v>
      </c>
      <c r="J1179" s="123">
        <v>0</v>
      </c>
      <c r="K1179" s="123">
        <v>0</v>
      </c>
      <c r="L1179" s="123">
        <v>0</v>
      </c>
      <c r="M1179" s="123">
        <v>0</v>
      </c>
      <c r="N1179" s="123">
        <v>0</v>
      </c>
      <c r="O1179" s="123">
        <v>0</v>
      </c>
      <c r="P1179" s="7" t="s">
        <v>163</v>
      </c>
      <c r="Q1179" s="124"/>
      <c r="R1179" s="1"/>
    </row>
    <row r="1180" spans="1:18" ht="13.5" thickBot="1" x14ac:dyDescent="0.25">
      <c r="A1180" s="123">
        <v>5</v>
      </c>
      <c r="B1180" s="123">
        <v>0</v>
      </c>
      <c r="C1180" s="123">
        <v>5</v>
      </c>
      <c r="D1180" s="123">
        <v>0</v>
      </c>
      <c r="E1180" s="123">
        <v>0</v>
      </c>
      <c r="F1180" s="123">
        <v>0</v>
      </c>
      <c r="G1180" s="123">
        <v>5</v>
      </c>
      <c r="H1180" s="123">
        <v>0</v>
      </c>
      <c r="I1180" s="123">
        <v>0</v>
      </c>
      <c r="J1180" s="123">
        <v>0</v>
      </c>
      <c r="K1180" s="123">
        <v>0</v>
      </c>
      <c r="L1180" s="123">
        <v>0</v>
      </c>
      <c r="M1180" s="123">
        <v>0</v>
      </c>
      <c r="N1180" s="123">
        <v>0</v>
      </c>
      <c r="O1180" s="123">
        <v>0</v>
      </c>
      <c r="P1180" s="7" t="s">
        <v>162</v>
      </c>
      <c r="Q1180" s="124" t="s">
        <v>311</v>
      </c>
      <c r="R1180" s="1"/>
    </row>
    <row r="1181" spans="1:18" ht="13.5" thickBot="1" x14ac:dyDescent="0.25">
      <c r="A1181" s="123">
        <v>40</v>
      </c>
      <c r="B1181" s="123">
        <v>0</v>
      </c>
      <c r="C1181" s="123">
        <v>40</v>
      </c>
      <c r="D1181" s="123">
        <v>0</v>
      </c>
      <c r="E1181" s="123">
        <v>0</v>
      </c>
      <c r="F1181" s="123">
        <v>0</v>
      </c>
      <c r="G1181" s="123">
        <v>35</v>
      </c>
      <c r="H1181" s="123">
        <v>0</v>
      </c>
      <c r="I1181" s="123">
        <v>5</v>
      </c>
      <c r="J1181" s="123">
        <v>0</v>
      </c>
      <c r="K1181" s="123">
        <v>0</v>
      </c>
      <c r="L1181" s="123">
        <v>0</v>
      </c>
      <c r="M1181" s="123">
        <v>0</v>
      </c>
      <c r="N1181" s="123">
        <v>0</v>
      </c>
      <c r="O1181" s="123">
        <v>0</v>
      </c>
      <c r="P1181" s="7" t="s">
        <v>13</v>
      </c>
      <c r="Q1181" s="9"/>
      <c r="R1181" s="1"/>
    </row>
    <row r="1182" spans="1:18" ht="13.5" thickBot="1" x14ac:dyDescent="0.25">
      <c r="A1182" s="123">
        <v>62</v>
      </c>
      <c r="B1182" s="123">
        <v>0</v>
      </c>
      <c r="C1182" s="123">
        <v>62</v>
      </c>
      <c r="D1182" s="123">
        <v>0</v>
      </c>
      <c r="E1182" s="123">
        <v>4</v>
      </c>
      <c r="F1182" s="123">
        <v>0</v>
      </c>
      <c r="G1182" s="123">
        <v>50</v>
      </c>
      <c r="H1182" s="123">
        <v>0</v>
      </c>
      <c r="I1182" s="123">
        <v>8</v>
      </c>
      <c r="J1182" s="123">
        <v>0</v>
      </c>
      <c r="K1182" s="123">
        <v>0</v>
      </c>
      <c r="L1182" s="123">
        <v>0</v>
      </c>
      <c r="M1182" s="123">
        <v>0</v>
      </c>
      <c r="N1182" s="123">
        <v>0</v>
      </c>
      <c r="O1182" s="123">
        <v>0</v>
      </c>
      <c r="P1182" s="7" t="s">
        <v>163</v>
      </c>
      <c r="Q1182" s="124"/>
      <c r="R1182" s="1"/>
    </row>
    <row r="1183" spans="1:18" ht="13.5" thickBot="1" x14ac:dyDescent="0.25">
      <c r="A1183" s="123">
        <v>10</v>
      </c>
      <c r="B1183" s="123">
        <v>0</v>
      </c>
      <c r="C1183" s="123">
        <v>10</v>
      </c>
      <c r="D1183" s="123">
        <v>0</v>
      </c>
      <c r="E1183" s="123">
        <v>0</v>
      </c>
      <c r="F1183" s="123">
        <v>0</v>
      </c>
      <c r="G1183" s="123">
        <v>5</v>
      </c>
      <c r="H1183" s="123">
        <v>0</v>
      </c>
      <c r="I1183" s="123">
        <v>2</v>
      </c>
      <c r="J1183" s="123">
        <v>0</v>
      </c>
      <c r="K1183" s="123">
        <v>3</v>
      </c>
      <c r="L1183" s="123">
        <v>0</v>
      </c>
      <c r="M1183" s="123">
        <v>0</v>
      </c>
      <c r="N1183" s="123">
        <v>0</v>
      </c>
      <c r="O1183" s="123">
        <v>0</v>
      </c>
      <c r="P1183" s="7" t="s">
        <v>162</v>
      </c>
      <c r="Q1183" s="124" t="s">
        <v>312</v>
      </c>
      <c r="R1183" s="1"/>
    </row>
    <row r="1184" spans="1:18" ht="13.5" thickBot="1" x14ac:dyDescent="0.25">
      <c r="A1184" s="123">
        <v>72</v>
      </c>
      <c r="B1184" s="123">
        <v>0</v>
      </c>
      <c r="C1184" s="123">
        <v>72</v>
      </c>
      <c r="D1184" s="123">
        <v>0</v>
      </c>
      <c r="E1184" s="123">
        <v>4</v>
      </c>
      <c r="F1184" s="123">
        <v>0</v>
      </c>
      <c r="G1184" s="123">
        <v>55</v>
      </c>
      <c r="H1184" s="123">
        <v>0</v>
      </c>
      <c r="I1184" s="123">
        <v>10</v>
      </c>
      <c r="J1184" s="123">
        <v>0</v>
      </c>
      <c r="K1184" s="123">
        <v>3</v>
      </c>
      <c r="L1184" s="123">
        <v>0</v>
      </c>
      <c r="M1184" s="123">
        <v>0</v>
      </c>
      <c r="N1184" s="123">
        <v>0</v>
      </c>
      <c r="O1184" s="123">
        <v>0</v>
      </c>
      <c r="P1184" s="7" t="s">
        <v>13</v>
      </c>
      <c r="Q1184" s="9"/>
      <c r="R1184" s="1"/>
    </row>
    <row r="1185" spans="1:18" ht="13.5" thickBot="1" x14ac:dyDescent="0.25">
      <c r="A1185" s="123">
        <v>7</v>
      </c>
      <c r="B1185" s="123">
        <v>0</v>
      </c>
      <c r="C1185" s="123">
        <v>7</v>
      </c>
      <c r="D1185" s="123">
        <v>0</v>
      </c>
      <c r="E1185" s="123">
        <v>1</v>
      </c>
      <c r="F1185" s="123">
        <v>0</v>
      </c>
      <c r="G1185" s="123">
        <v>6</v>
      </c>
      <c r="H1185" s="123">
        <v>0</v>
      </c>
      <c r="I1185" s="123">
        <v>0</v>
      </c>
      <c r="J1185" s="123">
        <v>0</v>
      </c>
      <c r="K1185" s="123">
        <v>0</v>
      </c>
      <c r="L1185" s="123">
        <v>0</v>
      </c>
      <c r="M1185" s="123">
        <v>0</v>
      </c>
      <c r="N1185" s="123">
        <v>0</v>
      </c>
      <c r="O1185" s="123">
        <v>0</v>
      </c>
      <c r="P1185" s="7" t="s">
        <v>163</v>
      </c>
      <c r="Q1185" s="124"/>
      <c r="R1185" s="1"/>
    </row>
    <row r="1186" spans="1:18" ht="13.5" thickBot="1" x14ac:dyDescent="0.25">
      <c r="A1186" s="123">
        <v>15</v>
      </c>
      <c r="B1186" s="123">
        <v>0</v>
      </c>
      <c r="C1186" s="123">
        <v>15</v>
      </c>
      <c r="D1186" s="123">
        <v>0</v>
      </c>
      <c r="E1186" s="123">
        <v>0</v>
      </c>
      <c r="F1186" s="123">
        <v>0</v>
      </c>
      <c r="G1186" s="123">
        <v>15</v>
      </c>
      <c r="H1186" s="123">
        <v>0</v>
      </c>
      <c r="I1186" s="123">
        <v>0</v>
      </c>
      <c r="J1186" s="123">
        <v>0</v>
      </c>
      <c r="K1186" s="123">
        <v>0</v>
      </c>
      <c r="L1186" s="123">
        <v>0</v>
      </c>
      <c r="M1186" s="123">
        <v>0</v>
      </c>
      <c r="N1186" s="123">
        <v>0</v>
      </c>
      <c r="O1186" s="123">
        <v>0</v>
      </c>
      <c r="P1186" s="7" t="s">
        <v>162</v>
      </c>
      <c r="Q1186" s="124" t="s">
        <v>313</v>
      </c>
      <c r="R1186" s="1"/>
    </row>
    <row r="1187" spans="1:18" ht="13.5" thickBot="1" x14ac:dyDescent="0.25">
      <c r="A1187" s="123">
        <v>22</v>
      </c>
      <c r="B1187" s="123">
        <v>0</v>
      </c>
      <c r="C1187" s="123">
        <v>22</v>
      </c>
      <c r="D1187" s="123">
        <v>0</v>
      </c>
      <c r="E1187" s="123">
        <v>1</v>
      </c>
      <c r="F1187" s="123">
        <v>0</v>
      </c>
      <c r="G1187" s="123">
        <v>21</v>
      </c>
      <c r="H1187" s="123">
        <v>0</v>
      </c>
      <c r="I1187" s="123">
        <v>0</v>
      </c>
      <c r="J1187" s="123">
        <v>0</v>
      </c>
      <c r="K1187" s="123">
        <v>0</v>
      </c>
      <c r="L1187" s="123">
        <v>0</v>
      </c>
      <c r="M1187" s="123">
        <v>0</v>
      </c>
      <c r="N1187" s="123">
        <v>0</v>
      </c>
      <c r="O1187" s="123">
        <v>0</v>
      </c>
      <c r="P1187" s="7" t="s">
        <v>13</v>
      </c>
      <c r="Q1187" s="9"/>
      <c r="R1187" s="1"/>
    </row>
    <row r="1188" spans="1:18" ht="13.5" thickBot="1" x14ac:dyDescent="0.25">
      <c r="A1188" s="123">
        <v>15</v>
      </c>
      <c r="B1188" s="123">
        <v>0</v>
      </c>
      <c r="C1188" s="123">
        <v>15</v>
      </c>
      <c r="D1188" s="123">
        <v>0</v>
      </c>
      <c r="E1188" s="123">
        <v>0</v>
      </c>
      <c r="F1188" s="123">
        <v>0</v>
      </c>
      <c r="G1188" s="123">
        <v>10</v>
      </c>
      <c r="H1188" s="123">
        <v>0</v>
      </c>
      <c r="I1188" s="123">
        <v>5</v>
      </c>
      <c r="J1188" s="123">
        <v>0</v>
      </c>
      <c r="K1188" s="123">
        <v>0</v>
      </c>
      <c r="L1188" s="123">
        <v>0</v>
      </c>
      <c r="M1188" s="123">
        <v>0</v>
      </c>
      <c r="N1188" s="123">
        <v>0</v>
      </c>
      <c r="O1188" s="123">
        <v>0</v>
      </c>
      <c r="P1188" s="7" t="s">
        <v>163</v>
      </c>
      <c r="Q1188" s="124"/>
      <c r="R1188" s="1"/>
    </row>
    <row r="1189" spans="1:18" ht="13.5" thickBot="1" x14ac:dyDescent="0.25">
      <c r="A1189" s="123">
        <v>9</v>
      </c>
      <c r="B1189" s="123">
        <v>0</v>
      </c>
      <c r="C1189" s="123">
        <v>9</v>
      </c>
      <c r="D1189" s="123">
        <v>0</v>
      </c>
      <c r="E1189" s="123">
        <v>0</v>
      </c>
      <c r="F1189" s="123">
        <v>0</v>
      </c>
      <c r="G1189" s="123">
        <v>9</v>
      </c>
      <c r="H1189" s="123">
        <v>0</v>
      </c>
      <c r="I1189" s="123">
        <v>0</v>
      </c>
      <c r="J1189" s="123">
        <v>0</v>
      </c>
      <c r="K1189" s="123">
        <v>0</v>
      </c>
      <c r="L1189" s="123">
        <v>0</v>
      </c>
      <c r="M1189" s="123">
        <v>0</v>
      </c>
      <c r="N1189" s="123">
        <v>0</v>
      </c>
      <c r="O1189" s="123">
        <v>0</v>
      </c>
      <c r="P1189" s="7" t="s">
        <v>162</v>
      </c>
      <c r="Q1189" s="124" t="s">
        <v>314</v>
      </c>
      <c r="R1189" s="1"/>
    </row>
    <row r="1190" spans="1:18" ht="13.5" thickBot="1" x14ac:dyDescent="0.25">
      <c r="A1190" s="123">
        <v>24</v>
      </c>
      <c r="B1190" s="123">
        <v>0</v>
      </c>
      <c r="C1190" s="123">
        <v>24</v>
      </c>
      <c r="D1190" s="123">
        <v>0</v>
      </c>
      <c r="E1190" s="123">
        <v>0</v>
      </c>
      <c r="F1190" s="123">
        <v>0</v>
      </c>
      <c r="G1190" s="123">
        <v>19</v>
      </c>
      <c r="H1190" s="123">
        <v>0</v>
      </c>
      <c r="I1190" s="123">
        <v>5</v>
      </c>
      <c r="J1190" s="123">
        <v>0</v>
      </c>
      <c r="K1190" s="123">
        <v>0</v>
      </c>
      <c r="L1190" s="123">
        <v>0</v>
      </c>
      <c r="M1190" s="123">
        <v>0</v>
      </c>
      <c r="N1190" s="123">
        <v>0</v>
      </c>
      <c r="O1190" s="123">
        <v>0</v>
      </c>
      <c r="P1190" s="7" t="s">
        <v>13</v>
      </c>
      <c r="Q1190" s="9"/>
      <c r="R1190" s="1"/>
    </row>
    <row r="1191" spans="1:18" ht="13.5" thickBot="1" x14ac:dyDescent="0.25">
      <c r="A1191" s="123">
        <v>18</v>
      </c>
      <c r="B1191" s="123">
        <v>18</v>
      </c>
      <c r="C1191" s="123">
        <v>0</v>
      </c>
      <c r="D1191" s="123">
        <v>0</v>
      </c>
      <c r="E1191" s="123">
        <v>0</v>
      </c>
      <c r="F1191" s="123">
        <v>18</v>
      </c>
      <c r="G1191" s="123">
        <v>0</v>
      </c>
      <c r="H1191" s="123">
        <v>0</v>
      </c>
      <c r="I1191" s="123">
        <v>0</v>
      </c>
      <c r="J1191" s="123">
        <v>0</v>
      </c>
      <c r="K1191" s="123">
        <v>0</v>
      </c>
      <c r="L1191" s="123">
        <v>0</v>
      </c>
      <c r="M1191" s="123">
        <v>0</v>
      </c>
      <c r="N1191" s="123">
        <v>0</v>
      </c>
      <c r="O1191" s="123">
        <v>0</v>
      </c>
      <c r="P1191" s="7" t="s">
        <v>163</v>
      </c>
      <c r="Q1191" s="124"/>
      <c r="R1191" s="1"/>
    </row>
    <row r="1192" spans="1:18" ht="13.5" thickBot="1" x14ac:dyDescent="0.25">
      <c r="A1192" s="123">
        <v>0</v>
      </c>
      <c r="B1192" s="123">
        <v>0</v>
      </c>
      <c r="C1192" s="123">
        <v>0</v>
      </c>
      <c r="D1192" s="123">
        <v>0</v>
      </c>
      <c r="E1192" s="123">
        <v>0</v>
      </c>
      <c r="F1192" s="123">
        <v>0</v>
      </c>
      <c r="G1192" s="123">
        <v>0</v>
      </c>
      <c r="H1192" s="123">
        <v>0</v>
      </c>
      <c r="I1192" s="123">
        <v>0</v>
      </c>
      <c r="J1192" s="123">
        <v>0</v>
      </c>
      <c r="K1192" s="123">
        <v>0</v>
      </c>
      <c r="L1192" s="123">
        <v>0</v>
      </c>
      <c r="M1192" s="123">
        <v>0</v>
      </c>
      <c r="N1192" s="123">
        <v>0</v>
      </c>
      <c r="O1192" s="123">
        <v>0</v>
      </c>
      <c r="P1192" s="7" t="s">
        <v>162</v>
      </c>
      <c r="Q1192" s="124" t="s">
        <v>315</v>
      </c>
      <c r="R1192" s="1"/>
    </row>
    <row r="1193" spans="1:18" ht="13.5" thickBot="1" x14ac:dyDescent="0.25">
      <c r="A1193" s="123">
        <v>18</v>
      </c>
      <c r="B1193" s="123">
        <v>18</v>
      </c>
      <c r="C1193" s="123">
        <v>0</v>
      </c>
      <c r="D1193" s="123">
        <v>0</v>
      </c>
      <c r="E1193" s="123">
        <v>0</v>
      </c>
      <c r="F1193" s="123">
        <v>18</v>
      </c>
      <c r="G1193" s="123">
        <v>0</v>
      </c>
      <c r="H1193" s="123">
        <v>0</v>
      </c>
      <c r="I1193" s="123">
        <v>0</v>
      </c>
      <c r="J1193" s="123">
        <v>0</v>
      </c>
      <c r="K1193" s="123">
        <v>0</v>
      </c>
      <c r="L1193" s="123">
        <v>0</v>
      </c>
      <c r="M1193" s="123">
        <v>0</v>
      </c>
      <c r="N1193" s="123">
        <v>0</v>
      </c>
      <c r="O1193" s="123">
        <v>0</v>
      </c>
      <c r="P1193" s="7" t="s">
        <v>13</v>
      </c>
      <c r="Q1193" s="9"/>
      <c r="R1193" s="1"/>
    </row>
    <row r="1194" spans="1:18" ht="13.5" thickBot="1" x14ac:dyDescent="0.25">
      <c r="A1194" s="123">
        <v>19</v>
      </c>
      <c r="B1194" s="123">
        <v>19</v>
      </c>
      <c r="C1194" s="123">
        <v>0</v>
      </c>
      <c r="D1194" s="123">
        <v>0</v>
      </c>
      <c r="E1194" s="123">
        <v>0</v>
      </c>
      <c r="F1194" s="123">
        <v>19</v>
      </c>
      <c r="G1194" s="123">
        <v>0</v>
      </c>
      <c r="H1194" s="123">
        <v>0</v>
      </c>
      <c r="I1194" s="123">
        <v>0</v>
      </c>
      <c r="J1194" s="123">
        <v>0</v>
      </c>
      <c r="K1194" s="123">
        <v>0</v>
      </c>
      <c r="L1194" s="123">
        <v>0</v>
      </c>
      <c r="M1194" s="123">
        <v>0</v>
      </c>
      <c r="N1194" s="123">
        <v>0</v>
      </c>
      <c r="O1194" s="123">
        <v>0</v>
      </c>
      <c r="P1194" s="7" t="s">
        <v>163</v>
      </c>
      <c r="Q1194" s="124"/>
      <c r="R1194" s="1"/>
    </row>
    <row r="1195" spans="1:18" ht="13.5" thickBot="1" x14ac:dyDescent="0.25">
      <c r="A1195" s="123">
        <v>0</v>
      </c>
      <c r="B1195" s="123">
        <v>0</v>
      </c>
      <c r="C1195" s="123">
        <v>0</v>
      </c>
      <c r="D1195" s="123">
        <v>0</v>
      </c>
      <c r="E1195" s="123">
        <v>0</v>
      </c>
      <c r="F1195" s="123">
        <v>0</v>
      </c>
      <c r="G1195" s="123">
        <v>0</v>
      </c>
      <c r="H1195" s="123">
        <v>0</v>
      </c>
      <c r="I1195" s="123">
        <v>0</v>
      </c>
      <c r="J1195" s="123">
        <v>0</v>
      </c>
      <c r="K1195" s="123">
        <v>0</v>
      </c>
      <c r="L1195" s="123">
        <v>0</v>
      </c>
      <c r="M1195" s="123">
        <v>0</v>
      </c>
      <c r="N1195" s="123">
        <v>0</v>
      </c>
      <c r="O1195" s="123">
        <v>0</v>
      </c>
      <c r="P1195" s="7" t="s">
        <v>162</v>
      </c>
      <c r="Q1195" s="124" t="s">
        <v>316</v>
      </c>
      <c r="R1195" s="1"/>
    </row>
    <row r="1196" spans="1:18" ht="13.5" thickBot="1" x14ac:dyDescent="0.25">
      <c r="A1196" s="123">
        <v>19</v>
      </c>
      <c r="B1196" s="123">
        <v>19</v>
      </c>
      <c r="C1196" s="123">
        <v>0</v>
      </c>
      <c r="D1196" s="123">
        <v>0</v>
      </c>
      <c r="E1196" s="123">
        <v>0</v>
      </c>
      <c r="F1196" s="123">
        <v>19</v>
      </c>
      <c r="G1196" s="123">
        <v>0</v>
      </c>
      <c r="H1196" s="123">
        <v>0</v>
      </c>
      <c r="I1196" s="123">
        <v>0</v>
      </c>
      <c r="J1196" s="123">
        <v>0</v>
      </c>
      <c r="K1196" s="123">
        <v>0</v>
      </c>
      <c r="L1196" s="123">
        <v>0</v>
      </c>
      <c r="M1196" s="123">
        <v>0</v>
      </c>
      <c r="N1196" s="123">
        <v>0</v>
      </c>
      <c r="O1196" s="123">
        <v>0</v>
      </c>
      <c r="P1196" s="7" t="s">
        <v>13</v>
      </c>
      <c r="Q1196" s="9"/>
      <c r="R1196" s="1"/>
    </row>
    <row r="1197" spans="1:18" ht="13.5" thickBot="1" x14ac:dyDescent="0.25">
      <c r="A1197" s="123">
        <v>8</v>
      </c>
      <c r="B1197" s="123">
        <v>8</v>
      </c>
      <c r="C1197" s="123">
        <v>0</v>
      </c>
      <c r="D1197" s="123">
        <v>1</v>
      </c>
      <c r="E1197" s="123">
        <v>0</v>
      </c>
      <c r="F1197" s="123">
        <v>1</v>
      </c>
      <c r="G1197" s="123">
        <v>0</v>
      </c>
      <c r="H1197" s="123">
        <v>6</v>
      </c>
      <c r="I1197" s="123">
        <v>0</v>
      </c>
      <c r="J1197" s="123">
        <v>0</v>
      </c>
      <c r="K1197" s="123">
        <v>0</v>
      </c>
      <c r="L1197" s="123">
        <v>0</v>
      </c>
      <c r="M1197" s="123">
        <v>0</v>
      </c>
      <c r="N1197" s="123">
        <v>0</v>
      </c>
      <c r="O1197" s="123">
        <v>0</v>
      </c>
      <c r="P1197" s="7" t="s">
        <v>163</v>
      </c>
      <c r="Q1197" s="124"/>
      <c r="R1197" s="1"/>
    </row>
    <row r="1198" spans="1:18" ht="13.5" thickBot="1" x14ac:dyDescent="0.25">
      <c r="A1198" s="123">
        <v>0</v>
      </c>
      <c r="B1198" s="123">
        <v>0</v>
      </c>
      <c r="C1198" s="123">
        <v>0</v>
      </c>
      <c r="D1198" s="123">
        <v>0</v>
      </c>
      <c r="E1198" s="123">
        <v>0</v>
      </c>
      <c r="F1198" s="123">
        <v>0</v>
      </c>
      <c r="G1198" s="123">
        <v>0</v>
      </c>
      <c r="H1198" s="123">
        <v>0</v>
      </c>
      <c r="I1198" s="123">
        <v>0</v>
      </c>
      <c r="J1198" s="123">
        <v>0</v>
      </c>
      <c r="K1198" s="123">
        <v>0</v>
      </c>
      <c r="L1198" s="123">
        <v>0</v>
      </c>
      <c r="M1198" s="123">
        <v>0</v>
      </c>
      <c r="N1198" s="123">
        <v>0</v>
      </c>
      <c r="O1198" s="123">
        <v>0</v>
      </c>
      <c r="P1198" s="7" t="s">
        <v>162</v>
      </c>
      <c r="Q1198" s="124" t="s">
        <v>317</v>
      </c>
      <c r="R1198" s="1"/>
    </row>
    <row r="1199" spans="1:18" ht="13.5" thickBot="1" x14ac:dyDescent="0.25">
      <c r="A1199" s="123">
        <v>8</v>
      </c>
      <c r="B1199" s="123">
        <v>8</v>
      </c>
      <c r="C1199" s="123">
        <v>0</v>
      </c>
      <c r="D1199" s="123">
        <v>1</v>
      </c>
      <c r="E1199" s="123">
        <v>0</v>
      </c>
      <c r="F1199" s="123">
        <v>1</v>
      </c>
      <c r="G1199" s="123">
        <v>0</v>
      </c>
      <c r="H1199" s="123">
        <v>6</v>
      </c>
      <c r="I1199" s="123">
        <v>0</v>
      </c>
      <c r="J1199" s="123">
        <v>0</v>
      </c>
      <c r="K1199" s="123">
        <v>0</v>
      </c>
      <c r="L1199" s="123">
        <v>0</v>
      </c>
      <c r="M1199" s="123">
        <v>0</v>
      </c>
      <c r="N1199" s="123">
        <v>0</v>
      </c>
      <c r="O1199" s="123">
        <v>0</v>
      </c>
      <c r="P1199" s="7" t="s">
        <v>13</v>
      </c>
      <c r="Q1199" s="9"/>
      <c r="R1199" s="1"/>
    </row>
    <row r="1200" spans="1:18" ht="13.5" thickBot="1" x14ac:dyDescent="0.25">
      <c r="A1200" s="123">
        <v>24</v>
      </c>
      <c r="B1200" s="123">
        <v>24</v>
      </c>
      <c r="C1200" s="123">
        <v>0</v>
      </c>
      <c r="D1200" s="123">
        <v>0</v>
      </c>
      <c r="E1200" s="123">
        <v>0</v>
      </c>
      <c r="F1200" s="123">
        <v>20</v>
      </c>
      <c r="G1200" s="123">
        <v>0</v>
      </c>
      <c r="H1200" s="123">
        <v>4</v>
      </c>
      <c r="I1200" s="123">
        <v>0</v>
      </c>
      <c r="J1200" s="123">
        <v>0</v>
      </c>
      <c r="K1200" s="123">
        <v>0</v>
      </c>
      <c r="L1200" s="123">
        <v>0</v>
      </c>
      <c r="M1200" s="123">
        <v>0</v>
      </c>
      <c r="N1200" s="123">
        <v>0</v>
      </c>
      <c r="O1200" s="123">
        <v>0</v>
      </c>
      <c r="P1200" s="7" t="s">
        <v>163</v>
      </c>
      <c r="Q1200" s="124"/>
      <c r="R1200" s="1"/>
    </row>
    <row r="1201" spans="1:18" ht="13.5" thickBot="1" x14ac:dyDescent="0.25">
      <c r="A1201" s="123">
        <v>0</v>
      </c>
      <c r="B1201" s="123">
        <v>0</v>
      </c>
      <c r="C1201" s="123">
        <v>0</v>
      </c>
      <c r="D1201" s="123">
        <v>0</v>
      </c>
      <c r="E1201" s="123">
        <v>0</v>
      </c>
      <c r="F1201" s="123">
        <v>0</v>
      </c>
      <c r="G1201" s="123">
        <v>0</v>
      </c>
      <c r="H1201" s="123">
        <v>0</v>
      </c>
      <c r="I1201" s="123">
        <v>0</v>
      </c>
      <c r="J1201" s="123">
        <v>0</v>
      </c>
      <c r="K1201" s="123">
        <v>0</v>
      </c>
      <c r="L1201" s="123">
        <v>0</v>
      </c>
      <c r="M1201" s="123">
        <v>0</v>
      </c>
      <c r="N1201" s="123">
        <v>0</v>
      </c>
      <c r="O1201" s="123">
        <v>0</v>
      </c>
      <c r="P1201" s="7" t="s">
        <v>162</v>
      </c>
      <c r="Q1201" s="124" t="s">
        <v>318</v>
      </c>
      <c r="R1201" s="1"/>
    </row>
    <row r="1202" spans="1:18" ht="13.5" thickBot="1" x14ac:dyDescent="0.25">
      <c r="A1202" s="123">
        <v>24</v>
      </c>
      <c r="B1202" s="123">
        <v>24</v>
      </c>
      <c r="C1202" s="123">
        <v>0</v>
      </c>
      <c r="D1202" s="123">
        <v>0</v>
      </c>
      <c r="E1202" s="123">
        <v>0</v>
      </c>
      <c r="F1202" s="123">
        <v>20</v>
      </c>
      <c r="G1202" s="123">
        <v>0</v>
      </c>
      <c r="H1202" s="123">
        <v>4</v>
      </c>
      <c r="I1202" s="123">
        <v>0</v>
      </c>
      <c r="J1202" s="123">
        <v>0</v>
      </c>
      <c r="K1202" s="123">
        <v>0</v>
      </c>
      <c r="L1202" s="123">
        <v>0</v>
      </c>
      <c r="M1202" s="123">
        <v>0</v>
      </c>
      <c r="N1202" s="123">
        <v>0</v>
      </c>
      <c r="O1202" s="123">
        <v>0</v>
      </c>
      <c r="P1202" s="7" t="s">
        <v>13</v>
      </c>
      <c r="Q1202" s="9"/>
      <c r="R1202" s="1"/>
    </row>
    <row r="1203" spans="1:18" ht="13.5" thickBot="1" x14ac:dyDescent="0.25">
      <c r="A1203" s="123">
        <v>9</v>
      </c>
      <c r="B1203" s="123">
        <v>9</v>
      </c>
      <c r="C1203" s="123">
        <v>0</v>
      </c>
      <c r="D1203" s="123">
        <v>0</v>
      </c>
      <c r="E1203" s="123">
        <v>0</v>
      </c>
      <c r="F1203" s="123">
        <v>7</v>
      </c>
      <c r="G1203" s="123">
        <v>0</v>
      </c>
      <c r="H1203" s="123">
        <v>2</v>
      </c>
      <c r="I1203" s="123">
        <v>0</v>
      </c>
      <c r="J1203" s="123">
        <v>0</v>
      </c>
      <c r="K1203" s="123">
        <v>0</v>
      </c>
      <c r="L1203" s="123">
        <v>0</v>
      </c>
      <c r="M1203" s="123">
        <v>0</v>
      </c>
      <c r="N1203" s="123">
        <v>0</v>
      </c>
      <c r="O1203" s="123">
        <v>0</v>
      </c>
      <c r="P1203" s="7" t="s">
        <v>163</v>
      </c>
      <c r="Q1203" s="124"/>
      <c r="R1203" s="1"/>
    </row>
    <row r="1204" spans="1:18" ht="13.5" thickBot="1" x14ac:dyDescent="0.25">
      <c r="A1204" s="123">
        <v>0</v>
      </c>
      <c r="B1204" s="123">
        <v>0</v>
      </c>
      <c r="C1204" s="123">
        <v>0</v>
      </c>
      <c r="D1204" s="123">
        <v>0</v>
      </c>
      <c r="E1204" s="123">
        <v>0</v>
      </c>
      <c r="F1204" s="123">
        <v>0</v>
      </c>
      <c r="G1204" s="123">
        <v>0</v>
      </c>
      <c r="H1204" s="123">
        <v>0</v>
      </c>
      <c r="I1204" s="123">
        <v>0</v>
      </c>
      <c r="J1204" s="123">
        <v>0</v>
      </c>
      <c r="K1204" s="123">
        <v>0</v>
      </c>
      <c r="L1204" s="123">
        <v>0</v>
      </c>
      <c r="M1204" s="123">
        <v>0</v>
      </c>
      <c r="N1204" s="123">
        <v>0</v>
      </c>
      <c r="O1204" s="123">
        <v>0</v>
      </c>
      <c r="P1204" s="7" t="s">
        <v>162</v>
      </c>
      <c r="Q1204" s="124" t="s">
        <v>319</v>
      </c>
      <c r="R1204" s="1"/>
    </row>
    <row r="1205" spans="1:18" ht="13.5" thickBot="1" x14ac:dyDescent="0.25">
      <c r="A1205" s="123">
        <v>9</v>
      </c>
      <c r="B1205" s="123">
        <v>9</v>
      </c>
      <c r="C1205" s="123">
        <v>0</v>
      </c>
      <c r="D1205" s="123">
        <v>0</v>
      </c>
      <c r="E1205" s="123">
        <v>0</v>
      </c>
      <c r="F1205" s="123">
        <v>7</v>
      </c>
      <c r="G1205" s="123">
        <v>0</v>
      </c>
      <c r="H1205" s="123">
        <v>2</v>
      </c>
      <c r="I1205" s="123">
        <v>0</v>
      </c>
      <c r="J1205" s="123">
        <v>0</v>
      </c>
      <c r="K1205" s="123">
        <v>0</v>
      </c>
      <c r="L1205" s="123">
        <v>0</v>
      </c>
      <c r="M1205" s="123">
        <v>0</v>
      </c>
      <c r="N1205" s="123">
        <v>0</v>
      </c>
      <c r="O1205" s="123">
        <v>0</v>
      </c>
      <c r="P1205" s="7" t="s">
        <v>13</v>
      </c>
      <c r="Q1205" s="9"/>
      <c r="R1205" s="1"/>
    </row>
    <row r="1206" spans="1:18" ht="13.5" thickBot="1" x14ac:dyDescent="0.25">
      <c r="A1206" s="123">
        <v>22</v>
      </c>
      <c r="B1206" s="123">
        <v>22</v>
      </c>
      <c r="C1206" s="123">
        <v>0</v>
      </c>
      <c r="D1206" s="123">
        <v>0</v>
      </c>
      <c r="E1206" s="123">
        <v>0</v>
      </c>
      <c r="F1206" s="123">
        <v>21</v>
      </c>
      <c r="G1206" s="123">
        <v>0</v>
      </c>
      <c r="H1206" s="123">
        <v>1</v>
      </c>
      <c r="I1206" s="123">
        <v>0</v>
      </c>
      <c r="J1206" s="123">
        <v>0</v>
      </c>
      <c r="K1206" s="123">
        <v>0</v>
      </c>
      <c r="L1206" s="123">
        <v>0</v>
      </c>
      <c r="M1206" s="123">
        <v>0</v>
      </c>
      <c r="N1206" s="123">
        <v>0</v>
      </c>
      <c r="O1206" s="123">
        <v>0</v>
      </c>
      <c r="P1206" s="7" t="s">
        <v>163</v>
      </c>
      <c r="Q1206" s="124"/>
      <c r="R1206" s="1"/>
    </row>
    <row r="1207" spans="1:18" ht="13.5" thickBot="1" x14ac:dyDescent="0.25">
      <c r="A1207" s="123">
        <v>0</v>
      </c>
      <c r="B1207" s="123">
        <v>0</v>
      </c>
      <c r="C1207" s="123">
        <v>0</v>
      </c>
      <c r="D1207" s="123">
        <v>0</v>
      </c>
      <c r="E1207" s="123">
        <v>0</v>
      </c>
      <c r="F1207" s="123">
        <v>0</v>
      </c>
      <c r="G1207" s="123">
        <v>0</v>
      </c>
      <c r="H1207" s="123">
        <v>0</v>
      </c>
      <c r="I1207" s="123">
        <v>0</v>
      </c>
      <c r="J1207" s="123">
        <v>0</v>
      </c>
      <c r="K1207" s="123">
        <v>0</v>
      </c>
      <c r="L1207" s="123">
        <v>0</v>
      </c>
      <c r="M1207" s="123">
        <v>0</v>
      </c>
      <c r="N1207" s="123">
        <v>0</v>
      </c>
      <c r="O1207" s="123">
        <v>0</v>
      </c>
      <c r="P1207" s="7" t="s">
        <v>162</v>
      </c>
      <c r="Q1207" s="124" t="s">
        <v>320</v>
      </c>
      <c r="R1207" s="1"/>
    </row>
    <row r="1208" spans="1:18" ht="13.5" thickBot="1" x14ac:dyDescent="0.25">
      <c r="A1208" s="123">
        <v>22</v>
      </c>
      <c r="B1208" s="123">
        <v>22</v>
      </c>
      <c r="C1208" s="123">
        <v>0</v>
      </c>
      <c r="D1208" s="123">
        <v>0</v>
      </c>
      <c r="E1208" s="123">
        <v>0</v>
      </c>
      <c r="F1208" s="123">
        <v>21</v>
      </c>
      <c r="G1208" s="123">
        <v>0</v>
      </c>
      <c r="H1208" s="123">
        <v>1</v>
      </c>
      <c r="I1208" s="123">
        <v>0</v>
      </c>
      <c r="J1208" s="123">
        <v>0</v>
      </c>
      <c r="K1208" s="123">
        <v>0</v>
      </c>
      <c r="L1208" s="123">
        <v>0</v>
      </c>
      <c r="M1208" s="123">
        <v>0</v>
      </c>
      <c r="N1208" s="123">
        <v>0</v>
      </c>
      <c r="O1208" s="123">
        <v>0</v>
      </c>
      <c r="P1208" s="7" t="s">
        <v>13</v>
      </c>
      <c r="Q1208" s="9"/>
      <c r="R1208" s="1"/>
    </row>
    <row r="1209" spans="1:18" ht="13.5" thickBot="1" x14ac:dyDescent="0.25">
      <c r="A1209" s="123">
        <v>9</v>
      </c>
      <c r="B1209" s="123">
        <v>9</v>
      </c>
      <c r="C1209" s="123">
        <v>0</v>
      </c>
      <c r="D1209" s="123">
        <v>0</v>
      </c>
      <c r="E1209" s="123">
        <v>0</v>
      </c>
      <c r="F1209" s="123">
        <v>6</v>
      </c>
      <c r="G1209" s="123">
        <v>0</v>
      </c>
      <c r="H1209" s="123">
        <v>3</v>
      </c>
      <c r="I1209" s="123">
        <v>0</v>
      </c>
      <c r="J1209" s="123">
        <v>0</v>
      </c>
      <c r="K1209" s="123">
        <v>0</v>
      </c>
      <c r="L1209" s="123">
        <v>0</v>
      </c>
      <c r="M1209" s="123">
        <v>0</v>
      </c>
      <c r="N1209" s="123">
        <v>0</v>
      </c>
      <c r="O1209" s="123">
        <v>0</v>
      </c>
      <c r="P1209" s="7" t="s">
        <v>163</v>
      </c>
      <c r="Q1209" s="124"/>
      <c r="R1209" s="1"/>
    </row>
    <row r="1210" spans="1:18" ht="13.5" thickBot="1" x14ac:dyDescent="0.25">
      <c r="A1210" s="123">
        <v>0</v>
      </c>
      <c r="B1210" s="123">
        <v>0</v>
      </c>
      <c r="C1210" s="123">
        <v>0</v>
      </c>
      <c r="D1210" s="123">
        <v>0</v>
      </c>
      <c r="E1210" s="123">
        <v>0</v>
      </c>
      <c r="F1210" s="123">
        <v>0</v>
      </c>
      <c r="G1210" s="123">
        <v>0</v>
      </c>
      <c r="H1210" s="123">
        <v>0</v>
      </c>
      <c r="I1210" s="123">
        <v>0</v>
      </c>
      <c r="J1210" s="123">
        <v>0</v>
      </c>
      <c r="K1210" s="123">
        <v>0</v>
      </c>
      <c r="L1210" s="123">
        <v>0</v>
      </c>
      <c r="M1210" s="123">
        <v>0</v>
      </c>
      <c r="N1210" s="123">
        <v>0</v>
      </c>
      <c r="O1210" s="123">
        <v>0</v>
      </c>
      <c r="P1210" s="7" t="s">
        <v>162</v>
      </c>
      <c r="Q1210" s="124" t="s">
        <v>321</v>
      </c>
      <c r="R1210" s="1"/>
    </row>
    <row r="1211" spans="1:18" ht="13.5" thickBot="1" x14ac:dyDescent="0.25">
      <c r="A1211" s="123">
        <v>9</v>
      </c>
      <c r="B1211" s="123">
        <v>9</v>
      </c>
      <c r="C1211" s="123">
        <v>0</v>
      </c>
      <c r="D1211" s="123">
        <v>0</v>
      </c>
      <c r="E1211" s="123">
        <v>0</v>
      </c>
      <c r="F1211" s="123">
        <v>6</v>
      </c>
      <c r="G1211" s="123">
        <v>0</v>
      </c>
      <c r="H1211" s="123">
        <v>3</v>
      </c>
      <c r="I1211" s="123">
        <v>0</v>
      </c>
      <c r="J1211" s="123">
        <v>0</v>
      </c>
      <c r="K1211" s="123">
        <v>0</v>
      </c>
      <c r="L1211" s="123">
        <v>0</v>
      </c>
      <c r="M1211" s="123">
        <v>0</v>
      </c>
      <c r="N1211" s="123">
        <v>0</v>
      </c>
      <c r="O1211" s="123">
        <v>0</v>
      </c>
      <c r="P1211" s="7" t="s">
        <v>13</v>
      </c>
      <c r="Q1211" s="9"/>
      <c r="R1211" s="1"/>
    </row>
    <row r="1212" spans="1:18" ht="13.5" thickBot="1" x14ac:dyDescent="0.25">
      <c r="A1212" s="123">
        <v>6</v>
      </c>
      <c r="B1212" s="123">
        <v>6</v>
      </c>
      <c r="C1212" s="123">
        <v>0</v>
      </c>
      <c r="D1212" s="123">
        <v>0</v>
      </c>
      <c r="E1212" s="123">
        <v>0</v>
      </c>
      <c r="F1212" s="123">
        <v>5</v>
      </c>
      <c r="G1212" s="123">
        <v>0</v>
      </c>
      <c r="H1212" s="123">
        <v>1</v>
      </c>
      <c r="I1212" s="123">
        <v>0</v>
      </c>
      <c r="J1212" s="123">
        <v>0</v>
      </c>
      <c r="K1212" s="123">
        <v>0</v>
      </c>
      <c r="L1212" s="123">
        <v>0</v>
      </c>
      <c r="M1212" s="123">
        <v>0</v>
      </c>
      <c r="N1212" s="123">
        <v>0</v>
      </c>
      <c r="O1212" s="123">
        <v>0</v>
      </c>
      <c r="P1212" s="7" t="s">
        <v>163</v>
      </c>
      <c r="Q1212" s="124"/>
      <c r="R1212" s="1"/>
    </row>
    <row r="1213" spans="1:18" ht="13.5" thickBot="1" x14ac:dyDescent="0.25">
      <c r="A1213" s="123">
        <v>0</v>
      </c>
      <c r="B1213" s="123">
        <v>0</v>
      </c>
      <c r="C1213" s="123">
        <v>0</v>
      </c>
      <c r="D1213" s="123">
        <v>0</v>
      </c>
      <c r="E1213" s="123">
        <v>0</v>
      </c>
      <c r="F1213" s="123">
        <v>0</v>
      </c>
      <c r="G1213" s="123">
        <v>0</v>
      </c>
      <c r="H1213" s="123">
        <v>0</v>
      </c>
      <c r="I1213" s="123">
        <v>0</v>
      </c>
      <c r="J1213" s="123">
        <v>0</v>
      </c>
      <c r="K1213" s="123">
        <v>0</v>
      </c>
      <c r="L1213" s="123">
        <v>0</v>
      </c>
      <c r="M1213" s="123">
        <v>0</v>
      </c>
      <c r="N1213" s="123">
        <v>0</v>
      </c>
      <c r="O1213" s="123">
        <v>0</v>
      </c>
      <c r="P1213" s="7" t="s">
        <v>162</v>
      </c>
      <c r="Q1213" s="124" t="s">
        <v>322</v>
      </c>
      <c r="R1213" s="1"/>
    </row>
    <row r="1214" spans="1:18" ht="13.5" thickBot="1" x14ac:dyDescent="0.25">
      <c r="A1214" s="123">
        <v>6</v>
      </c>
      <c r="B1214" s="123">
        <v>6</v>
      </c>
      <c r="C1214" s="123">
        <v>0</v>
      </c>
      <c r="D1214" s="123">
        <v>0</v>
      </c>
      <c r="E1214" s="123">
        <v>0</v>
      </c>
      <c r="F1214" s="123">
        <v>5</v>
      </c>
      <c r="G1214" s="123">
        <v>0</v>
      </c>
      <c r="H1214" s="123">
        <v>1</v>
      </c>
      <c r="I1214" s="123">
        <v>0</v>
      </c>
      <c r="J1214" s="123">
        <v>0</v>
      </c>
      <c r="K1214" s="123">
        <v>0</v>
      </c>
      <c r="L1214" s="123">
        <v>0</v>
      </c>
      <c r="M1214" s="123">
        <v>0</v>
      </c>
      <c r="N1214" s="123">
        <v>0</v>
      </c>
      <c r="O1214" s="123">
        <v>0</v>
      </c>
      <c r="P1214" s="7" t="s">
        <v>13</v>
      </c>
      <c r="Q1214" s="9"/>
      <c r="R1214" s="1"/>
    </row>
    <row r="1215" spans="1:18" ht="13.5" thickBot="1" x14ac:dyDescent="0.25">
      <c r="A1215" s="123">
        <v>3</v>
      </c>
      <c r="B1215" s="123">
        <v>3</v>
      </c>
      <c r="C1215" s="123">
        <v>0</v>
      </c>
      <c r="D1215" s="123">
        <v>0</v>
      </c>
      <c r="E1215" s="123">
        <v>0</v>
      </c>
      <c r="F1215" s="123">
        <v>3</v>
      </c>
      <c r="G1215" s="123">
        <v>0</v>
      </c>
      <c r="H1215" s="123">
        <v>0</v>
      </c>
      <c r="I1215" s="123">
        <v>0</v>
      </c>
      <c r="J1215" s="123">
        <v>0</v>
      </c>
      <c r="K1215" s="123">
        <v>0</v>
      </c>
      <c r="L1215" s="123">
        <v>0</v>
      </c>
      <c r="M1215" s="123">
        <v>0</v>
      </c>
      <c r="N1215" s="123">
        <v>0</v>
      </c>
      <c r="O1215" s="123">
        <v>0</v>
      </c>
      <c r="P1215" s="7" t="s">
        <v>163</v>
      </c>
      <c r="Q1215" s="124"/>
      <c r="R1215" s="1"/>
    </row>
    <row r="1216" spans="1:18" ht="13.5" thickBot="1" x14ac:dyDescent="0.25">
      <c r="A1216" s="123">
        <v>0</v>
      </c>
      <c r="B1216" s="123">
        <v>0</v>
      </c>
      <c r="C1216" s="123">
        <v>0</v>
      </c>
      <c r="D1216" s="123">
        <v>0</v>
      </c>
      <c r="E1216" s="123">
        <v>0</v>
      </c>
      <c r="F1216" s="123">
        <v>0</v>
      </c>
      <c r="G1216" s="123">
        <v>0</v>
      </c>
      <c r="H1216" s="123">
        <v>0</v>
      </c>
      <c r="I1216" s="123">
        <v>0</v>
      </c>
      <c r="J1216" s="123">
        <v>0</v>
      </c>
      <c r="K1216" s="123">
        <v>0</v>
      </c>
      <c r="L1216" s="123">
        <v>0</v>
      </c>
      <c r="M1216" s="123">
        <v>0</v>
      </c>
      <c r="N1216" s="123">
        <v>0</v>
      </c>
      <c r="O1216" s="123">
        <v>0</v>
      </c>
      <c r="P1216" s="7" t="s">
        <v>162</v>
      </c>
      <c r="Q1216" s="124" t="s">
        <v>323</v>
      </c>
      <c r="R1216" s="1"/>
    </row>
    <row r="1217" spans="1:18" ht="13.5" thickBot="1" x14ac:dyDescent="0.25">
      <c r="A1217" s="123">
        <v>3</v>
      </c>
      <c r="B1217" s="123">
        <v>3</v>
      </c>
      <c r="C1217" s="123">
        <v>0</v>
      </c>
      <c r="D1217" s="123">
        <v>0</v>
      </c>
      <c r="E1217" s="123">
        <v>0</v>
      </c>
      <c r="F1217" s="123">
        <v>3</v>
      </c>
      <c r="G1217" s="123">
        <v>0</v>
      </c>
      <c r="H1217" s="123">
        <v>0</v>
      </c>
      <c r="I1217" s="123">
        <v>0</v>
      </c>
      <c r="J1217" s="123">
        <v>0</v>
      </c>
      <c r="K1217" s="123">
        <v>0</v>
      </c>
      <c r="L1217" s="123">
        <v>0</v>
      </c>
      <c r="M1217" s="123">
        <v>0</v>
      </c>
      <c r="N1217" s="123">
        <v>0</v>
      </c>
      <c r="O1217" s="123">
        <v>0</v>
      </c>
      <c r="P1217" s="7" t="s">
        <v>13</v>
      </c>
      <c r="Q1217" s="9"/>
      <c r="R1217" s="1"/>
    </row>
    <row r="1218" spans="1:18" ht="13.5" thickBot="1" x14ac:dyDescent="0.25">
      <c r="A1218" s="123">
        <v>3618</v>
      </c>
      <c r="B1218" s="123">
        <v>118</v>
      </c>
      <c r="C1218" s="123">
        <v>3500</v>
      </c>
      <c r="D1218" s="123">
        <v>1</v>
      </c>
      <c r="E1218" s="123">
        <v>404</v>
      </c>
      <c r="F1218" s="123">
        <v>100</v>
      </c>
      <c r="G1218" s="123">
        <v>2731</v>
      </c>
      <c r="H1218" s="123">
        <v>17</v>
      </c>
      <c r="I1218" s="123">
        <v>227</v>
      </c>
      <c r="J1218" s="123">
        <v>0</v>
      </c>
      <c r="K1218" s="123">
        <v>128</v>
      </c>
      <c r="L1218" s="123">
        <v>0</v>
      </c>
      <c r="M1218" s="123">
        <v>8</v>
      </c>
      <c r="N1218" s="123">
        <v>0</v>
      </c>
      <c r="O1218" s="123">
        <v>2</v>
      </c>
      <c r="P1218" s="7" t="s">
        <v>163</v>
      </c>
      <c r="Q1218" s="3"/>
      <c r="R1218" s="1"/>
    </row>
    <row r="1219" spans="1:18" ht="13.5" thickBot="1" x14ac:dyDescent="0.25">
      <c r="A1219" s="123">
        <v>777</v>
      </c>
      <c r="B1219" s="123">
        <v>0</v>
      </c>
      <c r="C1219" s="123">
        <v>777</v>
      </c>
      <c r="D1219" s="123">
        <v>0</v>
      </c>
      <c r="E1219" s="123">
        <v>14</v>
      </c>
      <c r="F1219" s="123">
        <v>0</v>
      </c>
      <c r="G1219" s="123">
        <v>482</v>
      </c>
      <c r="H1219" s="123">
        <v>0</v>
      </c>
      <c r="I1219" s="123">
        <v>165</v>
      </c>
      <c r="J1219" s="123">
        <v>0</v>
      </c>
      <c r="K1219" s="123">
        <v>113</v>
      </c>
      <c r="L1219" s="123">
        <v>0</v>
      </c>
      <c r="M1219" s="123">
        <v>3</v>
      </c>
      <c r="N1219" s="123">
        <v>0</v>
      </c>
      <c r="O1219" s="123">
        <v>0</v>
      </c>
      <c r="P1219" s="7" t="s">
        <v>162</v>
      </c>
      <c r="Q1219" s="11" t="s">
        <v>211</v>
      </c>
      <c r="R1219" s="1"/>
    </row>
    <row r="1220" spans="1:18" ht="13.5" thickBot="1" x14ac:dyDescent="0.25">
      <c r="A1220" s="123">
        <v>4395</v>
      </c>
      <c r="B1220" s="123">
        <v>118</v>
      </c>
      <c r="C1220" s="123">
        <v>4277</v>
      </c>
      <c r="D1220" s="123">
        <v>1</v>
      </c>
      <c r="E1220" s="123">
        <v>418</v>
      </c>
      <c r="F1220" s="123">
        <v>100</v>
      </c>
      <c r="G1220" s="123">
        <v>3213</v>
      </c>
      <c r="H1220" s="123">
        <v>17</v>
      </c>
      <c r="I1220" s="123">
        <v>392</v>
      </c>
      <c r="J1220" s="123">
        <v>0</v>
      </c>
      <c r="K1220" s="123">
        <v>241</v>
      </c>
      <c r="L1220" s="123">
        <v>0</v>
      </c>
      <c r="M1220" s="123">
        <v>11</v>
      </c>
      <c r="N1220" s="123">
        <v>0</v>
      </c>
      <c r="O1220" s="123">
        <v>2</v>
      </c>
      <c r="P1220" s="7" t="s">
        <v>13</v>
      </c>
      <c r="Q1220" s="5"/>
      <c r="R1220" s="1"/>
    </row>
    <row r="1221" spans="1:18" ht="18" customHeight="1" x14ac:dyDescent="0.2">
      <c r="A1221" s="207"/>
      <c r="B1221" s="207"/>
      <c r="C1221" s="207"/>
      <c r="D1221" s="207"/>
      <c r="E1221" s="207"/>
      <c r="F1221" s="207"/>
      <c r="G1221" s="207"/>
      <c r="H1221" s="207"/>
      <c r="I1221" s="207"/>
      <c r="J1221" s="207"/>
      <c r="K1221" s="207"/>
      <c r="L1221" s="207"/>
      <c r="M1221" s="207"/>
      <c r="N1221" s="207"/>
      <c r="O1221" s="207"/>
      <c r="P1221" s="207"/>
      <c r="Q1221" s="207"/>
      <c r="R1221" s="1"/>
    </row>
    <row r="1222" spans="1:18" ht="18" customHeight="1" x14ac:dyDescent="0.2">
      <c r="A1222" s="159" t="s">
        <v>616</v>
      </c>
      <c r="B1222" s="159"/>
      <c r="C1222" s="159"/>
      <c r="D1222" s="159"/>
      <c r="E1222" s="159"/>
      <c r="F1222" s="159"/>
      <c r="G1222" s="159"/>
      <c r="H1222" s="159"/>
      <c r="I1222" s="159"/>
      <c r="J1222" s="159"/>
      <c r="K1222" s="159"/>
      <c r="L1222" s="159"/>
      <c r="M1222" s="159"/>
      <c r="N1222" s="159"/>
      <c r="O1222" s="159"/>
      <c r="P1222" s="159"/>
      <c r="Q1222" s="159"/>
      <c r="R1222" s="1"/>
    </row>
    <row r="1223" spans="1:18" ht="18" customHeight="1" thickBot="1" x14ac:dyDescent="0.25">
      <c r="A1223" s="160" t="s">
        <v>617</v>
      </c>
      <c r="B1223" s="160"/>
      <c r="C1223" s="160"/>
      <c r="D1223" s="160"/>
      <c r="E1223" s="160"/>
      <c r="F1223" s="160"/>
      <c r="G1223" s="160"/>
      <c r="H1223" s="160"/>
      <c r="I1223" s="160"/>
      <c r="J1223" s="160"/>
      <c r="K1223" s="160"/>
      <c r="L1223" s="160"/>
      <c r="M1223" s="160"/>
      <c r="N1223" s="160"/>
      <c r="O1223" s="160"/>
      <c r="P1223" s="160"/>
      <c r="Q1223" s="160"/>
      <c r="R1223" s="1"/>
    </row>
    <row r="1224" spans="1:18" ht="13.5" thickBot="1" x14ac:dyDescent="0.25">
      <c r="A1224" s="204" t="s">
        <v>5</v>
      </c>
      <c r="B1224" s="204"/>
      <c r="C1224" s="204"/>
      <c r="D1224" s="204" t="s">
        <v>57</v>
      </c>
      <c r="E1224" s="204"/>
      <c r="F1224" s="204" t="s">
        <v>609</v>
      </c>
      <c r="G1224" s="204"/>
      <c r="H1224" s="204" t="s">
        <v>610</v>
      </c>
      <c r="I1224" s="204"/>
      <c r="J1224" s="204" t="s">
        <v>611</v>
      </c>
      <c r="K1224" s="204"/>
      <c r="L1224" s="204" t="s">
        <v>612</v>
      </c>
      <c r="M1224" s="204"/>
      <c r="N1224" s="204" t="s">
        <v>613</v>
      </c>
      <c r="O1224" s="204"/>
      <c r="P1224" s="205" t="s">
        <v>614</v>
      </c>
      <c r="Q1224" s="47" t="s">
        <v>161</v>
      </c>
      <c r="R1224" s="1"/>
    </row>
    <row r="1225" spans="1:18" ht="13.5" thickBot="1" x14ac:dyDescent="0.25">
      <c r="A1225" s="47" t="s">
        <v>216</v>
      </c>
      <c r="B1225" s="47" t="s">
        <v>11</v>
      </c>
      <c r="C1225" s="47" t="s">
        <v>10</v>
      </c>
      <c r="D1225" s="47" t="s">
        <v>11</v>
      </c>
      <c r="E1225" s="47" t="s">
        <v>10</v>
      </c>
      <c r="F1225" s="47" t="s">
        <v>11</v>
      </c>
      <c r="G1225" s="47" t="s">
        <v>10</v>
      </c>
      <c r="H1225" s="47" t="s">
        <v>11</v>
      </c>
      <c r="I1225" s="47" t="s">
        <v>10</v>
      </c>
      <c r="J1225" s="47" t="s">
        <v>11</v>
      </c>
      <c r="K1225" s="47" t="s">
        <v>10</v>
      </c>
      <c r="L1225" s="47" t="s">
        <v>11</v>
      </c>
      <c r="M1225" s="47" t="s">
        <v>10</v>
      </c>
      <c r="N1225" s="47" t="s">
        <v>11</v>
      </c>
      <c r="O1225" s="47" t="s">
        <v>10</v>
      </c>
      <c r="P1225" s="206"/>
      <c r="Q1225" s="33" t="s">
        <v>169</v>
      </c>
      <c r="R1225" s="1"/>
    </row>
    <row r="1226" spans="1:18" ht="13.5" thickBot="1" x14ac:dyDescent="0.25">
      <c r="A1226" s="123">
        <v>10</v>
      </c>
      <c r="B1226" s="123">
        <v>6</v>
      </c>
      <c r="C1226" s="123">
        <v>4</v>
      </c>
      <c r="D1226" s="123">
        <v>3</v>
      </c>
      <c r="E1226" s="123">
        <v>0</v>
      </c>
      <c r="F1226" s="123">
        <v>0</v>
      </c>
      <c r="G1226" s="123">
        <v>0</v>
      </c>
      <c r="H1226" s="123">
        <v>3</v>
      </c>
      <c r="I1226" s="123">
        <v>4</v>
      </c>
      <c r="J1226" s="123">
        <v>0</v>
      </c>
      <c r="K1226" s="123">
        <v>0</v>
      </c>
      <c r="L1226" s="123">
        <v>0</v>
      </c>
      <c r="M1226" s="123">
        <v>0</v>
      </c>
      <c r="N1226" s="123">
        <v>0</v>
      </c>
      <c r="O1226" s="123">
        <v>0</v>
      </c>
      <c r="P1226" s="7" t="s">
        <v>163</v>
      </c>
      <c r="Q1226" s="124"/>
      <c r="R1226" s="1"/>
    </row>
    <row r="1227" spans="1:18" ht="13.5" thickBot="1" x14ac:dyDescent="0.25">
      <c r="A1227" s="123">
        <v>45</v>
      </c>
      <c r="B1227" s="123">
        <v>2</v>
      </c>
      <c r="C1227" s="123">
        <v>43</v>
      </c>
      <c r="D1227" s="123">
        <v>0</v>
      </c>
      <c r="E1227" s="123">
        <v>13</v>
      </c>
      <c r="F1227" s="123">
        <v>0</v>
      </c>
      <c r="G1227" s="123">
        <v>0</v>
      </c>
      <c r="H1227" s="123">
        <v>2</v>
      </c>
      <c r="I1227" s="123">
        <v>21</v>
      </c>
      <c r="J1227" s="123">
        <v>0</v>
      </c>
      <c r="K1227" s="123">
        <v>9</v>
      </c>
      <c r="L1227" s="123">
        <v>0</v>
      </c>
      <c r="M1227" s="123">
        <v>0</v>
      </c>
      <c r="N1227" s="123">
        <v>0</v>
      </c>
      <c r="O1227" s="123">
        <v>0</v>
      </c>
      <c r="P1227" s="7" t="s">
        <v>162</v>
      </c>
      <c r="Q1227" s="124" t="s">
        <v>324</v>
      </c>
      <c r="R1227" s="1"/>
    </row>
    <row r="1228" spans="1:18" ht="13.5" thickBot="1" x14ac:dyDescent="0.25">
      <c r="A1228" s="123">
        <v>55</v>
      </c>
      <c r="B1228" s="123">
        <v>8</v>
      </c>
      <c r="C1228" s="123">
        <v>47</v>
      </c>
      <c r="D1228" s="123">
        <v>3</v>
      </c>
      <c r="E1228" s="123">
        <v>13</v>
      </c>
      <c r="F1228" s="123">
        <v>0</v>
      </c>
      <c r="G1228" s="123">
        <v>0</v>
      </c>
      <c r="H1228" s="123">
        <v>5</v>
      </c>
      <c r="I1228" s="123">
        <v>25</v>
      </c>
      <c r="J1228" s="123">
        <v>0</v>
      </c>
      <c r="K1228" s="123">
        <v>9</v>
      </c>
      <c r="L1228" s="123">
        <v>0</v>
      </c>
      <c r="M1228" s="123">
        <v>0</v>
      </c>
      <c r="N1228" s="123">
        <v>0</v>
      </c>
      <c r="O1228" s="123">
        <v>0</v>
      </c>
      <c r="P1228" s="7" t="s">
        <v>13</v>
      </c>
      <c r="Q1228" s="9"/>
      <c r="R1228" s="1"/>
    </row>
    <row r="1229" spans="1:18" ht="13.5" thickBot="1" x14ac:dyDescent="0.25">
      <c r="A1229" s="123">
        <v>10</v>
      </c>
      <c r="B1229" s="123">
        <v>6</v>
      </c>
      <c r="C1229" s="123">
        <v>4</v>
      </c>
      <c r="D1229" s="123">
        <v>3</v>
      </c>
      <c r="E1229" s="123">
        <v>0</v>
      </c>
      <c r="F1229" s="123">
        <v>0</v>
      </c>
      <c r="G1229" s="123">
        <v>0</v>
      </c>
      <c r="H1229" s="123">
        <v>3</v>
      </c>
      <c r="I1229" s="123">
        <v>4</v>
      </c>
      <c r="J1229" s="123">
        <v>0</v>
      </c>
      <c r="K1229" s="123">
        <v>0</v>
      </c>
      <c r="L1229" s="123">
        <v>0</v>
      </c>
      <c r="M1229" s="123">
        <v>0</v>
      </c>
      <c r="N1229" s="123">
        <v>0</v>
      </c>
      <c r="O1229" s="123">
        <v>0</v>
      </c>
      <c r="P1229" s="7" t="s">
        <v>163</v>
      </c>
      <c r="Q1229" s="3"/>
      <c r="R1229" s="1"/>
    </row>
    <row r="1230" spans="1:18" ht="13.5" thickBot="1" x14ac:dyDescent="0.25">
      <c r="A1230" s="123">
        <v>45</v>
      </c>
      <c r="B1230" s="123">
        <v>2</v>
      </c>
      <c r="C1230" s="123">
        <v>43</v>
      </c>
      <c r="D1230" s="123">
        <v>0</v>
      </c>
      <c r="E1230" s="123">
        <v>13</v>
      </c>
      <c r="F1230" s="123">
        <v>0</v>
      </c>
      <c r="G1230" s="123">
        <v>0</v>
      </c>
      <c r="H1230" s="123">
        <v>2</v>
      </c>
      <c r="I1230" s="123">
        <v>21</v>
      </c>
      <c r="J1230" s="123">
        <v>0</v>
      </c>
      <c r="K1230" s="123">
        <v>9</v>
      </c>
      <c r="L1230" s="123">
        <v>0</v>
      </c>
      <c r="M1230" s="123">
        <v>0</v>
      </c>
      <c r="N1230" s="123">
        <v>0</v>
      </c>
      <c r="O1230" s="123">
        <v>0</v>
      </c>
      <c r="P1230" s="7" t="s">
        <v>162</v>
      </c>
      <c r="Q1230" s="11" t="s">
        <v>211</v>
      </c>
      <c r="R1230" s="1"/>
    </row>
    <row r="1231" spans="1:18" ht="13.5" thickBot="1" x14ac:dyDescent="0.25">
      <c r="A1231" s="123">
        <v>55</v>
      </c>
      <c r="B1231" s="123">
        <v>8</v>
      </c>
      <c r="C1231" s="123">
        <v>47</v>
      </c>
      <c r="D1231" s="123">
        <v>3</v>
      </c>
      <c r="E1231" s="123">
        <v>13</v>
      </c>
      <c r="F1231" s="123">
        <v>0</v>
      </c>
      <c r="G1231" s="123">
        <v>0</v>
      </c>
      <c r="H1231" s="123">
        <v>5</v>
      </c>
      <c r="I1231" s="123">
        <v>25</v>
      </c>
      <c r="J1231" s="123">
        <v>0</v>
      </c>
      <c r="K1231" s="123">
        <v>9</v>
      </c>
      <c r="L1231" s="123">
        <v>0</v>
      </c>
      <c r="M1231" s="123">
        <v>0</v>
      </c>
      <c r="N1231" s="123">
        <v>0</v>
      </c>
      <c r="O1231" s="123">
        <v>0</v>
      </c>
      <c r="P1231" s="7" t="s">
        <v>13</v>
      </c>
      <c r="Q1231" s="5"/>
      <c r="R1231" s="1"/>
    </row>
    <row r="1232" spans="1:18" ht="18" customHeight="1" x14ac:dyDescent="0.2">
      <c r="A1232" s="207"/>
      <c r="B1232" s="207"/>
      <c r="C1232" s="207"/>
      <c r="D1232" s="207"/>
      <c r="E1232" s="207"/>
      <c r="F1232" s="207"/>
      <c r="G1232" s="207"/>
      <c r="H1232" s="207"/>
      <c r="I1232" s="207"/>
      <c r="J1232" s="207"/>
      <c r="K1232" s="207"/>
      <c r="L1232" s="207"/>
      <c r="M1232" s="207"/>
      <c r="N1232" s="207"/>
      <c r="O1232" s="207"/>
      <c r="P1232" s="207"/>
      <c r="Q1232" s="207"/>
      <c r="R1232" s="1"/>
    </row>
    <row r="1233" spans="1:18" ht="18" customHeight="1" x14ac:dyDescent="0.2">
      <c r="A1233" s="159" t="s">
        <v>616</v>
      </c>
      <c r="B1233" s="159"/>
      <c r="C1233" s="159"/>
      <c r="D1233" s="159"/>
      <c r="E1233" s="159"/>
      <c r="F1233" s="159"/>
      <c r="G1233" s="159"/>
      <c r="H1233" s="159"/>
      <c r="I1233" s="159"/>
      <c r="J1233" s="159"/>
      <c r="K1233" s="159"/>
      <c r="L1233" s="159"/>
      <c r="M1233" s="159"/>
      <c r="N1233" s="159"/>
      <c r="O1233" s="159"/>
      <c r="P1233" s="159"/>
      <c r="Q1233" s="159"/>
      <c r="R1233" s="1"/>
    </row>
    <row r="1234" spans="1:18" ht="18" customHeight="1" thickBot="1" x14ac:dyDescent="0.25">
      <c r="A1234" s="160" t="s">
        <v>617</v>
      </c>
      <c r="B1234" s="160"/>
      <c r="C1234" s="160"/>
      <c r="D1234" s="160"/>
      <c r="E1234" s="160"/>
      <c r="F1234" s="160"/>
      <c r="G1234" s="160"/>
      <c r="H1234" s="160"/>
      <c r="I1234" s="160"/>
      <c r="J1234" s="160"/>
      <c r="K1234" s="160"/>
      <c r="L1234" s="160"/>
      <c r="M1234" s="160"/>
      <c r="N1234" s="160"/>
      <c r="O1234" s="160"/>
      <c r="P1234" s="160"/>
      <c r="Q1234" s="160"/>
      <c r="R1234" s="1"/>
    </row>
    <row r="1235" spans="1:18" ht="13.5" thickBot="1" x14ac:dyDescent="0.25">
      <c r="A1235" s="204" t="s">
        <v>5</v>
      </c>
      <c r="B1235" s="204"/>
      <c r="C1235" s="204"/>
      <c r="D1235" s="204" t="s">
        <v>57</v>
      </c>
      <c r="E1235" s="204"/>
      <c r="F1235" s="204" t="s">
        <v>609</v>
      </c>
      <c r="G1235" s="204"/>
      <c r="H1235" s="204" t="s">
        <v>610</v>
      </c>
      <c r="I1235" s="204"/>
      <c r="J1235" s="204" t="s">
        <v>611</v>
      </c>
      <c r="K1235" s="204"/>
      <c r="L1235" s="204" t="s">
        <v>612</v>
      </c>
      <c r="M1235" s="204"/>
      <c r="N1235" s="204" t="s">
        <v>613</v>
      </c>
      <c r="O1235" s="204"/>
      <c r="P1235" s="205" t="s">
        <v>614</v>
      </c>
      <c r="Q1235" s="47" t="s">
        <v>161</v>
      </c>
      <c r="R1235" s="1"/>
    </row>
    <row r="1236" spans="1:18" ht="13.5" thickBot="1" x14ac:dyDescent="0.25">
      <c r="A1236" s="47" t="s">
        <v>216</v>
      </c>
      <c r="B1236" s="47" t="s">
        <v>11</v>
      </c>
      <c r="C1236" s="47" t="s">
        <v>10</v>
      </c>
      <c r="D1236" s="47" t="s">
        <v>11</v>
      </c>
      <c r="E1236" s="47" t="s">
        <v>10</v>
      </c>
      <c r="F1236" s="47" t="s">
        <v>11</v>
      </c>
      <c r="G1236" s="47" t="s">
        <v>10</v>
      </c>
      <c r="H1236" s="47" t="s">
        <v>11</v>
      </c>
      <c r="I1236" s="47" t="s">
        <v>10</v>
      </c>
      <c r="J1236" s="47" t="s">
        <v>11</v>
      </c>
      <c r="K1236" s="47" t="s">
        <v>10</v>
      </c>
      <c r="L1236" s="47" t="s">
        <v>11</v>
      </c>
      <c r="M1236" s="47" t="s">
        <v>10</v>
      </c>
      <c r="N1236" s="47" t="s">
        <v>11</v>
      </c>
      <c r="O1236" s="47" t="s">
        <v>10</v>
      </c>
      <c r="P1236" s="206"/>
      <c r="Q1236" s="33" t="s">
        <v>170</v>
      </c>
      <c r="R1236" s="1"/>
    </row>
    <row r="1237" spans="1:18" ht="13.5" thickBot="1" x14ac:dyDescent="0.25">
      <c r="A1237" s="123">
        <v>54</v>
      </c>
      <c r="B1237" s="123">
        <v>0</v>
      </c>
      <c r="C1237" s="123">
        <v>54</v>
      </c>
      <c r="D1237" s="123">
        <v>0</v>
      </c>
      <c r="E1237" s="123">
        <v>6</v>
      </c>
      <c r="F1237" s="123">
        <v>0</v>
      </c>
      <c r="G1237" s="123">
        <v>19</v>
      </c>
      <c r="H1237" s="123">
        <v>0</v>
      </c>
      <c r="I1237" s="123">
        <v>28</v>
      </c>
      <c r="J1237" s="123">
        <v>0</v>
      </c>
      <c r="K1237" s="123">
        <v>1</v>
      </c>
      <c r="L1237" s="123">
        <v>0</v>
      </c>
      <c r="M1237" s="123">
        <v>0</v>
      </c>
      <c r="N1237" s="123">
        <v>0</v>
      </c>
      <c r="O1237" s="123">
        <v>0</v>
      </c>
      <c r="P1237" s="7" t="s">
        <v>163</v>
      </c>
      <c r="Q1237" s="124"/>
      <c r="R1237" s="1"/>
    </row>
    <row r="1238" spans="1:18" ht="13.5" thickBot="1" x14ac:dyDescent="0.25">
      <c r="A1238" s="123">
        <v>196</v>
      </c>
      <c r="B1238" s="123">
        <v>0</v>
      </c>
      <c r="C1238" s="123">
        <v>196</v>
      </c>
      <c r="D1238" s="123">
        <v>0</v>
      </c>
      <c r="E1238" s="123">
        <v>0</v>
      </c>
      <c r="F1238" s="123">
        <v>0</v>
      </c>
      <c r="G1238" s="123">
        <v>85</v>
      </c>
      <c r="H1238" s="123">
        <v>0</v>
      </c>
      <c r="I1238" s="123">
        <v>110</v>
      </c>
      <c r="J1238" s="123">
        <v>0</v>
      </c>
      <c r="K1238" s="123">
        <v>1</v>
      </c>
      <c r="L1238" s="123">
        <v>0</v>
      </c>
      <c r="M1238" s="123">
        <v>0</v>
      </c>
      <c r="N1238" s="123">
        <v>0</v>
      </c>
      <c r="O1238" s="123">
        <v>0</v>
      </c>
      <c r="P1238" s="7" t="s">
        <v>162</v>
      </c>
      <c r="Q1238" s="124" t="s">
        <v>325</v>
      </c>
      <c r="R1238" s="1"/>
    </row>
    <row r="1239" spans="1:18" ht="13.5" thickBot="1" x14ac:dyDescent="0.25">
      <c r="A1239" s="123">
        <v>250</v>
      </c>
      <c r="B1239" s="123">
        <v>0</v>
      </c>
      <c r="C1239" s="123">
        <v>250</v>
      </c>
      <c r="D1239" s="123">
        <v>0</v>
      </c>
      <c r="E1239" s="123">
        <v>6</v>
      </c>
      <c r="F1239" s="123">
        <v>0</v>
      </c>
      <c r="G1239" s="123">
        <v>104</v>
      </c>
      <c r="H1239" s="123">
        <v>0</v>
      </c>
      <c r="I1239" s="123">
        <v>138</v>
      </c>
      <c r="J1239" s="123">
        <v>0</v>
      </c>
      <c r="K1239" s="123">
        <v>2</v>
      </c>
      <c r="L1239" s="123">
        <v>0</v>
      </c>
      <c r="M1239" s="123">
        <v>0</v>
      </c>
      <c r="N1239" s="123">
        <v>0</v>
      </c>
      <c r="O1239" s="123">
        <v>0</v>
      </c>
      <c r="P1239" s="7" t="s">
        <v>13</v>
      </c>
      <c r="Q1239" s="9"/>
      <c r="R1239" s="1"/>
    </row>
    <row r="1240" spans="1:18" ht="13.5" thickBot="1" x14ac:dyDescent="0.25">
      <c r="A1240" s="123">
        <v>22</v>
      </c>
      <c r="B1240" s="123">
        <v>0</v>
      </c>
      <c r="C1240" s="123">
        <v>22</v>
      </c>
      <c r="D1240" s="123">
        <v>0</v>
      </c>
      <c r="E1240" s="123">
        <v>0</v>
      </c>
      <c r="F1240" s="123">
        <v>0</v>
      </c>
      <c r="G1240" s="123">
        <v>10</v>
      </c>
      <c r="H1240" s="123">
        <v>0</v>
      </c>
      <c r="I1240" s="123">
        <v>8</v>
      </c>
      <c r="J1240" s="123">
        <v>0</v>
      </c>
      <c r="K1240" s="123">
        <v>0</v>
      </c>
      <c r="L1240" s="123">
        <v>0</v>
      </c>
      <c r="M1240" s="123">
        <v>0</v>
      </c>
      <c r="N1240" s="123">
        <v>0</v>
      </c>
      <c r="O1240" s="123">
        <v>4</v>
      </c>
      <c r="P1240" s="7" t="s">
        <v>163</v>
      </c>
      <c r="Q1240" s="124"/>
      <c r="R1240" s="1"/>
    </row>
    <row r="1241" spans="1:18" ht="13.5" thickBot="1" x14ac:dyDescent="0.25">
      <c r="A1241" s="123">
        <v>206</v>
      </c>
      <c r="B1241" s="123">
        <v>0</v>
      </c>
      <c r="C1241" s="123">
        <v>206</v>
      </c>
      <c r="D1241" s="123">
        <v>0</v>
      </c>
      <c r="E1241" s="123">
        <v>2</v>
      </c>
      <c r="F1241" s="123">
        <v>0</v>
      </c>
      <c r="G1241" s="123">
        <v>41</v>
      </c>
      <c r="H1241" s="123">
        <v>0</v>
      </c>
      <c r="I1241" s="123">
        <v>92</v>
      </c>
      <c r="J1241" s="123">
        <v>0</v>
      </c>
      <c r="K1241" s="123">
        <v>0</v>
      </c>
      <c r="L1241" s="123">
        <v>0</v>
      </c>
      <c r="M1241" s="123">
        <v>0</v>
      </c>
      <c r="N1241" s="123">
        <v>0</v>
      </c>
      <c r="O1241" s="123">
        <v>71</v>
      </c>
      <c r="P1241" s="7" t="s">
        <v>162</v>
      </c>
      <c r="Q1241" s="124" t="s">
        <v>326</v>
      </c>
      <c r="R1241" s="1"/>
    </row>
    <row r="1242" spans="1:18" ht="13.5" thickBot="1" x14ac:dyDescent="0.25">
      <c r="A1242" s="123">
        <v>228</v>
      </c>
      <c r="B1242" s="123">
        <v>0</v>
      </c>
      <c r="C1242" s="123">
        <v>228</v>
      </c>
      <c r="D1242" s="123">
        <v>0</v>
      </c>
      <c r="E1242" s="123">
        <v>2</v>
      </c>
      <c r="F1242" s="123">
        <v>0</v>
      </c>
      <c r="G1242" s="123">
        <v>51</v>
      </c>
      <c r="H1242" s="123">
        <v>0</v>
      </c>
      <c r="I1242" s="123">
        <v>100</v>
      </c>
      <c r="J1242" s="123">
        <v>0</v>
      </c>
      <c r="K1242" s="123">
        <v>0</v>
      </c>
      <c r="L1242" s="123">
        <v>0</v>
      </c>
      <c r="M1242" s="123">
        <v>0</v>
      </c>
      <c r="N1242" s="123">
        <v>0</v>
      </c>
      <c r="O1242" s="123">
        <v>75</v>
      </c>
      <c r="P1242" s="7" t="s">
        <v>13</v>
      </c>
      <c r="Q1242" s="9"/>
      <c r="R1242" s="1"/>
    </row>
    <row r="1243" spans="1:18" ht="13.5" thickBot="1" x14ac:dyDescent="0.25">
      <c r="A1243" s="123">
        <v>15</v>
      </c>
      <c r="B1243" s="123">
        <v>7</v>
      </c>
      <c r="C1243" s="123">
        <v>8</v>
      </c>
      <c r="D1243" s="123">
        <v>0</v>
      </c>
      <c r="E1243" s="123">
        <v>0</v>
      </c>
      <c r="F1243" s="123">
        <v>4</v>
      </c>
      <c r="G1243" s="123">
        <v>3</v>
      </c>
      <c r="H1243" s="123">
        <v>2</v>
      </c>
      <c r="I1243" s="123">
        <v>4</v>
      </c>
      <c r="J1243" s="123">
        <v>1</v>
      </c>
      <c r="K1243" s="123">
        <v>1</v>
      </c>
      <c r="L1243" s="123">
        <v>0</v>
      </c>
      <c r="M1243" s="123">
        <v>0</v>
      </c>
      <c r="N1243" s="123">
        <v>0</v>
      </c>
      <c r="O1243" s="123">
        <v>0</v>
      </c>
      <c r="P1243" s="7" t="s">
        <v>163</v>
      </c>
      <c r="Q1243" s="124"/>
      <c r="R1243" s="1"/>
    </row>
    <row r="1244" spans="1:18" ht="13.5" thickBot="1" x14ac:dyDescent="0.25">
      <c r="A1244" s="123">
        <v>101</v>
      </c>
      <c r="B1244" s="123">
        <v>55</v>
      </c>
      <c r="C1244" s="123">
        <v>46</v>
      </c>
      <c r="D1244" s="123">
        <v>0</v>
      </c>
      <c r="E1244" s="123">
        <v>0</v>
      </c>
      <c r="F1244" s="123">
        <v>24</v>
      </c>
      <c r="G1244" s="123">
        <v>9</v>
      </c>
      <c r="H1244" s="123">
        <v>27</v>
      </c>
      <c r="I1244" s="123">
        <v>27</v>
      </c>
      <c r="J1244" s="123">
        <v>4</v>
      </c>
      <c r="K1244" s="123">
        <v>10</v>
      </c>
      <c r="L1244" s="123">
        <v>0</v>
      </c>
      <c r="M1244" s="123">
        <v>0</v>
      </c>
      <c r="N1244" s="123">
        <v>0</v>
      </c>
      <c r="O1244" s="123">
        <v>0</v>
      </c>
      <c r="P1244" s="7" t="s">
        <v>162</v>
      </c>
      <c r="Q1244" s="124" t="s">
        <v>528</v>
      </c>
      <c r="R1244" s="1"/>
    </row>
    <row r="1245" spans="1:18" ht="13.5" thickBot="1" x14ac:dyDescent="0.25">
      <c r="A1245" s="123">
        <v>116</v>
      </c>
      <c r="B1245" s="123">
        <v>62</v>
      </c>
      <c r="C1245" s="123">
        <v>54</v>
      </c>
      <c r="D1245" s="123">
        <v>0</v>
      </c>
      <c r="E1245" s="123">
        <v>0</v>
      </c>
      <c r="F1245" s="123">
        <v>28</v>
      </c>
      <c r="G1245" s="123">
        <v>12</v>
      </c>
      <c r="H1245" s="123">
        <v>29</v>
      </c>
      <c r="I1245" s="123">
        <v>31</v>
      </c>
      <c r="J1245" s="123">
        <v>5</v>
      </c>
      <c r="K1245" s="123">
        <v>11</v>
      </c>
      <c r="L1245" s="123">
        <v>0</v>
      </c>
      <c r="M1245" s="123">
        <v>0</v>
      </c>
      <c r="N1245" s="123">
        <v>0</v>
      </c>
      <c r="O1245" s="123">
        <v>0</v>
      </c>
      <c r="P1245" s="7" t="s">
        <v>13</v>
      </c>
      <c r="Q1245" s="9"/>
      <c r="R1245" s="1"/>
    </row>
    <row r="1246" spans="1:18" ht="13.5" thickBot="1" x14ac:dyDescent="0.25">
      <c r="A1246" s="123">
        <v>91</v>
      </c>
      <c r="B1246" s="123">
        <v>7</v>
      </c>
      <c r="C1246" s="123">
        <v>84</v>
      </c>
      <c r="D1246" s="123">
        <v>0</v>
      </c>
      <c r="E1246" s="123">
        <v>6</v>
      </c>
      <c r="F1246" s="123">
        <v>4</v>
      </c>
      <c r="G1246" s="123">
        <v>32</v>
      </c>
      <c r="H1246" s="123">
        <v>2</v>
      </c>
      <c r="I1246" s="123">
        <v>40</v>
      </c>
      <c r="J1246" s="123">
        <v>1</v>
      </c>
      <c r="K1246" s="123">
        <v>2</v>
      </c>
      <c r="L1246" s="123">
        <v>0</v>
      </c>
      <c r="M1246" s="123">
        <v>0</v>
      </c>
      <c r="N1246" s="123">
        <v>0</v>
      </c>
      <c r="O1246" s="123">
        <v>4</v>
      </c>
      <c r="P1246" s="7" t="s">
        <v>163</v>
      </c>
      <c r="Q1246" s="3"/>
      <c r="R1246" s="1"/>
    </row>
    <row r="1247" spans="1:18" ht="13.5" thickBot="1" x14ac:dyDescent="0.25">
      <c r="A1247" s="123">
        <v>503</v>
      </c>
      <c r="B1247" s="123">
        <v>55</v>
      </c>
      <c r="C1247" s="123">
        <v>448</v>
      </c>
      <c r="D1247" s="123">
        <v>0</v>
      </c>
      <c r="E1247" s="123">
        <v>2</v>
      </c>
      <c r="F1247" s="123">
        <v>24</v>
      </c>
      <c r="G1247" s="123">
        <v>135</v>
      </c>
      <c r="H1247" s="123">
        <v>27</v>
      </c>
      <c r="I1247" s="123">
        <v>229</v>
      </c>
      <c r="J1247" s="123">
        <v>4</v>
      </c>
      <c r="K1247" s="123">
        <v>11</v>
      </c>
      <c r="L1247" s="123">
        <v>0</v>
      </c>
      <c r="M1247" s="123">
        <v>0</v>
      </c>
      <c r="N1247" s="123">
        <v>0</v>
      </c>
      <c r="O1247" s="123">
        <v>71</v>
      </c>
      <c r="P1247" s="7" t="s">
        <v>162</v>
      </c>
      <c r="Q1247" s="11" t="s">
        <v>211</v>
      </c>
      <c r="R1247" s="1"/>
    </row>
    <row r="1248" spans="1:18" ht="13.5" thickBot="1" x14ac:dyDescent="0.25">
      <c r="A1248" s="123">
        <v>594</v>
      </c>
      <c r="B1248" s="123">
        <v>62</v>
      </c>
      <c r="C1248" s="123">
        <v>532</v>
      </c>
      <c r="D1248" s="123">
        <v>0</v>
      </c>
      <c r="E1248" s="123">
        <v>8</v>
      </c>
      <c r="F1248" s="123">
        <v>28</v>
      </c>
      <c r="G1248" s="123">
        <v>167</v>
      </c>
      <c r="H1248" s="123">
        <v>29</v>
      </c>
      <c r="I1248" s="123">
        <v>269</v>
      </c>
      <c r="J1248" s="123">
        <v>5</v>
      </c>
      <c r="K1248" s="123">
        <v>13</v>
      </c>
      <c r="L1248" s="123">
        <v>0</v>
      </c>
      <c r="M1248" s="123">
        <v>0</v>
      </c>
      <c r="N1248" s="123">
        <v>0</v>
      </c>
      <c r="O1248" s="123">
        <v>75</v>
      </c>
      <c r="P1248" s="7" t="s">
        <v>13</v>
      </c>
      <c r="Q1248" s="5"/>
      <c r="R1248" s="1"/>
    </row>
    <row r="1249" spans="1:18" ht="18" customHeight="1" x14ac:dyDescent="0.2">
      <c r="A1249" s="207"/>
      <c r="B1249" s="207"/>
      <c r="C1249" s="207"/>
      <c r="D1249" s="207"/>
      <c r="E1249" s="207"/>
      <c r="F1249" s="207"/>
      <c r="G1249" s="207"/>
      <c r="H1249" s="207"/>
      <c r="I1249" s="207"/>
      <c r="J1249" s="207"/>
      <c r="K1249" s="207"/>
      <c r="L1249" s="207"/>
      <c r="M1249" s="207"/>
      <c r="N1249" s="207"/>
      <c r="O1249" s="207"/>
      <c r="P1249" s="207"/>
      <c r="Q1249" s="207"/>
      <c r="R1249" s="1"/>
    </row>
    <row r="1250" spans="1:18" ht="18" customHeight="1" x14ac:dyDescent="0.2">
      <c r="A1250" s="159" t="s">
        <v>616</v>
      </c>
      <c r="B1250" s="159"/>
      <c r="C1250" s="159"/>
      <c r="D1250" s="159"/>
      <c r="E1250" s="159"/>
      <c r="F1250" s="159"/>
      <c r="G1250" s="159"/>
      <c r="H1250" s="159"/>
      <c r="I1250" s="159"/>
      <c r="J1250" s="159"/>
      <c r="K1250" s="159"/>
      <c r="L1250" s="159"/>
      <c r="M1250" s="159"/>
      <c r="N1250" s="159"/>
      <c r="O1250" s="159"/>
      <c r="P1250" s="159"/>
      <c r="Q1250" s="159"/>
      <c r="R1250" s="1"/>
    </row>
    <row r="1251" spans="1:18" ht="18" customHeight="1" thickBot="1" x14ac:dyDescent="0.25">
      <c r="A1251" s="160" t="s">
        <v>617</v>
      </c>
      <c r="B1251" s="160"/>
      <c r="C1251" s="160"/>
      <c r="D1251" s="160"/>
      <c r="E1251" s="160"/>
      <c r="F1251" s="160"/>
      <c r="G1251" s="160"/>
      <c r="H1251" s="160"/>
      <c r="I1251" s="160"/>
      <c r="J1251" s="160"/>
      <c r="K1251" s="160"/>
      <c r="L1251" s="160"/>
      <c r="M1251" s="160"/>
      <c r="N1251" s="160"/>
      <c r="O1251" s="160"/>
      <c r="P1251" s="160"/>
      <c r="Q1251" s="160"/>
      <c r="R1251" s="1"/>
    </row>
    <row r="1252" spans="1:18" ht="13.5" thickBot="1" x14ac:dyDescent="0.25">
      <c r="A1252" s="204" t="s">
        <v>5</v>
      </c>
      <c r="B1252" s="204"/>
      <c r="C1252" s="204"/>
      <c r="D1252" s="204" t="s">
        <v>57</v>
      </c>
      <c r="E1252" s="204"/>
      <c r="F1252" s="204" t="s">
        <v>609</v>
      </c>
      <c r="G1252" s="204"/>
      <c r="H1252" s="204" t="s">
        <v>610</v>
      </c>
      <c r="I1252" s="204"/>
      <c r="J1252" s="204" t="s">
        <v>611</v>
      </c>
      <c r="K1252" s="204"/>
      <c r="L1252" s="204" t="s">
        <v>612</v>
      </c>
      <c r="M1252" s="204"/>
      <c r="N1252" s="204" t="s">
        <v>613</v>
      </c>
      <c r="O1252" s="204"/>
      <c r="P1252" s="205" t="s">
        <v>614</v>
      </c>
      <c r="Q1252" s="47" t="s">
        <v>161</v>
      </c>
      <c r="R1252" s="1"/>
    </row>
    <row r="1253" spans="1:18" ht="13.5" thickBot="1" x14ac:dyDescent="0.25">
      <c r="A1253" s="47" t="s">
        <v>216</v>
      </c>
      <c r="B1253" s="47" t="s">
        <v>11</v>
      </c>
      <c r="C1253" s="47" t="s">
        <v>10</v>
      </c>
      <c r="D1253" s="47" t="s">
        <v>11</v>
      </c>
      <c r="E1253" s="47" t="s">
        <v>10</v>
      </c>
      <c r="F1253" s="47" t="s">
        <v>11</v>
      </c>
      <c r="G1253" s="47" t="s">
        <v>10</v>
      </c>
      <c r="H1253" s="47" t="s">
        <v>11</v>
      </c>
      <c r="I1253" s="47" t="s">
        <v>10</v>
      </c>
      <c r="J1253" s="47" t="s">
        <v>11</v>
      </c>
      <c r="K1253" s="47" t="s">
        <v>10</v>
      </c>
      <c r="L1253" s="47" t="s">
        <v>11</v>
      </c>
      <c r="M1253" s="47" t="s">
        <v>10</v>
      </c>
      <c r="N1253" s="47" t="s">
        <v>11</v>
      </c>
      <c r="O1253" s="47" t="s">
        <v>10</v>
      </c>
      <c r="P1253" s="206"/>
      <c r="Q1253" s="33" t="s">
        <v>171</v>
      </c>
      <c r="R1253" s="1"/>
    </row>
    <row r="1254" spans="1:18" ht="13.5" thickBot="1" x14ac:dyDescent="0.25">
      <c r="A1254" s="123">
        <v>395</v>
      </c>
      <c r="B1254" s="123">
        <v>53</v>
      </c>
      <c r="C1254" s="123">
        <v>342</v>
      </c>
      <c r="D1254" s="123">
        <v>0</v>
      </c>
      <c r="E1254" s="123">
        <v>0</v>
      </c>
      <c r="F1254" s="123">
        <v>7</v>
      </c>
      <c r="G1254" s="123">
        <v>38</v>
      </c>
      <c r="H1254" s="123">
        <v>40</v>
      </c>
      <c r="I1254" s="123">
        <v>252</v>
      </c>
      <c r="J1254" s="123">
        <v>5</v>
      </c>
      <c r="K1254" s="123">
        <v>46</v>
      </c>
      <c r="L1254" s="123">
        <v>1</v>
      </c>
      <c r="M1254" s="123">
        <v>6</v>
      </c>
      <c r="N1254" s="123">
        <v>0</v>
      </c>
      <c r="O1254" s="123">
        <v>0</v>
      </c>
      <c r="P1254" s="7" t="s">
        <v>163</v>
      </c>
      <c r="Q1254" s="124"/>
      <c r="R1254" s="1"/>
    </row>
    <row r="1255" spans="1:18" ht="13.5" thickBot="1" x14ac:dyDescent="0.25">
      <c r="A1255" s="123">
        <v>119</v>
      </c>
      <c r="B1255" s="123">
        <v>6</v>
      </c>
      <c r="C1255" s="123">
        <v>113</v>
      </c>
      <c r="D1255" s="123">
        <v>0</v>
      </c>
      <c r="E1255" s="123">
        <v>0</v>
      </c>
      <c r="F1255" s="123">
        <v>0</v>
      </c>
      <c r="G1255" s="123">
        <v>0</v>
      </c>
      <c r="H1255" s="123">
        <v>3</v>
      </c>
      <c r="I1255" s="123">
        <v>83</v>
      </c>
      <c r="J1255" s="123">
        <v>3</v>
      </c>
      <c r="K1255" s="123">
        <v>27</v>
      </c>
      <c r="L1255" s="123">
        <v>0</v>
      </c>
      <c r="M1255" s="123">
        <v>2</v>
      </c>
      <c r="N1255" s="123">
        <v>0</v>
      </c>
      <c r="O1255" s="123">
        <v>1</v>
      </c>
      <c r="P1255" s="7" t="s">
        <v>162</v>
      </c>
      <c r="Q1255" s="124" t="s">
        <v>171</v>
      </c>
      <c r="R1255" s="1"/>
    </row>
    <row r="1256" spans="1:18" ht="13.5" thickBot="1" x14ac:dyDescent="0.25">
      <c r="A1256" s="123">
        <v>514</v>
      </c>
      <c r="B1256" s="123">
        <v>59</v>
      </c>
      <c r="C1256" s="123">
        <v>455</v>
      </c>
      <c r="D1256" s="123">
        <v>0</v>
      </c>
      <c r="E1256" s="123">
        <v>0</v>
      </c>
      <c r="F1256" s="123">
        <v>7</v>
      </c>
      <c r="G1256" s="123">
        <v>38</v>
      </c>
      <c r="H1256" s="123">
        <v>43</v>
      </c>
      <c r="I1256" s="123">
        <v>335</v>
      </c>
      <c r="J1256" s="123">
        <v>8</v>
      </c>
      <c r="K1256" s="123">
        <v>73</v>
      </c>
      <c r="L1256" s="123">
        <v>1</v>
      </c>
      <c r="M1256" s="123">
        <v>8</v>
      </c>
      <c r="N1256" s="123">
        <v>0</v>
      </c>
      <c r="O1256" s="123">
        <v>1</v>
      </c>
      <c r="P1256" s="7" t="s">
        <v>13</v>
      </c>
      <c r="Q1256" s="9"/>
      <c r="R1256" s="1"/>
    </row>
    <row r="1257" spans="1:18" ht="13.5" thickBot="1" x14ac:dyDescent="0.25">
      <c r="A1257" s="123">
        <v>395</v>
      </c>
      <c r="B1257" s="123">
        <v>53</v>
      </c>
      <c r="C1257" s="123">
        <v>342</v>
      </c>
      <c r="D1257" s="123">
        <v>0</v>
      </c>
      <c r="E1257" s="123">
        <v>0</v>
      </c>
      <c r="F1257" s="123">
        <v>7</v>
      </c>
      <c r="G1257" s="123">
        <v>38</v>
      </c>
      <c r="H1257" s="123">
        <v>40</v>
      </c>
      <c r="I1257" s="123">
        <v>252</v>
      </c>
      <c r="J1257" s="123">
        <v>5</v>
      </c>
      <c r="K1257" s="123">
        <v>46</v>
      </c>
      <c r="L1257" s="123">
        <v>1</v>
      </c>
      <c r="M1257" s="123">
        <v>6</v>
      </c>
      <c r="N1257" s="123">
        <v>0</v>
      </c>
      <c r="O1257" s="123">
        <v>0</v>
      </c>
      <c r="P1257" s="7" t="s">
        <v>163</v>
      </c>
      <c r="Q1257" s="3"/>
      <c r="R1257" s="1"/>
    </row>
    <row r="1258" spans="1:18" ht="13.5" thickBot="1" x14ac:dyDescent="0.25">
      <c r="A1258" s="123">
        <v>119</v>
      </c>
      <c r="B1258" s="123">
        <v>6</v>
      </c>
      <c r="C1258" s="123">
        <v>113</v>
      </c>
      <c r="D1258" s="123">
        <v>0</v>
      </c>
      <c r="E1258" s="123">
        <v>0</v>
      </c>
      <c r="F1258" s="123">
        <v>0</v>
      </c>
      <c r="G1258" s="123">
        <v>0</v>
      </c>
      <c r="H1258" s="123">
        <v>3</v>
      </c>
      <c r="I1258" s="123">
        <v>83</v>
      </c>
      <c r="J1258" s="123">
        <v>3</v>
      </c>
      <c r="K1258" s="123">
        <v>27</v>
      </c>
      <c r="L1258" s="123">
        <v>0</v>
      </c>
      <c r="M1258" s="123">
        <v>2</v>
      </c>
      <c r="N1258" s="123">
        <v>0</v>
      </c>
      <c r="O1258" s="123">
        <v>1</v>
      </c>
      <c r="P1258" s="7" t="s">
        <v>162</v>
      </c>
      <c r="Q1258" s="11" t="s">
        <v>211</v>
      </c>
      <c r="R1258" s="1"/>
    </row>
    <row r="1259" spans="1:18" ht="13.5" thickBot="1" x14ac:dyDescent="0.25">
      <c r="A1259" s="123">
        <v>514</v>
      </c>
      <c r="B1259" s="123">
        <v>59</v>
      </c>
      <c r="C1259" s="123">
        <v>455</v>
      </c>
      <c r="D1259" s="123">
        <v>0</v>
      </c>
      <c r="E1259" s="123">
        <v>0</v>
      </c>
      <c r="F1259" s="123">
        <v>7</v>
      </c>
      <c r="G1259" s="123">
        <v>38</v>
      </c>
      <c r="H1259" s="123">
        <v>43</v>
      </c>
      <c r="I1259" s="123">
        <v>335</v>
      </c>
      <c r="J1259" s="123">
        <v>8</v>
      </c>
      <c r="K1259" s="123">
        <v>73</v>
      </c>
      <c r="L1259" s="123">
        <v>1</v>
      </c>
      <c r="M1259" s="123">
        <v>8</v>
      </c>
      <c r="N1259" s="123">
        <v>0</v>
      </c>
      <c r="O1259" s="123">
        <v>1</v>
      </c>
      <c r="P1259" s="7" t="s">
        <v>13</v>
      </c>
      <c r="Q1259" s="5"/>
      <c r="R1259" s="1"/>
    </row>
    <row r="1260" spans="1:18" ht="18" customHeight="1" x14ac:dyDescent="0.2">
      <c r="A1260" s="207"/>
      <c r="B1260" s="207"/>
      <c r="C1260" s="207"/>
      <c r="D1260" s="207"/>
      <c r="E1260" s="207"/>
      <c r="F1260" s="207"/>
      <c r="G1260" s="207"/>
      <c r="H1260" s="207"/>
      <c r="I1260" s="207"/>
      <c r="J1260" s="207"/>
      <c r="K1260" s="207"/>
      <c r="L1260" s="207"/>
      <c r="M1260" s="207"/>
      <c r="N1260" s="207"/>
      <c r="O1260" s="207"/>
      <c r="P1260" s="207"/>
      <c r="Q1260" s="207"/>
      <c r="R1260" s="1"/>
    </row>
    <row r="1261" spans="1:18" ht="18" customHeight="1" x14ac:dyDescent="0.2">
      <c r="A1261" s="159" t="s">
        <v>616</v>
      </c>
      <c r="B1261" s="159"/>
      <c r="C1261" s="159"/>
      <c r="D1261" s="159"/>
      <c r="E1261" s="159"/>
      <c r="F1261" s="159"/>
      <c r="G1261" s="159"/>
      <c r="H1261" s="159"/>
      <c r="I1261" s="159"/>
      <c r="J1261" s="159"/>
      <c r="K1261" s="159"/>
      <c r="L1261" s="159"/>
      <c r="M1261" s="159"/>
      <c r="N1261" s="159"/>
      <c r="O1261" s="159"/>
      <c r="P1261" s="159"/>
      <c r="Q1261" s="159"/>
      <c r="R1261" s="1"/>
    </row>
    <row r="1262" spans="1:18" ht="18" customHeight="1" thickBot="1" x14ac:dyDescent="0.25">
      <c r="A1262" s="160" t="s">
        <v>617</v>
      </c>
      <c r="B1262" s="160"/>
      <c r="C1262" s="160"/>
      <c r="D1262" s="160"/>
      <c r="E1262" s="160"/>
      <c r="F1262" s="160"/>
      <c r="G1262" s="160"/>
      <c r="H1262" s="160"/>
      <c r="I1262" s="160"/>
      <c r="J1262" s="160"/>
      <c r="K1262" s="160"/>
      <c r="L1262" s="160"/>
      <c r="M1262" s="160"/>
      <c r="N1262" s="160"/>
      <c r="O1262" s="160"/>
      <c r="P1262" s="160"/>
      <c r="Q1262" s="160"/>
      <c r="R1262" s="1"/>
    </row>
    <row r="1263" spans="1:18" ht="13.5" thickBot="1" x14ac:dyDescent="0.25">
      <c r="A1263" s="204" t="s">
        <v>5</v>
      </c>
      <c r="B1263" s="204"/>
      <c r="C1263" s="204"/>
      <c r="D1263" s="204" t="s">
        <v>57</v>
      </c>
      <c r="E1263" s="204"/>
      <c r="F1263" s="204" t="s">
        <v>609</v>
      </c>
      <c r="G1263" s="204"/>
      <c r="H1263" s="204" t="s">
        <v>610</v>
      </c>
      <c r="I1263" s="204"/>
      <c r="J1263" s="204" t="s">
        <v>611</v>
      </c>
      <c r="K1263" s="204"/>
      <c r="L1263" s="204" t="s">
        <v>612</v>
      </c>
      <c r="M1263" s="204"/>
      <c r="N1263" s="204" t="s">
        <v>613</v>
      </c>
      <c r="O1263" s="204"/>
      <c r="P1263" s="205" t="s">
        <v>614</v>
      </c>
      <c r="Q1263" s="47" t="s">
        <v>161</v>
      </c>
      <c r="R1263" s="1"/>
    </row>
    <row r="1264" spans="1:18" ht="13.5" thickBot="1" x14ac:dyDescent="0.25">
      <c r="A1264" s="47" t="s">
        <v>216</v>
      </c>
      <c r="B1264" s="47" t="s">
        <v>11</v>
      </c>
      <c r="C1264" s="47" t="s">
        <v>10</v>
      </c>
      <c r="D1264" s="47" t="s">
        <v>11</v>
      </c>
      <c r="E1264" s="47" t="s">
        <v>10</v>
      </c>
      <c r="F1264" s="47" t="s">
        <v>11</v>
      </c>
      <c r="G1264" s="47" t="s">
        <v>10</v>
      </c>
      <c r="H1264" s="47" t="s">
        <v>11</v>
      </c>
      <c r="I1264" s="47" t="s">
        <v>10</v>
      </c>
      <c r="J1264" s="47" t="s">
        <v>11</v>
      </c>
      <c r="K1264" s="47" t="s">
        <v>10</v>
      </c>
      <c r="L1264" s="47" t="s">
        <v>11</v>
      </c>
      <c r="M1264" s="47" t="s">
        <v>10</v>
      </c>
      <c r="N1264" s="47" t="s">
        <v>11</v>
      </c>
      <c r="O1264" s="47" t="s">
        <v>10</v>
      </c>
      <c r="P1264" s="206"/>
      <c r="Q1264" s="33" t="s">
        <v>173</v>
      </c>
      <c r="R1264" s="1"/>
    </row>
    <row r="1265" spans="1:18" ht="13.5" thickBot="1" x14ac:dyDescent="0.25">
      <c r="A1265" s="123">
        <v>34</v>
      </c>
      <c r="B1265" s="123">
        <v>29</v>
      </c>
      <c r="C1265" s="123">
        <v>5</v>
      </c>
      <c r="D1265" s="123">
        <v>0</v>
      </c>
      <c r="E1265" s="123">
        <v>0</v>
      </c>
      <c r="F1265" s="123">
        <v>8</v>
      </c>
      <c r="G1265" s="123">
        <v>0</v>
      </c>
      <c r="H1265" s="123">
        <v>15</v>
      </c>
      <c r="I1265" s="123">
        <v>2</v>
      </c>
      <c r="J1265" s="123">
        <v>5</v>
      </c>
      <c r="K1265" s="123">
        <v>3</v>
      </c>
      <c r="L1265" s="123">
        <v>1</v>
      </c>
      <c r="M1265" s="123">
        <v>0</v>
      </c>
      <c r="N1265" s="123">
        <v>0</v>
      </c>
      <c r="O1265" s="123">
        <v>0</v>
      </c>
      <c r="P1265" s="7" t="s">
        <v>163</v>
      </c>
      <c r="Q1265" s="124"/>
      <c r="R1265" s="1"/>
    </row>
    <row r="1266" spans="1:18" ht="13.5" thickBot="1" x14ac:dyDescent="0.25">
      <c r="A1266" s="123">
        <v>149</v>
      </c>
      <c r="B1266" s="123">
        <v>96</v>
      </c>
      <c r="C1266" s="123">
        <v>53</v>
      </c>
      <c r="D1266" s="123">
        <v>4</v>
      </c>
      <c r="E1266" s="123">
        <v>0</v>
      </c>
      <c r="F1266" s="123">
        <v>4</v>
      </c>
      <c r="G1266" s="123">
        <v>0</v>
      </c>
      <c r="H1266" s="123">
        <v>71</v>
      </c>
      <c r="I1266" s="123">
        <v>33</v>
      </c>
      <c r="J1266" s="123">
        <v>16</v>
      </c>
      <c r="K1266" s="123">
        <v>16</v>
      </c>
      <c r="L1266" s="123">
        <v>1</v>
      </c>
      <c r="M1266" s="123">
        <v>2</v>
      </c>
      <c r="N1266" s="123">
        <v>0</v>
      </c>
      <c r="O1266" s="123">
        <v>2</v>
      </c>
      <c r="P1266" s="7" t="s">
        <v>162</v>
      </c>
      <c r="Q1266" s="124" t="s">
        <v>138</v>
      </c>
      <c r="R1266" s="1"/>
    </row>
    <row r="1267" spans="1:18" ht="13.5" thickBot="1" x14ac:dyDescent="0.25">
      <c r="A1267" s="123">
        <v>183</v>
      </c>
      <c r="B1267" s="123">
        <v>125</v>
      </c>
      <c r="C1267" s="123">
        <v>58</v>
      </c>
      <c r="D1267" s="123">
        <v>4</v>
      </c>
      <c r="E1267" s="123">
        <v>0</v>
      </c>
      <c r="F1267" s="123">
        <v>12</v>
      </c>
      <c r="G1267" s="123">
        <v>0</v>
      </c>
      <c r="H1267" s="123">
        <v>86</v>
      </c>
      <c r="I1267" s="123">
        <v>35</v>
      </c>
      <c r="J1267" s="123">
        <v>21</v>
      </c>
      <c r="K1267" s="123">
        <v>19</v>
      </c>
      <c r="L1267" s="123">
        <v>2</v>
      </c>
      <c r="M1267" s="123">
        <v>2</v>
      </c>
      <c r="N1267" s="123">
        <v>0</v>
      </c>
      <c r="O1267" s="123">
        <v>2</v>
      </c>
      <c r="P1267" s="7" t="s">
        <v>13</v>
      </c>
      <c r="Q1267" s="9"/>
      <c r="R1267" s="1"/>
    </row>
    <row r="1268" spans="1:18" ht="13.5" thickBot="1" x14ac:dyDescent="0.25">
      <c r="A1268" s="123">
        <v>159</v>
      </c>
      <c r="B1268" s="123">
        <v>54</v>
      </c>
      <c r="C1268" s="123">
        <v>105</v>
      </c>
      <c r="D1268" s="123">
        <v>0</v>
      </c>
      <c r="E1268" s="123">
        <v>0</v>
      </c>
      <c r="F1268" s="123">
        <v>19</v>
      </c>
      <c r="G1268" s="123">
        <v>5</v>
      </c>
      <c r="H1268" s="123">
        <v>24</v>
      </c>
      <c r="I1268" s="123">
        <v>42</v>
      </c>
      <c r="J1268" s="123">
        <v>9</v>
      </c>
      <c r="K1268" s="123">
        <v>35</v>
      </c>
      <c r="L1268" s="123">
        <v>0</v>
      </c>
      <c r="M1268" s="123">
        <v>12</v>
      </c>
      <c r="N1268" s="123">
        <v>2</v>
      </c>
      <c r="O1268" s="123">
        <v>11</v>
      </c>
      <c r="P1268" s="7" t="s">
        <v>163</v>
      </c>
      <c r="Q1268" s="124"/>
      <c r="R1268" s="1"/>
    </row>
    <row r="1269" spans="1:18" ht="13.5" thickBot="1" x14ac:dyDescent="0.25">
      <c r="A1269" s="123">
        <v>251</v>
      </c>
      <c r="B1269" s="123">
        <v>105</v>
      </c>
      <c r="C1269" s="123">
        <v>146</v>
      </c>
      <c r="D1269" s="123">
        <v>0</v>
      </c>
      <c r="E1269" s="123">
        <v>0</v>
      </c>
      <c r="F1269" s="123">
        <v>34</v>
      </c>
      <c r="G1269" s="123">
        <v>15</v>
      </c>
      <c r="H1269" s="123">
        <v>46</v>
      </c>
      <c r="I1269" s="123">
        <v>65</v>
      </c>
      <c r="J1269" s="123">
        <v>22</v>
      </c>
      <c r="K1269" s="123">
        <v>57</v>
      </c>
      <c r="L1269" s="123">
        <v>1</v>
      </c>
      <c r="M1269" s="123">
        <v>1</v>
      </c>
      <c r="N1269" s="123">
        <v>2</v>
      </c>
      <c r="O1269" s="123">
        <v>8</v>
      </c>
      <c r="P1269" s="7" t="s">
        <v>162</v>
      </c>
      <c r="Q1269" s="124" t="s">
        <v>139</v>
      </c>
      <c r="R1269" s="1"/>
    </row>
    <row r="1270" spans="1:18" ht="13.5" thickBot="1" x14ac:dyDescent="0.25">
      <c r="A1270" s="123">
        <v>410</v>
      </c>
      <c r="B1270" s="123">
        <v>159</v>
      </c>
      <c r="C1270" s="123">
        <v>251</v>
      </c>
      <c r="D1270" s="123">
        <v>0</v>
      </c>
      <c r="E1270" s="123">
        <v>0</v>
      </c>
      <c r="F1270" s="123">
        <v>53</v>
      </c>
      <c r="G1270" s="123">
        <v>20</v>
      </c>
      <c r="H1270" s="123">
        <v>70</v>
      </c>
      <c r="I1270" s="123">
        <v>107</v>
      </c>
      <c r="J1270" s="123">
        <v>31</v>
      </c>
      <c r="K1270" s="123">
        <v>92</v>
      </c>
      <c r="L1270" s="123">
        <v>1</v>
      </c>
      <c r="M1270" s="123">
        <v>13</v>
      </c>
      <c r="N1270" s="123">
        <v>4</v>
      </c>
      <c r="O1270" s="123">
        <v>19</v>
      </c>
      <c r="P1270" s="7" t="s">
        <v>13</v>
      </c>
      <c r="Q1270" s="9"/>
      <c r="R1270" s="1"/>
    </row>
    <row r="1271" spans="1:18" ht="13.5" thickBot="1" x14ac:dyDescent="0.25">
      <c r="A1271" s="123">
        <v>10</v>
      </c>
      <c r="B1271" s="123">
        <v>9</v>
      </c>
      <c r="C1271" s="123">
        <v>1</v>
      </c>
      <c r="D1271" s="123">
        <v>0</v>
      </c>
      <c r="E1271" s="123">
        <v>0</v>
      </c>
      <c r="F1271" s="123">
        <v>4</v>
      </c>
      <c r="G1271" s="123">
        <v>0</v>
      </c>
      <c r="H1271" s="123">
        <v>0</v>
      </c>
      <c r="I1271" s="123">
        <v>0</v>
      </c>
      <c r="J1271" s="123">
        <v>3</v>
      </c>
      <c r="K1271" s="123">
        <v>1</v>
      </c>
      <c r="L1271" s="123">
        <v>2</v>
      </c>
      <c r="M1271" s="123">
        <v>0</v>
      </c>
      <c r="N1271" s="123">
        <v>0</v>
      </c>
      <c r="O1271" s="123">
        <v>0</v>
      </c>
      <c r="P1271" s="7" t="s">
        <v>163</v>
      </c>
      <c r="Q1271" s="124"/>
      <c r="R1271" s="1"/>
    </row>
    <row r="1272" spans="1:18" ht="13.5" thickBot="1" x14ac:dyDescent="0.25">
      <c r="A1272" s="123">
        <v>99</v>
      </c>
      <c r="B1272" s="123">
        <v>45</v>
      </c>
      <c r="C1272" s="123">
        <v>54</v>
      </c>
      <c r="D1272" s="123">
        <v>28</v>
      </c>
      <c r="E1272" s="123">
        <v>30</v>
      </c>
      <c r="F1272" s="123">
        <v>5</v>
      </c>
      <c r="G1272" s="123">
        <v>3</v>
      </c>
      <c r="H1272" s="123">
        <v>0</v>
      </c>
      <c r="I1272" s="123">
        <v>0</v>
      </c>
      <c r="J1272" s="123">
        <v>11</v>
      </c>
      <c r="K1272" s="123">
        <v>17</v>
      </c>
      <c r="L1272" s="123">
        <v>1</v>
      </c>
      <c r="M1272" s="123">
        <v>2</v>
      </c>
      <c r="N1272" s="123">
        <v>0</v>
      </c>
      <c r="O1272" s="123">
        <v>2</v>
      </c>
      <c r="P1272" s="7" t="s">
        <v>162</v>
      </c>
      <c r="Q1272" s="124" t="s">
        <v>140</v>
      </c>
      <c r="R1272" s="1"/>
    </row>
    <row r="1273" spans="1:18" ht="13.5" thickBot="1" x14ac:dyDescent="0.25">
      <c r="A1273" s="123">
        <v>109</v>
      </c>
      <c r="B1273" s="123">
        <v>54</v>
      </c>
      <c r="C1273" s="123">
        <v>55</v>
      </c>
      <c r="D1273" s="123">
        <v>28</v>
      </c>
      <c r="E1273" s="123">
        <v>30</v>
      </c>
      <c r="F1273" s="123">
        <v>9</v>
      </c>
      <c r="G1273" s="123">
        <v>3</v>
      </c>
      <c r="H1273" s="123">
        <v>0</v>
      </c>
      <c r="I1273" s="123">
        <v>0</v>
      </c>
      <c r="J1273" s="123">
        <v>14</v>
      </c>
      <c r="K1273" s="123">
        <v>18</v>
      </c>
      <c r="L1273" s="123">
        <v>3</v>
      </c>
      <c r="M1273" s="123">
        <v>2</v>
      </c>
      <c r="N1273" s="123">
        <v>0</v>
      </c>
      <c r="O1273" s="123">
        <v>2</v>
      </c>
      <c r="P1273" s="7" t="s">
        <v>13</v>
      </c>
      <c r="Q1273" s="9"/>
      <c r="R1273" s="1"/>
    </row>
    <row r="1274" spans="1:18" ht="13.5" thickBot="1" x14ac:dyDescent="0.25">
      <c r="A1274" s="123">
        <v>16</v>
      </c>
      <c r="B1274" s="123">
        <v>14</v>
      </c>
      <c r="C1274" s="123">
        <v>2</v>
      </c>
      <c r="D1274" s="123">
        <v>0</v>
      </c>
      <c r="E1274" s="123">
        <v>0</v>
      </c>
      <c r="F1274" s="123">
        <v>0</v>
      </c>
      <c r="G1274" s="123">
        <v>0</v>
      </c>
      <c r="H1274" s="123">
        <v>8</v>
      </c>
      <c r="I1274" s="123">
        <v>1</v>
      </c>
      <c r="J1274" s="123">
        <v>6</v>
      </c>
      <c r="K1274" s="123">
        <v>1</v>
      </c>
      <c r="L1274" s="123">
        <v>0</v>
      </c>
      <c r="M1274" s="123">
        <v>0</v>
      </c>
      <c r="N1274" s="123">
        <v>0</v>
      </c>
      <c r="O1274" s="123">
        <v>0</v>
      </c>
      <c r="P1274" s="7" t="s">
        <v>163</v>
      </c>
      <c r="Q1274" s="124"/>
      <c r="R1274" s="1"/>
    </row>
    <row r="1275" spans="1:18" ht="13.5" thickBot="1" x14ac:dyDescent="0.25">
      <c r="A1275" s="123">
        <v>47</v>
      </c>
      <c r="B1275" s="123">
        <v>40</v>
      </c>
      <c r="C1275" s="123">
        <v>7</v>
      </c>
      <c r="D1275" s="123">
        <v>0</v>
      </c>
      <c r="E1275" s="123">
        <v>0</v>
      </c>
      <c r="F1275" s="123">
        <v>1</v>
      </c>
      <c r="G1275" s="123">
        <v>0</v>
      </c>
      <c r="H1275" s="123">
        <v>21</v>
      </c>
      <c r="I1275" s="123">
        <v>3</v>
      </c>
      <c r="J1275" s="123">
        <v>15</v>
      </c>
      <c r="K1275" s="123">
        <v>3</v>
      </c>
      <c r="L1275" s="123">
        <v>3</v>
      </c>
      <c r="M1275" s="123">
        <v>1</v>
      </c>
      <c r="N1275" s="123">
        <v>0</v>
      </c>
      <c r="O1275" s="123">
        <v>0</v>
      </c>
      <c r="P1275" s="7" t="s">
        <v>162</v>
      </c>
      <c r="Q1275" s="124" t="s">
        <v>141</v>
      </c>
      <c r="R1275" s="1"/>
    </row>
    <row r="1276" spans="1:18" ht="13.5" thickBot="1" x14ac:dyDescent="0.25">
      <c r="A1276" s="123">
        <v>63</v>
      </c>
      <c r="B1276" s="123">
        <v>54</v>
      </c>
      <c r="C1276" s="123">
        <v>9</v>
      </c>
      <c r="D1276" s="123">
        <v>0</v>
      </c>
      <c r="E1276" s="123">
        <v>0</v>
      </c>
      <c r="F1276" s="123">
        <v>1</v>
      </c>
      <c r="G1276" s="123">
        <v>0</v>
      </c>
      <c r="H1276" s="123">
        <v>29</v>
      </c>
      <c r="I1276" s="123">
        <v>4</v>
      </c>
      <c r="J1276" s="123">
        <v>21</v>
      </c>
      <c r="K1276" s="123">
        <v>4</v>
      </c>
      <c r="L1276" s="123">
        <v>3</v>
      </c>
      <c r="M1276" s="123">
        <v>1</v>
      </c>
      <c r="N1276" s="123">
        <v>0</v>
      </c>
      <c r="O1276" s="123">
        <v>0</v>
      </c>
      <c r="P1276" s="7" t="s">
        <v>13</v>
      </c>
      <c r="Q1276" s="9"/>
      <c r="R1276" s="1"/>
    </row>
    <row r="1277" spans="1:18" ht="13.5" thickBot="1" x14ac:dyDescent="0.25">
      <c r="A1277" s="123">
        <v>0</v>
      </c>
      <c r="B1277" s="123">
        <v>0</v>
      </c>
      <c r="C1277" s="123">
        <v>0</v>
      </c>
      <c r="D1277" s="123">
        <v>0</v>
      </c>
      <c r="E1277" s="123">
        <v>0</v>
      </c>
      <c r="F1277" s="123">
        <v>0</v>
      </c>
      <c r="G1277" s="123">
        <v>0</v>
      </c>
      <c r="H1277" s="123">
        <v>0</v>
      </c>
      <c r="I1277" s="123">
        <v>0</v>
      </c>
      <c r="J1277" s="123">
        <v>0</v>
      </c>
      <c r="K1277" s="123">
        <v>0</v>
      </c>
      <c r="L1277" s="123">
        <v>0</v>
      </c>
      <c r="M1277" s="123">
        <v>0</v>
      </c>
      <c r="N1277" s="123">
        <v>0</v>
      </c>
      <c r="O1277" s="123">
        <v>0</v>
      </c>
      <c r="P1277" s="7" t="s">
        <v>163</v>
      </c>
      <c r="Q1277" s="124"/>
      <c r="R1277" s="1"/>
    </row>
    <row r="1278" spans="1:18" ht="13.5" thickBot="1" x14ac:dyDescent="0.25">
      <c r="A1278" s="123">
        <v>116</v>
      </c>
      <c r="B1278" s="123">
        <v>38</v>
      </c>
      <c r="C1278" s="123">
        <v>78</v>
      </c>
      <c r="D1278" s="123">
        <v>25</v>
      </c>
      <c r="E1278" s="123">
        <v>29</v>
      </c>
      <c r="F1278" s="123">
        <v>1</v>
      </c>
      <c r="G1278" s="123">
        <v>0</v>
      </c>
      <c r="H1278" s="123">
        <v>10</v>
      </c>
      <c r="I1278" s="123">
        <v>44</v>
      </c>
      <c r="J1278" s="123">
        <v>0</v>
      </c>
      <c r="K1278" s="123">
        <v>3</v>
      </c>
      <c r="L1278" s="123">
        <v>1</v>
      </c>
      <c r="M1278" s="123">
        <v>1</v>
      </c>
      <c r="N1278" s="123">
        <v>1</v>
      </c>
      <c r="O1278" s="123">
        <v>1</v>
      </c>
      <c r="P1278" s="7" t="s">
        <v>162</v>
      </c>
      <c r="Q1278" s="124" t="s">
        <v>142</v>
      </c>
      <c r="R1278" s="1"/>
    </row>
    <row r="1279" spans="1:18" ht="13.5" thickBot="1" x14ac:dyDescent="0.25">
      <c r="A1279" s="123">
        <v>116</v>
      </c>
      <c r="B1279" s="123">
        <v>38</v>
      </c>
      <c r="C1279" s="123">
        <v>78</v>
      </c>
      <c r="D1279" s="123">
        <v>25</v>
      </c>
      <c r="E1279" s="123">
        <v>29</v>
      </c>
      <c r="F1279" s="123">
        <v>1</v>
      </c>
      <c r="G1279" s="123">
        <v>0</v>
      </c>
      <c r="H1279" s="123">
        <v>10</v>
      </c>
      <c r="I1279" s="123">
        <v>44</v>
      </c>
      <c r="J1279" s="123">
        <v>0</v>
      </c>
      <c r="K1279" s="123">
        <v>3</v>
      </c>
      <c r="L1279" s="123">
        <v>1</v>
      </c>
      <c r="M1279" s="123">
        <v>1</v>
      </c>
      <c r="N1279" s="123">
        <v>1</v>
      </c>
      <c r="O1279" s="123">
        <v>1</v>
      </c>
      <c r="P1279" s="7" t="s">
        <v>13</v>
      </c>
      <c r="Q1279" s="9"/>
      <c r="R1279" s="1"/>
    </row>
    <row r="1280" spans="1:18" ht="13.5" thickBot="1" x14ac:dyDescent="0.25">
      <c r="A1280" s="123">
        <v>0</v>
      </c>
      <c r="B1280" s="123">
        <v>0</v>
      </c>
      <c r="C1280" s="123">
        <v>0</v>
      </c>
      <c r="D1280" s="123">
        <v>0</v>
      </c>
      <c r="E1280" s="123">
        <v>0</v>
      </c>
      <c r="F1280" s="123">
        <v>0</v>
      </c>
      <c r="G1280" s="123">
        <v>0</v>
      </c>
      <c r="H1280" s="123">
        <v>0</v>
      </c>
      <c r="I1280" s="123">
        <v>0</v>
      </c>
      <c r="J1280" s="123">
        <v>0</v>
      </c>
      <c r="K1280" s="123">
        <v>0</v>
      </c>
      <c r="L1280" s="123">
        <v>0</v>
      </c>
      <c r="M1280" s="123">
        <v>0</v>
      </c>
      <c r="N1280" s="123">
        <v>0</v>
      </c>
      <c r="O1280" s="123">
        <v>0</v>
      </c>
      <c r="P1280" s="7" t="s">
        <v>163</v>
      </c>
      <c r="Q1280" s="124"/>
      <c r="R1280" s="1"/>
    </row>
    <row r="1281" spans="1:18" ht="13.5" thickBot="1" x14ac:dyDescent="0.25">
      <c r="A1281" s="123">
        <v>30</v>
      </c>
      <c r="B1281" s="123">
        <v>10</v>
      </c>
      <c r="C1281" s="123">
        <v>20</v>
      </c>
      <c r="D1281" s="123">
        <v>0</v>
      </c>
      <c r="E1281" s="123">
        <v>0</v>
      </c>
      <c r="F1281" s="123">
        <v>0</v>
      </c>
      <c r="G1281" s="123">
        <v>0</v>
      </c>
      <c r="H1281" s="123">
        <v>10</v>
      </c>
      <c r="I1281" s="123">
        <v>14</v>
      </c>
      <c r="J1281" s="123">
        <v>0</v>
      </c>
      <c r="K1281" s="123">
        <v>4</v>
      </c>
      <c r="L1281" s="123">
        <v>0</v>
      </c>
      <c r="M1281" s="123">
        <v>1</v>
      </c>
      <c r="N1281" s="123">
        <v>0</v>
      </c>
      <c r="O1281" s="123">
        <v>1</v>
      </c>
      <c r="P1281" s="7" t="s">
        <v>162</v>
      </c>
      <c r="Q1281" s="124" t="s">
        <v>143</v>
      </c>
      <c r="R1281" s="1"/>
    </row>
    <row r="1282" spans="1:18" ht="13.5" thickBot="1" x14ac:dyDescent="0.25">
      <c r="A1282" s="123">
        <v>30</v>
      </c>
      <c r="B1282" s="123">
        <v>10</v>
      </c>
      <c r="C1282" s="123">
        <v>20</v>
      </c>
      <c r="D1282" s="123">
        <v>0</v>
      </c>
      <c r="E1282" s="123">
        <v>0</v>
      </c>
      <c r="F1282" s="123">
        <v>0</v>
      </c>
      <c r="G1282" s="123">
        <v>0</v>
      </c>
      <c r="H1282" s="123">
        <v>10</v>
      </c>
      <c r="I1282" s="123">
        <v>14</v>
      </c>
      <c r="J1282" s="123">
        <v>0</v>
      </c>
      <c r="K1282" s="123">
        <v>4</v>
      </c>
      <c r="L1282" s="123">
        <v>0</v>
      </c>
      <c r="M1282" s="123">
        <v>1</v>
      </c>
      <c r="N1282" s="123">
        <v>0</v>
      </c>
      <c r="O1282" s="123">
        <v>1</v>
      </c>
      <c r="P1282" s="7" t="s">
        <v>13</v>
      </c>
      <c r="Q1282" s="9"/>
      <c r="R1282" s="1"/>
    </row>
    <row r="1283" spans="1:18" ht="13.5" thickBot="1" x14ac:dyDescent="0.25">
      <c r="A1283" s="123">
        <v>33</v>
      </c>
      <c r="B1283" s="123">
        <v>27</v>
      </c>
      <c r="C1283" s="123">
        <v>6</v>
      </c>
      <c r="D1283" s="123">
        <v>0</v>
      </c>
      <c r="E1283" s="123">
        <v>0</v>
      </c>
      <c r="F1283" s="123">
        <v>4</v>
      </c>
      <c r="G1283" s="123">
        <v>0</v>
      </c>
      <c r="H1283" s="123">
        <v>18</v>
      </c>
      <c r="I1283" s="123">
        <v>1</v>
      </c>
      <c r="J1283" s="123">
        <v>5</v>
      </c>
      <c r="K1283" s="123">
        <v>2</v>
      </c>
      <c r="L1283" s="123">
        <v>0</v>
      </c>
      <c r="M1283" s="123">
        <v>2</v>
      </c>
      <c r="N1283" s="123">
        <v>0</v>
      </c>
      <c r="O1283" s="123">
        <v>1</v>
      </c>
      <c r="P1283" s="7" t="s">
        <v>163</v>
      </c>
      <c r="Q1283" s="124"/>
      <c r="R1283" s="1"/>
    </row>
    <row r="1284" spans="1:18" ht="13.5" thickBot="1" x14ac:dyDescent="0.25">
      <c r="A1284" s="123">
        <v>59</v>
      </c>
      <c r="B1284" s="123">
        <v>53</v>
      </c>
      <c r="C1284" s="123">
        <v>6</v>
      </c>
      <c r="D1284" s="123">
        <v>0</v>
      </c>
      <c r="E1284" s="123">
        <v>0</v>
      </c>
      <c r="F1284" s="123">
        <v>4</v>
      </c>
      <c r="G1284" s="123">
        <v>0</v>
      </c>
      <c r="H1284" s="123">
        <v>31</v>
      </c>
      <c r="I1284" s="123">
        <v>4</v>
      </c>
      <c r="J1284" s="123">
        <v>15</v>
      </c>
      <c r="K1284" s="123">
        <v>2</v>
      </c>
      <c r="L1284" s="123">
        <v>3</v>
      </c>
      <c r="M1284" s="123">
        <v>0</v>
      </c>
      <c r="N1284" s="123">
        <v>0</v>
      </c>
      <c r="O1284" s="123">
        <v>0</v>
      </c>
      <c r="P1284" s="7" t="s">
        <v>162</v>
      </c>
      <c r="Q1284" s="124" t="s">
        <v>144</v>
      </c>
      <c r="R1284" s="1"/>
    </row>
    <row r="1285" spans="1:18" ht="13.5" thickBot="1" x14ac:dyDescent="0.25">
      <c r="A1285" s="123">
        <v>92</v>
      </c>
      <c r="B1285" s="123">
        <v>80</v>
      </c>
      <c r="C1285" s="123">
        <v>12</v>
      </c>
      <c r="D1285" s="123">
        <v>0</v>
      </c>
      <c r="E1285" s="123">
        <v>0</v>
      </c>
      <c r="F1285" s="123">
        <v>8</v>
      </c>
      <c r="G1285" s="123">
        <v>0</v>
      </c>
      <c r="H1285" s="123">
        <v>49</v>
      </c>
      <c r="I1285" s="123">
        <v>5</v>
      </c>
      <c r="J1285" s="123">
        <v>20</v>
      </c>
      <c r="K1285" s="123">
        <v>4</v>
      </c>
      <c r="L1285" s="123">
        <v>3</v>
      </c>
      <c r="M1285" s="123">
        <v>2</v>
      </c>
      <c r="N1285" s="123">
        <v>0</v>
      </c>
      <c r="O1285" s="123">
        <v>1</v>
      </c>
      <c r="P1285" s="7" t="s">
        <v>13</v>
      </c>
      <c r="Q1285" s="9"/>
      <c r="R1285" s="1"/>
    </row>
    <row r="1286" spans="1:18" ht="13.5" thickBot="1" x14ac:dyDescent="0.25">
      <c r="A1286" s="123">
        <v>6</v>
      </c>
      <c r="B1286" s="123">
        <v>0</v>
      </c>
      <c r="C1286" s="123">
        <v>6</v>
      </c>
      <c r="D1286" s="123">
        <v>0</v>
      </c>
      <c r="E1286" s="123">
        <v>0</v>
      </c>
      <c r="F1286" s="123">
        <v>0</v>
      </c>
      <c r="G1286" s="123">
        <v>4</v>
      </c>
      <c r="H1286" s="123">
        <v>0</v>
      </c>
      <c r="I1286" s="123">
        <v>0</v>
      </c>
      <c r="J1286" s="123">
        <v>0</v>
      </c>
      <c r="K1286" s="123">
        <v>1</v>
      </c>
      <c r="L1286" s="123">
        <v>0</v>
      </c>
      <c r="M1286" s="123">
        <v>1</v>
      </c>
      <c r="N1286" s="123">
        <v>0</v>
      </c>
      <c r="O1286" s="123">
        <v>0</v>
      </c>
      <c r="P1286" s="7" t="s">
        <v>163</v>
      </c>
      <c r="Q1286" s="124"/>
      <c r="R1286" s="1"/>
    </row>
    <row r="1287" spans="1:18" ht="13.5" thickBot="1" x14ac:dyDescent="0.25">
      <c r="A1287" s="123">
        <v>7</v>
      </c>
      <c r="B1287" s="123">
        <v>0</v>
      </c>
      <c r="C1287" s="123">
        <v>7</v>
      </c>
      <c r="D1287" s="123">
        <v>0</v>
      </c>
      <c r="E1287" s="123">
        <v>1</v>
      </c>
      <c r="F1287" s="123">
        <v>0</v>
      </c>
      <c r="G1287" s="123">
        <v>1</v>
      </c>
      <c r="H1287" s="123">
        <v>0</v>
      </c>
      <c r="I1287" s="123">
        <v>1</v>
      </c>
      <c r="J1287" s="123">
        <v>0</v>
      </c>
      <c r="K1287" s="123">
        <v>3</v>
      </c>
      <c r="L1287" s="123">
        <v>0</v>
      </c>
      <c r="M1287" s="123">
        <v>1</v>
      </c>
      <c r="N1287" s="123">
        <v>0</v>
      </c>
      <c r="O1287" s="123">
        <v>0</v>
      </c>
      <c r="P1287" s="7" t="s">
        <v>162</v>
      </c>
      <c r="Q1287" s="124" t="s">
        <v>145</v>
      </c>
      <c r="R1287" s="1"/>
    </row>
    <row r="1288" spans="1:18" ht="13.5" thickBot="1" x14ac:dyDescent="0.25">
      <c r="A1288" s="123">
        <v>13</v>
      </c>
      <c r="B1288" s="123">
        <v>0</v>
      </c>
      <c r="C1288" s="123">
        <v>13</v>
      </c>
      <c r="D1288" s="123">
        <v>0</v>
      </c>
      <c r="E1288" s="123">
        <v>1</v>
      </c>
      <c r="F1288" s="123">
        <v>0</v>
      </c>
      <c r="G1288" s="123">
        <v>5</v>
      </c>
      <c r="H1288" s="123">
        <v>0</v>
      </c>
      <c r="I1288" s="123">
        <v>1</v>
      </c>
      <c r="J1288" s="123">
        <v>0</v>
      </c>
      <c r="K1288" s="123">
        <v>4</v>
      </c>
      <c r="L1288" s="123">
        <v>0</v>
      </c>
      <c r="M1288" s="123">
        <v>2</v>
      </c>
      <c r="N1288" s="123">
        <v>0</v>
      </c>
      <c r="O1288" s="123">
        <v>0</v>
      </c>
      <c r="P1288" s="7" t="s">
        <v>13</v>
      </c>
      <c r="Q1288" s="9"/>
      <c r="R1288" s="1"/>
    </row>
    <row r="1289" spans="1:18" ht="13.5" thickBot="1" x14ac:dyDescent="0.25">
      <c r="A1289" s="123">
        <v>1</v>
      </c>
      <c r="B1289" s="123">
        <v>0</v>
      </c>
      <c r="C1289" s="123">
        <v>1</v>
      </c>
      <c r="D1289" s="123">
        <v>0</v>
      </c>
      <c r="E1289" s="123">
        <v>0</v>
      </c>
      <c r="F1289" s="123">
        <v>0</v>
      </c>
      <c r="G1289" s="123">
        <v>0</v>
      </c>
      <c r="H1289" s="123">
        <v>0</v>
      </c>
      <c r="I1289" s="123">
        <v>0</v>
      </c>
      <c r="J1289" s="123">
        <v>0</v>
      </c>
      <c r="K1289" s="123">
        <v>1</v>
      </c>
      <c r="L1289" s="123">
        <v>0</v>
      </c>
      <c r="M1289" s="123">
        <v>0</v>
      </c>
      <c r="N1289" s="123">
        <v>0</v>
      </c>
      <c r="O1289" s="123">
        <v>0</v>
      </c>
      <c r="P1289" s="7" t="s">
        <v>163</v>
      </c>
      <c r="Q1289" s="124"/>
      <c r="R1289" s="1"/>
    </row>
    <row r="1290" spans="1:18" ht="13.5" thickBot="1" x14ac:dyDescent="0.25">
      <c r="A1290" s="123">
        <v>15</v>
      </c>
      <c r="B1290" s="123">
        <v>1</v>
      </c>
      <c r="C1290" s="123">
        <v>14</v>
      </c>
      <c r="D1290" s="123">
        <v>0</v>
      </c>
      <c r="E1290" s="123">
        <v>2</v>
      </c>
      <c r="F1290" s="123">
        <v>0</v>
      </c>
      <c r="G1290" s="123">
        <v>1</v>
      </c>
      <c r="H1290" s="123">
        <v>1</v>
      </c>
      <c r="I1290" s="123">
        <v>6</v>
      </c>
      <c r="J1290" s="123">
        <v>0</v>
      </c>
      <c r="K1290" s="123">
        <v>4</v>
      </c>
      <c r="L1290" s="123">
        <v>0</v>
      </c>
      <c r="M1290" s="123">
        <v>1</v>
      </c>
      <c r="N1290" s="123">
        <v>0</v>
      </c>
      <c r="O1290" s="123">
        <v>0</v>
      </c>
      <c r="P1290" s="7" t="s">
        <v>162</v>
      </c>
      <c r="Q1290" s="124" t="s">
        <v>146</v>
      </c>
      <c r="R1290" s="1"/>
    </row>
    <row r="1291" spans="1:18" ht="13.5" thickBot="1" x14ac:dyDescent="0.25">
      <c r="A1291" s="123">
        <v>16</v>
      </c>
      <c r="B1291" s="123">
        <v>1</v>
      </c>
      <c r="C1291" s="123">
        <v>15</v>
      </c>
      <c r="D1291" s="123">
        <v>0</v>
      </c>
      <c r="E1291" s="123">
        <v>2</v>
      </c>
      <c r="F1291" s="123">
        <v>0</v>
      </c>
      <c r="G1291" s="123">
        <v>1</v>
      </c>
      <c r="H1291" s="123">
        <v>1</v>
      </c>
      <c r="I1291" s="123">
        <v>6</v>
      </c>
      <c r="J1291" s="123">
        <v>0</v>
      </c>
      <c r="K1291" s="123">
        <v>5</v>
      </c>
      <c r="L1291" s="123">
        <v>0</v>
      </c>
      <c r="M1291" s="123">
        <v>1</v>
      </c>
      <c r="N1291" s="123">
        <v>0</v>
      </c>
      <c r="O1291" s="123">
        <v>0</v>
      </c>
      <c r="P1291" s="7" t="s">
        <v>13</v>
      </c>
      <c r="Q1291" s="9"/>
      <c r="R1291" s="1"/>
    </row>
    <row r="1292" spans="1:18" ht="13.5" thickBot="1" x14ac:dyDescent="0.25">
      <c r="A1292" s="123">
        <v>12</v>
      </c>
      <c r="B1292" s="123">
        <v>0</v>
      </c>
      <c r="C1292" s="123">
        <v>12</v>
      </c>
      <c r="D1292" s="123">
        <v>0</v>
      </c>
      <c r="E1292" s="123">
        <v>0</v>
      </c>
      <c r="F1292" s="123">
        <v>0</v>
      </c>
      <c r="G1292" s="123">
        <v>0</v>
      </c>
      <c r="H1292" s="123">
        <v>0</v>
      </c>
      <c r="I1292" s="123">
        <v>1</v>
      </c>
      <c r="J1292" s="123">
        <v>0</v>
      </c>
      <c r="K1292" s="123">
        <v>9</v>
      </c>
      <c r="L1292" s="123">
        <v>0</v>
      </c>
      <c r="M1292" s="123">
        <v>1</v>
      </c>
      <c r="N1292" s="123">
        <v>0</v>
      </c>
      <c r="O1292" s="123">
        <v>1</v>
      </c>
      <c r="P1292" s="7" t="s">
        <v>163</v>
      </c>
      <c r="Q1292" s="124"/>
      <c r="R1292" s="1"/>
    </row>
    <row r="1293" spans="1:18" ht="13.5" thickBot="1" x14ac:dyDescent="0.25">
      <c r="A1293" s="123">
        <v>31</v>
      </c>
      <c r="B1293" s="123">
        <v>0</v>
      </c>
      <c r="C1293" s="123">
        <v>31</v>
      </c>
      <c r="D1293" s="123">
        <v>0</v>
      </c>
      <c r="E1293" s="123">
        <v>0</v>
      </c>
      <c r="F1293" s="123">
        <v>0</v>
      </c>
      <c r="G1293" s="123">
        <v>0</v>
      </c>
      <c r="H1293" s="123">
        <v>0</v>
      </c>
      <c r="I1293" s="123">
        <v>12</v>
      </c>
      <c r="J1293" s="123">
        <v>0</v>
      </c>
      <c r="K1293" s="123">
        <v>14</v>
      </c>
      <c r="L1293" s="123">
        <v>0</v>
      </c>
      <c r="M1293" s="123">
        <v>4</v>
      </c>
      <c r="N1293" s="123">
        <v>0</v>
      </c>
      <c r="O1293" s="123">
        <v>1</v>
      </c>
      <c r="P1293" s="7" t="s">
        <v>162</v>
      </c>
      <c r="Q1293" s="124" t="s">
        <v>147</v>
      </c>
      <c r="R1293" s="1"/>
    </row>
    <row r="1294" spans="1:18" ht="13.5" thickBot="1" x14ac:dyDescent="0.25">
      <c r="A1294" s="123">
        <v>43</v>
      </c>
      <c r="B1294" s="123">
        <v>0</v>
      </c>
      <c r="C1294" s="123">
        <v>43</v>
      </c>
      <c r="D1294" s="123">
        <v>0</v>
      </c>
      <c r="E1294" s="123">
        <v>0</v>
      </c>
      <c r="F1294" s="123">
        <v>0</v>
      </c>
      <c r="G1294" s="123">
        <v>0</v>
      </c>
      <c r="H1294" s="123">
        <v>0</v>
      </c>
      <c r="I1294" s="123">
        <v>13</v>
      </c>
      <c r="J1294" s="123">
        <v>0</v>
      </c>
      <c r="K1294" s="123">
        <v>23</v>
      </c>
      <c r="L1294" s="123">
        <v>0</v>
      </c>
      <c r="M1294" s="123">
        <v>5</v>
      </c>
      <c r="N1294" s="123">
        <v>0</v>
      </c>
      <c r="O1294" s="123">
        <v>2</v>
      </c>
      <c r="P1294" s="7" t="s">
        <v>13</v>
      </c>
      <c r="Q1294" s="9"/>
      <c r="R1294" s="1"/>
    </row>
    <row r="1295" spans="1:18" ht="13.5" thickBot="1" x14ac:dyDescent="0.25">
      <c r="A1295" s="123">
        <v>6</v>
      </c>
      <c r="B1295" s="123">
        <v>6</v>
      </c>
      <c r="C1295" s="123">
        <v>0</v>
      </c>
      <c r="D1295" s="123">
        <v>0</v>
      </c>
      <c r="E1295" s="123">
        <v>0</v>
      </c>
      <c r="F1295" s="123">
        <v>1</v>
      </c>
      <c r="G1295" s="123">
        <v>0</v>
      </c>
      <c r="H1295" s="123">
        <v>1</v>
      </c>
      <c r="I1295" s="123">
        <v>0</v>
      </c>
      <c r="J1295" s="123">
        <v>4</v>
      </c>
      <c r="K1295" s="123">
        <v>0</v>
      </c>
      <c r="L1295" s="123">
        <v>0</v>
      </c>
      <c r="M1295" s="123">
        <v>0</v>
      </c>
      <c r="N1295" s="123">
        <v>0</v>
      </c>
      <c r="O1295" s="123">
        <v>0</v>
      </c>
      <c r="P1295" s="7" t="s">
        <v>163</v>
      </c>
      <c r="Q1295" s="124"/>
      <c r="R1295" s="1"/>
    </row>
    <row r="1296" spans="1:18" ht="13.5" thickBot="1" x14ac:dyDescent="0.25">
      <c r="A1296" s="123">
        <v>14</v>
      </c>
      <c r="B1296" s="123">
        <v>14</v>
      </c>
      <c r="C1296" s="123">
        <v>0</v>
      </c>
      <c r="D1296" s="123">
        <v>1</v>
      </c>
      <c r="E1296" s="123">
        <v>0</v>
      </c>
      <c r="F1296" s="123">
        <v>6</v>
      </c>
      <c r="G1296" s="123">
        <v>0</v>
      </c>
      <c r="H1296" s="123">
        <v>5</v>
      </c>
      <c r="I1296" s="123">
        <v>0</v>
      </c>
      <c r="J1296" s="123">
        <v>0</v>
      </c>
      <c r="K1296" s="123">
        <v>0</v>
      </c>
      <c r="L1296" s="123">
        <v>0</v>
      </c>
      <c r="M1296" s="123">
        <v>0</v>
      </c>
      <c r="N1296" s="123">
        <v>2</v>
      </c>
      <c r="O1296" s="123">
        <v>0</v>
      </c>
      <c r="P1296" s="7" t="s">
        <v>162</v>
      </c>
      <c r="Q1296" s="124" t="s">
        <v>148</v>
      </c>
      <c r="R1296" s="1"/>
    </row>
    <row r="1297" spans="1:18" ht="13.5" thickBot="1" x14ac:dyDescent="0.25">
      <c r="A1297" s="123">
        <v>20</v>
      </c>
      <c r="B1297" s="123">
        <v>20</v>
      </c>
      <c r="C1297" s="123">
        <v>0</v>
      </c>
      <c r="D1297" s="123">
        <v>1</v>
      </c>
      <c r="E1297" s="123">
        <v>0</v>
      </c>
      <c r="F1297" s="123">
        <v>7</v>
      </c>
      <c r="G1297" s="123">
        <v>0</v>
      </c>
      <c r="H1297" s="123">
        <v>6</v>
      </c>
      <c r="I1297" s="123">
        <v>0</v>
      </c>
      <c r="J1297" s="123">
        <v>4</v>
      </c>
      <c r="K1297" s="123">
        <v>0</v>
      </c>
      <c r="L1297" s="123">
        <v>0</v>
      </c>
      <c r="M1297" s="123">
        <v>0</v>
      </c>
      <c r="N1297" s="123">
        <v>2</v>
      </c>
      <c r="O1297" s="123">
        <v>0</v>
      </c>
      <c r="P1297" s="7" t="s">
        <v>13</v>
      </c>
      <c r="Q1297" s="9"/>
      <c r="R1297" s="1"/>
    </row>
    <row r="1298" spans="1:18" ht="13.5" thickBot="1" x14ac:dyDescent="0.25">
      <c r="A1298" s="123">
        <v>11</v>
      </c>
      <c r="B1298" s="123">
        <v>5</v>
      </c>
      <c r="C1298" s="123">
        <v>6</v>
      </c>
      <c r="D1298" s="123">
        <v>1</v>
      </c>
      <c r="E1298" s="123">
        <v>0</v>
      </c>
      <c r="F1298" s="123">
        <v>0</v>
      </c>
      <c r="G1298" s="123">
        <v>0</v>
      </c>
      <c r="H1298" s="123">
        <v>3</v>
      </c>
      <c r="I1298" s="123">
        <v>1</v>
      </c>
      <c r="J1298" s="123">
        <v>1</v>
      </c>
      <c r="K1298" s="123">
        <v>2</v>
      </c>
      <c r="L1298" s="123">
        <v>0</v>
      </c>
      <c r="M1298" s="123">
        <v>1</v>
      </c>
      <c r="N1298" s="123">
        <v>0</v>
      </c>
      <c r="O1298" s="123">
        <v>2</v>
      </c>
      <c r="P1298" s="7" t="s">
        <v>163</v>
      </c>
      <c r="Q1298" s="124"/>
      <c r="R1298" s="1"/>
    </row>
    <row r="1299" spans="1:18" ht="13.5" thickBot="1" x14ac:dyDescent="0.25">
      <c r="A1299" s="123">
        <v>64</v>
      </c>
      <c r="B1299" s="123">
        <v>22</v>
      </c>
      <c r="C1299" s="123">
        <v>42</v>
      </c>
      <c r="D1299" s="123">
        <v>2</v>
      </c>
      <c r="E1299" s="123">
        <v>3</v>
      </c>
      <c r="F1299" s="123">
        <v>0</v>
      </c>
      <c r="G1299" s="123">
        <v>0</v>
      </c>
      <c r="H1299" s="123">
        <v>9</v>
      </c>
      <c r="I1299" s="123">
        <v>13</v>
      </c>
      <c r="J1299" s="123">
        <v>8</v>
      </c>
      <c r="K1299" s="123">
        <v>15</v>
      </c>
      <c r="L1299" s="123">
        <v>2</v>
      </c>
      <c r="M1299" s="123">
        <v>5</v>
      </c>
      <c r="N1299" s="123">
        <v>1</v>
      </c>
      <c r="O1299" s="123">
        <v>6</v>
      </c>
      <c r="P1299" s="7" t="s">
        <v>162</v>
      </c>
      <c r="Q1299" s="124" t="s">
        <v>149</v>
      </c>
      <c r="R1299" s="1"/>
    </row>
    <row r="1300" spans="1:18" ht="13.5" thickBot="1" x14ac:dyDescent="0.25">
      <c r="A1300" s="123">
        <v>75</v>
      </c>
      <c r="B1300" s="123">
        <v>27</v>
      </c>
      <c r="C1300" s="123">
        <v>48</v>
      </c>
      <c r="D1300" s="123">
        <v>3</v>
      </c>
      <c r="E1300" s="123">
        <v>3</v>
      </c>
      <c r="F1300" s="123">
        <v>0</v>
      </c>
      <c r="G1300" s="123">
        <v>0</v>
      </c>
      <c r="H1300" s="123">
        <v>12</v>
      </c>
      <c r="I1300" s="123">
        <v>14</v>
      </c>
      <c r="J1300" s="123">
        <v>9</v>
      </c>
      <c r="K1300" s="123">
        <v>17</v>
      </c>
      <c r="L1300" s="123">
        <v>2</v>
      </c>
      <c r="M1300" s="123">
        <v>6</v>
      </c>
      <c r="N1300" s="123">
        <v>1</v>
      </c>
      <c r="O1300" s="123">
        <v>8</v>
      </c>
      <c r="P1300" s="7" t="s">
        <v>13</v>
      </c>
      <c r="Q1300" s="9"/>
      <c r="R1300" s="1"/>
    </row>
    <row r="1301" spans="1:18" ht="13.5" thickBot="1" x14ac:dyDescent="0.25">
      <c r="A1301" s="123">
        <v>10</v>
      </c>
      <c r="B1301" s="123">
        <v>6</v>
      </c>
      <c r="C1301" s="123">
        <v>4</v>
      </c>
      <c r="D1301" s="123">
        <v>4</v>
      </c>
      <c r="E1301" s="123">
        <v>0</v>
      </c>
      <c r="F1301" s="123">
        <v>0</v>
      </c>
      <c r="G1301" s="123">
        <v>0</v>
      </c>
      <c r="H1301" s="123">
        <v>1</v>
      </c>
      <c r="I1301" s="123">
        <v>1</v>
      </c>
      <c r="J1301" s="123">
        <v>1</v>
      </c>
      <c r="K1301" s="123">
        <v>2</v>
      </c>
      <c r="L1301" s="123">
        <v>0</v>
      </c>
      <c r="M1301" s="123">
        <v>1</v>
      </c>
      <c r="N1301" s="123">
        <v>0</v>
      </c>
      <c r="O1301" s="123">
        <v>0</v>
      </c>
      <c r="P1301" s="7" t="s">
        <v>163</v>
      </c>
      <c r="Q1301" s="124"/>
      <c r="R1301" s="1"/>
    </row>
    <row r="1302" spans="1:18" ht="13.5" thickBot="1" x14ac:dyDescent="0.25">
      <c r="A1302" s="123">
        <v>31</v>
      </c>
      <c r="B1302" s="123">
        <v>14</v>
      </c>
      <c r="C1302" s="123">
        <v>17</v>
      </c>
      <c r="D1302" s="123">
        <v>3</v>
      </c>
      <c r="E1302" s="123">
        <v>3</v>
      </c>
      <c r="F1302" s="123">
        <v>0</v>
      </c>
      <c r="G1302" s="123">
        <v>0</v>
      </c>
      <c r="H1302" s="123">
        <v>2</v>
      </c>
      <c r="I1302" s="123">
        <v>4</v>
      </c>
      <c r="J1302" s="123">
        <v>3</v>
      </c>
      <c r="K1302" s="123">
        <v>5</v>
      </c>
      <c r="L1302" s="123">
        <v>3</v>
      </c>
      <c r="M1302" s="123">
        <v>2</v>
      </c>
      <c r="N1302" s="123">
        <v>3</v>
      </c>
      <c r="O1302" s="123">
        <v>3</v>
      </c>
      <c r="P1302" s="7" t="s">
        <v>162</v>
      </c>
      <c r="Q1302" s="124" t="s">
        <v>150</v>
      </c>
      <c r="R1302" s="1"/>
    </row>
    <row r="1303" spans="1:18" ht="13.5" thickBot="1" x14ac:dyDescent="0.25">
      <c r="A1303" s="123">
        <v>41</v>
      </c>
      <c r="B1303" s="123">
        <v>20</v>
      </c>
      <c r="C1303" s="123">
        <v>21</v>
      </c>
      <c r="D1303" s="123">
        <v>7</v>
      </c>
      <c r="E1303" s="123">
        <v>3</v>
      </c>
      <c r="F1303" s="123">
        <v>0</v>
      </c>
      <c r="G1303" s="123">
        <v>0</v>
      </c>
      <c r="H1303" s="123">
        <v>3</v>
      </c>
      <c r="I1303" s="123">
        <v>5</v>
      </c>
      <c r="J1303" s="123">
        <v>4</v>
      </c>
      <c r="K1303" s="123">
        <v>7</v>
      </c>
      <c r="L1303" s="123">
        <v>3</v>
      </c>
      <c r="M1303" s="123">
        <v>3</v>
      </c>
      <c r="N1303" s="123">
        <v>3</v>
      </c>
      <c r="O1303" s="123">
        <v>3</v>
      </c>
      <c r="P1303" s="7" t="s">
        <v>13</v>
      </c>
      <c r="Q1303" s="9"/>
      <c r="R1303" s="1"/>
    </row>
    <row r="1304" spans="1:18" ht="13.5" thickBot="1" x14ac:dyDescent="0.25">
      <c r="A1304" s="123">
        <v>6</v>
      </c>
      <c r="B1304" s="123">
        <v>0</v>
      </c>
      <c r="C1304" s="123">
        <v>6</v>
      </c>
      <c r="D1304" s="123">
        <v>0</v>
      </c>
      <c r="E1304" s="123">
        <v>0</v>
      </c>
      <c r="F1304" s="123">
        <v>0</v>
      </c>
      <c r="G1304" s="123">
        <v>0</v>
      </c>
      <c r="H1304" s="123">
        <v>0</v>
      </c>
      <c r="I1304" s="123">
        <v>1</v>
      </c>
      <c r="J1304" s="123">
        <v>0</v>
      </c>
      <c r="K1304" s="123">
        <v>4</v>
      </c>
      <c r="L1304" s="123">
        <v>0</v>
      </c>
      <c r="M1304" s="123">
        <v>1</v>
      </c>
      <c r="N1304" s="123">
        <v>0</v>
      </c>
      <c r="O1304" s="123">
        <v>0</v>
      </c>
      <c r="P1304" s="7" t="s">
        <v>163</v>
      </c>
      <c r="Q1304" s="124"/>
      <c r="R1304" s="1"/>
    </row>
    <row r="1305" spans="1:18" ht="13.5" thickBot="1" x14ac:dyDescent="0.25">
      <c r="A1305" s="123">
        <v>6</v>
      </c>
      <c r="B1305" s="123">
        <v>0</v>
      </c>
      <c r="C1305" s="123">
        <v>6</v>
      </c>
      <c r="D1305" s="123">
        <v>0</v>
      </c>
      <c r="E1305" s="123">
        <v>0</v>
      </c>
      <c r="F1305" s="123">
        <v>0</v>
      </c>
      <c r="G1305" s="123">
        <v>0</v>
      </c>
      <c r="H1305" s="123">
        <v>0</v>
      </c>
      <c r="I1305" s="123">
        <v>6</v>
      </c>
      <c r="J1305" s="123">
        <v>0</v>
      </c>
      <c r="K1305" s="123">
        <v>0</v>
      </c>
      <c r="L1305" s="123">
        <v>0</v>
      </c>
      <c r="M1305" s="123">
        <v>0</v>
      </c>
      <c r="N1305" s="123">
        <v>0</v>
      </c>
      <c r="O1305" s="123">
        <v>0</v>
      </c>
      <c r="P1305" s="7" t="s">
        <v>162</v>
      </c>
      <c r="Q1305" s="124" t="s">
        <v>151</v>
      </c>
      <c r="R1305" s="1"/>
    </row>
    <row r="1306" spans="1:18" ht="13.5" thickBot="1" x14ac:dyDescent="0.25">
      <c r="A1306" s="123">
        <v>12</v>
      </c>
      <c r="B1306" s="123">
        <v>0</v>
      </c>
      <c r="C1306" s="123">
        <v>12</v>
      </c>
      <c r="D1306" s="123">
        <v>0</v>
      </c>
      <c r="E1306" s="123">
        <v>0</v>
      </c>
      <c r="F1306" s="123">
        <v>0</v>
      </c>
      <c r="G1306" s="123">
        <v>0</v>
      </c>
      <c r="H1306" s="123">
        <v>0</v>
      </c>
      <c r="I1306" s="123">
        <v>7</v>
      </c>
      <c r="J1306" s="123">
        <v>0</v>
      </c>
      <c r="K1306" s="123">
        <v>4</v>
      </c>
      <c r="L1306" s="123">
        <v>0</v>
      </c>
      <c r="M1306" s="123">
        <v>1</v>
      </c>
      <c r="N1306" s="123">
        <v>0</v>
      </c>
      <c r="O1306" s="123">
        <v>0</v>
      </c>
      <c r="P1306" s="7" t="s">
        <v>13</v>
      </c>
      <c r="Q1306" s="9"/>
      <c r="R1306" s="1"/>
    </row>
    <row r="1307" spans="1:18" ht="13.5" thickBot="1" x14ac:dyDescent="0.25">
      <c r="A1307" s="123">
        <v>2</v>
      </c>
      <c r="B1307" s="123">
        <v>1</v>
      </c>
      <c r="C1307" s="123">
        <v>1</v>
      </c>
      <c r="D1307" s="123">
        <v>0</v>
      </c>
      <c r="E1307" s="123">
        <v>0</v>
      </c>
      <c r="F1307" s="123">
        <v>0</v>
      </c>
      <c r="G1307" s="123">
        <v>0</v>
      </c>
      <c r="H1307" s="123">
        <v>0</v>
      </c>
      <c r="I1307" s="123">
        <v>1</v>
      </c>
      <c r="J1307" s="123">
        <v>1</v>
      </c>
      <c r="K1307" s="123">
        <v>0</v>
      </c>
      <c r="L1307" s="123">
        <v>0</v>
      </c>
      <c r="M1307" s="123">
        <v>0</v>
      </c>
      <c r="N1307" s="123">
        <v>0</v>
      </c>
      <c r="O1307" s="123">
        <v>0</v>
      </c>
      <c r="P1307" s="7" t="s">
        <v>163</v>
      </c>
      <c r="Q1307" s="124"/>
      <c r="R1307" s="1"/>
    </row>
    <row r="1308" spans="1:18" ht="13.5" thickBot="1" x14ac:dyDescent="0.25">
      <c r="A1308" s="123">
        <v>21</v>
      </c>
      <c r="B1308" s="123">
        <v>3</v>
      </c>
      <c r="C1308" s="123">
        <v>18</v>
      </c>
      <c r="D1308" s="123">
        <v>0</v>
      </c>
      <c r="E1308" s="123">
        <v>2</v>
      </c>
      <c r="F1308" s="123">
        <v>0</v>
      </c>
      <c r="G1308" s="123">
        <v>0</v>
      </c>
      <c r="H1308" s="123">
        <v>3</v>
      </c>
      <c r="I1308" s="123">
        <v>4</v>
      </c>
      <c r="J1308" s="123">
        <v>0</v>
      </c>
      <c r="K1308" s="123">
        <v>10</v>
      </c>
      <c r="L1308" s="123">
        <v>0</v>
      </c>
      <c r="M1308" s="123">
        <v>0</v>
      </c>
      <c r="N1308" s="123">
        <v>0</v>
      </c>
      <c r="O1308" s="123">
        <v>2</v>
      </c>
      <c r="P1308" s="7" t="s">
        <v>162</v>
      </c>
      <c r="Q1308" s="124" t="s">
        <v>152</v>
      </c>
      <c r="R1308" s="1"/>
    </row>
    <row r="1309" spans="1:18" ht="13.5" thickBot="1" x14ac:dyDescent="0.25">
      <c r="A1309" s="123">
        <v>23</v>
      </c>
      <c r="B1309" s="123">
        <v>4</v>
      </c>
      <c r="C1309" s="123">
        <v>19</v>
      </c>
      <c r="D1309" s="123">
        <v>0</v>
      </c>
      <c r="E1309" s="123">
        <v>2</v>
      </c>
      <c r="F1309" s="123">
        <v>0</v>
      </c>
      <c r="G1309" s="123">
        <v>0</v>
      </c>
      <c r="H1309" s="123">
        <v>3</v>
      </c>
      <c r="I1309" s="123">
        <v>5</v>
      </c>
      <c r="J1309" s="123">
        <v>1</v>
      </c>
      <c r="K1309" s="123">
        <v>10</v>
      </c>
      <c r="L1309" s="123">
        <v>0</v>
      </c>
      <c r="M1309" s="123">
        <v>0</v>
      </c>
      <c r="N1309" s="123">
        <v>0</v>
      </c>
      <c r="O1309" s="123">
        <v>2</v>
      </c>
      <c r="P1309" s="7" t="s">
        <v>13</v>
      </c>
      <c r="Q1309" s="9"/>
      <c r="R1309" s="1"/>
    </row>
    <row r="1310" spans="1:18" ht="13.5" thickBot="1" x14ac:dyDescent="0.25">
      <c r="A1310" s="123">
        <v>3</v>
      </c>
      <c r="B1310" s="123">
        <v>0</v>
      </c>
      <c r="C1310" s="123">
        <v>3</v>
      </c>
      <c r="D1310" s="123">
        <v>0</v>
      </c>
      <c r="E1310" s="123">
        <v>0</v>
      </c>
      <c r="F1310" s="123">
        <v>0</v>
      </c>
      <c r="G1310" s="123">
        <v>0</v>
      </c>
      <c r="H1310" s="123">
        <v>0</v>
      </c>
      <c r="I1310" s="123">
        <v>0</v>
      </c>
      <c r="J1310" s="123">
        <v>0</v>
      </c>
      <c r="K1310" s="123">
        <v>1</v>
      </c>
      <c r="L1310" s="123">
        <v>0</v>
      </c>
      <c r="M1310" s="123">
        <v>1</v>
      </c>
      <c r="N1310" s="123">
        <v>0</v>
      </c>
      <c r="O1310" s="123">
        <v>1</v>
      </c>
      <c r="P1310" s="7" t="s">
        <v>163</v>
      </c>
      <c r="Q1310" s="124"/>
      <c r="R1310" s="1"/>
    </row>
    <row r="1311" spans="1:18" ht="13.5" thickBot="1" x14ac:dyDescent="0.25">
      <c r="A1311" s="123">
        <v>12</v>
      </c>
      <c r="B1311" s="123">
        <v>0</v>
      </c>
      <c r="C1311" s="123">
        <v>12</v>
      </c>
      <c r="D1311" s="123">
        <v>0</v>
      </c>
      <c r="E1311" s="123">
        <v>0</v>
      </c>
      <c r="F1311" s="123">
        <v>0</v>
      </c>
      <c r="G1311" s="123">
        <v>0</v>
      </c>
      <c r="H1311" s="123">
        <v>0</v>
      </c>
      <c r="I1311" s="123">
        <v>4</v>
      </c>
      <c r="J1311" s="123">
        <v>0</v>
      </c>
      <c r="K1311" s="123">
        <v>4</v>
      </c>
      <c r="L1311" s="123">
        <v>0</v>
      </c>
      <c r="M1311" s="123">
        <v>1</v>
      </c>
      <c r="N1311" s="123">
        <v>0</v>
      </c>
      <c r="O1311" s="123">
        <v>3</v>
      </c>
      <c r="P1311" s="7" t="s">
        <v>162</v>
      </c>
      <c r="Q1311" s="124" t="s">
        <v>153</v>
      </c>
      <c r="R1311" s="1"/>
    </row>
    <row r="1312" spans="1:18" ht="13.5" thickBot="1" x14ac:dyDescent="0.25">
      <c r="A1312" s="123">
        <v>15</v>
      </c>
      <c r="B1312" s="123">
        <v>0</v>
      </c>
      <c r="C1312" s="123">
        <v>15</v>
      </c>
      <c r="D1312" s="123">
        <v>0</v>
      </c>
      <c r="E1312" s="123">
        <v>0</v>
      </c>
      <c r="F1312" s="123">
        <v>0</v>
      </c>
      <c r="G1312" s="123">
        <v>0</v>
      </c>
      <c r="H1312" s="123">
        <v>0</v>
      </c>
      <c r="I1312" s="123">
        <v>4</v>
      </c>
      <c r="J1312" s="123">
        <v>0</v>
      </c>
      <c r="K1312" s="123">
        <v>5</v>
      </c>
      <c r="L1312" s="123">
        <v>0</v>
      </c>
      <c r="M1312" s="123">
        <v>2</v>
      </c>
      <c r="N1312" s="123">
        <v>0</v>
      </c>
      <c r="O1312" s="123">
        <v>4</v>
      </c>
      <c r="P1312" s="7" t="s">
        <v>13</v>
      </c>
      <c r="Q1312" s="9"/>
      <c r="R1312" s="1"/>
    </row>
    <row r="1313" spans="1:18" ht="13.5" thickBot="1" x14ac:dyDescent="0.25">
      <c r="A1313" s="123">
        <v>2</v>
      </c>
      <c r="B1313" s="123">
        <v>2</v>
      </c>
      <c r="C1313" s="123">
        <v>0</v>
      </c>
      <c r="D1313" s="123">
        <v>0</v>
      </c>
      <c r="E1313" s="123">
        <v>0</v>
      </c>
      <c r="F1313" s="123">
        <v>0</v>
      </c>
      <c r="G1313" s="123">
        <v>0</v>
      </c>
      <c r="H1313" s="123">
        <v>2</v>
      </c>
      <c r="I1313" s="123">
        <v>0</v>
      </c>
      <c r="J1313" s="123">
        <v>0</v>
      </c>
      <c r="K1313" s="123">
        <v>0</v>
      </c>
      <c r="L1313" s="123">
        <v>0</v>
      </c>
      <c r="M1313" s="123">
        <v>0</v>
      </c>
      <c r="N1313" s="123">
        <v>0</v>
      </c>
      <c r="O1313" s="123">
        <v>0</v>
      </c>
      <c r="P1313" s="7" t="s">
        <v>163</v>
      </c>
      <c r="Q1313" s="124"/>
      <c r="R1313" s="1"/>
    </row>
    <row r="1314" spans="1:18" ht="13.5" thickBot="1" x14ac:dyDescent="0.25">
      <c r="A1314" s="123">
        <v>26</v>
      </c>
      <c r="B1314" s="123">
        <v>15</v>
      </c>
      <c r="C1314" s="123">
        <v>11</v>
      </c>
      <c r="D1314" s="123">
        <v>4</v>
      </c>
      <c r="E1314" s="123">
        <v>2</v>
      </c>
      <c r="F1314" s="123">
        <v>3</v>
      </c>
      <c r="G1314" s="123">
        <v>0</v>
      </c>
      <c r="H1314" s="123">
        <v>7</v>
      </c>
      <c r="I1314" s="123">
        <v>2</v>
      </c>
      <c r="J1314" s="123">
        <v>0</v>
      </c>
      <c r="K1314" s="123">
        <v>0</v>
      </c>
      <c r="L1314" s="123">
        <v>0</v>
      </c>
      <c r="M1314" s="123">
        <v>3</v>
      </c>
      <c r="N1314" s="123">
        <v>1</v>
      </c>
      <c r="O1314" s="123">
        <v>4</v>
      </c>
      <c r="P1314" s="7" t="s">
        <v>162</v>
      </c>
      <c r="Q1314" s="124" t="s">
        <v>154</v>
      </c>
      <c r="R1314" s="1"/>
    </row>
    <row r="1315" spans="1:18" ht="13.5" thickBot="1" x14ac:dyDescent="0.25">
      <c r="A1315" s="123">
        <v>28</v>
      </c>
      <c r="B1315" s="123">
        <v>17</v>
      </c>
      <c r="C1315" s="123">
        <v>11</v>
      </c>
      <c r="D1315" s="123">
        <v>4</v>
      </c>
      <c r="E1315" s="123">
        <v>2</v>
      </c>
      <c r="F1315" s="123">
        <v>3</v>
      </c>
      <c r="G1315" s="123">
        <v>0</v>
      </c>
      <c r="H1315" s="123">
        <v>9</v>
      </c>
      <c r="I1315" s="123">
        <v>2</v>
      </c>
      <c r="J1315" s="123">
        <v>0</v>
      </c>
      <c r="K1315" s="123">
        <v>0</v>
      </c>
      <c r="L1315" s="123">
        <v>0</v>
      </c>
      <c r="M1315" s="123">
        <v>3</v>
      </c>
      <c r="N1315" s="123">
        <v>1</v>
      </c>
      <c r="O1315" s="123">
        <v>4</v>
      </c>
      <c r="P1315" s="7" t="s">
        <v>13</v>
      </c>
      <c r="Q1315" s="9"/>
      <c r="R1315" s="1"/>
    </row>
    <row r="1316" spans="1:18" ht="13.5" thickBot="1" x14ac:dyDescent="0.25">
      <c r="A1316" s="123">
        <v>8</v>
      </c>
      <c r="B1316" s="123">
        <v>8</v>
      </c>
      <c r="C1316" s="123">
        <v>0</v>
      </c>
      <c r="D1316" s="123">
        <v>0</v>
      </c>
      <c r="E1316" s="123">
        <v>0</v>
      </c>
      <c r="F1316" s="123">
        <v>8</v>
      </c>
      <c r="G1316" s="123">
        <v>0</v>
      </c>
      <c r="H1316" s="123">
        <v>0</v>
      </c>
      <c r="I1316" s="123">
        <v>0</v>
      </c>
      <c r="J1316" s="123">
        <v>0</v>
      </c>
      <c r="K1316" s="123">
        <v>0</v>
      </c>
      <c r="L1316" s="123">
        <v>0</v>
      </c>
      <c r="M1316" s="123">
        <v>0</v>
      </c>
      <c r="N1316" s="123">
        <v>0</v>
      </c>
      <c r="O1316" s="123">
        <v>0</v>
      </c>
      <c r="P1316" s="7" t="s">
        <v>163</v>
      </c>
      <c r="Q1316" s="124"/>
      <c r="R1316" s="1"/>
    </row>
    <row r="1317" spans="1:18" ht="13.5" thickBot="1" x14ac:dyDescent="0.25">
      <c r="A1317" s="123">
        <v>19</v>
      </c>
      <c r="B1317" s="123">
        <v>19</v>
      </c>
      <c r="C1317" s="123">
        <v>0</v>
      </c>
      <c r="D1317" s="123">
        <v>0</v>
      </c>
      <c r="E1317" s="123">
        <v>0</v>
      </c>
      <c r="F1317" s="123">
        <v>6</v>
      </c>
      <c r="G1317" s="123">
        <v>0</v>
      </c>
      <c r="H1317" s="123">
        <v>10</v>
      </c>
      <c r="I1317" s="123">
        <v>0</v>
      </c>
      <c r="J1317" s="123">
        <v>3</v>
      </c>
      <c r="K1317" s="123">
        <v>0</v>
      </c>
      <c r="L1317" s="123">
        <v>0</v>
      </c>
      <c r="M1317" s="123">
        <v>0</v>
      </c>
      <c r="N1317" s="123">
        <v>0</v>
      </c>
      <c r="O1317" s="123">
        <v>0</v>
      </c>
      <c r="P1317" s="7" t="s">
        <v>162</v>
      </c>
      <c r="Q1317" s="124" t="s">
        <v>155</v>
      </c>
      <c r="R1317" s="1"/>
    </row>
    <row r="1318" spans="1:18" ht="13.5" thickBot="1" x14ac:dyDescent="0.25">
      <c r="A1318" s="123">
        <v>27</v>
      </c>
      <c r="B1318" s="123">
        <v>27</v>
      </c>
      <c r="C1318" s="123">
        <v>0</v>
      </c>
      <c r="D1318" s="123">
        <v>0</v>
      </c>
      <c r="E1318" s="123">
        <v>0</v>
      </c>
      <c r="F1318" s="123">
        <v>14</v>
      </c>
      <c r="G1318" s="123">
        <v>0</v>
      </c>
      <c r="H1318" s="123">
        <v>10</v>
      </c>
      <c r="I1318" s="123">
        <v>0</v>
      </c>
      <c r="J1318" s="123">
        <v>3</v>
      </c>
      <c r="K1318" s="123">
        <v>0</v>
      </c>
      <c r="L1318" s="123">
        <v>0</v>
      </c>
      <c r="M1318" s="123">
        <v>0</v>
      </c>
      <c r="N1318" s="123">
        <v>0</v>
      </c>
      <c r="O1318" s="123">
        <v>0</v>
      </c>
      <c r="P1318" s="7" t="s">
        <v>13</v>
      </c>
      <c r="Q1318" s="9"/>
      <c r="R1318" s="1"/>
    </row>
    <row r="1319" spans="1:18" ht="13.5" thickBot="1" x14ac:dyDescent="0.25">
      <c r="A1319" s="123">
        <v>6</v>
      </c>
      <c r="B1319" s="123">
        <v>6</v>
      </c>
      <c r="C1319" s="123">
        <v>0</v>
      </c>
      <c r="D1319" s="123">
        <v>0</v>
      </c>
      <c r="E1319" s="123">
        <v>0</v>
      </c>
      <c r="F1319" s="123">
        <v>0</v>
      </c>
      <c r="G1319" s="123">
        <v>0</v>
      </c>
      <c r="H1319" s="123">
        <v>5</v>
      </c>
      <c r="I1319" s="123">
        <v>0</v>
      </c>
      <c r="J1319" s="123">
        <v>1</v>
      </c>
      <c r="K1319" s="123">
        <v>0</v>
      </c>
      <c r="L1319" s="123">
        <v>0</v>
      </c>
      <c r="M1319" s="123">
        <v>0</v>
      </c>
      <c r="N1319" s="123">
        <v>0</v>
      </c>
      <c r="O1319" s="123">
        <v>0</v>
      </c>
      <c r="P1319" s="7" t="s">
        <v>163</v>
      </c>
      <c r="Q1319" s="124"/>
      <c r="R1319" s="1"/>
    </row>
    <row r="1320" spans="1:18" ht="13.5" thickBot="1" x14ac:dyDescent="0.25">
      <c r="A1320" s="123">
        <v>12</v>
      </c>
      <c r="B1320" s="123">
        <v>12</v>
      </c>
      <c r="C1320" s="123">
        <v>0</v>
      </c>
      <c r="D1320" s="123">
        <v>2</v>
      </c>
      <c r="E1320" s="123">
        <v>0</v>
      </c>
      <c r="F1320" s="123">
        <v>4</v>
      </c>
      <c r="G1320" s="123">
        <v>0</v>
      </c>
      <c r="H1320" s="123">
        <v>2</v>
      </c>
      <c r="I1320" s="123">
        <v>0</v>
      </c>
      <c r="J1320" s="123">
        <v>2</v>
      </c>
      <c r="K1320" s="123">
        <v>0</v>
      </c>
      <c r="L1320" s="123">
        <v>1</v>
      </c>
      <c r="M1320" s="123">
        <v>0</v>
      </c>
      <c r="N1320" s="123">
        <v>1</v>
      </c>
      <c r="O1320" s="123">
        <v>0</v>
      </c>
      <c r="P1320" s="7" t="s">
        <v>162</v>
      </c>
      <c r="Q1320" s="124" t="s">
        <v>156</v>
      </c>
      <c r="R1320" s="1"/>
    </row>
    <row r="1321" spans="1:18" ht="13.5" thickBot="1" x14ac:dyDescent="0.25">
      <c r="A1321" s="123">
        <v>18</v>
      </c>
      <c r="B1321" s="123">
        <v>18</v>
      </c>
      <c r="C1321" s="123">
        <v>0</v>
      </c>
      <c r="D1321" s="123">
        <v>2</v>
      </c>
      <c r="E1321" s="123">
        <v>0</v>
      </c>
      <c r="F1321" s="123">
        <v>4</v>
      </c>
      <c r="G1321" s="123">
        <v>0</v>
      </c>
      <c r="H1321" s="123">
        <v>7</v>
      </c>
      <c r="I1321" s="123">
        <v>0</v>
      </c>
      <c r="J1321" s="123">
        <v>3</v>
      </c>
      <c r="K1321" s="123">
        <v>0</v>
      </c>
      <c r="L1321" s="123">
        <v>1</v>
      </c>
      <c r="M1321" s="123">
        <v>0</v>
      </c>
      <c r="N1321" s="123">
        <v>1</v>
      </c>
      <c r="O1321" s="123">
        <v>0</v>
      </c>
      <c r="P1321" s="7" t="s">
        <v>13</v>
      </c>
      <c r="Q1321" s="9"/>
      <c r="R1321" s="1"/>
    </row>
    <row r="1322" spans="1:18" ht="13.5" thickBot="1" x14ac:dyDescent="0.25">
      <c r="A1322" s="123">
        <v>1</v>
      </c>
      <c r="B1322" s="123">
        <v>1</v>
      </c>
      <c r="C1322" s="123">
        <v>0</v>
      </c>
      <c r="D1322" s="123">
        <v>0</v>
      </c>
      <c r="E1322" s="123">
        <v>0</v>
      </c>
      <c r="F1322" s="123">
        <v>0</v>
      </c>
      <c r="G1322" s="123">
        <v>0</v>
      </c>
      <c r="H1322" s="123">
        <v>1</v>
      </c>
      <c r="I1322" s="123">
        <v>0</v>
      </c>
      <c r="J1322" s="123">
        <v>0</v>
      </c>
      <c r="K1322" s="123">
        <v>0</v>
      </c>
      <c r="L1322" s="123">
        <v>0</v>
      </c>
      <c r="M1322" s="123">
        <v>0</v>
      </c>
      <c r="N1322" s="123">
        <v>0</v>
      </c>
      <c r="O1322" s="123">
        <v>0</v>
      </c>
      <c r="P1322" s="7" t="s">
        <v>163</v>
      </c>
      <c r="Q1322" s="124"/>
      <c r="R1322" s="1"/>
    </row>
    <row r="1323" spans="1:18" ht="13.5" thickBot="1" x14ac:dyDescent="0.25">
      <c r="A1323" s="123">
        <v>27</v>
      </c>
      <c r="B1323" s="123">
        <v>21</v>
      </c>
      <c r="C1323" s="123">
        <v>6</v>
      </c>
      <c r="D1323" s="123">
        <v>8</v>
      </c>
      <c r="E1323" s="123">
        <v>2</v>
      </c>
      <c r="F1323" s="123">
        <v>2</v>
      </c>
      <c r="G1323" s="123">
        <v>0</v>
      </c>
      <c r="H1323" s="123">
        <v>9</v>
      </c>
      <c r="I1323" s="123">
        <v>4</v>
      </c>
      <c r="J1323" s="123">
        <v>2</v>
      </c>
      <c r="K1323" s="123">
        <v>0</v>
      </c>
      <c r="L1323" s="123">
        <v>0</v>
      </c>
      <c r="M1323" s="123">
        <v>0</v>
      </c>
      <c r="N1323" s="123">
        <v>0</v>
      </c>
      <c r="O1323" s="123">
        <v>0</v>
      </c>
      <c r="P1323" s="7" t="s">
        <v>162</v>
      </c>
      <c r="Q1323" s="124" t="s">
        <v>157</v>
      </c>
      <c r="R1323" s="1"/>
    </row>
    <row r="1324" spans="1:18" ht="13.5" thickBot="1" x14ac:dyDescent="0.25">
      <c r="A1324" s="123">
        <v>28</v>
      </c>
      <c r="B1324" s="123">
        <v>22</v>
      </c>
      <c r="C1324" s="123">
        <v>6</v>
      </c>
      <c r="D1324" s="123">
        <v>8</v>
      </c>
      <c r="E1324" s="123">
        <v>2</v>
      </c>
      <c r="F1324" s="123">
        <v>2</v>
      </c>
      <c r="G1324" s="123">
        <v>0</v>
      </c>
      <c r="H1324" s="123">
        <v>10</v>
      </c>
      <c r="I1324" s="123">
        <v>4</v>
      </c>
      <c r="J1324" s="123">
        <v>2</v>
      </c>
      <c r="K1324" s="123">
        <v>0</v>
      </c>
      <c r="L1324" s="123">
        <v>0</v>
      </c>
      <c r="M1324" s="123">
        <v>0</v>
      </c>
      <c r="N1324" s="123">
        <v>0</v>
      </c>
      <c r="O1324" s="123">
        <v>0</v>
      </c>
      <c r="P1324" s="7" t="s">
        <v>13</v>
      </c>
      <c r="Q1324" s="9"/>
      <c r="R1324" s="1"/>
    </row>
    <row r="1325" spans="1:18" ht="13.5" thickBot="1" x14ac:dyDescent="0.25">
      <c r="A1325" s="123">
        <v>326</v>
      </c>
      <c r="B1325" s="123">
        <v>168</v>
      </c>
      <c r="C1325" s="123">
        <v>158</v>
      </c>
      <c r="D1325" s="123">
        <v>5</v>
      </c>
      <c r="E1325" s="123">
        <v>0</v>
      </c>
      <c r="F1325" s="123">
        <v>44</v>
      </c>
      <c r="G1325" s="123">
        <v>9</v>
      </c>
      <c r="H1325" s="123">
        <v>78</v>
      </c>
      <c r="I1325" s="123">
        <v>51</v>
      </c>
      <c r="J1325" s="123">
        <v>36</v>
      </c>
      <c r="K1325" s="123">
        <v>62</v>
      </c>
      <c r="L1325" s="123">
        <v>3</v>
      </c>
      <c r="M1325" s="123">
        <v>20</v>
      </c>
      <c r="N1325" s="123">
        <v>2</v>
      </c>
      <c r="O1325" s="123">
        <v>16</v>
      </c>
      <c r="P1325" s="7" t="s">
        <v>163</v>
      </c>
      <c r="Q1325" s="3"/>
      <c r="R1325" s="1"/>
    </row>
    <row r="1326" spans="1:18" ht="13.5" thickBot="1" x14ac:dyDescent="0.25">
      <c r="A1326" s="123">
        <v>1036</v>
      </c>
      <c r="B1326" s="123">
        <v>508</v>
      </c>
      <c r="C1326" s="123">
        <v>528</v>
      </c>
      <c r="D1326" s="123">
        <v>77</v>
      </c>
      <c r="E1326" s="123">
        <v>74</v>
      </c>
      <c r="F1326" s="123">
        <v>70</v>
      </c>
      <c r="G1326" s="123">
        <v>20</v>
      </c>
      <c r="H1326" s="123">
        <v>237</v>
      </c>
      <c r="I1326" s="123">
        <v>219</v>
      </c>
      <c r="J1326" s="123">
        <v>97</v>
      </c>
      <c r="K1326" s="123">
        <v>157</v>
      </c>
      <c r="L1326" s="123">
        <v>16</v>
      </c>
      <c r="M1326" s="123">
        <v>25</v>
      </c>
      <c r="N1326" s="123">
        <v>11</v>
      </c>
      <c r="O1326" s="123">
        <v>33</v>
      </c>
      <c r="P1326" s="7" t="s">
        <v>162</v>
      </c>
      <c r="Q1326" s="11" t="s">
        <v>211</v>
      </c>
      <c r="R1326" s="1"/>
    </row>
    <row r="1327" spans="1:18" ht="13.5" thickBot="1" x14ac:dyDescent="0.25">
      <c r="A1327" s="123">
        <v>1362</v>
      </c>
      <c r="B1327" s="123">
        <v>676</v>
      </c>
      <c r="C1327" s="123">
        <v>686</v>
      </c>
      <c r="D1327" s="123">
        <v>82</v>
      </c>
      <c r="E1327" s="123">
        <v>74</v>
      </c>
      <c r="F1327" s="123">
        <v>114</v>
      </c>
      <c r="G1327" s="123">
        <v>29</v>
      </c>
      <c r="H1327" s="123">
        <v>315</v>
      </c>
      <c r="I1327" s="123">
        <v>270</v>
      </c>
      <c r="J1327" s="123">
        <v>133</v>
      </c>
      <c r="K1327" s="123">
        <v>219</v>
      </c>
      <c r="L1327" s="123">
        <v>19</v>
      </c>
      <c r="M1327" s="123">
        <v>45</v>
      </c>
      <c r="N1327" s="123">
        <v>13</v>
      </c>
      <c r="O1327" s="123">
        <v>49</v>
      </c>
      <c r="P1327" s="7" t="s">
        <v>13</v>
      </c>
      <c r="Q1327" s="5"/>
      <c r="R1327" s="1"/>
    </row>
    <row r="1328" spans="1:18" ht="18" customHeight="1" x14ac:dyDescent="0.2">
      <c r="A1328" s="207"/>
      <c r="B1328" s="207"/>
      <c r="C1328" s="207"/>
      <c r="D1328" s="207"/>
      <c r="E1328" s="207"/>
      <c r="F1328" s="207"/>
      <c r="G1328" s="207"/>
      <c r="H1328" s="207"/>
      <c r="I1328" s="207"/>
      <c r="J1328" s="207"/>
      <c r="K1328" s="207"/>
      <c r="L1328" s="207"/>
      <c r="M1328" s="207"/>
      <c r="N1328" s="207"/>
      <c r="O1328" s="207"/>
      <c r="P1328" s="207"/>
      <c r="Q1328" s="207"/>
      <c r="R1328" s="1"/>
    </row>
  </sheetData>
  <mergeCells count="275">
    <mergeCell ref="A1:Q1"/>
    <mergeCell ref="A2:Q2"/>
    <mergeCell ref="A3:C3"/>
    <mergeCell ref="D3:E3"/>
    <mergeCell ref="F3:G3"/>
    <mergeCell ref="H3:I3"/>
    <mergeCell ref="J3:K3"/>
    <mergeCell ref="L3:M3"/>
    <mergeCell ref="N3:O3"/>
    <mergeCell ref="P3:P4"/>
    <mergeCell ref="A89:Q89"/>
    <mergeCell ref="A90:Q90"/>
    <mergeCell ref="A91:Q91"/>
    <mergeCell ref="A92:C92"/>
    <mergeCell ref="D92:E92"/>
    <mergeCell ref="F92:G92"/>
    <mergeCell ref="H92:I92"/>
    <mergeCell ref="J92:K92"/>
    <mergeCell ref="L92:M92"/>
    <mergeCell ref="N92:O92"/>
    <mergeCell ref="P92:P93"/>
    <mergeCell ref="A115:Q115"/>
    <mergeCell ref="A116:Q116"/>
    <mergeCell ref="A117:Q117"/>
    <mergeCell ref="A118:C118"/>
    <mergeCell ref="D118:E118"/>
    <mergeCell ref="F118:G118"/>
    <mergeCell ref="H118:I118"/>
    <mergeCell ref="J118:K118"/>
    <mergeCell ref="L118:M118"/>
    <mergeCell ref="L168:M168"/>
    <mergeCell ref="N168:O168"/>
    <mergeCell ref="P168:P169"/>
    <mergeCell ref="A260:Q260"/>
    <mergeCell ref="A261:Q261"/>
    <mergeCell ref="A262:Q262"/>
    <mergeCell ref="N118:O118"/>
    <mergeCell ref="P118:P119"/>
    <mergeCell ref="A165:Q165"/>
    <mergeCell ref="A166:Q166"/>
    <mergeCell ref="A167:Q167"/>
    <mergeCell ref="A168:C168"/>
    <mergeCell ref="D168:E168"/>
    <mergeCell ref="F168:G168"/>
    <mergeCell ref="H168:I168"/>
    <mergeCell ref="J168:K168"/>
    <mergeCell ref="L337:M337"/>
    <mergeCell ref="N337:O337"/>
    <mergeCell ref="P337:P338"/>
    <mergeCell ref="A372:Q372"/>
    <mergeCell ref="A373:Q373"/>
    <mergeCell ref="A374:Q374"/>
    <mergeCell ref="N263:O263"/>
    <mergeCell ref="P263:P264"/>
    <mergeCell ref="A334:Q334"/>
    <mergeCell ref="A335:Q335"/>
    <mergeCell ref="A336:Q336"/>
    <mergeCell ref="A337:C337"/>
    <mergeCell ref="D337:E337"/>
    <mergeCell ref="F337:G337"/>
    <mergeCell ref="H337:I337"/>
    <mergeCell ref="J337:K337"/>
    <mergeCell ref="A263:C263"/>
    <mergeCell ref="D263:E263"/>
    <mergeCell ref="F263:G263"/>
    <mergeCell ref="H263:I263"/>
    <mergeCell ref="J263:K263"/>
    <mergeCell ref="L263:M263"/>
    <mergeCell ref="L479:M479"/>
    <mergeCell ref="N479:O479"/>
    <mergeCell ref="P479:P480"/>
    <mergeCell ref="A586:Q586"/>
    <mergeCell ref="A587:Q587"/>
    <mergeCell ref="A588:Q588"/>
    <mergeCell ref="N375:O375"/>
    <mergeCell ref="P375:P376"/>
    <mergeCell ref="A476:Q476"/>
    <mergeCell ref="A477:Q477"/>
    <mergeCell ref="A478:Q478"/>
    <mergeCell ref="A479:C479"/>
    <mergeCell ref="D479:E479"/>
    <mergeCell ref="F479:G479"/>
    <mergeCell ref="H479:I479"/>
    <mergeCell ref="J479:K479"/>
    <mergeCell ref="A375:C375"/>
    <mergeCell ref="D375:E375"/>
    <mergeCell ref="F375:G375"/>
    <mergeCell ref="H375:I375"/>
    <mergeCell ref="J375:K375"/>
    <mergeCell ref="L375:M375"/>
    <mergeCell ref="L660:M660"/>
    <mergeCell ref="N660:O660"/>
    <mergeCell ref="P660:P661"/>
    <mergeCell ref="A686:Q686"/>
    <mergeCell ref="A687:Q687"/>
    <mergeCell ref="A688:Q688"/>
    <mergeCell ref="N589:O589"/>
    <mergeCell ref="P589:P590"/>
    <mergeCell ref="A657:Q657"/>
    <mergeCell ref="A658:Q658"/>
    <mergeCell ref="A659:Q659"/>
    <mergeCell ref="A660:C660"/>
    <mergeCell ref="D660:E660"/>
    <mergeCell ref="F660:G660"/>
    <mergeCell ref="H660:I660"/>
    <mergeCell ref="J660:K660"/>
    <mergeCell ref="A589:C589"/>
    <mergeCell ref="D589:E589"/>
    <mergeCell ref="F589:G589"/>
    <mergeCell ref="H589:I589"/>
    <mergeCell ref="J589:K589"/>
    <mergeCell ref="L589:M589"/>
    <mergeCell ref="L730:M730"/>
    <mergeCell ref="N730:O730"/>
    <mergeCell ref="P730:P731"/>
    <mergeCell ref="A747:Q747"/>
    <mergeCell ref="A748:Q748"/>
    <mergeCell ref="A749:Q749"/>
    <mergeCell ref="N689:O689"/>
    <mergeCell ref="P689:P690"/>
    <mergeCell ref="A727:Q727"/>
    <mergeCell ref="A728:Q728"/>
    <mergeCell ref="A729:Q729"/>
    <mergeCell ref="A730:C730"/>
    <mergeCell ref="D730:E730"/>
    <mergeCell ref="F730:G730"/>
    <mergeCell ref="H730:I730"/>
    <mergeCell ref="J730:K730"/>
    <mergeCell ref="A689:C689"/>
    <mergeCell ref="D689:E689"/>
    <mergeCell ref="F689:G689"/>
    <mergeCell ref="H689:I689"/>
    <mergeCell ref="J689:K689"/>
    <mergeCell ref="L689:M689"/>
    <mergeCell ref="L803:M803"/>
    <mergeCell ref="N803:O803"/>
    <mergeCell ref="P803:P804"/>
    <mergeCell ref="A832:Q832"/>
    <mergeCell ref="A833:Q833"/>
    <mergeCell ref="A834:Q834"/>
    <mergeCell ref="N750:O750"/>
    <mergeCell ref="P750:P751"/>
    <mergeCell ref="A800:Q800"/>
    <mergeCell ref="A801:Q801"/>
    <mergeCell ref="A802:Q802"/>
    <mergeCell ref="A803:C803"/>
    <mergeCell ref="D803:E803"/>
    <mergeCell ref="F803:G803"/>
    <mergeCell ref="H803:I803"/>
    <mergeCell ref="J803:K803"/>
    <mergeCell ref="A750:C750"/>
    <mergeCell ref="D750:E750"/>
    <mergeCell ref="F750:G750"/>
    <mergeCell ref="H750:I750"/>
    <mergeCell ref="J750:K750"/>
    <mergeCell ref="L750:M750"/>
    <mergeCell ref="L885:M885"/>
    <mergeCell ref="N885:O885"/>
    <mergeCell ref="P885:P886"/>
    <mergeCell ref="A920:Q920"/>
    <mergeCell ref="A921:Q921"/>
    <mergeCell ref="A922:Q922"/>
    <mergeCell ref="N835:O835"/>
    <mergeCell ref="P835:P836"/>
    <mergeCell ref="A882:Q882"/>
    <mergeCell ref="A883:Q883"/>
    <mergeCell ref="A884:Q884"/>
    <mergeCell ref="A885:C885"/>
    <mergeCell ref="D885:E885"/>
    <mergeCell ref="F885:G885"/>
    <mergeCell ref="H885:I885"/>
    <mergeCell ref="J885:K885"/>
    <mergeCell ref="A835:C835"/>
    <mergeCell ref="D835:E835"/>
    <mergeCell ref="F835:G835"/>
    <mergeCell ref="H835:I835"/>
    <mergeCell ref="J835:K835"/>
    <mergeCell ref="L835:M835"/>
    <mergeCell ref="L961:M961"/>
    <mergeCell ref="N961:O961"/>
    <mergeCell ref="P961:P962"/>
    <mergeCell ref="A978:Q978"/>
    <mergeCell ref="A979:Q979"/>
    <mergeCell ref="A980:Q980"/>
    <mergeCell ref="N923:O923"/>
    <mergeCell ref="P923:P924"/>
    <mergeCell ref="A958:Q958"/>
    <mergeCell ref="A959:Q959"/>
    <mergeCell ref="A960:Q960"/>
    <mergeCell ref="A961:C961"/>
    <mergeCell ref="D961:E961"/>
    <mergeCell ref="F961:G961"/>
    <mergeCell ref="H961:I961"/>
    <mergeCell ref="J961:K961"/>
    <mergeCell ref="A923:C923"/>
    <mergeCell ref="D923:E923"/>
    <mergeCell ref="F923:G923"/>
    <mergeCell ref="H923:I923"/>
    <mergeCell ref="J923:K923"/>
    <mergeCell ref="L923:M923"/>
    <mergeCell ref="L1058:M1058"/>
    <mergeCell ref="N1058:O1058"/>
    <mergeCell ref="P1058:P1059"/>
    <mergeCell ref="A1081:Q1081"/>
    <mergeCell ref="A1082:Q1082"/>
    <mergeCell ref="A1083:Q1083"/>
    <mergeCell ref="N981:O981"/>
    <mergeCell ref="P981:P982"/>
    <mergeCell ref="A1055:Q1055"/>
    <mergeCell ref="A1056:Q1056"/>
    <mergeCell ref="A1057:Q1057"/>
    <mergeCell ref="A1058:C1058"/>
    <mergeCell ref="D1058:E1058"/>
    <mergeCell ref="F1058:G1058"/>
    <mergeCell ref="H1058:I1058"/>
    <mergeCell ref="J1058:K1058"/>
    <mergeCell ref="A981:C981"/>
    <mergeCell ref="D981:E981"/>
    <mergeCell ref="F981:G981"/>
    <mergeCell ref="H981:I981"/>
    <mergeCell ref="J981:K981"/>
    <mergeCell ref="L981:M981"/>
    <mergeCell ref="L1224:M1224"/>
    <mergeCell ref="N1224:O1224"/>
    <mergeCell ref="P1224:P1225"/>
    <mergeCell ref="A1232:Q1232"/>
    <mergeCell ref="A1233:Q1233"/>
    <mergeCell ref="A1234:Q1234"/>
    <mergeCell ref="N1084:O1084"/>
    <mergeCell ref="P1084:P1085"/>
    <mergeCell ref="A1221:Q1221"/>
    <mergeCell ref="A1222:Q1222"/>
    <mergeCell ref="A1223:Q1223"/>
    <mergeCell ref="A1224:C1224"/>
    <mergeCell ref="D1224:E1224"/>
    <mergeCell ref="F1224:G1224"/>
    <mergeCell ref="H1224:I1224"/>
    <mergeCell ref="J1224:K1224"/>
    <mergeCell ref="A1084:C1084"/>
    <mergeCell ref="D1084:E1084"/>
    <mergeCell ref="F1084:G1084"/>
    <mergeCell ref="H1084:I1084"/>
    <mergeCell ref="J1084:K1084"/>
    <mergeCell ref="L1084:M1084"/>
    <mergeCell ref="L1252:M1252"/>
    <mergeCell ref="N1252:O1252"/>
    <mergeCell ref="P1252:P1253"/>
    <mergeCell ref="A1260:Q1260"/>
    <mergeCell ref="A1261:Q1261"/>
    <mergeCell ref="A1262:Q1262"/>
    <mergeCell ref="N1235:O1235"/>
    <mergeCell ref="P1235:P1236"/>
    <mergeCell ref="A1249:Q1249"/>
    <mergeCell ref="A1250:Q1250"/>
    <mergeCell ref="A1251:Q1251"/>
    <mergeCell ref="A1252:C1252"/>
    <mergeCell ref="D1252:E1252"/>
    <mergeCell ref="F1252:G1252"/>
    <mergeCell ref="H1252:I1252"/>
    <mergeCell ref="J1252:K1252"/>
    <mergeCell ref="A1235:C1235"/>
    <mergeCell ref="D1235:E1235"/>
    <mergeCell ref="F1235:G1235"/>
    <mergeCell ref="H1235:I1235"/>
    <mergeCell ref="J1235:K1235"/>
    <mergeCell ref="L1235:M1235"/>
    <mergeCell ref="N1263:O1263"/>
    <mergeCell ref="P1263:P1264"/>
    <mergeCell ref="A1328:Q1328"/>
    <mergeCell ref="A1263:C1263"/>
    <mergeCell ref="D1263:E1263"/>
    <mergeCell ref="F1263:G1263"/>
    <mergeCell ref="H1263:I1263"/>
    <mergeCell ref="J1263:K1263"/>
    <mergeCell ref="L1263:M1263"/>
  </mergeCells>
  <pageMargins left="0.4" right="0.4" top="0.70000000000000007" bottom="0.70000000000000007" header="0.70000000000000007" footer="0.70000000000000007"/>
  <pageSetup paperSize="9" orientation="landscape" horizontalDpi="0" verticalDpi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4"/>
  <sheetViews>
    <sheetView showGridLines="0" topLeftCell="A79" zoomScale="86" zoomScaleNormal="86" workbookViewId="0">
      <selection activeCell="T34" sqref="T34"/>
    </sheetView>
  </sheetViews>
  <sheetFormatPr defaultRowHeight="12.75" x14ac:dyDescent="0.2"/>
  <cols>
    <col min="1" max="3" width="6.125" style="2" customWidth="1"/>
    <col min="4" max="12" width="5.375" style="2" customWidth="1"/>
    <col min="13" max="15" width="6.875" style="2" customWidth="1"/>
    <col min="16" max="16" width="9.625" style="2" customWidth="1"/>
    <col min="17" max="17" width="35.75" style="2" customWidth="1"/>
    <col min="18" max="256" width="9" style="2"/>
    <col min="257" max="259" width="6.125" style="2" customWidth="1"/>
    <col min="260" max="268" width="5.375" style="2" customWidth="1"/>
    <col min="269" max="271" width="6.875" style="2" customWidth="1"/>
    <col min="272" max="272" width="9.625" style="2" customWidth="1"/>
    <col min="273" max="273" width="35.75" style="2" customWidth="1"/>
    <col min="274" max="512" width="9" style="2"/>
    <col min="513" max="515" width="6.125" style="2" customWidth="1"/>
    <col min="516" max="524" width="5.375" style="2" customWidth="1"/>
    <col min="525" max="527" width="6.875" style="2" customWidth="1"/>
    <col min="528" max="528" width="9.625" style="2" customWidth="1"/>
    <col min="529" max="529" width="35.75" style="2" customWidth="1"/>
    <col min="530" max="768" width="9" style="2"/>
    <col min="769" max="771" width="6.125" style="2" customWidth="1"/>
    <col min="772" max="780" width="5.375" style="2" customWidth="1"/>
    <col min="781" max="783" width="6.875" style="2" customWidth="1"/>
    <col min="784" max="784" width="9.625" style="2" customWidth="1"/>
    <col min="785" max="785" width="35.75" style="2" customWidth="1"/>
    <col min="786" max="1024" width="9" style="2"/>
    <col min="1025" max="1027" width="6.125" style="2" customWidth="1"/>
    <col min="1028" max="1036" width="5.375" style="2" customWidth="1"/>
    <col min="1037" max="1039" width="6.875" style="2" customWidth="1"/>
    <col min="1040" max="1040" width="9.625" style="2" customWidth="1"/>
    <col min="1041" max="1041" width="35.75" style="2" customWidth="1"/>
    <col min="1042" max="1280" width="9" style="2"/>
    <col min="1281" max="1283" width="6.125" style="2" customWidth="1"/>
    <col min="1284" max="1292" width="5.375" style="2" customWidth="1"/>
    <col min="1293" max="1295" width="6.875" style="2" customWidth="1"/>
    <col min="1296" max="1296" width="9.625" style="2" customWidth="1"/>
    <col min="1297" max="1297" width="35.75" style="2" customWidth="1"/>
    <col min="1298" max="1536" width="9" style="2"/>
    <col min="1537" max="1539" width="6.125" style="2" customWidth="1"/>
    <col min="1540" max="1548" width="5.375" style="2" customWidth="1"/>
    <col min="1549" max="1551" width="6.875" style="2" customWidth="1"/>
    <col min="1552" max="1552" width="9.625" style="2" customWidth="1"/>
    <col min="1553" max="1553" width="35.75" style="2" customWidth="1"/>
    <col min="1554" max="1792" width="9" style="2"/>
    <col min="1793" max="1795" width="6.125" style="2" customWidth="1"/>
    <col min="1796" max="1804" width="5.375" style="2" customWidth="1"/>
    <col min="1805" max="1807" width="6.875" style="2" customWidth="1"/>
    <col min="1808" max="1808" width="9.625" style="2" customWidth="1"/>
    <col min="1809" max="1809" width="35.75" style="2" customWidth="1"/>
    <col min="1810" max="2048" width="9" style="2"/>
    <col min="2049" max="2051" width="6.125" style="2" customWidth="1"/>
    <col min="2052" max="2060" width="5.375" style="2" customWidth="1"/>
    <col min="2061" max="2063" width="6.875" style="2" customWidth="1"/>
    <col min="2064" max="2064" width="9.625" style="2" customWidth="1"/>
    <col min="2065" max="2065" width="35.75" style="2" customWidth="1"/>
    <col min="2066" max="2304" width="9" style="2"/>
    <col min="2305" max="2307" width="6.125" style="2" customWidth="1"/>
    <col min="2308" max="2316" width="5.375" style="2" customWidth="1"/>
    <col min="2317" max="2319" width="6.875" style="2" customWidth="1"/>
    <col min="2320" max="2320" width="9.625" style="2" customWidth="1"/>
    <col min="2321" max="2321" width="35.75" style="2" customWidth="1"/>
    <col min="2322" max="2560" width="9" style="2"/>
    <col min="2561" max="2563" width="6.125" style="2" customWidth="1"/>
    <col min="2564" max="2572" width="5.375" style="2" customWidth="1"/>
    <col min="2573" max="2575" width="6.875" style="2" customWidth="1"/>
    <col min="2576" max="2576" width="9.625" style="2" customWidth="1"/>
    <col min="2577" max="2577" width="35.75" style="2" customWidth="1"/>
    <col min="2578" max="2816" width="9" style="2"/>
    <col min="2817" max="2819" width="6.125" style="2" customWidth="1"/>
    <col min="2820" max="2828" width="5.375" style="2" customWidth="1"/>
    <col min="2829" max="2831" width="6.875" style="2" customWidth="1"/>
    <col min="2832" max="2832" width="9.625" style="2" customWidth="1"/>
    <col min="2833" max="2833" width="35.75" style="2" customWidth="1"/>
    <col min="2834" max="3072" width="9" style="2"/>
    <col min="3073" max="3075" width="6.125" style="2" customWidth="1"/>
    <col min="3076" max="3084" width="5.375" style="2" customWidth="1"/>
    <col min="3085" max="3087" width="6.875" style="2" customWidth="1"/>
    <col min="3088" max="3088" width="9.625" style="2" customWidth="1"/>
    <col min="3089" max="3089" width="35.75" style="2" customWidth="1"/>
    <col min="3090" max="3328" width="9" style="2"/>
    <col min="3329" max="3331" width="6.125" style="2" customWidth="1"/>
    <col min="3332" max="3340" width="5.375" style="2" customWidth="1"/>
    <col min="3341" max="3343" width="6.875" style="2" customWidth="1"/>
    <col min="3344" max="3344" width="9.625" style="2" customWidth="1"/>
    <col min="3345" max="3345" width="35.75" style="2" customWidth="1"/>
    <col min="3346" max="3584" width="9" style="2"/>
    <col min="3585" max="3587" width="6.125" style="2" customWidth="1"/>
    <col min="3588" max="3596" width="5.375" style="2" customWidth="1"/>
    <col min="3597" max="3599" width="6.875" style="2" customWidth="1"/>
    <col min="3600" max="3600" width="9.625" style="2" customWidth="1"/>
    <col min="3601" max="3601" width="35.75" style="2" customWidth="1"/>
    <col min="3602" max="3840" width="9" style="2"/>
    <col min="3841" max="3843" width="6.125" style="2" customWidth="1"/>
    <col min="3844" max="3852" width="5.375" style="2" customWidth="1"/>
    <col min="3853" max="3855" width="6.875" style="2" customWidth="1"/>
    <col min="3856" max="3856" width="9.625" style="2" customWidth="1"/>
    <col min="3857" max="3857" width="35.75" style="2" customWidth="1"/>
    <col min="3858" max="4096" width="9" style="2"/>
    <col min="4097" max="4099" width="6.125" style="2" customWidth="1"/>
    <col min="4100" max="4108" width="5.375" style="2" customWidth="1"/>
    <col min="4109" max="4111" width="6.875" style="2" customWidth="1"/>
    <col min="4112" max="4112" width="9.625" style="2" customWidth="1"/>
    <col min="4113" max="4113" width="35.75" style="2" customWidth="1"/>
    <col min="4114" max="4352" width="9" style="2"/>
    <col min="4353" max="4355" width="6.125" style="2" customWidth="1"/>
    <col min="4356" max="4364" width="5.375" style="2" customWidth="1"/>
    <col min="4365" max="4367" width="6.875" style="2" customWidth="1"/>
    <col min="4368" max="4368" width="9.625" style="2" customWidth="1"/>
    <col min="4369" max="4369" width="35.75" style="2" customWidth="1"/>
    <col min="4370" max="4608" width="9" style="2"/>
    <col min="4609" max="4611" width="6.125" style="2" customWidth="1"/>
    <col min="4612" max="4620" width="5.375" style="2" customWidth="1"/>
    <col min="4621" max="4623" width="6.875" style="2" customWidth="1"/>
    <col min="4624" max="4624" width="9.625" style="2" customWidth="1"/>
    <col min="4625" max="4625" width="35.75" style="2" customWidth="1"/>
    <col min="4626" max="4864" width="9" style="2"/>
    <col min="4865" max="4867" width="6.125" style="2" customWidth="1"/>
    <col min="4868" max="4876" width="5.375" style="2" customWidth="1"/>
    <col min="4877" max="4879" width="6.875" style="2" customWidth="1"/>
    <col min="4880" max="4880" width="9.625" style="2" customWidth="1"/>
    <col min="4881" max="4881" width="35.75" style="2" customWidth="1"/>
    <col min="4882" max="5120" width="9" style="2"/>
    <col min="5121" max="5123" width="6.125" style="2" customWidth="1"/>
    <col min="5124" max="5132" width="5.375" style="2" customWidth="1"/>
    <col min="5133" max="5135" width="6.875" style="2" customWidth="1"/>
    <col min="5136" max="5136" width="9.625" style="2" customWidth="1"/>
    <col min="5137" max="5137" width="35.75" style="2" customWidth="1"/>
    <col min="5138" max="5376" width="9" style="2"/>
    <col min="5377" max="5379" width="6.125" style="2" customWidth="1"/>
    <col min="5380" max="5388" width="5.375" style="2" customWidth="1"/>
    <col min="5389" max="5391" width="6.875" style="2" customWidth="1"/>
    <col min="5392" max="5392" width="9.625" style="2" customWidth="1"/>
    <col min="5393" max="5393" width="35.75" style="2" customWidth="1"/>
    <col min="5394" max="5632" width="9" style="2"/>
    <col min="5633" max="5635" width="6.125" style="2" customWidth="1"/>
    <col min="5636" max="5644" width="5.375" style="2" customWidth="1"/>
    <col min="5645" max="5647" width="6.875" style="2" customWidth="1"/>
    <col min="5648" max="5648" width="9.625" style="2" customWidth="1"/>
    <col min="5649" max="5649" width="35.75" style="2" customWidth="1"/>
    <col min="5650" max="5888" width="9" style="2"/>
    <col min="5889" max="5891" width="6.125" style="2" customWidth="1"/>
    <col min="5892" max="5900" width="5.375" style="2" customWidth="1"/>
    <col min="5901" max="5903" width="6.875" style="2" customWidth="1"/>
    <col min="5904" max="5904" width="9.625" style="2" customWidth="1"/>
    <col min="5905" max="5905" width="35.75" style="2" customWidth="1"/>
    <col min="5906" max="6144" width="9" style="2"/>
    <col min="6145" max="6147" width="6.125" style="2" customWidth="1"/>
    <col min="6148" max="6156" width="5.375" style="2" customWidth="1"/>
    <col min="6157" max="6159" width="6.875" style="2" customWidth="1"/>
    <col min="6160" max="6160" width="9.625" style="2" customWidth="1"/>
    <col min="6161" max="6161" width="35.75" style="2" customWidth="1"/>
    <col min="6162" max="6400" width="9" style="2"/>
    <col min="6401" max="6403" width="6.125" style="2" customWidth="1"/>
    <col min="6404" max="6412" width="5.375" style="2" customWidth="1"/>
    <col min="6413" max="6415" width="6.875" style="2" customWidth="1"/>
    <col min="6416" max="6416" width="9.625" style="2" customWidth="1"/>
    <col min="6417" max="6417" width="35.75" style="2" customWidth="1"/>
    <col min="6418" max="6656" width="9" style="2"/>
    <col min="6657" max="6659" width="6.125" style="2" customWidth="1"/>
    <col min="6660" max="6668" width="5.375" style="2" customWidth="1"/>
    <col min="6669" max="6671" width="6.875" style="2" customWidth="1"/>
    <col min="6672" max="6672" width="9.625" style="2" customWidth="1"/>
    <col min="6673" max="6673" width="35.75" style="2" customWidth="1"/>
    <col min="6674" max="6912" width="9" style="2"/>
    <col min="6913" max="6915" width="6.125" style="2" customWidth="1"/>
    <col min="6916" max="6924" width="5.375" style="2" customWidth="1"/>
    <col min="6925" max="6927" width="6.875" style="2" customWidth="1"/>
    <col min="6928" max="6928" width="9.625" style="2" customWidth="1"/>
    <col min="6929" max="6929" width="35.75" style="2" customWidth="1"/>
    <col min="6930" max="7168" width="9" style="2"/>
    <col min="7169" max="7171" width="6.125" style="2" customWidth="1"/>
    <col min="7172" max="7180" width="5.375" style="2" customWidth="1"/>
    <col min="7181" max="7183" width="6.875" style="2" customWidth="1"/>
    <col min="7184" max="7184" width="9.625" style="2" customWidth="1"/>
    <col min="7185" max="7185" width="35.75" style="2" customWidth="1"/>
    <col min="7186" max="7424" width="9" style="2"/>
    <col min="7425" max="7427" width="6.125" style="2" customWidth="1"/>
    <col min="7428" max="7436" width="5.375" style="2" customWidth="1"/>
    <col min="7437" max="7439" width="6.875" style="2" customWidth="1"/>
    <col min="7440" max="7440" width="9.625" style="2" customWidth="1"/>
    <col min="7441" max="7441" width="35.75" style="2" customWidth="1"/>
    <col min="7442" max="7680" width="9" style="2"/>
    <col min="7681" max="7683" width="6.125" style="2" customWidth="1"/>
    <col min="7684" max="7692" width="5.375" style="2" customWidth="1"/>
    <col min="7693" max="7695" width="6.875" style="2" customWidth="1"/>
    <col min="7696" max="7696" width="9.625" style="2" customWidth="1"/>
    <col min="7697" max="7697" width="35.75" style="2" customWidth="1"/>
    <col min="7698" max="7936" width="9" style="2"/>
    <col min="7937" max="7939" width="6.125" style="2" customWidth="1"/>
    <col min="7940" max="7948" width="5.375" style="2" customWidth="1"/>
    <col min="7949" max="7951" width="6.875" style="2" customWidth="1"/>
    <col min="7952" max="7952" width="9.625" style="2" customWidth="1"/>
    <col min="7953" max="7953" width="35.75" style="2" customWidth="1"/>
    <col min="7954" max="8192" width="9" style="2"/>
    <col min="8193" max="8195" width="6.125" style="2" customWidth="1"/>
    <col min="8196" max="8204" width="5.375" style="2" customWidth="1"/>
    <col min="8205" max="8207" width="6.875" style="2" customWidth="1"/>
    <col min="8208" max="8208" width="9.625" style="2" customWidth="1"/>
    <col min="8209" max="8209" width="35.75" style="2" customWidth="1"/>
    <col min="8210" max="8448" width="9" style="2"/>
    <col min="8449" max="8451" width="6.125" style="2" customWidth="1"/>
    <col min="8452" max="8460" width="5.375" style="2" customWidth="1"/>
    <col min="8461" max="8463" width="6.875" style="2" customWidth="1"/>
    <col min="8464" max="8464" width="9.625" style="2" customWidth="1"/>
    <col min="8465" max="8465" width="35.75" style="2" customWidth="1"/>
    <col min="8466" max="8704" width="9" style="2"/>
    <col min="8705" max="8707" width="6.125" style="2" customWidth="1"/>
    <col min="8708" max="8716" width="5.375" style="2" customWidth="1"/>
    <col min="8717" max="8719" width="6.875" style="2" customWidth="1"/>
    <col min="8720" max="8720" width="9.625" style="2" customWidth="1"/>
    <col min="8721" max="8721" width="35.75" style="2" customWidth="1"/>
    <col min="8722" max="8960" width="9" style="2"/>
    <col min="8961" max="8963" width="6.125" style="2" customWidth="1"/>
    <col min="8964" max="8972" width="5.375" style="2" customWidth="1"/>
    <col min="8973" max="8975" width="6.875" style="2" customWidth="1"/>
    <col min="8976" max="8976" width="9.625" style="2" customWidth="1"/>
    <col min="8977" max="8977" width="35.75" style="2" customWidth="1"/>
    <col min="8978" max="9216" width="9" style="2"/>
    <col min="9217" max="9219" width="6.125" style="2" customWidth="1"/>
    <col min="9220" max="9228" width="5.375" style="2" customWidth="1"/>
    <col min="9229" max="9231" width="6.875" style="2" customWidth="1"/>
    <col min="9232" max="9232" width="9.625" style="2" customWidth="1"/>
    <col min="9233" max="9233" width="35.75" style="2" customWidth="1"/>
    <col min="9234" max="9472" width="9" style="2"/>
    <col min="9473" max="9475" width="6.125" style="2" customWidth="1"/>
    <col min="9476" max="9484" width="5.375" style="2" customWidth="1"/>
    <col min="9485" max="9487" width="6.875" style="2" customWidth="1"/>
    <col min="9488" max="9488" width="9.625" style="2" customWidth="1"/>
    <col min="9489" max="9489" width="35.75" style="2" customWidth="1"/>
    <col min="9490" max="9728" width="9" style="2"/>
    <col min="9729" max="9731" width="6.125" style="2" customWidth="1"/>
    <col min="9732" max="9740" width="5.375" style="2" customWidth="1"/>
    <col min="9741" max="9743" width="6.875" style="2" customWidth="1"/>
    <col min="9744" max="9744" width="9.625" style="2" customWidth="1"/>
    <col min="9745" max="9745" width="35.75" style="2" customWidth="1"/>
    <col min="9746" max="9984" width="9" style="2"/>
    <col min="9985" max="9987" width="6.125" style="2" customWidth="1"/>
    <col min="9988" max="9996" width="5.375" style="2" customWidth="1"/>
    <col min="9997" max="9999" width="6.875" style="2" customWidth="1"/>
    <col min="10000" max="10000" width="9.625" style="2" customWidth="1"/>
    <col min="10001" max="10001" width="35.75" style="2" customWidth="1"/>
    <col min="10002" max="10240" width="9" style="2"/>
    <col min="10241" max="10243" width="6.125" style="2" customWidth="1"/>
    <col min="10244" max="10252" width="5.375" style="2" customWidth="1"/>
    <col min="10253" max="10255" width="6.875" style="2" customWidth="1"/>
    <col min="10256" max="10256" width="9.625" style="2" customWidth="1"/>
    <col min="10257" max="10257" width="35.75" style="2" customWidth="1"/>
    <col min="10258" max="10496" width="9" style="2"/>
    <col min="10497" max="10499" width="6.125" style="2" customWidth="1"/>
    <col min="10500" max="10508" width="5.375" style="2" customWidth="1"/>
    <col min="10509" max="10511" width="6.875" style="2" customWidth="1"/>
    <col min="10512" max="10512" width="9.625" style="2" customWidth="1"/>
    <col min="10513" max="10513" width="35.75" style="2" customWidth="1"/>
    <col min="10514" max="10752" width="9" style="2"/>
    <col min="10753" max="10755" width="6.125" style="2" customWidth="1"/>
    <col min="10756" max="10764" width="5.375" style="2" customWidth="1"/>
    <col min="10765" max="10767" width="6.875" style="2" customWidth="1"/>
    <col min="10768" max="10768" width="9.625" style="2" customWidth="1"/>
    <col min="10769" max="10769" width="35.75" style="2" customWidth="1"/>
    <col min="10770" max="11008" width="9" style="2"/>
    <col min="11009" max="11011" width="6.125" style="2" customWidth="1"/>
    <col min="11012" max="11020" width="5.375" style="2" customWidth="1"/>
    <col min="11021" max="11023" width="6.875" style="2" customWidth="1"/>
    <col min="11024" max="11024" width="9.625" style="2" customWidth="1"/>
    <col min="11025" max="11025" width="35.75" style="2" customWidth="1"/>
    <col min="11026" max="11264" width="9" style="2"/>
    <col min="11265" max="11267" width="6.125" style="2" customWidth="1"/>
    <col min="11268" max="11276" width="5.375" style="2" customWidth="1"/>
    <col min="11277" max="11279" width="6.875" style="2" customWidth="1"/>
    <col min="11280" max="11280" width="9.625" style="2" customWidth="1"/>
    <col min="11281" max="11281" width="35.75" style="2" customWidth="1"/>
    <col min="11282" max="11520" width="9" style="2"/>
    <col min="11521" max="11523" width="6.125" style="2" customWidth="1"/>
    <col min="11524" max="11532" width="5.375" style="2" customWidth="1"/>
    <col min="11533" max="11535" width="6.875" style="2" customWidth="1"/>
    <col min="11536" max="11536" width="9.625" style="2" customWidth="1"/>
    <col min="11537" max="11537" width="35.75" style="2" customWidth="1"/>
    <col min="11538" max="11776" width="9" style="2"/>
    <col min="11777" max="11779" width="6.125" style="2" customWidth="1"/>
    <col min="11780" max="11788" width="5.375" style="2" customWidth="1"/>
    <col min="11789" max="11791" width="6.875" style="2" customWidth="1"/>
    <col min="11792" max="11792" width="9.625" style="2" customWidth="1"/>
    <col min="11793" max="11793" width="35.75" style="2" customWidth="1"/>
    <col min="11794" max="12032" width="9" style="2"/>
    <col min="12033" max="12035" width="6.125" style="2" customWidth="1"/>
    <col min="12036" max="12044" width="5.375" style="2" customWidth="1"/>
    <col min="12045" max="12047" width="6.875" style="2" customWidth="1"/>
    <col min="12048" max="12048" width="9.625" style="2" customWidth="1"/>
    <col min="12049" max="12049" width="35.75" style="2" customWidth="1"/>
    <col min="12050" max="12288" width="9" style="2"/>
    <col min="12289" max="12291" width="6.125" style="2" customWidth="1"/>
    <col min="12292" max="12300" width="5.375" style="2" customWidth="1"/>
    <col min="12301" max="12303" width="6.875" style="2" customWidth="1"/>
    <col min="12304" max="12304" width="9.625" style="2" customWidth="1"/>
    <col min="12305" max="12305" width="35.75" style="2" customWidth="1"/>
    <col min="12306" max="12544" width="9" style="2"/>
    <col min="12545" max="12547" width="6.125" style="2" customWidth="1"/>
    <col min="12548" max="12556" width="5.375" style="2" customWidth="1"/>
    <col min="12557" max="12559" width="6.875" style="2" customWidth="1"/>
    <col min="12560" max="12560" width="9.625" style="2" customWidth="1"/>
    <col min="12561" max="12561" width="35.75" style="2" customWidth="1"/>
    <col min="12562" max="12800" width="9" style="2"/>
    <col min="12801" max="12803" width="6.125" style="2" customWidth="1"/>
    <col min="12804" max="12812" width="5.375" style="2" customWidth="1"/>
    <col min="12813" max="12815" width="6.875" style="2" customWidth="1"/>
    <col min="12816" max="12816" width="9.625" style="2" customWidth="1"/>
    <col min="12817" max="12817" width="35.75" style="2" customWidth="1"/>
    <col min="12818" max="13056" width="9" style="2"/>
    <col min="13057" max="13059" width="6.125" style="2" customWidth="1"/>
    <col min="13060" max="13068" width="5.375" style="2" customWidth="1"/>
    <col min="13069" max="13071" width="6.875" style="2" customWidth="1"/>
    <col min="13072" max="13072" width="9.625" style="2" customWidth="1"/>
    <col min="13073" max="13073" width="35.75" style="2" customWidth="1"/>
    <col min="13074" max="13312" width="9" style="2"/>
    <col min="13313" max="13315" width="6.125" style="2" customWidth="1"/>
    <col min="13316" max="13324" width="5.375" style="2" customWidth="1"/>
    <col min="13325" max="13327" width="6.875" style="2" customWidth="1"/>
    <col min="13328" max="13328" width="9.625" style="2" customWidth="1"/>
    <col min="13329" max="13329" width="35.75" style="2" customWidth="1"/>
    <col min="13330" max="13568" width="9" style="2"/>
    <col min="13569" max="13571" width="6.125" style="2" customWidth="1"/>
    <col min="13572" max="13580" width="5.375" style="2" customWidth="1"/>
    <col min="13581" max="13583" width="6.875" style="2" customWidth="1"/>
    <col min="13584" max="13584" width="9.625" style="2" customWidth="1"/>
    <col min="13585" max="13585" width="35.75" style="2" customWidth="1"/>
    <col min="13586" max="13824" width="9" style="2"/>
    <col min="13825" max="13827" width="6.125" style="2" customWidth="1"/>
    <col min="13828" max="13836" width="5.375" style="2" customWidth="1"/>
    <col min="13837" max="13839" width="6.875" style="2" customWidth="1"/>
    <col min="13840" max="13840" width="9.625" style="2" customWidth="1"/>
    <col min="13841" max="13841" width="35.75" style="2" customWidth="1"/>
    <col min="13842" max="14080" width="9" style="2"/>
    <col min="14081" max="14083" width="6.125" style="2" customWidth="1"/>
    <col min="14084" max="14092" width="5.375" style="2" customWidth="1"/>
    <col min="14093" max="14095" width="6.875" style="2" customWidth="1"/>
    <col min="14096" max="14096" width="9.625" style="2" customWidth="1"/>
    <col min="14097" max="14097" width="35.75" style="2" customWidth="1"/>
    <col min="14098" max="14336" width="9" style="2"/>
    <col min="14337" max="14339" width="6.125" style="2" customWidth="1"/>
    <col min="14340" max="14348" width="5.375" style="2" customWidth="1"/>
    <col min="14349" max="14351" width="6.875" style="2" customWidth="1"/>
    <col min="14352" max="14352" width="9.625" style="2" customWidth="1"/>
    <col min="14353" max="14353" width="35.75" style="2" customWidth="1"/>
    <col min="14354" max="14592" width="9" style="2"/>
    <col min="14593" max="14595" width="6.125" style="2" customWidth="1"/>
    <col min="14596" max="14604" width="5.375" style="2" customWidth="1"/>
    <col min="14605" max="14607" width="6.875" style="2" customWidth="1"/>
    <col min="14608" max="14608" width="9.625" style="2" customWidth="1"/>
    <col min="14609" max="14609" width="35.75" style="2" customWidth="1"/>
    <col min="14610" max="14848" width="9" style="2"/>
    <col min="14849" max="14851" width="6.125" style="2" customWidth="1"/>
    <col min="14852" max="14860" width="5.375" style="2" customWidth="1"/>
    <col min="14861" max="14863" width="6.875" style="2" customWidth="1"/>
    <col min="14864" max="14864" width="9.625" style="2" customWidth="1"/>
    <col min="14865" max="14865" width="35.75" style="2" customWidth="1"/>
    <col min="14866" max="15104" width="9" style="2"/>
    <col min="15105" max="15107" width="6.125" style="2" customWidth="1"/>
    <col min="15108" max="15116" width="5.375" style="2" customWidth="1"/>
    <col min="15117" max="15119" width="6.875" style="2" customWidth="1"/>
    <col min="15120" max="15120" width="9.625" style="2" customWidth="1"/>
    <col min="15121" max="15121" width="35.75" style="2" customWidth="1"/>
    <col min="15122" max="15360" width="9" style="2"/>
    <col min="15361" max="15363" width="6.125" style="2" customWidth="1"/>
    <col min="15364" max="15372" width="5.375" style="2" customWidth="1"/>
    <col min="15373" max="15375" width="6.875" style="2" customWidth="1"/>
    <col min="15376" max="15376" width="9.625" style="2" customWidth="1"/>
    <col min="15377" max="15377" width="35.75" style="2" customWidth="1"/>
    <col min="15378" max="15616" width="9" style="2"/>
    <col min="15617" max="15619" width="6.125" style="2" customWidth="1"/>
    <col min="15620" max="15628" width="5.375" style="2" customWidth="1"/>
    <col min="15629" max="15631" width="6.875" style="2" customWidth="1"/>
    <col min="15632" max="15632" width="9.625" style="2" customWidth="1"/>
    <col min="15633" max="15633" width="35.75" style="2" customWidth="1"/>
    <col min="15634" max="15872" width="9" style="2"/>
    <col min="15873" max="15875" width="6.125" style="2" customWidth="1"/>
    <col min="15876" max="15884" width="5.375" style="2" customWidth="1"/>
    <col min="15885" max="15887" width="6.875" style="2" customWidth="1"/>
    <col min="15888" max="15888" width="9.625" style="2" customWidth="1"/>
    <col min="15889" max="15889" width="35.75" style="2" customWidth="1"/>
    <col min="15890" max="16128" width="9" style="2"/>
    <col min="16129" max="16131" width="6.125" style="2" customWidth="1"/>
    <col min="16132" max="16140" width="5.375" style="2" customWidth="1"/>
    <col min="16141" max="16143" width="6.875" style="2" customWidth="1"/>
    <col min="16144" max="16144" width="9.625" style="2" customWidth="1"/>
    <col min="16145" max="16145" width="35.75" style="2" customWidth="1"/>
    <col min="16146" max="16384" width="9" style="2"/>
  </cols>
  <sheetData>
    <row r="1" spans="1:17" ht="20.100000000000001" customHeight="1" x14ac:dyDescent="0.2">
      <c r="A1" s="159" t="s">
        <v>641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</row>
    <row r="2" spans="1:17" ht="20.100000000000001" customHeight="1" thickBot="1" x14ac:dyDescent="0.25">
      <c r="A2" s="160" t="s">
        <v>642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</row>
    <row r="3" spans="1:17" ht="13.5" thickBot="1" x14ac:dyDescent="0.25">
      <c r="A3" s="204" t="s">
        <v>5</v>
      </c>
      <c r="B3" s="204"/>
      <c r="C3" s="204"/>
      <c r="D3" s="204" t="s">
        <v>57</v>
      </c>
      <c r="E3" s="204"/>
      <c r="F3" s="204"/>
      <c r="G3" s="204" t="s">
        <v>65</v>
      </c>
      <c r="H3" s="204"/>
      <c r="I3" s="204"/>
      <c r="J3" s="204" t="s">
        <v>62</v>
      </c>
      <c r="K3" s="204"/>
      <c r="L3" s="204"/>
      <c r="M3" s="204" t="s">
        <v>61</v>
      </c>
      <c r="N3" s="204"/>
      <c r="O3" s="204"/>
      <c r="P3" s="205" t="s">
        <v>614</v>
      </c>
      <c r="Q3" s="3"/>
    </row>
    <row r="4" spans="1:17" ht="13.5" thickBot="1" x14ac:dyDescent="0.25">
      <c r="A4" s="47" t="s">
        <v>216</v>
      </c>
      <c r="B4" s="47" t="s">
        <v>11</v>
      </c>
      <c r="C4" s="47" t="s">
        <v>10</v>
      </c>
      <c r="D4" s="47" t="s">
        <v>216</v>
      </c>
      <c r="E4" s="47" t="s">
        <v>11</v>
      </c>
      <c r="F4" s="47" t="s">
        <v>10</v>
      </c>
      <c r="G4" s="47" t="s">
        <v>216</v>
      </c>
      <c r="H4" s="47" t="s">
        <v>11</v>
      </c>
      <c r="I4" s="47" t="s">
        <v>10</v>
      </c>
      <c r="J4" s="47" t="s">
        <v>216</v>
      </c>
      <c r="K4" s="47" t="s">
        <v>11</v>
      </c>
      <c r="L4" s="47" t="s">
        <v>10</v>
      </c>
      <c r="M4" s="47" t="s">
        <v>216</v>
      </c>
      <c r="N4" s="47" t="s">
        <v>11</v>
      </c>
      <c r="O4" s="47" t="s">
        <v>10</v>
      </c>
      <c r="P4" s="206"/>
      <c r="Q4" s="5" t="s">
        <v>161</v>
      </c>
    </row>
    <row r="5" spans="1:17" ht="13.5" thickBot="1" x14ac:dyDescent="0.25">
      <c r="A5" s="123">
        <f>SUM(B5:C5)</f>
        <v>2179</v>
      </c>
      <c r="B5" s="123">
        <f>N5+K5+H5+E5</f>
        <v>1053</v>
      </c>
      <c r="C5" s="123">
        <f>O5+L5+I5+F5</f>
        <v>1126</v>
      </c>
      <c r="D5" s="123">
        <v>45</v>
      </c>
      <c r="E5" s="123">
        <v>38</v>
      </c>
      <c r="F5" s="123">
        <v>7</v>
      </c>
      <c r="G5" s="123">
        <v>625</v>
      </c>
      <c r="H5" s="123">
        <v>376</v>
      </c>
      <c r="I5" s="123">
        <v>249</v>
      </c>
      <c r="J5" s="123">
        <v>554</v>
      </c>
      <c r="K5" s="123">
        <v>348</v>
      </c>
      <c r="L5" s="123">
        <v>206</v>
      </c>
      <c r="M5" s="123">
        <v>955</v>
      </c>
      <c r="N5" s="123">
        <v>291</v>
      </c>
      <c r="O5" s="123">
        <v>664</v>
      </c>
      <c r="P5" s="7" t="s">
        <v>163</v>
      </c>
      <c r="Q5" s="124"/>
    </row>
    <row r="6" spans="1:17" ht="13.5" thickBot="1" x14ac:dyDescent="0.25">
      <c r="A6" s="123">
        <f t="shared" ref="A6:A69" si="0">SUM(B6:C6)</f>
        <v>661</v>
      </c>
      <c r="B6" s="123">
        <f t="shared" ref="B6:C69" si="1">N6+K6+H6+E6</f>
        <v>176</v>
      </c>
      <c r="C6" s="123">
        <f t="shared" si="1"/>
        <v>485</v>
      </c>
      <c r="D6" s="123">
        <v>16</v>
      </c>
      <c r="E6" s="123">
        <v>4</v>
      </c>
      <c r="F6" s="123">
        <v>12</v>
      </c>
      <c r="G6" s="123">
        <v>17</v>
      </c>
      <c r="H6" s="123">
        <v>0</v>
      </c>
      <c r="I6" s="123">
        <v>17</v>
      </c>
      <c r="J6" s="123">
        <v>145</v>
      </c>
      <c r="K6" s="123">
        <v>59</v>
      </c>
      <c r="L6" s="123">
        <v>86</v>
      </c>
      <c r="M6" s="123">
        <v>483</v>
      </c>
      <c r="N6" s="123">
        <v>113</v>
      </c>
      <c r="O6" s="123">
        <v>370</v>
      </c>
      <c r="P6" s="7" t="s">
        <v>162</v>
      </c>
      <c r="Q6" s="124" t="s">
        <v>74</v>
      </c>
    </row>
    <row r="7" spans="1:17" ht="13.5" thickBot="1" x14ac:dyDescent="0.25">
      <c r="A7" s="123">
        <f t="shared" ref="A7:N7" si="2">SUM(A5:A6)</f>
        <v>2840</v>
      </c>
      <c r="B7" s="123">
        <f t="shared" si="2"/>
        <v>1229</v>
      </c>
      <c r="C7" s="123">
        <f t="shared" si="2"/>
        <v>1611</v>
      </c>
      <c r="D7" s="123">
        <f t="shared" si="2"/>
        <v>61</v>
      </c>
      <c r="E7" s="123">
        <f t="shared" si="2"/>
        <v>42</v>
      </c>
      <c r="F7" s="123">
        <f t="shared" si="2"/>
        <v>19</v>
      </c>
      <c r="G7" s="123">
        <f t="shared" si="2"/>
        <v>642</v>
      </c>
      <c r="H7" s="123">
        <f t="shared" si="2"/>
        <v>376</v>
      </c>
      <c r="I7" s="123">
        <f t="shared" si="2"/>
        <v>266</v>
      </c>
      <c r="J7" s="123">
        <f t="shared" si="2"/>
        <v>699</v>
      </c>
      <c r="K7" s="123">
        <f t="shared" si="2"/>
        <v>407</v>
      </c>
      <c r="L7" s="123">
        <f t="shared" si="2"/>
        <v>292</v>
      </c>
      <c r="M7" s="123">
        <f t="shared" si="2"/>
        <v>1438</v>
      </c>
      <c r="N7" s="123">
        <f t="shared" si="2"/>
        <v>404</v>
      </c>
      <c r="O7" s="123">
        <f>SUM(O5:O6)</f>
        <v>1034</v>
      </c>
      <c r="P7" s="7" t="s">
        <v>13</v>
      </c>
      <c r="Q7" s="9"/>
    </row>
    <row r="8" spans="1:17" ht="13.5" thickBot="1" x14ac:dyDescent="0.25">
      <c r="A8" s="123">
        <f t="shared" si="0"/>
        <v>463</v>
      </c>
      <c r="B8" s="123">
        <f t="shared" si="1"/>
        <v>0</v>
      </c>
      <c r="C8" s="123">
        <f t="shared" si="1"/>
        <v>463</v>
      </c>
      <c r="D8" s="123">
        <v>0</v>
      </c>
      <c r="E8" s="123">
        <v>0</v>
      </c>
      <c r="F8" s="123">
        <v>0</v>
      </c>
      <c r="G8" s="123">
        <v>90</v>
      </c>
      <c r="H8" s="123">
        <v>0</v>
      </c>
      <c r="I8" s="123">
        <v>90</v>
      </c>
      <c r="J8" s="123">
        <v>89</v>
      </c>
      <c r="K8" s="123">
        <v>0</v>
      </c>
      <c r="L8" s="123">
        <v>89</v>
      </c>
      <c r="M8" s="123">
        <v>284</v>
      </c>
      <c r="N8" s="123">
        <v>0</v>
      </c>
      <c r="O8" s="123">
        <v>284</v>
      </c>
      <c r="P8" s="7" t="s">
        <v>163</v>
      </c>
      <c r="Q8" s="124"/>
    </row>
    <row r="9" spans="1:17" ht="13.5" thickBot="1" x14ac:dyDescent="0.25">
      <c r="A9" s="123">
        <f t="shared" si="0"/>
        <v>27</v>
      </c>
      <c r="B9" s="123">
        <f t="shared" si="1"/>
        <v>0</v>
      </c>
      <c r="C9" s="123">
        <f t="shared" si="1"/>
        <v>27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0</v>
      </c>
      <c r="J9" s="123">
        <v>0</v>
      </c>
      <c r="K9" s="123">
        <v>0</v>
      </c>
      <c r="L9" s="123">
        <v>0</v>
      </c>
      <c r="M9" s="123">
        <v>27</v>
      </c>
      <c r="N9" s="123">
        <v>0</v>
      </c>
      <c r="O9" s="123">
        <v>27</v>
      </c>
      <c r="P9" s="7" t="s">
        <v>162</v>
      </c>
      <c r="Q9" s="124" t="s">
        <v>164</v>
      </c>
    </row>
    <row r="10" spans="1:17" ht="13.5" thickBot="1" x14ac:dyDescent="0.25">
      <c r="A10" s="123">
        <f t="shared" ref="A10:N10" si="3">SUM(A8:A9)</f>
        <v>490</v>
      </c>
      <c r="B10" s="123">
        <f t="shared" si="3"/>
        <v>0</v>
      </c>
      <c r="C10" s="123">
        <f t="shared" si="3"/>
        <v>490</v>
      </c>
      <c r="D10" s="123">
        <f t="shared" si="3"/>
        <v>0</v>
      </c>
      <c r="E10" s="123">
        <f t="shared" si="3"/>
        <v>0</v>
      </c>
      <c r="F10" s="123">
        <f t="shared" si="3"/>
        <v>0</v>
      </c>
      <c r="G10" s="123">
        <f t="shared" si="3"/>
        <v>90</v>
      </c>
      <c r="H10" s="123">
        <f t="shared" si="3"/>
        <v>0</v>
      </c>
      <c r="I10" s="123">
        <f t="shared" si="3"/>
        <v>90</v>
      </c>
      <c r="J10" s="123">
        <f t="shared" si="3"/>
        <v>89</v>
      </c>
      <c r="K10" s="123">
        <f t="shared" si="3"/>
        <v>0</v>
      </c>
      <c r="L10" s="123">
        <f t="shared" si="3"/>
        <v>89</v>
      </c>
      <c r="M10" s="123">
        <f t="shared" si="3"/>
        <v>311</v>
      </c>
      <c r="N10" s="123">
        <f t="shared" si="3"/>
        <v>0</v>
      </c>
      <c r="O10" s="123">
        <f>SUM(O8:O9)</f>
        <v>311</v>
      </c>
      <c r="P10" s="7" t="s">
        <v>13</v>
      </c>
      <c r="Q10" s="9"/>
    </row>
    <row r="11" spans="1:17" ht="13.5" thickBot="1" x14ac:dyDescent="0.25">
      <c r="A11" s="123">
        <f t="shared" si="0"/>
        <v>1436</v>
      </c>
      <c r="B11" s="123">
        <f t="shared" si="1"/>
        <v>491</v>
      </c>
      <c r="C11" s="123">
        <f t="shared" si="1"/>
        <v>945</v>
      </c>
      <c r="D11" s="123">
        <v>22</v>
      </c>
      <c r="E11" s="123">
        <v>10</v>
      </c>
      <c r="F11" s="123">
        <v>12</v>
      </c>
      <c r="G11" s="123">
        <v>527</v>
      </c>
      <c r="H11" s="123">
        <v>303</v>
      </c>
      <c r="I11" s="123">
        <v>224</v>
      </c>
      <c r="J11" s="123">
        <v>290</v>
      </c>
      <c r="K11" s="123">
        <v>135</v>
      </c>
      <c r="L11" s="123">
        <v>155</v>
      </c>
      <c r="M11" s="123">
        <v>597</v>
      </c>
      <c r="N11" s="123">
        <v>43</v>
      </c>
      <c r="O11" s="123">
        <v>554</v>
      </c>
      <c r="P11" s="7" t="s">
        <v>163</v>
      </c>
      <c r="Q11" s="124"/>
    </row>
    <row r="12" spans="1:17" ht="13.5" thickBot="1" x14ac:dyDescent="0.25">
      <c r="A12" s="123">
        <f t="shared" si="0"/>
        <v>328</v>
      </c>
      <c r="B12" s="123">
        <f t="shared" si="1"/>
        <v>69</v>
      </c>
      <c r="C12" s="123">
        <f t="shared" si="1"/>
        <v>259</v>
      </c>
      <c r="D12" s="123">
        <v>20</v>
      </c>
      <c r="E12" s="123">
        <v>1</v>
      </c>
      <c r="F12" s="123">
        <v>19</v>
      </c>
      <c r="G12" s="123">
        <v>1</v>
      </c>
      <c r="H12" s="123">
        <v>0</v>
      </c>
      <c r="I12" s="123">
        <v>1</v>
      </c>
      <c r="J12" s="123">
        <v>55</v>
      </c>
      <c r="K12" s="123">
        <v>25</v>
      </c>
      <c r="L12" s="123">
        <v>30</v>
      </c>
      <c r="M12" s="123">
        <v>252</v>
      </c>
      <c r="N12" s="123">
        <v>43</v>
      </c>
      <c r="O12" s="123">
        <v>209</v>
      </c>
      <c r="P12" s="7" t="s">
        <v>162</v>
      </c>
      <c r="Q12" s="124" t="s">
        <v>76</v>
      </c>
    </row>
    <row r="13" spans="1:17" ht="13.5" thickBot="1" x14ac:dyDescent="0.25">
      <c r="A13" s="123">
        <f t="shared" ref="A13:N13" si="4">SUM(A11:A12)</f>
        <v>1764</v>
      </c>
      <c r="B13" s="123">
        <f t="shared" si="4"/>
        <v>560</v>
      </c>
      <c r="C13" s="123">
        <f t="shared" si="4"/>
        <v>1204</v>
      </c>
      <c r="D13" s="123">
        <f t="shared" si="4"/>
        <v>42</v>
      </c>
      <c r="E13" s="123">
        <f t="shared" si="4"/>
        <v>11</v>
      </c>
      <c r="F13" s="123">
        <f t="shared" si="4"/>
        <v>31</v>
      </c>
      <c r="G13" s="123">
        <f t="shared" si="4"/>
        <v>528</v>
      </c>
      <c r="H13" s="123">
        <f t="shared" si="4"/>
        <v>303</v>
      </c>
      <c r="I13" s="123">
        <f t="shared" si="4"/>
        <v>225</v>
      </c>
      <c r="J13" s="123">
        <f t="shared" si="4"/>
        <v>345</v>
      </c>
      <c r="K13" s="123">
        <f t="shared" si="4"/>
        <v>160</v>
      </c>
      <c r="L13" s="123">
        <f t="shared" si="4"/>
        <v>185</v>
      </c>
      <c r="M13" s="123">
        <f t="shared" si="4"/>
        <v>849</v>
      </c>
      <c r="N13" s="123">
        <f t="shared" si="4"/>
        <v>86</v>
      </c>
      <c r="O13" s="123">
        <f>SUM(O11:O12)</f>
        <v>763</v>
      </c>
      <c r="P13" s="7" t="s">
        <v>13</v>
      </c>
      <c r="Q13" s="9"/>
    </row>
    <row r="14" spans="1:17" ht="13.5" thickBot="1" x14ac:dyDescent="0.25">
      <c r="A14" s="123">
        <f t="shared" si="0"/>
        <v>2912</v>
      </c>
      <c r="B14" s="123">
        <f t="shared" si="1"/>
        <v>749</v>
      </c>
      <c r="C14" s="123">
        <f t="shared" si="1"/>
        <v>2163</v>
      </c>
      <c r="D14" s="123">
        <v>350</v>
      </c>
      <c r="E14" s="123">
        <v>0</v>
      </c>
      <c r="F14" s="123">
        <v>350</v>
      </c>
      <c r="G14" s="123">
        <v>593</v>
      </c>
      <c r="H14" s="123">
        <v>276</v>
      </c>
      <c r="I14" s="123">
        <v>317</v>
      </c>
      <c r="J14" s="123">
        <v>364</v>
      </c>
      <c r="K14" s="123">
        <v>225</v>
      </c>
      <c r="L14" s="123">
        <v>139</v>
      </c>
      <c r="M14" s="123">
        <v>1605</v>
      </c>
      <c r="N14" s="123">
        <v>248</v>
      </c>
      <c r="O14" s="123">
        <v>1357</v>
      </c>
      <c r="P14" s="7" t="s">
        <v>163</v>
      </c>
      <c r="Q14" s="124"/>
    </row>
    <row r="15" spans="1:17" ht="13.5" thickBot="1" x14ac:dyDescent="0.25">
      <c r="A15" s="123">
        <f t="shared" si="0"/>
        <v>1502</v>
      </c>
      <c r="B15" s="123">
        <f t="shared" si="1"/>
        <v>253</v>
      </c>
      <c r="C15" s="123">
        <f t="shared" si="1"/>
        <v>1249</v>
      </c>
      <c r="D15" s="123">
        <v>74</v>
      </c>
      <c r="E15" s="123">
        <v>17</v>
      </c>
      <c r="F15" s="123">
        <v>57</v>
      </c>
      <c r="G15" s="123">
        <v>82</v>
      </c>
      <c r="H15" s="123">
        <v>0</v>
      </c>
      <c r="I15" s="123">
        <v>82</v>
      </c>
      <c r="J15" s="123">
        <v>239</v>
      </c>
      <c r="K15" s="123">
        <v>20</v>
      </c>
      <c r="L15" s="123">
        <v>219</v>
      </c>
      <c r="M15" s="123">
        <v>1107</v>
      </c>
      <c r="N15" s="123">
        <v>216</v>
      </c>
      <c r="O15" s="123">
        <v>891</v>
      </c>
      <c r="P15" s="7" t="s">
        <v>162</v>
      </c>
      <c r="Q15" s="124" t="s">
        <v>78</v>
      </c>
    </row>
    <row r="16" spans="1:17" ht="13.5" thickBot="1" x14ac:dyDescent="0.25">
      <c r="A16" s="123">
        <f t="shared" ref="A16:N16" si="5">SUM(A14:A15)</f>
        <v>4414</v>
      </c>
      <c r="B16" s="123">
        <f t="shared" si="5"/>
        <v>1002</v>
      </c>
      <c r="C16" s="123">
        <f t="shared" si="5"/>
        <v>3412</v>
      </c>
      <c r="D16" s="123">
        <f t="shared" si="5"/>
        <v>424</v>
      </c>
      <c r="E16" s="123">
        <f t="shared" si="5"/>
        <v>17</v>
      </c>
      <c r="F16" s="123">
        <f t="shared" si="5"/>
        <v>407</v>
      </c>
      <c r="G16" s="123">
        <f t="shared" si="5"/>
        <v>675</v>
      </c>
      <c r="H16" s="123">
        <f t="shared" si="5"/>
        <v>276</v>
      </c>
      <c r="I16" s="123">
        <f t="shared" si="5"/>
        <v>399</v>
      </c>
      <c r="J16" s="123">
        <f t="shared" si="5"/>
        <v>603</v>
      </c>
      <c r="K16" s="123">
        <f t="shared" si="5"/>
        <v>245</v>
      </c>
      <c r="L16" s="123">
        <f t="shared" si="5"/>
        <v>358</v>
      </c>
      <c r="M16" s="123">
        <f t="shared" si="5"/>
        <v>2712</v>
      </c>
      <c r="N16" s="123">
        <f t="shared" si="5"/>
        <v>464</v>
      </c>
      <c r="O16" s="123">
        <f>SUM(O14:O15)</f>
        <v>2248</v>
      </c>
      <c r="P16" s="7" t="s">
        <v>13</v>
      </c>
      <c r="Q16" s="9"/>
    </row>
    <row r="17" spans="1:17" ht="13.5" thickBot="1" x14ac:dyDescent="0.25">
      <c r="A17" s="123">
        <f t="shared" si="0"/>
        <v>3163</v>
      </c>
      <c r="B17" s="123">
        <f t="shared" si="1"/>
        <v>1633</v>
      </c>
      <c r="C17" s="123">
        <f t="shared" si="1"/>
        <v>1530</v>
      </c>
      <c r="D17" s="123">
        <v>35</v>
      </c>
      <c r="E17" s="123">
        <v>29</v>
      </c>
      <c r="F17" s="123">
        <v>6</v>
      </c>
      <c r="G17" s="123">
        <v>1138</v>
      </c>
      <c r="H17" s="123">
        <v>703</v>
      </c>
      <c r="I17" s="123">
        <v>435</v>
      </c>
      <c r="J17" s="123">
        <v>515</v>
      </c>
      <c r="K17" s="123">
        <v>378</v>
      </c>
      <c r="L17" s="123">
        <v>137</v>
      </c>
      <c r="M17" s="123">
        <v>1475</v>
      </c>
      <c r="N17" s="123">
        <v>523</v>
      </c>
      <c r="O17" s="123">
        <v>952</v>
      </c>
      <c r="P17" s="7" t="s">
        <v>163</v>
      </c>
      <c r="Q17" s="124"/>
    </row>
    <row r="18" spans="1:17" ht="13.5" thickBot="1" x14ac:dyDescent="0.25">
      <c r="A18" s="123">
        <f t="shared" si="0"/>
        <v>682</v>
      </c>
      <c r="B18" s="123">
        <f t="shared" si="1"/>
        <v>238</v>
      </c>
      <c r="C18" s="123">
        <f t="shared" si="1"/>
        <v>444</v>
      </c>
      <c r="D18" s="123">
        <v>8</v>
      </c>
      <c r="E18" s="123">
        <v>6</v>
      </c>
      <c r="F18" s="123">
        <v>2</v>
      </c>
      <c r="G18" s="123">
        <v>5</v>
      </c>
      <c r="H18" s="123">
        <v>1</v>
      </c>
      <c r="I18" s="123">
        <v>4</v>
      </c>
      <c r="J18" s="123">
        <v>98</v>
      </c>
      <c r="K18" s="123">
        <v>32</v>
      </c>
      <c r="L18" s="123">
        <v>66</v>
      </c>
      <c r="M18" s="123">
        <v>571</v>
      </c>
      <c r="N18" s="123">
        <v>199</v>
      </c>
      <c r="O18" s="123">
        <v>372</v>
      </c>
      <c r="P18" s="7" t="s">
        <v>162</v>
      </c>
      <c r="Q18" s="124" t="s">
        <v>79</v>
      </c>
    </row>
    <row r="19" spans="1:17" ht="13.5" thickBot="1" x14ac:dyDescent="0.25">
      <c r="A19" s="123">
        <f t="shared" ref="A19:N19" si="6">SUM(A17:A18)</f>
        <v>3845</v>
      </c>
      <c r="B19" s="123">
        <f t="shared" si="6"/>
        <v>1871</v>
      </c>
      <c r="C19" s="123">
        <f t="shared" si="6"/>
        <v>1974</v>
      </c>
      <c r="D19" s="123">
        <f t="shared" si="6"/>
        <v>43</v>
      </c>
      <c r="E19" s="123">
        <f t="shared" si="6"/>
        <v>35</v>
      </c>
      <c r="F19" s="123">
        <f t="shared" si="6"/>
        <v>8</v>
      </c>
      <c r="G19" s="123">
        <f t="shared" si="6"/>
        <v>1143</v>
      </c>
      <c r="H19" s="123">
        <f t="shared" si="6"/>
        <v>704</v>
      </c>
      <c r="I19" s="123">
        <f t="shared" si="6"/>
        <v>439</v>
      </c>
      <c r="J19" s="123">
        <f t="shared" si="6"/>
        <v>613</v>
      </c>
      <c r="K19" s="123">
        <f t="shared" si="6"/>
        <v>410</v>
      </c>
      <c r="L19" s="123">
        <f t="shared" si="6"/>
        <v>203</v>
      </c>
      <c r="M19" s="123">
        <f t="shared" si="6"/>
        <v>2046</v>
      </c>
      <c r="N19" s="123">
        <f t="shared" si="6"/>
        <v>722</v>
      </c>
      <c r="O19" s="123">
        <f>SUM(O17:O18)</f>
        <v>1324</v>
      </c>
      <c r="P19" s="7" t="s">
        <v>13</v>
      </c>
      <c r="Q19" s="9"/>
    </row>
    <row r="20" spans="1:17" ht="13.5" thickBot="1" x14ac:dyDescent="0.25">
      <c r="A20" s="123">
        <f t="shared" si="0"/>
        <v>290</v>
      </c>
      <c r="B20" s="123">
        <f t="shared" si="1"/>
        <v>0</v>
      </c>
      <c r="C20" s="123">
        <f t="shared" si="1"/>
        <v>290</v>
      </c>
      <c r="D20" s="123">
        <v>0</v>
      </c>
      <c r="E20" s="123">
        <v>0</v>
      </c>
      <c r="F20" s="123">
        <v>0</v>
      </c>
      <c r="G20" s="123">
        <v>39</v>
      </c>
      <c r="H20" s="123">
        <v>0</v>
      </c>
      <c r="I20" s="123">
        <v>39</v>
      </c>
      <c r="J20" s="123">
        <v>30</v>
      </c>
      <c r="K20" s="123">
        <v>0</v>
      </c>
      <c r="L20" s="123">
        <v>30</v>
      </c>
      <c r="M20" s="123">
        <v>221</v>
      </c>
      <c r="N20" s="123">
        <v>0</v>
      </c>
      <c r="O20" s="123">
        <v>221</v>
      </c>
      <c r="P20" s="7" t="s">
        <v>163</v>
      </c>
      <c r="Q20" s="124"/>
    </row>
    <row r="21" spans="1:17" ht="13.5" thickBot="1" x14ac:dyDescent="0.25">
      <c r="A21" s="123">
        <f t="shared" si="0"/>
        <v>560</v>
      </c>
      <c r="B21" s="123">
        <f t="shared" si="1"/>
        <v>33</v>
      </c>
      <c r="C21" s="123">
        <f t="shared" si="1"/>
        <v>527</v>
      </c>
      <c r="D21" s="123">
        <v>22</v>
      </c>
      <c r="E21" s="123">
        <v>0</v>
      </c>
      <c r="F21" s="123">
        <v>22</v>
      </c>
      <c r="G21" s="123">
        <v>33</v>
      </c>
      <c r="H21" s="123">
        <v>33</v>
      </c>
      <c r="I21" s="123">
        <v>0</v>
      </c>
      <c r="J21" s="123">
        <v>235</v>
      </c>
      <c r="K21" s="123">
        <v>0</v>
      </c>
      <c r="L21" s="123">
        <v>235</v>
      </c>
      <c r="M21" s="123">
        <v>270</v>
      </c>
      <c r="N21" s="123">
        <v>0</v>
      </c>
      <c r="O21" s="123">
        <v>270</v>
      </c>
      <c r="P21" s="7" t="s">
        <v>162</v>
      </c>
      <c r="Q21" s="124" t="s">
        <v>98</v>
      </c>
    </row>
    <row r="22" spans="1:17" ht="13.5" thickBot="1" x14ac:dyDescent="0.25">
      <c r="A22" s="123">
        <f t="shared" ref="A22:N22" si="7">SUM(A20:A21)</f>
        <v>850</v>
      </c>
      <c r="B22" s="123">
        <f t="shared" si="7"/>
        <v>33</v>
      </c>
      <c r="C22" s="123">
        <f t="shared" si="7"/>
        <v>817</v>
      </c>
      <c r="D22" s="123">
        <f t="shared" si="7"/>
        <v>22</v>
      </c>
      <c r="E22" s="123">
        <f t="shared" si="7"/>
        <v>0</v>
      </c>
      <c r="F22" s="123">
        <f t="shared" si="7"/>
        <v>22</v>
      </c>
      <c r="G22" s="123">
        <f t="shared" si="7"/>
        <v>72</v>
      </c>
      <c r="H22" s="123">
        <f t="shared" si="7"/>
        <v>33</v>
      </c>
      <c r="I22" s="123">
        <f t="shared" si="7"/>
        <v>39</v>
      </c>
      <c r="J22" s="123">
        <f t="shared" si="7"/>
        <v>265</v>
      </c>
      <c r="K22" s="123">
        <f t="shared" si="7"/>
        <v>0</v>
      </c>
      <c r="L22" s="123">
        <f t="shared" si="7"/>
        <v>265</v>
      </c>
      <c r="M22" s="123">
        <f t="shared" si="7"/>
        <v>491</v>
      </c>
      <c r="N22" s="123">
        <f t="shared" si="7"/>
        <v>0</v>
      </c>
      <c r="O22" s="123">
        <f>SUM(O20:O21)</f>
        <v>491</v>
      </c>
      <c r="P22" s="7" t="s">
        <v>13</v>
      </c>
      <c r="Q22" s="9"/>
    </row>
    <row r="23" spans="1:17" ht="13.5" thickBot="1" x14ac:dyDescent="0.25">
      <c r="A23" s="123">
        <f t="shared" si="0"/>
        <v>1152</v>
      </c>
      <c r="B23" s="123">
        <f t="shared" si="1"/>
        <v>638</v>
      </c>
      <c r="C23" s="123">
        <f t="shared" si="1"/>
        <v>514</v>
      </c>
      <c r="D23" s="123">
        <v>57</v>
      </c>
      <c r="E23" s="123">
        <v>49</v>
      </c>
      <c r="F23" s="123">
        <v>8</v>
      </c>
      <c r="G23" s="123">
        <v>443</v>
      </c>
      <c r="H23" s="123">
        <v>268</v>
      </c>
      <c r="I23" s="123">
        <v>175</v>
      </c>
      <c r="J23" s="123">
        <v>202</v>
      </c>
      <c r="K23" s="123">
        <v>161</v>
      </c>
      <c r="L23" s="123">
        <v>41</v>
      </c>
      <c r="M23" s="123">
        <v>450</v>
      </c>
      <c r="N23" s="123">
        <v>160</v>
      </c>
      <c r="O23" s="123">
        <v>290</v>
      </c>
      <c r="P23" s="7" t="s">
        <v>163</v>
      </c>
      <c r="Q23" s="124"/>
    </row>
    <row r="24" spans="1:17" ht="13.5" thickBot="1" x14ac:dyDescent="0.25">
      <c r="A24" s="123">
        <f t="shared" si="0"/>
        <v>1034</v>
      </c>
      <c r="B24" s="123">
        <f t="shared" si="1"/>
        <v>400</v>
      </c>
      <c r="C24" s="123">
        <f t="shared" si="1"/>
        <v>634</v>
      </c>
      <c r="D24" s="123">
        <v>49</v>
      </c>
      <c r="E24" s="123">
        <v>25</v>
      </c>
      <c r="F24" s="123">
        <v>24</v>
      </c>
      <c r="G24" s="123">
        <v>27</v>
      </c>
      <c r="H24" s="123">
        <v>9</v>
      </c>
      <c r="I24" s="123">
        <v>18</v>
      </c>
      <c r="J24" s="123">
        <v>168</v>
      </c>
      <c r="K24" s="123">
        <v>110</v>
      </c>
      <c r="L24" s="123">
        <v>58</v>
      </c>
      <c r="M24" s="123">
        <v>790</v>
      </c>
      <c r="N24" s="123">
        <v>256</v>
      </c>
      <c r="O24" s="123">
        <v>534</v>
      </c>
      <c r="P24" s="7" t="s">
        <v>162</v>
      </c>
      <c r="Q24" s="124" t="s">
        <v>80</v>
      </c>
    </row>
    <row r="25" spans="1:17" ht="13.5" thickBot="1" x14ac:dyDescent="0.25">
      <c r="A25" s="123">
        <f t="shared" ref="A25:N25" si="8">SUM(A23:A24)</f>
        <v>2186</v>
      </c>
      <c r="B25" s="123">
        <f t="shared" si="8"/>
        <v>1038</v>
      </c>
      <c r="C25" s="123">
        <f t="shared" si="8"/>
        <v>1148</v>
      </c>
      <c r="D25" s="123">
        <f t="shared" si="8"/>
        <v>106</v>
      </c>
      <c r="E25" s="123">
        <f t="shared" si="8"/>
        <v>74</v>
      </c>
      <c r="F25" s="123">
        <f t="shared" si="8"/>
        <v>32</v>
      </c>
      <c r="G25" s="123">
        <f t="shared" si="8"/>
        <v>470</v>
      </c>
      <c r="H25" s="123">
        <f t="shared" si="8"/>
        <v>277</v>
      </c>
      <c r="I25" s="123">
        <f t="shared" si="8"/>
        <v>193</v>
      </c>
      <c r="J25" s="123">
        <f t="shared" si="8"/>
        <v>370</v>
      </c>
      <c r="K25" s="123">
        <f t="shared" si="8"/>
        <v>271</v>
      </c>
      <c r="L25" s="123">
        <f t="shared" si="8"/>
        <v>99</v>
      </c>
      <c r="M25" s="123">
        <f t="shared" si="8"/>
        <v>1240</v>
      </c>
      <c r="N25" s="123">
        <f t="shared" si="8"/>
        <v>416</v>
      </c>
      <c r="O25" s="123">
        <f>SUM(O23:O24)</f>
        <v>824</v>
      </c>
      <c r="P25" s="7" t="s">
        <v>13</v>
      </c>
      <c r="Q25" s="9"/>
    </row>
    <row r="26" spans="1:17" ht="13.5" thickBot="1" x14ac:dyDescent="0.25">
      <c r="A26" s="123">
        <f t="shared" si="0"/>
        <v>886</v>
      </c>
      <c r="B26" s="123">
        <f t="shared" si="1"/>
        <v>291</v>
      </c>
      <c r="C26" s="123">
        <f t="shared" si="1"/>
        <v>595</v>
      </c>
      <c r="D26" s="123">
        <v>0</v>
      </c>
      <c r="E26" s="123">
        <v>0</v>
      </c>
      <c r="F26" s="123">
        <v>0</v>
      </c>
      <c r="G26" s="123">
        <v>568</v>
      </c>
      <c r="H26" s="123">
        <v>240</v>
      </c>
      <c r="I26" s="123">
        <v>328</v>
      </c>
      <c r="J26" s="123">
        <v>83</v>
      </c>
      <c r="K26" s="123">
        <v>33</v>
      </c>
      <c r="L26" s="123">
        <v>50</v>
      </c>
      <c r="M26" s="123">
        <v>235</v>
      </c>
      <c r="N26" s="123">
        <v>18</v>
      </c>
      <c r="O26" s="123">
        <v>217</v>
      </c>
      <c r="P26" s="7" t="s">
        <v>163</v>
      </c>
      <c r="Q26" s="124"/>
    </row>
    <row r="27" spans="1:17" ht="13.5" thickBot="1" x14ac:dyDescent="0.25">
      <c r="A27" s="123">
        <f t="shared" si="0"/>
        <v>950</v>
      </c>
      <c r="B27" s="123">
        <f t="shared" si="1"/>
        <v>224</v>
      </c>
      <c r="C27" s="123">
        <f t="shared" si="1"/>
        <v>726</v>
      </c>
      <c r="D27" s="123">
        <v>0</v>
      </c>
      <c r="E27" s="123">
        <v>0</v>
      </c>
      <c r="F27" s="123">
        <v>0</v>
      </c>
      <c r="G27" s="123">
        <v>0</v>
      </c>
      <c r="H27" s="123">
        <v>0</v>
      </c>
      <c r="I27" s="123">
        <v>0</v>
      </c>
      <c r="J27" s="123">
        <v>231</v>
      </c>
      <c r="K27" s="123">
        <v>82</v>
      </c>
      <c r="L27" s="123">
        <v>149</v>
      </c>
      <c r="M27" s="123">
        <v>719</v>
      </c>
      <c r="N27" s="123">
        <v>142</v>
      </c>
      <c r="O27" s="123">
        <v>577</v>
      </c>
      <c r="P27" s="7" t="s">
        <v>162</v>
      </c>
      <c r="Q27" s="124" t="s">
        <v>81</v>
      </c>
    </row>
    <row r="28" spans="1:17" ht="13.5" thickBot="1" x14ac:dyDescent="0.25">
      <c r="A28" s="123">
        <f t="shared" ref="A28:N28" si="9">SUM(A26:A27)</f>
        <v>1836</v>
      </c>
      <c r="B28" s="123">
        <f t="shared" si="9"/>
        <v>515</v>
      </c>
      <c r="C28" s="123">
        <f t="shared" si="9"/>
        <v>1321</v>
      </c>
      <c r="D28" s="123">
        <f t="shared" si="9"/>
        <v>0</v>
      </c>
      <c r="E28" s="123">
        <f t="shared" si="9"/>
        <v>0</v>
      </c>
      <c r="F28" s="123">
        <f t="shared" si="9"/>
        <v>0</v>
      </c>
      <c r="G28" s="123">
        <f t="shared" si="9"/>
        <v>568</v>
      </c>
      <c r="H28" s="123">
        <f t="shared" si="9"/>
        <v>240</v>
      </c>
      <c r="I28" s="123">
        <f t="shared" si="9"/>
        <v>328</v>
      </c>
      <c r="J28" s="123">
        <f t="shared" si="9"/>
        <v>314</v>
      </c>
      <c r="K28" s="123">
        <f t="shared" si="9"/>
        <v>115</v>
      </c>
      <c r="L28" s="123">
        <f t="shared" si="9"/>
        <v>199</v>
      </c>
      <c r="M28" s="123">
        <f t="shared" si="9"/>
        <v>954</v>
      </c>
      <c r="N28" s="123">
        <f t="shared" si="9"/>
        <v>160</v>
      </c>
      <c r="O28" s="123">
        <f>SUM(O26:O27)</f>
        <v>794</v>
      </c>
      <c r="P28" s="7" t="s">
        <v>13</v>
      </c>
      <c r="Q28" s="9"/>
    </row>
    <row r="29" spans="1:17" ht="13.5" thickBot="1" x14ac:dyDescent="0.25">
      <c r="A29" s="123">
        <f t="shared" si="0"/>
        <v>731</v>
      </c>
      <c r="B29" s="123">
        <f t="shared" si="1"/>
        <v>246</v>
      </c>
      <c r="C29" s="123">
        <f t="shared" si="1"/>
        <v>485</v>
      </c>
      <c r="D29" s="123">
        <v>40</v>
      </c>
      <c r="E29" s="123">
        <v>5</v>
      </c>
      <c r="F29" s="123">
        <v>35</v>
      </c>
      <c r="G29" s="123">
        <v>283</v>
      </c>
      <c r="H29" s="123">
        <v>163</v>
      </c>
      <c r="I29" s="123">
        <v>120</v>
      </c>
      <c r="J29" s="123">
        <v>74</v>
      </c>
      <c r="K29" s="123">
        <v>46</v>
      </c>
      <c r="L29" s="123">
        <v>28</v>
      </c>
      <c r="M29" s="123">
        <v>334</v>
      </c>
      <c r="N29" s="123">
        <v>32</v>
      </c>
      <c r="O29" s="123">
        <v>302</v>
      </c>
      <c r="P29" s="7" t="s">
        <v>163</v>
      </c>
      <c r="Q29" s="124"/>
    </row>
    <row r="30" spans="1:17" ht="13.5" thickBot="1" x14ac:dyDescent="0.25">
      <c r="A30" s="123">
        <f t="shared" si="0"/>
        <v>661</v>
      </c>
      <c r="B30" s="123">
        <f t="shared" si="1"/>
        <v>185</v>
      </c>
      <c r="C30" s="123">
        <f t="shared" si="1"/>
        <v>476</v>
      </c>
      <c r="D30" s="123">
        <v>31</v>
      </c>
      <c r="E30" s="123">
        <v>6</v>
      </c>
      <c r="F30" s="123">
        <v>25</v>
      </c>
      <c r="G30" s="123">
        <v>48</v>
      </c>
      <c r="H30" s="123">
        <v>1</v>
      </c>
      <c r="I30" s="123">
        <v>47</v>
      </c>
      <c r="J30" s="123">
        <v>145</v>
      </c>
      <c r="K30" s="123">
        <v>82</v>
      </c>
      <c r="L30" s="123">
        <v>63</v>
      </c>
      <c r="M30" s="123">
        <v>437</v>
      </c>
      <c r="N30" s="123">
        <v>96</v>
      </c>
      <c r="O30" s="123">
        <v>341</v>
      </c>
      <c r="P30" s="7" t="s">
        <v>162</v>
      </c>
      <c r="Q30" s="124" t="s">
        <v>108</v>
      </c>
    </row>
    <row r="31" spans="1:17" ht="13.5" thickBot="1" x14ac:dyDescent="0.25">
      <c r="A31" s="123">
        <f t="shared" ref="A31:N31" si="10">SUM(A29:A30)</f>
        <v>1392</v>
      </c>
      <c r="B31" s="123">
        <f t="shared" si="10"/>
        <v>431</v>
      </c>
      <c r="C31" s="123">
        <f t="shared" si="10"/>
        <v>961</v>
      </c>
      <c r="D31" s="123">
        <f t="shared" si="10"/>
        <v>71</v>
      </c>
      <c r="E31" s="123">
        <f t="shared" si="10"/>
        <v>11</v>
      </c>
      <c r="F31" s="123">
        <f t="shared" si="10"/>
        <v>60</v>
      </c>
      <c r="G31" s="123">
        <f t="shared" si="10"/>
        <v>331</v>
      </c>
      <c r="H31" s="123">
        <f t="shared" si="10"/>
        <v>164</v>
      </c>
      <c r="I31" s="123">
        <f t="shared" si="10"/>
        <v>167</v>
      </c>
      <c r="J31" s="123">
        <f t="shared" si="10"/>
        <v>219</v>
      </c>
      <c r="K31" s="123">
        <f t="shared" si="10"/>
        <v>128</v>
      </c>
      <c r="L31" s="123">
        <f t="shared" si="10"/>
        <v>91</v>
      </c>
      <c r="M31" s="123">
        <f t="shared" si="10"/>
        <v>771</v>
      </c>
      <c r="N31" s="123">
        <f t="shared" si="10"/>
        <v>128</v>
      </c>
      <c r="O31" s="123">
        <f>SUM(O29:O30)</f>
        <v>643</v>
      </c>
      <c r="P31" s="7" t="s">
        <v>13</v>
      </c>
      <c r="Q31" s="9"/>
    </row>
    <row r="32" spans="1:17" ht="13.5" thickBot="1" x14ac:dyDescent="0.25">
      <c r="A32" s="123">
        <f t="shared" si="0"/>
        <v>518</v>
      </c>
      <c r="B32" s="123">
        <f t="shared" si="1"/>
        <v>134</v>
      </c>
      <c r="C32" s="123">
        <f t="shared" si="1"/>
        <v>384</v>
      </c>
      <c r="D32" s="123">
        <v>0</v>
      </c>
      <c r="E32" s="123">
        <v>0</v>
      </c>
      <c r="F32" s="123">
        <v>0</v>
      </c>
      <c r="G32" s="123">
        <v>238</v>
      </c>
      <c r="H32" s="123">
        <v>67</v>
      </c>
      <c r="I32" s="123">
        <v>171</v>
      </c>
      <c r="J32" s="123">
        <v>91</v>
      </c>
      <c r="K32" s="123">
        <v>38</v>
      </c>
      <c r="L32" s="123">
        <v>53</v>
      </c>
      <c r="M32" s="123">
        <v>189</v>
      </c>
      <c r="N32" s="123">
        <v>29</v>
      </c>
      <c r="O32" s="123">
        <v>160</v>
      </c>
      <c r="P32" s="7" t="s">
        <v>163</v>
      </c>
      <c r="Q32" s="124"/>
    </row>
    <row r="33" spans="1:17" ht="13.5" thickBot="1" x14ac:dyDescent="0.25">
      <c r="A33" s="123">
        <f t="shared" si="0"/>
        <v>317</v>
      </c>
      <c r="B33" s="123">
        <f t="shared" si="1"/>
        <v>110</v>
      </c>
      <c r="C33" s="123">
        <f t="shared" si="1"/>
        <v>207</v>
      </c>
      <c r="D33" s="123">
        <v>0</v>
      </c>
      <c r="E33" s="123">
        <v>0</v>
      </c>
      <c r="F33" s="123">
        <v>0</v>
      </c>
      <c r="G33" s="123">
        <v>2</v>
      </c>
      <c r="H33" s="123">
        <v>0</v>
      </c>
      <c r="I33" s="123">
        <v>2</v>
      </c>
      <c r="J33" s="123">
        <v>29</v>
      </c>
      <c r="K33" s="123">
        <v>11</v>
      </c>
      <c r="L33" s="123">
        <v>18</v>
      </c>
      <c r="M33" s="123">
        <v>286</v>
      </c>
      <c r="N33" s="123">
        <v>99</v>
      </c>
      <c r="O33" s="123">
        <v>187</v>
      </c>
      <c r="P33" s="7" t="s">
        <v>162</v>
      </c>
      <c r="Q33" s="124" t="s">
        <v>82</v>
      </c>
    </row>
    <row r="34" spans="1:17" ht="13.5" thickBot="1" x14ac:dyDescent="0.25">
      <c r="A34" s="123">
        <f t="shared" ref="A34:N34" si="11">SUM(A32:A33)</f>
        <v>835</v>
      </c>
      <c r="B34" s="123">
        <f t="shared" si="11"/>
        <v>244</v>
      </c>
      <c r="C34" s="123">
        <f t="shared" si="11"/>
        <v>591</v>
      </c>
      <c r="D34" s="123">
        <f t="shared" si="11"/>
        <v>0</v>
      </c>
      <c r="E34" s="123">
        <f t="shared" si="11"/>
        <v>0</v>
      </c>
      <c r="F34" s="123">
        <f t="shared" si="11"/>
        <v>0</v>
      </c>
      <c r="G34" s="123">
        <f t="shared" si="11"/>
        <v>240</v>
      </c>
      <c r="H34" s="123">
        <f t="shared" si="11"/>
        <v>67</v>
      </c>
      <c r="I34" s="123">
        <f t="shared" si="11"/>
        <v>173</v>
      </c>
      <c r="J34" s="123">
        <f t="shared" si="11"/>
        <v>120</v>
      </c>
      <c r="K34" s="123">
        <f t="shared" si="11"/>
        <v>49</v>
      </c>
      <c r="L34" s="123">
        <f t="shared" si="11"/>
        <v>71</v>
      </c>
      <c r="M34" s="123">
        <f t="shared" si="11"/>
        <v>475</v>
      </c>
      <c r="N34" s="123">
        <f t="shared" si="11"/>
        <v>128</v>
      </c>
      <c r="O34" s="123">
        <f>SUM(O32:O33)</f>
        <v>347</v>
      </c>
      <c r="P34" s="7" t="s">
        <v>13</v>
      </c>
      <c r="Q34" s="9"/>
    </row>
    <row r="35" spans="1:17" ht="13.5" thickBot="1" x14ac:dyDescent="0.25">
      <c r="A35" s="123">
        <f t="shared" si="0"/>
        <v>555</v>
      </c>
      <c r="B35" s="123">
        <f t="shared" si="1"/>
        <v>273</v>
      </c>
      <c r="C35" s="123">
        <f t="shared" si="1"/>
        <v>282</v>
      </c>
      <c r="D35" s="123">
        <v>15</v>
      </c>
      <c r="E35" s="123">
        <v>3</v>
      </c>
      <c r="F35" s="123">
        <v>12</v>
      </c>
      <c r="G35" s="123">
        <v>340</v>
      </c>
      <c r="H35" s="123">
        <v>199</v>
      </c>
      <c r="I35" s="123">
        <v>141</v>
      </c>
      <c r="J35" s="123">
        <v>119</v>
      </c>
      <c r="K35" s="123">
        <v>53</v>
      </c>
      <c r="L35" s="123">
        <v>66</v>
      </c>
      <c r="M35" s="123">
        <v>81</v>
      </c>
      <c r="N35" s="123">
        <v>18</v>
      </c>
      <c r="O35" s="123">
        <v>63</v>
      </c>
      <c r="P35" s="7" t="s">
        <v>163</v>
      </c>
      <c r="Q35" s="124"/>
    </row>
    <row r="36" spans="1:17" ht="13.5" thickBot="1" x14ac:dyDescent="0.25">
      <c r="A36" s="123">
        <f t="shared" si="0"/>
        <v>307</v>
      </c>
      <c r="B36" s="123">
        <f t="shared" si="1"/>
        <v>86</v>
      </c>
      <c r="C36" s="123">
        <f t="shared" si="1"/>
        <v>221</v>
      </c>
      <c r="D36" s="123">
        <v>8</v>
      </c>
      <c r="E36" s="123">
        <v>5</v>
      </c>
      <c r="F36" s="123">
        <v>3</v>
      </c>
      <c r="G36" s="123">
        <v>0</v>
      </c>
      <c r="H36" s="123">
        <v>0</v>
      </c>
      <c r="I36" s="123">
        <v>0</v>
      </c>
      <c r="J36" s="123">
        <v>7</v>
      </c>
      <c r="K36" s="123">
        <v>4</v>
      </c>
      <c r="L36" s="123">
        <v>3</v>
      </c>
      <c r="M36" s="123">
        <v>292</v>
      </c>
      <c r="N36" s="123">
        <v>77</v>
      </c>
      <c r="O36" s="123">
        <v>215</v>
      </c>
      <c r="P36" s="7" t="s">
        <v>162</v>
      </c>
      <c r="Q36" s="124" t="s">
        <v>83</v>
      </c>
    </row>
    <row r="37" spans="1:17" ht="13.5" thickBot="1" x14ac:dyDescent="0.25">
      <c r="A37" s="123">
        <f t="shared" ref="A37:N37" si="12">SUM(A35:A36)</f>
        <v>862</v>
      </c>
      <c r="B37" s="123">
        <f t="shared" si="12"/>
        <v>359</v>
      </c>
      <c r="C37" s="123">
        <f t="shared" si="12"/>
        <v>503</v>
      </c>
      <c r="D37" s="123">
        <f t="shared" si="12"/>
        <v>23</v>
      </c>
      <c r="E37" s="123">
        <f t="shared" si="12"/>
        <v>8</v>
      </c>
      <c r="F37" s="123">
        <f t="shared" si="12"/>
        <v>15</v>
      </c>
      <c r="G37" s="123">
        <f t="shared" si="12"/>
        <v>340</v>
      </c>
      <c r="H37" s="123">
        <f t="shared" si="12"/>
        <v>199</v>
      </c>
      <c r="I37" s="123">
        <f t="shared" si="12"/>
        <v>141</v>
      </c>
      <c r="J37" s="123">
        <f t="shared" si="12"/>
        <v>126</v>
      </c>
      <c r="K37" s="123">
        <f t="shared" si="12"/>
        <v>57</v>
      </c>
      <c r="L37" s="123">
        <f t="shared" si="12"/>
        <v>69</v>
      </c>
      <c r="M37" s="123">
        <f t="shared" si="12"/>
        <v>373</v>
      </c>
      <c r="N37" s="123">
        <f t="shared" si="12"/>
        <v>95</v>
      </c>
      <c r="O37" s="123">
        <f>SUM(O35:O36)</f>
        <v>278</v>
      </c>
      <c r="P37" s="7" t="s">
        <v>13</v>
      </c>
      <c r="Q37" s="9"/>
    </row>
    <row r="38" spans="1:17" ht="13.5" thickBot="1" x14ac:dyDescent="0.25">
      <c r="A38" s="123">
        <f t="shared" si="0"/>
        <v>38</v>
      </c>
      <c r="B38" s="123">
        <f t="shared" si="1"/>
        <v>21</v>
      </c>
      <c r="C38" s="123">
        <f t="shared" si="1"/>
        <v>17</v>
      </c>
      <c r="D38" s="123">
        <v>0</v>
      </c>
      <c r="E38" s="123">
        <v>0</v>
      </c>
      <c r="F38" s="123">
        <v>0</v>
      </c>
      <c r="G38" s="123">
        <v>10</v>
      </c>
      <c r="H38" s="123">
        <v>10</v>
      </c>
      <c r="I38" s="123">
        <v>0</v>
      </c>
      <c r="J38" s="123">
        <v>11</v>
      </c>
      <c r="K38" s="123">
        <v>9</v>
      </c>
      <c r="L38" s="123">
        <v>2</v>
      </c>
      <c r="M38" s="123">
        <v>17</v>
      </c>
      <c r="N38" s="123">
        <v>2</v>
      </c>
      <c r="O38" s="123">
        <v>15</v>
      </c>
      <c r="P38" s="7" t="s">
        <v>163</v>
      </c>
      <c r="Q38" s="124"/>
    </row>
    <row r="39" spans="1:17" ht="13.5" thickBot="1" x14ac:dyDescent="0.25">
      <c r="A39" s="123">
        <f t="shared" si="0"/>
        <v>58</v>
      </c>
      <c r="B39" s="123">
        <f t="shared" si="1"/>
        <v>38</v>
      </c>
      <c r="C39" s="123">
        <f t="shared" si="1"/>
        <v>20</v>
      </c>
      <c r="D39" s="123">
        <v>1</v>
      </c>
      <c r="E39" s="123">
        <v>1</v>
      </c>
      <c r="F39" s="123">
        <v>0</v>
      </c>
      <c r="G39" s="123">
        <v>4</v>
      </c>
      <c r="H39" s="123">
        <v>4</v>
      </c>
      <c r="I39" s="123">
        <v>0</v>
      </c>
      <c r="J39" s="123">
        <v>14</v>
      </c>
      <c r="K39" s="123">
        <v>13</v>
      </c>
      <c r="L39" s="123">
        <v>1</v>
      </c>
      <c r="M39" s="123">
        <v>39</v>
      </c>
      <c r="N39" s="123">
        <v>20</v>
      </c>
      <c r="O39" s="123">
        <v>19</v>
      </c>
      <c r="P39" s="7" t="s">
        <v>162</v>
      </c>
      <c r="Q39" s="124" t="s">
        <v>165</v>
      </c>
    </row>
    <row r="40" spans="1:17" ht="13.5" thickBot="1" x14ac:dyDescent="0.25">
      <c r="A40" s="123">
        <f t="shared" ref="A40:N40" si="13">SUM(A38:A39)</f>
        <v>96</v>
      </c>
      <c r="B40" s="123">
        <f t="shared" si="13"/>
        <v>59</v>
      </c>
      <c r="C40" s="123">
        <f t="shared" si="13"/>
        <v>37</v>
      </c>
      <c r="D40" s="123">
        <f t="shared" si="13"/>
        <v>1</v>
      </c>
      <c r="E40" s="123">
        <f t="shared" si="13"/>
        <v>1</v>
      </c>
      <c r="F40" s="123">
        <f t="shared" si="13"/>
        <v>0</v>
      </c>
      <c r="G40" s="123">
        <f t="shared" si="13"/>
        <v>14</v>
      </c>
      <c r="H40" s="123">
        <f t="shared" si="13"/>
        <v>14</v>
      </c>
      <c r="I40" s="123">
        <f t="shared" si="13"/>
        <v>0</v>
      </c>
      <c r="J40" s="123">
        <f t="shared" si="13"/>
        <v>25</v>
      </c>
      <c r="K40" s="123">
        <f t="shared" si="13"/>
        <v>22</v>
      </c>
      <c r="L40" s="123">
        <f t="shared" si="13"/>
        <v>3</v>
      </c>
      <c r="M40" s="123">
        <f t="shared" si="13"/>
        <v>56</v>
      </c>
      <c r="N40" s="123">
        <f t="shared" si="13"/>
        <v>22</v>
      </c>
      <c r="O40" s="123">
        <f>SUM(O38:O39)</f>
        <v>34</v>
      </c>
      <c r="P40" s="7" t="s">
        <v>13</v>
      </c>
      <c r="Q40" s="9"/>
    </row>
    <row r="41" spans="1:17" ht="13.5" thickBot="1" x14ac:dyDescent="0.25">
      <c r="A41" s="123">
        <f t="shared" si="0"/>
        <v>261</v>
      </c>
      <c r="B41" s="123">
        <f t="shared" si="1"/>
        <v>64</v>
      </c>
      <c r="C41" s="123">
        <f t="shared" si="1"/>
        <v>197</v>
      </c>
      <c r="D41" s="123">
        <v>24</v>
      </c>
      <c r="E41" s="123">
        <v>1</v>
      </c>
      <c r="F41" s="123">
        <v>23</v>
      </c>
      <c r="G41" s="123">
        <v>137</v>
      </c>
      <c r="H41" s="123">
        <v>36</v>
      </c>
      <c r="I41" s="123">
        <v>101</v>
      </c>
      <c r="J41" s="123">
        <v>57</v>
      </c>
      <c r="K41" s="123">
        <v>22</v>
      </c>
      <c r="L41" s="123">
        <v>35</v>
      </c>
      <c r="M41" s="123">
        <v>43</v>
      </c>
      <c r="N41" s="123">
        <v>5</v>
      </c>
      <c r="O41" s="123">
        <v>38</v>
      </c>
      <c r="P41" s="7" t="s">
        <v>163</v>
      </c>
      <c r="Q41" s="124"/>
    </row>
    <row r="42" spans="1:17" ht="13.5" thickBot="1" x14ac:dyDescent="0.25">
      <c r="A42" s="123">
        <f t="shared" si="0"/>
        <v>362</v>
      </c>
      <c r="B42" s="123">
        <f t="shared" si="1"/>
        <v>115</v>
      </c>
      <c r="C42" s="123">
        <f t="shared" si="1"/>
        <v>247</v>
      </c>
      <c r="D42" s="123">
        <v>17</v>
      </c>
      <c r="E42" s="123">
        <v>5</v>
      </c>
      <c r="F42" s="123">
        <v>12</v>
      </c>
      <c r="G42" s="123">
        <v>23</v>
      </c>
      <c r="H42" s="123">
        <v>0</v>
      </c>
      <c r="I42" s="123">
        <v>23</v>
      </c>
      <c r="J42" s="123">
        <v>103</v>
      </c>
      <c r="K42" s="123">
        <v>46</v>
      </c>
      <c r="L42" s="123">
        <v>57</v>
      </c>
      <c r="M42" s="123">
        <v>219</v>
      </c>
      <c r="N42" s="123">
        <v>64</v>
      </c>
      <c r="O42" s="123">
        <v>155</v>
      </c>
      <c r="P42" s="7" t="s">
        <v>162</v>
      </c>
      <c r="Q42" s="124" t="s">
        <v>115</v>
      </c>
    </row>
    <row r="43" spans="1:17" ht="13.5" thickBot="1" x14ac:dyDescent="0.25">
      <c r="A43" s="123">
        <f t="shared" ref="A43:N43" si="14">SUM(A41:A42)</f>
        <v>623</v>
      </c>
      <c r="B43" s="123">
        <f t="shared" si="14"/>
        <v>179</v>
      </c>
      <c r="C43" s="123">
        <f t="shared" si="14"/>
        <v>444</v>
      </c>
      <c r="D43" s="123">
        <f t="shared" si="14"/>
        <v>41</v>
      </c>
      <c r="E43" s="123">
        <f t="shared" si="14"/>
        <v>6</v>
      </c>
      <c r="F43" s="123">
        <f t="shared" si="14"/>
        <v>35</v>
      </c>
      <c r="G43" s="123">
        <f t="shared" si="14"/>
        <v>160</v>
      </c>
      <c r="H43" s="123">
        <f t="shared" si="14"/>
        <v>36</v>
      </c>
      <c r="I43" s="123">
        <f t="shared" si="14"/>
        <v>124</v>
      </c>
      <c r="J43" s="123">
        <f t="shared" si="14"/>
        <v>160</v>
      </c>
      <c r="K43" s="123">
        <f t="shared" si="14"/>
        <v>68</v>
      </c>
      <c r="L43" s="123">
        <f t="shared" si="14"/>
        <v>92</v>
      </c>
      <c r="M43" s="123">
        <f t="shared" si="14"/>
        <v>262</v>
      </c>
      <c r="N43" s="123">
        <f t="shared" si="14"/>
        <v>69</v>
      </c>
      <c r="O43" s="123">
        <f>SUM(O41:O42)</f>
        <v>193</v>
      </c>
      <c r="P43" s="7" t="s">
        <v>13</v>
      </c>
      <c r="Q43" s="9"/>
    </row>
    <row r="44" spans="1:17" ht="13.5" thickBot="1" x14ac:dyDescent="0.25">
      <c r="A44" s="123">
        <f t="shared" si="0"/>
        <v>145</v>
      </c>
      <c r="B44" s="123">
        <f t="shared" si="1"/>
        <v>57</v>
      </c>
      <c r="C44" s="123">
        <f t="shared" si="1"/>
        <v>88</v>
      </c>
      <c r="D44" s="123">
        <v>14</v>
      </c>
      <c r="E44" s="123">
        <v>0</v>
      </c>
      <c r="F44" s="123">
        <v>14</v>
      </c>
      <c r="G44" s="123">
        <v>62</v>
      </c>
      <c r="H44" s="123">
        <v>29</v>
      </c>
      <c r="I44" s="123">
        <v>33</v>
      </c>
      <c r="J44" s="123">
        <v>53</v>
      </c>
      <c r="K44" s="123">
        <v>26</v>
      </c>
      <c r="L44" s="123">
        <v>27</v>
      </c>
      <c r="M44" s="123">
        <v>16</v>
      </c>
      <c r="N44" s="123">
        <v>2</v>
      </c>
      <c r="O44" s="123">
        <v>14</v>
      </c>
      <c r="P44" s="7" t="s">
        <v>163</v>
      </c>
      <c r="Q44" s="124"/>
    </row>
    <row r="45" spans="1:17" ht="13.5" thickBot="1" x14ac:dyDescent="0.25">
      <c r="A45" s="123">
        <f t="shared" si="0"/>
        <v>317</v>
      </c>
      <c r="B45" s="123">
        <f t="shared" si="1"/>
        <v>116</v>
      </c>
      <c r="C45" s="123">
        <f t="shared" si="1"/>
        <v>201</v>
      </c>
      <c r="D45" s="123">
        <v>14</v>
      </c>
      <c r="E45" s="123">
        <v>6</v>
      </c>
      <c r="F45" s="123">
        <v>8</v>
      </c>
      <c r="G45" s="123">
        <v>7</v>
      </c>
      <c r="H45" s="123">
        <v>0</v>
      </c>
      <c r="I45" s="123">
        <v>7</v>
      </c>
      <c r="J45" s="123">
        <v>101</v>
      </c>
      <c r="K45" s="123">
        <v>43</v>
      </c>
      <c r="L45" s="123">
        <v>58</v>
      </c>
      <c r="M45" s="123">
        <v>195</v>
      </c>
      <c r="N45" s="123">
        <v>67</v>
      </c>
      <c r="O45" s="123">
        <v>128</v>
      </c>
      <c r="P45" s="7" t="s">
        <v>162</v>
      </c>
      <c r="Q45" s="124" t="s">
        <v>118</v>
      </c>
    </row>
    <row r="46" spans="1:17" ht="13.5" thickBot="1" x14ac:dyDescent="0.25">
      <c r="A46" s="123">
        <f t="shared" ref="A46:N46" si="15">SUM(A44:A45)</f>
        <v>462</v>
      </c>
      <c r="B46" s="123">
        <f t="shared" si="15"/>
        <v>173</v>
      </c>
      <c r="C46" s="123">
        <f t="shared" si="15"/>
        <v>289</v>
      </c>
      <c r="D46" s="123">
        <f t="shared" si="15"/>
        <v>28</v>
      </c>
      <c r="E46" s="123">
        <f t="shared" si="15"/>
        <v>6</v>
      </c>
      <c r="F46" s="123">
        <f t="shared" si="15"/>
        <v>22</v>
      </c>
      <c r="G46" s="123">
        <f t="shared" si="15"/>
        <v>69</v>
      </c>
      <c r="H46" s="123">
        <f t="shared" si="15"/>
        <v>29</v>
      </c>
      <c r="I46" s="123">
        <f t="shared" si="15"/>
        <v>40</v>
      </c>
      <c r="J46" s="123">
        <f t="shared" si="15"/>
        <v>154</v>
      </c>
      <c r="K46" s="123">
        <f t="shared" si="15"/>
        <v>69</v>
      </c>
      <c r="L46" s="123">
        <f t="shared" si="15"/>
        <v>85</v>
      </c>
      <c r="M46" s="123">
        <f t="shared" si="15"/>
        <v>211</v>
      </c>
      <c r="N46" s="123">
        <f t="shared" si="15"/>
        <v>69</v>
      </c>
      <c r="O46" s="123">
        <f>SUM(O44:O45)</f>
        <v>142</v>
      </c>
      <c r="P46" s="7" t="s">
        <v>13</v>
      </c>
      <c r="Q46" s="9"/>
    </row>
    <row r="47" spans="1:17" ht="13.5" thickBot="1" x14ac:dyDescent="0.25">
      <c r="A47" s="123">
        <f t="shared" si="0"/>
        <v>134</v>
      </c>
      <c r="B47" s="123">
        <f t="shared" si="1"/>
        <v>79</v>
      </c>
      <c r="C47" s="123">
        <f t="shared" si="1"/>
        <v>55</v>
      </c>
      <c r="D47" s="123">
        <v>6</v>
      </c>
      <c r="E47" s="123">
        <v>3</v>
      </c>
      <c r="F47" s="123">
        <v>3</v>
      </c>
      <c r="G47" s="123">
        <v>77</v>
      </c>
      <c r="H47" s="123">
        <v>50</v>
      </c>
      <c r="I47" s="123">
        <v>27</v>
      </c>
      <c r="J47" s="123">
        <v>39</v>
      </c>
      <c r="K47" s="123">
        <v>21</v>
      </c>
      <c r="L47" s="123">
        <v>18</v>
      </c>
      <c r="M47" s="123">
        <v>12</v>
      </c>
      <c r="N47" s="123">
        <v>5</v>
      </c>
      <c r="O47" s="123">
        <v>7</v>
      </c>
      <c r="P47" s="7" t="s">
        <v>163</v>
      </c>
      <c r="Q47" s="124"/>
    </row>
    <row r="48" spans="1:17" ht="13.5" thickBot="1" x14ac:dyDescent="0.25">
      <c r="A48" s="123">
        <f t="shared" si="0"/>
        <v>393</v>
      </c>
      <c r="B48" s="123">
        <f t="shared" si="1"/>
        <v>133</v>
      </c>
      <c r="C48" s="123">
        <f t="shared" si="1"/>
        <v>260</v>
      </c>
      <c r="D48" s="123">
        <v>20</v>
      </c>
      <c r="E48" s="123">
        <v>5</v>
      </c>
      <c r="F48" s="123">
        <v>15</v>
      </c>
      <c r="G48" s="123">
        <v>3</v>
      </c>
      <c r="H48" s="123">
        <v>0</v>
      </c>
      <c r="I48" s="123">
        <v>3</v>
      </c>
      <c r="J48" s="123">
        <v>155</v>
      </c>
      <c r="K48" s="123">
        <v>74</v>
      </c>
      <c r="L48" s="123">
        <v>81</v>
      </c>
      <c r="M48" s="123">
        <v>215</v>
      </c>
      <c r="N48" s="123">
        <v>54</v>
      </c>
      <c r="O48" s="123">
        <v>161</v>
      </c>
      <c r="P48" s="7" t="s">
        <v>162</v>
      </c>
      <c r="Q48" s="124" t="s">
        <v>120</v>
      </c>
    </row>
    <row r="49" spans="1:17" ht="13.5" thickBot="1" x14ac:dyDescent="0.25">
      <c r="A49" s="123">
        <f t="shared" ref="A49:N49" si="16">SUM(A47:A48)</f>
        <v>527</v>
      </c>
      <c r="B49" s="123">
        <f t="shared" si="16"/>
        <v>212</v>
      </c>
      <c r="C49" s="123">
        <f t="shared" si="16"/>
        <v>315</v>
      </c>
      <c r="D49" s="123">
        <f t="shared" si="16"/>
        <v>26</v>
      </c>
      <c r="E49" s="123">
        <f t="shared" si="16"/>
        <v>8</v>
      </c>
      <c r="F49" s="123">
        <f t="shared" si="16"/>
        <v>18</v>
      </c>
      <c r="G49" s="123">
        <f t="shared" si="16"/>
        <v>80</v>
      </c>
      <c r="H49" s="123">
        <f t="shared" si="16"/>
        <v>50</v>
      </c>
      <c r="I49" s="123">
        <f t="shared" si="16"/>
        <v>30</v>
      </c>
      <c r="J49" s="123">
        <f t="shared" si="16"/>
        <v>194</v>
      </c>
      <c r="K49" s="123">
        <f t="shared" si="16"/>
        <v>95</v>
      </c>
      <c r="L49" s="123">
        <f t="shared" si="16"/>
        <v>99</v>
      </c>
      <c r="M49" s="123">
        <f t="shared" si="16"/>
        <v>227</v>
      </c>
      <c r="N49" s="123">
        <f t="shared" si="16"/>
        <v>59</v>
      </c>
      <c r="O49" s="123">
        <f>SUM(O47:O48)</f>
        <v>168</v>
      </c>
      <c r="P49" s="7" t="s">
        <v>13</v>
      </c>
      <c r="Q49" s="9"/>
    </row>
    <row r="50" spans="1:17" ht="13.5" thickBot="1" x14ac:dyDescent="0.25">
      <c r="A50" s="123">
        <f t="shared" si="0"/>
        <v>205</v>
      </c>
      <c r="B50" s="123">
        <f t="shared" si="1"/>
        <v>146</v>
      </c>
      <c r="C50" s="123">
        <f t="shared" si="1"/>
        <v>59</v>
      </c>
      <c r="D50" s="123">
        <v>11</v>
      </c>
      <c r="E50" s="123">
        <v>5</v>
      </c>
      <c r="F50" s="123">
        <v>6</v>
      </c>
      <c r="G50" s="123">
        <v>112</v>
      </c>
      <c r="H50" s="123">
        <v>90</v>
      </c>
      <c r="I50" s="123">
        <v>22</v>
      </c>
      <c r="J50" s="123">
        <v>44</v>
      </c>
      <c r="K50" s="123">
        <v>28</v>
      </c>
      <c r="L50" s="123">
        <v>16</v>
      </c>
      <c r="M50" s="123">
        <v>38</v>
      </c>
      <c r="N50" s="123">
        <v>23</v>
      </c>
      <c r="O50" s="123">
        <v>15</v>
      </c>
      <c r="P50" s="7" t="s">
        <v>163</v>
      </c>
      <c r="Q50" s="124"/>
    </row>
    <row r="51" spans="1:17" ht="13.5" thickBot="1" x14ac:dyDescent="0.25">
      <c r="A51" s="123">
        <f t="shared" si="0"/>
        <v>183</v>
      </c>
      <c r="B51" s="123">
        <f t="shared" si="1"/>
        <v>86</v>
      </c>
      <c r="C51" s="123">
        <f t="shared" si="1"/>
        <v>97</v>
      </c>
      <c r="D51" s="123">
        <v>15</v>
      </c>
      <c r="E51" s="123">
        <v>1</v>
      </c>
      <c r="F51" s="123">
        <v>14</v>
      </c>
      <c r="G51" s="123">
        <v>1</v>
      </c>
      <c r="H51" s="123">
        <v>0</v>
      </c>
      <c r="I51" s="123">
        <v>1</v>
      </c>
      <c r="J51" s="123">
        <v>42</v>
      </c>
      <c r="K51" s="123">
        <v>31</v>
      </c>
      <c r="L51" s="123">
        <v>11</v>
      </c>
      <c r="M51" s="123">
        <v>125</v>
      </c>
      <c r="N51" s="123">
        <v>54</v>
      </c>
      <c r="O51" s="123">
        <v>71</v>
      </c>
      <c r="P51" s="7" t="s">
        <v>162</v>
      </c>
      <c r="Q51" s="124" t="s">
        <v>124</v>
      </c>
    </row>
    <row r="52" spans="1:17" ht="13.5" thickBot="1" x14ac:dyDescent="0.25">
      <c r="A52" s="123">
        <f t="shared" ref="A52:N52" si="17">SUM(A50:A51)</f>
        <v>388</v>
      </c>
      <c r="B52" s="123">
        <f t="shared" si="17"/>
        <v>232</v>
      </c>
      <c r="C52" s="123">
        <f t="shared" si="17"/>
        <v>156</v>
      </c>
      <c r="D52" s="123">
        <f t="shared" si="17"/>
        <v>26</v>
      </c>
      <c r="E52" s="123">
        <f t="shared" si="17"/>
        <v>6</v>
      </c>
      <c r="F52" s="123">
        <f t="shared" si="17"/>
        <v>20</v>
      </c>
      <c r="G52" s="123">
        <f t="shared" si="17"/>
        <v>113</v>
      </c>
      <c r="H52" s="123">
        <f t="shared" si="17"/>
        <v>90</v>
      </c>
      <c r="I52" s="123">
        <f t="shared" si="17"/>
        <v>23</v>
      </c>
      <c r="J52" s="123">
        <f t="shared" si="17"/>
        <v>86</v>
      </c>
      <c r="K52" s="123">
        <f t="shared" si="17"/>
        <v>59</v>
      </c>
      <c r="L52" s="123">
        <f t="shared" si="17"/>
        <v>27</v>
      </c>
      <c r="M52" s="123">
        <f t="shared" si="17"/>
        <v>163</v>
      </c>
      <c r="N52" s="123">
        <f t="shared" si="17"/>
        <v>77</v>
      </c>
      <c r="O52" s="123">
        <f>SUM(O50:O51)</f>
        <v>86</v>
      </c>
      <c r="P52" s="7" t="s">
        <v>13</v>
      </c>
      <c r="Q52" s="9"/>
    </row>
    <row r="53" spans="1:17" ht="13.5" thickBot="1" x14ac:dyDescent="0.25">
      <c r="A53" s="123">
        <f t="shared" si="0"/>
        <v>102</v>
      </c>
      <c r="B53" s="123">
        <f t="shared" si="1"/>
        <v>40</v>
      </c>
      <c r="C53" s="123">
        <f t="shared" si="1"/>
        <v>62</v>
      </c>
      <c r="D53" s="123">
        <v>4</v>
      </c>
      <c r="E53" s="123">
        <v>2</v>
      </c>
      <c r="F53" s="123">
        <v>2</v>
      </c>
      <c r="G53" s="123">
        <v>66</v>
      </c>
      <c r="H53" s="123">
        <v>31</v>
      </c>
      <c r="I53" s="123">
        <v>35</v>
      </c>
      <c r="J53" s="123">
        <v>21</v>
      </c>
      <c r="K53" s="123">
        <v>7</v>
      </c>
      <c r="L53" s="123">
        <v>14</v>
      </c>
      <c r="M53" s="123">
        <v>11</v>
      </c>
      <c r="N53" s="123">
        <v>0</v>
      </c>
      <c r="O53" s="123">
        <v>11</v>
      </c>
      <c r="P53" s="7" t="s">
        <v>163</v>
      </c>
      <c r="Q53" s="124"/>
    </row>
    <row r="54" spans="1:17" ht="13.5" thickBot="1" x14ac:dyDescent="0.25">
      <c r="A54" s="123">
        <f t="shared" si="0"/>
        <v>310</v>
      </c>
      <c r="B54" s="123">
        <f t="shared" si="1"/>
        <v>119</v>
      </c>
      <c r="C54" s="123">
        <f t="shared" si="1"/>
        <v>191</v>
      </c>
      <c r="D54" s="123">
        <v>17</v>
      </c>
      <c r="E54" s="123">
        <v>0</v>
      </c>
      <c r="F54" s="123">
        <v>17</v>
      </c>
      <c r="G54" s="123">
        <v>9</v>
      </c>
      <c r="H54" s="123">
        <v>0</v>
      </c>
      <c r="I54" s="123">
        <v>9</v>
      </c>
      <c r="J54" s="123">
        <v>79</v>
      </c>
      <c r="K54" s="123">
        <v>56</v>
      </c>
      <c r="L54" s="123">
        <v>23</v>
      </c>
      <c r="M54" s="123">
        <v>205</v>
      </c>
      <c r="N54" s="123">
        <v>63</v>
      </c>
      <c r="O54" s="123">
        <v>142</v>
      </c>
      <c r="P54" s="7" t="s">
        <v>162</v>
      </c>
      <c r="Q54" s="124" t="s">
        <v>126</v>
      </c>
    </row>
    <row r="55" spans="1:17" ht="13.5" thickBot="1" x14ac:dyDescent="0.25">
      <c r="A55" s="123">
        <f t="shared" ref="A55:N55" si="18">SUM(A53:A54)</f>
        <v>412</v>
      </c>
      <c r="B55" s="123">
        <f t="shared" si="18"/>
        <v>159</v>
      </c>
      <c r="C55" s="123">
        <f t="shared" si="18"/>
        <v>253</v>
      </c>
      <c r="D55" s="123">
        <f t="shared" si="18"/>
        <v>21</v>
      </c>
      <c r="E55" s="123">
        <f t="shared" si="18"/>
        <v>2</v>
      </c>
      <c r="F55" s="123">
        <f t="shared" si="18"/>
        <v>19</v>
      </c>
      <c r="G55" s="123">
        <f t="shared" si="18"/>
        <v>75</v>
      </c>
      <c r="H55" s="123">
        <f t="shared" si="18"/>
        <v>31</v>
      </c>
      <c r="I55" s="123">
        <f t="shared" si="18"/>
        <v>44</v>
      </c>
      <c r="J55" s="123">
        <f t="shared" si="18"/>
        <v>100</v>
      </c>
      <c r="K55" s="123">
        <f t="shared" si="18"/>
        <v>63</v>
      </c>
      <c r="L55" s="123">
        <f t="shared" si="18"/>
        <v>37</v>
      </c>
      <c r="M55" s="123">
        <f t="shared" si="18"/>
        <v>216</v>
      </c>
      <c r="N55" s="123">
        <f t="shared" si="18"/>
        <v>63</v>
      </c>
      <c r="O55" s="123">
        <f>SUM(O53:O54)</f>
        <v>153</v>
      </c>
      <c r="P55" s="7" t="s">
        <v>13</v>
      </c>
      <c r="Q55" s="9"/>
    </row>
    <row r="56" spans="1:17" ht="13.5" thickBot="1" x14ac:dyDescent="0.25">
      <c r="A56" s="123">
        <f t="shared" si="0"/>
        <v>52</v>
      </c>
      <c r="B56" s="123">
        <f t="shared" si="1"/>
        <v>42</v>
      </c>
      <c r="C56" s="123">
        <f t="shared" si="1"/>
        <v>10</v>
      </c>
      <c r="D56" s="123">
        <v>4</v>
      </c>
      <c r="E56" s="123">
        <v>2</v>
      </c>
      <c r="F56" s="123">
        <v>2</v>
      </c>
      <c r="G56" s="123">
        <v>42</v>
      </c>
      <c r="H56" s="123">
        <v>38</v>
      </c>
      <c r="I56" s="123">
        <v>4</v>
      </c>
      <c r="J56" s="123">
        <v>2</v>
      </c>
      <c r="K56" s="123">
        <v>1</v>
      </c>
      <c r="L56" s="123">
        <v>1</v>
      </c>
      <c r="M56" s="123">
        <v>4</v>
      </c>
      <c r="N56" s="123">
        <v>1</v>
      </c>
      <c r="O56" s="123">
        <v>3</v>
      </c>
      <c r="P56" s="7" t="s">
        <v>163</v>
      </c>
      <c r="Q56" s="124"/>
    </row>
    <row r="57" spans="1:17" ht="13.5" thickBot="1" x14ac:dyDescent="0.25">
      <c r="A57" s="123">
        <f t="shared" si="0"/>
        <v>107</v>
      </c>
      <c r="B57" s="123">
        <f t="shared" si="1"/>
        <v>67</v>
      </c>
      <c r="C57" s="123">
        <f t="shared" si="1"/>
        <v>40</v>
      </c>
      <c r="D57" s="123">
        <v>1</v>
      </c>
      <c r="E57" s="123">
        <v>0</v>
      </c>
      <c r="F57" s="123">
        <v>1</v>
      </c>
      <c r="G57" s="123">
        <v>14</v>
      </c>
      <c r="H57" s="123">
        <v>14</v>
      </c>
      <c r="I57" s="123">
        <v>0</v>
      </c>
      <c r="J57" s="123">
        <v>52</v>
      </c>
      <c r="K57" s="123">
        <v>37</v>
      </c>
      <c r="L57" s="123">
        <v>15</v>
      </c>
      <c r="M57" s="123">
        <v>40</v>
      </c>
      <c r="N57" s="123">
        <v>16</v>
      </c>
      <c r="O57" s="123">
        <v>24</v>
      </c>
      <c r="P57" s="7" t="s">
        <v>162</v>
      </c>
      <c r="Q57" s="124" t="s">
        <v>129</v>
      </c>
    </row>
    <row r="58" spans="1:17" ht="13.5" thickBot="1" x14ac:dyDescent="0.25">
      <c r="A58" s="123">
        <f t="shared" ref="A58:N58" si="19">SUM(A56:A57)</f>
        <v>159</v>
      </c>
      <c r="B58" s="123">
        <f t="shared" si="19"/>
        <v>109</v>
      </c>
      <c r="C58" s="123">
        <f t="shared" si="19"/>
        <v>50</v>
      </c>
      <c r="D58" s="123">
        <f t="shared" si="19"/>
        <v>5</v>
      </c>
      <c r="E58" s="123">
        <f t="shared" si="19"/>
        <v>2</v>
      </c>
      <c r="F58" s="123">
        <f t="shared" si="19"/>
        <v>3</v>
      </c>
      <c r="G58" s="123">
        <f t="shared" si="19"/>
        <v>56</v>
      </c>
      <c r="H58" s="123">
        <f t="shared" si="19"/>
        <v>52</v>
      </c>
      <c r="I58" s="123">
        <f t="shared" si="19"/>
        <v>4</v>
      </c>
      <c r="J58" s="123">
        <f t="shared" si="19"/>
        <v>54</v>
      </c>
      <c r="K58" s="123">
        <f t="shared" si="19"/>
        <v>38</v>
      </c>
      <c r="L58" s="123">
        <f t="shared" si="19"/>
        <v>16</v>
      </c>
      <c r="M58" s="123">
        <f t="shared" si="19"/>
        <v>44</v>
      </c>
      <c r="N58" s="123">
        <f t="shared" si="19"/>
        <v>17</v>
      </c>
      <c r="O58" s="123">
        <f>SUM(O56:O57)</f>
        <v>27</v>
      </c>
      <c r="P58" s="7" t="s">
        <v>13</v>
      </c>
      <c r="Q58" s="9"/>
    </row>
    <row r="59" spans="1:17" ht="13.5" thickBot="1" x14ac:dyDescent="0.25">
      <c r="A59" s="123">
        <f t="shared" si="0"/>
        <v>1070</v>
      </c>
      <c r="B59" s="123">
        <f t="shared" si="1"/>
        <v>1068</v>
      </c>
      <c r="C59" s="123">
        <f t="shared" si="1"/>
        <v>2</v>
      </c>
      <c r="D59" s="123">
        <v>2</v>
      </c>
      <c r="E59" s="123">
        <v>2</v>
      </c>
      <c r="F59" s="123">
        <v>0</v>
      </c>
      <c r="G59" s="123">
        <v>320</v>
      </c>
      <c r="H59" s="123">
        <v>318</v>
      </c>
      <c r="I59" s="123">
        <v>2</v>
      </c>
      <c r="J59" s="123">
        <v>365</v>
      </c>
      <c r="K59" s="123">
        <v>365</v>
      </c>
      <c r="L59" s="123">
        <v>0</v>
      </c>
      <c r="M59" s="123">
        <v>383</v>
      </c>
      <c r="N59" s="123">
        <v>383</v>
      </c>
      <c r="O59" s="123">
        <v>0</v>
      </c>
      <c r="P59" s="7" t="s">
        <v>163</v>
      </c>
      <c r="Q59" s="124"/>
    </row>
    <row r="60" spans="1:17" ht="13.5" thickBot="1" x14ac:dyDescent="0.25">
      <c r="A60" s="123">
        <f t="shared" si="0"/>
        <v>665</v>
      </c>
      <c r="B60" s="123">
        <f t="shared" si="1"/>
        <v>492</v>
      </c>
      <c r="C60" s="123">
        <f t="shared" si="1"/>
        <v>173</v>
      </c>
      <c r="D60" s="123">
        <v>1</v>
      </c>
      <c r="E60" s="123">
        <v>1</v>
      </c>
      <c r="F60" s="123">
        <v>0</v>
      </c>
      <c r="G60" s="123">
        <v>0</v>
      </c>
      <c r="H60" s="123">
        <v>0</v>
      </c>
      <c r="I60" s="123">
        <v>0</v>
      </c>
      <c r="J60" s="123">
        <v>244</v>
      </c>
      <c r="K60" s="123">
        <v>229</v>
      </c>
      <c r="L60" s="123">
        <v>15</v>
      </c>
      <c r="M60" s="123">
        <v>420</v>
      </c>
      <c r="N60" s="123">
        <v>262</v>
      </c>
      <c r="O60" s="123">
        <v>158</v>
      </c>
      <c r="P60" s="7" t="s">
        <v>162</v>
      </c>
      <c r="Q60" s="124" t="s">
        <v>131</v>
      </c>
    </row>
    <row r="61" spans="1:17" ht="13.5" thickBot="1" x14ac:dyDescent="0.25">
      <c r="A61" s="123">
        <f t="shared" ref="A61:N61" si="20">SUM(A59:A60)</f>
        <v>1735</v>
      </c>
      <c r="B61" s="123">
        <f t="shared" si="20"/>
        <v>1560</v>
      </c>
      <c r="C61" s="123">
        <f t="shared" si="20"/>
        <v>175</v>
      </c>
      <c r="D61" s="123">
        <f t="shared" si="20"/>
        <v>3</v>
      </c>
      <c r="E61" s="123">
        <f t="shared" si="20"/>
        <v>3</v>
      </c>
      <c r="F61" s="123">
        <f t="shared" si="20"/>
        <v>0</v>
      </c>
      <c r="G61" s="123">
        <f t="shared" si="20"/>
        <v>320</v>
      </c>
      <c r="H61" s="123">
        <f t="shared" si="20"/>
        <v>318</v>
      </c>
      <c r="I61" s="123">
        <f t="shared" si="20"/>
        <v>2</v>
      </c>
      <c r="J61" s="123">
        <f t="shared" si="20"/>
        <v>609</v>
      </c>
      <c r="K61" s="123">
        <f t="shared" si="20"/>
        <v>594</v>
      </c>
      <c r="L61" s="123">
        <f t="shared" si="20"/>
        <v>15</v>
      </c>
      <c r="M61" s="123">
        <f t="shared" si="20"/>
        <v>803</v>
      </c>
      <c r="N61" s="123">
        <f t="shared" si="20"/>
        <v>645</v>
      </c>
      <c r="O61" s="123">
        <f>SUM(O59:O60)</f>
        <v>158</v>
      </c>
      <c r="P61" s="7" t="s">
        <v>13</v>
      </c>
      <c r="Q61" s="9"/>
    </row>
    <row r="62" spans="1:17" ht="13.5" thickBot="1" x14ac:dyDescent="0.25">
      <c r="A62" s="123">
        <f t="shared" si="0"/>
        <v>110</v>
      </c>
      <c r="B62" s="123">
        <f t="shared" si="1"/>
        <v>39</v>
      </c>
      <c r="C62" s="123">
        <f t="shared" si="1"/>
        <v>71</v>
      </c>
      <c r="D62" s="123">
        <v>4</v>
      </c>
      <c r="E62" s="123">
        <v>4</v>
      </c>
      <c r="F62" s="123">
        <v>0</v>
      </c>
      <c r="G62" s="123">
        <v>74</v>
      </c>
      <c r="H62" s="123">
        <v>34</v>
      </c>
      <c r="I62" s="123">
        <v>40</v>
      </c>
      <c r="J62" s="123">
        <v>24</v>
      </c>
      <c r="K62" s="123">
        <v>1</v>
      </c>
      <c r="L62" s="123">
        <v>23</v>
      </c>
      <c r="M62" s="123">
        <v>8</v>
      </c>
      <c r="N62" s="123">
        <v>0</v>
      </c>
      <c r="O62" s="123">
        <v>8</v>
      </c>
      <c r="P62" s="7" t="s">
        <v>163</v>
      </c>
      <c r="Q62" s="124"/>
    </row>
    <row r="63" spans="1:17" ht="13.5" thickBot="1" x14ac:dyDescent="0.25">
      <c r="A63" s="123">
        <f t="shared" si="0"/>
        <v>163</v>
      </c>
      <c r="B63" s="123">
        <f t="shared" si="1"/>
        <v>61</v>
      </c>
      <c r="C63" s="123">
        <f t="shared" si="1"/>
        <v>102</v>
      </c>
      <c r="D63" s="123">
        <v>22</v>
      </c>
      <c r="E63" s="123">
        <v>7</v>
      </c>
      <c r="F63" s="123">
        <v>15</v>
      </c>
      <c r="G63" s="123">
        <v>8</v>
      </c>
      <c r="H63" s="123">
        <v>0</v>
      </c>
      <c r="I63" s="123">
        <v>8</v>
      </c>
      <c r="J63" s="123">
        <v>52</v>
      </c>
      <c r="K63" s="123">
        <v>39</v>
      </c>
      <c r="L63" s="123">
        <v>13</v>
      </c>
      <c r="M63" s="123">
        <v>81</v>
      </c>
      <c r="N63" s="123">
        <v>15</v>
      </c>
      <c r="O63" s="123">
        <v>66</v>
      </c>
      <c r="P63" s="7" t="s">
        <v>162</v>
      </c>
      <c r="Q63" s="124" t="s">
        <v>133</v>
      </c>
    </row>
    <row r="64" spans="1:17" ht="13.5" thickBot="1" x14ac:dyDescent="0.25">
      <c r="A64" s="123">
        <f t="shared" ref="A64:N64" si="21">SUM(A62:A63)</f>
        <v>273</v>
      </c>
      <c r="B64" s="123">
        <f t="shared" si="21"/>
        <v>100</v>
      </c>
      <c r="C64" s="123">
        <f t="shared" si="21"/>
        <v>173</v>
      </c>
      <c r="D64" s="123">
        <f t="shared" si="21"/>
        <v>26</v>
      </c>
      <c r="E64" s="123">
        <f t="shared" si="21"/>
        <v>11</v>
      </c>
      <c r="F64" s="123">
        <f t="shared" si="21"/>
        <v>15</v>
      </c>
      <c r="G64" s="123">
        <f t="shared" si="21"/>
        <v>82</v>
      </c>
      <c r="H64" s="123">
        <f t="shared" si="21"/>
        <v>34</v>
      </c>
      <c r="I64" s="123">
        <f t="shared" si="21"/>
        <v>48</v>
      </c>
      <c r="J64" s="123">
        <f t="shared" si="21"/>
        <v>76</v>
      </c>
      <c r="K64" s="123">
        <f t="shared" si="21"/>
        <v>40</v>
      </c>
      <c r="L64" s="123">
        <f t="shared" si="21"/>
        <v>36</v>
      </c>
      <c r="M64" s="123">
        <f t="shared" si="21"/>
        <v>89</v>
      </c>
      <c r="N64" s="123">
        <f t="shared" si="21"/>
        <v>15</v>
      </c>
      <c r="O64" s="123">
        <f>SUM(O62:O63)</f>
        <v>74</v>
      </c>
      <c r="P64" s="7" t="s">
        <v>13</v>
      </c>
      <c r="Q64" s="9"/>
    </row>
    <row r="65" spans="1:17" ht="13.5" thickBot="1" x14ac:dyDescent="0.25">
      <c r="A65" s="123">
        <f t="shared" si="0"/>
        <v>3618</v>
      </c>
      <c r="B65" s="123">
        <f t="shared" si="1"/>
        <v>118</v>
      </c>
      <c r="C65" s="123">
        <f t="shared" si="1"/>
        <v>3500</v>
      </c>
      <c r="D65" s="123">
        <v>405</v>
      </c>
      <c r="E65" s="123">
        <v>1</v>
      </c>
      <c r="F65" s="123">
        <v>404</v>
      </c>
      <c r="G65" s="123">
        <v>2831</v>
      </c>
      <c r="H65" s="123">
        <v>100</v>
      </c>
      <c r="I65" s="123">
        <v>2731</v>
      </c>
      <c r="J65" s="123">
        <v>244</v>
      </c>
      <c r="K65" s="123">
        <v>17</v>
      </c>
      <c r="L65" s="123">
        <v>227</v>
      </c>
      <c r="M65" s="123">
        <v>138</v>
      </c>
      <c r="N65" s="123">
        <v>0</v>
      </c>
      <c r="O65" s="123">
        <v>138</v>
      </c>
      <c r="P65" s="7" t="s">
        <v>163</v>
      </c>
      <c r="Q65" s="124"/>
    </row>
    <row r="66" spans="1:17" ht="13.5" thickBot="1" x14ac:dyDescent="0.25">
      <c r="A66" s="123">
        <f t="shared" si="0"/>
        <v>777</v>
      </c>
      <c r="B66" s="123">
        <f t="shared" si="1"/>
        <v>0</v>
      </c>
      <c r="C66" s="123">
        <f t="shared" si="1"/>
        <v>777</v>
      </c>
      <c r="D66" s="123">
        <v>14</v>
      </c>
      <c r="E66" s="123">
        <v>0</v>
      </c>
      <c r="F66" s="123">
        <v>14</v>
      </c>
      <c r="G66" s="123">
        <v>482</v>
      </c>
      <c r="H66" s="123">
        <v>0</v>
      </c>
      <c r="I66" s="123">
        <v>482</v>
      </c>
      <c r="J66" s="123">
        <v>165</v>
      </c>
      <c r="K66" s="123">
        <v>0</v>
      </c>
      <c r="L66" s="123">
        <v>165</v>
      </c>
      <c r="M66" s="123">
        <v>116</v>
      </c>
      <c r="N66" s="123">
        <v>0</v>
      </c>
      <c r="O66" s="123">
        <v>116</v>
      </c>
      <c r="P66" s="7" t="s">
        <v>162</v>
      </c>
      <c r="Q66" s="124" t="s">
        <v>168</v>
      </c>
    </row>
    <row r="67" spans="1:17" ht="13.5" thickBot="1" x14ac:dyDescent="0.25">
      <c r="A67" s="123">
        <f t="shared" ref="A67:N67" si="22">SUM(A65:A66)</f>
        <v>4395</v>
      </c>
      <c r="B67" s="123">
        <f t="shared" si="22"/>
        <v>118</v>
      </c>
      <c r="C67" s="123">
        <f t="shared" si="22"/>
        <v>4277</v>
      </c>
      <c r="D67" s="123">
        <f t="shared" si="22"/>
        <v>419</v>
      </c>
      <c r="E67" s="123">
        <f t="shared" si="22"/>
        <v>1</v>
      </c>
      <c r="F67" s="123">
        <f t="shared" si="22"/>
        <v>418</v>
      </c>
      <c r="G67" s="123">
        <f t="shared" si="22"/>
        <v>3313</v>
      </c>
      <c r="H67" s="123">
        <f t="shared" si="22"/>
        <v>100</v>
      </c>
      <c r="I67" s="123">
        <f t="shared" si="22"/>
        <v>3213</v>
      </c>
      <c r="J67" s="123">
        <f t="shared" si="22"/>
        <v>409</v>
      </c>
      <c r="K67" s="123">
        <f t="shared" si="22"/>
        <v>17</v>
      </c>
      <c r="L67" s="123">
        <f t="shared" si="22"/>
        <v>392</v>
      </c>
      <c r="M67" s="123">
        <f t="shared" si="22"/>
        <v>254</v>
      </c>
      <c r="N67" s="123">
        <f t="shared" si="22"/>
        <v>0</v>
      </c>
      <c r="O67" s="123">
        <f>SUM(O65:O66)</f>
        <v>254</v>
      </c>
      <c r="P67" s="7" t="s">
        <v>13</v>
      </c>
      <c r="Q67" s="9"/>
    </row>
    <row r="68" spans="1:17" ht="13.5" thickBot="1" x14ac:dyDescent="0.25">
      <c r="A68" s="123">
        <f t="shared" si="0"/>
        <v>0</v>
      </c>
      <c r="B68" s="123">
        <f t="shared" si="1"/>
        <v>0</v>
      </c>
      <c r="C68" s="123">
        <f t="shared" si="1"/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3">
        <v>0</v>
      </c>
      <c r="J68" s="123">
        <v>0</v>
      </c>
      <c r="K68" s="123">
        <v>0</v>
      </c>
      <c r="L68" s="123">
        <v>0</v>
      </c>
      <c r="M68" s="123">
        <v>0</v>
      </c>
      <c r="N68" s="123">
        <v>0</v>
      </c>
      <c r="O68" s="123">
        <v>0</v>
      </c>
      <c r="P68" s="7" t="s">
        <v>163</v>
      </c>
      <c r="Q68" s="124"/>
    </row>
    <row r="69" spans="1:17" ht="13.5" thickBot="1" x14ac:dyDescent="0.25">
      <c r="A69" s="123">
        <f t="shared" si="0"/>
        <v>0</v>
      </c>
      <c r="B69" s="123">
        <f t="shared" si="1"/>
        <v>0</v>
      </c>
      <c r="C69" s="123">
        <f t="shared" si="1"/>
        <v>0</v>
      </c>
      <c r="D69" s="123">
        <v>0</v>
      </c>
      <c r="E69" s="123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0</v>
      </c>
      <c r="K69" s="123">
        <v>0</v>
      </c>
      <c r="L69" s="123">
        <v>0</v>
      </c>
      <c r="M69" s="123">
        <v>0</v>
      </c>
      <c r="N69" s="123">
        <v>0</v>
      </c>
      <c r="O69" s="123">
        <v>0</v>
      </c>
      <c r="P69" s="7" t="s">
        <v>162</v>
      </c>
      <c r="Q69" s="124" t="s">
        <v>615</v>
      </c>
    </row>
    <row r="70" spans="1:17" ht="13.5" thickBot="1" x14ac:dyDescent="0.25">
      <c r="A70" s="123">
        <f t="shared" ref="A70:N70" si="23">SUM(A68:A69)</f>
        <v>0</v>
      </c>
      <c r="B70" s="123">
        <f t="shared" si="23"/>
        <v>0</v>
      </c>
      <c r="C70" s="123">
        <f t="shared" si="23"/>
        <v>0</v>
      </c>
      <c r="D70" s="123">
        <f t="shared" si="23"/>
        <v>0</v>
      </c>
      <c r="E70" s="123">
        <f t="shared" si="23"/>
        <v>0</v>
      </c>
      <c r="F70" s="123">
        <f t="shared" si="23"/>
        <v>0</v>
      </c>
      <c r="G70" s="123">
        <f t="shared" si="23"/>
        <v>0</v>
      </c>
      <c r="H70" s="123">
        <f t="shared" si="23"/>
        <v>0</v>
      </c>
      <c r="I70" s="123">
        <f t="shared" si="23"/>
        <v>0</v>
      </c>
      <c r="J70" s="123">
        <f t="shared" si="23"/>
        <v>0</v>
      </c>
      <c r="K70" s="123">
        <f t="shared" si="23"/>
        <v>0</v>
      </c>
      <c r="L70" s="123">
        <f t="shared" si="23"/>
        <v>0</v>
      </c>
      <c r="M70" s="123">
        <f t="shared" si="23"/>
        <v>0</v>
      </c>
      <c r="N70" s="123">
        <f t="shared" si="23"/>
        <v>0</v>
      </c>
      <c r="O70" s="123">
        <f>SUM(O68:O69)</f>
        <v>0</v>
      </c>
      <c r="P70" s="7" t="s">
        <v>13</v>
      </c>
      <c r="Q70" s="9"/>
    </row>
    <row r="71" spans="1:17" ht="13.5" thickBot="1" x14ac:dyDescent="0.25">
      <c r="A71" s="123">
        <f t="shared" ref="A71:A81" si="24">SUM(B71:C71)</f>
        <v>10</v>
      </c>
      <c r="B71" s="123">
        <f t="shared" ref="B71:C81" si="25">N71+K71+H71+E71</f>
        <v>6</v>
      </c>
      <c r="C71" s="123">
        <f t="shared" si="25"/>
        <v>4</v>
      </c>
      <c r="D71" s="123">
        <v>3</v>
      </c>
      <c r="E71" s="123">
        <v>3</v>
      </c>
      <c r="F71" s="123">
        <v>0</v>
      </c>
      <c r="G71" s="123">
        <v>0</v>
      </c>
      <c r="H71" s="123">
        <v>0</v>
      </c>
      <c r="I71" s="123">
        <v>0</v>
      </c>
      <c r="J71" s="123">
        <v>7</v>
      </c>
      <c r="K71" s="123">
        <v>3</v>
      </c>
      <c r="L71" s="123">
        <v>4</v>
      </c>
      <c r="M71" s="123">
        <v>0</v>
      </c>
      <c r="N71" s="123">
        <v>0</v>
      </c>
      <c r="O71" s="123">
        <v>0</v>
      </c>
      <c r="P71" s="7" t="s">
        <v>163</v>
      </c>
      <c r="Q71" s="124"/>
    </row>
    <row r="72" spans="1:17" ht="13.5" thickBot="1" x14ac:dyDescent="0.25">
      <c r="A72" s="123">
        <f t="shared" si="24"/>
        <v>45</v>
      </c>
      <c r="B72" s="123">
        <f t="shared" si="25"/>
        <v>2</v>
      </c>
      <c r="C72" s="123">
        <f t="shared" si="25"/>
        <v>43</v>
      </c>
      <c r="D72" s="123">
        <v>13</v>
      </c>
      <c r="E72" s="123">
        <v>0</v>
      </c>
      <c r="F72" s="123">
        <v>13</v>
      </c>
      <c r="G72" s="123">
        <v>0</v>
      </c>
      <c r="H72" s="123">
        <v>0</v>
      </c>
      <c r="I72" s="123">
        <v>0</v>
      </c>
      <c r="J72" s="123">
        <v>23</v>
      </c>
      <c r="K72" s="123">
        <v>2</v>
      </c>
      <c r="L72" s="123">
        <v>21</v>
      </c>
      <c r="M72" s="123">
        <v>9</v>
      </c>
      <c r="N72" s="123">
        <v>0</v>
      </c>
      <c r="O72" s="123">
        <v>9</v>
      </c>
      <c r="P72" s="7" t="s">
        <v>162</v>
      </c>
      <c r="Q72" s="124" t="s">
        <v>169</v>
      </c>
    </row>
    <row r="73" spans="1:17" ht="13.5" thickBot="1" x14ac:dyDescent="0.25">
      <c r="A73" s="123">
        <f t="shared" ref="A73:N73" si="26">SUM(A71:A72)</f>
        <v>55</v>
      </c>
      <c r="B73" s="123">
        <f t="shared" si="26"/>
        <v>8</v>
      </c>
      <c r="C73" s="123">
        <f t="shared" si="26"/>
        <v>47</v>
      </c>
      <c r="D73" s="123">
        <f t="shared" si="26"/>
        <v>16</v>
      </c>
      <c r="E73" s="123">
        <f t="shared" si="26"/>
        <v>3</v>
      </c>
      <c r="F73" s="123">
        <f t="shared" si="26"/>
        <v>13</v>
      </c>
      <c r="G73" s="123">
        <f t="shared" si="26"/>
        <v>0</v>
      </c>
      <c r="H73" s="123">
        <f t="shared" si="26"/>
        <v>0</v>
      </c>
      <c r="I73" s="123">
        <f t="shared" si="26"/>
        <v>0</v>
      </c>
      <c r="J73" s="123">
        <f t="shared" si="26"/>
        <v>30</v>
      </c>
      <c r="K73" s="123">
        <f t="shared" si="26"/>
        <v>5</v>
      </c>
      <c r="L73" s="123">
        <f t="shared" si="26"/>
        <v>25</v>
      </c>
      <c r="M73" s="123">
        <f t="shared" si="26"/>
        <v>9</v>
      </c>
      <c r="N73" s="123">
        <f t="shared" si="26"/>
        <v>0</v>
      </c>
      <c r="O73" s="123">
        <f>SUM(O71:O72)</f>
        <v>9</v>
      </c>
      <c r="P73" s="7" t="s">
        <v>13</v>
      </c>
      <c r="Q73" s="9"/>
    </row>
    <row r="74" spans="1:17" ht="13.5" thickBot="1" x14ac:dyDescent="0.25">
      <c r="A74" s="123">
        <f t="shared" si="24"/>
        <v>91</v>
      </c>
      <c r="B74" s="123">
        <f t="shared" si="25"/>
        <v>7</v>
      </c>
      <c r="C74" s="123">
        <f t="shared" si="25"/>
        <v>84</v>
      </c>
      <c r="D74" s="123">
        <v>6</v>
      </c>
      <c r="E74" s="123">
        <v>0</v>
      </c>
      <c r="F74" s="123">
        <v>6</v>
      </c>
      <c r="G74" s="123">
        <v>36</v>
      </c>
      <c r="H74" s="123">
        <v>4</v>
      </c>
      <c r="I74" s="123">
        <v>32</v>
      </c>
      <c r="J74" s="123">
        <v>42</v>
      </c>
      <c r="K74" s="123">
        <v>2</v>
      </c>
      <c r="L74" s="123">
        <v>40</v>
      </c>
      <c r="M74" s="123">
        <v>7</v>
      </c>
      <c r="N74" s="123">
        <v>1</v>
      </c>
      <c r="O74" s="123">
        <v>6</v>
      </c>
      <c r="P74" s="7" t="s">
        <v>163</v>
      </c>
      <c r="Q74" s="124"/>
    </row>
    <row r="75" spans="1:17" ht="13.5" thickBot="1" x14ac:dyDescent="0.25">
      <c r="A75" s="123">
        <f t="shared" si="24"/>
        <v>503</v>
      </c>
      <c r="B75" s="123">
        <f t="shared" si="25"/>
        <v>55</v>
      </c>
      <c r="C75" s="123">
        <f t="shared" si="25"/>
        <v>448</v>
      </c>
      <c r="D75" s="123">
        <v>2</v>
      </c>
      <c r="E75" s="123">
        <v>0</v>
      </c>
      <c r="F75" s="123">
        <v>2</v>
      </c>
      <c r="G75" s="123">
        <v>159</v>
      </c>
      <c r="H75" s="123">
        <v>24</v>
      </c>
      <c r="I75" s="123">
        <v>135</v>
      </c>
      <c r="J75" s="123">
        <v>256</v>
      </c>
      <c r="K75" s="123">
        <v>27</v>
      </c>
      <c r="L75" s="123">
        <v>229</v>
      </c>
      <c r="M75" s="123">
        <v>86</v>
      </c>
      <c r="N75" s="123">
        <v>4</v>
      </c>
      <c r="O75" s="123">
        <v>82</v>
      </c>
      <c r="P75" s="7" t="s">
        <v>162</v>
      </c>
      <c r="Q75" s="124" t="s">
        <v>170</v>
      </c>
    </row>
    <row r="76" spans="1:17" ht="13.5" thickBot="1" x14ac:dyDescent="0.25">
      <c r="A76" s="123">
        <f t="shared" ref="A76:N76" si="27">SUM(A74:A75)</f>
        <v>594</v>
      </c>
      <c r="B76" s="123">
        <f t="shared" si="27"/>
        <v>62</v>
      </c>
      <c r="C76" s="123">
        <f t="shared" si="27"/>
        <v>532</v>
      </c>
      <c r="D76" s="123">
        <f t="shared" si="27"/>
        <v>8</v>
      </c>
      <c r="E76" s="123">
        <f t="shared" si="27"/>
        <v>0</v>
      </c>
      <c r="F76" s="123">
        <f t="shared" si="27"/>
        <v>8</v>
      </c>
      <c r="G76" s="123">
        <f t="shared" si="27"/>
        <v>195</v>
      </c>
      <c r="H76" s="123">
        <f t="shared" si="27"/>
        <v>28</v>
      </c>
      <c r="I76" s="123">
        <f t="shared" si="27"/>
        <v>167</v>
      </c>
      <c r="J76" s="123">
        <f t="shared" si="27"/>
        <v>298</v>
      </c>
      <c r="K76" s="123">
        <f t="shared" si="27"/>
        <v>29</v>
      </c>
      <c r="L76" s="123">
        <f t="shared" si="27"/>
        <v>269</v>
      </c>
      <c r="M76" s="123">
        <f t="shared" si="27"/>
        <v>93</v>
      </c>
      <c r="N76" s="123">
        <f t="shared" si="27"/>
        <v>5</v>
      </c>
      <c r="O76" s="123">
        <f>SUM(O74:O75)</f>
        <v>88</v>
      </c>
      <c r="P76" s="7" t="s">
        <v>13</v>
      </c>
      <c r="Q76" s="9"/>
    </row>
    <row r="77" spans="1:17" ht="13.5" thickBot="1" x14ac:dyDescent="0.25">
      <c r="A77" s="123">
        <f t="shared" si="24"/>
        <v>395</v>
      </c>
      <c r="B77" s="123">
        <f t="shared" si="25"/>
        <v>53</v>
      </c>
      <c r="C77" s="123">
        <f t="shared" si="25"/>
        <v>342</v>
      </c>
      <c r="D77" s="123">
        <v>0</v>
      </c>
      <c r="E77" s="123">
        <v>0</v>
      </c>
      <c r="F77" s="123">
        <v>0</v>
      </c>
      <c r="G77" s="123">
        <v>45</v>
      </c>
      <c r="H77" s="123">
        <v>7</v>
      </c>
      <c r="I77" s="123">
        <v>38</v>
      </c>
      <c r="J77" s="123">
        <v>292</v>
      </c>
      <c r="K77" s="123">
        <v>40</v>
      </c>
      <c r="L77" s="123">
        <v>252</v>
      </c>
      <c r="M77" s="123">
        <v>58</v>
      </c>
      <c r="N77" s="123">
        <v>6</v>
      </c>
      <c r="O77" s="123">
        <v>52</v>
      </c>
      <c r="P77" s="7" t="s">
        <v>163</v>
      </c>
      <c r="Q77" s="124"/>
    </row>
    <row r="78" spans="1:17" ht="13.5" thickBot="1" x14ac:dyDescent="0.25">
      <c r="A78" s="123">
        <f t="shared" si="24"/>
        <v>119</v>
      </c>
      <c r="B78" s="123">
        <f t="shared" si="25"/>
        <v>6</v>
      </c>
      <c r="C78" s="123">
        <f t="shared" si="25"/>
        <v>113</v>
      </c>
      <c r="D78" s="123">
        <v>0</v>
      </c>
      <c r="E78" s="123">
        <v>0</v>
      </c>
      <c r="F78" s="123">
        <v>0</v>
      </c>
      <c r="G78" s="123">
        <v>0</v>
      </c>
      <c r="H78" s="123">
        <v>0</v>
      </c>
      <c r="I78" s="123">
        <v>0</v>
      </c>
      <c r="J78" s="123">
        <v>86</v>
      </c>
      <c r="K78" s="123">
        <v>3</v>
      </c>
      <c r="L78" s="123">
        <v>83</v>
      </c>
      <c r="M78" s="123">
        <v>33</v>
      </c>
      <c r="N78" s="123">
        <v>3</v>
      </c>
      <c r="O78" s="123">
        <v>30</v>
      </c>
      <c r="P78" s="7" t="s">
        <v>162</v>
      </c>
      <c r="Q78" s="124" t="s">
        <v>171</v>
      </c>
    </row>
    <row r="79" spans="1:17" ht="13.5" thickBot="1" x14ac:dyDescent="0.25">
      <c r="A79" s="123">
        <f t="shared" ref="A79:N79" si="28">SUM(A77:A78)</f>
        <v>514</v>
      </c>
      <c r="B79" s="123">
        <f t="shared" si="28"/>
        <v>59</v>
      </c>
      <c r="C79" s="123">
        <f t="shared" si="28"/>
        <v>455</v>
      </c>
      <c r="D79" s="123">
        <f t="shared" si="28"/>
        <v>0</v>
      </c>
      <c r="E79" s="123">
        <f t="shared" si="28"/>
        <v>0</v>
      </c>
      <c r="F79" s="123">
        <f t="shared" si="28"/>
        <v>0</v>
      </c>
      <c r="G79" s="123">
        <f t="shared" si="28"/>
        <v>45</v>
      </c>
      <c r="H79" s="123">
        <f t="shared" si="28"/>
        <v>7</v>
      </c>
      <c r="I79" s="123">
        <f t="shared" si="28"/>
        <v>38</v>
      </c>
      <c r="J79" s="123">
        <f t="shared" si="28"/>
        <v>378</v>
      </c>
      <c r="K79" s="123">
        <f t="shared" si="28"/>
        <v>43</v>
      </c>
      <c r="L79" s="123">
        <f t="shared" si="28"/>
        <v>335</v>
      </c>
      <c r="M79" s="123">
        <f t="shared" si="28"/>
        <v>91</v>
      </c>
      <c r="N79" s="123">
        <f t="shared" si="28"/>
        <v>9</v>
      </c>
      <c r="O79" s="123">
        <f>SUM(O77:O78)</f>
        <v>82</v>
      </c>
      <c r="P79" s="7" t="s">
        <v>13</v>
      </c>
      <c r="Q79" s="9"/>
    </row>
    <row r="80" spans="1:17" ht="13.5" thickBot="1" x14ac:dyDescent="0.25">
      <c r="A80" s="123">
        <f t="shared" si="24"/>
        <v>326</v>
      </c>
      <c r="B80" s="123">
        <f t="shared" si="25"/>
        <v>168</v>
      </c>
      <c r="C80" s="123">
        <f t="shared" si="25"/>
        <v>158</v>
      </c>
      <c r="D80" s="123">
        <v>5</v>
      </c>
      <c r="E80" s="123">
        <v>5</v>
      </c>
      <c r="F80" s="123">
        <v>0</v>
      </c>
      <c r="G80" s="123">
        <v>53</v>
      </c>
      <c r="H80" s="123">
        <v>44</v>
      </c>
      <c r="I80" s="123">
        <v>9</v>
      </c>
      <c r="J80" s="123">
        <v>129</v>
      </c>
      <c r="K80" s="123">
        <v>78</v>
      </c>
      <c r="L80" s="123">
        <v>51</v>
      </c>
      <c r="M80" s="123">
        <v>139</v>
      </c>
      <c r="N80" s="123">
        <v>41</v>
      </c>
      <c r="O80" s="123">
        <v>98</v>
      </c>
      <c r="P80" s="7" t="s">
        <v>163</v>
      </c>
      <c r="Q80" s="124"/>
    </row>
    <row r="81" spans="1:17" ht="13.5" thickBot="1" x14ac:dyDescent="0.25">
      <c r="A81" s="123">
        <f t="shared" si="24"/>
        <v>1036</v>
      </c>
      <c r="B81" s="123">
        <f t="shared" si="25"/>
        <v>508</v>
      </c>
      <c r="C81" s="123">
        <f t="shared" si="25"/>
        <v>528</v>
      </c>
      <c r="D81" s="123">
        <v>151</v>
      </c>
      <c r="E81" s="123">
        <v>77</v>
      </c>
      <c r="F81" s="123">
        <v>74</v>
      </c>
      <c r="G81" s="123">
        <v>90</v>
      </c>
      <c r="H81" s="123">
        <v>70</v>
      </c>
      <c r="I81" s="123">
        <v>20</v>
      </c>
      <c r="J81" s="123">
        <v>456</v>
      </c>
      <c r="K81" s="123">
        <v>237</v>
      </c>
      <c r="L81" s="123">
        <v>219</v>
      </c>
      <c r="M81" s="123">
        <v>339</v>
      </c>
      <c r="N81" s="123">
        <v>124</v>
      </c>
      <c r="O81" s="123">
        <v>215</v>
      </c>
      <c r="P81" s="7" t="s">
        <v>162</v>
      </c>
      <c r="Q81" s="124" t="s">
        <v>173</v>
      </c>
    </row>
    <row r="82" spans="1:17" ht="13.5" thickBot="1" x14ac:dyDescent="0.25">
      <c r="A82" s="123">
        <f t="shared" ref="A82:N82" si="29">SUM(A80:A81)</f>
        <v>1362</v>
      </c>
      <c r="B82" s="123">
        <f t="shared" si="29"/>
        <v>676</v>
      </c>
      <c r="C82" s="123">
        <f t="shared" si="29"/>
        <v>686</v>
      </c>
      <c r="D82" s="123">
        <f t="shared" si="29"/>
        <v>156</v>
      </c>
      <c r="E82" s="123">
        <f t="shared" si="29"/>
        <v>82</v>
      </c>
      <c r="F82" s="123">
        <f t="shared" si="29"/>
        <v>74</v>
      </c>
      <c r="G82" s="123">
        <f t="shared" si="29"/>
        <v>143</v>
      </c>
      <c r="H82" s="123">
        <f t="shared" si="29"/>
        <v>114</v>
      </c>
      <c r="I82" s="123">
        <f t="shared" si="29"/>
        <v>29</v>
      </c>
      <c r="J82" s="123">
        <f t="shared" si="29"/>
        <v>585</v>
      </c>
      <c r="K82" s="123">
        <f t="shared" si="29"/>
        <v>315</v>
      </c>
      <c r="L82" s="123">
        <f t="shared" si="29"/>
        <v>270</v>
      </c>
      <c r="M82" s="123">
        <f t="shared" si="29"/>
        <v>478</v>
      </c>
      <c r="N82" s="123">
        <f t="shared" si="29"/>
        <v>165</v>
      </c>
      <c r="O82" s="123">
        <f>SUM(O80:O81)</f>
        <v>313</v>
      </c>
      <c r="P82" s="7" t="s">
        <v>13</v>
      </c>
      <c r="Q82" s="9"/>
    </row>
    <row r="83" spans="1:17" ht="13.5" thickBot="1" x14ac:dyDescent="0.25">
      <c r="A83" s="123">
        <f t="shared" ref="A83:O85" si="30">A5+A8+A11+A14+A17+A20+A23+A26+A29+A32+A35+A38+A41+A44+A47+A50+A53+A56+A59+A62+A65+A68+A71+A74+A77+A80</f>
        <v>20842</v>
      </c>
      <c r="B83" s="123">
        <f t="shared" si="30"/>
        <v>7416</v>
      </c>
      <c r="C83" s="123">
        <f t="shared" si="30"/>
        <v>13426</v>
      </c>
      <c r="D83" s="123">
        <f t="shared" si="30"/>
        <v>1052</v>
      </c>
      <c r="E83" s="123">
        <f t="shared" si="30"/>
        <v>162</v>
      </c>
      <c r="F83" s="123">
        <f t="shared" si="30"/>
        <v>890</v>
      </c>
      <c r="G83" s="123">
        <f t="shared" si="30"/>
        <v>8749</v>
      </c>
      <c r="H83" s="123">
        <f t="shared" si="30"/>
        <v>3386</v>
      </c>
      <c r="I83" s="123">
        <f t="shared" si="30"/>
        <v>5363</v>
      </c>
      <c r="J83" s="123">
        <f t="shared" si="30"/>
        <v>3741</v>
      </c>
      <c r="K83" s="123">
        <f t="shared" si="30"/>
        <v>2037</v>
      </c>
      <c r="L83" s="123">
        <f t="shared" si="30"/>
        <v>1704</v>
      </c>
      <c r="M83" s="123">
        <f t="shared" si="30"/>
        <v>7300</v>
      </c>
      <c r="N83" s="123">
        <f t="shared" si="30"/>
        <v>1831</v>
      </c>
      <c r="O83" s="123">
        <f>O5+O8+O11+O14+O17+O20+O23+O26+O29+O32+O35+O38+O41+O44+O47+O50+O53+O56+O59+O62+O65+O68+O71+O74+O77+O80</f>
        <v>5469</v>
      </c>
      <c r="P83" s="7" t="s">
        <v>163</v>
      </c>
      <c r="Q83" s="3"/>
    </row>
    <row r="84" spans="1:17" ht="13.5" thickBot="1" x14ac:dyDescent="0.25">
      <c r="A84" s="123">
        <f t="shared" si="30"/>
        <v>12067</v>
      </c>
      <c r="B84" s="123">
        <f t="shared" si="30"/>
        <v>3572</v>
      </c>
      <c r="C84" s="123">
        <f t="shared" si="30"/>
        <v>8495</v>
      </c>
      <c r="D84" s="123">
        <f t="shared" si="30"/>
        <v>516</v>
      </c>
      <c r="E84" s="123">
        <f t="shared" si="30"/>
        <v>167</v>
      </c>
      <c r="F84" s="123">
        <f t="shared" si="30"/>
        <v>349</v>
      </c>
      <c r="G84" s="123">
        <f t="shared" si="30"/>
        <v>1015</v>
      </c>
      <c r="H84" s="123">
        <f t="shared" si="30"/>
        <v>156</v>
      </c>
      <c r="I84" s="123">
        <f t="shared" si="30"/>
        <v>859</v>
      </c>
      <c r="J84" s="123">
        <f t="shared" si="30"/>
        <v>3180</v>
      </c>
      <c r="K84" s="123">
        <f t="shared" si="30"/>
        <v>1262</v>
      </c>
      <c r="L84" s="123">
        <f t="shared" si="30"/>
        <v>1918</v>
      </c>
      <c r="M84" s="123">
        <f t="shared" si="30"/>
        <v>7356</v>
      </c>
      <c r="N84" s="123">
        <f t="shared" si="30"/>
        <v>1987</v>
      </c>
      <c r="O84" s="123">
        <f t="shared" si="30"/>
        <v>5369</v>
      </c>
      <c r="P84" s="7" t="s">
        <v>162</v>
      </c>
      <c r="Q84" s="11" t="s">
        <v>211</v>
      </c>
    </row>
    <row r="85" spans="1:17" ht="13.5" thickBot="1" x14ac:dyDescent="0.25">
      <c r="A85" s="123">
        <f t="shared" si="30"/>
        <v>32909</v>
      </c>
      <c r="B85" s="123">
        <f t="shared" si="30"/>
        <v>10988</v>
      </c>
      <c r="C85" s="123">
        <f t="shared" si="30"/>
        <v>21921</v>
      </c>
      <c r="D85" s="123">
        <f t="shared" si="30"/>
        <v>1568</v>
      </c>
      <c r="E85" s="123">
        <f t="shared" si="30"/>
        <v>329</v>
      </c>
      <c r="F85" s="123">
        <f t="shared" si="30"/>
        <v>1239</v>
      </c>
      <c r="G85" s="123">
        <f t="shared" si="30"/>
        <v>9764</v>
      </c>
      <c r="H85" s="123">
        <f t="shared" si="30"/>
        <v>3542</v>
      </c>
      <c r="I85" s="123">
        <f t="shared" si="30"/>
        <v>6222</v>
      </c>
      <c r="J85" s="123">
        <f t="shared" si="30"/>
        <v>6921</v>
      </c>
      <c r="K85" s="123">
        <f t="shared" si="30"/>
        <v>3299</v>
      </c>
      <c r="L85" s="123">
        <f t="shared" si="30"/>
        <v>3622</v>
      </c>
      <c r="M85" s="123">
        <f t="shared" si="30"/>
        <v>14656</v>
      </c>
      <c r="N85" s="123">
        <f t="shared" si="30"/>
        <v>3818</v>
      </c>
      <c r="O85" s="123">
        <f t="shared" si="30"/>
        <v>10838</v>
      </c>
      <c r="P85" s="7" t="s">
        <v>13</v>
      </c>
      <c r="Q85" s="5"/>
    </row>
    <row r="92" spans="1:17" x14ac:dyDescent="0.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  <row r="93" spans="1:17" x14ac:dyDescent="0.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</row>
    <row r="94" spans="1:17" x14ac:dyDescent="0.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</row>
  </sheetData>
  <mergeCells count="8">
    <mergeCell ref="A1:Q1"/>
    <mergeCell ref="A2:Q2"/>
    <mergeCell ref="A3:C3"/>
    <mergeCell ref="D3:F3"/>
    <mergeCell ref="G3:I3"/>
    <mergeCell ref="J3:L3"/>
    <mergeCell ref="M3:O3"/>
    <mergeCell ref="P3:P4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328"/>
  <sheetViews>
    <sheetView showGridLines="0" topLeftCell="A1290" zoomScale="90" zoomScaleNormal="90" workbookViewId="0">
      <selection activeCell="P3" sqref="P3:P4"/>
    </sheetView>
  </sheetViews>
  <sheetFormatPr defaultRowHeight="12.75" x14ac:dyDescent="0.2"/>
  <cols>
    <col min="1" max="3" width="6.125" style="2" customWidth="1"/>
    <col min="4" max="15" width="5.375" style="2" customWidth="1"/>
    <col min="16" max="16" width="9.625" style="2" customWidth="1"/>
    <col min="17" max="17" width="35.75" style="2" customWidth="1"/>
    <col min="18" max="18" width="3.25" style="2" customWidth="1"/>
    <col min="19" max="256" width="9" style="2"/>
    <col min="257" max="259" width="6.125" style="2" customWidth="1"/>
    <col min="260" max="271" width="5.375" style="2" customWidth="1"/>
    <col min="272" max="272" width="9.625" style="2" customWidth="1"/>
    <col min="273" max="273" width="35.75" style="2" customWidth="1"/>
    <col min="274" max="274" width="3.25" style="2" customWidth="1"/>
    <col min="275" max="512" width="9" style="2"/>
    <col min="513" max="515" width="6.125" style="2" customWidth="1"/>
    <col min="516" max="527" width="5.375" style="2" customWidth="1"/>
    <col min="528" max="528" width="9.625" style="2" customWidth="1"/>
    <col min="529" max="529" width="35.75" style="2" customWidth="1"/>
    <col min="530" max="530" width="3.25" style="2" customWidth="1"/>
    <col min="531" max="768" width="9" style="2"/>
    <col min="769" max="771" width="6.125" style="2" customWidth="1"/>
    <col min="772" max="783" width="5.375" style="2" customWidth="1"/>
    <col min="784" max="784" width="9.625" style="2" customWidth="1"/>
    <col min="785" max="785" width="35.75" style="2" customWidth="1"/>
    <col min="786" max="786" width="3.25" style="2" customWidth="1"/>
    <col min="787" max="1024" width="9" style="2"/>
    <col min="1025" max="1027" width="6.125" style="2" customWidth="1"/>
    <col min="1028" max="1039" width="5.375" style="2" customWidth="1"/>
    <col min="1040" max="1040" width="9.625" style="2" customWidth="1"/>
    <col min="1041" max="1041" width="35.75" style="2" customWidth="1"/>
    <col min="1042" max="1042" width="3.25" style="2" customWidth="1"/>
    <col min="1043" max="1280" width="9" style="2"/>
    <col min="1281" max="1283" width="6.125" style="2" customWidth="1"/>
    <col min="1284" max="1295" width="5.375" style="2" customWidth="1"/>
    <col min="1296" max="1296" width="9.625" style="2" customWidth="1"/>
    <col min="1297" max="1297" width="35.75" style="2" customWidth="1"/>
    <col min="1298" max="1298" width="3.25" style="2" customWidth="1"/>
    <col min="1299" max="1536" width="9" style="2"/>
    <col min="1537" max="1539" width="6.125" style="2" customWidth="1"/>
    <col min="1540" max="1551" width="5.375" style="2" customWidth="1"/>
    <col min="1552" max="1552" width="9.625" style="2" customWidth="1"/>
    <col min="1553" max="1553" width="35.75" style="2" customWidth="1"/>
    <col min="1554" max="1554" width="3.25" style="2" customWidth="1"/>
    <col min="1555" max="1792" width="9" style="2"/>
    <col min="1793" max="1795" width="6.125" style="2" customWidth="1"/>
    <col min="1796" max="1807" width="5.375" style="2" customWidth="1"/>
    <col min="1808" max="1808" width="9.625" style="2" customWidth="1"/>
    <col min="1809" max="1809" width="35.75" style="2" customWidth="1"/>
    <col min="1810" max="1810" width="3.25" style="2" customWidth="1"/>
    <col min="1811" max="2048" width="9" style="2"/>
    <col min="2049" max="2051" width="6.125" style="2" customWidth="1"/>
    <col min="2052" max="2063" width="5.375" style="2" customWidth="1"/>
    <col min="2064" max="2064" width="9.625" style="2" customWidth="1"/>
    <col min="2065" max="2065" width="35.75" style="2" customWidth="1"/>
    <col min="2066" max="2066" width="3.25" style="2" customWidth="1"/>
    <col min="2067" max="2304" width="9" style="2"/>
    <col min="2305" max="2307" width="6.125" style="2" customWidth="1"/>
    <col min="2308" max="2319" width="5.375" style="2" customWidth="1"/>
    <col min="2320" max="2320" width="9.625" style="2" customWidth="1"/>
    <col min="2321" max="2321" width="35.75" style="2" customWidth="1"/>
    <col min="2322" max="2322" width="3.25" style="2" customWidth="1"/>
    <col min="2323" max="2560" width="9" style="2"/>
    <col min="2561" max="2563" width="6.125" style="2" customWidth="1"/>
    <col min="2564" max="2575" width="5.375" style="2" customWidth="1"/>
    <col min="2576" max="2576" width="9.625" style="2" customWidth="1"/>
    <col min="2577" max="2577" width="35.75" style="2" customWidth="1"/>
    <col min="2578" max="2578" width="3.25" style="2" customWidth="1"/>
    <col min="2579" max="2816" width="9" style="2"/>
    <col min="2817" max="2819" width="6.125" style="2" customWidth="1"/>
    <col min="2820" max="2831" width="5.375" style="2" customWidth="1"/>
    <col min="2832" max="2832" width="9.625" style="2" customWidth="1"/>
    <col min="2833" max="2833" width="35.75" style="2" customWidth="1"/>
    <col min="2834" max="2834" width="3.25" style="2" customWidth="1"/>
    <col min="2835" max="3072" width="9" style="2"/>
    <col min="3073" max="3075" width="6.125" style="2" customWidth="1"/>
    <col min="3076" max="3087" width="5.375" style="2" customWidth="1"/>
    <col min="3088" max="3088" width="9.625" style="2" customWidth="1"/>
    <col min="3089" max="3089" width="35.75" style="2" customWidth="1"/>
    <col min="3090" max="3090" width="3.25" style="2" customWidth="1"/>
    <col min="3091" max="3328" width="9" style="2"/>
    <col min="3329" max="3331" width="6.125" style="2" customWidth="1"/>
    <col min="3332" max="3343" width="5.375" style="2" customWidth="1"/>
    <col min="3344" max="3344" width="9.625" style="2" customWidth="1"/>
    <col min="3345" max="3345" width="35.75" style="2" customWidth="1"/>
    <col min="3346" max="3346" width="3.25" style="2" customWidth="1"/>
    <col min="3347" max="3584" width="9" style="2"/>
    <col min="3585" max="3587" width="6.125" style="2" customWidth="1"/>
    <col min="3588" max="3599" width="5.375" style="2" customWidth="1"/>
    <col min="3600" max="3600" width="9.625" style="2" customWidth="1"/>
    <col min="3601" max="3601" width="35.75" style="2" customWidth="1"/>
    <col min="3602" max="3602" width="3.25" style="2" customWidth="1"/>
    <col min="3603" max="3840" width="9" style="2"/>
    <col min="3841" max="3843" width="6.125" style="2" customWidth="1"/>
    <col min="3844" max="3855" width="5.375" style="2" customWidth="1"/>
    <col min="3856" max="3856" width="9.625" style="2" customWidth="1"/>
    <col min="3857" max="3857" width="35.75" style="2" customWidth="1"/>
    <col min="3858" max="3858" width="3.25" style="2" customWidth="1"/>
    <col min="3859" max="4096" width="9" style="2"/>
    <col min="4097" max="4099" width="6.125" style="2" customWidth="1"/>
    <col min="4100" max="4111" width="5.375" style="2" customWidth="1"/>
    <col min="4112" max="4112" width="9.625" style="2" customWidth="1"/>
    <col min="4113" max="4113" width="35.75" style="2" customWidth="1"/>
    <col min="4114" max="4114" width="3.25" style="2" customWidth="1"/>
    <col min="4115" max="4352" width="9" style="2"/>
    <col min="4353" max="4355" width="6.125" style="2" customWidth="1"/>
    <col min="4356" max="4367" width="5.375" style="2" customWidth="1"/>
    <col min="4368" max="4368" width="9.625" style="2" customWidth="1"/>
    <col min="4369" max="4369" width="35.75" style="2" customWidth="1"/>
    <col min="4370" max="4370" width="3.25" style="2" customWidth="1"/>
    <col min="4371" max="4608" width="9" style="2"/>
    <col min="4609" max="4611" width="6.125" style="2" customWidth="1"/>
    <col min="4612" max="4623" width="5.375" style="2" customWidth="1"/>
    <col min="4624" max="4624" width="9.625" style="2" customWidth="1"/>
    <col min="4625" max="4625" width="35.75" style="2" customWidth="1"/>
    <col min="4626" max="4626" width="3.25" style="2" customWidth="1"/>
    <col min="4627" max="4864" width="9" style="2"/>
    <col min="4865" max="4867" width="6.125" style="2" customWidth="1"/>
    <col min="4868" max="4879" width="5.375" style="2" customWidth="1"/>
    <col min="4880" max="4880" width="9.625" style="2" customWidth="1"/>
    <col min="4881" max="4881" width="35.75" style="2" customWidth="1"/>
    <col min="4882" max="4882" width="3.25" style="2" customWidth="1"/>
    <col min="4883" max="5120" width="9" style="2"/>
    <col min="5121" max="5123" width="6.125" style="2" customWidth="1"/>
    <col min="5124" max="5135" width="5.375" style="2" customWidth="1"/>
    <col min="5136" max="5136" width="9.625" style="2" customWidth="1"/>
    <col min="5137" max="5137" width="35.75" style="2" customWidth="1"/>
    <col min="5138" max="5138" width="3.25" style="2" customWidth="1"/>
    <col min="5139" max="5376" width="9" style="2"/>
    <col min="5377" max="5379" width="6.125" style="2" customWidth="1"/>
    <col min="5380" max="5391" width="5.375" style="2" customWidth="1"/>
    <col min="5392" max="5392" width="9.625" style="2" customWidth="1"/>
    <col min="5393" max="5393" width="35.75" style="2" customWidth="1"/>
    <col min="5394" max="5394" width="3.25" style="2" customWidth="1"/>
    <col min="5395" max="5632" width="9" style="2"/>
    <col min="5633" max="5635" width="6.125" style="2" customWidth="1"/>
    <col min="5636" max="5647" width="5.375" style="2" customWidth="1"/>
    <col min="5648" max="5648" width="9.625" style="2" customWidth="1"/>
    <col min="5649" max="5649" width="35.75" style="2" customWidth="1"/>
    <col min="5650" max="5650" width="3.25" style="2" customWidth="1"/>
    <col min="5651" max="5888" width="9" style="2"/>
    <col min="5889" max="5891" width="6.125" style="2" customWidth="1"/>
    <col min="5892" max="5903" width="5.375" style="2" customWidth="1"/>
    <col min="5904" max="5904" width="9.625" style="2" customWidth="1"/>
    <col min="5905" max="5905" width="35.75" style="2" customWidth="1"/>
    <col min="5906" max="5906" width="3.25" style="2" customWidth="1"/>
    <col min="5907" max="6144" width="9" style="2"/>
    <col min="6145" max="6147" width="6.125" style="2" customWidth="1"/>
    <col min="6148" max="6159" width="5.375" style="2" customWidth="1"/>
    <col min="6160" max="6160" width="9.625" style="2" customWidth="1"/>
    <col min="6161" max="6161" width="35.75" style="2" customWidth="1"/>
    <col min="6162" max="6162" width="3.25" style="2" customWidth="1"/>
    <col min="6163" max="6400" width="9" style="2"/>
    <col min="6401" max="6403" width="6.125" style="2" customWidth="1"/>
    <col min="6404" max="6415" width="5.375" style="2" customWidth="1"/>
    <col min="6416" max="6416" width="9.625" style="2" customWidth="1"/>
    <col min="6417" max="6417" width="35.75" style="2" customWidth="1"/>
    <col min="6418" max="6418" width="3.25" style="2" customWidth="1"/>
    <col min="6419" max="6656" width="9" style="2"/>
    <col min="6657" max="6659" width="6.125" style="2" customWidth="1"/>
    <col min="6660" max="6671" width="5.375" style="2" customWidth="1"/>
    <col min="6672" max="6672" width="9.625" style="2" customWidth="1"/>
    <col min="6673" max="6673" width="35.75" style="2" customWidth="1"/>
    <col min="6674" max="6674" width="3.25" style="2" customWidth="1"/>
    <col min="6675" max="6912" width="9" style="2"/>
    <col min="6913" max="6915" width="6.125" style="2" customWidth="1"/>
    <col min="6916" max="6927" width="5.375" style="2" customWidth="1"/>
    <col min="6928" max="6928" width="9.625" style="2" customWidth="1"/>
    <col min="6929" max="6929" width="35.75" style="2" customWidth="1"/>
    <col min="6930" max="6930" width="3.25" style="2" customWidth="1"/>
    <col min="6931" max="7168" width="9" style="2"/>
    <col min="7169" max="7171" width="6.125" style="2" customWidth="1"/>
    <col min="7172" max="7183" width="5.375" style="2" customWidth="1"/>
    <col min="7184" max="7184" width="9.625" style="2" customWidth="1"/>
    <col min="7185" max="7185" width="35.75" style="2" customWidth="1"/>
    <col min="7186" max="7186" width="3.25" style="2" customWidth="1"/>
    <col min="7187" max="7424" width="9" style="2"/>
    <col min="7425" max="7427" width="6.125" style="2" customWidth="1"/>
    <col min="7428" max="7439" width="5.375" style="2" customWidth="1"/>
    <col min="7440" max="7440" width="9.625" style="2" customWidth="1"/>
    <col min="7441" max="7441" width="35.75" style="2" customWidth="1"/>
    <col min="7442" max="7442" width="3.25" style="2" customWidth="1"/>
    <col min="7443" max="7680" width="9" style="2"/>
    <col min="7681" max="7683" width="6.125" style="2" customWidth="1"/>
    <col min="7684" max="7695" width="5.375" style="2" customWidth="1"/>
    <col min="7696" max="7696" width="9.625" style="2" customWidth="1"/>
    <col min="7697" max="7697" width="35.75" style="2" customWidth="1"/>
    <col min="7698" max="7698" width="3.25" style="2" customWidth="1"/>
    <col min="7699" max="7936" width="9" style="2"/>
    <col min="7937" max="7939" width="6.125" style="2" customWidth="1"/>
    <col min="7940" max="7951" width="5.375" style="2" customWidth="1"/>
    <col min="7952" max="7952" width="9.625" style="2" customWidth="1"/>
    <col min="7953" max="7953" width="35.75" style="2" customWidth="1"/>
    <col min="7954" max="7954" width="3.25" style="2" customWidth="1"/>
    <col min="7955" max="8192" width="9" style="2"/>
    <col min="8193" max="8195" width="6.125" style="2" customWidth="1"/>
    <col min="8196" max="8207" width="5.375" style="2" customWidth="1"/>
    <col min="8208" max="8208" width="9.625" style="2" customWidth="1"/>
    <col min="8209" max="8209" width="35.75" style="2" customWidth="1"/>
    <col min="8210" max="8210" width="3.25" style="2" customWidth="1"/>
    <col min="8211" max="8448" width="9" style="2"/>
    <col min="8449" max="8451" width="6.125" style="2" customWidth="1"/>
    <col min="8452" max="8463" width="5.375" style="2" customWidth="1"/>
    <col min="8464" max="8464" width="9.625" style="2" customWidth="1"/>
    <col min="8465" max="8465" width="35.75" style="2" customWidth="1"/>
    <col min="8466" max="8466" width="3.25" style="2" customWidth="1"/>
    <col min="8467" max="8704" width="9" style="2"/>
    <col min="8705" max="8707" width="6.125" style="2" customWidth="1"/>
    <col min="8708" max="8719" width="5.375" style="2" customWidth="1"/>
    <col min="8720" max="8720" width="9.625" style="2" customWidth="1"/>
    <col min="8721" max="8721" width="35.75" style="2" customWidth="1"/>
    <col min="8722" max="8722" width="3.25" style="2" customWidth="1"/>
    <col min="8723" max="8960" width="9" style="2"/>
    <col min="8961" max="8963" width="6.125" style="2" customWidth="1"/>
    <col min="8964" max="8975" width="5.375" style="2" customWidth="1"/>
    <col min="8976" max="8976" width="9.625" style="2" customWidth="1"/>
    <col min="8977" max="8977" width="35.75" style="2" customWidth="1"/>
    <col min="8978" max="8978" width="3.25" style="2" customWidth="1"/>
    <col min="8979" max="9216" width="9" style="2"/>
    <col min="9217" max="9219" width="6.125" style="2" customWidth="1"/>
    <col min="9220" max="9231" width="5.375" style="2" customWidth="1"/>
    <col min="9232" max="9232" width="9.625" style="2" customWidth="1"/>
    <col min="9233" max="9233" width="35.75" style="2" customWidth="1"/>
    <col min="9234" max="9234" width="3.25" style="2" customWidth="1"/>
    <col min="9235" max="9472" width="9" style="2"/>
    <col min="9473" max="9475" width="6.125" style="2" customWidth="1"/>
    <col min="9476" max="9487" width="5.375" style="2" customWidth="1"/>
    <col min="9488" max="9488" width="9.625" style="2" customWidth="1"/>
    <col min="9489" max="9489" width="35.75" style="2" customWidth="1"/>
    <col min="9490" max="9490" width="3.25" style="2" customWidth="1"/>
    <col min="9491" max="9728" width="9" style="2"/>
    <col min="9729" max="9731" width="6.125" style="2" customWidth="1"/>
    <col min="9732" max="9743" width="5.375" style="2" customWidth="1"/>
    <col min="9744" max="9744" width="9.625" style="2" customWidth="1"/>
    <col min="9745" max="9745" width="35.75" style="2" customWidth="1"/>
    <col min="9746" max="9746" width="3.25" style="2" customWidth="1"/>
    <col min="9747" max="9984" width="9" style="2"/>
    <col min="9985" max="9987" width="6.125" style="2" customWidth="1"/>
    <col min="9988" max="9999" width="5.375" style="2" customWidth="1"/>
    <col min="10000" max="10000" width="9.625" style="2" customWidth="1"/>
    <col min="10001" max="10001" width="35.75" style="2" customWidth="1"/>
    <col min="10002" max="10002" width="3.25" style="2" customWidth="1"/>
    <col min="10003" max="10240" width="9" style="2"/>
    <col min="10241" max="10243" width="6.125" style="2" customWidth="1"/>
    <col min="10244" max="10255" width="5.375" style="2" customWidth="1"/>
    <col min="10256" max="10256" width="9.625" style="2" customWidth="1"/>
    <col min="10257" max="10257" width="35.75" style="2" customWidth="1"/>
    <col min="10258" max="10258" width="3.25" style="2" customWidth="1"/>
    <col min="10259" max="10496" width="9" style="2"/>
    <col min="10497" max="10499" width="6.125" style="2" customWidth="1"/>
    <col min="10500" max="10511" width="5.375" style="2" customWidth="1"/>
    <col min="10512" max="10512" width="9.625" style="2" customWidth="1"/>
    <col min="10513" max="10513" width="35.75" style="2" customWidth="1"/>
    <col min="10514" max="10514" width="3.25" style="2" customWidth="1"/>
    <col min="10515" max="10752" width="9" style="2"/>
    <col min="10753" max="10755" width="6.125" style="2" customWidth="1"/>
    <col min="10756" max="10767" width="5.375" style="2" customWidth="1"/>
    <col min="10768" max="10768" width="9.625" style="2" customWidth="1"/>
    <col min="10769" max="10769" width="35.75" style="2" customWidth="1"/>
    <col min="10770" max="10770" width="3.25" style="2" customWidth="1"/>
    <col min="10771" max="11008" width="9" style="2"/>
    <col min="11009" max="11011" width="6.125" style="2" customWidth="1"/>
    <col min="11012" max="11023" width="5.375" style="2" customWidth="1"/>
    <col min="11024" max="11024" width="9.625" style="2" customWidth="1"/>
    <col min="11025" max="11025" width="35.75" style="2" customWidth="1"/>
    <col min="11026" max="11026" width="3.25" style="2" customWidth="1"/>
    <col min="11027" max="11264" width="9" style="2"/>
    <col min="11265" max="11267" width="6.125" style="2" customWidth="1"/>
    <col min="11268" max="11279" width="5.375" style="2" customWidth="1"/>
    <col min="11280" max="11280" width="9.625" style="2" customWidth="1"/>
    <col min="11281" max="11281" width="35.75" style="2" customWidth="1"/>
    <col min="11282" max="11282" width="3.25" style="2" customWidth="1"/>
    <col min="11283" max="11520" width="9" style="2"/>
    <col min="11521" max="11523" width="6.125" style="2" customWidth="1"/>
    <col min="11524" max="11535" width="5.375" style="2" customWidth="1"/>
    <col min="11536" max="11536" width="9.625" style="2" customWidth="1"/>
    <col min="11537" max="11537" width="35.75" style="2" customWidth="1"/>
    <col min="11538" max="11538" width="3.25" style="2" customWidth="1"/>
    <col min="11539" max="11776" width="9" style="2"/>
    <col min="11777" max="11779" width="6.125" style="2" customWidth="1"/>
    <col min="11780" max="11791" width="5.375" style="2" customWidth="1"/>
    <col min="11792" max="11792" width="9.625" style="2" customWidth="1"/>
    <col min="11793" max="11793" width="35.75" style="2" customWidth="1"/>
    <col min="11794" max="11794" width="3.25" style="2" customWidth="1"/>
    <col min="11795" max="12032" width="9" style="2"/>
    <col min="12033" max="12035" width="6.125" style="2" customWidth="1"/>
    <col min="12036" max="12047" width="5.375" style="2" customWidth="1"/>
    <col min="12048" max="12048" width="9.625" style="2" customWidth="1"/>
    <col min="12049" max="12049" width="35.75" style="2" customWidth="1"/>
    <col min="12050" max="12050" width="3.25" style="2" customWidth="1"/>
    <col min="12051" max="12288" width="9" style="2"/>
    <col min="12289" max="12291" width="6.125" style="2" customWidth="1"/>
    <col min="12292" max="12303" width="5.375" style="2" customWidth="1"/>
    <col min="12304" max="12304" width="9.625" style="2" customWidth="1"/>
    <col min="12305" max="12305" width="35.75" style="2" customWidth="1"/>
    <col min="12306" max="12306" width="3.25" style="2" customWidth="1"/>
    <col min="12307" max="12544" width="9" style="2"/>
    <col min="12545" max="12547" width="6.125" style="2" customWidth="1"/>
    <col min="12548" max="12559" width="5.375" style="2" customWidth="1"/>
    <col min="12560" max="12560" width="9.625" style="2" customWidth="1"/>
    <col min="12561" max="12561" width="35.75" style="2" customWidth="1"/>
    <col min="12562" max="12562" width="3.25" style="2" customWidth="1"/>
    <col min="12563" max="12800" width="9" style="2"/>
    <col min="12801" max="12803" width="6.125" style="2" customWidth="1"/>
    <col min="12804" max="12815" width="5.375" style="2" customWidth="1"/>
    <col min="12816" max="12816" width="9.625" style="2" customWidth="1"/>
    <col min="12817" max="12817" width="35.75" style="2" customWidth="1"/>
    <col min="12818" max="12818" width="3.25" style="2" customWidth="1"/>
    <col min="12819" max="13056" width="9" style="2"/>
    <col min="13057" max="13059" width="6.125" style="2" customWidth="1"/>
    <col min="13060" max="13071" width="5.375" style="2" customWidth="1"/>
    <col min="13072" max="13072" width="9.625" style="2" customWidth="1"/>
    <col min="13073" max="13073" width="35.75" style="2" customWidth="1"/>
    <col min="13074" max="13074" width="3.25" style="2" customWidth="1"/>
    <col min="13075" max="13312" width="9" style="2"/>
    <col min="13313" max="13315" width="6.125" style="2" customWidth="1"/>
    <col min="13316" max="13327" width="5.375" style="2" customWidth="1"/>
    <col min="13328" max="13328" width="9.625" style="2" customWidth="1"/>
    <col min="13329" max="13329" width="35.75" style="2" customWidth="1"/>
    <col min="13330" max="13330" width="3.25" style="2" customWidth="1"/>
    <col min="13331" max="13568" width="9" style="2"/>
    <col min="13569" max="13571" width="6.125" style="2" customWidth="1"/>
    <col min="13572" max="13583" width="5.375" style="2" customWidth="1"/>
    <col min="13584" max="13584" width="9.625" style="2" customWidth="1"/>
    <col min="13585" max="13585" width="35.75" style="2" customWidth="1"/>
    <col min="13586" max="13586" width="3.25" style="2" customWidth="1"/>
    <col min="13587" max="13824" width="9" style="2"/>
    <col min="13825" max="13827" width="6.125" style="2" customWidth="1"/>
    <col min="13828" max="13839" width="5.375" style="2" customWidth="1"/>
    <col min="13840" max="13840" width="9.625" style="2" customWidth="1"/>
    <col min="13841" max="13841" width="35.75" style="2" customWidth="1"/>
    <col min="13842" max="13842" width="3.25" style="2" customWidth="1"/>
    <col min="13843" max="14080" width="9" style="2"/>
    <col min="14081" max="14083" width="6.125" style="2" customWidth="1"/>
    <col min="14084" max="14095" width="5.375" style="2" customWidth="1"/>
    <col min="14096" max="14096" width="9.625" style="2" customWidth="1"/>
    <col min="14097" max="14097" width="35.75" style="2" customWidth="1"/>
    <col min="14098" max="14098" width="3.25" style="2" customWidth="1"/>
    <col min="14099" max="14336" width="9" style="2"/>
    <col min="14337" max="14339" width="6.125" style="2" customWidth="1"/>
    <col min="14340" max="14351" width="5.375" style="2" customWidth="1"/>
    <col min="14352" max="14352" width="9.625" style="2" customWidth="1"/>
    <col min="14353" max="14353" width="35.75" style="2" customWidth="1"/>
    <col min="14354" max="14354" width="3.25" style="2" customWidth="1"/>
    <col min="14355" max="14592" width="9" style="2"/>
    <col min="14593" max="14595" width="6.125" style="2" customWidth="1"/>
    <col min="14596" max="14607" width="5.375" style="2" customWidth="1"/>
    <col min="14608" max="14608" width="9.625" style="2" customWidth="1"/>
    <col min="14609" max="14609" width="35.75" style="2" customWidth="1"/>
    <col min="14610" max="14610" width="3.25" style="2" customWidth="1"/>
    <col min="14611" max="14848" width="9" style="2"/>
    <col min="14849" max="14851" width="6.125" style="2" customWidth="1"/>
    <col min="14852" max="14863" width="5.375" style="2" customWidth="1"/>
    <col min="14864" max="14864" width="9.625" style="2" customWidth="1"/>
    <col min="14865" max="14865" width="35.75" style="2" customWidth="1"/>
    <col min="14866" max="14866" width="3.25" style="2" customWidth="1"/>
    <col min="14867" max="15104" width="9" style="2"/>
    <col min="15105" max="15107" width="6.125" style="2" customWidth="1"/>
    <col min="15108" max="15119" width="5.375" style="2" customWidth="1"/>
    <col min="15120" max="15120" width="9.625" style="2" customWidth="1"/>
    <col min="15121" max="15121" width="35.75" style="2" customWidth="1"/>
    <col min="15122" max="15122" width="3.25" style="2" customWidth="1"/>
    <col min="15123" max="15360" width="9" style="2"/>
    <col min="15361" max="15363" width="6.125" style="2" customWidth="1"/>
    <col min="15364" max="15375" width="5.375" style="2" customWidth="1"/>
    <col min="15376" max="15376" width="9.625" style="2" customWidth="1"/>
    <col min="15377" max="15377" width="35.75" style="2" customWidth="1"/>
    <col min="15378" max="15378" width="3.25" style="2" customWidth="1"/>
    <col min="15379" max="15616" width="9" style="2"/>
    <col min="15617" max="15619" width="6.125" style="2" customWidth="1"/>
    <col min="15620" max="15631" width="5.375" style="2" customWidth="1"/>
    <col min="15632" max="15632" width="9.625" style="2" customWidth="1"/>
    <col min="15633" max="15633" width="35.75" style="2" customWidth="1"/>
    <col min="15634" max="15634" width="3.25" style="2" customWidth="1"/>
    <col min="15635" max="15872" width="9" style="2"/>
    <col min="15873" max="15875" width="6.125" style="2" customWidth="1"/>
    <col min="15876" max="15887" width="5.375" style="2" customWidth="1"/>
    <col min="15888" max="15888" width="9.625" style="2" customWidth="1"/>
    <col min="15889" max="15889" width="35.75" style="2" customWidth="1"/>
    <col min="15890" max="15890" width="3.25" style="2" customWidth="1"/>
    <col min="15891" max="16128" width="9" style="2"/>
    <col min="16129" max="16131" width="6.125" style="2" customWidth="1"/>
    <col min="16132" max="16143" width="5.375" style="2" customWidth="1"/>
    <col min="16144" max="16144" width="9.625" style="2" customWidth="1"/>
    <col min="16145" max="16145" width="35.75" style="2" customWidth="1"/>
    <col min="16146" max="16146" width="3.25" style="2" customWidth="1"/>
    <col min="16147" max="16384" width="9" style="2"/>
  </cols>
  <sheetData>
    <row r="1" spans="1:18" ht="18" customHeight="1" x14ac:dyDescent="0.2">
      <c r="A1" s="159" t="s">
        <v>643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"/>
    </row>
    <row r="2" spans="1:18" ht="18" customHeight="1" thickBot="1" x14ac:dyDescent="0.25">
      <c r="A2" s="160" t="s">
        <v>644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"/>
    </row>
    <row r="3" spans="1:18" ht="13.5" thickBot="1" x14ac:dyDescent="0.25">
      <c r="A3" s="204" t="s">
        <v>5</v>
      </c>
      <c r="B3" s="204"/>
      <c r="C3" s="204"/>
      <c r="D3" s="204" t="s">
        <v>57</v>
      </c>
      <c r="E3" s="204"/>
      <c r="F3" s="204"/>
      <c r="G3" s="204" t="s">
        <v>65</v>
      </c>
      <c r="H3" s="204"/>
      <c r="I3" s="204"/>
      <c r="J3" s="204" t="s">
        <v>62</v>
      </c>
      <c r="K3" s="204"/>
      <c r="L3" s="204"/>
      <c r="M3" s="204" t="s">
        <v>61</v>
      </c>
      <c r="N3" s="204"/>
      <c r="O3" s="204"/>
      <c r="P3" s="205" t="s">
        <v>645</v>
      </c>
      <c r="Q3" s="47" t="s">
        <v>161</v>
      </c>
      <c r="R3" s="1"/>
    </row>
    <row r="4" spans="1:18" ht="15" customHeight="1" thickBot="1" x14ac:dyDescent="0.25">
      <c r="A4" s="47" t="s">
        <v>216</v>
      </c>
      <c r="B4" s="47" t="s">
        <v>11</v>
      </c>
      <c r="C4" s="47" t="s">
        <v>10</v>
      </c>
      <c r="D4" s="47" t="s">
        <v>216</v>
      </c>
      <c r="E4" s="47" t="s">
        <v>11</v>
      </c>
      <c r="F4" s="47" t="s">
        <v>10</v>
      </c>
      <c r="G4" s="47" t="s">
        <v>216</v>
      </c>
      <c r="H4" s="47" t="s">
        <v>11</v>
      </c>
      <c r="I4" s="47" t="s">
        <v>10</v>
      </c>
      <c r="J4" s="47" t="s">
        <v>216</v>
      </c>
      <c r="K4" s="47" t="s">
        <v>11</v>
      </c>
      <c r="L4" s="47" t="s">
        <v>10</v>
      </c>
      <c r="M4" s="47" t="s">
        <v>216</v>
      </c>
      <c r="N4" s="47" t="s">
        <v>11</v>
      </c>
      <c r="O4" s="47" t="s">
        <v>10</v>
      </c>
      <c r="P4" s="206"/>
      <c r="Q4" s="5" t="s">
        <v>74</v>
      </c>
      <c r="R4" s="1"/>
    </row>
    <row r="5" spans="1:18" ht="12.75" customHeight="1" thickBot="1" x14ac:dyDescent="0.25">
      <c r="A5" s="123">
        <v>52</v>
      </c>
      <c r="B5" s="123">
        <v>0</v>
      </c>
      <c r="C5" s="123">
        <v>52</v>
      </c>
      <c r="D5" s="123">
        <v>3</v>
      </c>
      <c r="E5" s="123">
        <v>0</v>
      </c>
      <c r="F5" s="123">
        <v>3</v>
      </c>
      <c r="G5" s="123">
        <v>24</v>
      </c>
      <c r="H5" s="123">
        <v>0</v>
      </c>
      <c r="I5" s="123">
        <v>24</v>
      </c>
      <c r="J5" s="123">
        <v>23</v>
      </c>
      <c r="K5" s="123">
        <v>0</v>
      </c>
      <c r="L5" s="123">
        <v>23</v>
      </c>
      <c r="M5" s="123">
        <v>2</v>
      </c>
      <c r="N5" s="123">
        <v>0</v>
      </c>
      <c r="O5" s="123">
        <v>2</v>
      </c>
      <c r="P5" s="7" t="s">
        <v>163</v>
      </c>
      <c r="Q5" s="124"/>
    </row>
    <row r="6" spans="1:18" ht="12.75" customHeight="1" thickBot="1" x14ac:dyDescent="0.25">
      <c r="A6" s="123">
        <v>68</v>
      </c>
      <c r="B6" s="123">
        <v>0</v>
      </c>
      <c r="C6" s="123">
        <v>68</v>
      </c>
      <c r="D6" s="123">
        <v>8</v>
      </c>
      <c r="E6" s="123">
        <v>0</v>
      </c>
      <c r="F6" s="123">
        <v>8</v>
      </c>
      <c r="G6" s="123">
        <v>9</v>
      </c>
      <c r="H6" s="123">
        <v>0</v>
      </c>
      <c r="I6" s="123">
        <v>9</v>
      </c>
      <c r="J6" s="123">
        <v>4</v>
      </c>
      <c r="K6" s="123">
        <v>0</v>
      </c>
      <c r="L6" s="123">
        <v>4</v>
      </c>
      <c r="M6" s="123">
        <v>47</v>
      </c>
      <c r="N6" s="123">
        <v>0</v>
      </c>
      <c r="O6" s="123">
        <v>47</v>
      </c>
      <c r="P6" s="7" t="s">
        <v>162</v>
      </c>
      <c r="Q6" s="124" t="s">
        <v>329</v>
      </c>
    </row>
    <row r="7" spans="1:18" ht="12.75" customHeight="1" thickBot="1" x14ac:dyDescent="0.25">
      <c r="A7" s="123">
        <v>120</v>
      </c>
      <c r="B7" s="123">
        <v>0</v>
      </c>
      <c r="C7" s="123">
        <v>120</v>
      </c>
      <c r="D7" s="123">
        <v>11</v>
      </c>
      <c r="E7" s="123">
        <v>0</v>
      </c>
      <c r="F7" s="123">
        <v>11</v>
      </c>
      <c r="G7" s="123">
        <v>33</v>
      </c>
      <c r="H7" s="123">
        <v>0</v>
      </c>
      <c r="I7" s="123">
        <v>33</v>
      </c>
      <c r="J7" s="123">
        <v>27</v>
      </c>
      <c r="K7" s="123">
        <v>0</v>
      </c>
      <c r="L7" s="123">
        <v>27</v>
      </c>
      <c r="M7" s="123">
        <v>49</v>
      </c>
      <c r="N7" s="123">
        <v>0</v>
      </c>
      <c r="O7" s="123">
        <v>49</v>
      </c>
      <c r="P7" s="7" t="s">
        <v>13</v>
      </c>
      <c r="Q7" s="9"/>
    </row>
    <row r="8" spans="1:18" ht="12.75" customHeight="1" thickBot="1" x14ac:dyDescent="0.25">
      <c r="A8" s="123">
        <v>6</v>
      </c>
      <c r="B8" s="123">
        <v>0</v>
      </c>
      <c r="C8" s="123">
        <v>6</v>
      </c>
      <c r="D8" s="123">
        <v>0</v>
      </c>
      <c r="E8" s="123">
        <v>0</v>
      </c>
      <c r="F8" s="123">
        <v>0</v>
      </c>
      <c r="G8" s="123">
        <v>0</v>
      </c>
      <c r="H8" s="123">
        <v>0</v>
      </c>
      <c r="I8" s="123">
        <v>0</v>
      </c>
      <c r="J8" s="123">
        <v>3</v>
      </c>
      <c r="K8" s="123">
        <v>0</v>
      </c>
      <c r="L8" s="123">
        <v>3</v>
      </c>
      <c r="M8" s="123">
        <v>3</v>
      </c>
      <c r="N8" s="123">
        <v>0</v>
      </c>
      <c r="O8" s="123">
        <v>3</v>
      </c>
      <c r="P8" s="7" t="s">
        <v>163</v>
      </c>
      <c r="Q8" s="124"/>
    </row>
    <row r="9" spans="1:18" ht="12.75" customHeight="1" thickBot="1" x14ac:dyDescent="0.25">
      <c r="A9" s="123">
        <v>70</v>
      </c>
      <c r="B9" s="123">
        <v>0</v>
      </c>
      <c r="C9" s="123">
        <v>70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0</v>
      </c>
      <c r="J9" s="123">
        <v>29</v>
      </c>
      <c r="K9" s="123">
        <v>0</v>
      </c>
      <c r="L9" s="123">
        <v>29</v>
      </c>
      <c r="M9" s="123">
        <v>41</v>
      </c>
      <c r="N9" s="123">
        <v>0</v>
      </c>
      <c r="O9" s="123">
        <v>41</v>
      </c>
      <c r="P9" s="7" t="s">
        <v>162</v>
      </c>
      <c r="Q9" s="124" t="s">
        <v>87</v>
      </c>
    </row>
    <row r="10" spans="1:18" ht="12.75" customHeight="1" thickBot="1" x14ac:dyDescent="0.25">
      <c r="A10" s="123">
        <v>76</v>
      </c>
      <c r="B10" s="123">
        <v>0</v>
      </c>
      <c r="C10" s="123">
        <v>76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3">
        <v>0</v>
      </c>
      <c r="J10" s="123">
        <v>32</v>
      </c>
      <c r="K10" s="123">
        <v>0</v>
      </c>
      <c r="L10" s="123">
        <v>32</v>
      </c>
      <c r="M10" s="123">
        <v>44</v>
      </c>
      <c r="N10" s="123">
        <v>0</v>
      </c>
      <c r="O10" s="123">
        <v>44</v>
      </c>
      <c r="P10" s="7" t="s">
        <v>13</v>
      </c>
      <c r="Q10" s="9"/>
    </row>
    <row r="11" spans="1:18" ht="12.75" customHeight="1" thickBot="1" x14ac:dyDescent="0.25">
      <c r="A11" s="123">
        <v>131</v>
      </c>
      <c r="B11" s="123">
        <v>0</v>
      </c>
      <c r="C11" s="123">
        <v>131</v>
      </c>
      <c r="D11" s="123">
        <v>0</v>
      </c>
      <c r="E11" s="123">
        <v>0</v>
      </c>
      <c r="F11" s="123">
        <v>0</v>
      </c>
      <c r="G11" s="123">
        <v>25</v>
      </c>
      <c r="H11" s="123">
        <v>0</v>
      </c>
      <c r="I11" s="123">
        <v>25</v>
      </c>
      <c r="J11" s="123">
        <v>32</v>
      </c>
      <c r="K11" s="123">
        <v>0</v>
      </c>
      <c r="L11" s="123">
        <v>32</v>
      </c>
      <c r="M11" s="123">
        <v>74</v>
      </c>
      <c r="N11" s="123">
        <v>0</v>
      </c>
      <c r="O11" s="123">
        <v>74</v>
      </c>
      <c r="P11" s="7" t="s">
        <v>163</v>
      </c>
      <c r="Q11" s="124"/>
    </row>
    <row r="12" spans="1:18" ht="12.75" customHeight="1" thickBot="1" x14ac:dyDescent="0.25">
      <c r="A12" s="123">
        <v>4</v>
      </c>
      <c r="B12" s="123">
        <v>0</v>
      </c>
      <c r="C12" s="123">
        <v>4</v>
      </c>
      <c r="D12" s="123">
        <v>0</v>
      </c>
      <c r="E12" s="123">
        <v>0</v>
      </c>
      <c r="F12" s="123">
        <v>0</v>
      </c>
      <c r="G12" s="123">
        <v>0</v>
      </c>
      <c r="H12" s="123">
        <v>0</v>
      </c>
      <c r="I12" s="123">
        <v>0</v>
      </c>
      <c r="J12" s="123">
        <v>0</v>
      </c>
      <c r="K12" s="123">
        <v>0</v>
      </c>
      <c r="L12" s="123">
        <v>0</v>
      </c>
      <c r="M12" s="123">
        <v>4</v>
      </c>
      <c r="N12" s="123">
        <v>0</v>
      </c>
      <c r="O12" s="123">
        <v>4</v>
      </c>
      <c r="P12" s="7" t="s">
        <v>162</v>
      </c>
      <c r="Q12" s="124" t="s">
        <v>330</v>
      </c>
    </row>
    <row r="13" spans="1:18" ht="12.75" customHeight="1" thickBot="1" x14ac:dyDescent="0.25">
      <c r="A13" s="123">
        <v>135</v>
      </c>
      <c r="B13" s="123">
        <v>0</v>
      </c>
      <c r="C13" s="123">
        <v>135</v>
      </c>
      <c r="D13" s="123">
        <v>0</v>
      </c>
      <c r="E13" s="123">
        <v>0</v>
      </c>
      <c r="F13" s="123">
        <v>0</v>
      </c>
      <c r="G13" s="123">
        <v>25</v>
      </c>
      <c r="H13" s="123">
        <v>0</v>
      </c>
      <c r="I13" s="123">
        <v>25</v>
      </c>
      <c r="J13" s="123">
        <v>32</v>
      </c>
      <c r="K13" s="123">
        <v>0</v>
      </c>
      <c r="L13" s="123">
        <v>32</v>
      </c>
      <c r="M13" s="123">
        <v>78</v>
      </c>
      <c r="N13" s="123">
        <v>0</v>
      </c>
      <c r="O13" s="123">
        <v>78</v>
      </c>
      <c r="P13" s="7" t="s">
        <v>13</v>
      </c>
      <c r="Q13" s="9"/>
    </row>
    <row r="14" spans="1:18" ht="12.75" customHeight="1" thickBot="1" x14ac:dyDescent="0.25">
      <c r="A14" s="123">
        <v>131</v>
      </c>
      <c r="B14" s="123">
        <v>48</v>
      </c>
      <c r="C14" s="123">
        <v>83</v>
      </c>
      <c r="D14" s="123">
        <v>0</v>
      </c>
      <c r="E14" s="123">
        <v>0</v>
      </c>
      <c r="F14" s="123">
        <v>0</v>
      </c>
      <c r="G14" s="123">
        <v>21</v>
      </c>
      <c r="H14" s="123">
        <v>13</v>
      </c>
      <c r="I14" s="123">
        <v>8</v>
      </c>
      <c r="J14" s="123">
        <v>13</v>
      </c>
      <c r="K14" s="123">
        <v>8</v>
      </c>
      <c r="L14" s="123">
        <v>5</v>
      </c>
      <c r="M14" s="123">
        <v>97</v>
      </c>
      <c r="N14" s="123">
        <v>27</v>
      </c>
      <c r="O14" s="123">
        <v>70</v>
      </c>
      <c r="P14" s="7" t="s">
        <v>163</v>
      </c>
      <c r="Q14" s="124"/>
    </row>
    <row r="15" spans="1:18" ht="12.75" customHeight="1" thickBot="1" x14ac:dyDescent="0.25">
      <c r="A15" s="123">
        <v>29</v>
      </c>
      <c r="B15" s="123">
        <v>6</v>
      </c>
      <c r="C15" s="123">
        <v>23</v>
      </c>
      <c r="D15" s="123">
        <v>0</v>
      </c>
      <c r="E15" s="123">
        <v>0</v>
      </c>
      <c r="F15" s="123">
        <v>0</v>
      </c>
      <c r="G15" s="123">
        <v>0</v>
      </c>
      <c r="H15" s="123">
        <v>0</v>
      </c>
      <c r="I15" s="123">
        <v>0</v>
      </c>
      <c r="J15" s="123">
        <v>6</v>
      </c>
      <c r="K15" s="123">
        <v>1</v>
      </c>
      <c r="L15" s="123">
        <v>5</v>
      </c>
      <c r="M15" s="123">
        <v>23</v>
      </c>
      <c r="N15" s="123">
        <v>5</v>
      </c>
      <c r="O15" s="123">
        <v>18</v>
      </c>
      <c r="P15" s="7" t="s">
        <v>162</v>
      </c>
      <c r="Q15" s="124" t="s">
        <v>331</v>
      </c>
    </row>
    <row r="16" spans="1:18" ht="12.75" customHeight="1" thickBot="1" x14ac:dyDescent="0.25">
      <c r="A16" s="123">
        <v>160</v>
      </c>
      <c r="B16" s="123">
        <v>54</v>
      </c>
      <c r="C16" s="123">
        <v>106</v>
      </c>
      <c r="D16" s="123">
        <v>0</v>
      </c>
      <c r="E16" s="123">
        <v>0</v>
      </c>
      <c r="F16" s="123">
        <v>0</v>
      </c>
      <c r="G16" s="123">
        <v>21</v>
      </c>
      <c r="H16" s="123">
        <v>13</v>
      </c>
      <c r="I16" s="123">
        <v>8</v>
      </c>
      <c r="J16" s="123">
        <v>19</v>
      </c>
      <c r="K16" s="123">
        <v>9</v>
      </c>
      <c r="L16" s="123">
        <v>10</v>
      </c>
      <c r="M16" s="123">
        <v>120</v>
      </c>
      <c r="N16" s="123">
        <v>32</v>
      </c>
      <c r="O16" s="123">
        <v>88</v>
      </c>
      <c r="P16" s="7" t="s">
        <v>13</v>
      </c>
      <c r="Q16" s="9"/>
    </row>
    <row r="17" spans="1:17" ht="12.75" customHeight="1" thickBot="1" x14ac:dyDescent="0.25">
      <c r="A17" s="123">
        <v>73</v>
      </c>
      <c r="B17" s="123">
        <v>0</v>
      </c>
      <c r="C17" s="123">
        <v>73</v>
      </c>
      <c r="D17" s="123">
        <v>0</v>
      </c>
      <c r="E17" s="123">
        <v>0</v>
      </c>
      <c r="F17" s="123">
        <v>0</v>
      </c>
      <c r="G17" s="123">
        <v>18</v>
      </c>
      <c r="H17" s="123">
        <v>0</v>
      </c>
      <c r="I17" s="123">
        <v>18</v>
      </c>
      <c r="J17" s="123">
        <v>16</v>
      </c>
      <c r="K17" s="123">
        <v>0</v>
      </c>
      <c r="L17" s="123">
        <v>16</v>
      </c>
      <c r="M17" s="123">
        <v>39</v>
      </c>
      <c r="N17" s="123">
        <v>0</v>
      </c>
      <c r="O17" s="123">
        <v>39</v>
      </c>
      <c r="P17" s="7" t="s">
        <v>163</v>
      </c>
      <c r="Q17" s="124"/>
    </row>
    <row r="18" spans="1:17" ht="12.75" customHeight="1" thickBot="1" x14ac:dyDescent="0.25">
      <c r="A18" s="123">
        <v>8</v>
      </c>
      <c r="B18" s="123">
        <v>0</v>
      </c>
      <c r="C18" s="123">
        <v>8</v>
      </c>
      <c r="D18" s="123">
        <v>0</v>
      </c>
      <c r="E18" s="123">
        <v>0</v>
      </c>
      <c r="F18" s="123">
        <v>0</v>
      </c>
      <c r="G18" s="123">
        <v>0</v>
      </c>
      <c r="H18" s="123">
        <v>0</v>
      </c>
      <c r="I18" s="123">
        <v>0</v>
      </c>
      <c r="J18" s="123">
        <v>0</v>
      </c>
      <c r="K18" s="123">
        <v>0</v>
      </c>
      <c r="L18" s="123">
        <v>0</v>
      </c>
      <c r="M18" s="123">
        <v>8</v>
      </c>
      <c r="N18" s="123">
        <v>0</v>
      </c>
      <c r="O18" s="123">
        <v>8</v>
      </c>
      <c r="P18" s="7" t="s">
        <v>162</v>
      </c>
      <c r="Q18" s="124" t="s">
        <v>332</v>
      </c>
    </row>
    <row r="19" spans="1:17" ht="12.75" customHeight="1" thickBot="1" x14ac:dyDescent="0.25">
      <c r="A19" s="123">
        <v>81</v>
      </c>
      <c r="B19" s="123">
        <v>0</v>
      </c>
      <c r="C19" s="123">
        <v>81</v>
      </c>
      <c r="D19" s="123">
        <v>0</v>
      </c>
      <c r="E19" s="123">
        <v>0</v>
      </c>
      <c r="F19" s="123">
        <v>0</v>
      </c>
      <c r="G19" s="123">
        <v>18</v>
      </c>
      <c r="H19" s="123">
        <v>0</v>
      </c>
      <c r="I19" s="123">
        <v>18</v>
      </c>
      <c r="J19" s="123">
        <v>16</v>
      </c>
      <c r="K19" s="123">
        <v>0</v>
      </c>
      <c r="L19" s="123">
        <v>16</v>
      </c>
      <c r="M19" s="123">
        <v>47</v>
      </c>
      <c r="N19" s="123">
        <v>0</v>
      </c>
      <c r="O19" s="123">
        <v>47</v>
      </c>
      <c r="P19" s="7" t="s">
        <v>13</v>
      </c>
      <c r="Q19" s="9"/>
    </row>
    <row r="20" spans="1:17" ht="12.75" customHeight="1" thickBot="1" x14ac:dyDescent="0.25">
      <c r="A20" s="123">
        <v>96</v>
      </c>
      <c r="B20" s="123">
        <v>28</v>
      </c>
      <c r="C20" s="123">
        <v>68</v>
      </c>
      <c r="D20" s="123">
        <v>0</v>
      </c>
      <c r="E20" s="123">
        <v>0</v>
      </c>
      <c r="F20" s="123">
        <v>0</v>
      </c>
      <c r="G20" s="123">
        <v>26</v>
      </c>
      <c r="H20" s="123">
        <v>10</v>
      </c>
      <c r="I20" s="123">
        <v>16</v>
      </c>
      <c r="J20" s="123">
        <v>3</v>
      </c>
      <c r="K20" s="123">
        <v>2</v>
      </c>
      <c r="L20" s="123">
        <v>1</v>
      </c>
      <c r="M20" s="123">
        <v>67</v>
      </c>
      <c r="N20" s="123">
        <v>16</v>
      </c>
      <c r="O20" s="123">
        <v>51</v>
      </c>
      <c r="P20" s="7" t="s">
        <v>163</v>
      </c>
      <c r="Q20" s="124"/>
    </row>
    <row r="21" spans="1:17" ht="12.75" customHeight="1" thickBot="1" x14ac:dyDescent="0.25">
      <c r="A21" s="123">
        <v>33</v>
      </c>
      <c r="B21" s="123">
        <v>7</v>
      </c>
      <c r="C21" s="123">
        <v>26</v>
      </c>
      <c r="D21" s="123">
        <v>2</v>
      </c>
      <c r="E21" s="123">
        <v>1</v>
      </c>
      <c r="F21" s="123">
        <v>1</v>
      </c>
      <c r="G21" s="123">
        <v>1</v>
      </c>
      <c r="H21" s="123">
        <v>0</v>
      </c>
      <c r="I21" s="123">
        <v>1</v>
      </c>
      <c r="J21" s="123">
        <v>6</v>
      </c>
      <c r="K21" s="123">
        <v>1</v>
      </c>
      <c r="L21" s="123">
        <v>5</v>
      </c>
      <c r="M21" s="123">
        <v>24</v>
      </c>
      <c r="N21" s="123">
        <v>5</v>
      </c>
      <c r="O21" s="123">
        <v>19</v>
      </c>
      <c r="P21" s="7" t="s">
        <v>162</v>
      </c>
      <c r="Q21" s="124" t="s">
        <v>333</v>
      </c>
    </row>
    <row r="22" spans="1:17" ht="12.75" customHeight="1" thickBot="1" x14ac:dyDescent="0.25">
      <c r="A22" s="123">
        <v>129</v>
      </c>
      <c r="B22" s="123">
        <v>35</v>
      </c>
      <c r="C22" s="123">
        <v>94</v>
      </c>
      <c r="D22" s="123">
        <v>2</v>
      </c>
      <c r="E22" s="123">
        <v>1</v>
      </c>
      <c r="F22" s="123">
        <v>1</v>
      </c>
      <c r="G22" s="123">
        <v>27</v>
      </c>
      <c r="H22" s="123">
        <v>10</v>
      </c>
      <c r="I22" s="123">
        <v>17</v>
      </c>
      <c r="J22" s="123">
        <v>9</v>
      </c>
      <c r="K22" s="123">
        <v>3</v>
      </c>
      <c r="L22" s="123">
        <v>6</v>
      </c>
      <c r="M22" s="123">
        <v>91</v>
      </c>
      <c r="N22" s="123">
        <v>21</v>
      </c>
      <c r="O22" s="123">
        <v>70</v>
      </c>
      <c r="P22" s="7" t="s">
        <v>13</v>
      </c>
      <c r="Q22" s="9"/>
    </row>
    <row r="23" spans="1:17" ht="12.75" customHeight="1" thickBot="1" x14ac:dyDescent="0.25">
      <c r="A23" s="123">
        <v>52</v>
      </c>
      <c r="B23" s="123">
        <v>0</v>
      </c>
      <c r="C23" s="123">
        <v>52</v>
      </c>
      <c r="D23" s="123">
        <v>0</v>
      </c>
      <c r="E23" s="123">
        <v>0</v>
      </c>
      <c r="F23" s="123">
        <v>0</v>
      </c>
      <c r="G23" s="123">
        <v>14</v>
      </c>
      <c r="H23" s="123">
        <v>0</v>
      </c>
      <c r="I23" s="123">
        <v>14</v>
      </c>
      <c r="J23" s="123">
        <v>0</v>
      </c>
      <c r="K23" s="123">
        <v>0</v>
      </c>
      <c r="L23" s="123">
        <v>0</v>
      </c>
      <c r="M23" s="123">
        <v>38</v>
      </c>
      <c r="N23" s="123">
        <v>0</v>
      </c>
      <c r="O23" s="123">
        <v>38</v>
      </c>
      <c r="P23" s="7" t="s">
        <v>163</v>
      </c>
      <c r="Q23" s="124"/>
    </row>
    <row r="24" spans="1:17" ht="12.75" customHeight="1" thickBot="1" x14ac:dyDescent="0.25">
      <c r="A24" s="123">
        <v>41</v>
      </c>
      <c r="B24" s="123">
        <v>0</v>
      </c>
      <c r="C24" s="123">
        <v>41</v>
      </c>
      <c r="D24" s="123">
        <v>0</v>
      </c>
      <c r="E24" s="123">
        <v>0</v>
      </c>
      <c r="F24" s="123">
        <v>0</v>
      </c>
      <c r="G24" s="123">
        <v>1</v>
      </c>
      <c r="H24" s="123">
        <v>0</v>
      </c>
      <c r="I24" s="123">
        <v>1</v>
      </c>
      <c r="J24" s="123">
        <v>9</v>
      </c>
      <c r="K24" s="123">
        <v>0</v>
      </c>
      <c r="L24" s="123">
        <v>9</v>
      </c>
      <c r="M24" s="123">
        <v>31</v>
      </c>
      <c r="N24" s="123">
        <v>0</v>
      </c>
      <c r="O24" s="123">
        <v>31</v>
      </c>
      <c r="P24" s="7" t="s">
        <v>162</v>
      </c>
      <c r="Q24" s="124" t="s">
        <v>334</v>
      </c>
    </row>
    <row r="25" spans="1:17" ht="12.75" customHeight="1" thickBot="1" x14ac:dyDescent="0.25">
      <c r="A25" s="123">
        <v>93</v>
      </c>
      <c r="B25" s="123">
        <v>0</v>
      </c>
      <c r="C25" s="123">
        <v>93</v>
      </c>
      <c r="D25" s="123">
        <v>0</v>
      </c>
      <c r="E25" s="123">
        <v>0</v>
      </c>
      <c r="F25" s="123">
        <v>0</v>
      </c>
      <c r="G25" s="123">
        <v>15</v>
      </c>
      <c r="H25" s="123">
        <v>0</v>
      </c>
      <c r="I25" s="123">
        <v>15</v>
      </c>
      <c r="J25" s="123">
        <v>9</v>
      </c>
      <c r="K25" s="123">
        <v>0</v>
      </c>
      <c r="L25" s="123">
        <v>9</v>
      </c>
      <c r="M25" s="123">
        <v>69</v>
      </c>
      <c r="N25" s="123">
        <v>0</v>
      </c>
      <c r="O25" s="123">
        <v>69</v>
      </c>
      <c r="P25" s="7" t="s">
        <v>13</v>
      </c>
      <c r="Q25" s="9"/>
    </row>
    <row r="26" spans="1:17" ht="12.75" customHeight="1" thickBot="1" x14ac:dyDescent="0.25">
      <c r="A26" s="123">
        <v>100</v>
      </c>
      <c r="B26" s="123">
        <v>14</v>
      </c>
      <c r="C26" s="123">
        <v>86</v>
      </c>
      <c r="D26" s="123">
        <v>0</v>
      </c>
      <c r="E26" s="123">
        <v>0</v>
      </c>
      <c r="F26" s="123">
        <v>0</v>
      </c>
      <c r="G26" s="123">
        <v>31</v>
      </c>
      <c r="H26" s="123">
        <v>13</v>
      </c>
      <c r="I26" s="123">
        <v>18</v>
      </c>
      <c r="J26" s="123">
        <v>0</v>
      </c>
      <c r="K26" s="123">
        <v>0</v>
      </c>
      <c r="L26" s="123">
        <v>0</v>
      </c>
      <c r="M26" s="123">
        <v>69</v>
      </c>
      <c r="N26" s="123">
        <v>1</v>
      </c>
      <c r="O26" s="123">
        <v>68</v>
      </c>
      <c r="P26" s="7" t="s">
        <v>163</v>
      </c>
      <c r="Q26" s="124"/>
    </row>
    <row r="27" spans="1:17" ht="12.75" customHeight="1" thickBot="1" x14ac:dyDescent="0.25">
      <c r="A27" s="123">
        <v>47</v>
      </c>
      <c r="B27" s="123">
        <v>13</v>
      </c>
      <c r="C27" s="123">
        <v>34</v>
      </c>
      <c r="D27" s="123">
        <v>0</v>
      </c>
      <c r="E27" s="123">
        <v>0</v>
      </c>
      <c r="F27" s="123">
        <v>0</v>
      </c>
      <c r="G27" s="123">
        <v>0</v>
      </c>
      <c r="H27" s="123">
        <v>0</v>
      </c>
      <c r="I27" s="123">
        <v>0</v>
      </c>
      <c r="J27" s="123">
        <v>18</v>
      </c>
      <c r="K27" s="123">
        <v>7</v>
      </c>
      <c r="L27" s="123">
        <v>11</v>
      </c>
      <c r="M27" s="123">
        <v>29</v>
      </c>
      <c r="N27" s="123">
        <v>6</v>
      </c>
      <c r="O27" s="123">
        <v>23</v>
      </c>
      <c r="P27" s="7" t="s">
        <v>162</v>
      </c>
      <c r="Q27" s="124" t="s">
        <v>263</v>
      </c>
    </row>
    <row r="28" spans="1:17" ht="12.75" customHeight="1" thickBot="1" x14ac:dyDescent="0.25">
      <c r="A28" s="123">
        <v>147</v>
      </c>
      <c r="B28" s="123">
        <v>27</v>
      </c>
      <c r="C28" s="123">
        <v>120</v>
      </c>
      <c r="D28" s="123">
        <v>0</v>
      </c>
      <c r="E28" s="123">
        <v>0</v>
      </c>
      <c r="F28" s="123">
        <v>0</v>
      </c>
      <c r="G28" s="123">
        <v>31</v>
      </c>
      <c r="H28" s="123">
        <v>13</v>
      </c>
      <c r="I28" s="123">
        <v>18</v>
      </c>
      <c r="J28" s="123">
        <v>18</v>
      </c>
      <c r="K28" s="123">
        <v>7</v>
      </c>
      <c r="L28" s="123">
        <v>11</v>
      </c>
      <c r="M28" s="123">
        <v>98</v>
      </c>
      <c r="N28" s="123">
        <v>7</v>
      </c>
      <c r="O28" s="123">
        <v>91</v>
      </c>
      <c r="P28" s="7" t="s">
        <v>13</v>
      </c>
      <c r="Q28" s="9"/>
    </row>
    <row r="29" spans="1:17" ht="12.75" customHeight="1" thickBot="1" x14ac:dyDescent="0.25">
      <c r="A29" s="123">
        <v>11</v>
      </c>
      <c r="B29" s="123">
        <v>0</v>
      </c>
      <c r="C29" s="123">
        <v>11</v>
      </c>
      <c r="D29" s="123">
        <v>0</v>
      </c>
      <c r="E29" s="123">
        <v>0</v>
      </c>
      <c r="F29" s="123">
        <v>0</v>
      </c>
      <c r="G29" s="123">
        <v>8</v>
      </c>
      <c r="H29" s="123">
        <v>0</v>
      </c>
      <c r="I29" s="123">
        <v>8</v>
      </c>
      <c r="J29" s="123">
        <v>2</v>
      </c>
      <c r="K29" s="123">
        <v>0</v>
      </c>
      <c r="L29" s="123">
        <v>2</v>
      </c>
      <c r="M29" s="123">
        <v>1</v>
      </c>
      <c r="N29" s="123">
        <v>0</v>
      </c>
      <c r="O29" s="123">
        <v>1</v>
      </c>
      <c r="P29" s="7" t="s">
        <v>163</v>
      </c>
      <c r="Q29" s="124"/>
    </row>
    <row r="30" spans="1:17" ht="12.75" customHeight="1" thickBot="1" x14ac:dyDescent="0.25">
      <c r="A30" s="123">
        <v>3</v>
      </c>
      <c r="B30" s="123">
        <v>0</v>
      </c>
      <c r="C30" s="123">
        <v>3</v>
      </c>
      <c r="D30" s="123">
        <v>0</v>
      </c>
      <c r="E30" s="123">
        <v>0</v>
      </c>
      <c r="F30" s="123">
        <v>0</v>
      </c>
      <c r="G30" s="123">
        <v>0</v>
      </c>
      <c r="H30" s="123">
        <v>0</v>
      </c>
      <c r="I30" s="123">
        <v>0</v>
      </c>
      <c r="J30" s="123">
        <v>0</v>
      </c>
      <c r="K30" s="123">
        <v>0</v>
      </c>
      <c r="L30" s="123">
        <v>0</v>
      </c>
      <c r="M30" s="123">
        <v>3</v>
      </c>
      <c r="N30" s="123">
        <v>0</v>
      </c>
      <c r="O30" s="123">
        <v>3</v>
      </c>
      <c r="P30" s="7" t="s">
        <v>162</v>
      </c>
      <c r="Q30" s="124" t="s">
        <v>238</v>
      </c>
    </row>
    <row r="31" spans="1:17" ht="12.75" customHeight="1" thickBot="1" x14ac:dyDescent="0.25">
      <c r="A31" s="123">
        <v>14</v>
      </c>
      <c r="B31" s="123">
        <v>0</v>
      </c>
      <c r="C31" s="123">
        <v>14</v>
      </c>
      <c r="D31" s="123">
        <v>0</v>
      </c>
      <c r="E31" s="123">
        <v>0</v>
      </c>
      <c r="F31" s="123">
        <v>0</v>
      </c>
      <c r="G31" s="123">
        <v>8</v>
      </c>
      <c r="H31" s="123">
        <v>0</v>
      </c>
      <c r="I31" s="123">
        <v>8</v>
      </c>
      <c r="J31" s="123">
        <v>2</v>
      </c>
      <c r="K31" s="123">
        <v>0</v>
      </c>
      <c r="L31" s="123">
        <v>2</v>
      </c>
      <c r="M31" s="123">
        <v>4</v>
      </c>
      <c r="N31" s="123">
        <v>0</v>
      </c>
      <c r="O31" s="123">
        <v>4</v>
      </c>
      <c r="P31" s="7" t="s">
        <v>13</v>
      </c>
      <c r="Q31" s="9"/>
    </row>
    <row r="32" spans="1:17" ht="12.75" customHeight="1" thickBot="1" x14ac:dyDescent="0.25">
      <c r="A32" s="123">
        <v>456</v>
      </c>
      <c r="B32" s="123">
        <v>327</v>
      </c>
      <c r="C32" s="123">
        <v>129</v>
      </c>
      <c r="D32" s="123">
        <v>1</v>
      </c>
      <c r="E32" s="123">
        <v>0</v>
      </c>
      <c r="F32" s="123">
        <v>1</v>
      </c>
      <c r="G32" s="123">
        <v>178</v>
      </c>
      <c r="H32" s="123">
        <v>140</v>
      </c>
      <c r="I32" s="123">
        <v>38</v>
      </c>
      <c r="J32" s="123">
        <v>160</v>
      </c>
      <c r="K32" s="123">
        <v>108</v>
      </c>
      <c r="L32" s="123">
        <v>52</v>
      </c>
      <c r="M32" s="123">
        <v>117</v>
      </c>
      <c r="N32" s="123">
        <v>79</v>
      </c>
      <c r="O32" s="123">
        <v>38</v>
      </c>
      <c r="P32" s="7" t="s">
        <v>163</v>
      </c>
      <c r="Q32" s="124"/>
    </row>
    <row r="33" spans="1:18" ht="12.75" customHeight="1" thickBot="1" x14ac:dyDescent="0.25">
      <c r="A33" s="123">
        <v>14</v>
      </c>
      <c r="B33" s="123">
        <v>11</v>
      </c>
      <c r="C33" s="123">
        <v>3</v>
      </c>
      <c r="D33" s="123">
        <v>0</v>
      </c>
      <c r="E33" s="123">
        <v>0</v>
      </c>
      <c r="F33" s="123">
        <v>0</v>
      </c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14</v>
      </c>
      <c r="N33" s="123">
        <v>11</v>
      </c>
      <c r="O33" s="123">
        <v>3</v>
      </c>
      <c r="P33" s="7" t="s">
        <v>162</v>
      </c>
      <c r="Q33" s="124" t="s">
        <v>618</v>
      </c>
    </row>
    <row r="34" spans="1:18" ht="12.75" customHeight="1" thickBot="1" x14ac:dyDescent="0.25">
      <c r="A34" s="123">
        <v>470</v>
      </c>
      <c r="B34" s="123">
        <v>338</v>
      </c>
      <c r="C34" s="123">
        <v>132</v>
      </c>
      <c r="D34" s="123">
        <v>1</v>
      </c>
      <c r="E34" s="123">
        <v>0</v>
      </c>
      <c r="F34" s="123">
        <v>1</v>
      </c>
      <c r="G34" s="123">
        <v>178</v>
      </c>
      <c r="H34" s="123">
        <v>140</v>
      </c>
      <c r="I34" s="123">
        <v>38</v>
      </c>
      <c r="J34" s="123">
        <v>160</v>
      </c>
      <c r="K34" s="123">
        <v>108</v>
      </c>
      <c r="L34" s="123">
        <v>52</v>
      </c>
      <c r="M34" s="123">
        <v>131</v>
      </c>
      <c r="N34" s="123">
        <v>90</v>
      </c>
      <c r="O34" s="123">
        <v>41</v>
      </c>
      <c r="P34" s="7" t="s">
        <v>13</v>
      </c>
      <c r="Q34" s="9"/>
    </row>
    <row r="35" spans="1:18" ht="12.75" customHeight="1" thickBot="1" x14ac:dyDescent="0.25">
      <c r="A35" s="123">
        <v>28</v>
      </c>
      <c r="B35" s="123">
        <v>0</v>
      </c>
      <c r="C35" s="123">
        <v>28</v>
      </c>
      <c r="D35" s="123">
        <v>1</v>
      </c>
      <c r="E35" s="123">
        <v>0</v>
      </c>
      <c r="F35" s="123">
        <v>1</v>
      </c>
      <c r="G35" s="123">
        <v>3</v>
      </c>
      <c r="H35" s="123">
        <v>0</v>
      </c>
      <c r="I35" s="123">
        <v>3</v>
      </c>
      <c r="J35" s="123">
        <v>1</v>
      </c>
      <c r="K35" s="123">
        <v>0</v>
      </c>
      <c r="L35" s="123">
        <v>1</v>
      </c>
      <c r="M35" s="123">
        <v>23</v>
      </c>
      <c r="N35" s="123">
        <v>0</v>
      </c>
      <c r="O35" s="123">
        <v>23</v>
      </c>
      <c r="P35" s="7" t="s">
        <v>163</v>
      </c>
      <c r="Q35" s="124"/>
    </row>
    <row r="36" spans="1:18" ht="12.75" customHeight="1" thickBot="1" x14ac:dyDescent="0.25">
      <c r="A36" s="123">
        <v>7</v>
      </c>
      <c r="B36" s="123">
        <v>0</v>
      </c>
      <c r="C36" s="123">
        <v>7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3">
        <v>0</v>
      </c>
      <c r="J36" s="123">
        <v>2</v>
      </c>
      <c r="K36" s="123">
        <v>0</v>
      </c>
      <c r="L36" s="123">
        <v>2</v>
      </c>
      <c r="M36" s="123">
        <v>5</v>
      </c>
      <c r="N36" s="123">
        <v>0</v>
      </c>
      <c r="O36" s="123">
        <v>5</v>
      </c>
      <c r="P36" s="7" t="s">
        <v>162</v>
      </c>
      <c r="Q36" s="124" t="s">
        <v>619</v>
      </c>
    </row>
    <row r="37" spans="1:18" ht="12.75" customHeight="1" thickBot="1" x14ac:dyDescent="0.25">
      <c r="A37" s="123">
        <v>35</v>
      </c>
      <c r="B37" s="123">
        <v>0</v>
      </c>
      <c r="C37" s="123">
        <v>35</v>
      </c>
      <c r="D37" s="123">
        <v>1</v>
      </c>
      <c r="E37" s="123">
        <v>0</v>
      </c>
      <c r="F37" s="123">
        <v>1</v>
      </c>
      <c r="G37" s="123">
        <v>3</v>
      </c>
      <c r="H37" s="123">
        <v>0</v>
      </c>
      <c r="I37" s="123">
        <v>3</v>
      </c>
      <c r="J37" s="123">
        <v>3</v>
      </c>
      <c r="K37" s="123">
        <v>0</v>
      </c>
      <c r="L37" s="123">
        <v>3</v>
      </c>
      <c r="M37" s="123">
        <v>28</v>
      </c>
      <c r="N37" s="123">
        <v>0</v>
      </c>
      <c r="O37" s="123">
        <v>28</v>
      </c>
      <c r="P37" s="7" t="s">
        <v>13</v>
      </c>
      <c r="Q37" s="9"/>
    </row>
    <row r="38" spans="1:18" ht="12.75" customHeight="1" thickBot="1" x14ac:dyDescent="0.25">
      <c r="A38" s="123">
        <v>119</v>
      </c>
      <c r="B38" s="123">
        <v>42</v>
      </c>
      <c r="C38" s="123">
        <v>77</v>
      </c>
      <c r="D38" s="123">
        <v>0</v>
      </c>
      <c r="E38" s="123">
        <v>0</v>
      </c>
      <c r="F38" s="123">
        <v>0</v>
      </c>
      <c r="G38" s="123">
        <v>32</v>
      </c>
      <c r="H38" s="123">
        <v>23</v>
      </c>
      <c r="I38" s="123">
        <v>9</v>
      </c>
      <c r="J38" s="123">
        <v>14</v>
      </c>
      <c r="K38" s="123">
        <v>8</v>
      </c>
      <c r="L38" s="123">
        <v>6</v>
      </c>
      <c r="M38" s="123">
        <v>73</v>
      </c>
      <c r="N38" s="123">
        <v>11</v>
      </c>
      <c r="O38" s="123">
        <v>62</v>
      </c>
      <c r="P38" s="7" t="s">
        <v>163</v>
      </c>
      <c r="Q38" s="124"/>
    </row>
    <row r="39" spans="1:18" ht="12.75" customHeight="1" thickBot="1" x14ac:dyDescent="0.25">
      <c r="A39" s="123">
        <v>42</v>
      </c>
      <c r="B39" s="123">
        <v>12</v>
      </c>
      <c r="C39" s="123">
        <v>30</v>
      </c>
      <c r="D39" s="123">
        <v>0</v>
      </c>
      <c r="E39" s="123">
        <v>0</v>
      </c>
      <c r="F39" s="123">
        <v>0</v>
      </c>
      <c r="G39" s="123">
        <v>0</v>
      </c>
      <c r="H39" s="123">
        <v>0</v>
      </c>
      <c r="I39" s="123">
        <v>0</v>
      </c>
      <c r="J39" s="123">
        <v>1</v>
      </c>
      <c r="K39" s="123">
        <v>1</v>
      </c>
      <c r="L39" s="123">
        <v>0</v>
      </c>
      <c r="M39" s="123">
        <v>41</v>
      </c>
      <c r="N39" s="123">
        <v>11</v>
      </c>
      <c r="O39" s="123">
        <v>30</v>
      </c>
      <c r="P39" s="7" t="s">
        <v>162</v>
      </c>
      <c r="Q39" s="124" t="s">
        <v>335</v>
      </c>
    </row>
    <row r="40" spans="1:18" ht="12.75" customHeight="1" thickBot="1" x14ac:dyDescent="0.25">
      <c r="A40" s="123">
        <v>161</v>
      </c>
      <c r="B40" s="123">
        <v>54</v>
      </c>
      <c r="C40" s="123">
        <v>107</v>
      </c>
      <c r="D40" s="123">
        <v>0</v>
      </c>
      <c r="E40" s="123">
        <v>0</v>
      </c>
      <c r="F40" s="123">
        <v>0</v>
      </c>
      <c r="G40" s="123">
        <v>32</v>
      </c>
      <c r="H40" s="123">
        <v>23</v>
      </c>
      <c r="I40" s="123">
        <v>9</v>
      </c>
      <c r="J40" s="123">
        <v>15</v>
      </c>
      <c r="K40" s="123">
        <v>9</v>
      </c>
      <c r="L40" s="123">
        <v>6</v>
      </c>
      <c r="M40" s="123">
        <v>114</v>
      </c>
      <c r="N40" s="123">
        <v>22</v>
      </c>
      <c r="O40" s="123">
        <v>92</v>
      </c>
      <c r="P40" s="7" t="s">
        <v>13</v>
      </c>
      <c r="Q40" s="9"/>
    </row>
    <row r="41" spans="1:18" ht="12.75" customHeight="1" thickBot="1" x14ac:dyDescent="0.25">
      <c r="A41" s="123">
        <v>139</v>
      </c>
      <c r="B41" s="123">
        <v>51</v>
      </c>
      <c r="C41" s="123">
        <v>88</v>
      </c>
      <c r="D41" s="123">
        <v>0</v>
      </c>
      <c r="E41" s="123">
        <v>0</v>
      </c>
      <c r="F41" s="123">
        <v>0</v>
      </c>
      <c r="G41" s="123">
        <v>56</v>
      </c>
      <c r="H41" s="123">
        <v>32</v>
      </c>
      <c r="I41" s="123">
        <v>24</v>
      </c>
      <c r="J41" s="123">
        <v>11</v>
      </c>
      <c r="K41" s="123">
        <v>5</v>
      </c>
      <c r="L41" s="123">
        <v>6</v>
      </c>
      <c r="M41" s="123">
        <v>72</v>
      </c>
      <c r="N41" s="123">
        <v>14</v>
      </c>
      <c r="O41" s="123">
        <v>58</v>
      </c>
      <c r="P41" s="7" t="s">
        <v>163</v>
      </c>
      <c r="Q41" s="124"/>
    </row>
    <row r="42" spans="1:18" ht="12.75" customHeight="1" thickBot="1" x14ac:dyDescent="0.25">
      <c r="A42" s="123">
        <v>21</v>
      </c>
      <c r="B42" s="123">
        <v>0</v>
      </c>
      <c r="C42" s="123">
        <v>21</v>
      </c>
      <c r="D42" s="123">
        <v>0</v>
      </c>
      <c r="E42" s="123">
        <v>0</v>
      </c>
      <c r="F42" s="123">
        <v>0</v>
      </c>
      <c r="G42" s="123">
        <v>0</v>
      </c>
      <c r="H42" s="123">
        <v>0</v>
      </c>
      <c r="I42" s="123">
        <v>0</v>
      </c>
      <c r="J42" s="123">
        <v>1</v>
      </c>
      <c r="K42" s="123">
        <v>0</v>
      </c>
      <c r="L42" s="123">
        <v>1</v>
      </c>
      <c r="M42" s="123">
        <v>20</v>
      </c>
      <c r="N42" s="123">
        <v>0</v>
      </c>
      <c r="O42" s="123">
        <v>20</v>
      </c>
      <c r="P42" s="7" t="s">
        <v>162</v>
      </c>
      <c r="Q42" s="124" t="s">
        <v>336</v>
      </c>
    </row>
    <row r="43" spans="1:18" ht="12.75" customHeight="1" thickBot="1" x14ac:dyDescent="0.25">
      <c r="A43" s="123">
        <v>160</v>
      </c>
      <c r="B43" s="123">
        <v>51</v>
      </c>
      <c r="C43" s="123">
        <v>109</v>
      </c>
      <c r="D43" s="123">
        <v>0</v>
      </c>
      <c r="E43" s="123">
        <v>0</v>
      </c>
      <c r="F43" s="123">
        <v>0</v>
      </c>
      <c r="G43" s="123">
        <v>56</v>
      </c>
      <c r="H43" s="123">
        <v>32</v>
      </c>
      <c r="I43" s="123">
        <v>24</v>
      </c>
      <c r="J43" s="123">
        <v>12</v>
      </c>
      <c r="K43" s="123">
        <v>5</v>
      </c>
      <c r="L43" s="123">
        <v>7</v>
      </c>
      <c r="M43" s="123">
        <v>92</v>
      </c>
      <c r="N43" s="123">
        <v>14</v>
      </c>
      <c r="O43" s="123">
        <v>78</v>
      </c>
      <c r="P43" s="7" t="s">
        <v>13</v>
      </c>
      <c r="Q43" s="9"/>
    </row>
    <row r="44" spans="1:18" ht="12.75" customHeight="1" thickBot="1" x14ac:dyDescent="0.25">
      <c r="A44" s="123">
        <v>3</v>
      </c>
      <c r="B44" s="123">
        <v>0</v>
      </c>
      <c r="C44" s="123">
        <v>3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  <c r="M44" s="123">
        <v>3</v>
      </c>
      <c r="N44" s="123">
        <v>0</v>
      </c>
      <c r="O44" s="123">
        <v>3</v>
      </c>
      <c r="P44" s="7" t="s">
        <v>163</v>
      </c>
      <c r="Q44" s="124"/>
    </row>
    <row r="45" spans="1:18" ht="12.75" customHeight="1" thickBot="1" x14ac:dyDescent="0.25">
      <c r="A45" s="123">
        <v>1</v>
      </c>
      <c r="B45" s="123">
        <v>0</v>
      </c>
      <c r="C45" s="123">
        <v>1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1</v>
      </c>
      <c r="N45" s="123">
        <v>0</v>
      </c>
      <c r="O45" s="123">
        <v>1</v>
      </c>
      <c r="P45" s="7" t="s">
        <v>162</v>
      </c>
      <c r="Q45" s="124" t="s">
        <v>531</v>
      </c>
    </row>
    <row r="46" spans="1:18" ht="12.75" customHeight="1" thickBot="1" x14ac:dyDescent="0.25">
      <c r="A46" s="123">
        <v>4</v>
      </c>
      <c r="B46" s="123">
        <v>0</v>
      </c>
      <c r="C46" s="123">
        <v>4</v>
      </c>
      <c r="D46" s="123">
        <v>0</v>
      </c>
      <c r="E46" s="123">
        <v>0</v>
      </c>
      <c r="F46" s="123">
        <v>0</v>
      </c>
      <c r="G46" s="123">
        <v>0</v>
      </c>
      <c r="H46" s="123">
        <v>0</v>
      </c>
      <c r="I46" s="123">
        <v>0</v>
      </c>
      <c r="J46" s="123">
        <v>0</v>
      </c>
      <c r="K46" s="123">
        <v>0</v>
      </c>
      <c r="L46" s="123">
        <v>0</v>
      </c>
      <c r="M46" s="123">
        <v>4</v>
      </c>
      <c r="N46" s="123">
        <v>0</v>
      </c>
      <c r="O46" s="123">
        <v>4</v>
      </c>
      <c r="P46" s="7" t="s">
        <v>13</v>
      </c>
      <c r="Q46" s="9"/>
    </row>
    <row r="47" spans="1:18" ht="13.5" thickBot="1" x14ac:dyDescent="0.25">
      <c r="A47" s="123">
        <v>66</v>
      </c>
      <c r="B47" s="123">
        <v>0</v>
      </c>
      <c r="C47" s="123">
        <v>66</v>
      </c>
      <c r="D47" s="123">
        <v>0</v>
      </c>
      <c r="E47" s="123">
        <v>0</v>
      </c>
      <c r="F47" s="123">
        <v>0</v>
      </c>
      <c r="G47" s="123">
        <v>16</v>
      </c>
      <c r="H47" s="123">
        <v>0</v>
      </c>
      <c r="I47" s="123">
        <v>16</v>
      </c>
      <c r="J47" s="123">
        <v>10</v>
      </c>
      <c r="K47" s="123">
        <v>0</v>
      </c>
      <c r="L47" s="123">
        <v>10</v>
      </c>
      <c r="M47" s="123">
        <v>40</v>
      </c>
      <c r="N47" s="123">
        <v>0</v>
      </c>
      <c r="O47" s="123">
        <v>40</v>
      </c>
      <c r="P47" s="7" t="s">
        <v>163</v>
      </c>
      <c r="Q47" s="124"/>
      <c r="R47" s="1"/>
    </row>
    <row r="48" spans="1:18" ht="13.5" thickBot="1" x14ac:dyDescent="0.25">
      <c r="A48" s="123">
        <v>7</v>
      </c>
      <c r="B48" s="123">
        <v>0</v>
      </c>
      <c r="C48" s="123">
        <v>7</v>
      </c>
      <c r="D48" s="123">
        <v>0</v>
      </c>
      <c r="E48" s="123">
        <v>0</v>
      </c>
      <c r="F48" s="123">
        <v>0</v>
      </c>
      <c r="G48" s="123">
        <v>0</v>
      </c>
      <c r="H48" s="123">
        <v>0</v>
      </c>
      <c r="I48" s="123">
        <v>0</v>
      </c>
      <c r="J48" s="123">
        <v>0</v>
      </c>
      <c r="K48" s="123">
        <v>0</v>
      </c>
      <c r="L48" s="123">
        <v>0</v>
      </c>
      <c r="M48" s="123">
        <v>7</v>
      </c>
      <c r="N48" s="123">
        <v>0</v>
      </c>
      <c r="O48" s="123">
        <v>7</v>
      </c>
      <c r="P48" s="7" t="s">
        <v>162</v>
      </c>
      <c r="Q48" s="124" t="s">
        <v>620</v>
      </c>
      <c r="R48" s="1"/>
    </row>
    <row r="49" spans="1:18" ht="13.5" thickBot="1" x14ac:dyDescent="0.25">
      <c r="A49" s="123">
        <v>73</v>
      </c>
      <c r="B49" s="123">
        <v>0</v>
      </c>
      <c r="C49" s="123">
        <v>73</v>
      </c>
      <c r="D49" s="123">
        <v>0</v>
      </c>
      <c r="E49" s="123">
        <v>0</v>
      </c>
      <c r="F49" s="123">
        <v>0</v>
      </c>
      <c r="G49" s="123">
        <v>16</v>
      </c>
      <c r="H49" s="123">
        <v>0</v>
      </c>
      <c r="I49" s="123">
        <v>16</v>
      </c>
      <c r="J49" s="123">
        <v>10</v>
      </c>
      <c r="K49" s="123">
        <v>0</v>
      </c>
      <c r="L49" s="123">
        <v>10</v>
      </c>
      <c r="M49" s="123">
        <v>47</v>
      </c>
      <c r="N49" s="123">
        <v>0</v>
      </c>
      <c r="O49" s="123">
        <v>47</v>
      </c>
      <c r="P49" s="7" t="s">
        <v>13</v>
      </c>
      <c r="Q49" s="9"/>
      <c r="R49" s="1"/>
    </row>
    <row r="50" spans="1:18" ht="13.5" thickBot="1" x14ac:dyDescent="0.25">
      <c r="A50" s="123">
        <v>74</v>
      </c>
      <c r="B50" s="123">
        <v>0</v>
      </c>
      <c r="C50" s="123">
        <v>74</v>
      </c>
      <c r="D50" s="123">
        <v>0</v>
      </c>
      <c r="E50" s="123">
        <v>0</v>
      </c>
      <c r="F50" s="123">
        <v>0</v>
      </c>
      <c r="G50" s="123">
        <v>6</v>
      </c>
      <c r="H50" s="123">
        <v>0</v>
      </c>
      <c r="I50" s="123">
        <v>6</v>
      </c>
      <c r="J50" s="123">
        <v>16</v>
      </c>
      <c r="K50" s="123">
        <v>0</v>
      </c>
      <c r="L50" s="123">
        <v>16</v>
      </c>
      <c r="M50" s="123">
        <v>52</v>
      </c>
      <c r="N50" s="123">
        <v>0</v>
      </c>
      <c r="O50" s="123">
        <v>52</v>
      </c>
      <c r="P50" s="7" t="s">
        <v>163</v>
      </c>
      <c r="Q50" s="124"/>
      <c r="R50" s="1"/>
    </row>
    <row r="51" spans="1:18" ht="13.5" thickBot="1" x14ac:dyDescent="0.25">
      <c r="A51" s="123">
        <v>2</v>
      </c>
      <c r="B51" s="123">
        <v>0</v>
      </c>
      <c r="C51" s="123">
        <v>2</v>
      </c>
      <c r="D51" s="123">
        <v>0</v>
      </c>
      <c r="E51" s="123">
        <v>0</v>
      </c>
      <c r="F51" s="123">
        <v>0</v>
      </c>
      <c r="G51" s="123">
        <v>0</v>
      </c>
      <c r="H51" s="123">
        <v>0</v>
      </c>
      <c r="I51" s="123">
        <v>0</v>
      </c>
      <c r="J51" s="123">
        <v>0</v>
      </c>
      <c r="K51" s="123">
        <v>0</v>
      </c>
      <c r="L51" s="123">
        <v>0</v>
      </c>
      <c r="M51" s="123">
        <v>2</v>
      </c>
      <c r="N51" s="123">
        <v>0</v>
      </c>
      <c r="O51" s="123">
        <v>2</v>
      </c>
      <c r="P51" s="7" t="s">
        <v>162</v>
      </c>
      <c r="Q51" s="124" t="s">
        <v>621</v>
      </c>
      <c r="R51" s="1"/>
    </row>
    <row r="52" spans="1:18" ht="13.5" thickBot="1" x14ac:dyDescent="0.25">
      <c r="A52" s="123">
        <v>76</v>
      </c>
      <c r="B52" s="123">
        <v>0</v>
      </c>
      <c r="C52" s="123">
        <v>76</v>
      </c>
      <c r="D52" s="123">
        <v>0</v>
      </c>
      <c r="E52" s="123">
        <v>0</v>
      </c>
      <c r="F52" s="123">
        <v>0</v>
      </c>
      <c r="G52" s="123">
        <v>6</v>
      </c>
      <c r="H52" s="123">
        <v>0</v>
      </c>
      <c r="I52" s="123">
        <v>6</v>
      </c>
      <c r="J52" s="123">
        <v>16</v>
      </c>
      <c r="K52" s="123">
        <v>0</v>
      </c>
      <c r="L52" s="123">
        <v>16</v>
      </c>
      <c r="M52" s="123">
        <v>54</v>
      </c>
      <c r="N52" s="123">
        <v>0</v>
      </c>
      <c r="O52" s="123">
        <v>54</v>
      </c>
      <c r="P52" s="7" t="s">
        <v>13</v>
      </c>
      <c r="Q52" s="9"/>
      <c r="R52" s="1"/>
    </row>
    <row r="53" spans="1:18" ht="12.75" customHeight="1" thickBot="1" x14ac:dyDescent="0.25">
      <c r="A53" s="123">
        <v>8</v>
      </c>
      <c r="B53" s="123">
        <v>1</v>
      </c>
      <c r="C53" s="123">
        <v>7</v>
      </c>
      <c r="D53" s="123">
        <v>0</v>
      </c>
      <c r="E53" s="123">
        <v>0</v>
      </c>
      <c r="F53" s="123">
        <v>0</v>
      </c>
      <c r="G53" s="123">
        <v>1</v>
      </c>
      <c r="H53" s="123">
        <v>1</v>
      </c>
      <c r="I53" s="123">
        <v>0</v>
      </c>
      <c r="J53" s="123">
        <v>0</v>
      </c>
      <c r="K53" s="123">
        <v>0</v>
      </c>
      <c r="L53" s="123">
        <v>0</v>
      </c>
      <c r="M53" s="123">
        <v>7</v>
      </c>
      <c r="N53" s="123">
        <v>0</v>
      </c>
      <c r="O53" s="123">
        <v>7</v>
      </c>
      <c r="P53" s="7" t="s">
        <v>163</v>
      </c>
      <c r="Q53" s="124"/>
    </row>
    <row r="54" spans="1:18" ht="12.75" customHeight="1" thickBot="1" x14ac:dyDescent="0.25">
      <c r="A54" s="123">
        <v>10</v>
      </c>
      <c r="B54" s="123">
        <v>4</v>
      </c>
      <c r="C54" s="123">
        <v>6</v>
      </c>
      <c r="D54" s="123">
        <v>3</v>
      </c>
      <c r="E54" s="123">
        <v>3</v>
      </c>
      <c r="F54" s="123">
        <v>0</v>
      </c>
      <c r="G54" s="123">
        <v>1</v>
      </c>
      <c r="H54" s="123">
        <v>0</v>
      </c>
      <c r="I54" s="123">
        <v>1</v>
      </c>
      <c r="J54" s="123">
        <v>1</v>
      </c>
      <c r="K54" s="123">
        <v>0</v>
      </c>
      <c r="L54" s="123">
        <v>1</v>
      </c>
      <c r="M54" s="123">
        <v>5</v>
      </c>
      <c r="N54" s="123">
        <v>1</v>
      </c>
      <c r="O54" s="123">
        <v>4</v>
      </c>
      <c r="P54" s="7" t="s">
        <v>162</v>
      </c>
      <c r="Q54" s="124" t="s">
        <v>264</v>
      </c>
    </row>
    <row r="55" spans="1:18" ht="12.75" customHeight="1" thickBot="1" x14ac:dyDescent="0.25">
      <c r="A55" s="123">
        <v>18</v>
      </c>
      <c r="B55" s="123">
        <v>5</v>
      </c>
      <c r="C55" s="123">
        <v>13</v>
      </c>
      <c r="D55" s="123">
        <v>3</v>
      </c>
      <c r="E55" s="123">
        <v>3</v>
      </c>
      <c r="F55" s="123">
        <v>0</v>
      </c>
      <c r="G55" s="123">
        <v>2</v>
      </c>
      <c r="H55" s="123">
        <v>1</v>
      </c>
      <c r="I55" s="123">
        <v>1</v>
      </c>
      <c r="J55" s="123">
        <v>1</v>
      </c>
      <c r="K55" s="123">
        <v>0</v>
      </c>
      <c r="L55" s="123">
        <v>1</v>
      </c>
      <c r="M55" s="123">
        <v>12</v>
      </c>
      <c r="N55" s="123">
        <v>1</v>
      </c>
      <c r="O55" s="123">
        <v>11</v>
      </c>
      <c r="P55" s="7" t="s">
        <v>13</v>
      </c>
      <c r="Q55" s="9"/>
    </row>
    <row r="56" spans="1:18" ht="12.75" customHeight="1" thickBot="1" x14ac:dyDescent="0.25">
      <c r="A56" s="123">
        <v>17</v>
      </c>
      <c r="B56" s="123">
        <v>16</v>
      </c>
      <c r="C56" s="123">
        <v>1</v>
      </c>
      <c r="D56" s="123">
        <v>0</v>
      </c>
      <c r="E56" s="123">
        <v>0</v>
      </c>
      <c r="F56" s="123">
        <v>0</v>
      </c>
      <c r="G56" s="123">
        <v>17</v>
      </c>
      <c r="H56" s="123">
        <v>16</v>
      </c>
      <c r="I56" s="123">
        <v>1</v>
      </c>
      <c r="J56" s="123">
        <v>0</v>
      </c>
      <c r="K56" s="123">
        <v>0</v>
      </c>
      <c r="L56" s="123">
        <v>0</v>
      </c>
      <c r="M56" s="123">
        <v>0</v>
      </c>
      <c r="N56" s="123">
        <v>0</v>
      </c>
      <c r="O56" s="123">
        <v>0</v>
      </c>
      <c r="P56" s="7" t="s">
        <v>163</v>
      </c>
      <c r="Q56" s="124"/>
    </row>
    <row r="57" spans="1:18" ht="12.75" customHeight="1" thickBot="1" x14ac:dyDescent="0.25">
      <c r="A57" s="123">
        <v>7</v>
      </c>
      <c r="B57" s="123">
        <v>3</v>
      </c>
      <c r="C57" s="123">
        <v>4</v>
      </c>
      <c r="D57" s="123">
        <v>0</v>
      </c>
      <c r="E57" s="123">
        <v>0</v>
      </c>
      <c r="F57" s="123">
        <v>0</v>
      </c>
      <c r="G57" s="123">
        <v>0</v>
      </c>
      <c r="H57" s="123">
        <v>0</v>
      </c>
      <c r="I57" s="123">
        <v>0</v>
      </c>
      <c r="J57" s="123">
        <v>2</v>
      </c>
      <c r="K57" s="123">
        <v>1</v>
      </c>
      <c r="L57" s="123">
        <v>1</v>
      </c>
      <c r="M57" s="123">
        <v>5</v>
      </c>
      <c r="N57" s="123">
        <v>2</v>
      </c>
      <c r="O57" s="123">
        <v>3</v>
      </c>
      <c r="P57" s="7" t="s">
        <v>162</v>
      </c>
      <c r="Q57" s="124" t="s">
        <v>337</v>
      </c>
    </row>
    <row r="58" spans="1:18" ht="12.75" customHeight="1" thickBot="1" x14ac:dyDescent="0.25">
      <c r="A58" s="123">
        <v>24</v>
      </c>
      <c r="B58" s="123">
        <v>19</v>
      </c>
      <c r="C58" s="123">
        <v>5</v>
      </c>
      <c r="D58" s="123">
        <v>0</v>
      </c>
      <c r="E58" s="123">
        <v>0</v>
      </c>
      <c r="F58" s="123">
        <v>0</v>
      </c>
      <c r="G58" s="123">
        <v>17</v>
      </c>
      <c r="H58" s="123">
        <v>16</v>
      </c>
      <c r="I58" s="123">
        <v>1</v>
      </c>
      <c r="J58" s="123">
        <v>2</v>
      </c>
      <c r="K58" s="123">
        <v>1</v>
      </c>
      <c r="L58" s="123">
        <v>1</v>
      </c>
      <c r="M58" s="123">
        <v>5</v>
      </c>
      <c r="N58" s="123">
        <v>2</v>
      </c>
      <c r="O58" s="123">
        <v>3</v>
      </c>
      <c r="P58" s="7" t="s">
        <v>13</v>
      </c>
      <c r="Q58" s="9"/>
    </row>
    <row r="59" spans="1:18" ht="12.75" customHeight="1" thickBot="1" x14ac:dyDescent="0.25">
      <c r="A59" s="123">
        <v>25</v>
      </c>
      <c r="B59" s="123">
        <v>7</v>
      </c>
      <c r="C59" s="123">
        <v>18</v>
      </c>
      <c r="D59" s="123">
        <v>0</v>
      </c>
      <c r="E59" s="123">
        <v>0</v>
      </c>
      <c r="F59" s="123">
        <v>0</v>
      </c>
      <c r="G59" s="123">
        <v>9</v>
      </c>
      <c r="H59" s="123">
        <v>4</v>
      </c>
      <c r="I59" s="123">
        <v>5</v>
      </c>
      <c r="J59" s="123">
        <v>4</v>
      </c>
      <c r="K59" s="123">
        <v>2</v>
      </c>
      <c r="L59" s="123">
        <v>2</v>
      </c>
      <c r="M59" s="123">
        <v>12</v>
      </c>
      <c r="N59" s="123">
        <v>1</v>
      </c>
      <c r="O59" s="123">
        <v>11</v>
      </c>
      <c r="P59" s="7" t="s">
        <v>163</v>
      </c>
      <c r="Q59" s="124"/>
    </row>
    <row r="60" spans="1:18" ht="12.75" customHeight="1" thickBot="1" x14ac:dyDescent="0.25">
      <c r="A60" s="123">
        <v>10</v>
      </c>
      <c r="B60" s="123">
        <v>0</v>
      </c>
      <c r="C60" s="123">
        <v>10</v>
      </c>
      <c r="D60" s="123">
        <v>0</v>
      </c>
      <c r="E60" s="123">
        <v>0</v>
      </c>
      <c r="F60" s="123">
        <v>0</v>
      </c>
      <c r="G60" s="123">
        <v>0</v>
      </c>
      <c r="H60" s="123">
        <v>0</v>
      </c>
      <c r="I60" s="123">
        <v>0</v>
      </c>
      <c r="J60" s="123">
        <v>3</v>
      </c>
      <c r="K60" s="123">
        <v>0</v>
      </c>
      <c r="L60" s="123">
        <v>3</v>
      </c>
      <c r="M60" s="123">
        <v>7</v>
      </c>
      <c r="N60" s="123">
        <v>0</v>
      </c>
      <c r="O60" s="123">
        <v>7</v>
      </c>
      <c r="P60" s="7" t="s">
        <v>162</v>
      </c>
      <c r="Q60" s="124" t="s">
        <v>338</v>
      </c>
    </row>
    <row r="61" spans="1:18" ht="12.75" customHeight="1" thickBot="1" x14ac:dyDescent="0.25">
      <c r="A61" s="123">
        <v>35</v>
      </c>
      <c r="B61" s="123">
        <v>7</v>
      </c>
      <c r="C61" s="123">
        <v>28</v>
      </c>
      <c r="D61" s="123">
        <v>0</v>
      </c>
      <c r="E61" s="123">
        <v>0</v>
      </c>
      <c r="F61" s="123">
        <v>0</v>
      </c>
      <c r="G61" s="123">
        <v>9</v>
      </c>
      <c r="H61" s="123">
        <v>4</v>
      </c>
      <c r="I61" s="123">
        <v>5</v>
      </c>
      <c r="J61" s="123">
        <v>7</v>
      </c>
      <c r="K61" s="123">
        <v>2</v>
      </c>
      <c r="L61" s="123">
        <v>5</v>
      </c>
      <c r="M61" s="123">
        <v>19</v>
      </c>
      <c r="N61" s="123">
        <v>1</v>
      </c>
      <c r="O61" s="123">
        <v>18</v>
      </c>
      <c r="P61" s="7" t="s">
        <v>13</v>
      </c>
      <c r="Q61" s="9"/>
    </row>
    <row r="62" spans="1:18" ht="12.75" customHeight="1" thickBot="1" x14ac:dyDescent="0.25">
      <c r="A62" s="123">
        <v>36</v>
      </c>
      <c r="B62" s="123">
        <v>36</v>
      </c>
      <c r="C62" s="123">
        <v>0</v>
      </c>
      <c r="D62" s="123">
        <v>0</v>
      </c>
      <c r="E62" s="123">
        <v>0</v>
      </c>
      <c r="F62" s="123">
        <v>0</v>
      </c>
      <c r="G62" s="123">
        <v>12</v>
      </c>
      <c r="H62" s="123">
        <v>12</v>
      </c>
      <c r="I62" s="123">
        <v>0</v>
      </c>
      <c r="J62" s="123">
        <v>11</v>
      </c>
      <c r="K62" s="123">
        <v>11</v>
      </c>
      <c r="L62" s="123">
        <v>0</v>
      </c>
      <c r="M62" s="123">
        <v>13</v>
      </c>
      <c r="N62" s="123">
        <v>13</v>
      </c>
      <c r="O62" s="123">
        <v>0</v>
      </c>
      <c r="P62" s="7" t="s">
        <v>163</v>
      </c>
      <c r="Q62" s="124"/>
    </row>
    <row r="63" spans="1:18" ht="12.75" customHeight="1" thickBot="1" x14ac:dyDescent="0.25">
      <c r="A63" s="123">
        <v>15</v>
      </c>
      <c r="B63" s="123">
        <v>14</v>
      </c>
      <c r="C63" s="123">
        <v>1</v>
      </c>
      <c r="D63" s="123">
        <v>0</v>
      </c>
      <c r="E63" s="123">
        <v>0</v>
      </c>
      <c r="F63" s="123">
        <v>0</v>
      </c>
      <c r="G63" s="123">
        <v>0</v>
      </c>
      <c r="H63" s="123">
        <v>0</v>
      </c>
      <c r="I63" s="123">
        <v>0</v>
      </c>
      <c r="J63" s="123">
        <v>0</v>
      </c>
      <c r="K63" s="123">
        <v>0</v>
      </c>
      <c r="L63" s="123">
        <v>0</v>
      </c>
      <c r="M63" s="123">
        <v>15</v>
      </c>
      <c r="N63" s="123">
        <v>14</v>
      </c>
      <c r="O63" s="123">
        <v>1</v>
      </c>
      <c r="P63" s="7" t="s">
        <v>162</v>
      </c>
      <c r="Q63" s="124" t="s">
        <v>578</v>
      </c>
    </row>
    <row r="64" spans="1:18" ht="12.75" customHeight="1" thickBot="1" x14ac:dyDescent="0.25">
      <c r="A64" s="123">
        <v>51</v>
      </c>
      <c r="B64" s="123">
        <v>50</v>
      </c>
      <c r="C64" s="123">
        <v>1</v>
      </c>
      <c r="D64" s="123">
        <v>0</v>
      </c>
      <c r="E64" s="123">
        <v>0</v>
      </c>
      <c r="F64" s="123">
        <v>0</v>
      </c>
      <c r="G64" s="123">
        <v>12</v>
      </c>
      <c r="H64" s="123">
        <v>12</v>
      </c>
      <c r="I64" s="123">
        <v>0</v>
      </c>
      <c r="J64" s="123">
        <v>11</v>
      </c>
      <c r="K64" s="123">
        <v>11</v>
      </c>
      <c r="L64" s="123">
        <v>0</v>
      </c>
      <c r="M64" s="123">
        <v>28</v>
      </c>
      <c r="N64" s="123">
        <v>27</v>
      </c>
      <c r="O64" s="123">
        <v>1</v>
      </c>
      <c r="P64" s="7" t="s">
        <v>13</v>
      </c>
      <c r="Q64" s="9"/>
    </row>
    <row r="65" spans="1:17" ht="12.75" customHeight="1" thickBot="1" x14ac:dyDescent="0.25">
      <c r="A65" s="123">
        <v>36</v>
      </c>
      <c r="B65" s="123">
        <v>32</v>
      </c>
      <c r="C65" s="123">
        <v>4</v>
      </c>
      <c r="D65" s="123">
        <v>2</v>
      </c>
      <c r="E65" s="123">
        <v>2</v>
      </c>
      <c r="F65" s="123">
        <v>0</v>
      </c>
      <c r="G65" s="123">
        <v>9</v>
      </c>
      <c r="H65" s="123">
        <v>5</v>
      </c>
      <c r="I65" s="123">
        <v>4</v>
      </c>
      <c r="J65" s="123">
        <v>18</v>
      </c>
      <c r="K65" s="123">
        <v>18</v>
      </c>
      <c r="L65" s="123">
        <v>0</v>
      </c>
      <c r="M65" s="123">
        <v>7</v>
      </c>
      <c r="N65" s="123">
        <v>7</v>
      </c>
      <c r="O65" s="123">
        <v>0</v>
      </c>
      <c r="P65" s="7" t="s">
        <v>163</v>
      </c>
      <c r="Q65" s="124"/>
    </row>
    <row r="66" spans="1:17" ht="12.75" customHeight="1" thickBot="1" x14ac:dyDescent="0.25">
      <c r="A66" s="123">
        <v>18</v>
      </c>
      <c r="B66" s="123">
        <v>15</v>
      </c>
      <c r="C66" s="123">
        <v>3</v>
      </c>
      <c r="D66" s="123">
        <v>0</v>
      </c>
      <c r="E66" s="123">
        <v>0</v>
      </c>
      <c r="F66" s="123">
        <v>0</v>
      </c>
      <c r="G66" s="123">
        <v>0</v>
      </c>
      <c r="H66" s="123">
        <v>0</v>
      </c>
      <c r="I66" s="123">
        <v>0</v>
      </c>
      <c r="J66" s="123">
        <v>0</v>
      </c>
      <c r="K66" s="123">
        <v>0</v>
      </c>
      <c r="L66" s="123">
        <v>0</v>
      </c>
      <c r="M66" s="123">
        <v>18</v>
      </c>
      <c r="N66" s="123">
        <v>15</v>
      </c>
      <c r="O66" s="123">
        <v>3</v>
      </c>
      <c r="P66" s="7" t="s">
        <v>162</v>
      </c>
      <c r="Q66" s="124" t="s">
        <v>340</v>
      </c>
    </row>
    <row r="67" spans="1:17" ht="12.75" customHeight="1" thickBot="1" x14ac:dyDescent="0.25">
      <c r="A67" s="123">
        <v>54</v>
      </c>
      <c r="B67" s="123">
        <v>47</v>
      </c>
      <c r="C67" s="123">
        <v>7</v>
      </c>
      <c r="D67" s="123">
        <v>2</v>
      </c>
      <c r="E67" s="123">
        <v>2</v>
      </c>
      <c r="F67" s="123">
        <v>0</v>
      </c>
      <c r="G67" s="123">
        <v>9</v>
      </c>
      <c r="H67" s="123">
        <v>5</v>
      </c>
      <c r="I67" s="123">
        <v>4</v>
      </c>
      <c r="J67" s="123">
        <v>18</v>
      </c>
      <c r="K67" s="123">
        <v>18</v>
      </c>
      <c r="L67" s="123">
        <v>0</v>
      </c>
      <c r="M67" s="123">
        <v>25</v>
      </c>
      <c r="N67" s="123">
        <v>22</v>
      </c>
      <c r="O67" s="123">
        <v>3</v>
      </c>
      <c r="P67" s="7" t="s">
        <v>13</v>
      </c>
      <c r="Q67" s="9"/>
    </row>
    <row r="68" spans="1:17" ht="12.75" customHeight="1" thickBot="1" x14ac:dyDescent="0.25">
      <c r="A68" s="123">
        <v>22</v>
      </c>
      <c r="B68" s="123">
        <v>22</v>
      </c>
      <c r="C68" s="123">
        <v>0</v>
      </c>
      <c r="D68" s="123">
        <v>0</v>
      </c>
      <c r="E68" s="123">
        <v>0</v>
      </c>
      <c r="F68" s="123">
        <v>0</v>
      </c>
      <c r="G68" s="123">
        <v>21</v>
      </c>
      <c r="H68" s="123">
        <v>21</v>
      </c>
      <c r="I68" s="123">
        <v>0</v>
      </c>
      <c r="J68" s="123">
        <v>1</v>
      </c>
      <c r="K68" s="123">
        <v>1</v>
      </c>
      <c r="L68" s="123">
        <v>0</v>
      </c>
      <c r="M68" s="123">
        <v>0</v>
      </c>
      <c r="N68" s="123">
        <v>0</v>
      </c>
      <c r="O68" s="123">
        <v>0</v>
      </c>
      <c r="P68" s="7" t="s">
        <v>163</v>
      </c>
      <c r="Q68" s="124"/>
    </row>
    <row r="69" spans="1:17" ht="12.75" customHeight="1" thickBot="1" x14ac:dyDescent="0.25">
      <c r="A69" s="123">
        <v>42</v>
      </c>
      <c r="B69" s="123">
        <v>32</v>
      </c>
      <c r="C69" s="123">
        <v>10</v>
      </c>
      <c r="D69" s="123">
        <v>0</v>
      </c>
      <c r="E69" s="123">
        <v>0</v>
      </c>
      <c r="F69" s="123">
        <v>0</v>
      </c>
      <c r="G69" s="123">
        <v>0</v>
      </c>
      <c r="H69" s="123">
        <v>0</v>
      </c>
      <c r="I69" s="123">
        <v>0</v>
      </c>
      <c r="J69" s="123">
        <v>20</v>
      </c>
      <c r="K69" s="123">
        <v>19</v>
      </c>
      <c r="L69" s="123">
        <v>1</v>
      </c>
      <c r="M69" s="123">
        <v>22</v>
      </c>
      <c r="N69" s="123">
        <v>13</v>
      </c>
      <c r="O69" s="123">
        <v>9</v>
      </c>
      <c r="P69" s="7" t="s">
        <v>162</v>
      </c>
      <c r="Q69" s="124" t="s">
        <v>341</v>
      </c>
    </row>
    <row r="70" spans="1:17" ht="12.75" customHeight="1" thickBot="1" x14ac:dyDescent="0.25">
      <c r="A70" s="123">
        <v>64</v>
      </c>
      <c r="B70" s="123">
        <v>54</v>
      </c>
      <c r="C70" s="123">
        <v>10</v>
      </c>
      <c r="D70" s="123">
        <v>0</v>
      </c>
      <c r="E70" s="123">
        <v>0</v>
      </c>
      <c r="F70" s="123">
        <v>0</v>
      </c>
      <c r="G70" s="123">
        <v>21</v>
      </c>
      <c r="H70" s="123">
        <v>21</v>
      </c>
      <c r="I70" s="123">
        <v>0</v>
      </c>
      <c r="J70" s="123">
        <v>21</v>
      </c>
      <c r="K70" s="123">
        <v>20</v>
      </c>
      <c r="L70" s="123">
        <v>1</v>
      </c>
      <c r="M70" s="123">
        <v>22</v>
      </c>
      <c r="N70" s="123">
        <v>13</v>
      </c>
      <c r="O70" s="123">
        <v>9</v>
      </c>
      <c r="P70" s="7" t="s">
        <v>13</v>
      </c>
      <c r="Q70" s="9"/>
    </row>
    <row r="71" spans="1:17" ht="12.75" customHeight="1" thickBot="1" x14ac:dyDescent="0.25">
      <c r="A71" s="123">
        <v>65</v>
      </c>
      <c r="B71" s="123">
        <v>0</v>
      </c>
      <c r="C71" s="123">
        <v>65</v>
      </c>
      <c r="D71" s="123">
        <v>0</v>
      </c>
      <c r="E71" s="123">
        <v>0</v>
      </c>
      <c r="F71" s="123">
        <v>0</v>
      </c>
      <c r="G71" s="123">
        <v>12</v>
      </c>
      <c r="H71" s="123">
        <v>0</v>
      </c>
      <c r="I71" s="123">
        <v>12</v>
      </c>
      <c r="J71" s="123">
        <v>29</v>
      </c>
      <c r="K71" s="123">
        <v>0</v>
      </c>
      <c r="L71" s="123">
        <v>29</v>
      </c>
      <c r="M71" s="123">
        <v>24</v>
      </c>
      <c r="N71" s="123">
        <v>0</v>
      </c>
      <c r="O71" s="123">
        <v>24</v>
      </c>
      <c r="P71" s="7" t="s">
        <v>163</v>
      </c>
      <c r="Q71" s="124"/>
    </row>
    <row r="72" spans="1:17" ht="12.75" customHeight="1" thickBot="1" x14ac:dyDescent="0.25">
      <c r="A72" s="123">
        <v>76</v>
      </c>
      <c r="B72" s="123">
        <v>0</v>
      </c>
      <c r="C72" s="123">
        <v>76</v>
      </c>
      <c r="D72" s="123">
        <v>3</v>
      </c>
      <c r="E72" s="123">
        <v>0</v>
      </c>
      <c r="F72" s="123">
        <v>3</v>
      </c>
      <c r="G72" s="123">
        <v>5</v>
      </c>
      <c r="H72" s="123">
        <v>0</v>
      </c>
      <c r="I72" s="123">
        <v>5</v>
      </c>
      <c r="J72" s="123">
        <v>13</v>
      </c>
      <c r="K72" s="123">
        <v>0</v>
      </c>
      <c r="L72" s="123">
        <v>13</v>
      </c>
      <c r="M72" s="123">
        <v>55</v>
      </c>
      <c r="N72" s="123">
        <v>0</v>
      </c>
      <c r="O72" s="123">
        <v>55</v>
      </c>
      <c r="P72" s="7" t="s">
        <v>162</v>
      </c>
      <c r="Q72" s="124" t="s">
        <v>239</v>
      </c>
    </row>
    <row r="73" spans="1:17" ht="12.75" customHeight="1" thickBot="1" x14ac:dyDescent="0.25">
      <c r="A73" s="123">
        <v>141</v>
      </c>
      <c r="B73" s="123">
        <v>0</v>
      </c>
      <c r="C73" s="123">
        <v>141</v>
      </c>
      <c r="D73" s="123">
        <v>3</v>
      </c>
      <c r="E73" s="123">
        <v>0</v>
      </c>
      <c r="F73" s="123">
        <v>3</v>
      </c>
      <c r="G73" s="123">
        <v>17</v>
      </c>
      <c r="H73" s="123">
        <v>0</v>
      </c>
      <c r="I73" s="123">
        <v>17</v>
      </c>
      <c r="J73" s="123">
        <v>42</v>
      </c>
      <c r="K73" s="123">
        <v>0</v>
      </c>
      <c r="L73" s="123">
        <v>42</v>
      </c>
      <c r="M73" s="123">
        <v>79</v>
      </c>
      <c r="N73" s="123">
        <v>0</v>
      </c>
      <c r="O73" s="123">
        <v>79</v>
      </c>
      <c r="P73" s="7" t="s">
        <v>13</v>
      </c>
      <c r="Q73" s="9"/>
    </row>
    <row r="74" spans="1:17" ht="12.75" customHeight="1" thickBot="1" x14ac:dyDescent="0.25">
      <c r="A74" s="123">
        <v>16</v>
      </c>
      <c r="B74" s="123">
        <v>16</v>
      </c>
      <c r="C74" s="123">
        <v>0</v>
      </c>
      <c r="D74" s="123">
        <v>8</v>
      </c>
      <c r="E74" s="123">
        <v>8</v>
      </c>
      <c r="F74" s="123">
        <v>0</v>
      </c>
      <c r="G74" s="123">
        <v>6</v>
      </c>
      <c r="H74" s="123">
        <v>6</v>
      </c>
      <c r="I74" s="123">
        <v>0</v>
      </c>
      <c r="J74" s="123">
        <v>2</v>
      </c>
      <c r="K74" s="123">
        <v>2</v>
      </c>
      <c r="L74" s="123">
        <v>0</v>
      </c>
      <c r="M74" s="123">
        <v>0</v>
      </c>
      <c r="N74" s="123">
        <v>0</v>
      </c>
      <c r="O74" s="123">
        <v>0</v>
      </c>
      <c r="P74" s="7" t="s">
        <v>163</v>
      </c>
      <c r="Q74" s="124"/>
    </row>
    <row r="75" spans="1:17" ht="12.75" customHeight="1" thickBot="1" x14ac:dyDescent="0.25">
      <c r="A75" s="123">
        <v>47</v>
      </c>
      <c r="B75" s="123">
        <v>41</v>
      </c>
      <c r="C75" s="123">
        <v>6</v>
      </c>
      <c r="D75" s="123">
        <v>0</v>
      </c>
      <c r="E75" s="123">
        <v>0</v>
      </c>
      <c r="F75" s="123">
        <v>0</v>
      </c>
      <c r="G75" s="123">
        <v>0</v>
      </c>
      <c r="H75" s="123">
        <v>0</v>
      </c>
      <c r="I75" s="123">
        <v>0</v>
      </c>
      <c r="J75" s="123">
        <v>30</v>
      </c>
      <c r="K75" s="123">
        <v>29</v>
      </c>
      <c r="L75" s="123">
        <v>1</v>
      </c>
      <c r="M75" s="123">
        <v>17</v>
      </c>
      <c r="N75" s="123">
        <v>12</v>
      </c>
      <c r="O75" s="123">
        <v>5</v>
      </c>
      <c r="P75" s="7" t="s">
        <v>162</v>
      </c>
      <c r="Q75" s="124" t="s">
        <v>622</v>
      </c>
    </row>
    <row r="76" spans="1:17" ht="12.75" customHeight="1" thickBot="1" x14ac:dyDescent="0.25">
      <c r="A76" s="123">
        <v>63</v>
      </c>
      <c r="B76" s="123">
        <v>57</v>
      </c>
      <c r="C76" s="123">
        <v>6</v>
      </c>
      <c r="D76" s="123">
        <v>8</v>
      </c>
      <c r="E76" s="123">
        <v>8</v>
      </c>
      <c r="F76" s="123">
        <v>0</v>
      </c>
      <c r="G76" s="123">
        <v>6</v>
      </c>
      <c r="H76" s="123">
        <v>6</v>
      </c>
      <c r="I76" s="123">
        <v>0</v>
      </c>
      <c r="J76" s="123">
        <v>32</v>
      </c>
      <c r="K76" s="123">
        <v>31</v>
      </c>
      <c r="L76" s="123">
        <v>1</v>
      </c>
      <c r="M76" s="123">
        <v>17</v>
      </c>
      <c r="N76" s="123">
        <v>12</v>
      </c>
      <c r="O76" s="123">
        <v>5</v>
      </c>
      <c r="P76" s="7" t="s">
        <v>13</v>
      </c>
      <c r="Q76" s="9"/>
    </row>
    <row r="77" spans="1:17" ht="12.75" customHeight="1" thickBot="1" x14ac:dyDescent="0.25">
      <c r="A77" s="123">
        <v>67</v>
      </c>
      <c r="B77" s="123">
        <v>67</v>
      </c>
      <c r="C77" s="123">
        <v>0</v>
      </c>
      <c r="D77" s="123">
        <v>0</v>
      </c>
      <c r="E77" s="123">
        <v>0</v>
      </c>
      <c r="F77" s="123">
        <v>0</v>
      </c>
      <c r="G77" s="123">
        <v>32</v>
      </c>
      <c r="H77" s="123">
        <v>32</v>
      </c>
      <c r="I77" s="123">
        <v>0</v>
      </c>
      <c r="J77" s="123">
        <v>27</v>
      </c>
      <c r="K77" s="123">
        <v>27</v>
      </c>
      <c r="L77" s="123">
        <v>0</v>
      </c>
      <c r="M77" s="123">
        <v>8</v>
      </c>
      <c r="N77" s="123">
        <v>8</v>
      </c>
      <c r="O77" s="123">
        <v>0</v>
      </c>
      <c r="P77" s="7" t="s">
        <v>163</v>
      </c>
      <c r="Q77" s="124"/>
    </row>
    <row r="78" spans="1:17" ht="12.75" customHeight="1" thickBot="1" x14ac:dyDescent="0.25">
      <c r="A78" s="123">
        <v>15</v>
      </c>
      <c r="B78" s="123">
        <v>12</v>
      </c>
      <c r="C78" s="123">
        <v>3</v>
      </c>
      <c r="D78" s="123">
        <v>0</v>
      </c>
      <c r="E78" s="123">
        <v>0</v>
      </c>
      <c r="F78" s="123">
        <v>0</v>
      </c>
      <c r="G78" s="123">
        <v>0</v>
      </c>
      <c r="H78" s="123">
        <v>0</v>
      </c>
      <c r="I78" s="123">
        <v>0</v>
      </c>
      <c r="J78" s="123">
        <v>0</v>
      </c>
      <c r="K78" s="123">
        <v>0</v>
      </c>
      <c r="L78" s="123">
        <v>0</v>
      </c>
      <c r="M78" s="123">
        <v>15</v>
      </c>
      <c r="N78" s="123">
        <v>12</v>
      </c>
      <c r="O78" s="123">
        <v>3</v>
      </c>
      <c r="P78" s="7" t="s">
        <v>162</v>
      </c>
      <c r="Q78" s="124" t="s">
        <v>623</v>
      </c>
    </row>
    <row r="79" spans="1:17" ht="12.75" customHeight="1" thickBot="1" x14ac:dyDescent="0.25">
      <c r="A79" s="123">
        <v>82</v>
      </c>
      <c r="B79" s="123">
        <v>79</v>
      </c>
      <c r="C79" s="123">
        <v>3</v>
      </c>
      <c r="D79" s="123">
        <v>0</v>
      </c>
      <c r="E79" s="123">
        <v>0</v>
      </c>
      <c r="F79" s="123">
        <v>0</v>
      </c>
      <c r="G79" s="123">
        <v>32</v>
      </c>
      <c r="H79" s="123">
        <v>32</v>
      </c>
      <c r="I79" s="123">
        <v>0</v>
      </c>
      <c r="J79" s="123">
        <v>27</v>
      </c>
      <c r="K79" s="123">
        <v>27</v>
      </c>
      <c r="L79" s="123">
        <v>0</v>
      </c>
      <c r="M79" s="123">
        <v>23</v>
      </c>
      <c r="N79" s="123">
        <v>20</v>
      </c>
      <c r="O79" s="123">
        <v>3</v>
      </c>
      <c r="P79" s="7" t="s">
        <v>13</v>
      </c>
      <c r="Q79" s="9"/>
    </row>
    <row r="80" spans="1:17" ht="12.75" customHeight="1" thickBot="1" x14ac:dyDescent="0.25">
      <c r="A80" s="123">
        <v>175</v>
      </c>
      <c r="B80" s="123">
        <v>173</v>
      </c>
      <c r="C80" s="123">
        <v>2</v>
      </c>
      <c r="D80" s="123">
        <v>15</v>
      </c>
      <c r="E80" s="123">
        <v>14</v>
      </c>
      <c r="F80" s="123">
        <v>1</v>
      </c>
      <c r="G80" s="123">
        <v>24</v>
      </c>
      <c r="H80" s="123">
        <v>24</v>
      </c>
      <c r="I80" s="123">
        <v>0</v>
      </c>
      <c r="J80" s="123">
        <v>79</v>
      </c>
      <c r="K80" s="123">
        <v>78</v>
      </c>
      <c r="L80" s="123">
        <v>1</v>
      </c>
      <c r="M80" s="123">
        <v>57</v>
      </c>
      <c r="N80" s="123">
        <v>57</v>
      </c>
      <c r="O80" s="123">
        <v>0</v>
      </c>
      <c r="P80" s="7" t="s">
        <v>163</v>
      </c>
      <c r="Q80" s="124"/>
    </row>
    <row r="81" spans="1:18" ht="12.75" customHeight="1" thickBot="1" x14ac:dyDescent="0.25">
      <c r="A81" s="123">
        <v>12</v>
      </c>
      <c r="B81" s="123">
        <v>3</v>
      </c>
      <c r="C81" s="123">
        <v>9</v>
      </c>
      <c r="D81" s="123">
        <v>0</v>
      </c>
      <c r="E81" s="123">
        <v>0</v>
      </c>
      <c r="F81" s="123">
        <v>0</v>
      </c>
      <c r="G81" s="123">
        <v>0</v>
      </c>
      <c r="H81" s="123">
        <v>0</v>
      </c>
      <c r="I81" s="123">
        <v>0</v>
      </c>
      <c r="J81" s="123">
        <v>0</v>
      </c>
      <c r="K81" s="123">
        <v>0</v>
      </c>
      <c r="L81" s="123">
        <v>0</v>
      </c>
      <c r="M81" s="123">
        <v>12</v>
      </c>
      <c r="N81" s="123">
        <v>3</v>
      </c>
      <c r="O81" s="123">
        <v>9</v>
      </c>
      <c r="P81" s="7" t="s">
        <v>162</v>
      </c>
      <c r="Q81" s="124" t="s">
        <v>345</v>
      </c>
    </row>
    <row r="82" spans="1:18" ht="12.75" customHeight="1" thickBot="1" x14ac:dyDescent="0.25">
      <c r="A82" s="123">
        <v>187</v>
      </c>
      <c r="B82" s="123">
        <v>176</v>
      </c>
      <c r="C82" s="123">
        <v>11</v>
      </c>
      <c r="D82" s="123">
        <v>15</v>
      </c>
      <c r="E82" s="123">
        <v>14</v>
      </c>
      <c r="F82" s="123">
        <v>1</v>
      </c>
      <c r="G82" s="123">
        <v>24</v>
      </c>
      <c r="H82" s="123">
        <v>24</v>
      </c>
      <c r="I82" s="123">
        <v>0</v>
      </c>
      <c r="J82" s="123">
        <v>79</v>
      </c>
      <c r="K82" s="123">
        <v>78</v>
      </c>
      <c r="L82" s="123">
        <v>1</v>
      </c>
      <c r="M82" s="123">
        <v>69</v>
      </c>
      <c r="N82" s="123">
        <v>60</v>
      </c>
      <c r="O82" s="123">
        <v>9</v>
      </c>
      <c r="P82" s="7" t="s">
        <v>13</v>
      </c>
      <c r="Q82" s="9"/>
    </row>
    <row r="83" spans="1:18" ht="12.75" customHeight="1" thickBot="1" x14ac:dyDescent="0.25">
      <c r="A83" s="123">
        <v>175</v>
      </c>
      <c r="B83" s="123">
        <v>173</v>
      </c>
      <c r="C83" s="123">
        <v>2</v>
      </c>
      <c r="D83" s="123">
        <v>15</v>
      </c>
      <c r="E83" s="123">
        <v>14</v>
      </c>
      <c r="F83" s="123">
        <v>1</v>
      </c>
      <c r="G83" s="123">
        <v>24</v>
      </c>
      <c r="H83" s="123">
        <v>24</v>
      </c>
      <c r="I83" s="123">
        <v>0</v>
      </c>
      <c r="J83" s="123">
        <v>79</v>
      </c>
      <c r="K83" s="123">
        <v>78</v>
      </c>
      <c r="L83" s="123">
        <v>1</v>
      </c>
      <c r="M83" s="123">
        <v>57</v>
      </c>
      <c r="N83" s="123">
        <v>57</v>
      </c>
      <c r="O83" s="123">
        <v>0</v>
      </c>
      <c r="P83" s="7" t="s">
        <v>163</v>
      </c>
      <c r="Q83" s="124"/>
    </row>
    <row r="84" spans="1:18" ht="12.75" customHeight="1" thickBot="1" x14ac:dyDescent="0.25">
      <c r="A84" s="123">
        <v>12</v>
      </c>
      <c r="B84" s="123">
        <v>3</v>
      </c>
      <c r="C84" s="123">
        <v>9</v>
      </c>
      <c r="D84" s="123">
        <v>0</v>
      </c>
      <c r="E84" s="123">
        <v>0</v>
      </c>
      <c r="F84" s="123">
        <v>0</v>
      </c>
      <c r="G84" s="123">
        <v>0</v>
      </c>
      <c r="H84" s="123">
        <v>0</v>
      </c>
      <c r="I84" s="123">
        <v>0</v>
      </c>
      <c r="J84" s="123">
        <v>0</v>
      </c>
      <c r="K84" s="123">
        <v>0</v>
      </c>
      <c r="L84" s="123">
        <v>0</v>
      </c>
      <c r="M84" s="123">
        <v>12</v>
      </c>
      <c r="N84" s="123">
        <v>3</v>
      </c>
      <c r="O84" s="123">
        <v>9</v>
      </c>
      <c r="P84" s="7" t="s">
        <v>162</v>
      </c>
      <c r="Q84" s="124" t="s">
        <v>624</v>
      </c>
    </row>
    <row r="85" spans="1:18" ht="12.75" customHeight="1" thickBot="1" x14ac:dyDescent="0.25">
      <c r="A85" s="123">
        <v>187</v>
      </c>
      <c r="B85" s="123">
        <v>176</v>
      </c>
      <c r="C85" s="123">
        <v>11</v>
      </c>
      <c r="D85" s="123">
        <v>15</v>
      </c>
      <c r="E85" s="123">
        <v>14</v>
      </c>
      <c r="F85" s="123">
        <v>1</v>
      </c>
      <c r="G85" s="123">
        <v>24</v>
      </c>
      <c r="H85" s="123">
        <v>24</v>
      </c>
      <c r="I85" s="123">
        <v>0</v>
      </c>
      <c r="J85" s="123">
        <v>79</v>
      </c>
      <c r="K85" s="123">
        <v>78</v>
      </c>
      <c r="L85" s="123">
        <v>1</v>
      </c>
      <c r="M85" s="123">
        <v>69</v>
      </c>
      <c r="N85" s="123">
        <v>60</v>
      </c>
      <c r="O85" s="123">
        <v>9</v>
      </c>
      <c r="P85" s="7" t="s">
        <v>13</v>
      </c>
      <c r="Q85" s="9"/>
    </row>
    <row r="86" spans="1:18" ht="12.75" customHeight="1" thickBot="1" x14ac:dyDescent="0.25">
      <c r="A86" s="123">
        <v>2179</v>
      </c>
      <c r="B86" s="123">
        <v>1053</v>
      </c>
      <c r="C86" s="123">
        <v>1126</v>
      </c>
      <c r="D86" s="123">
        <v>45</v>
      </c>
      <c r="E86" s="123">
        <v>38</v>
      </c>
      <c r="F86" s="123">
        <v>7</v>
      </c>
      <c r="G86" s="123">
        <v>625</v>
      </c>
      <c r="H86" s="123">
        <v>376</v>
      </c>
      <c r="I86" s="123">
        <v>249</v>
      </c>
      <c r="J86" s="123">
        <v>554</v>
      </c>
      <c r="K86" s="123">
        <v>348</v>
      </c>
      <c r="L86" s="123">
        <v>206</v>
      </c>
      <c r="M86" s="123">
        <v>955</v>
      </c>
      <c r="N86" s="123">
        <v>291</v>
      </c>
      <c r="O86" s="123">
        <v>664</v>
      </c>
      <c r="P86" s="7" t="s">
        <v>163</v>
      </c>
      <c r="Q86" s="3"/>
    </row>
    <row r="87" spans="1:18" ht="12.75" customHeight="1" thickBot="1" x14ac:dyDescent="0.25">
      <c r="A87" s="123">
        <v>661</v>
      </c>
      <c r="B87" s="123">
        <v>176</v>
      </c>
      <c r="C87" s="123">
        <v>485</v>
      </c>
      <c r="D87" s="123">
        <v>16</v>
      </c>
      <c r="E87" s="123">
        <v>4</v>
      </c>
      <c r="F87" s="123">
        <v>12</v>
      </c>
      <c r="G87" s="123">
        <v>17</v>
      </c>
      <c r="H87" s="123">
        <v>0</v>
      </c>
      <c r="I87" s="123">
        <v>17</v>
      </c>
      <c r="J87" s="123">
        <v>145</v>
      </c>
      <c r="K87" s="123">
        <v>59</v>
      </c>
      <c r="L87" s="123">
        <v>86</v>
      </c>
      <c r="M87" s="123">
        <v>483</v>
      </c>
      <c r="N87" s="123">
        <v>113</v>
      </c>
      <c r="O87" s="123">
        <v>370</v>
      </c>
      <c r="P87" s="7" t="s">
        <v>162</v>
      </c>
      <c r="Q87" s="11" t="s">
        <v>211</v>
      </c>
    </row>
    <row r="88" spans="1:18" ht="12.75" customHeight="1" thickBot="1" x14ac:dyDescent="0.25">
      <c r="A88" s="123">
        <v>2840</v>
      </c>
      <c r="B88" s="123">
        <v>1229</v>
      </c>
      <c r="C88" s="123">
        <v>1611</v>
      </c>
      <c r="D88" s="123">
        <v>61</v>
      </c>
      <c r="E88" s="123">
        <v>42</v>
      </c>
      <c r="F88" s="123">
        <v>19</v>
      </c>
      <c r="G88" s="123">
        <v>642</v>
      </c>
      <c r="H88" s="123">
        <v>376</v>
      </c>
      <c r="I88" s="123">
        <v>266</v>
      </c>
      <c r="J88" s="123">
        <v>699</v>
      </c>
      <c r="K88" s="123">
        <v>407</v>
      </c>
      <c r="L88" s="123">
        <v>292</v>
      </c>
      <c r="M88" s="123">
        <v>1438</v>
      </c>
      <c r="N88" s="123">
        <v>404</v>
      </c>
      <c r="O88" s="123">
        <v>1034</v>
      </c>
      <c r="P88" s="7" t="s">
        <v>13</v>
      </c>
      <c r="Q88" s="5"/>
    </row>
    <row r="89" spans="1:18" ht="18" customHeight="1" x14ac:dyDescent="0.2">
      <c r="A89" s="207"/>
      <c r="B89" s="207"/>
      <c r="C89" s="207"/>
      <c r="D89" s="207"/>
      <c r="E89" s="207"/>
      <c r="F89" s="207"/>
      <c r="G89" s="207"/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1"/>
    </row>
    <row r="90" spans="1:18" ht="18" customHeight="1" x14ac:dyDescent="0.2">
      <c r="A90" s="159" t="s">
        <v>643</v>
      </c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"/>
    </row>
    <row r="91" spans="1:18" ht="18" customHeight="1" thickBot="1" x14ac:dyDescent="0.25">
      <c r="A91" s="160" t="s">
        <v>644</v>
      </c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  <c r="N91" s="160"/>
      <c r="O91" s="160"/>
      <c r="P91" s="160"/>
      <c r="Q91" s="160"/>
      <c r="R91" s="1"/>
    </row>
    <row r="92" spans="1:18" ht="13.5" thickBot="1" x14ac:dyDescent="0.25">
      <c r="A92" s="204" t="s">
        <v>5</v>
      </c>
      <c r="B92" s="204"/>
      <c r="C92" s="204"/>
      <c r="D92" s="204" t="s">
        <v>57</v>
      </c>
      <c r="E92" s="204"/>
      <c r="F92" s="204"/>
      <c r="G92" s="204" t="s">
        <v>65</v>
      </c>
      <c r="H92" s="204"/>
      <c r="I92" s="204"/>
      <c r="J92" s="204" t="s">
        <v>62</v>
      </c>
      <c r="K92" s="204"/>
      <c r="L92" s="204"/>
      <c r="M92" s="204" t="s">
        <v>61</v>
      </c>
      <c r="N92" s="204"/>
      <c r="O92" s="204"/>
      <c r="P92" s="205" t="s">
        <v>645</v>
      </c>
      <c r="Q92" s="47" t="s">
        <v>161</v>
      </c>
      <c r="R92" s="1"/>
    </row>
    <row r="93" spans="1:18" ht="13.5" thickBot="1" x14ac:dyDescent="0.25">
      <c r="A93" s="47" t="s">
        <v>216</v>
      </c>
      <c r="B93" s="47" t="s">
        <v>11</v>
      </c>
      <c r="C93" s="47" t="s">
        <v>10</v>
      </c>
      <c r="D93" s="47" t="s">
        <v>216</v>
      </c>
      <c r="E93" s="47" t="s">
        <v>11</v>
      </c>
      <c r="F93" s="47" t="s">
        <v>10</v>
      </c>
      <c r="G93" s="47" t="s">
        <v>216</v>
      </c>
      <c r="H93" s="47" t="s">
        <v>11</v>
      </c>
      <c r="I93" s="47" t="s">
        <v>10</v>
      </c>
      <c r="J93" s="47" t="s">
        <v>216</v>
      </c>
      <c r="K93" s="47" t="s">
        <v>11</v>
      </c>
      <c r="L93" s="47" t="s">
        <v>10</v>
      </c>
      <c r="M93" s="47" t="s">
        <v>216</v>
      </c>
      <c r="N93" s="47" t="s">
        <v>11</v>
      </c>
      <c r="O93" s="47" t="s">
        <v>10</v>
      </c>
      <c r="P93" s="206"/>
      <c r="Q93" s="5" t="s">
        <v>164</v>
      </c>
      <c r="R93" s="1"/>
    </row>
    <row r="94" spans="1:18" ht="13.5" thickBot="1" x14ac:dyDescent="0.25">
      <c r="A94" s="123">
        <v>66</v>
      </c>
      <c r="B94" s="123">
        <v>0</v>
      </c>
      <c r="C94" s="123">
        <v>66</v>
      </c>
      <c r="D94" s="123">
        <v>0</v>
      </c>
      <c r="E94" s="123">
        <v>0</v>
      </c>
      <c r="F94" s="123">
        <v>0</v>
      </c>
      <c r="G94" s="123">
        <v>16</v>
      </c>
      <c r="H94" s="123">
        <v>0</v>
      </c>
      <c r="I94" s="123">
        <v>16</v>
      </c>
      <c r="J94" s="123">
        <v>10</v>
      </c>
      <c r="K94" s="123">
        <v>0</v>
      </c>
      <c r="L94" s="123">
        <v>10</v>
      </c>
      <c r="M94" s="123">
        <v>40</v>
      </c>
      <c r="N94" s="123">
        <v>0</v>
      </c>
      <c r="O94" s="123">
        <v>40</v>
      </c>
      <c r="P94" s="7" t="s">
        <v>163</v>
      </c>
      <c r="Q94" s="124"/>
      <c r="R94" s="1"/>
    </row>
    <row r="95" spans="1:18" ht="13.5" thickBot="1" x14ac:dyDescent="0.25">
      <c r="A95" s="123">
        <v>7</v>
      </c>
      <c r="B95" s="123">
        <v>0</v>
      </c>
      <c r="C95" s="123">
        <v>7</v>
      </c>
      <c r="D95" s="123">
        <v>0</v>
      </c>
      <c r="E95" s="123">
        <v>0</v>
      </c>
      <c r="F95" s="123">
        <v>0</v>
      </c>
      <c r="G95" s="123">
        <v>0</v>
      </c>
      <c r="H95" s="123">
        <v>0</v>
      </c>
      <c r="I95" s="123">
        <v>0</v>
      </c>
      <c r="J95" s="123">
        <v>0</v>
      </c>
      <c r="K95" s="123">
        <v>0</v>
      </c>
      <c r="L95" s="123">
        <v>0</v>
      </c>
      <c r="M95" s="123">
        <v>7</v>
      </c>
      <c r="N95" s="123">
        <v>0</v>
      </c>
      <c r="O95" s="123">
        <v>7</v>
      </c>
      <c r="P95" s="7" t="s">
        <v>162</v>
      </c>
      <c r="Q95" s="124" t="s">
        <v>346</v>
      </c>
      <c r="R95" s="1"/>
    </row>
    <row r="96" spans="1:18" ht="13.5" thickBot="1" x14ac:dyDescent="0.25">
      <c r="A96" s="123">
        <v>73</v>
      </c>
      <c r="B96" s="123">
        <v>0</v>
      </c>
      <c r="C96" s="123">
        <v>73</v>
      </c>
      <c r="D96" s="123">
        <v>0</v>
      </c>
      <c r="E96" s="123">
        <v>0</v>
      </c>
      <c r="F96" s="123">
        <v>0</v>
      </c>
      <c r="G96" s="123">
        <v>16</v>
      </c>
      <c r="H96" s="123">
        <v>0</v>
      </c>
      <c r="I96" s="123">
        <v>16</v>
      </c>
      <c r="J96" s="123">
        <v>10</v>
      </c>
      <c r="K96" s="123">
        <v>0</v>
      </c>
      <c r="L96" s="123">
        <v>10</v>
      </c>
      <c r="M96" s="123">
        <v>47</v>
      </c>
      <c r="N96" s="123">
        <v>0</v>
      </c>
      <c r="O96" s="123">
        <v>47</v>
      </c>
      <c r="P96" s="7" t="s">
        <v>13</v>
      </c>
      <c r="Q96" s="9"/>
      <c r="R96" s="1"/>
    </row>
    <row r="97" spans="1:18" ht="13.5" thickBot="1" x14ac:dyDescent="0.25">
      <c r="A97" s="123">
        <v>74</v>
      </c>
      <c r="B97" s="123">
        <v>0</v>
      </c>
      <c r="C97" s="123">
        <v>74</v>
      </c>
      <c r="D97" s="123">
        <v>0</v>
      </c>
      <c r="E97" s="123">
        <v>0</v>
      </c>
      <c r="F97" s="123">
        <v>0</v>
      </c>
      <c r="G97" s="123">
        <v>6</v>
      </c>
      <c r="H97" s="123">
        <v>0</v>
      </c>
      <c r="I97" s="123">
        <v>6</v>
      </c>
      <c r="J97" s="123">
        <v>16</v>
      </c>
      <c r="K97" s="123">
        <v>0</v>
      </c>
      <c r="L97" s="123">
        <v>16</v>
      </c>
      <c r="M97" s="123">
        <v>52</v>
      </c>
      <c r="N97" s="123">
        <v>0</v>
      </c>
      <c r="O97" s="123">
        <v>52</v>
      </c>
      <c r="P97" s="7" t="s">
        <v>163</v>
      </c>
      <c r="Q97" s="124"/>
      <c r="R97" s="1"/>
    </row>
    <row r="98" spans="1:18" ht="13.5" thickBot="1" x14ac:dyDescent="0.25">
      <c r="A98" s="123">
        <v>2</v>
      </c>
      <c r="B98" s="123">
        <v>0</v>
      </c>
      <c r="C98" s="123">
        <v>2</v>
      </c>
      <c r="D98" s="123">
        <v>0</v>
      </c>
      <c r="E98" s="123">
        <v>0</v>
      </c>
      <c r="F98" s="123">
        <v>0</v>
      </c>
      <c r="G98" s="123">
        <v>0</v>
      </c>
      <c r="H98" s="123">
        <v>0</v>
      </c>
      <c r="I98" s="123">
        <v>0</v>
      </c>
      <c r="J98" s="123">
        <v>0</v>
      </c>
      <c r="K98" s="123">
        <v>0</v>
      </c>
      <c r="L98" s="123">
        <v>0</v>
      </c>
      <c r="M98" s="123">
        <v>2</v>
      </c>
      <c r="N98" s="123">
        <v>0</v>
      </c>
      <c r="O98" s="123">
        <v>2</v>
      </c>
      <c r="P98" s="7" t="s">
        <v>162</v>
      </c>
      <c r="Q98" s="124" t="s">
        <v>347</v>
      </c>
      <c r="R98" s="1"/>
    </row>
    <row r="99" spans="1:18" ht="13.5" thickBot="1" x14ac:dyDescent="0.25">
      <c r="A99" s="123">
        <v>76</v>
      </c>
      <c r="B99" s="123">
        <v>0</v>
      </c>
      <c r="C99" s="123">
        <v>76</v>
      </c>
      <c r="D99" s="123">
        <v>0</v>
      </c>
      <c r="E99" s="123">
        <v>0</v>
      </c>
      <c r="F99" s="123">
        <v>0</v>
      </c>
      <c r="G99" s="123">
        <v>6</v>
      </c>
      <c r="H99" s="123">
        <v>0</v>
      </c>
      <c r="I99" s="123">
        <v>6</v>
      </c>
      <c r="J99" s="123">
        <v>16</v>
      </c>
      <c r="K99" s="123">
        <v>0</v>
      </c>
      <c r="L99" s="123">
        <v>16</v>
      </c>
      <c r="M99" s="123">
        <v>54</v>
      </c>
      <c r="N99" s="123">
        <v>0</v>
      </c>
      <c r="O99" s="123">
        <v>54</v>
      </c>
      <c r="P99" s="7" t="s">
        <v>13</v>
      </c>
      <c r="Q99" s="9"/>
      <c r="R99" s="1"/>
    </row>
    <row r="100" spans="1:18" ht="13.5" thickBot="1" x14ac:dyDescent="0.25">
      <c r="A100" s="123">
        <v>131</v>
      </c>
      <c r="B100" s="123">
        <v>0</v>
      </c>
      <c r="C100" s="123">
        <v>131</v>
      </c>
      <c r="D100" s="123">
        <v>0</v>
      </c>
      <c r="E100" s="123">
        <v>0</v>
      </c>
      <c r="F100" s="123">
        <v>0</v>
      </c>
      <c r="G100" s="123">
        <v>25</v>
      </c>
      <c r="H100" s="123">
        <v>0</v>
      </c>
      <c r="I100" s="123">
        <v>25</v>
      </c>
      <c r="J100" s="123">
        <v>32</v>
      </c>
      <c r="K100" s="123">
        <v>0</v>
      </c>
      <c r="L100" s="123">
        <v>32</v>
      </c>
      <c r="M100" s="123">
        <v>74</v>
      </c>
      <c r="N100" s="123">
        <v>0</v>
      </c>
      <c r="O100" s="123">
        <v>74</v>
      </c>
      <c r="P100" s="7" t="s">
        <v>163</v>
      </c>
      <c r="Q100" s="124"/>
      <c r="R100" s="1"/>
    </row>
    <row r="101" spans="1:18" ht="13.5" thickBot="1" x14ac:dyDescent="0.25">
      <c r="A101" s="123">
        <v>4</v>
      </c>
      <c r="B101" s="123">
        <v>0</v>
      </c>
      <c r="C101" s="123">
        <v>4</v>
      </c>
      <c r="D101" s="123">
        <v>0</v>
      </c>
      <c r="E101" s="123">
        <v>0</v>
      </c>
      <c r="F101" s="123">
        <v>0</v>
      </c>
      <c r="G101" s="123">
        <v>0</v>
      </c>
      <c r="H101" s="123">
        <v>0</v>
      </c>
      <c r="I101" s="123">
        <v>0</v>
      </c>
      <c r="J101" s="123">
        <v>0</v>
      </c>
      <c r="K101" s="123">
        <v>0</v>
      </c>
      <c r="L101" s="123">
        <v>0</v>
      </c>
      <c r="M101" s="123">
        <v>4</v>
      </c>
      <c r="N101" s="123">
        <v>0</v>
      </c>
      <c r="O101" s="123">
        <v>4</v>
      </c>
      <c r="P101" s="7" t="s">
        <v>162</v>
      </c>
      <c r="Q101" s="124" t="s">
        <v>348</v>
      </c>
      <c r="R101" s="1"/>
    </row>
    <row r="102" spans="1:18" ht="13.5" thickBot="1" x14ac:dyDescent="0.25">
      <c r="A102" s="123">
        <v>135</v>
      </c>
      <c r="B102" s="123">
        <v>0</v>
      </c>
      <c r="C102" s="123">
        <v>135</v>
      </c>
      <c r="D102" s="123">
        <v>0</v>
      </c>
      <c r="E102" s="123">
        <v>0</v>
      </c>
      <c r="F102" s="123">
        <v>0</v>
      </c>
      <c r="G102" s="123">
        <v>25</v>
      </c>
      <c r="H102" s="123">
        <v>0</v>
      </c>
      <c r="I102" s="123">
        <v>25</v>
      </c>
      <c r="J102" s="123">
        <v>32</v>
      </c>
      <c r="K102" s="123">
        <v>0</v>
      </c>
      <c r="L102" s="123">
        <v>32</v>
      </c>
      <c r="M102" s="123">
        <v>78</v>
      </c>
      <c r="N102" s="123">
        <v>0</v>
      </c>
      <c r="O102" s="123">
        <v>78</v>
      </c>
      <c r="P102" s="7" t="s">
        <v>13</v>
      </c>
      <c r="Q102" s="9"/>
      <c r="R102" s="1"/>
    </row>
    <row r="103" spans="1:18" ht="13.5" thickBot="1" x14ac:dyDescent="0.25">
      <c r="A103" s="123">
        <v>108</v>
      </c>
      <c r="B103" s="123">
        <v>0</v>
      </c>
      <c r="C103" s="123">
        <v>108</v>
      </c>
      <c r="D103" s="123">
        <v>0</v>
      </c>
      <c r="E103" s="123">
        <v>0</v>
      </c>
      <c r="F103" s="123">
        <v>0</v>
      </c>
      <c r="G103" s="123">
        <v>17</v>
      </c>
      <c r="H103" s="123">
        <v>0</v>
      </c>
      <c r="I103" s="123">
        <v>17</v>
      </c>
      <c r="J103" s="123">
        <v>13</v>
      </c>
      <c r="K103" s="123">
        <v>0</v>
      </c>
      <c r="L103" s="123">
        <v>13</v>
      </c>
      <c r="M103" s="123">
        <v>78</v>
      </c>
      <c r="N103" s="123">
        <v>0</v>
      </c>
      <c r="O103" s="123">
        <v>78</v>
      </c>
      <c r="P103" s="7" t="s">
        <v>163</v>
      </c>
      <c r="Q103" s="124"/>
      <c r="R103" s="1"/>
    </row>
    <row r="104" spans="1:18" ht="13.5" thickBot="1" x14ac:dyDescent="0.25">
      <c r="A104" s="123">
        <v>3</v>
      </c>
      <c r="B104" s="123">
        <v>0</v>
      </c>
      <c r="C104" s="123">
        <v>3</v>
      </c>
      <c r="D104" s="123">
        <v>0</v>
      </c>
      <c r="E104" s="123">
        <v>0</v>
      </c>
      <c r="F104" s="123">
        <v>0</v>
      </c>
      <c r="G104" s="123">
        <v>0</v>
      </c>
      <c r="H104" s="123">
        <v>0</v>
      </c>
      <c r="I104" s="123">
        <v>0</v>
      </c>
      <c r="J104" s="123">
        <v>0</v>
      </c>
      <c r="K104" s="123">
        <v>0</v>
      </c>
      <c r="L104" s="123">
        <v>0</v>
      </c>
      <c r="M104" s="123">
        <v>3</v>
      </c>
      <c r="N104" s="123">
        <v>0</v>
      </c>
      <c r="O104" s="123">
        <v>3</v>
      </c>
      <c r="P104" s="7" t="s">
        <v>162</v>
      </c>
      <c r="Q104" s="124" t="s">
        <v>349</v>
      </c>
      <c r="R104" s="1"/>
    </row>
    <row r="105" spans="1:18" ht="13.5" thickBot="1" x14ac:dyDescent="0.25">
      <c r="A105" s="123">
        <v>111</v>
      </c>
      <c r="B105" s="123">
        <v>0</v>
      </c>
      <c r="C105" s="123">
        <v>111</v>
      </c>
      <c r="D105" s="123">
        <v>0</v>
      </c>
      <c r="E105" s="123">
        <v>0</v>
      </c>
      <c r="F105" s="123">
        <v>0</v>
      </c>
      <c r="G105" s="123">
        <v>17</v>
      </c>
      <c r="H105" s="123">
        <v>0</v>
      </c>
      <c r="I105" s="123">
        <v>17</v>
      </c>
      <c r="J105" s="123">
        <v>13</v>
      </c>
      <c r="K105" s="123">
        <v>0</v>
      </c>
      <c r="L105" s="123">
        <v>13</v>
      </c>
      <c r="M105" s="123">
        <v>81</v>
      </c>
      <c r="N105" s="123">
        <v>0</v>
      </c>
      <c r="O105" s="123">
        <v>81</v>
      </c>
      <c r="P105" s="7" t="s">
        <v>13</v>
      </c>
      <c r="Q105" s="9"/>
      <c r="R105" s="1"/>
    </row>
    <row r="106" spans="1:18" ht="13.5" thickBot="1" x14ac:dyDescent="0.25">
      <c r="A106" s="123">
        <v>73</v>
      </c>
      <c r="B106" s="123">
        <v>0</v>
      </c>
      <c r="C106" s="123">
        <v>73</v>
      </c>
      <c r="D106" s="123">
        <v>0</v>
      </c>
      <c r="E106" s="123">
        <v>0</v>
      </c>
      <c r="F106" s="123">
        <v>0</v>
      </c>
      <c r="G106" s="123">
        <v>18</v>
      </c>
      <c r="H106" s="123">
        <v>0</v>
      </c>
      <c r="I106" s="123">
        <v>18</v>
      </c>
      <c r="J106" s="123">
        <v>16</v>
      </c>
      <c r="K106" s="123">
        <v>0</v>
      </c>
      <c r="L106" s="123">
        <v>16</v>
      </c>
      <c r="M106" s="123">
        <v>39</v>
      </c>
      <c r="N106" s="123">
        <v>0</v>
      </c>
      <c r="O106" s="123">
        <v>39</v>
      </c>
      <c r="P106" s="7" t="s">
        <v>163</v>
      </c>
      <c r="Q106" s="124"/>
      <c r="R106" s="1"/>
    </row>
    <row r="107" spans="1:18" ht="13.5" thickBot="1" x14ac:dyDescent="0.25">
      <c r="A107" s="123">
        <v>8</v>
      </c>
      <c r="B107" s="123">
        <v>0</v>
      </c>
      <c r="C107" s="123">
        <v>8</v>
      </c>
      <c r="D107" s="123">
        <v>0</v>
      </c>
      <c r="E107" s="123">
        <v>0</v>
      </c>
      <c r="F107" s="123">
        <v>0</v>
      </c>
      <c r="G107" s="123">
        <v>0</v>
      </c>
      <c r="H107" s="123">
        <v>0</v>
      </c>
      <c r="I107" s="123">
        <v>0</v>
      </c>
      <c r="J107" s="123">
        <v>0</v>
      </c>
      <c r="K107" s="123">
        <v>0</v>
      </c>
      <c r="L107" s="123">
        <v>0</v>
      </c>
      <c r="M107" s="123">
        <v>8</v>
      </c>
      <c r="N107" s="123">
        <v>0</v>
      </c>
      <c r="O107" s="123">
        <v>8</v>
      </c>
      <c r="P107" s="7" t="s">
        <v>162</v>
      </c>
      <c r="Q107" s="124" t="s">
        <v>350</v>
      </c>
      <c r="R107" s="1"/>
    </row>
    <row r="108" spans="1:18" ht="13.5" thickBot="1" x14ac:dyDescent="0.25">
      <c r="A108" s="123">
        <v>81</v>
      </c>
      <c r="B108" s="123">
        <v>0</v>
      </c>
      <c r="C108" s="123">
        <v>81</v>
      </c>
      <c r="D108" s="123">
        <v>0</v>
      </c>
      <c r="E108" s="123">
        <v>0</v>
      </c>
      <c r="F108" s="123">
        <v>0</v>
      </c>
      <c r="G108" s="123">
        <v>18</v>
      </c>
      <c r="H108" s="123">
        <v>0</v>
      </c>
      <c r="I108" s="123">
        <v>18</v>
      </c>
      <c r="J108" s="123">
        <v>16</v>
      </c>
      <c r="K108" s="123">
        <v>0</v>
      </c>
      <c r="L108" s="123">
        <v>16</v>
      </c>
      <c r="M108" s="123">
        <v>47</v>
      </c>
      <c r="N108" s="123">
        <v>0</v>
      </c>
      <c r="O108" s="123">
        <v>47</v>
      </c>
      <c r="P108" s="7" t="s">
        <v>13</v>
      </c>
      <c r="Q108" s="9"/>
      <c r="R108" s="1"/>
    </row>
    <row r="109" spans="1:18" ht="13.5" thickBot="1" x14ac:dyDescent="0.25">
      <c r="A109" s="123">
        <v>11</v>
      </c>
      <c r="B109" s="123">
        <v>0</v>
      </c>
      <c r="C109" s="123">
        <v>11</v>
      </c>
      <c r="D109" s="123">
        <v>0</v>
      </c>
      <c r="E109" s="123">
        <v>0</v>
      </c>
      <c r="F109" s="123">
        <v>0</v>
      </c>
      <c r="G109" s="123">
        <v>8</v>
      </c>
      <c r="H109" s="123">
        <v>0</v>
      </c>
      <c r="I109" s="123">
        <v>8</v>
      </c>
      <c r="J109" s="123">
        <v>2</v>
      </c>
      <c r="K109" s="123">
        <v>0</v>
      </c>
      <c r="L109" s="123">
        <v>2</v>
      </c>
      <c r="M109" s="123">
        <v>1</v>
      </c>
      <c r="N109" s="123">
        <v>0</v>
      </c>
      <c r="O109" s="123">
        <v>1</v>
      </c>
      <c r="P109" s="7" t="s">
        <v>163</v>
      </c>
      <c r="Q109" s="124"/>
      <c r="R109" s="1"/>
    </row>
    <row r="110" spans="1:18" ht="13.5" thickBot="1" x14ac:dyDescent="0.25">
      <c r="A110" s="123">
        <v>3</v>
      </c>
      <c r="B110" s="123">
        <v>0</v>
      </c>
      <c r="C110" s="123">
        <v>3</v>
      </c>
      <c r="D110" s="123">
        <v>0</v>
      </c>
      <c r="E110" s="123">
        <v>0</v>
      </c>
      <c r="F110" s="123">
        <v>0</v>
      </c>
      <c r="G110" s="123">
        <v>0</v>
      </c>
      <c r="H110" s="123">
        <v>0</v>
      </c>
      <c r="I110" s="123">
        <v>0</v>
      </c>
      <c r="J110" s="123">
        <v>0</v>
      </c>
      <c r="K110" s="123">
        <v>0</v>
      </c>
      <c r="L110" s="123">
        <v>0</v>
      </c>
      <c r="M110" s="123">
        <v>3</v>
      </c>
      <c r="N110" s="123">
        <v>0</v>
      </c>
      <c r="O110" s="123">
        <v>3</v>
      </c>
      <c r="P110" s="7" t="s">
        <v>162</v>
      </c>
      <c r="Q110" s="124" t="s">
        <v>238</v>
      </c>
      <c r="R110" s="1"/>
    </row>
    <row r="111" spans="1:18" ht="13.5" thickBot="1" x14ac:dyDescent="0.25">
      <c r="A111" s="123">
        <v>14</v>
      </c>
      <c r="B111" s="123">
        <v>0</v>
      </c>
      <c r="C111" s="123">
        <v>14</v>
      </c>
      <c r="D111" s="123">
        <v>0</v>
      </c>
      <c r="E111" s="123">
        <v>0</v>
      </c>
      <c r="F111" s="123">
        <v>0</v>
      </c>
      <c r="G111" s="123">
        <v>8</v>
      </c>
      <c r="H111" s="123">
        <v>0</v>
      </c>
      <c r="I111" s="123">
        <v>8</v>
      </c>
      <c r="J111" s="123">
        <v>2</v>
      </c>
      <c r="K111" s="123">
        <v>0</v>
      </c>
      <c r="L111" s="123">
        <v>2</v>
      </c>
      <c r="M111" s="123">
        <v>4</v>
      </c>
      <c r="N111" s="123">
        <v>0</v>
      </c>
      <c r="O111" s="123">
        <v>4</v>
      </c>
      <c r="P111" s="7" t="s">
        <v>13</v>
      </c>
      <c r="Q111" s="9"/>
      <c r="R111" s="1"/>
    </row>
    <row r="112" spans="1:18" ht="13.5" thickBot="1" x14ac:dyDescent="0.25">
      <c r="A112" s="123">
        <v>463</v>
      </c>
      <c r="B112" s="123">
        <v>0</v>
      </c>
      <c r="C112" s="123">
        <v>463</v>
      </c>
      <c r="D112" s="123">
        <v>0</v>
      </c>
      <c r="E112" s="123">
        <v>0</v>
      </c>
      <c r="F112" s="123">
        <v>0</v>
      </c>
      <c r="G112" s="123">
        <v>90</v>
      </c>
      <c r="H112" s="123">
        <v>0</v>
      </c>
      <c r="I112" s="123">
        <v>90</v>
      </c>
      <c r="J112" s="123">
        <v>89</v>
      </c>
      <c r="K112" s="123">
        <v>0</v>
      </c>
      <c r="L112" s="123">
        <v>89</v>
      </c>
      <c r="M112" s="123">
        <v>284</v>
      </c>
      <c r="N112" s="123">
        <v>0</v>
      </c>
      <c r="O112" s="123">
        <v>284</v>
      </c>
      <c r="P112" s="7" t="s">
        <v>163</v>
      </c>
      <c r="Q112" s="3"/>
      <c r="R112" s="1"/>
    </row>
    <row r="113" spans="1:18" ht="13.5" thickBot="1" x14ac:dyDescent="0.25">
      <c r="A113" s="123">
        <v>27</v>
      </c>
      <c r="B113" s="123">
        <v>0</v>
      </c>
      <c r="C113" s="123">
        <v>27</v>
      </c>
      <c r="D113" s="123">
        <v>0</v>
      </c>
      <c r="E113" s="123">
        <v>0</v>
      </c>
      <c r="F113" s="123">
        <v>0</v>
      </c>
      <c r="G113" s="123">
        <v>0</v>
      </c>
      <c r="H113" s="123">
        <v>0</v>
      </c>
      <c r="I113" s="123">
        <v>0</v>
      </c>
      <c r="J113" s="123">
        <v>0</v>
      </c>
      <c r="K113" s="123">
        <v>0</v>
      </c>
      <c r="L113" s="123">
        <v>0</v>
      </c>
      <c r="M113" s="123">
        <v>27</v>
      </c>
      <c r="N113" s="123">
        <v>0</v>
      </c>
      <c r="O113" s="123">
        <v>27</v>
      </c>
      <c r="P113" s="7" t="s">
        <v>162</v>
      </c>
      <c r="Q113" s="11" t="s">
        <v>211</v>
      </c>
      <c r="R113" s="1"/>
    </row>
    <row r="114" spans="1:18" ht="13.5" thickBot="1" x14ac:dyDescent="0.25">
      <c r="A114" s="123">
        <v>490</v>
      </c>
      <c r="B114" s="123">
        <v>0</v>
      </c>
      <c r="C114" s="123">
        <v>490</v>
      </c>
      <c r="D114" s="123">
        <v>0</v>
      </c>
      <c r="E114" s="123">
        <v>0</v>
      </c>
      <c r="F114" s="123">
        <v>0</v>
      </c>
      <c r="G114" s="123">
        <v>90</v>
      </c>
      <c r="H114" s="123">
        <v>0</v>
      </c>
      <c r="I114" s="123">
        <v>90</v>
      </c>
      <c r="J114" s="123">
        <v>89</v>
      </c>
      <c r="K114" s="123">
        <v>0</v>
      </c>
      <c r="L114" s="123">
        <v>89</v>
      </c>
      <c r="M114" s="123">
        <v>311</v>
      </c>
      <c r="N114" s="123">
        <v>0</v>
      </c>
      <c r="O114" s="123">
        <v>311</v>
      </c>
      <c r="P114" s="7" t="s">
        <v>13</v>
      </c>
      <c r="Q114" s="5"/>
      <c r="R114" s="1"/>
    </row>
    <row r="115" spans="1:18" ht="18" customHeight="1" x14ac:dyDescent="0.2">
      <c r="A115" s="207"/>
      <c r="B115" s="207"/>
      <c r="C115" s="207"/>
      <c r="D115" s="207"/>
      <c r="E115" s="207"/>
      <c r="F115" s="207"/>
      <c r="G115" s="207"/>
      <c r="H115" s="207"/>
      <c r="I115" s="207"/>
      <c r="J115" s="207"/>
      <c r="K115" s="207"/>
      <c r="L115" s="207"/>
      <c r="M115" s="207"/>
      <c r="N115" s="207"/>
      <c r="O115" s="207"/>
      <c r="P115" s="207"/>
      <c r="Q115" s="207"/>
      <c r="R115" s="1"/>
    </row>
    <row r="116" spans="1:18" ht="18" customHeight="1" x14ac:dyDescent="0.2">
      <c r="A116" s="159" t="s">
        <v>643</v>
      </c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"/>
    </row>
    <row r="117" spans="1:18" ht="18" customHeight="1" thickBot="1" x14ac:dyDescent="0.25">
      <c r="A117" s="160" t="s">
        <v>644</v>
      </c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"/>
    </row>
    <row r="118" spans="1:18" ht="13.5" thickBot="1" x14ac:dyDescent="0.25">
      <c r="A118" s="204" t="s">
        <v>5</v>
      </c>
      <c r="B118" s="204"/>
      <c r="C118" s="204"/>
      <c r="D118" s="204" t="s">
        <v>57</v>
      </c>
      <c r="E118" s="204"/>
      <c r="F118" s="204"/>
      <c r="G118" s="204" t="s">
        <v>65</v>
      </c>
      <c r="H118" s="204"/>
      <c r="I118" s="204"/>
      <c r="J118" s="204" t="s">
        <v>62</v>
      </c>
      <c r="K118" s="204"/>
      <c r="L118" s="204"/>
      <c r="M118" s="204" t="s">
        <v>61</v>
      </c>
      <c r="N118" s="204"/>
      <c r="O118" s="204"/>
      <c r="P118" s="205" t="s">
        <v>645</v>
      </c>
      <c r="Q118" s="47" t="s">
        <v>161</v>
      </c>
      <c r="R118" s="1"/>
    </row>
    <row r="119" spans="1:18" ht="13.5" thickBot="1" x14ac:dyDescent="0.25">
      <c r="A119" s="47" t="s">
        <v>216</v>
      </c>
      <c r="B119" s="47" t="s">
        <v>11</v>
      </c>
      <c r="C119" s="47" t="s">
        <v>10</v>
      </c>
      <c r="D119" s="47" t="s">
        <v>216</v>
      </c>
      <c r="E119" s="47" t="s">
        <v>11</v>
      </c>
      <c r="F119" s="47" t="s">
        <v>10</v>
      </c>
      <c r="G119" s="47" t="s">
        <v>216</v>
      </c>
      <c r="H119" s="47" t="s">
        <v>11</v>
      </c>
      <c r="I119" s="47" t="s">
        <v>10</v>
      </c>
      <c r="J119" s="47" t="s">
        <v>216</v>
      </c>
      <c r="K119" s="47" t="s">
        <v>11</v>
      </c>
      <c r="L119" s="47" t="s">
        <v>10</v>
      </c>
      <c r="M119" s="47" t="s">
        <v>216</v>
      </c>
      <c r="N119" s="47" t="s">
        <v>11</v>
      </c>
      <c r="O119" s="47" t="s">
        <v>10</v>
      </c>
      <c r="P119" s="206"/>
      <c r="Q119" s="5" t="s">
        <v>76</v>
      </c>
      <c r="R119" s="1"/>
    </row>
    <row r="120" spans="1:18" ht="13.5" thickBot="1" x14ac:dyDescent="0.25">
      <c r="A120" s="123">
        <v>103</v>
      </c>
      <c r="B120" s="123">
        <v>1</v>
      </c>
      <c r="C120" s="123">
        <v>102</v>
      </c>
      <c r="D120" s="123">
        <v>0</v>
      </c>
      <c r="E120" s="123">
        <v>0</v>
      </c>
      <c r="F120" s="123">
        <v>0</v>
      </c>
      <c r="G120" s="123">
        <v>41</v>
      </c>
      <c r="H120" s="123">
        <v>1</v>
      </c>
      <c r="I120" s="123">
        <v>40</v>
      </c>
      <c r="J120" s="123">
        <v>25</v>
      </c>
      <c r="K120" s="123">
        <v>0</v>
      </c>
      <c r="L120" s="123">
        <v>25</v>
      </c>
      <c r="M120" s="123">
        <v>37</v>
      </c>
      <c r="N120" s="123">
        <v>0</v>
      </c>
      <c r="O120" s="123">
        <v>37</v>
      </c>
      <c r="P120" s="7" t="s">
        <v>163</v>
      </c>
      <c r="Q120" s="124"/>
      <c r="R120" s="1"/>
    </row>
    <row r="121" spans="1:18" ht="13.5" thickBot="1" x14ac:dyDescent="0.25">
      <c r="A121" s="123">
        <v>39</v>
      </c>
      <c r="B121" s="123">
        <v>0</v>
      </c>
      <c r="C121" s="123">
        <v>39</v>
      </c>
      <c r="D121" s="123">
        <v>0</v>
      </c>
      <c r="E121" s="123">
        <v>0</v>
      </c>
      <c r="F121" s="123">
        <v>0</v>
      </c>
      <c r="G121" s="123">
        <v>0</v>
      </c>
      <c r="H121" s="123">
        <v>0</v>
      </c>
      <c r="I121" s="123">
        <v>0</v>
      </c>
      <c r="J121" s="123">
        <v>0</v>
      </c>
      <c r="K121" s="123">
        <v>0</v>
      </c>
      <c r="L121" s="123">
        <v>0</v>
      </c>
      <c r="M121" s="123">
        <v>39</v>
      </c>
      <c r="N121" s="123">
        <v>0</v>
      </c>
      <c r="O121" s="123">
        <v>39</v>
      </c>
      <c r="P121" s="7" t="s">
        <v>162</v>
      </c>
      <c r="Q121" s="124" t="s">
        <v>351</v>
      </c>
      <c r="R121" s="1"/>
    </row>
    <row r="122" spans="1:18" ht="13.5" thickBot="1" x14ac:dyDescent="0.25">
      <c r="A122" s="123">
        <v>142</v>
      </c>
      <c r="B122" s="123">
        <v>1</v>
      </c>
      <c r="C122" s="123">
        <v>141</v>
      </c>
      <c r="D122" s="123">
        <v>0</v>
      </c>
      <c r="E122" s="123">
        <v>0</v>
      </c>
      <c r="F122" s="123">
        <v>0</v>
      </c>
      <c r="G122" s="123">
        <v>41</v>
      </c>
      <c r="H122" s="123">
        <v>1</v>
      </c>
      <c r="I122" s="123">
        <v>40</v>
      </c>
      <c r="J122" s="123">
        <v>25</v>
      </c>
      <c r="K122" s="123">
        <v>0</v>
      </c>
      <c r="L122" s="123">
        <v>25</v>
      </c>
      <c r="M122" s="123">
        <v>76</v>
      </c>
      <c r="N122" s="123">
        <v>0</v>
      </c>
      <c r="O122" s="123">
        <v>76</v>
      </c>
      <c r="P122" s="7" t="s">
        <v>13</v>
      </c>
      <c r="Q122" s="9"/>
      <c r="R122" s="1"/>
    </row>
    <row r="123" spans="1:18" ht="13.5" thickBot="1" x14ac:dyDescent="0.25">
      <c r="A123" s="123">
        <v>143</v>
      </c>
      <c r="B123" s="123">
        <v>56</v>
      </c>
      <c r="C123" s="123">
        <v>87</v>
      </c>
      <c r="D123" s="123">
        <v>0</v>
      </c>
      <c r="E123" s="123">
        <v>0</v>
      </c>
      <c r="F123" s="123">
        <v>0</v>
      </c>
      <c r="G123" s="123">
        <v>45</v>
      </c>
      <c r="H123" s="123">
        <v>23</v>
      </c>
      <c r="I123" s="123">
        <v>22</v>
      </c>
      <c r="J123" s="123">
        <v>33</v>
      </c>
      <c r="K123" s="123">
        <v>21</v>
      </c>
      <c r="L123" s="123">
        <v>12</v>
      </c>
      <c r="M123" s="123">
        <v>65</v>
      </c>
      <c r="N123" s="123">
        <v>12</v>
      </c>
      <c r="O123" s="123">
        <v>53</v>
      </c>
      <c r="P123" s="7" t="s">
        <v>163</v>
      </c>
      <c r="Q123" s="124"/>
      <c r="R123" s="1"/>
    </row>
    <row r="124" spans="1:18" ht="13.5" thickBot="1" x14ac:dyDescent="0.25">
      <c r="A124" s="123">
        <v>2</v>
      </c>
      <c r="B124" s="123">
        <v>0</v>
      </c>
      <c r="C124" s="123">
        <v>2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0</v>
      </c>
      <c r="J124" s="123">
        <v>0</v>
      </c>
      <c r="K124" s="123">
        <v>0</v>
      </c>
      <c r="L124" s="123">
        <v>0</v>
      </c>
      <c r="M124" s="123">
        <v>2</v>
      </c>
      <c r="N124" s="123">
        <v>0</v>
      </c>
      <c r="O124" s="123">
        <v>2</v>
      </c>
      <c r="P124" s="7" t="s">
        <v>162</v>
      </c>
      <c r="Q124" s="124" t="s">
        <v>352</v>
      </c>
      <c r="R124" s="1"/>
    </row>
    <row r="125" spans="1:18" ht="13.5" thickBot="1" x14ac:dyDescent="0.25">
      <c r="A125" s="123">
        <v>145</v>
      </c>
      <c r="B125" s="123">
        <v>56</v>
      </c>
      <c r="C125" s="123">
        <v>89</v>
      </c>
      <c r="D125" s="123">
        <v>0</v>
      </c>
      <c r="E125" s="123">
        <v>0</v>
      </c>
      <c r="F125" s="123">
        <v>0</v>
      </c>
      <c r="G125" s="123">
        <v>45</v>
      </c>
      <c r="H125" s="123">
        <v>23</v>
      </c>
      <c r="I125" s="123">
        <v>22</v>
      </c>
      <c r="J125" s="123">
        <v>33</v>
      </c>
      <c r="K125" s="123">
        <v>21</v>
      </c>
      <c r="L125" s="123">
        <v>12</v>
      </c>
      <c r="M125" s="123">
        <v>67</v>
      </c>
      <c r="N125" s="123">
        <v>12</v>
      </c>
      <c r="O125" s="123">
        <v>55</v>
      </c>
      <c r="P125" s="7" t="s">
        <v>13</v>
      </c>
      <c r="Q125" s="9"/>
      <c r="R125" s="1"/>
    </row>
    <row r="126" spans="1:18" ht="13.5" thickBot="1" x14ac:dyDescent="0.25">
      <c r="A126" s="123">
        <v>250</v>
      </c>
      <c r="B126" s="123">
        <v>57</v>
      </c>
      <c r="C126" s="123">
        <v>193</v>
      </c>
      <c r="D126" s="123">
        <v>3</v>
      </c>
      <c r="E126" s="123">
        <v>0</v>
      </c>
      <c r="F126" s="123">
        <v>3</v>
      </c>
      <c r="G126" s="123">
        <v>66</v>
      </c>
      <c r="H126" s="123">
        <v>29</v>
      </c>
      <c r="I126" s="123">
        <v>37</v>
      </c>
      <c r="J126" s="123">
        <v>57</v>
      </c>
      <c r="K126" s="123">
        <v>15</v>
      </c>
      <c r="L126" s="123">
        <v>42</v>
      </c>
      <c r="M126" s="123">
        <v>124</v>
      </c>
      <c r="N126" s="123">
        <v>13</v>
      </c>
      <c r="O126" s="123">
        <v>111</v>
      </c>
      <c r="P126" s="7" t="s">
        <v>163</v>
      </c>
      <c r="Q126" s="124"/>
      <c r="R126" s="1"/>
    </row>
    <row r="127" spans="1:18" ht="13.5" thickBot="1" x14ac:dyDescent="0.25">
      <c r="A127" s="123">
        <v>26</v>
      </c>
      <c r="B127" s="123">
        <v>0</v>
      </c>
      <c r="C127" s="123">
        <v>26</v>
      </c>
      <c r="D127" s="123">
        <v>5</v>
      </c>
      <c r="E127" s="123">
        <v>0</v>
      </c>
      <c r="F127" s="123">
        <v>5</v>
      </c>
      <c r="G127" s="123">
        <v>0</v>
      </c>
      <c r="H127" s="123">
        <v>0</v>
      </c>
      <c r="I127" s="123">
        <v>0</v>
      </c>
      <c r="J127" s="123">
        <v>0</v>
      </c>
      <c r="K127" s="123">
        <v>0</v>
      </c>
      <c r="L127" s="123">
        <v>0</v>
      </c>
      <c r="M127" s="123">
        <v>21</v>
      </c>
      <c r="N127" s="123">
        <v>0</v>
      </c>
      <c r="O127" s="123">
        <v>21</v>
      </c>
      <c r="P127" s="7" t="s">
        <v>162</v>
      </c>
      <c r="Q127" s="124" t="s">
        <v>353</v>
      </c>
      <c r="R127" s="1"/>
    </row>
    <row r="128" spans="1:18" ht="13.5" thickBot="1" x14ac:dyDescent="0.25">
      <c r="A128" s="123">
        <v>276</v>
      </c>
      <c r="B128" s="123">
        <v>57</v>
      </c>
      <c r="C128" s="123">
        <v>219</v>
      </c>
      <c r="D128" s="123">
        <v>8</v>
      </c>
      <c r="E128" s="123">
        <v>0</v>
      </c>
      <c r="F128" s="123">
        <v>8</v>
      </c>
      <c r="G128" s="123">
        <v>66</v>
      </c>
      <c r="H128" s="123">
        <v>29</v>
      </c>
      <c r="I128" s="123">
        <v>37</v>
      </c>
      <c r="J128" s="123">
        <v>57</v>
      </c>
      <c r="K128" s="123">
        <v>15</v>
      </c>
      <c r="L128" s="123">
        <v>42</v>
      </c>
      <c r="M128" s="123">
        <v>145</v>
      </c>
      <c r="N128" s="123">
        <v>13</v>
      </c>
      <c r="O128" s="123">
        <v>132</v>
      </c>
      <c r="P128" s="7" t="s">
        <v>13</v>
      </c>
      <c r="Q128" s="9"/>
      <c r="R128" s="1"/>
    </row>
    <row r="129" spans="1:18" ht="13.5" thickBot="1" x14ac:dyDescent="0.25">
      <c r="A129" s="123">
        <v>54</v>
      </c>
      <c r="B129" s="123">
        <v>0</v>
      </c>
      <c r="C129" s="123">
        <v>54</v>
      </c>
      <c r="D129" s="123">
        <v>0</v>
      </c>
      <c r="E129" s="123">
        <v>0</v>
      </c>
      <c r="F129" s="123">
        <v>0</v>
      </c>
      <c r="G129" s="123">
        <v>3</v>
      </c>
      <c r="H129" s="123">
        <v>0</v>
      </c>
      <c r="I129" s="123">
        <v>3</v>
      </c>
      <c r="J129" s="123">
        <v>10</v>
      </c>
      <c r="K129" s="123">
        <v>0</v>
      </c>
      <c r="L129" s="123">
        <v>10</v>
      </c>
      <c r="M129" s="123">
        <v>41</v>
      </c>
      <c r="N129" s="123">
        <v>0</v>
      </c>
      <c r="O129" s="123">
        <v>41</v>
      </c>
      <c r="P129" s="7" t="s">
        <v>163</v>
      </c>
      <c r="Q129" s="124"/>
      <c r="R129" s="1"/>
    </row>
    <row r="130" spans="1:18" ht="13.5" thickBot="1" x14ac:dyDescent="0.25">
      <c r="A130" s="123">
        <v>11</v>
      </c>
      <c r="B130" s="123">
        <v>0</v>
      </c>
      <c r="C130" s="123">
        <v>11</v>
      </c>
      <c r="D130" s="123">
        <v>0</v>
      </c>
      <c r="E130" s="123">
        <v>0</v>
      </c>
      <c r="F130" s="123">
        <v>0</v>
      </c>
      <c r="G130" s="123">
        <v>0</v>
      </c>
      <c r="H130" s="123">
        <v>0</v>
      </c>
      <c r="I130" s="123">
        <v>0</v>
      </c>
      <c r="J130" s="123">
        <v>0</v>
      </c>
      <c r="K130" s="123">
        <v>0</v>
      </c>
      <c r="L130" s="123">
        <v>0</v>
      </c>
      <c r="M130" s="123">
        <v>11</v>
      </c>
      <c r="N130" s="123">
        <v>0</v>
      </c>
      <c r="O130" s="123">
        <v>11</v>
      </c>
      <c r="P130" s="7" t="s">
        <v>162</v>
      </c>
      <c r="Q130" s="124" t="s">
        <v>534</v>
      </c>
      <c r="R130" s="1"/>
    </row>
    <row r="131" spans="1:18" ht="13.5" thickBot="1" x14ac:dyDescent="0.25">
      <c r="A131" s="123">
        <v>65</v>
      </c>
      <c r="B131" s="123">
        <v>0</v>
      </c>
      <c r="C131" s="123">
        <v>65</v>
      </c>
      <c r="D131" s="123">
        <v>0</v>
      </c>
      <c r="E131" s="123">
        <v>0</v>
      </c>
      <c r="F131" s="123">
        <v>0</v>
      </c>
      <c r="G131" s="123">
        <v>3</v>
      </c>
      <c r="H131" s="123">
        <v>0</v>
      </c>
      <c r="I131" s="123">
        <v>3</v>
      </c>
      <c r="J131" s="123">
        <v>10</v>
      </c>
      <c r="K131" s="123">
        <v>0</v>
      </c>
      <c r="L131" s="123">
        <v>10</v>
      </c>
      <c r="M131" s="123">
        <v>52</v>
      </c>
      <c r="N131" s="123">
        <v>0</v>
      </c>
      <c r="O131" s="123">
        <v>52</v>
      </c>
      <c r="P131" s="7" t="s">
        <v>13</v>
      </c>
      <c r="Q131" s="9"/>
      <c r="R131" s="1"/>
    </row>
    <row r="132" spans="1:18" ht="13.5" thickBot="1" x14ac:dyDescent="0.25">
      <c r="A132" s="123">
        <v>88</v>
      </c>
      <c r="B132" s="123">
        <v>54</v>
      </c>
      <c r="C132" s="123">
        <v>34</v>
      </c>
      <c r="D132" s="123">
        <v>11</v>
      </c>
      <c r="E132" s="123">
        <v>10</v>
      </c>
      <c r="F132" s="123">
        <v>1</v>
      </c>
      <c r="G132" s="123">
        <v>48</v>
      </c>
      <c r="H132" s="123">
        <v>37</v>
      </c>
      <c r="I132" s="123">
        <v>11</v>
      </c>
      <c r="J132" s="123">
        <v>11</v>
      </c>
      <c r="K132" s="123">
        <v>7</v>
      </c>
      <c r="L132" s="123">
        <v>4</v>
      </c>
      <c r="M132" s="123">
        <v>18</v>
      </c>
      <c r="N132" s="123">
        <v>0</v>
      </c>
      <c r="O132" s="123">
        <v>18</v>
      </c>
      <c r="P132" s="7" t="s">
        <v>163</v>
      </c>
      <c r="Q132" s="124"/>
      <c r="R132" s="1"/>
    </row>
    <row r="133" spans="1:18" ht="13.5" thickBot="1" x14ac:dyDescent="0.25">
      <c r="A133" s="123">
        <v>44</v>
      </c>
      <c r="B133" s="123">
        <v>14</v>
      </c>
      <c r="C133" s="123">
        <v>30</v>
      </c>
      <c r="D133" s="123">
        <v>11</v>
      </c>
      <c r="E133" s="123">
        <v>1</v>
      </c>
      <c r="F133" s="123">
        <v>10</v>
      </c>
      <c r="G133" s="123">
        <v>0</v>
      </c>
      <c r="H133" s="123">
        <v>0</v>
      </c>
      <c r="I133" s="123">
        <v>0</v>
      </c>
      <c r="J133" s="123">
        <v>6</v>
      </c>
      <c r="K133" s="123">
        <v>3</v>
      </c>
      <c r="L133" s="123">
        <v>3</v>
      </c>
      <c r="M133" s="123">
        <v>27</v>
      </c>
      <c r="N133" s="123">
        <v>10</v>
      </c>
      <c r="O133" s="123">
        <v>17</v>
      </c>
      <c r="P133" s="7" t="s">
        <v>162</v>
      </c>
      <c r="Q133" s="124" t="s">
        <v>354</v>
      </c>
      <c r="R133" s="1"/>
    </row>
    <row r="134" spans="1:18" ht="13.5" thickBot="1" x14ac:dyDescent="0.25">
      <c r="A134" s="123">
        <v>132</v>
      </c>
      <c r="B134" s="123">
        <v>68</v>
      </c>
      <c r="C134" s="123">
        <v>64</v>
      </c>
      <c r="D134" s="123">
        <v>22</v>
      </c>
      <c r="E134" s="123">
        <v>11</v>
      </c>
      <c r="F134" s="123">
        <v>11</v>
      </c>
      <c r="G134" s="123">
        <v>48</v>
      </c>
      <c r="H134" s="123">
        <v>37</v>
      </c>
      <c r="I134" s="123">
        <v>11</v>
      </c>
      <c r="J134" s="123">
        <v>17</v>
      </c>
      <c r="K134" s="123">
        <v>10</v>
      </c>
      <c r="L134" s="123">
        <v>7</v>
      </c>
      <c r="M134" s="123">
        <v>45</v>
      </c>
      <c r="N134" s="123">
        <v>10</v>
      </c>
      <c r="O134" s="123">
        <v>35</v>
      </c>
      <c r="P134" s="7" t="s">
        <v>13</v>
      </c>
      <c r="Q134" s="9"/>
      <c r="R134" s="1"/>
    </row>
    <row r="135" spans="1:18" ht="13.5" thickBot="1" x14ac:dyDescent="0.25">
      <c r="A135" s="123">
        <v>75</v>
      </c>
      <c r="B135" s="123">
        <v>49</v>
      </c>
      <c r="C135" s="123">
        <v>26</v>
      </c>
      <c r="D135" s="123">
        <v>0</v>
      </c>
      <c r="E135" s="123">
        <v>0</v>
      </c>
      <c r="F135" s="123">
        <v>0</v>
      </c>
      <c r="G135" s="123">
        <v>41</v>
      </c>
      <c r="H135" s="123">
        <v>34</v>
      </c>
      <c r="I135" s="123">
        <v>7</v>
      </c>
      <c r="J135" s="123">
        <v>16</v>
      </c>
      <c r="K135" s="123">
        <v>14</v>
      </c>
      <c r="L135" s="123">
        <v>2</v>
      </c>
      <c r="M135" s="123">
        <v>18</v>
      </c>
      <c r="N135" s="123">
        <v>1</v>
      </c>
      <c r="O135" s="123">
        <v>17</v>
      </c>
      <c r="P135" s="7" t="s">
        <v>163</v>
      </c>
      <c r="Q135" s="124"/>
      <c r="R135" s="1"/>
    </row>
    <row r="136" spans="1:18" ht="13.5" thickBot="1" x14ac:dyDescent="0.25">
      <c r="A136" s="123">
        <v>53</v>
      </c>
      <c r="B136" s="123">
        <v>22</v>
      </c>
      <c r="C136" s="123">
        <v>31</v>
      </c>
      <c r="D136" s="123">
        <v>0</v>
      </c>
      <c r="E136" s="123">
        <v>0</v>
      </c>
      <c r="F136" s="123">
        <v>0</v>
      </c>
      <c r="G136" s="123">
        <v>1</v>
      </c>
      <c r="H136" s="123">
        <v>0</v>
      </c>
      <c r="I136" s="123">
        <v>1</v>
      </c>
      <c r="J136" s="123">
        <v>23</v>
      </c>
      <c r="K136" s="123">
        <v>16</v>
      </c>
      <c r="L136" s="123">
        <v>7</v>
      </c>
      <c r="M136" s="123">
        <v>29</v>
      </c>
      <c r="N136" s="123">
        <v>6</v>
      </c>
      <c r="O136" s="123">
        <v>23</v>
      </c>
      <c r="P136" s="7" t="s">
        <v>162</v>
      </c>
      <c r="Q136" s="124" t="s">
        <v>355</v>
      </c>
      <c r="R136" s="1"/>
    </row>
    <row r="137" spans="1:18" ht="13.5" thickBot="1" x14ac:dyDescent="0.25">
      <c r="A137" s="123">
        <v>128</v>
      </c>
      <c r="B137" s="123">
        <v>71</v>
      </c>
      <c r="C137" s="123">
        <v>57</v>
      </c>
      <c r="D137" s="123">
        <v>0</v>
      </c>
      <c r="E137" s="123">
        <v>0</v>
      </c>
      <c r="F137" s="123">
        <v>0</v>
      </c>
      <c r="G137" s="123">
        <v>42</v>
      </c>
      <c r="H137" s="123">
        <v>34</v>
      </c>
      <c r="I137" s="123">
        <v>8</v>
      </c>
      <c r="J137" s="123">
        <v>39</v>
      </c>
      <c r="K137" s="123">
        <v>30</v>
      </c>
      <c r="L137" s="123">
        <v>9</v>
      </c>
      <c r="M137" s="123">
        <v>47</v>
      </c>
      <c r="N137" s="123">
        <v>7</v>
      </c>
      <c r="O137" s="123">
        <v>40</v>
      </c>
      <c r="P137" s="7" t="s">
        <v>13</v>
      </c>
      <c r="Q137" s="9"/>
      <c r="R137" s="1"/>
    </row>
    <row r="138" spans="1:18" ht="13.5" thickBot="1" x14ac:dyDescent="0.25">
      <c r="A138" s="123">
        <v>5</v>
      </c>
      <c r="B138" s="123">
        <v>0</v>
      </c>
      <c r="C138" s="123">
        <v>5</v>
      </c>
      <c r="D138" s="123">
        <v>1</v>
      </c>
      <c r="E138" s="123">
        <v>0</v>
      </c>
      <c r="F138" s="123">
        <v>1</v>
      </c>
      <c r="G138" s="123">
        <v>0</v>
      </c>
      <c r="H138" s="123">
        <v>0</v>
      </c>
      <c r="I138" s="123">
        <v>0</v>
      </c>
      <c r="J138" s="123">
        <v>1</v>
      </c>
      <c r="K138" s="123">
        <v>0</v>
      </c>
      <c r="L138" s="123">
        <v>1</v>
      </c>
      <c r="M138" s="123">
        <v>3</v>
      </c>
      <c r="N138" s="123">
        <v>0</v>
      </c>
      <c r="O138" s="123">
        <v>3</v>
      </c>
      <c r="P138" s="7" t="s">
        <v>163</v>
      </c>
      <c r="Q138" s="124"/>
      <c r="R138" s="1"/>
    </row>
    <row r="139" spans="1:18" ht="13.5" thickBot="1" x14ac:dyDescent="0.25">
      <c r="A139" s="123">
        <v>22</v>
      </c>
      <c r="B139" s="123">
        <v>0</v>
      </c>
      <c r="C139" s="123">
        <v>22</v>
      </c>
      <c r="D139" s="123">
        <v>1</v>
      </c>
      <c r="E139" s="123">
        <v>0</v>
      </c>
      <c r="F139" s="123">
        <v>1</v>
      </c>
      <c r="G139" s="123">
        <v>0</v>
      </c>
      <c r="H139" s="123">
        <v>0</v>
      </c>
      <c r="I139" s="123">
        <v>0</v>
      </c>
      <c r="J139" s="123">
        <v>11</v>
      </c>
      <c r="K139" s="123">
        <v>0</v>
      </c>
      <c r="L139" s="123">
        <v>11</v>
      </c>
      <c r="M139" s="123">
        <v>10</v>
      </c>
      <c r="N139" s="123">
        <v>0</v>
      </c>
      <c r="O139" s="123">
        <v>10</v>
      </c>
      <c r="P139" s="7" t="s">
        <v>162</v>
      </c>
      <c r="Q139" s="124" t="s">
        <v>88</v>
      </c>
      <c r="R139" s="1"/>
    </row>
    <row r="140" spans="1:18" ht="13.5" thickBot="1" x14ac:dyDescent="0.25">
      <c r="A140" s="123">
        <v>27</v>
      </c>
      <c r="B140" s="123">
        <v>0</v>
      </c>
      <c r="C140" s="123">
        <v>27</v>
      </c>
      <c r="D140" s="123">
        <v>2</v>
      </c>
      <c r="E140" s="123">
        <v>0</v>
      </c>
      <c r="F140" s="123">
        <v>2</v>
      </c>
      <c r="G140" s="123">
        <v>0</v>
      </c>
      <c r="H140" s="123">
        <v>0</v>
      </c>
      <c r="I140" s="123">
        <v>0</v>
      </c>
      <c r="J140" s="123">
        <v>12</v>
      </c>
      <c r="K140" s="123">
        <v>0</v>
      </c>
      <c r="L140" s="123">
        <v>12</v>
      </c>
      <c r="M140" s="123">
        <v>13</v>
      </c>
      <c r="N140" s="123">
        <v>0</v>
      </c>
      <c r="O140" s="123">
        <v>13</v>
      </c>
      <c r="P140" s="7" t="s">
        <v>13</v>
      </c>
      <c r="Q140" s="9"/>
      <c r="R140" s="1"/>
    </row>
    <row r="141" spans="1:18" ht="13.5" thickBot="1" x14ac:dyDescent="0.25">
      <c r="A141" s="123">
        <v>26</v>
      </c>
      <c r="B141" s="123">
        <v>2</v>
      </c>
      <c r="C141" s="123">
        <v>24</v>
      </c>
      <c r="D141" s="123">
        <v>5</v>
      </c>
      <c r="E141" s="123">
        <v>0</v>
      </c>
      <c r="F141" s="123">
        <v>5</v>
      </c>
      <c r="G141" s="123">
        <v>8</v>
      </c>
      <c r="H141" s="123">
        <v>2</v>
      </c>
      <c r="I141" s="123">
        <v>6</v>
      </c>
      <c r="J141" s="123">
        <v>5</v>
      </c>
      <c r="K141" s="123">
        <v>0</v>
      </c>
      <c r="L141" s="123">
        <v>5</v>
      </c>
      <c r="M141" s="123">
        <v>8</v>
      </c>
      <c r="N141" s="123">
        <v>0</v>
      </c>
      <c r="O141" s="123">
        <v>8</v>
      </c>
      <c r="P141" s="7" t="s">
        <v>163</v>
      </c>
      <c r="Q141" s="124"/>
      <c r="R141" s="1"/>
    </row>
    <row r="142" spans="1:18" ht="13.5" thickBot="1" x14ac:dyDescent="0.25">
      <c r="A142" s="123">
        <v>7</v>
      </c>
      <c r="B142" s="123">
        <v>0</v>
      </c>
      <c r="C142" s="123">
        <v>7</v>
      </c>
      <c r="D142" s="123">
        <v>1</v>
      </c>
      <c r="E142" s="123">
        <v>0</v>
      </c>
      <c r="F142" s="123">
        <v>1</v>
      </c>
      <c r="G142" s="123">
        <v>0</v>
      </c>
      <c r="H142" s="123">
        <v>0</v>
      </c>
      <c r="I142" s="123">
        <v>0</v>
      </c>
      <c r="J142" s="123">
        <v>0</v>
      </c>
      <c r="K142" s="123">
        <v>0</v>
      </c>
      <c r="L142" s="123">
        <v>0</v>
      </c>
      <c r="M142" s="123">
        <v>6</v>
      </c>
      <c r="N142" s="123">
        <v>0</v>
      </c>
      <c r="O142" s="123">
        <v>6</v>
      </c>
      <c r="P142" s="7" t="s">
        <v>162</v>
      </c>
      <c r="Q142" s="124" t="s">
        <v>242</v>
      </c>
      <c r="R142" s="1"/>
    </row>
    <row r="143" spans="1:18" ht="13.5" thickBot="1" x14ac:dyDescent="0.25">
      <c r="A143" s="123">
        <v>33</v>
      </c>
      <c r="B143" s="123">
        <v>2</v>
      </c>
      <c r="C143" s="123">
        <v>31</v>
      </c>
      <c r="D143" s="123">
        <v>6</v>
      </c>
      <c r="E143" s="123">
        <v>0</v>
      </c>
      <c r="F143" s="123">
        <v>6</v>
      </c>
      <c r="G143" s="123">
        <v>8</v>
      </c>
      <c r="H143" s="123">
        <v>2</v>
      </c>
      <c r="I143" s="123">
        <v>6</v>
      </c>
      <c r="J143" s="123">
        <v>5</v>
      </c>
      <c r="K143" s="123">
        <v>0</v>
      </c>
      <c r="L143" s="123">
        <v>5</v>
      </c>
      <c r="M143" s="123">
        <v>14</v>
      </c>
      <c r="N143" s="123">
        <v>0</v>
      </c>
      <c r="O143" s="123">
        <v>14</v>
      </c>
      <c r="P143" s="7" t="s">
        <v>13</v>
      </c>
      <c r="Q143" s="9"/>
      <c r="R143" s="1"/>
    </row>
    <row r="144" spans="1:18" ht="13.5" thickBot="1" x14ac:dyDescent="0.25">
      <c r="A144" s="123">
        <v>44</v>
      </c>
      <c r="B144" s="123">
        <v>44</v>
      </c>
      <c r="C144" s="123">
        <v>0</v>
      </c>
      <c r="D144" s="123">
        <v>0</v>
      </c>
      <c r="E144" s="123">
        <v>0</v>
      </c>
      <c r="F144" s="123">
        <v>0</v>
      </c>
      <c r="G144" s="123">
        <v>24</v>
      </c>
      <c r="H144" s="123">
        <v>24</v>
      </c>
      <c r="I144" s="123">
        <v>0</v>
      </c>
      <c r="J144" s="123">
        <v>18</v>
      </c>
      <c r="K144" s="123">
        <v>18</v>
      </c>
      <c r="L144" s="123">
        <v>0</v>
      </c>
      <c r="M144" s="123">
        <v>2</v>
      </c>
      <c r="N144" s="123">
        <v>2</v>
      </c>
      <c r="O144" s="123">
        <v>0</v>
      </c>
      <c r="P144" s="7" t="s">
        <v>163</v>
      </c>
      <c r="Q144" s="124"/>
      <c r="R144" s="1"/>
    </row>
    <row r="145" spans="1:18" ht="13.5" thickBot="1" x14ac:dyDescent="0.25">
      <c r="A145" s="123">
        <v>1</v>
      </c>
      <c r="B145" s="123">
        <v>1</v>
      </c>
      <c r="C145" s="123">
        <v>0</v>
      </c>
      <c r="D145" s="123">
        <v>0</v>
      </c>
      <c r="E145" s="123">
        <v>0</v>
      </c>
      <c r="F145" s="123">
        <v>0</v>
      </c>
      <c r="G145" s="123">
        <v>0</v>
      </c>
      <c r="H145" s="123">
        <v>0</v>
      </c>
      <c r="I145" s="123">
        <v>0</v>
      </c>
      <c r="J145" s="123">
        <v>0</v>
      </c>
      <c r="K145" s="123">
        <v>0</v>
      </c>
      <c r="L145" s="123">
        <v>0</v>
      </c>
      <c r="M145" s="123">
        <v>1</v>
      </c>
      <c r="N145" s="123">
        <v>1</v>
      </c>
      <c r="O145" s="123">
        <v>0</v>
      </c>
      <c r="P145" s="7" t="s">
        <v>162</v>
      </c>
      <c r="Q145" s="124" t="s">
        <v>356</v>
      </c>
      <c r="R145" s="1"/>
    </row>
    <row r="146" spans="1:18" ht="13.5" thickBot="1" x14ac:dyDescent="0.25">
      <c r="A146" s="123">
        <v>45</v>
      </c>
      <c r="B146" s="123">
        <v>45</v>
      </c>
      <c r="C146" s="123">
        <v>0</v>
      </c>
      <c r="D146" s="123">
        <v>0</v>
      </c>
      <c r="E146" s="123">
        <v>0</v>
      </c>
      <c r="F146" s="123">
        <v>0</v>
      </c>
      <c r="G146" s="123">
        <v>24</v>
      </c>
      <c r="H146" s="123">
        <v>24</v>
      </c>
      <c r="I146" s="123">
        <v>0</v>
      </c>
      <c r="J146" s="123">
        <v>18</v>
      </c>
      <c r="K146" s="123">
        <v>18</v>
      </c>
      <c r="L146" s="123">
        <v>0</v>
      </c>
      <c r="M146" s="123">
        <v>3</v>
      </c>
      <c r="N146" s="123">
        <v>3</v>
      </c>
      <c r="O146" s="123">
        <v>0</v>
      </c>
      <c r="P146" s="7" t="s">
        <v>13</v>
      </c>
      <c r="Q146" s="9"/>
      <c r="R146" s="1"/>
    </row>
    <row r="147" spans="1:18" ht="13.5" thickBot="1" x14ac:dyDescent="0.25">
      <c r="A147" s="123">
        <v>214</v>
      </c>
      <c r="B147" s="123">
        <v>61</v>
      </c>
      <c r="C147" s="123">
        <v>153</v>
      </c>
      <c r="D147" s="123">
        <v>0</v>
      </c>
      <c r="E147" s="123">
        <v>0</v>
      </c>
      <c r="F147" s="123">
        <v>0</v>
      </c>
      <c r="G147" s="123">
        <v>67</v>
      </c>
      <c r="H147" s="123">
        <v>35</v>
      </c>
      <c r="I147" s="123">
        <v>32</v>
      </c>
      <c r="J147" s="123">
        <v>49</v>
      </c>
      <c r="K147" s="123">
        <v>19</v>
      </c>
      <c r="L147" s="123">
        <v>30</v>
      </c>
      <c r="M147" s="123">
        <v>98</v>
      </c>
      <c r="N147" s="123">
        <v>7</v>
      </c>
      <c r="O147" s="123">
        <v>91</v>
      </c>
      <c r="P147" s="7" t="s">
        <v>163</v>
      </c>
      <c r="Q147" s="124"/>
      <c r="R147" s="1"/>
    </row>
    <row r="148" spans="1:18" ht="13.5" thickBot="1" x14ac:dyDescent="0.25">
      <c r="A148" s="123">
        <v>12</v>
      </c>
      <c r="B148" s="123">
        <v>1</v>
      </c>
      <c r="C148" s="123">
        <v>11</v>
      </c>
      <c r="D148" s="123">
        <v>0</v>
      </c>
      <c r="E148" s="123">
        <v>0</v>
      </c>
      <c r="F148" s="123">
        <v>0</v>
      </c>
      <c r="G148" s="123">
        <v>0</v>
      </c>
      <c r="H148" s="123">
        <v>0</v>
      </c>
      <c r="I148" s="123">
        <v>0</v>
      </c>
      <c r="J148" s="123">
        <v>0</v>
      </c>
      <c r="K148" s="123">
        <v>0</v>
      </c>
      <c r="L148" s="123">
        <v>0</v>
      </c>
      <c r="M148" s="123">
        <v>12</v>
      </c>
      <c r="N148" s="123">
        <v>1</v>
      </c>
      <c r="O148" s="123">
        <v>11</v>
      </c>
      <c r="P148" s="7" t="s">
        <v>162</v>
      </c>
      <c r="Q148" s="124" t="s">
        <v>348</v>
      </c>
      <c r="R148" s="1"/>
    </row>
    <row r="149" spans="1:18" ht="13.5" thickBot="1" x14ac:dyDescent="0.25">
      <c r="A149" s="123">
        <v>226</v>
      </c>
      <c r="B149" s="123">
        <v>62</v>
      </c>
      <c r="C149" s="123">
        <v>164</v>
      </c>
      <c r="D149" s="123">
        <v>0</v>
      </c>
      <c r="E149" s="123">
        <v>0</v>
      </c>
      <c r="F149" s="123">
        <v>0</v>
      </c>
      <c r="G149" s="123">
        <v>67</v>
      </c>
      <c r="H149" s="123">
        <v>35</v>
      </c>
      <c r="I149" s="123">
        <v>32</v>
      </c>
      <c r="J149" s="123">
        <v>49</v>
      </c>
      <c r="K149" s="123">
        <v>19</v>
      </c>
      <c r="L149" s="123">
        <v>30</v>
      </c>
      <c r="M149" s="123">
        <v>110</v>
      </c>
      <c r="N149" s="123">
        <v>8</v>
      </c>
      <c r="O149" s="123">
        <v>102</v>
      </c>
      <c r="P149" s="7" t="s">
        <v>13</v>
      </c>
      <c r="Q149" s="9"/>
      <c r="R149" s="1"/>
    </row>
    <row r="150" spans="1:18" ht="13.5" thickBot="1" x14ac:dyDescent="0.25">
      <c r="A150" s="123">
        <v>346</v>
      </c>
      <c r="B150" s="123">
        <v>124</v>
      </c>
      <c r="C150" s="123">
        <v>222</v>
      </c>
      <c r="D150" s="123">
        <v>1</v>
      </c>
      <c r="E150" s="123">
        <v>0</v>
      </c>
      <c r="F150" s="123">
        <v>1</v>
      </c>
      <c r="G150" s="123">
        <v>142</v>
      </c>
      <c r="H150" s="123">
        <v>85</v>
      </c>
      <c r="I150" s="123">
        <v>57</v>
      </c>
      <c r="J150" s="123">
        <v>47</v>
      </c>
      <c r="K150" s="123">
        <v>31</v>
      </c>
      <c r="L150" s="123">
        <v>16</v>
      </c>
      <c r="M150" s="123">
        <v>156</v>
      </c>
      <c r="N150" s="123">
        <v>8</v>
      </c>
      <c r="O150" s="123">
        <v>148</v>
      </c>
      <c r="P150" s="7" t="s">
        <v>163</v>
      </c>
      <c r="Q150" s="124"/>
      <c r="R150" s="1"/>
    </row>
    <row r="151" spans="1:18" ht="13.5" thickBot="1" x14ac:dyDescent="0.25">
      <c r="A151" s="123">
        <v>37</v>
      </c>
      <c r="B151" s="123">
        <v>9</v>
      </c>
      <c r="C151" s="123">
        <v>28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>
        <v>0</v>
      </c>
      <c r="M151" s="123">
        <v>37</v>
      </c>
      <c r="N151" s="123">
        <v>9</v>
      </c>
      <c r="O151" s="123">
        <v>28</v>
      </c>
      <c r="P151" s="7" t="s">
        <v>162</v>
      </c>
      <c r="Q151" s="124" t="s">
        <v>357</v>
      </c>
      <c r="R151" s="1"/>
    </row>
    <row r="152" spans="1:18" ht="13.5" thickBot="1" x14ac:dyDescent="0.25">
      <c r="A152" s="123">
        <v>383</v>
      </c>
      <c r="B152" s="123">
        <v>133</v>
      </c>
      <c r="C152" s="123">
        <v>250</v>
      </c>
      <c r="D152" s="123">
        <v>1</v>
      </c>
      <c r="E152" s="123">
        <v>0</v>
      </c>
      <c r="F152" s="123">
        <v>1</v>
      </c>
      <c r="G152" s="123">
        <v>142</v>
      </c>
      <c r="H152" s="123">
        <v>85</v>
      </c>
      <c r="I152" s="123">
        <v>57</v>
      </c>
      <c r="J152" s="123">
        <v>47</v>
      </c>
      <c r="K152" s="123">
        <v>31</v>
      </c>
      <c r="L152" s="123">
        <v>16</v>
      </c>
      <c r="M152" s="123">
        <v>193</v>
      </c>
      <c r="N152" s="123">
        <v>17</v>
      </c>
      <c r="O152" s="123">
        <v>176</v>
      </c>
      <c r="P152" s="7" t="s">
        <v>13</v>
      </c>
      <c r="Q152" s="9"/>
      <c r="R152" s="1"/>
    </row>
    <row r="153" spans="1:18" ht="13.5" thickBot="1" x14ac:dyDescent="0.25">
      <c r="A153" s="123">
        <v>4</v>
      </c>
      <c r="B153" s="123">
        <v>0</v>
      </c>
      <c r="C153" s="123">
        <v>4</v>
      </c>
      <c r="D153" s="123">
        <v>1</v>
      </c>
      <c r="E153" s="123">
        <v>0</v>
      </c>
      <c r="F153" s="123">
        <v>1</v>
      </c>
      <c r="G153" s="123">
        <v>0</v>
      </c>
      <c r="H153" s="123">
        <v>0</v>
      </c>
      <c r="I153" s="123">
        <v>0</v>
      </c>
      <c r="J153" s="123">
        <v>2</v>
      </c>
      <c r="K153" s="123">
        <v>0</v>
      </c>
      <c r="L153" s="123">
        <v>2</v>
      </c>
      <c r="M153" s="123">
        <v>1</v>
      </c>
      <c r="N153" s="123">
        <v>0</v>
      </c>
      <c r="O153" s="123">
        <v>1</v>
      </c>
      <c r="P153" s="7" t="s">
        <v>163</v>
      </c>
      <c r="Q153" s="124"/>
      <c r="R153" s="1"/>
    </row>
    <row r="154" spans="1:18" ht="13.5" thickBot="1" x14ac:dyDescent="0.25">
      <c r="A154" s="123">
        <v>19</v>
      </c>
      <c r="B154" s="123">
        <v>0</v>
      </c>
      <c r="C154" s="123">
        <v>19</v>
      </c>
      <c r="D154" s="123">
        <v>2</v>
      </c>
      <c r="E154" s="123">
        <v>0</v>
      </c>
      <c r="F154" s="123">
        <v>2</v>
      </c>
      <c r="G154" s="123">
        <v>0</v>
      </c>
      <c r="H154" s="123">
        <v>0</v>
      </c>
      <c r="I154" s="123">
        <v>0</v>
      </c>
      <c r="J154" s="123">
        <v>7</v>
      </c>
      <c r="K154" s="123">
        <v>0</v>
      </c>
      <c r="L154" s="123">
        <v>7</v>
      </c>
      <c r="M154" s="123">
        <v>10</v>
      </c>
      <c r="N154" s="123">
        <v>0</v>
      </c>
      <c r="O154" s="123">
        <v>10</v>
      </c>
      <c r="P154" s="7" t="s">
        <v>162</v>
      </c>
      <c r="Q154" s="124" t="s">
        <v>89</v>
      </c>
      <c r="R154" s="1"/>
    </row>
    <row r="155" spans="1:18" ht="13.5" thickBot="1" x14ac:dyDescent="0.25">
      <c r="A155" s="123">
        <v>23</v>
      </c>
      <c r="B155" s="123">
        <v>0</v>
      </c>
      <c r="C155" s="123">
        <v>23</v>
      </c>
      <c r="D155" s="123">
        <v>3</v>
      </c>
      <c r="E155" s="123">
        <v>0</v>
      </c>
      <c r="F155" s="123">
        <v>3</v>
      </c>
      <c r="G155" s="123">
        <v>0</v>
      </c>
      <c r="H155" s="123">
        <v>0</v>
      </c>
      <c r="I155" s="123">
        <v>0</v>
      </c>
      <c r="J155" s="123">
        <v>9</v>
      </c>
      <c r="K155" s="123">
        <v>0</v>
      </c>
      <c r="L155" s="123">
        <v>9</v>
      </c>
      <c r="M155" s="123">
        <v>11</v>
      </c>
      <c r="N155" s="123">
        <v>0</v>
      </c>
      <c r="O155" s="123">
        <v>11</v>
      </c>
      <c r="P155" s="7" t="s">
        <v>13</v>
      </c>
      <c r="Q155" s="9"/>
      <c r="R155" s="1"/>
    </row>
    <row r="156" spans="1:18" ht="13.5" thickBot="1" x14ac:dyDescent="0.25">
      <c r="A156" s="123">
        <v>50</v>
      </c>
      <c r="B156" s="123">
        <v>16</v>
      </c>
      <c r="C156" s="123">
        <v>34</v>
      </c>
      <c r="D156" s="123">
        <v>0</v>
      </c>
      <c r="E156" s="123">
        <v>0</v>
      </c>
      <c r="F156" s="123">
        <v>0</v>
      </c>
      <c r="G156" s="123">
        <v>20</v>
      </c>
      <c r="H156" s="123">
        <v>14</v>
      </c>
      <c r="I156" s="123">
        <v>6</v>
      </c>
      <c r="J156" s="123">
        <v>5</v>
      </c>
      <c r="K156" s="123">
        <v>2</v>
      </c>
      <c r="L156" s="123">
        <v>3</v>
      </c>
      <c r="M156" s="123">
        <v>25</v>
      </c>
      <c r="N156" s="123">
        <v>0</v>
      </c>
      <c r="O156" s="123">
        <v>25</v>
      </c>
      <c r="P156" s="7" t="s">
        <v>163</v>
      </c>
      <c r="Q156" s="124"/>
      <c r="R156" s="1"/>
    </row>
    <row r="157" spans="1:18" ht="13.5" thickBot="1" x14ac:dyDescent="0.25">
      <c r="A157" s="123">
        <v>14</v>
      </c>
      <c r="B157" s="123">
        <v>4</v>
      </c>
      <c r="C157" s="123">
        <v>10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14</v>
      </c>
      <c r="N157" s="123">
        <v>4</v>
      </c>
      <c r="O157" s="123">
        <v>10</v>
      </c>
      <c r="P157" s="7" t="s">
        <v>162</v>
      </c>
      <c r="Q157" s="124" t="s">
        <v>358</v>
      </c>
      <c r="R157" s="1"/>
    </row>
    <row r="158" spans="1:18" ht="13.5" thickBot="1" x14ac:dyDescent="0.25">
      <c r="A158" s="123">
        <v>64</v>
      </c>
      <c r="B158" s="123">
        <v>20</v>
      </c>
      <c r="C158" s="123">
        <v>44</v>
      </c>
      <c r="D158" s="123">
        <v>0</v>
      </c>
      <c r="E158" s="123">
        <v>0</v>
      </c>
      <c r="F158" s="123">
        <v>0</v>
      </c>
      <c r="G158" s="123">
        <v>20</v>
      </c>
      <c r="H158" s="123">
        <v>14</v>
      </c>
      <c r="I158" s="123">
        <v>6</v>
      </c>
      <c r="J158" s="123">
        <v>5</v>
      </c>
      <c r="K158" s="123">
        <v>2</v>
      </c>
      <c r="L158" s="123">
        <v>3</v>
      </c>
      <c r="M158" s="123">
        <v>39</v>
      </c>
      <c r="N158" s="123">
        <v>4</v>
      </c>
      <c r="O158" s="123">
        <v>35</v>
      </c>
      <c r="P158" s="7" t="s">
        <v>13</v>
      </c>
      <c r="Q158" s="9"/>
      <c r="R158" s="1"/>
    </row>
    <row r="159" spans="1:18" ht="13.5" thickBot="1" x14ac:dyDescent="0.25">
      <c r="A159" s="123">
        <v>34</v>
      </c>
      <c r="B159" s="123">
        <v>27</v>
      </c>
      <c r="C159" s="123">
        <v>7</v>
      </c>
      <c r="D159" s="123">
        <v>0</v>
      </c>
      <c r="E159" s="123">
        <v>0</v>
      </c>
      <c r="F159" s="123">
        <v>0</v>
      </c>
      <c r="G159" s="123">
        <v>22</v>
      </c>
      <c r="H159" s="123">
        <v>19</v>
      </c>
      <c r="I159" s="123">
        <v>3</v>
      </c>
      <c r="J159" s="123">
        <v>11</v>
      </c>
      <c r="K159" s="123">
        <v>8</v>
      </c>
      <c r="L159" s="123">
        <v>3</v>
      </c>
      <c r="M159" s="123">
        <v>1</v>
      </c>
      <c r="N159" s="123">
        <v>0</v>
      </c>
      <c r="O159" s="123">
        <v>1</v>
      </c>
      <c r="P159" s="7" t="s">
        <v>163</v>
      </c>
      <c r="Q159" s="124"/>
      <c r="R159" s="1"/>
    </row>
    <row r="160" spans="1:18" ht="13.5" thickBot="1" x14ac:dyDescent="0.25">
      <c r="A160" s="123">
        <v>41</v>
      </c>
      <c r="B160" s="123">
        <v>18</v>
      </c>
      <c r="C160" s="123">
        <v>23</v>
      </c>
      <c r="D160" s="123">
        <v>0</v>
      </c>
      <c r="E160" s="123">
        <v>0</v>
      </c>
      <c r="F160" s="123">
        <v>0</v>
      </c>
      <c r="G160" s="123">
        <v>0</v>
      </c>
      <c r="H160" s="123">
        <v>0</v>
      </c>
      <c r="I160" s="123">
        <v>0</v>
      </c>
      <c r="J160" s="123">
        <v>8</v>
      </c>
      <c r="K160" s="123">
        <v>6</v>
      </c>
      <c r="L160" s="123">
        <v>2</v>
      </c>
      <c r="M160" s="123">
        <v>33</v>
      </c>
      <c r="N160" s="123">
        <v>12</v>
      </c>
      <c r="O160" s="123">
        <v>21</v>
      </c>
      <c r="P160" s="7" t="s">
        <v>162</v>
      </c>
      <c r="Q160" s="124" t="s">
        <v>359</v>
      </c>
      <c r="R160" s="1"/>
    </row>
    <row r="161" spans="1:18" ht="13.5" thickBot="1" x14ac:dyDescent="0.25">
      <c r="A161" s="123">
        <v>75</v>
      </c>
      <c r="B161" s="123">
        <v>45</v>
      </c>
      <c r="C161" s="123">
        <v>30</v>
      </c>
      <c r="D161" s="123">
        <v>0</v>
      </c>
      <c r="E161" s="123">
        <v>0</v>
      </c>
      <c r="F161" s="123">
        <v>0</v>
      </c>
      <c r="G161" s="123">
        <v>22</v>
      </c>
      <c r="H161" s="123">
        <v>19</v>
      </c>
      <c r="I161" s="123">
        <v>3</v>
      </c>
      <c r="J161" s="123">
        <v>19</v>
      </c>
      <c r="K161" s="123">
        <v>14</v>
      </c>
      <c r="L161" s="123">
        <v>5</v>
      </c>
      <c r="M161" s="123">
        <v>34</v>
      </c>
      <c r="N161" s="123">
        <v>12</v>
      </c>
      <c r="O161" s="123">
        <v>22</v>
      </c>
      <c r="P161" s="7" t="s">
        <v>13</v>
      </c>
      <c r="Q161" s="9"/>
      <c r="R161" s="1"/>
    </row>
    <row r="162" spans="1:18" ht="13.5" thickBot="1" x14ac:dyDescent="0.25">
      <c r="A162" s="123">
        <v>1436</v>
      </c>
      <c r="B162" s="123">
        <v>491</v>
      </c>
      <c r="C162" s="123">
        <v>945</v>
      </c>
      <c r="D162" s="123">
        <v>22</v>
      </c>
      <c r="E162" s="123">
        <v>10</v>
      </c>
      <c r="F162" s="123">
        <v>12</v>
      </c>
      <c r="G162" s="123">
        <v>527</v>
      </c>
      <c r="H162" s="123">
        <v>303</v>
      </c>
      <c r="I162" s="123">
        <v>224</v>
      </c>
      <c r="J162" s="123">
        <v>290</v>
      </c>
      <c r="K162" s="123">
        <v>135</v>
      </c>
      <c r="L162" s="123">
        <v>155</v>
      </c>
      <c r="M162" s="123">
        <v>597</v>
      </c>
      <c r="N162" s="123">
        <v>43</v>
      </c>
      <c r="O162" s="123">
        <v>554</v>
      </c>
      <c r="P162" s="7" t="s">
        <v>163</v>
      </c>
      <c r="Q162" s="3"/>
      <c r="R162" s="1"/>
    </row>
    <row r="163" spans="1:18" ht="13.5" thickBot="1" x14ac:dyDescent="0.25">
      <c r="A163" s="123">
        <v>328</v>
      </c>
      <c r="B163" s="123">
        <v>69</v>
      </c>
      <c r="C163" s="123">
        <v>259</v>
      </c>
      <c r="D163" s="123">
        <v>20</v>
      </c>
      <c r="E163" s="123">
        <v>1</v>
      </c>
      <c r="F163" s="123">
        <v>19</v>
      </c>
      <c r="G163" s="123">
        <v>1</v>
      </c>
      <c r="H163" s="123">
        <v>0</v>
      </c>
      <c r="I163" s="123">
        <v>1</v>
      </c>
      <c r="J163" s="123">
        <v>55</v>
      </c>
      <c r="K163" s="123">
        <v>25</v>
      </c>
      <c r="L163" s="123">
        <v>30</v>
      </c>
      <c r="M163" s="123">
        <v>252</v>
      </c>
      <c r="N163" s="123">
        <v>43</v>
      </c>
      <c r="O163" s="123">
        <v>209</v>
      </c>
      <c r="P163" s="7" t="s">
        <v>162</v>
      </c>
      <c r="Q163" s="11" t="s">
        <v>211</v>
      </c>
      <c r="R163" s="1"/>
    </row>
    <row r="164" spans="1:18" ht="13.5" thickBot="1" x14ac:dyDescent="0.25">
      <c r="A164" s="123">
        <v>1764</v>
      </c>
      <c r="B164" s="123">
        <v>560</v>
      </c>
      <c r="C164" s="123">
        <v>1204</v>
      </c>
      <c r="D164" s="123">
        <v>42</v>
      </c>
      <c r="E164" s="123">
        <v>11</v>
      </c>
      <c r="F164" s="123">
        <v>31</v>
      </c>
      <c r="G164" s="123">
        <v>528</v>
      </c>
      <c r="H164" s="123">
        <v>303</v>
      </c>
      <c r="I164" s="123">
        <v>225</v>
      </c>
      <c r="J164" s="123">
        <v>345</v>
      </c>
      <c r="K164" s="123">
        <v>160</v>
      </c>
      <c r="L164" s="123">
        <v>185</v>
      </c>
      <c r="M164" s="123">
        <v>849</v>
      </c>
      <c r="N164" s="123">
        <v>86</v>
      </c>
      <c r="O164" s="123">
        <v>763</v>
      </c>
      <c r="P164" s="7" t="s">
        <v>13</v>
      </c>
      <c r="Q164" s="5"/>
      <c r="R164" s="1"/>
    </row>
    <row r="165" spans="1:18" ht="18" customHeight="1" x14ac:dyDescent="0.2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1"/>
    </row>
    <row r="166" spans="1:18" ht="18" customHeight="1" x14ac:dyDescent="0.2">
      <c r="A166" s="159" t="s">
        <v>643</v>
      </c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"/>
    </row>
    <row r="167" spans="1:18" ht="18" customHeight="1" thickBot="1" x14ac:dyDescent="0.25">
      <c r="A167" s="160" t="s">
        <v>644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"/>
    </row>
    <row r="168" spans="1:18" ht="13.5" thickBot="1" x14ac:dyDescent="0.25">
      <c r="A168" s="204" t="s">
        <v>5</v>
      </c>
      <c r="B168" s="204"/>
      <c r="C168" s="204"/>
      <c r="D168" s="204" t="s">
        <v>57</v>
      </c>
      <c r="E168" s="204"/>
      <c r="F168" s="204"/>
      <c r="G168" s="204" t="s">
        <v>65</v>
      </c>
      <c r="H168" s="204"/>
      <c r="I168" s="204"/>
      <c r="J168" s="204" t="s">
        <v>62</v>
      </c>
      <c r="K168" s="204"/>
      <c r="L168" s="204"/>
      <c r="M168" s="204" t="s">
        <v>61</v>
      </c>
      <c r="N168" s="204"/>
      <c r="O168" s="204"/>
      <c r="P168" s="205" t="s">
        <v>645</v>
      </c>
      <c r="Q168" s="47" t="s">
        <v>161</v>
      </c>
      <c r="R168" s="1"/>
    </row>
    <row r="169" spans="1:18" ht="13.5" thickBot="1" x14ac:dyDescent="0.25">
      <c r="A169" s="47" t="s">
        <v>216</v>
      </c>
      <c r="B169" s="47" t="s">
        <v>11</v>
      </c>
      <c r="C169" s="47" t="s">
        <v>10</v>
      </c>
      <c r="D169" s="47" t="s">
        <v>216</v>
      </c>
      <c r="E169" s="47" t="s">
        <v>11</v>
      </c>
      <c r="F169" s="47" t="s">
        <v>10</v>
      </c>
      <c r="G169" s="47" t="s">
        <v>216</v>
      </c>
      <c r="H169" s="47" t="s">
        <v>11</v>
      </c>
      <c r="I169" s="47" t="s">
        <v>10</v>
      </c>
      <c r="J169" s="47" t="s">
        <v>216</v>
      </c>
      <c r="K169" s="47" t="s">
        <v>11</v>
      </c>
      <c r="L169" s="47" t="s">
        <v>10</v>
      </c>
      <c r="M169" s="47" t="s">
        <v>216</v>
      </c>
      <c r="N169" s="47" t="s">
        <v>11</v>
      </c>
      <c r="O169" s="47" t="s">
        <v>10</v>
      </c>
      <c r="P169" s="206"/>
      <c r="Q169" s="5" t="s">
        <v>78</v>
      </c>
      <c r="R169" s="1"/>
    </row>
    <row r="170" spans="1:18" ht="12.75" customHeight="1" thickBot="1" x14ac:dyDescent="0.25">
      <c r="A170" s="123">
        <v>136</v>
      </c>
      <c r="B170" s="123">
        <v>15</v>
      </c>
      <c r="C170" s="123">
        <v>121</v>
      </c>
      <c r="D170" s="123">
        <v>0</v>
      </c>
      <c r="E170" s="123">
        <v>0</v>
      </c>
      <c r="F170" s="123">
        <v>0</v>
      </c>
      <c r="G170" s="123">
        <v>12</v>
      </c>
      <c r="H170" s="123">
        <v>5</v>
      </c>
      <c r="I170" s="123">
        <v>7</v>
      </c>
      <c r="J170" s="123">
        <v>14</v>
      </c>
      <c r="K170" s="123">
        <v>6</v>
      </c>
      <c r="L170" s="123">
        <v>8</v>
      </c>
      <c r="M170" s="123">
        <v>110</v>
      </c>
      <c r="N170" s="123">
        <v>4</v>
      </c>
      <c r="O170" s="123">
        <v>106</v>
      </c>
      <c r="P170" s="7" t="s">
        <v>163</v>
      </c>
      <c r="Q170" s="124"/>
    </row>
    <row r="171" spans="1:18" ht="12.75" customHeight="1" thickBot="1" x14ac:dyDescent="0.25">
      <c r="A171" s="123">
        <v>76</v>
      </c>
      <c r="B171" s="123">
        <v>9</v>
      </c>
      <c r="C171" s="123">
        <v>67</v>
      </c>
      <c r="D171" s="123">
        <v>0</v>
      </c>
      <c r="E171" s="123">
        <v>0</v>
      </c>
      <c r="F171" s="123">
        <v>0</v>
      </c>
      <c r="G171" s="123">
        <v>14</v>
      </c>
      <c r="H171" s="123">
        <v>0</v>
      </c>
      <c r="I171" s="123">
        <v>14</v>
      </c>
      <c r="J171" s="123">
        <v>36</v>
      </c>
      <c r="K171" s="123">
        <v>2</v>
      </c>
      <c r="L171" s="123">
        <v>34</v>
      </c>
      <c r="M171" s="123">
        <v>26</v>
      </c>
      <c r="N171" s="123">
        <v>7</v>
      </c>
      <c r="O171" s="123">
        <v>19</v>
      </c>
      <c r="P171" s="7" t="s">
        <v>162</v>
      </c>
      <c r="Q171" s="124" t="s">
        <v>360</v>
      </c>
    </row>
    <row r="172" spans="1:18" ht="12.75" customHeight="1" thickBot="1" x14ac:dyDescent="0.25">
      <c r="A172" s="123">
        <v>212</v>
      </c>
      <c r="B172" s="123">
        <v>24</v>
      </c>
      <c r="C172" s="123">
        <v>188</v>
      </c>
      <c r="D172" s="123">
        <v>0</v>
      </c>
      <c r="E172" s="123">
        <v>0</v>
      </c>
      <c r="F172" s="123">
        <v>0</v>
      </c>
      <c r="G172" s="123">
        <v>26</v>
      </c>
      <c r="H172" s="123">
        <v>5</v>
      </c>
      <c r="I172" s="123">
        <v>21</v>
      </c>
      <c r="J172" s="123">
        <v>50</v>
      </c>
      <c r="K172" s="123">
        <v>8</v>
      </c>
      <c r="L172" s="123">
        <v>42</v>
      </c>
      <c r="M172" s="123">
        <v>136</v>
      </c>
      <c r="N172" s="123">
        <v>11</v>
      </c>
      <c r="O172" s="123">
        <v>125</v>
      </c>
      <c r="P172" s="7" t="s">
        <v>13</v>
      </c>
      <c r="Q172" s="9"/>
    </row>
    <row r="173" spans="1:18" ht="12.75" customHeight="1" thickBot="1" x14ac:dyDescent="0.25">
      <c r="A173" s="123">
        <v>115</v>
      </c>
      <c r="B173" s="123">
        <v>50</v>
      </c>
      <c r="C173" s="123">
        <v>65</v>
      </c>
      <c r="D173" s="123">
        <v>0</v>
      </c>
      <c r="E173" s="123">
        <v>0</v>
      </c>
      <c r="F173" s="123">
        <v>0</v>
      </c>
      <c r="G173" s="123">
        <v>33</v>
      </c>
      <c r="H173" s="123">
        <v>17</v>
      </c>
      <c r="I173" s="123">
        <v>16</v>
      </c>
      <c r="J173" s="123">
        <v>22</v>
      </c>
      <c r="K173" s="123">
        <v>21</v>
      </c>
      <c r="L173" s="123">
        <v>1</v>
      </c>
      <c r="M173" s="123">
        <v>60</v>
      </c>
      <c r="N173" s="123">
        <v>12</v>
      </c>
      <c r="O173" s="123">
        <v>48</v>
      </c>
      <c r="P173" s="7" t="s">
        <v>163</v>
      </c>
      <c r="Q173" s="124"/>
    </row>
    <row r="174" spans="1:18" ht="12.75" customHeight="1" thickBot="1" x14ac:dyDescent="0.25">
      <c r="A174" s="123">
        <v>84</v>
      </c>
      <c r="B174" s="123">
        <v>32</v>
      </c>
      <c r="C174" s="123">
        <v>52</v>
      </c>
      <c r="D174" s="123">
        <v>0</v>
      </c>
      <c r="E174" s="123">
        <v>0</v>
      </c>
      <c r="F174" s="123">
        <v>0</v>
      </c>
      <c r="G174" s="123">
        <v>0</v>
      </c>
      <c r="H174" s="123">
        <v>0</v>
      </c>
      <c r="I174" s="123">
        <v>0</v>
      </c>
      <c r="J174" s="123">
        <v>4</v>
      </c>
      <c r="K174" s="123">
        <v>3</v>
      </c>
      <c r="L174" s="123">
        <v>1</v>
      </c>
      <c r="M174" s="123">
        <v>80</v>
      </c>
      <c r="N174" s="123">
        <v>29</v>
      </c>
      <c r="O174" s="123">
        <v>51</v>
      </c>
      <c r="P174" s="7" t="s">
        <v>162</v>
      </c>
      <c r="Q174" s="124" t="s">
        <v>337</v>
      </c>
    </row>
    <row r="175" spans="1:18" ht="12.75" customHeight="1" thickBot="1" x14ac:dyDescent="0.25">
      <c r="A175" s="123">
        <v>199</v>
      </c>
      <c r="B175" s="123">
        <v>82</v>
      </c>
      <c r="C175" s="123">
        <v>117</v>
      </c>
      <c r="D175" s="123">
        <v>0</v>
      </c>
      <c r="E175" s="123">
        <v>0</v>
      </c>
      <c r="F175" s="123">
        <v>0</v>
      </c>
      <c r="G175" s="123">
        <v>33</v>
      </c>
      <c r="H175" s="123">
        <v>17</v>
      </c>
      <c r="I175" s="123">
        <v>16</v>
      </c>
      <c r="J175" s="123">
        <v>26</v>
      </c>
      <c r="K175" s="123">
        <v>24</v>
      </c>
      <c r="L175" s="123">
        <v>2</v>
      </c>
      <c r="M175" s="123">
        <v>140</v>
      </c>
      <c r="N175" s="123">
        <v>41</v>
      </c>
      <c r="O175" s="123">
        <v>99</v>
      </c>
      <c r="P175" s="7" t="s">
        <v>13</v>
      </c>
      <c r="Q175" s="9"/>
    </row>
    <row r="176" spans="1:18" ht="12.75" customHeight="1" thickBot="1" x14ac:dyDescent="0.25">
      <c r="A176" s="123">
        <v>65</v>
      </c>
      <c r="B176" s="123">
        <v>29</v>
      </c>
      <c r="C176" s="123">
        <v>36</v>
      </c>
      <c r="D176" s="123">
        <v>0</v>
      </c>
      <c r="E176" s="123">
        <v>0</v>
      </c>
      <c r="F176" s="123">
        <v>0</v>
      </c>
      <c r="G176" s="123">
        <v>33</v>
      </c>
      <c r="H176" s="123">
        <v>14</v>
      </c>
      <c r="I176" s="123">
        <v>19</v>
      </c>
      <c r="J176" s="123">
        <v>13</v>
      </c>
      <c r="K176" s="123">
        <v>12</v>
      </c>
      <c r="L176" s="123">
        <v>1</v>
      </c>
      <c r="M176" s="123">
        <v>19</v>
      </c>
      <c r="N176" s="123">
        <v>3</v>
      </c>
      <c r="O176" s="123">
        <v>16</v>
      </c>
      <c r="P176" s="7" t="s">
        <v>163</v>
      </c>
      <c r="Q176" s="124"/>
    </row>
    <row r="177" spans="1:17" ht="12.75" customHeight="1" thickBot="1" x14ac:dyDescent="0.25">
      <c r="A177" s="123">
        <v>136</v>
      </c>
      <c r="B177" s="123">
        <v>27</v>
      </c>
      <c r="C177" s="123">
        <v>109</v>
      </c>
      <c r="D177" s="123">
        <v>58</v>
      </c>
      <c r="E177" s="123">
        <v>15</v>
      </c>
      <c r="F177" s="123">
        <v>43</v>
      </c>
      <c r="G177" s="123">
        <v>0</v>
      </c>
      <c r="H177" s="123">
        <v>0</v>
      </c>
      <c r="I177" s="123">
        <v>0</v>
      </c>
      <c r="J177" s="123">
        <v>3</v>
      </c>
      <c r="K177" s="123">
        <v>0</v>
      </c>
      <c r="L177" s="123">
        <v>3</v>
      </c>
      <c r="M177" s="123">
        <v>75</v>
      </c>
      <c r="N177" s="123">
        <v>12</v>
      </c>
      <c r="O177" s="123">
        <v>63</v>
      </c>
      <c r="P177" s="7" t="s">
        <v>162</v>
      </c>
      <c r="Q177" s="124" t="s">
        <v>354</v>
      </c>
    </row>
    <row r="178" spans="1:17" ht="12.75" customHeight="1" thickBot="1" x14ac:dyDescent="0.25">
      <c r="A178" s="123">
        <v>201</v>
      </c>
      <c r="B178" s="123">
        <v>56</v>
      </c>
      <c r="C178" s="123">
        <v>145</v>
      </c>
      <c r="D178" s="123">
        <v>58</v>
      </c>
      <c r="E178" s="123">
        <v>15</v>
      </c>
      <c r="F178" s="123">
        <v>43</v>
      </c>
      <c r="G178" s="123">
        <v>33</v>
      </c>
      <c r="H178" s="123">
        <v>14</v>
      </c>
      <c r="I178" s="123">
        <v>19</v>
      </c>
      <c r="J178" s="123">
        <v>16</v>
      </c>
      <c r="K178" s="123">
        <v>12</v>
      </c>
      <c r="L178" s="123">
        <v>4</v>
      </c>
      <c r="M178" s="123">
        <v>94</v>
      </c>
      <c r="N178" s="123">
        <v>15</v>
      </c>
      <c r="O178" s="123">
        <v>79</v>
      </c>
      <c r="P178" s="7" t="s">
        <v>13</v>
      </c>
      <c r="Q178" s="9"/>
    </row>
    <row r="179" spans="1:17" ht="12.75" customHeight="1" thickBot="1" x14ac:dyDescent="0.25">
      <c r="A179" s="123">
        <v>166</v>
      </c>
      <c r="B179" s="123">
        <v>0</v>
      </c>
      <c r="C179" s="123">
        <v>166</v>
      </c>
      <c r="D179" s="123">
        <v>7</v>
      </c>
      <c r="E179" s="123">
        <v>0</v>
      </c>
      <c r="F179" s="123">
        <v>7</v>
      </c>
      <c r="G179" s="123">
        <v>47</v>
      </c>
      <c r="H179" s="123">
        <v>0</v>
      </c>
      <c r="I179" s="123">
        <v>47</v>
      </c>
      <c r="J179" s="123">
        <v>50</v>
      </c>
      <c r="K179" s="123">
        <v>0</v>
      </c>
      <c r="L179" s="123">
        <v>50</v>
      </c>
      <c r="M179" s="123">
        <v>62</v>
      </c>
      <c r="N179" s="123">
        <v>0</v>
      </c>
      <c r="O179" s="123">
        <v>62</v>
      </c>
      <c r="P179" s="7" t="s">
        <v>163</v>
      </c>
      <c r="Q179" s="124"/>
    </row>
    <row r="180" spans="1:17" ht="12.75" customHeight="1" thickBot="1" x14ac:dyDescent="0.25">
      <c r="A180" s="123">
        <v>143</v>
      </c>
      <c r="B180" s="123">
        <v>0</v>
      </c>
      <c r="C180" s="123">
        <v>143</v>
      </c>
      <c r="D180" s="123">
        <v>9</v>
      </c>
      <c r="E180" s="123">
        <v>0</v>
      </c>
      <c r="F180" s="123">
        <v>9</v>
      </c>
      <c r="G180" s="123">
        <v>39</v>
      </c>
      <c r="H180" s="123">
        <v>0</v>
      </c>
      <c r="I180" s="123">
        <v>39</v>
      </c>
      <c r="J180" s="123">
        <v>24</v>
      </c>
      <c r="K180" s="123">
        <v>0</v>
      </c>
      <c r="L180" s="123">
        <v>24</v>
      </c>
      <c r="M180" s="123">
        <v>71</v>
      </c>
      <c r="N180" s="123">
        <v>0</v>
      </c>
      <c r="O180" s="123">
        <v>71</v>
      </c>
      <c r="P180" s="7" t="s">
        <v>162</v>
      </c>
      <c r="Q180" s="124" t="s">
        <v>362</v>
      </c>
    </row>
    <row r="181" spans="1:17" ht="12.75" customHeight="1" thickBot="1" x14ac:dyDescent="0.25">
      <c r="A181" s="123">
        <v>309</v>
      </c>
      <c r="B181" s="123">
        <v>0</v>
      </c>
      <c r="C181" s="123">
        <v>309</v>
      </c>
      <c r="D181" s="123">
        <v>16</v>
      </c>
      <c r="E181" s="123">
        <v>0</v>
      </c>
      <c r="F181" s="123">
        <v>16</v>
      </c>
      <c r="G181" s="123">
        <v>86</v>
      </c>
      <c r="H181" s="123">
        <v>0</v>
      </c>
      <c r="I181" s="123">
        <v>86</v>
      </c>
      <c r="J181" s="123">
        <v>74</v>
      </c>
      <c r="K181" s="123">
        <v>0</v>
      </c>
      <c r="L181" s="123">
        <v>74</v>
      </c>
      <c r="M181" s="123">
        <v>133</v>
      </c>
      <c r="N181" s="123">
        <v>0</v>
      </c>
      <c r="O181" s="123">
        <v>133</v>
      </c>
      <c r="P181" s="7" t="s">
        <v>13</v>
      </c>
      <c r="Q181" s="9"/>
    </row>
    <row r="182" spans="1:17" ht="12.75" customHeight="1" thickBot="1" x14ac:dyDescent="0.25">
      <c r="A182" s="123">
        <v>7</v>
      </c>
      <c r="B182" s="123">
        <v>0</v>
      </c>
      <c r="C182" s="123">
        <v>7</v>
      </c>
      <c r="D182" s="123">
        <v>2</v>
      </c>
      <c r="E182" s="123">
        <v>0</v>
      </c>
      <c r="F182" s="123">
        <v>2</v>
      </c>
      <c r="G182" s="123">
        <v>1</v>
      </c>
      <c r="H182" s="123">
        <v>0</v>
      </c>
      <c r="I182" s="123">
        <v>1</v>
      </c>
      <c r="J182" s="123">
        <v>3</v>
      </c>
      <c r="K182" s="123">
        <v>0</v>
      </c>
      <c r="L182" s="123">
        <v>3</v>
      </c>
      <c r="M182" s="123">
        <v>1</v>
      </c>
      <c r="N182" s="123">
        <v>0</v>
      </c>
      <c r="O182" s="123">
        <v>1</v>
      </c>
      <c r="P182" s="7" t="s">
        <v>163</v>
      </c>
      <c r="Q182" s="124"/>
    </row>
    <row r="183" spans="1:17" ht="12.75" customHeight="1" thickBot="1" x14ac:dyDescent="0.25">
      <c r="A183" s="123">
        <v>31</v>
      </c>
      <c r="B183" s="123">
        <v>0</v>
      </c>
      <c r="C183" s="123">
        <v>31</v>
      </c>
      <c r="D183" s="123">
        <v>0</v>
      </c>
      <c r="E183" s="123">
        <v>0</v>
      </c>
      <c r="F183" s="123">
        <v>0</v>
      </c>
      <c r="G183" s="123">
        <v>1</v>
      </c>
      <c r="H183" s="123">
        <v>0</v>
      </c>
      <c r="I183" s="123">
        <v>1</v>
      </c>
      <c r="J183" s="123">
        <v>5</v>
      </c>
      <c r="K183" s="123">
        <v>0</v>
      </c>
      <c r="L183" s="123">
        <v>5</v>
      </c>
      <c r="M183" s="123">
        <v>25</v>
      </c>
      <c r="N183" s="123">
        <v>0</v>
      </c>
      <c r="O183" s="123">
        <v>25</v>
      </c>
      <c r="P183" s="7" t="s">
        <v>162</v>
      </c>
      <c r="Q183" s="124" t="s">
        <v>243</v>
      </c>
    </row>
    <row r="184" spans="1:17" ht="12.75" customHeight="1" thickBot="1" x14ac:dyDescent="0.25">
      <c r="A184" s="123">
        <v>38</v>
      </c>
      <c r="B184" s="123">
        <v>0</v>
      </c>
      <c r="C184" s="123">
        <v>38</v>
      </c>
      <c r="D184" s="123">
        <v>2</v>
      </c>
      <c r="E184" s="123">
        <v>0</v>
      </c>
      <c r="F184" s="123">
        <v>2</v>
      </c>
      <c r="G184" s="123">
        <v>2</v>
      </c>
      <c r="H184" s="123">
        <v>0</v>
      </c>
      <c r="I184" s="123">
        <v>2</v>
      </c>
      <c r="J184" s="123">
        <v>8</v>
      </c>
      <c r="K184" s="123">
        <v>0</v>
      </c>
      <c r="L184" s="123">
        <v>8</v>
      </c>
      <c r="M184" s="123">
        <v>26</v>
      </c>
      <c r="N184" s="123">
        <v>0</v>
      </c>
      <c r="O184" s="123">
        <v>26</v>
      </c>
      <c r="P184" s="7" t="s">
        <v>13</v>
      </c>
      <c r="Q184" s="9"/>
    </row>
    <row r="185" spans="1:17" ht="12.75" customHeight="1" thickBot="1" x14ac:dyDescent="0.25">
      <c r="A185" s="123">
        <v>300</v>
      </c>
      <c r="B185" s="123">
        <v>108</v>
      </c>
      <c r="C185" s="123">
        <v>192</v>
      </c>
      <c r="D185" s="123">
        <v>0</v>
      </c>
      <c r="E185" s="123">
        <v>0</v>
      </c>
      <c r="F185" s="123">
        <v>0</v>
      </c>
      <c r="G185" s="123">
        <v>57</v>
      </c>
      <c r="H185" s="123">
        <v>23</v>
      </c>
      <c r="I185" s="123">
        <v>34</v>
      </c>
      <c r="J185" s="123">
        <v>48</v>
      </c>
      <c r="K185" s="123">
        <v>35</v>
      </c>
      <c r="L185" s="123">
        <v>13</v>
      </c>
      <c r="M185" s="123">
        <v>195</v>
      </c>
      <c r="N185" s="123">
        <v>50</v>
      </c>
      <c r="O185" s="123">
        <v>145</v>
      </c>
      <c r="P185" s="7" t="s">
        <v>163</v>
      </c>
      <c r="Q185" s="124"/>
    </row>
    <row r="186" spans="1:17" ht="12.75" customHeight="1" thickBot="1" x14ac:dyDescent="0.25">
      <c r="A186" s="123">
        <v>97</v>
      </c>
      <c r="B186" s="123">
        <v>26</v>
      </c>
      <c r="C186" s="123">
        <v>71</v>
      </c>
      <c r="D186" s="123">
        <v>1</v>
      </c>
      <c r="E186" s="123">
        <v>1</v>
      </c>
      <c r="F186" s="123">
        <v>0</v>
      </c>
      <c r="G186" s="123">
        <v>0</v>
      </c>
      <c r="H186" s="123">
        <v>0</v>
      </c>
      <c r="I186" s="123">
        <v>0</v>
      </c>
      <c r="J186" s="123">
        <v>16</v>
      </c>
      <c r="K186" s="123">
        <v>4</v>
      </c>
      <c r="L186" s="123">
        <v>12</v>
      </c>
      <c r="M186" s="123">
        <v>80</v>
      </c>
      <c r="N186" s="123">
        <v>21</v>
      </c>
      <c r="O186" s="123">
        <v>59</v>
      </c>
      <c r="P186" s="7" t="s">
        <v>162</v>
      </c>
      <c r="Q186" s="124" t="s">
        <v>363</v>
      </c>
    </row>
    <row r="187" spans="1:17" ht="12.75" customHeight="1" thickBot="1" x14ac:dyDescent="0.25">
      <c r="A187" s="123">
        <v>397</v>
      </c>
      <c r="B187" s="123">
        <v>134</v>
      </c>
      <c r="C187" s="123">
        <v>263</v>
      </c>
      <c r="D187" s="123">
        <v>1</v>
      </c>
      <c r="E187" s="123">
        <v>1</v>
      </c>
      <c r="F187" s="123">
        <v>0</v>
      </c>
      <c r="G187" s="123">
        <v>57</v>
      </c>
      <c r="H187" s="123">
        <v>23</v>
      </c>
      <c r="I187" s="123">
        <v>34</v>
      </c>
      <c r="J187" s="123">
        <v>64</v>
      </c>
      <c r="K187" s="123">
        <v>39</v>
      </c>
      <c r="L187" s="123">
        <v>25</v>
      </c>
      <c r="M187" s="123">
        <v>275</v>
      </c>
      <c r="N187" s="123">
        <v>71</v>
      </c>
      <c r="O187" s="123">
        <v>204</v>
      </c>
      <c r="P187" s="7" t="s">
        <v>13</v>
      </c>
      <c r="Q187" s="9"/>
    </row>
    <row r="188" spans="1:17" ht="12.75" customHeight="1" thickBot="1" x14ac:dyDescent="0.25">
      <c r="A188" s="123">
        <v>409</v>
      </c>
      <c r="B188" s="123">
        <v>163</v>
      </c>
      <c r="C188" s="123">
        <v>246</v>
      </c>
      <c r="D188" s="123">
        <v>0</v>
      </c>
      <c r="E188" s="123">
        <v>0</v>
      </c>
      <c r="F188" s="123">
        <v>0</v>
      </c>
      <c r="G188" s="123">
        <v>77</v>
      </c>
      <c r="H188" s="123">
        <v>52</v>
      </c>
      <c r="I188" s="123">
        <v>25</v>
      </c>
      <c r="J188" s="123">
        <v>77</v>
      </c>
      <c r="K188" s="123">
        <v>60</v>
      </c>
      <c r="L188" s="123">
        <v>17</v>
      </c>
      <c r="M188" s="123">
        <v>255</v>
      </c>
      <c r="N188" s="123">
        <v>51</v>
      </c>
      <c r="O188" s="123">
        <v>204</v>
      </c>
      <c r="P188" s="7" t="s">
        <v>163</v>
      </c>
      <c r="Q188" s="124"/>
    </row>
    <row r="189" spans="1:17" ht="12.75" customHeight="1" thickBot="1" x14ac:dyDescent="0.25">
      <c r="A189" s="123">
        <v>82</v>
      </c>
      <c r="B189" s="123">
        <v>27</v>
      </c>
      <c r="C189" s="123">
        <v>55</v>
      </c>
      <c r="D189" s="123">
        <v>0</v>
      </c>
      <c r="E189" s="123">
        <v>0</v>
      </c>
      <c r="F189" s="123">
        <v>0</v>
      </c>
      <c r="G189" s="123">
        <v>1</v>
      </c>
      <c r="H189" s="123">
        <v>0</v>
      </c>
      <c r="I189" s="123">
        <v>1</v>
      </c>
      <c r="J189" s="123">
        <v>3</v>
      </c>
      <c r="K189" s="123">
        <v>1</v>
      </c>
      <c r="L189" s="123">
        <v>2</v>
      </c>
      <c r="M189" s="123">
        <v>78</v>
      </c>
      <c r="N189" s="123">
        <v>26</v>
      </c>
      <c r="O189" s="123">
        <v>52</v>
      </c>
      <c r="P189" s="7" t="s">
        <v>162</v>
      </c>
      <c r="Q189" s="124" t="s">
        <v>364</v>
      </c>
    </row>
    <row r="190" spans="1:17" ht="12.75" customHeight="1" thickBot="1" x14ac:dyDescent="0.25">
      <c r="A190" s="123">
        <v>491</v>
      </c>
      <c r="B190" s="123">
        <v>190</v>
      </c>
      <c r="C190" s="123">
        <v>301</v>
      </c>
      <c r="D190" s="123">
        <v>0</v>
      </c>
      <c r="E190" s="123">
        <v>0</v>
      </c>
      <c r="F190" s="123">
        <v>0</v>
      </c>
      <c r="G190" s="123">
        <v>78</v>
      </c>
      <c r="H190" s="123">
        <v>52</v>
      </c>
      <c r="I190" s="123">
        <v>26</v>
      </c>
      <c r="J190" s="123">
        <v>80</v>
      </c>
      <c r="K190" s="123">
        <v>61</v>
      </c>
      <c r="L190" s="123">
        <v>19</v>
      </c>
      <c r="M190" s="123">
        <v>333</v>
      </c>
      <c r="N190" s="123">
        <v>77</v>
      </c>
      <c r="O190" s="123">
        <v>256</v>
      </c>
      <c r="P190" s="7" t="s">
        <v>13</v>
      </c>
      <c r="Q190" s="9"/>
    </row>
    <row r="191" spans="1:17" ht="12.75" customHeight="1" thickBot="1" x14ac:dyDescent="0.25">
      <c r="A191" s="123">
        <v>286</v>
      </c>
      <c r="B191" s="123">
        <v>57</v>
      </c>
      <c r="C191" s="123">
        <v>229</v>
      </c>
      <c r="D191" s="123">
        <v>0</v>
      </c>
      <c r="E191" s="123">
        <v>0</v>
      </c>
      <c r="F191" s="123">
        <v>0</v>
      </c>
      <c r="G191" s="123">
        <v>66</v>
      </c>
      <c r="H191" s="123">
        <v>19</v>
      </c>
      <c r="I191" s="123">
        <v>47</v>
      </c>
      <c r="J191" s="123">
        <v>2</v>
      </c>
      <c r="K191" s="123">
        <v>1</v>
      </c>
      <c r="L191" s="123">
        <v>1</v>
      </c>
      <c r="M191" s="123">
        <v>218</v>
      </c>
      <c r="N191" s="123">
        <v>37</v>
      </c>
      <c r="O191" s="123">
        <v>181</v>
      </c>
      <c r="P191" s="7" t="s">
        <v>163</v>
      </c>
      <c r="Q191" s="124"/>
    </row>
    <row r="192" spans="1:17" ht="12.75" customHeight="1" thickBot="1" x14ac:dyDescent="0.25">
      <c r="A192" s="123">
        <v>94</v>
      </c>
      <c r="B192" s="123">
        <v>18</v>
      </c>
      <c r="C192" s="123">
        <v>76</v>
      </c>
      <c r="D192" s="123">
        <v>0</v>
      </c>
      <c r="E192" s="123">
        <v>0</v>
      </c>
      <c r="F192" s="123">
        <v>0</v>
      </c>
      <c r="G192" s="123">
        <v>1</v>
      </c>
      <c r="H192" s="123">
        <v>0</v>
      </c>
      <c r="I192" s="123">
        <v>1</v>
      </c>
      <c r="J192" s="123">
        <v>5</v>
      </c>
      <c r="K192" s="123">
        <v>1</v>
      </c>
      <c r="L192" s="123">
        <v>4</v>
      </c>
      <c r="M192" s="123">
        <v>88</v>
      </c>
      <c r="N192" s="123">
        <v>17</v>
      </c>
      <c r="O192" s="123">
        <v>71</v>
      </c>
      <c r="P192" s="7" t="s">
        <v>162</v>
      </c>
      <c r="Q192" s="124" t="s">
        <v>263</v>
      </c>
    </row>
    <row r="193" spans="1:17" ht="12.75" customHeight="1" thickBot="1" x14ac:dyDescent="0.25">
      <c r="A193" s="123">
        <v>380</v>
      </c>
      <c r="B193" s="123">
        <v>75</v>
      </c>
      <c r="C193" s="123">
        <v>305</v>
      </c>
      <c r="D193" s="123">
        <v>0</v>
      </c>
      <c r="E193" s="123">
        <v>0</v>
      </c>
      <c r="F193" s="123">
        <v>0</v>
      </c>
      <c r="G193" s="123">
        <v>67</v>
      </c>
      <c r="H193" s="123">
        <v>19</v>
      </c>
      <c r="I193" s="123">
        <v>48</v>
      </c>
      <c r="J193" s="123">
        <v>7</v>
      </c>
      <c r="K193" s="123">
        <v>2</v>
      </c>
      <c r="L193" s="123">
        <v>5</v>
      </c>
      <c r="M193" s="123">
        <v>306</v>
      </c>
      <c r="N193" s="123">
        <v>54</v>
      </c>
      <c r="O193" s="123">
        <v>252</v>
      </c>
      <c r="P193" s="7" t="s">
        <v>13</v>
      </c>
      <c r="Q193" s="9"/>
    </row>
    <row r="194" spans="1:17" ht="12.75" customHeight="1" thickBot="1" x14ac:dyDescent="0.25">
      <c r="A194" s="123">
        <v>122</v>
      </c>
      <c r="B194" s="123">
        <v>55</v>
      </c>
      <c r="C194" s="123">
        <v>67</v>
      </c>
      <c r="D194" s="123">
        <v>0</v>
      </c>
      <c r="E194" s="123">
        <v>0</v>
      </c>
      <c r="F194" s="123">
        <v>0</v>
      </c>
      <c r="G194" s="123">
        <v>31</v>
      </c>
      <c r="H194" s="123">
        <v>21</v>
      </c>
      <c r="I194" s="123">
        <v>10</v>
      </c>
      <c r="J194" s="123">
        <v>4</v>
      </c>
      <c r="K194" s="123">
        <v>2</v>
      </c>
      <c r="L194" s="123">
        <v>2</v>
      </c>
      <c r="M194" s="123">
        <v>87</v>
      </c>
      <c r="N194" s="123">
        <v>32</v>
      </c>
      <c r="O194" s="123">
        <v>55</v>
      </c>
      <c r="P194" s="7" t="s">
        <v>163</v>
      </c>
      <c r="Q194" s="124"/>
    </row>
    <row r="195" spans="1:17" ht="12.75" customHeight="1" thickBot="1" x14ac:dyDescent="0.25">
      <c r="A195" s="123">
        <v>34</v>
      </c>
      <c r="B195" s="123">
        <v>6</v>
      </c>
      <c r="C195" s="123">
        <v>28</v>
      </c>
      <c r="D195" s="123">
        <v>0</v>
      </c>
      <c r="E195" s="123">
        <v>0</v>
      </c>
      <c r="F195" s="123">
        <v>0</v>
      </c>
      <c r="G195" s="123">
        <v>1</v>
      </c>
      <c r="H195" s="123">
        <v>0</v>
      </c>
      <c r="I195" s="123">
        <v>1</v>
      </c>
      <c r="J195" s="123">
        <v>2</v>
      </c>
      <c r="K195" s="123">
        <v>0</v>
      </c>
      <c r="L195" s="123">
        <v>2</v>
      </c>
      <c r="M195" s="123">
        <v>31</v>
      </c>
      <c r="N195" s="123">
        <v>6</v>
      </c>
      <c r="O195" s="123">
        <v>25</v>
      </c>
      <c r="P195" s="7" t="s">
        <v>162</v>
      </c>
      <c r="Q195" s="124" t="s">
        <v>244</v>
      </c>
    </row>
    <row r="196" spans="1:17" ht="12.75" customHeight="1" thickBot="1" x14ac:dyDescent="0.25">
      <c r="A196" s="123">
        <v>156</v>
      </c>
      <c r="B196" s="123">
        <v>61</v>
      </c>
      <c r="C196" s="123">
        <v>95</v>
      </c>
      <c r="D196" s="123">
        <v>0</v>
      </c>
      <c r="E196" s="123">
        <v>0</v>
      </c>
      <c r="F196" s="123">
        <v>0</v>
      </c>
      <c r="G196" s="123">
        <v>32</v>
      </c>
      <c r="H196" s="123">
        <v>21</v>
      </c>
      <c r="I196" s="123">
        <v>11</v>
      </c>
      <c r="J196" s="123">
        <v>6</v>
      </c>
      <c r="K196" s="123">
        <v>2</v>
      </c>
      <c r="L196" s="123">
        <v>4</v>
      </c>
      <c r="M196" s="123">
        <v>118</v>
      </c>
      <c r="N196" s="123">
        <v>38</v>
      </c>
      <c r="O196" s="123">
        <v>80</v>
      </c>
      <c r="P196" s="7" t="s">
        <v>13</v>
      </c>
      <c r="Q196" s="9"/>
    </row>
    <row r="197" spans="1:17" ht="12.75" customHeight="1" thickBot="1" x14ac:dyDescent="0.25">
      <c r="A197" s="123">
        <v>287</v>
      </c>
      <c r="B197" s="123">
        <v>103</v>
      </c>
      <c r="C197" s="123">
        <v>184</v>
      </c>
      <c r="D197" s="123">
        <v>0</v>
      </c>
      <c r="E197" s="123">
        <v>0</v>
      </c>
      <c r="F197" s="123">
        <v>0</v>
      </c>
      <c r="G197" s="123">
        <v>53</v>
      </c>
      <c r="H197" s="123">
        <v>36</v>
      </c>
      <c r="I197" s="123">
        <v>17</v>
      </c>
      <c r="J197" s="123">
        <v>38</v>
      </c>
      <c r="K197" s="123">
        <v>31</v>
      </c>
      <c r="L197" s="123">
        <v>7</v>
      </c>
      <c r="M197" s="123">
        <v>196</v>
      </c>
      <c r="N197" s="123">
        <v>36</v>
      </c>
      <c r="O197" s="123">
        <v>160</v>
      </c>
      <c r="P197" s="7" t="s">
        <v>163</v>
      </c>
      <c r="Q197" s="124"/>
    </row>
    <row r="198" spans="1:17" ht="12.75" customHeight="1" thickBot="1" x14ac:dyDescent="0.25">
      <c r="A198" s="123">
        <v>163</v>
      </c>
      <c r="B198" s="123">
        <v>43</v>
      </c>
      <c r="C198" s="123">
        <v>120</v>
      </c>
      <c r="D198" s="123">
        <v>0</v>
      </c>
      <c r="E198" s="123">
        <v>0</v>
      </c>
      <c r="F198" s="123">
        <v>0</v>
      </c>
      <c r="G198" s="123">
        <v>14</v>
      </c>
      <c r="H198" s="123">
        <v>0</v>
      </c>
      <c r="I198" s="123">
        <v>14</v>
      </c>
      <c r="J198" s="123">
        <v>5</v>
      </c>
      <c r="K198" s="123">
        <v>3</v>
      </c>
      <c r="L198" s="123">
        <v>2</v>
      </c>
      <c r="M198" s="123">
        <v>144</v>
      </c>
      <c r="N198" s="123">
        <v>40</v>
      </c>
      <c r="O198" s="123">
        <v>104</v>
      </c>
      <c r="P198" s="7" t="s">
        <v>162</v>
      </c>
      <c r="Q198" s="124" t="s">
        <v>365</v>
      </c>
    </row>
    <row r="199" spans="1:17" ht="12.75" customHeight="1" thickBot="1" x14ac:dyDescent="0.25">
      <c r="A199" s="123">
        <v>450</v>
      </c>
      <c r="B199" s="123">
        <v>146</v>
      </c>
      <c r="C199" s="123">
        <v>304</v>
      </c>
      <c r="D199" s="123">
        <v>0</v>
      </c>
      <c r="E199" s="123">
        <v>0</v>
      </c>
      <c r="F199" s="123">
        <v>0</v>
      </c>
      <c r="G199" s="123">
        <v>67</v>
      </c>
      <c r="H199" s="123">
        <v>36</v>
      </c>
      <c r="I199" s="123">
        <v>31</v>
      </c>
      <c r="J199" s="123">
        <v>43</v>
      </c>
      <c r="K199" s="123">
        <v>34</v>
      </c>
      <c r="L199" s="123">
        <v>9</v>
      </c>
      <c r="M199" s="123">
        <v>340</v>
      </c>
      <c r="N199" s="123">
        <v>76</v>
      </c>
      <c r="O199" s="123">
        <v>264</v>
      </c>
      <c r="P199" s="7" t="s">
        <v>13</v>
      </c>
      <c r="Q199" s="9"/>
    </row>
    <row r="200" spans="1:17" ht="12.75" customHeight="1" thickBot="1" x14ac:dyDescent="0.25">
      <c r="A200" s="123">
        <v>168</v>
      </c>
      <c r="B200" s="123">
        <v>62</v>
      </c>
      <c r="C200" s="123">
        <v>106</v>
      </c>
      <c r="D200" s="123">
        <v>0</v>
      </c>
      <c r="E200" s="123">
        <v>0</v>
      </c>
      <c r="F200" s="123">
        <v>0</v>
      </c>
      <c r="G200" s="123">
        <v>40</v>
      </c>
      <c r="H200" s="123">
        <v>27</v>
      </c>
      <c r="I200" s="123">
        <v>13</v>
      </c>
      <c r="J200" s="123">
        <v>39</v>
      </c>
      <c r="K200" s="123">
        <v>31</v>
      </c>
      <c r="L200" s="123">
        <v>8</v>
      </c>
      <c r="M200" s="123">
        <v>89</v>
      </c>
      <c r="N200" s="123">
        <v>4</v>
      </c>
      <c r="O200" s="123">
        <v>85</v>
      </c>
      <c r="P200" s="7" t="s">
        <v>163</v>
      </c>
      <c r="Q200" s="124"/>
    </row>
    <row r="201" spans="1:17" ht="12.75" customHeight="1" thickBot="1" x14ac:dyDescent="0.25">
      <c r="A201" s="123">
        <v>55</v>
      </c>
      <c r="B201" s="123">
        <v>13</v>
      </c>
      <c r="C201" s="123">
        <v>42</v>
      </c>
      <c r="D201" s="123">
        <v>0</v>
      </c>
      <c r="E201" s="123">
        <v>0</v>
      </c>
      <c r="F201" s="123">
        <v>0</v>
      </c>
      <c r="G201" s="123">
        <v>0</v>
      </c>
      <c r="H201" s="123">
        <v>0</v>
      </c>
      <c r="I201" s="123">
        <v>0</v>
      </c>
      <c r="J201" s="123">
        <v>3</v>
      </c>
      <c r="K201" s="123">
        <v>1</v>
      </c>
      <c r="L201" s="123">
        <v>2</v>
      </c>
      <c r="M201" s="123">
        <v>52</v>
      </c>
      <c r="N201" s="123">
        <v>12</v>
      </c>
      <c r="O201" s="123">
        <v>40</v>
      </c>
      <c r="P201" s="7" t="s">
        <v>162</v>
      </c>
      <c r="Q201" s="124" t="s">
        <v>625</v>
      </c>
    </row>
    <row r="202" spans="1:17" ht="12.75" customHeight="1" thickBot="1" x14ac:dyDescent="0.25">
      <c r="A202" s="123">
        <v>223</v>
      </c>
      <c r="B202" s="123">
        <v>75</v>
      </c>
      <c r="C202" s="123">
        <v>148</v>
      </c>
      <c r="D202" s="123">
        <v>0</v>
      </c>
      <c r="E202" s="123">
        <v>0</v>
      </c>
      <c r="F202" s="123">
        <v>0</v>
      </c>
      <c r="G202" s="123">
        <v>40</v>
      </c>
      <c r="H202" s="123">
        <v>27</v>
      </c>
      <c r="I202" s="123">
        <v>13</v>
      </c>
      <c r="J202" s="123">
        <v>42</v>
      </c>
      <c r="K202" s="123">
        <v>32</v>
      </c>
      <c r="L202" s="123">
        <v>10</v>
      </c>
      <c r="M202" s="123">
        <v>141</v>
      </c>
      <c r="N202" s="123">
        <v>16</v>
      </c>
      <c r="O202" s="123">
        <v>125</v>
      </c>
      <c r="P202" s="7" t="s">
        <v>13</v>
      </c>
      <c r="Q202" s="9"/>
    </row>
    <row r="203" spans="1:17" ht="12.75" customHeight="1" thickBot="1" x14ac:dyDescent="0.25">
      <c r="A203" s="123">
        <v>88</v>
      </c>
      <c r="B203" s="123">
        <v>36</v>
      </c>
      <c r="C203" s="123">
        <v>52</v>
      </c>
      <c r="D203" s="123">
        <v>0</v>
      </c>
      <c r="E203" s="123">
        <v>0</v>
      </c>
      <c r="F203" s="123">
        <v>0</v>
      </c>
      <c r="G203" s="123">
        <v>30</v>
      </c>
      <c r="H203" s="123">
        <v>16</v>
      </c>
      <c r="I203" s="123">
        <v>14</v>
      </c>
      <c r="J203" s="123">
        <v>18</v>
      </c>
      <c r="K203" s="123">
        <v>14</v>
      </c>
      <c r="L203" s="123">
        <v>4</v>
      </c>
      <c r="M203" s="123">
        <v>40</v>
      </c>
      <c r="N203" s="123">
        <v>6</v>
      </c>
      <c r="O203" s="123">
        <v>34</v>
      </c>
      <c r="P203" s="7" t="s">
        <v>163</v>
      </c>
      <c r="Q203" s="124"/>
    </row>
    <row r="204" spans="1:17" ht="12.75" customHeight="1" thickBot="1" x14ac:dyDescent="0.25">
      <c r="A204" s="123">
        <v>69</v>
      </c>
      <c r="B204" s="123">
        <v>8</v>
      </c>
      <c r="C204" s="123">
        <v>61</v>
      </c>
      <c r="D204" s="123">
        <v>0</v>
      </c>
      <c r="E204" s="123">
        <v>0</v>
      </c>
      <c r="F204" s="123">
        <v>0</v>
      </c>
      <c r="G204" s="123">
        <v>0</v>
      </c>
      <c r="H204" s="123">
        <v>0</v>
      </c>
      <c r="I204" s="123">
        <v>0</v>
      </c>
      <c r="J204" s="123">
        <v>27</v>
      </c>
      <c r="K204" s="123">
        <v>0</v>
      </c>
      <c r="L204" s="123">
        <v>27</v>
      </c>
      <c r="M204" s="123">
        <v>42</v>
      </c>
      <c r="N204" s="123">
        <v>8</v>
      </c>
      <c r="O204" s="123">
        <v>34</v>
      </c>
      <c r="P204" s="7" t="s">
        <v>162</v>
      </c>
      <c r="Q204" s="124" t="s">
        <v>355</v>
      </c>
    </row>
    <row r="205" spans="1:17" ht="12.75" customHeight="1" thickBot="1" x14ac:dyDescent="0.25">
      <c r="A205" s="123">
        <v>157</v>
      </c>
      <c r="B205" s="123">
        <v>44</v>
      </c>
      <c r="C205" s="123">
        <v>113</v>
      </c>
      <c r="D205" s="123">
        <v>0</v>
      </c>
      <c r="E205" s="123">
        <v>0</v>
      </c>
      <c r="F205" s="123">
        <v>0</v>
      </c>
      <c r="G205" s="123">
        <v>30</v>
      </c>
      <c r="H205" s="123">
        <v>16</v>
      </c>
      <c r="I205" s="123">
        <v>14</v>
      </c>
      <c r="J205" s="123">
        <v>45</v>
      </c>
      <c r="K205" s="123">
        <v>14</v>
      </c>
      <c r="L205" s="123">
        <v>31</v>
      </c>
      <c r="M205" s="123">
        <v>82</v>
      </c>
      <c r="N205" s="123">
        <v>14</v>
      </c>
      <c r="O205" s="123">
        <v>68</v>
      </c>
      <c r="P205" s="7" t="s">
        <v>13</v>
      </c>
      <c r="Q205" s="9"/>
    </row>
    <row r="206" spans="1:17" ht="12.75" customHeight="1" thickBot="1" x14ac:dyDescent="0.25">
      <c r="A206" s="123">
        <v>64</v>
      </c>
      <c r="B206" s="123">
        <v>0</v>
      </c>
      <c r="C206" s="123">
        <v>64</v>
      </c>
      <c r="D206" s="123">
        <v>0</v>
      </c>
      <c r="E206" s="123">
        <v>0</v>
      </c>
      <c r="F206" s="123">
        <v>0</v>
      </c>
      <c r="G206" s="123">
        <v>17</v>
      </c>
      <c r="H206" s="123">
        <v>0</v>
      </c>
      <c r="I206" s="123">
        <v>17</v>
      </c>
      <c r="J206" s="123">
        <v>1</v>
      </c>
      <c r="K206" s="123">
        <v>0</v>
      </c>
      <c r="L206" s="123">
        <v>1</v>
      </c>
      <c r="M206" s="123">
        <v>46</v>
      </c>
      <c r="N206" s="123">
        <v>0</v>
      </c>
      <c r="O206" s="123">
        <v>46</v>
      </c>
      <c r="P206" s="7" t="s">
        <v>163</v>
      </c>
      <c r="Q206" s="124"/>
    </row>
    <row r="207" spans="1:17" ht="12.75" customHeight="1" thickBot="1" x14ac:dyDescent="0.25">
      <c r="A207" s="123">
        <v>30</v>
      </c>
      <c r="B207" s="123">
        <v>0</v>
      </c>
      <c r="C207" s="123">
        <v>30</v>
      </c>
      <c r="D207" s="123">
        <v>0</v>
      </c>
      <c r="E207" s="123">
        <v>0</v>
      </c>
      <c r="F207" s="123">
        <v>0</v>
      </c>
      <c r="G207" s="123">
        <v>0</v>
      </c>
      <c r="H207" s="123">
        <v>0</v>
      </c>
      <c r="I207" s="123">
        <v>0</v>
      </c>
      <c r="J207" s="123">
        <v>0</v>
      </c>
      <c r="K207" s="123">
        <v>0</v>
      </c>
      <c r="L207" s="123">
        <v>0</v>
      </c>
      <c r="M207" s="123">
        <v>30</v>
      </c>
      <c r="N207" s="123">
        <v>0</v>
      </c>
      <c r="O207" s="123">
        <v>30</v>
      </c>
      <c r="P207" s="7" t="s">
        <v>162</v>
      </c>
      <c r="Q207" s="124" t="s">
        <v>535</v>
      </c>
    </row>
    <row r="208" spans="1:17" ht="12.75" customHeight="1" thickBot="1" x14ac:dyDescent="0.25">
      <c r="A208" s="123">
        <v>94</v>
      </c>
      <c r="B208" s="123">
        <v>0</v>
      </c>
      <c r="C208" s="123">
        <v>94</v>
      </c>
      <c r="D208" s="123">
        <v>0</v>
      </c>
      <c r="E208" s="123">
        <v>0</v>
      </c>
      <c r="F208" s="123">
        <v>0</v>
      </c>
      <c r="G208" s="123">
        <v>17</v>
      </c>
      <c r="H208" s="123">
        <v>0</v>
      </c>
      <c r="I208" s="123">
        <v>17</v>
      </c>
      <c r="J208" s="123">
        <v>1</v>
      </c>
      <c r="K208" s="123">
        <v>0</v>
      </c>
      <c r="L208" s="123">
        <v>1</v>
      </c>
      <c r="M208" s="123">
        <v>76</v>
      </c>
      <c r="N208" s="123">
        <v>0</v>
      </c>
      <c r="O208" s="123">
        <v>76</v>
      </c>
      <c r="P208" s="7" t="s">
        <v>13</v>
      </c>
      <c r="Q208" s="9"/>
    </row>
    <row r="209" spans="1:17" ht="12.75" customHeight="1" thickBot="1" x14ac:dyDescent="0.25">
      <c r="A209" s="123">
        <v>138</v>
      </c>
      <c r="B209" s="123">
        <v>0</v>
      </c>
      <c r="C209" s="123">
        <v>138</v>
      </c>
      <c r="D209" s="123">
        <v>0</v>
      </c>
      <c r="E209" s="123">
        <v>0</v>
      </c>
      <c r="F209" s="123">
        <v>0</v>
      </c>
      <c r="G209" s="123">
        <v>17</v>
      </c>
      <c r="H209" s="123">
        <v>0</v>
      </c>
      <c r="I209" s="123">
        <v>17</v>
      </c>
      <c r="J209" s="123">
        <v>7</v>
      </c>
      <c r="K209" s="123">
        <v>0</v>
      </c>
      <c r="L209" s="123">
        <v>7</v>
      </c>
      <c r="M209" s="123">
        <v>114</v>
      </c>
      <c r="N209" s="123">
        <v>0</v>
      </c>
      <c r="O209" s="123">
        <v>114</v>
      </c>
      <c r="P209" s="7" t="s">
        <v>163</v>
      </c>
      <c r="Q209" s="124"/>
    </row>
    <row r="210" spans="1:17" ht="12.75" customHeight="1" thickBot="1" x14ac:dyDescent="0.25">
      <c r="A210" s="123">
        <v>105</v>
      </c>
      <c r="B210" s="123">
        <v>0</v>
      </c>
      <c r="C210" s="123">
        <v>105</v>
      </c>
      <c r="D210" s="123">
        <v>0</v>
      </c>
      <c r="E210" s="123">
        <v>0</v>
      </c>
      <c r="F210" s="123">
        <v>0</v>
      </c>
      <c r="G210" s="123">
        <v>9</v>
      </c>
      <c r="H210" s="123">
        <v>0</v>
      </c>
      <c r="I210" s="123">
        <v>9</v>
      </c>
      <c r="J210" s="123">
        <v>14</v>
      </c>
      <c r="K210" s="123">
        <v>0</v>
      </c>
      <c r="L210" s="123">
        <v>14</v>
      </c>
      <c r="M210" s="123">
        <v>82</v>
      </c>
      <c r="N210" s="123">
        <v>0</v>
      </c>
      <c r="O210" s="123">
        <v>82</v>
      </c>
      <c r="P210" s="7" t="s">
        <v>162</v>
      </c>
      <c r="Q210" s="124" t="s">
        <v>377</v>
      </c>
    </row>
    <row r="211" spans="1:17" ht="12.75" customHeight="1" thickBot="1" x14ac:dyDescent="0.25">
      <c r="A211" s="123">
        <v>243</v>
      </c>
      <c r="B211" s="123">
        <v>0</v>
      </c>
      <c r="C211" s="123">
        <v>243</v>
      </c>
      <c r="D211" s="123">
        <v>0</v>
      </c>
      <c r="E211" s="123">
        <v>0</v>
      </c>
      <c r="F211" s="123">
        <v>0</v>
      </c>
      <c r="G211" s="123">
        <v>26</v>
      </c>
      <c r="H211" s="123">
        <v>0</v>
      </c>
      <c r="I211" s="123">
        <v>26</v>
      </c>
      <c r="J211" s="123">
        <v>21</v>
      </c>
      <c r="K211" s="123">
        <v>0</v>
      </c>
      <c r="L211" s="123">
        <v>21</v>
      </c>
      <c r="M211" s="123">
        <v>196</v>
      </c>
      <c r="N211" s="123">
        <v>0</v>
      </c>
      <c r="O211" s="123">
        <v>196</v>
      </c>
      <c r="P211" s="7" t="s">
        <v>13</v>
      </c>
      <c r="Q211" s="9"/>
    </row>
    <row r="212" spans="1:17" ht="12.75" customHeight="1" thickBot="1" x14ac:dyDescent="0.25">
      <c r="A212" s="123">
        <v>98</v>
      </c>
      <c r="B212" s="123">
        <v>56</v>
      </c>
      <c r="C212" s="123">
        <v>42</v>
      </c>
      <c r="D212" s="123">
        <v>0</v>
      </c>
      <c r="E212" s="123">
        <v>0</v>
      </c>
      <c r="F212" s="123">
        <v>0</v>
      </c>
      <c r="G212" s="123">
        <v>46</v>
      </c>
      <c r="H212" s="123">
        <v>35</v>
      </c>
      <c r="I212" s="123">
        <v>11</v>
      </c>
      <c r="J212" s="123">
        <v>11</v>
      </c>
      <c r="K212" s="123">
        <v>9</v>
      </c>
      <c r="L212" s="123">
        <v>2</v>
      </c>
      <c r="M212" s="123">
        <v>41</v>
      </c>
      <c r="N212" s="123">
        <v>12</v>
      </c>
      <c r="O212" s="123">
        <v>29</v>
      </c>
      <c r="P212" s="7" t="s">
        <v>163</v>
      </c>
      <c r="Q212" s="124"/>
    </row>
    <row r="213" spans="1:17" ht="12.75" customHeight="1" thickBot="1" x14ac:dyDescent="0.25">
      <c r="A213" s="123">
        <v>64</v>
      </c>
      <c r="B213" s="123">
        <v>21</v>
      </c>
      <c r="C213" s="123">
        <v>43</v>
      </c>
      <c r="D213" s="123">
        <v>0</v>
      </c>
      <c r="E213" s="123">
        <v>0</v>
      </c>
      <c r="F213" s="123">
        <v>0</v>
      </c>
      <c r="G213" s="123">
        <v>0</v>
      </c>
      <c r="H213" s="123">
        <v>0</v>
      </c>
      <c r="I213" s="123">
        <v>0</v>
      </c>
      <c r="J213" s="123">
        <v>9</v>
      </c>
      <c r="K213" s="123">
        <v>3</v>
      </c>
      <c r="L213" s="123">
        <v>6</v>
      </c>
      <c r="M213" s="123">
        <v>55</v>
      </c>
      <c r="N213" s="123">
        <v>18</v>
      </c>
      <c r="O213" s="123">
        <v>37</v>
      </c>
      <c r="P213" s="7" t="s">
        <v>162</v>
      </c>
      <c r="Q213" s="124" t="s">
        <v>536</v>
      </c>
    </row>
    <row r="214" spans="1:17" ht="12.75" customHeight="1" thickBot="1" x14ac:dyDescent="0.25">
      <c r="A214" s="123">
        <v>162</v>
      </c>
      <c r="B214" s="123">
        <v>77</v>
      </c>
      <c r="C214" s="123">
        <v>85</v>
      </c>
      <c r="D214" s="123">
        <v>0</v>
      </c>
      <c r="E214" s="123">
        <v>0</v>
      </c>
      <c r="F214" s="123">
        <v>0</v>
      </c>
      <c r="G214" s="123">
        <v>46</v>
      </c>
      <c r="H214" s="123">
        <v>35</v>
      </c>
      <c r="I214" s="123">
        <v>11</v>
      </c>
      <c r="J214" s="123">
        <v>20</v>
      </c>
      <c r="K214" s="123">
        <v>12</v>
      </c>
      <c r="L214" s="123">
        <v>8</v>
      </c>
      <c r="M214" s="123">
        <v>96</v>
      </c>
      <c r="N214" s="123">
        <v>30</v>
      </c>
      <c r="O214" s="123">
        <v>66</v>
      </c>
      <c r="P214" s="7" t="s">
        <v>13</v>
      </c>
      <c r="Q214" s="9"/>
    </row>
    <row r="215" spans="1:17" ht="12.75" customHeight="1" thickBot="1" x14ac:dyDescent="0.25">
      <c r="A215" s="123">
        <v>12</v>
      </c>
      <c r="B215" s="123">
        <v>0</v>
      </c>
      <c r="C215" s="123">
        <v>12</v>
      </c>
      <c r="D215" s="123">
        <v>0</v>
      </c>
      <c r="E215" s="123">
        <v>0</v>
      </c>
      <c r="F215" s="123">
        <v>0</v>
      </c>
      <c r="G215" s="123">
        <v>0</v>
      </c>
      <c r="H215" s="123">
        <v>0</v>
      </c>
      <c r="I215" s="123">
        <v>0</v>
      </c>
      <c r="J215" s="123">
        <v>2</v>
      </c>
      <c r="K215" s="123">
        <v>0</v>
      </c>
      <c r="L215" s="123">
        <v>2</v>
      </c>
      <c r="M215" s="123">
        <v>10</v>
      </c>
      <c r="N215" s="123">
        <v>0</v>
      </c>
      <c r="O215" s="123">
        <v>10</v>
      </c>
      <c r="P215" s="7" t="s">
        <v>163</v>
      </c>
      <c r="Q215" s="124"/>
    </row>
    <row r="216" spans="1:17" ht="12.75" customHeight="1" thickBot="1" x14ac:dyDescent="0.25">
      <c r="A216" s="123">
        <v>4</v>
      </c>
      <c r="B216" s="123">
        <v>0</v>
      </c>
      <c r="C216" s="123">
        <v>4</v>
      </c>
      <c r="D216" s="123">
        <v>4</v>
      </c>
      <c r="E216" s="123">
        <v>0</v>
      </c>
      <c r="F216" s="123">
        <v>4</v>
      </c>
      <c r="G216" s="123">
        <v>0</v>
      </c>
      <c r="H216" s="123">
        <v>0</v>
      </c>
      <c r="I216" s="123">
        <v>0</v>
      </c>
      <c r="J216" s="123">
        <v>0</v>
      </c>
      <c r="K216" s="123">
        <v>0</v>
      </c>
      <c r="L216" s="123">
        <v>0</v>
      </c>
      <c r="M216" s="123">
        <v>0</v>
      </c>
      <c r="N216" s="123">
        <v>0</v>
      </c>
      <c r="O216" s="123">
        <v>0</v>
      </c>
      <c r="P216" s="7" t="s">
        <v>162</v>
      </c>
      <c r="Q216" s="124" t="s">
        <v>245</v>
      </c>
    </row>
    <row r="217" spans="1:17" ht="12.75" customHeight="1" thickBot="1" x14ac:dyDescent="0.25">
      <c r="A217" s="123">
        <v>16</v>
      </c>
      <c r="B217" s="123">
        <v>0</v>
      </c>
      <c r="C217" s="123">
        <v>16</v>
      </c>
      <c r="D217" s="123">
        <v>4</v>
      </c>
      <c r="E217" s="123">
        <v>0</v>
      </c>
      <c r="F217" s="123">
        <v>4</v>
      </c>
      <c r="G217" s="123">
        <v>0</v>
      </c>
      <c r="H217" s="123">
        <v>0</v>
      </c>
      <c r="I217" s="123">
        <v>0</v>
      </c>
      <c r="J217" s="123">
        <v>2</v>
      </c>
      <c r="K217" s="123">
        <v>0</v>
      </c>
      <c r="L217" s="123">
        <v>2</v>
      </c>
      <c r="M217" s="123">
        <v>10</v>
      </c>
      <c r="N217" s="123">
        <v>0</v>
      </c>
      <c r="O217" s="123">
        <v>10</v>
      </c>
      <c r="P217" s="7" t="s">
        <v>13</v>
      </c>
      <c r="Q217" s="9"/>
    </row>
    <row r="218" spans="1:17" ht="12.75" customHeight="1" thickBot="1" x14ac:dyDescent="0.25">
      <c r="A218" s="123">
        <v>1</v>
      </c>
      <c r="B218" s="123">
        <v>1</v>
      </c>
      <c r="C218" s="123">
        <v>0</v>
      </c>
      <c r="D218" s="123">
        <v>0</v>
      </c>
      <c r="E218" s="123">
        <v>0</v>
      </c>
      <c r="F218" s="123">
        <v>0</v>
      </c>
      <c r="G218" s="123">
        <v>1</v>
      </c>
      <c r="H218" s="123">
        <v>1</v>
      </c>
      <c r="I218" s="123">
        <v>0</v>
      </c>
      <c r="J218" s="123">
        <v>0</v>
      </c>
      <c r="K218" s="123">
        <v>0</v>
      </c>
      <c r="L218" s="123">
        <v>0</v>
      </c>
      <c r="M218" s="123">
        <v>0</v>
      </c>
      <c r="N218" s="123">
        <v>0</v>
      </c>
      <c r="O218" s="123">
        <v>0</v>
      </c>
      <c r="P218" s="7" t="s">
        <v>163</v>
      </c>
      <c r="Q218" s="124"/>
    </row>
    <row r="219" spans="1:17" ht="12.75" customHeight="1" thickBot="1" x14ac:dyDescent="0.25">
      <c r="A219" s="123">
        <v>1</v>
      </c>
      <c r="B219" s="123">
        <v>1</v>
      </c>
      <c r="C219" s="123">
        <v>0</v>
      </c>
      <c r="D219" s="123">
        <v>1</v>
      </c>
      <c r="E219" s="123">
        <v>1</v>
      </c>
      <c r="F219" s="123">
        <v>0</v>
      </c>
      <c r="G219" s="123">
        <v>0</v>
      </c>
      <c r="H219" s="123">
        <v>0</v>
      </c>
      <c r="I219" s="123">
        <v>0</v>
      </c>
      <c r="J219" s="123">
        <v>0</v>
      </c>
      <c r="K219" s="123">
        <v>0</v>
      </c>
      <c r="L219" s="123">
        <v>0</v>
      </c>
      <c r="M219" s="123">
        <v>0</v>
      </c>
      <c r="N219" s="123">
        <v>0</v>
      </c>
      <c r="O219" s="123">
        <v>0</v>
      </c>
      <c r="P219" s="7" t="s">
        <v>162</v>
      </c>
      <c r="Q219" s="124" t="s">
        <v>77</v>
      </c>
    </row>
    <row r="220" spans="1:17" ht="12.75" customHeight="1" thickBot="1" x14ac:dyDescent="0.25">
      <c r="A220" s="123">
        <v>2</v>
      </c>
      <c r="B220" s="123">
        <v>2</v>
      </c>
      <c r="C220" s="123">
        <v>0</v>
      </c>
      <c r="D220" s="123">
        <v>1</v>
      </c>
      <c r="E220" s="123">
        <v>1</v>
      </c>
      <c r="F220" s="123">
        <v>0</v>
      </c>
      <c r="G220" s="123">
        <v>1</v>
      </c>
      <c r="H220" s="123">
        <v>1</v>
      </c>
      <c r="I220" s="123">
        <v>0</v>
      </c>
      <c r="J220" s="123">
        <v>0</v>
      </c>
      <c r="K220" s="123">
        <v>0</v>
      </c>
      <c r="L220" s="123">
        <v>0</v>
      </c>
      <c r="M220" s="123">
        <v>0</v>
      </c>
      <c r="N220" s="123">
        <v>0</v>
      </c>
      <c r="O220" s="123">
        <v>0</v>
      </c>
      <c r="P220" s="7" t="s">
        <v>13</v>
      </c>
      <c r="Q220" s="9"/>
    </row>
    <row r="221" spans="1:17" ht="12.75" customHeight="1" thickBot="1" x14ac:dyDescent="0.25">
      <c r="A221" s="123">
        <v>9</v>
      </c>
      <c r="B221" s="123">
        <v>0</v>
      </c>
      <c r="C221" s="123">
        <v>9</v>
      </c>
      <c r="D221" s="123">
        <v>0</v>
      </c>
      <c r="E221" s="123">
        <v>0</v>
      </c>
      <c r="F221" s="123">
        <v>0</v>
      </c>
      <c r="G221" s="123">
        <v>1</v>
      </c>
      <c r="H221" s="123">
        <v>0</v>
      </c>
      <c r="I221" s="123">
        <v>1</v>
      </c>
      <c r="J221" s="123">
        <v>4</v>
      </c>
      <c r="K221" s="123">
        <v>0</v>
      </c>
      <c r="L221" s="123">
        <v>4</v>
      </c>
      <c r="M221" s="123">
        <v>4</v>
      </c>
      <c r="N221" s="123">
        <v>0</v>
      </c>
      <c r="O221" s="123">
        <v>4</v>
      </c>
      <c r="P221" s="7" t="s">
        <v>163</v>
      </c>
      <c r="Q221" s="124"/>
    </row>
    <row r="222" spans="1:17" ht="12.75" customHeight="1" thickBot="1" x14ac:dyDescent="0.25">
      <c r="A222" s="123">
        <v>67</v>
      </c>
      <c r="B222" s="123">
        <v>0</v>
      </c>
      <c r="C222" s="123">
        <v>67</v>
      </c>
      <c r="D222" s="123">
        <v>1</v>
      </c>
      <c r="E222" s="123">
        <v>0</v>
      </c>
      <c r="F222" s="123">
        <v>1</v>
      </c>
      <c r="G222" s="123">
        <v>0</v>
      </c>
      <c r="H222" s="123">
        <v>0</v>
      </c>
      <c r="I222" s="123">
        <v>0</v>
      </c>
      <c r="J222" s="123">
        <v>30</v>
      </c>
      <c r="K222" s="123">
        <v>0</v>
      </c>
      <c r="L222" s="123">
        <v>30</v>
      </c>
      <c r="M222" s="123">
        <v>36</v>
      </c>
      <c r="N222" s="123">
        <v>0</v>
      </c>
      <c r="O222" s="123">
        <v>36</v>
      </c>
      <c r="P222" s="7" t="s">
        <v>162</v>
      </c>
      <c r="Q222" s="124" t="s">
        <v>90</v>
      </c>
    </row>
    <row r="223" spans="1:17" ht="12.75" customHeight="1" thickBot="1" x14ac:dyDescent="0.25">
      <c r="A223" s="123">
        <v>76</v>
      </c>
      <c r="B223" s="123">
        <v>0</v>
      </c>
      <c r="C223" s="123">
        <v>76</v>
      </c>
      <c r="D223" s="123">
        <v>1</v>
      </c>
      <c r="E223" s="123">
        <v>0</v>
      </c>
      <c r="F223" s="123">
        <v>1</v>
      </c>
      <c r="G223" s="123">
        <v>1</v>
      </c>
      <c r="H223" s="123">
        <v>0</v>
      </c>
      <c r="I223" s="123">
        <v>1</v>
      </c>
      <c r="J223" s="123">
        <v>34</v>
      </c>
      <c r="K223" s="123">
        <v>0</v>
      </c>
      <c r="L223" s="123">
        <v>34</v>
      </c>
      <c r="M223" s="123">
        <v>40</v>
      </c>
      <c r="N223" s="123">
        <v>0</v>
      </c>
      <c r="O223" s="123">
        <v>40</v>
      </c>
      <c r="P223" s="7" t="s">
        <v>13</v>
      </c>
      <c r="Q223" s="9"/>
    </row>
    <row r="224" spans="1:17" ht="12.75" customHeight="1" thickBot="1" x14ac:dyDescent="0.25">
      <c r="A224" s="123">
        <v>342</v>
      </c>
      <c r="B224" s="123">
        <v>0</v>
      </c>
      <c r="C224" s="123">
        <v>342</v>
      </c>
      <c r="D224" s="123">
        <v>341</v>
      </c>
      <c r="E224" s="123">
        <v>0</v>
      </c>
      <c r="F224" s="123">
        <v>341</v>
      </c>
      <c r="G224" s="123">
        <v>0</v>
      </c>
      <c r="H224" s="123">
        <v>0</v>
      </c>
      <c r="I224" s="123">
        <v>0</v>
      </c>
      <c r="J224" s="123">
        <v>0</v>
      </c>
      <c r="K224" s="123">
        <v>0</v>
      </c>
      <c r="L224" s="123">
        <v>0</v>
      </c>
      <c r="M224" s="123">
        <v>1</v>
      </c>
      <c r="N224" s="123">
        <v>0</v>
      </c>
      <c r="O224" s="123">
        <v>1</v>
      </c>
      <c r="P224" s="7" t="s">
        <v>163</v>
      </c>
      <c r="Q224" s="124"/>
    </row>
    <row r="225" spans="1:17" ht="12.75" customHeight="1" thickBot="1" x14ac:dyDescent="0.25">
      <c r="A225" s="123">
        <v>9</v>
      </c>
      <c r="B225" s="123">
        <v>0</v>
      </c>
      <c r="C225" s="123">
        <v>9</v>
      </c>
      <c r="D225" s="123">
        <v>0</v>
      </c>
      <c r="E225" s="123">
        <v>0</v>
      </c>
      <c r="F225" s="123">
        <v>0</v>
      </c>
      <c r="G225" s="123">
        <v>1</v>
      </c>
      <c r="H225" s="123">
        <v>0</v>
      </c>
      <c r="I225" s="123">
        <v>1</v>
      </c>
      <c r="J225" s="123">
        <v>0</v>
      </c>
      <c r="K225" s="123">
        <v>0</v>
      </c>
      <c r="L225" s="123">
        <v>0</v>
      </c>
      <c r="M225" s="123">
        <v>8</v>
      </c>
      <c r="N225" s="123">
        <v>0</v>
      </c>
      <c r="O225" s="123">
        <v>8</v>
      </c>
      <c r="P225" s="7" t="s">
        <v>162</v>
      </c>
      <c r="Q225" s="124" t="s">
        <v>626</v>
      </c>
    </row>
    <row r="226" spans="1:17" ht="12.75" customHeight="1" thickBot="1" x14ac:dyDescent="0.25">
      <c r="A226" s="123">
        <v>351</v>
      </c>
      <c r="B226" s="123">
        <v>0</v>
      </c>
      <c r="C226" s="123">
        <v>351</v>
      </c>
      <c r="D226" s="123">
        <v>341</v>
      </c>
      <c r="E226" s="123">
        <v>0</v>
      </c>
      <c r="F226" s="123">
        <v>341</v>
      </c>
      <c r="G226" s="123">
        <v>1</v>
      </c>
      <c r="H226" s="123">
        <v>0</v>
      </c>
      <c r="I226" s="123">
        <v>1</v>
      </c>
      <c r="J226" s="123">
        <v>0</v>
      </c>
      <c r="K226" s="123">
        <v>0</v>
      </c>
      <c r="L226" s="123">
        <v>0</v>
      </c>
      <c r="M226" s="123">
        <v>9</v>
      </c>
      <c r="N226" s="123">
        <v>0</v>
      </c>
      <c r="O226" s="123">
        <v>9</v>
      </c>
      <c r="P226" s="7" t="s">
        <v>13</v>
      </c>
      <c r="Q226" s="9"/>
    </row>
    <row r="227" spans="1:17" ht="12.75" customHeight="1" thickBot="1" x14ac:dyDescent="0.25">
      <c r="A227" s="123">
        <v>1</v>
      </c>
      <c r="B227" s="123">
        <v>0</v>
      </c>
      <c r="C227" s="123">
        <v>1</v>
      </c>
      <c r="D227" s="123">
        <v>0</v>
      </c>
      <c r="E227" s="123">
        <v>0</v>
      </c>
      <c r="F227" s="123">
        <v>0</v>
      </c>
      <c r="G227" s="123">
        <v>0</v>
      </c>
      <c r="H227" s="123">
        <v>0</v>
      </c>
      <c r="I227" s="123">
        <v>0</v>
      </c>
      <c r="J227" s="123">
        <v>0</v>
      </c>
      <c r="K227" s="123">
        <v>0</v>
      </c>
      <c r="L227" s="123">
        <v>0</v>
      </c>
      <c r="M227" s="123">
        <v>1</v>
      </c>
      <c r="N227" s="123">
        <v>0</v>
      </c>
      <c r="O227" s="123">
        <v>1</v>
      </c>
      <c r="P227" s="7" t="s">
        <v>163</v>
      </c>
      <c r="Q227" s="124"/>
    </row>
    <row r="228" spans="1:17" ht="12.75" customHeight="1" thickBot="1" x14ac:dyDescent="0.25">
      <c r="A228" s="123">
        <v>11</v>
      </c>
      <c r="B228" s="123">
        <v>0</v>
      </c>
      <c r="C228" s="123">
        <v>11</v>
      </c>
      <c r="D228" s="123">
        <v>0</v>
      </c>
      <c r="E228" s="123">
        <v>0</v>
      </c>
      <c r="F228" s="123">
        <v>0</v>
      </c>
      <c r="G228" s="123">
        <v>1</v>
      </c>
      <c r="H228" s="123">
        <v>0</v>
      </c>
      <c r="I228" s="123">
        <v>1</v>
      </c>
      <c r="J228" s="123">
        <v>2</v>
      </c>
      <c r="K228" s="123">
        <v>0</v>
      </c>
      <c r="L228" s="123">
        <v>2</v>
      </c>
      <c r="M228" s="123">
        <v>8</v>
      </c>
      <c r="N228" s="123">
        <v>0</v>
      </c>
      <c r="O228" s="123">
        <v>8</v>
      </c>
      <c r="P228" s="7" t="s">
        <v>162</v>
      </c>
      <c r="Q228" s="124" t="s">
        <v>627</v>
      </c>
    </row>
    <row r="229" spans="1:17" ht="12.75" customHeight="1" thickBot="1" x14ac:dyDescent="0.25">
      <c r="A229" s="123">
        <v>12</v>
      </c>
      <c r="B229" s="123">
        <v>0</v>
      </c>
      <c r="C229" s="123">
        <v>12</v>
      </c>
      <c r="D229" s="123">
        <v>0</v>
      </c>
      <c r="E229" s="123">
        <v>0</v>
      </c>
      <c r="F229" s="123">
        <v>0</v>
      </c>
      <c r="G229" s="123">
        <v>1</v>
      </c>
      <c r="H229" s="123">
        <v>0</v>
      </c>
      <c r="I229" s="123">
        <v>1</v>
      </c>
      <c r="J229" s="123">
        <v>2</v>
      </c>
      <c r="K229" s="123">
        <v>0</v>
      </c>
      <c r="L229" s="123">
        <v>2</v>
      </c>
      <c r="M229" s="123">
        <v>9</v>
      </c>
      <c r="N229" s="123">
        <v>0</v>
      </c>
      <c r="O229" s="123">
        <v>9</v>
      </c>
      <c r="P229" s="7" t="s">
        <v>13</v>
      </c>
      <c r="Q229" s="9"/>
    </row>
    <row r="230" spans="1:17" ht="12.75" customHeight="1" thickBot="1" x14ac:dyDescent="0.25">
      <c r="A230" s="123">
        <v>15</v>
      </c>
      <c r="B230" s="123">
        <v>14</v>
      </c>
      <c r="C230" s="123">
        <v>1</v>
      </c>
      <c r="D230" s="123">
        <v>0</v>
      </c>
      <c r="E230" s="123">
        <v>0</v>
      </c>
      <c r="F230" s="123">
        <v>0</v>
      </c>
      <c r="G230" s="123">
        <v>11</v>
      </c>
      <c r="H230" s="123">
        <v>10</v>
      </c>
      <c r="I230" s="123">
        <v>1</v>
      </c>
      <c r="J230" s="123">
        <v>3</v>
      </c>
      <c r="K230" s="123">
        <v>3</v>
      </c>
      <c r="L230" s="123">
        <v>0</v>
      </c>
      <c r="M230" s="123">
        <v>1</v>
      </c>
      <c r="N230" s="123">
        <v>1</v>
      </c>
      <c r="O230" s="123">
        <v>0</v>
      </c>
      <c r="P230" s="7" t="s">
        <v>163</v>
      </c>
      <c r="Q230" s="124"/>
    </row>
    <row r="231" spans="1:17" ht="12.75" customHeight="1" thickBot="1" x14ac:dyDescent="0.25">
      <c r="A231" s="123">
        <v>22</v>
      </c>
      <c r="B231" s="123">
        <v>16</v>
      </c>
      <c r="C231" s="123">
        <v>6</v>
      </c>
      <c r="D231" s="123">
        <v>0</v>
      </c>
      <c r="E231" s="123">
        <v>0</v>
      </c>
      <c r="F231" s="123">
        <v>0</v>
      </c>
      <c r="G231" s="123">
        <v>0</v>
      </c>
      <c r="H231" s="123">
        <v>0</v>
      </c>
      <c r="I231" s="123">
        <v>0</v>
      </c>
      <c r="J231" s="123">
        <v>6</v>
      </c>
      <c r="K231" s="123">
        <v>2</v>
      </c>
      <c r="L231" s="123">
        <v>4</v>
      </c>
      <c r="M231" s="123">
        <v>16</v>
      </c>
      <c r="N231" s="123">
        <v>14</v>
      </c>
      <c r="O231" s="123">
        <v>2</v>
      </c>
      <c r="P231" s="7" t="s">
        <v>162</v>
      </c>
      <c r="Q231" s="124" t="s">
        <v>367</v>
      </c>
    </row>
    <row r="232" spans="1:17" ht="12.75" customHeight="1" thickBot="1" x14ac:dyDescent="0.25">
      <c r="A232" s="123">
        <v>37</v>
      </c>
      <c r="B232" s="123">
        <v>30</v>
      </c>
      <c r="C232" s="123">
        <v>7</v>
      </c>
      <c r="D232" s="123">
        <v>0</v>
      </c>
      <c r="E232" s="123">
        <v>0</v>
      </c>
      <c r="F232" s="123">
        <v>0</v>
      </c>
      <c r="G232" s="123">
        <v>11</v>
      </c>
      <c r="H232" s="123">
        <v>10</v>
      </c>
      <c r="I232" s="123">
        <v>1</v>
      </c>
      <c r="J232" s="123">
        <v>9</v>
      </c>
      <c r="K232" s="123">
        <v>5</v>
      </c>
      <c r="L232" s="123">
        <v>4</v>
      </c>
      <c r="M232" s="123">
        <v>17</v>
      </c>
      <c r="N232" s="123">
        <v>15</v>
      </c>
      <c r="O232" s="123">
        <v>2</v>
      </c>
      <c r="P232" s="7" t="s">
        <v>13</v>
      </c>
      <c r="Q232" s="9"/>
    </row>
    <row r="233" spans="1:17" ht="12.75" customHeight="1" thickBot="1" x14ac:dyDescent="0.25">
      <c r="A233" s="123">
        <v>1</v>
      </c>
      <c r="B233" s="123">
        <v>0</v>
      </c>
      <c r="C233" s="123">
        <v>1</v>
      </c>
      <c r="D233" s="123">
        <v>0</v>
      </c>
      <c r="E233" s="123">
        <v>0</v>
      </c>
      <c r="F233" s="123">
        <v>0</v>
      </c>
      <c r="G233" s="123">
        <v>0</v>
      </c>
      <c r="H233" s="123">
        <v>0</v>
      </c>
      <c r="I233" s="123">
        <v>0</v>
      </c>
      <c r="J233" s="123">
        <v>1</v>
      </c>
      <c r="K233" s="123">
        <v>0</v>
      </c>
      <c r="L233" s="123">
        <v>1</v>
      </c>
      <c r="M233" s="123">
        <v>0</v>
      </c>
      <c r="N233" s="123">
        <v>0</v>
      </c>
      <c r="O233" s="123">
        <v>0</v>
      </c>
      <c r="P233" s="7" t="s">
        <v>163</v>
      </c>
      <c r="Q233" s="124"/>
    </row>
    <row r="234" spans="1:17" ht="12.75" customHeight="1" thickBot="1" x14ac:dyDescent="0.25">
      <c r="A234" s="123">
        <v>25</v>
      </c>
      <c r="B234" s="123">
        <v>0</v>
      </c>
      <c r="C234" s="123">
        <v>25</v>
      </c>
      <c r="D234" s="123">
        <v>0</v>
      </c>
      <c r="E234" s="123">
        <v>0</v>
      </c>
      <c r="F234" s="123">
        <v>0</v>
      </c>
      <c r="G234" s="123">
        <v>0</v>
      </c>
      <c r="H234" s="123">
        <v>0</v>
      </c>
      <c r="I234" s="123">
        <v>0</v>
      </c>
      <c r="J234" s="123">
        <v>17</v>
      </c>
      <c r="K234" s="123">
        <v>0</v>
      </c>
      <c r="L234" s="123">
        <v>17</v>
      </c>
      <c r="M234" s="123">
        <v>8</v>
      </c>
      <c r="N234" s="123">
        <v>0</v>
      </c>
      <c r="O234" s="123">
        <v>8</v>
      </c>
      <c r="P234" s="7" t="s">
        <v>162</v>
      </c>
      <c r="Q234" s="124" t="s">
        <v>91</v>
      </c>
    </row>
    <row r="235" spans="1:17" ht="12.75" customHeight="1" thickBot="1" x14ac:dyDescent="0.25">
      <c r="A235" s="123">
        <v>26</v>
      </c>
      <c r="B235" s="123">
        <v>0</v>
      </c>
      <c r="C235" s="123">
        <v>26</v>
      </c>
      <c r="D235" s="123">
        <v>0</v>
      </c>
      <c r="E235" s="123">
        <v>0</v>
      </c>
      <c r="F235" s="123">
        <v>0</v>
      </c>
      <c r="G235" s="123">
        <v>0</v>
      </c>
      <c r="H235" s="123">
        <v>0</v>
      </c>
      <c r="I235" s="123">
        <v>0</v>
      </c>
      <c r="J235" s="123">
        <v>18</v>
      </c>
      <c r="K235" s="123">
        <v>0</v>
      </c>
      <c r="L235" s="123">
        <v>18</v>
      </c>
      <c r="M235" s="123">
        <v>8</v>
      </c>
      <c r="N235" s="123">
        <v>0</v>
      </c>
      <c r="O235" s="123">
        <v>8</v>
      </c>
      <c r="P235" s="7" t="s">
        <v>13</v>
      </c>
      <c r="Q235" s="9"/>
    </row>
    <row r="236" spans="1:17" ht="12.75" customHeight="1" thickBot="1" x14ac:dyDescent="0.25">
      <c r="A236" s="123">
        <v>3</v>
      </c>
      <c r="B236" s="123">
        <v>0</v>
      </c>
      <c r="C236" s="123">
        <v>3</v>
      </c>
      <c r="D236" s="123">
        <v>0</v>
      </c>
      <c r="E236" s="123">
        <v>0</v>
      </c>
      <c r="F236" s="123">
        <v>0</v>
      </c>
      <c r="G236" s="123">
        <v>0</v>
      </c>
      <c r="H236" s="123">
        <v>0</v>
      </c>
      <c r="I236" s="123">
        <v>0</v>
      </c>
      <c r="J236" s="123">
        <v>2</v>
      </c>
      <c r="K236" s="123">
        <v>0</v>
      </c>
      <c r="L236" s="123">
        <v>2</v>
      </c>
      <c r="M236" s="123">
        <v>1</v>
      </c>
      <c r="N236" s="123">
        <v>0</v>
      </c>
      <c r="O236" s="123">
        <v>1</v>
      </c>
      <c r="P236" s="7" t="s">
        <v>163</v>
      </c>
      <c r="Q236" s="124"/>
    </row>
    <row r="237" spans="1:17" ht="12.75" customHeight="1" thickBot="1" x14ac:dyDescent="0.25">
      <c r="A237" s="123">
        <v>28</v>
      </c>
      <c r="B237" s="123">
        <v>0</v>
      </c>
      <c r="C237" s="123">
        <v>28</v>
      </c>
      <c r="D237" s="123">
        <v>0</v>
      </c>
      <c r="E237" s="123">
        <v>0</v>
      </c>
      <c r="F237" s="123">
        <v>0</v>
      </c>
      <c r="G237" s="123">
        <v>0</v>
      </c>
      <c r="H237" s="123">
        <v>0</v>
      </c>
      <c r="I237" s="123">
        <v>0</v>
      </c>
      <c r="J237" s="123">
        <v>19</v>
      </c>
      <c r="K237" s="123">
        <v>0</v>
      </c>
      <c r="L237" s="123">
        <v>19</v>
      </c>
      <c r="M237" s="123">
        <v>9</v>
      </c>
      <c r="N237" s="123">
        <v>0</v>
      </c>
      <c r="O237" s="123">
        <v>9</v>
      </c>
      <c r="P237" s="7" t="s">
        <v>162</v>
      </c>
      <c r="Q237" s="124" t="s">
        <v>92</v>
      </c>
    </row>
    <row r="238" spans="1:17" ht="12.75" customHeight="1" thickBot="1" x14ac:dyDescent="0.25">
      <c r="A238" s="123">
        <v>31</v>
      </c>
      <c r="B238" s="123">
        <v>0</v>
      </c>
      <c r="C238" s="123">
        <v>31</v>
      </c>
      <c r="D238" s="123">
        <v>0</v>
      </c>
      <c r="E238" s="123">
        <v>0</v>
      </c>
      <c r="F238" s="123">
        <v>0</v>
      </c>
      <c r="G238" s="123">
        <v>0</v>
      </c>
      <c r="H238" s="123">
        <v>0</v>
      </c>
      <c r="I238" s="123">
        <v>0</v>
      </c>
      <c r="J238" s="123">
        <v>21</v>
      </c>
      <c r="K238" s="123">
        <v>0</v>
      </c>
      <c r="L238" s="123">
        <v>21</v>
      </c>
      <c r="M238" s="123">
        <v>10</v>
      </c>
      <c r="N238" s="123">
        <v>0</v>
      </c>
      <c r="O238" s="123">
        <v>10</v>
      </c>
      <c r="P238" s="7" t="s">
        <v>13</v>
      </c>
      <c r="Q238" s="9"/>
    </row>
    <row r="239" spans="1:17" ht="12.75" customHeight="1" thickBot="1" x14ac:dyDescent="0.25">
      <c r="A239" s="123">
        <v>27</v>
      </c>
      <c r="B239" s="123">
        <v>0</v>
      </c>
      <c r="C239" s="123">
        <v>27</v>
      </c>
      <c r="D239" s="123">
        <v>0</v>
      </c>
      <c r="E239" s="123">
        <v>0</v>
      </c>
      <c r="F239" s="123">
        <v>0</v>
      </c>
      <c r="G239" s="123">
        <v>3</v>
      </c>
      <c r="H239" s="123">
        <v>0</v>
      </c>
      <c r="I239" s="123">
        <v>3</v>
      </c>
      <c r="J239" s="123">
        <v>1</v>
      </c>
      <c r="K239" s="123">
        <v>0</v>
      </c>
      <c r="L239" s="123">
        <v>1</v>
      </c>
      <c r="M239" s="123">
        <v>23</v>
      </c>
      <c r="N239" s="123">
        <v>0</v>
      </c>
      <c r="O239" s="123">
        <v>23</v>
      </c>
      <c r="P239" s="7" t="s">
        <v>163</v>
      </c>
      <c r="Q239" s="124"/>
    </row>
    <row r="240" spans="1:17" ht="12.75" customHeight="1" thickBot="1" x14ac:dyDescent="0.25">
      <c r="A240" s="123">
        <v>10</v>
      </c>
      <c r="B240" s="123">
        <v>0</v>
      </c>
      <c r="C240" s="123">
        <v>10</v>
      </c>
      <c r="D240" s="123">
        <v>0</v>
      </c>
      <c r="E240" s="123">
        <v>0</v>
      </c>
      <c r="F240" s="123">
        <v>0</v>
      </c>
      <c r="G240" s="123">
        <v>0</v>
      </c>
      <c r="H240" s="123">
        <v>0</v>
      </c>
      <c r="I240" s="123">
        <v>0</v>
      </c>
      <c r="J240" s="123">
        <v>1</v>
      </c>
      <c r="K240" s="123">
        <v>0</v>
      </c>
      <c r="L240" s="123">
        <v>1</v>
      </c>
      <c r="M240" s="123">
        <v>9</v>
      </c>
      <c r="N240" s="123">
        <v>0</v>
      </c>
      <c r="O240" s="123">
        <v>9</v>
      </c>
      <c r="P240" s="7" t="s">
        <v>162</v>
      </c>
      <c r="Q240" s="124" t="s">
        <v>368</v>
      </c>
    </row>
    <row r="241" spans="1:17" ht="12.75" customHeight="1" thickBot="1" x14ac:dyDescent="0.25">
      <c r="A241" s="123">
        <v>37</v>
      </c>
      <c r="B241" s="123">
        <v>0</v>
      </c>
      <c r="C241" s="123">
        <v>37</v>
      </c>
      <c r="D241" s="123">
        <v>0</v>
      </c>
      <c r="E241" s="123">
        <v>0</v>
      </c>
      <c r="F241" s="123">
        <v>0</v>
      </c>
      <c r="G241" s="123">
        <v>3</v>
      </c>
      <c r="H241" s="123">
        <v>0</v>
      </c>
      <c r="I241" s="123">
        <v>3</v>
      </c>
      <c r="J241" s="123">
        <v>2</v>
      </c>
      <c r="K241" s="123">
        <v>0</v>
      </c>
      <c r="L241" s="123">
        <v>2</v>
      </c>
      <c r="M241" s="123">
        <v>32</v>
      </c>
      <c r="N241" s="123">
        <v>0</v>
      </c>
      <c r="O241" s="123">
        <v>32</v>
      </c>
      <c r="P241" s="7" t="s">
        <v>13</v>
      </c>
      <c r="Q241" s="9"/>
    </row>
    <row r="242" spans="1:17" ht="12.75" customHeight="1" thickBot="1" x14ac:dyDescent="0.25">
      <c r="A242" s="123">
        <v>41</v>
      </c>
      <c r="B242" s="123">
        <v>0</v>
      </c>
      <c r="C242" s="123">
        <v>41</v>
      </c>
      <c r="D242" s="123">
        <v>0</v>
      </c>
      <c r="E242" s="123">
        <v>0</v>
      </c>
      <c r="F242" s="123">
        <v>0</v>
      </c>
      <c r="G242" s="123">
        <v>13</v>
      </c>
      <c r="H242" s="123">
        <v>0</v>
      </c>
      <c r="I242" s="123">
        <v>13</v>
      </c>
      <c r="J242" s="123">
        <v>1</v>
      </c>
      <c r="K242" s="123">
        <v>0</v>
      </c>
      <c r="L242" s="123">
        <v>1</v>
      </c>
      <c r="M242" s="123">
        <v>27</v>
      </c>
      <c r="N242" s="123">
        <v>0</v>
      </c>
      <c r="O242" s="123">
        <v>27</v>
      </c>
      <c r="P242" s="7" t="s">
        <v>163</v>
      </c>
      <c r="Q242" s="124"/>
    </row>
    <row r="243" spans="1:17" ht="12.75" customHeight="1" thickBot="1" x14ac:dyDescent="0.25">
      <c r="A243" s="123">
        <v>31</v>
      </c>
      <c r="B243" s="123">
        <v>6</v>
      </c>
      <c r="C243" s="123">
        <v>25</v>
      </c>
      <c r="D243" s="123">
        <v>0</v>
      </c>
      <c r="E243" s="123">
        <v>0</v>
      </c>
      <c r="F243" s="123">
        <v>0</v>
      </c>
      <c r="G243" s="123">
        <v>0</v>
      </c>
      <c r="H243" s="123">
        <v>0</v>
      </c>
      <c r="I243" s="123">
        <v>0</v>
      </c>
      <c r="J243" s="123">
        <v>0</v>
      </c>
      <c r="K243" s="123">
        <v>0</v>
      </c>
      <c r="L243" s="123">
        <v>0</v>
      </c>
      <c r="M243" s="123">
        <v>31</v>
      </c>
      <c r="N243" s="123">
        <v>6</v>
      </c>
      <c r="O243" s="123">
        <v>25</v>
      </c>
      <c r="P243" s="7" t="s">
        <v>162</v>
      </c>
      <c r="Q243" s="124" t="s">
        <v>628</v>
      </c>
    </row>
    <row r="244" spans="1:17" ht="12.75" customHeight="1" thickBot="1" x14ac:dyDescent="0.25">
      <c r="A244" s="123">
        <v>72</v>
      </c>
      <c r="B244" s="123">
        <v>6</v>
      </c>
      <c r="C244" s="123">
        <v>66</v>
      </c>
      <c r="D244" s="123">
        <v>0</v>
      </c>
      <c r="E244" s="123">
        <v>0</v>
      </c>
      <c r="F244" s="123">
        <v>0</v>
      </c>
      <c r="G244" s="123">
        <v>13</v>
      </c>
      <c r="H244" s="123">
        <v>0</v>
      </c>
      <c r="I244" s="123">
        <v>13</v>
      </c>
      <c r="J244" s="123">
        <v>1</v>
      </c>
      <c r="K244" s="123">
        <v>0</v>
      </c>
      <c r="L244" s="123">
        <v>1</v>
      </c>
      <c r="M244" s="123">
        <v>58</v>
      </c>
      <c r="N244" s="123">
        <v>6</v>
      </c>
      <c r="O244" s="123">
        <v>52</v>
      </c>
      <c r="P244" s="7" t="s">
        <v>13</v>
      </c>
      <c r="Q244" s="9"/>
    </row>
    <row r="245" spans="1:17" ht="12.75" customHeight="1" thickBot="1" x14ac:dyDescent="0.25">
      <c r="A245" s="123">
        <v>2</v>
      </c>
      <c r="B245" s="123">
        <v>0</v>
      </c>
      <c r="C245" s="123">
        <v>2</v>
      </c>
      <c r="D245" s="123">
        <v>0</v>
      </c>
      <c r="E245" s="123">
        <v>0</v>
      </c>
      <c r="F245" s="123">
        <v>0</v>
      </c>
      <c r="G245" s="123">
        <v>0</v>
      </c>
      <c r="H245" s="123">
        <v>0</v>
      </c>
      <c r="I245" s="123">
        <v>0</v>
      </c>
      <c r="J245" s="123">
        <v>0</v>
      </c>
      <c r="K245" s="123">
        <v>0</v>
      </c>
      <c r="L245" s="123">
        <v>0</v>
      </c>
      <c r="M245" s="123">
        <v>2</v>
      </c>
      <c r="N245" s="123">
        <v>0</v>
      </c>
      <c r="O245" s="123">
        <v>2</v>
      </c>
      <c r="P245" s="7" t="s">
        <v>163</v>
      </c>
      <c r="Q245" s="124"/>
    </row>
    <row r="246" spans="1:17" ht="12.75" customHeight="1" thickBot="1" x14ac:dyDescent="0.25">
      <c r="A246" s="123">
        <v>11</v>
      </c>
      <c r="B246" s="123">
        <v>0</v>
      </c>
      <c r="C246" s="123">
        <v>11</v>
      </c>
      <c r="D246" s="123">
        <v>0</v>
      </c>
      <c r="E246" s="123">
        <v>0</v>
      </c>
      <c r="F246" s="123">
        <v>0</v>
      </c>
      <c r="G246" s="123">
        <v>0</v>
      </c>
      <c r="H246" s="123">
        <v>0</v>
      </c>
      <c r="I246" s="123">
        <v>0</v>
      </c>
      <c r="J246" s="123">
        <v>3</v>
      </c>
      <c r="K246" s="123">
        <v>0</v>
      </c>
      <c r="L246" s="123">
        <v>3</v>
      </c>
      <c r="M246" s="123">
        <v>8</v>
      </c>
      <c r="N246" s="123">
        <v>0</v>
      </c>
      <c r="O246" s="123">
        <v>8</v>
      </c>
      <c r="P246" s="7" t="s">
        <v>162</v>
      </c>
      <c r="Q246" s="124" t="s">
        <v>93</v>
      </c>
    </row>
    <row r="247" spans="1:17" ht="12.75" customHeight="1" thickBot="1" x14ac:dyDescent="0.25">
      <c r="A247" s="123">
        <v>13</v>
      </c>
      <c r="B247" s="123">
        <v>0</v>
      </c>
      <c r="C247" s="123">
        <v>13</v>
      </c>
      <c r="D247" s="123">
        <v>0</v>
      </c>
      <c r="E247" s="123">
        <v>0</v>
      </c>
      <c r="F247" s="123">
        <v>0</v>
      </c>
      <c r="G247" s="123">
        <v>0</v>
      </c>
      <c r="H247" s="123">
        <v>0</v>
      </c>
      <c r="I247" s="123">
        <v>0</v>
      </c>
      <c r="J247" s="123">
        <v>3</v>
      </c>
      <c r="K247" s="123">
        <v>0</v>
      </c>
      <c r="L247" s="123">
        <v>3</v>
      </c>
      <c r="M247" s="123">
        <v>10</v>
      </c>
      <c r="N247" s="123">
        <v>0</v>
      </c>
      <c r="O247" s="123">
        <v>10</v>
      </c>
      <c r="P247" s="7" t="s">
        <v>13</v>
      </c>
      <c r="Q247" s="9"/>
    </row>
    <row r="248" spans="1:17" ht="12.75" customHeight="1" thickBot="1" x14ac:dyDescent="0.25">
      <c r="A248" s="123">
        <v>1</v>
      </c>
      <c r="B248" s="123">
        <v>0</v>
      </c>
      <c r="C248" s="123">
        <v>1</v>
      </c>
      <c r="D248" s="123">
        <v>0</v>
      </c>
      <c r="E248" s="123">
        <v>0</v>
      </c>
      <c r="F248" s="123">
        <v>0</v>
      </c>
      <c r="G248" s="123">
        <v>0</v>
      </c>
      <c r="H248" s="123">
        <v>0</v>
      </c>
      <c r="I248" s="123">
        <v>0</v>
      </c>
      <c r="J248" s="123">
        <v>0</v>
      </c>
      <c r="K248" s="123">
        <v>0</v>
      </c>
      <c r="L248" s="123">
        <v>0</v>
      </c>
      <c r="M248" s="123">
        <v>1</v>
      </c>
      <c r="N248" s="123">
        <v>0</v>
      </c>
      <c r="O248" s="123">
        <v>1</v>
      </c>
      <c r="P248" s="7" t="s">
        <v>163</v>
      </c>
      <c r="Q248" s="124"/>
    </row>
    <row r="249" spans="1:17" ht="12.75" customHeight="1" thickBot="1" x14ac:dyDescent="0.25">
      <c r="A249" s="123">
        <v>2</v>
      </c>
      <c r="B249" s="123">
        <v>0</v>
      </c>
      <c r="C249" s="123">
        <v>2</v>
      </c>
      <c r="D249" s="123">
        <v>0</v>
      </c>
      <c r="E249" s="123">
        <v>0</v>
      </c>
      <c r="F249" s="123">
        <v>0</v>
      </c>
      <c r="G249" s="123">
        <v>0</v>
      </c>
      <c r="H249" s="123">
        <v>0</v>
      </c>
      <c r="I249" s="123">
        <v>0</v>
      </c>
      <c r="J249" s="123">
        <v>0</v>
      </c>
      <c r="K249" s="123">
        <v>0</v>
      </c>
      <c r="L249" s="123">
        <v>0</v>
      </c>
      <c r="M249" s="123">
        <v>2</v>
      </c>
      <c r="N249" s="123">
        <v>0</v>
      </c>
      <c r="O249" s="123">
        <v>2</v>
      </c>
      <c r="P249" s="7" t="s">
        <v>162</v>
      </c>
      <c r="Q249" s="124" t="s">
        <v>369</v>
      </c>
    </row>
    <row r="250" spans="1:17" ht="12.75" customHeight="1" thickBot="1" x14ac:dyDescent="0.25">
      <c r="A250" s="123">
        <v>3</v>
      </c>
      <c r="B250" s="123">
        <v>0</v>
      </c>
      <c r="C250" s="123">
        <v>3</v>
      </c>
      <c r="D250" s="123">
        <v>0</v>
      </c>
      <c r="E250" s="123">
        <v>0</v>
      </c>
      <c r="F250" s="123">
        <v>0</v>
      </c>
      <c r="G250" s="123">
        <v>0</v>
      </c>
      <c r="H250" s="123">
        <v>0</v>
      </c>
      <c r="I250" s="123">
        <v>0</v>
      </c>
      <c r="J250" s="123">
        <v>0</v>
      </c>
      <c r="K250" s="123">
        <v>0</v>
      </c>
      <c r="L250" s="123">
        <v>0</v>
      </c>
      <c r="M250" s="123">
        <v>3</v>
      </c>
      <c r="N250" s="123">
        <v>0</v>
      </c>
      <c r="O250" s="123">
        <v>3</v>
      </c>
      <c r="P250" s="7" t="s">
        <v>13</v>
      </c>
      <c r="Q250" s="9"/>
    </row>
    <row r="251" spans="1:17" ht="12.75" customHeight="1" thickBot="1" x14ac:dyDescent="0.25">
      <c r="A251" s="123">
        <v>0</v>
      </c>
      <c r="B251" s="123">
        <v>0</v>
      </c>
      <c r="C251" s="123">
        <v>0</v>
      </c>
      <c r="D251" s="123">
        <v>0</v>
      </c>
      <c r="E251" s="123">
        <v>0</v>
      </c>
      <c r="F251" s="123">
        <v>0</v>
      </c>
      <c r="G251" s="123">
        <v>0</v>
      </c>
      <c r="H251" s="123">
        <v>0</v>
      </c>
      <c r="I251" s="123">
        <v>0</v>
      </c>
      <c r="J251" s="123">
        <v>0</v>
      </c>
      <c r="K251" s="123">
        <v>0</v>
      </c>
      <c r="L251" s="123">
        <v>0</v>
      </c>
      <c r="M251" s="123">
        <v>0</v>
      </c>
      <c r="N251" s="123">
        <v>0</v>
      </c>
      <c r="O251" s="123">
        <v>0</v>
      </c>
      <c r="P251" s="7" t="s">
        <v>163</v>
      </c>
      <c r="Q251" s="124"/>
    </row>
    <row r="252" spans="1:17" ht="12.75" customHeight="1" thickBot="1" x14ac:dyDescent="0.25">
      <c r="A252" s="123">
        <v>3</v>
      </c>
      <c r="B252" s="123">
        <v>0</v>
      </c>
      <c r="C252" s="123">
        <v>3</v>
      </c>
      <c r="D252" s="123">
        <v>0</v>
      </c>
      <c r="E252" s="123">
        <v>0</v>
      </c>
      <c r="F252" s="123">
        <v>0</v>
      </c>
      <c r="G252" s="123">
        <v>0</v>
      </c>
      <c r="H252" s="123">
        <v>0</v>
      </c>
      <c r="I252" s="123">
        <v>0</v>
      </c>
      <c r="J252" s="123">
        <v>0</v>
      </c>
      <c r="K252" s="123">
        <v>0</v>
      </c>
      <c r="L252" s="123">
        <v>0</v>
      </c>
      <c r="M252" s="123">
        <v>3</v>
      </c>
      <c r="N252" s="123">
        <v>0</v>
      </c>
      <c r="O252" s="123">
        <v>3</v>
      </c>
      <c r="P252" s="7" t="s">
        <v>162</v>
      </c>
      <c r="Q252" s="124" t="s">
        <v>370</v>
      </c>
    </row>
    <row r="253" spans="1:17" ht="12.75" customHeight="1" thickBot="1" x14ac:dyDescent="0.25">
      <c r="A253" s="123">
        <v>3</v>
      </c>
      <c r="B253" s="123">
        <v>0</v>
      </c>
      <c r="C253" s="123">
        <v>3</v>
      </c>
      <c r="D253" s="123">
        <v>0</v>
      </c>
      <c r="E253" s="123">
        <v>0</v>
      </c>
      <c r="F253" s="123">
        <v>0</v>
      </c>
      <c r="G253" s="123">
        <v>0</v>
      </c>
      <c r="H253" s="123">
        <v>0</v>
      </c>
      <c r="I253" s="123">
        <v>0</v>
      </c>
      <c r="J253" s="123">
        <v>0</v>
      </c>
      <c r="K253" s="123">
        <v>0</v>
      </c>
      <c r="L253" s="123">
        <v>0</v>
      </c>
      <c r="M253" s="123">
        <v>3</v>
      </c>
      <c r="N253" s="123">
        <v>0</v>
      </c>
      <c r="O253" s="123">
        <v>3</v>
      </c>
      <c r="P253" s="7" t="s">
        <v>13</v>
      </c>
      <c r="Q253" s="9"/>
    </row>
    <row r="254" spans="1:17" ht="12.75" customHeight="1" thickBot="1" x14ac:dyDescent="0.25">
      <c r="A254" s="123">
        <v>8</v>
      </c>
      <c r="B254" s="123">
        <v>0</v>
      </c>
      <c r="C254" s="123">
        <v>8</v>
      </c>
      <c r="D254" s="123">
        <v>0</v>
      </c>
      <c r="E254" s="123">
        <v>0</v>
      </c>
      <c r="F254" s="123">
        <v>0</v>
      </c>
      <c r="G254" s="123">
        <v>4</v>
      </c>
      <c r="H254" s="123">
        <v>0</v>
      </c>
      <c r="I254" s="123">
        <v>4</v>
      </c>
      <c r="J254" s="123">
        <v>3</v>
      </c>
      <c r="K254" s="123">
        <v>0</v>
      </c>
      <c r="L254" s="123">
        <v>3</v>
      </c>
      <c r="M254" s="123">
        <v>1</v>
      </c>
      <c r="N254" s="123">
        <v>0</v>
      </c>
      <c r="O254" s="123">
        <v>1</v>
      </c>
      <c r="P254" s="7" t="s">
        <v>163</v>
      </c>
      <c r="Q254" s="124"/>
    </row>
    <row r="255" spans="1:17" ht="12.75" customHeight="1" thickBot="1" x14ac:dyDescent="0.25">
      <c r="A255" s="123">
        <v>15</v>
      </c>
      <c r="B255" s="123">
        <v>0</v>
      </c>
      <c r="C255" s="123">
        <v>15</v>
      </c>
      <c r="D255" s="123">
        <v>0</v>
      </c>
      <c r="E255" s="123">
        <v>0</v>
      </c>
      <c r="F255" s="123">
        <v>0</v>
      </c>
      <c r="G255" s="123">
        <v>0</v>
      </c>
      <c r="H255" s="123">
        <v>0</v>
      </c>
      <c r="I255" s="123">
        <v>0</v>
      </c>
      <c r="J255" s="123">
        <v>5</v>
      </c>
      <c r="K255" s="123">
        <v>0</v>
      </c>
      <c r="L255" s="123">
        <v>5</v>
      </c>
      <c r="M255" s="123">
        <v>10</v>
      </c>
      <c r="N255" s="123">
        <v>0</v>
      </c>
      <c r="O255" s="123">
        <v>10</v>
      </c>
      <c r="P255" s="7" t="s">
        <v>162</v>
      </c>
      <c r="Q255" s="124" t="s">
        <v>371</v>
      </c>
    </row>
    <row r="256" spans="1:17" ht="12.75" customHeight="1" thickBot="1" x14ac:dyDescent="0.25">
      <c r="A256" s="123">
        <v>23</v>
      </c>
      <c r="B256" s="123">
        <v>0</v>
      </c>
      <c r="C256" s="123">
        <v>23</v>
      </c>
      <c r="D256" s="123">
        <v>0</v>
      </c>
      <c r="E256" s="123">
        <v>0</v>
      </c>
      <c r="F256" s="123">
        <v>0</v>
      </c>
      <c r="G256" s="123">
        <v>4</v>
      </c>
      <c r="H256" s="123">
        <v>0</v>
      </c>
      <c r="I256" s="123">
        <v>4</v>
      </c>
      <c r="J256" s="123">
        <v>8</v>
      </c>
      <c r="K256" s="123">
        <v>0</v>
      </c>
      <c r="L256" s="123">
        <v>8</v>
      </c>
      <c r="M256" s="123">
        <v>11</v>
      </c>
      <c r="N256" s="123">
        <v>0</v>
      </c>
      <c r="O256" s="123">
        <v>11</v>
      </c>
      <c r="P256" s="7" t="s">
        <v>13</v>
      </c>
      <c r="Q256" s="9"/>
    </row>
    <row r="257" spans="1:18" ht="12.75" customHeight="1" thickBot="1" x14ac:dyDescent="0.25">
      <c r="A257" s="123">
        <v>2912</v>
      </c>
      <c r="B257" s="123">
        <v>749</v>
      </c>
      <c r="C257" s="123">
        <v>2163</v>
      </c>
      <c r="D257" s="123">
        <v>350</v>
      </c>
      <c r="E257" s="123">
        <v>0</v>
      </c>
      <c r="F257" s="123">
        <v>350</v>
      </c>
      <c r="G257" s="123">
        <v>593</v>
      </c>
      <c r="H257" s="123">
        <v>276</v>
      </c>
      <c r="I257" s="123">
        <v>317</v>
      </c>
      <c r="J257" s="123">
        <v>364</v>
      </c>
      <c r="K257" s="123">
        <v>225</v>
      </c>
      <c r="L257" s="123">
        <v>139</v>
      </c>
      <c r="M257" s="123">
        <v>1605</v>
      </c>
      <c r="N257" s="123">
        <v>248</v>
      </c>
      <c r="O257" s="123">
        <v>1357</v>
      </c>
      <c r="P257" s="7" t="s">
        <v>163</v>
      </c>
      <c r="Q257" s="3"/>
    </row>
    <row r="258" spans="1:18" ht="12.75" customHeight="1" thickBot="1" x14ac:dyDescent="0.25">
      <c r="A258" s="123">
        <v>1502</v>
      </c>
      <c r="B258" s="123">
        <v>253</v>
      </c>
      <c r="C258" s="123">
        <v>1249</v>
      </c>
      <c r="D258" s="123">
        <v>74</v>
      </c>
      <c r="E258" s="123">
        <v>17</v>
      </c>
      <c r="F258" s="123">
        <v>57</v>
      </c>
      <c r="G258" s="123">
        <v>82</v>
      </c>
      <c r="H258" s="123">
        <v>0</v>
      </c>
      <c r="I258" s="123">
        <v>82</v>
      </c>
      <c r="J258" s="123">
        <v>239</v>
      </c>
      <c r="K258" s="123">
        <v>20</v>
      </c>
      <c r="L258" s="123">
        <v>219</v>
      </c>
      <c r="M258" s="123">
        <v>1107</v>
      </c>
      <c r="N258" s="123">
        <v>216</v>
      </c>
      <c r="O258" s="123">
        <v>891</v>
      </c>
      <c r="P258" s="7" t="s">
        <v>162</v>
      </c>
      <c r="Q258" s="11" t="s">
        <v>211</v>
      </c>
    </row>
    <row r="259" spans="1:18" ht="12.75" customHeight="1" thickBot="1" x14ac:dyDescent="0.25">
      <c r="A259" s="123">
        <v>4414</v>
      </c>
      <c r="B259" s="123">
        <v>1002</v>
      </c>
      <c r="C259" s="123">
        <v>3412</v>
      </c>
      <c r="D259" s="123">
        <v>424</v>
      </c>
      <c r="E259" s="123">
        <v>17</v>
      </c>
      <c r="F259" s="123">
        <v>407</v>
      </c>
      <c r="G259" s="123">
        <v>675</v>
      </c>
      <c r="H259" s="123">
        <v>276</v>
      </c>
      <c r="I259" s="123">
        <v>399</v>
      </c>
      <c r="J259" s="123">
        <v>603</v>
      </c>
      <c r="K259" s="123">
        <v>245</v>
      </c>
      <c r="L259" s="123">
        <v>358</v>
      </c>
      <c r="M259" s="123">
        <v>2712</v>
      </c>
      <c r="N259" s="123">
        <v>464</v>
      </c>
      <c r="O259" s="123">
        <v>2248</v>
      </c>
      <c r="P259" s="7" t="s">
        <v>13</v>
      </c>
      <c r="Q259" s="5"/>
    </row>
    <row r="260" spans="1:18" ht="18" customHeight="1" x14ac:dyDescent="0.2">
      <c r="A260" s="207"/>
      <c r="B260" s="207"/>
      <c r="C260" s="207"/>
      <c r="D260" s="207"/>
      <c r="E260" s="207"/>
      <c r="F260" s="207"/>
      <c r="G260" s="207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1"/>
    </row>
    <row r="261" spans="1:18" ht="18" customHeight="1" x14ac:dyDescent="0.2">
      <c r="A261" s="159" t="s">
        <v>643</v>
      </c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"/>
    </row>
    <row r="262" spans="1:18" ht="18" customHeight="1" thickBot="1" x14ac:dyDescent="0.25">
      <c r="A262" s="160" t="s">
        <v>644</v>
      </c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"/>
    </row>
    <row r="263" spans="1:18" ht="13.5" thickBot="1" x14ac:dyDescent="0.25">
      <c r="A263" s="204" t="s">
        <v>5</v>
      </c>
      <c r="B263" s="204"/>
      <c r="C263" s="204"/>
      <c r="D263" s="204" t="s">
        <v>57</v>
      </c>
      <c r="E263" s="204"/>
      <c r="F263" s="204"/>
      <c r="G263" s="204" t="s">
        <v>65</v>
      </c>
      <c r="H263" s="204"/>
      <c r="I263" s="204"/>
      <c r="J263" s="204" t="s">
        <v>62</v>
      </c>
      <c r="K263" s="204"/>
      <c r="L263" s="204"/>
      <c r="M263" s="204" t="s">
        <v>61</v>
      </c>
      <c r="N263" s="204"/>
      <c r="O263" s="204"/>
      <c r="P263" s="205" t="s">
        <v>645</v>
      </c>
      <c r="Q263" s="47" t="s">
        <v>161</v>
      </c>
      <c r="R263" s="1"/>
    </row>
    <row r="264" spans="1:18" ht="13.5" thickBot="1" x14ac:dyDescent="0.25">
      <c r="A264" s="47" t="s">
        <v>216</v>
      </c>
      <c r="B264" s="47" t="s">
        <v>11</v>
      </c>
      <c r="C264" s="47" t="s">
        <v>10</v>
      </c>
      <c r="D264" s="47" t="s">
        <v>216</v>
      </c>
      <c r="E264" s="47" t="s">
        <v>11</v>
      </c>
      <c r="F264" s="47" t="s">
        <v>10</v>
      </c>
      <c r="G264" s="47" t="s">
        <v>216</v>
      </c>
      <c r="H264" s="47" t="s">
        <v>11</v>
      </c>
      <c r="I264" s="47" t="s">
        <v>10</v>
      </c>
      <c r="J264" s="47" t="s">
        <v>216</v>
      </c>
      <c r="K264" s="47" t="s">
        <v>11</v>
      </c>
      <c r="L264" s="47" t="s">
        <v>10</v>
      </c>
      <c r="M264" s="47" t="s">
        <v>216</v>
      </c>
      <c r="N264" s="47" t="s">
        <v>11</v>
      </c>
      <c r="O264" s="47" t="s">
        <v>10</v>
      </c>
      <c r="P264" s="206"/>
      <c r="Q264" s="5" t="s">
        <v>79</v>
      </c>
      <c r="R264" s="1"/>
    </row>
    <row r="265" spans="1:18" ht="13.5" thickBot="1" x14ac:dyDescent="0.25">
      <c r="A265" s="123">
        <v>450</v>
      </c>
      <c r="B265" s="123">
        <v>224</v>
      </c>
      <c r="C265" s="123">
        <v>226</v>
      </c>
      <c r="D265" s="123">
        <v>4</v>
      </c>
      <c r="E265" s="123">
        <v>2</v>
      </c>
      <c r="F265" s="123">
        <v>2</v>
      </c>
      <c r="G265" s="123">
        <v>148</v>
      </c>
      <c r="H265" s="123">
        <v>88</v>
      </c>
      <c r="I265" s="123">
        <v>60</v>
      </c>
      <c r="J265" s="123">
        <v>74</v>
      </c>
      <c r="K265" s="123">
        <v>58</v>
      </c>
      <c r="L265" s="123">
        <v>16</v>
      </c>
      <c r="M265" s="123">
        <v>224</v>
      </c>
      <c r="N265" s="123">
        <v>76</v>
      </c>
      <c r="O265" s="123">
        <v>148</v>
      </c>
      <c r="P265" s="7" t="s">
        <v>163</v>
      </c>
      <c r="Q265" s="124"/>
      <c r="R265" s="1"/>
    </row>
    <row r="266" spans="1:18" ht="13.5" thickBot="1" x14ac:dyDescent="0.25">
      <c r="A266" s="123">
        <v>64</v>
      </c>
      <c r="B266" s="123">
        <v>25</v>
      </c>
      <c r="C266" s="123">
        <v>39</v>
      </c>
      <c r="D266" s="123">
        <v>8</v>
      </c>
      <c r="E266" s="123">
        <v>6</v>
      </c>
      <c r="F266" s="123">
        <v>2</v>
      </c>
      <c r="G266" s="123">
        <v>1</v>
      </c>
      <c r="H266" s="123">
        <v>0</v>
      </c>
      <c r="I266" s="123">
        <v>1</v>
      </c>
      <c r="J266" s="123">
        <v>12</v>
      </c>
      <c r="K266" s="123">
        <v>7</v>
      </c>
      <c r="L266" s="123">
        <v>5</v>
      </c>
      <c r="M266" s="123">
        <v>43</v>
      </c>
      <c r="N266" s="123">
        <v>12</v>
      </c>
      <c r="O266" s="123">
        <v>31</v>
      </c>
      <c r="P266" s="7" t="s">
        <v>162</v>
      </c>
      <c r="Q266" s="124" t="s">
        <v>375</v>
      </c>
      <c r="R266" s="1"/>
    </row>
    <row r="267" spans="1:18" ht="13.5" thickBot="1" x14ac:dyDescent="0.25">
      <c r="A267" s="123">
        <v>514</v>
      </c>
      <c r="B267" s="123">
        <v>249</v>
      </c>
      <c r="C267" s="123">
        <v>265</v>
      </c>
      <c r="D267" s="123">
        <v>12</v>
      </c>
      <c r="E267" s="123">
        <v>8</v>
      </c>
      <c r="F267" s="123">
        <v>4</v>
      </c>
      <c r="G267" s="123">
        <v>149</v>
      </c>
      <c r="H267" s="123">
        <v>88</v>
      </c>
      <c r="I267" s="123">
        <v>61</v>
      </c>
      <c r="J267" s="123">
        <v>86</v>
      </c>
      <c r="K267" s="123">
        <v>65</v>
      </c>
      <c r="L267" s="123">
        <v>21</v>
      </c>
      <c r="M267" s="123">
        <v>267</v>
      </c>
      <c r="N267" s="123">
        <v>88</v>
      </c>
      <c r="O267" s="123">
        <v>179</v>
      </c>
      <c r="P267" s="7" t="s">
        <v>13</v>
      </c>
      <c r="Q267" s="9"/>
      <c r="R267" s="1"/>
    </row>
    <row r="268" spans="1:18" ht="13.5" thickBot="1" x14ac:dyDescent="0.25">
      <c r="A268" s="123">
        <v>383</v>
      </c>
      <c r="B268" s="123">
        <v>131</v>
      </c>
      <c r="C268" s="123">
        <v>252</v>
      </c>
      <c r="D268" s="123">
        <v>0</v>
      </c>
      <c r="E268" s="123">
        <v>0</v>
      </c>
      <c r="F268" s="123">
        <v>0</v>
      </c>
      <c r="G268" s="123">
        <v>140</v>
      </c>
      <c r="H268" s="123">
        <v>56</v>
      </c>
      <c r="I268" s="123">
        <v>84</v>
      </c>
      <c r="J268" s="123">
        <v>11</v>
      </c>
      <c r="K268" s="123">
        <v>8</v>
      </c>
      <c r="L268" s="123">
        <v>3</v>
      </c>
      <c r="M268" s="123">
        <v>232</v>
      </c>
      <c r="N268" s="123">
        <v>67</v>
      </c>
      <c r="O268" s="123">
        <v>165</v>
      </c>
      <c r="P268" s="7" t="s">
        <v>163</v>
      </c>
      <c r="Q268" s="124"/>
      <c r="R268" s="1"/>
    </row>
    <row r="269" spans="1:18" ht="13.5" thickBot="1" x14ac:dyDescent="0.25">
      <c r="A269" s="123">
        <v>43</v>
      </c>
      <c r="B269" s="123">
        <v>23</v>
      </c>
      <c r="C269" s="123">
        <v>20</v>
      </c>
      <c r="D269" s="123">
        <v>0</v>
      </c>
      <c r="E269" s="123">
        <v>0</v>
      </c>
      <c r="F269" s="123">
        <v>0</v>
      </c>
      <c r="G269" s="123">
        <v>0</v>
      </c>
      <c r="H269" s="123">
        <v>0</v>
      </c>
      <c r="I269" s="123">
        <v>0</v>
      </c>
      <c r="J269" s="123">
        <v>6</v>
      </c>
      <c r="K269" s="123">
        <v>5</v>
      </c>
      <c r="L269" s="123">
        <v>1</v>
      </c>
      <c r="M269" s="123">
        <v>37</v>
      </c>
      <c r="N269" s="123">
        <v>18</v>
      </c>
      <c r="O269" s="123">
        <v>19</v>
      </c>
      <c r="P269" s="7" t="s">
        <v>162</v>
      </c>
      <c r="Q269" s="124" t="s">
        <v>263</v>
      </c>
      <c r="R269" s="1"/>
    </row>
    <row r="270" spans="1:18" ht="13.5" thickBot="1" x14ac:dyDescent="0.25">
      <c r="A270" s="123">
        <v>426</v>
      </c>
      <c r="B270" s="123">
        <v>154</v>
      </c>
      <c r="C270" s="123">
        <v>272</v>
      </c>
      <c r="D270" s="123">
        <v>0</v>
      </c>
      <c r="E270" s="123">
        <v>0</v>
      </c>
      <c r="F270" s="123">
        <v>0</v>
      </c>
      <c r="G270" s="123">
        <v>140</v>
      </c>
      <c r="H270" s="123">
        <v>56</v>
      </c>
      <c r="I270" s="123">
        <v>84</v>
      </c>
      <c r="J270" s="123">
        <v>17</v>
      </c>
      <c r="K270" s="123">
        <v>13</v>
      </c>
      <c r="L270" s="123">
        <v>4</v>
      </c>
      <c r="M270" s="123">
        <v>269</v>
      </c>
      <c r="N270" s="123">
        <v>85</v>
      </c>
      <c r="O270" s="123">
        <v>184</v>
      </c>
      <c r="P270" s="7" t="s">
        <v>13</v>
      </c>
      <c r="Q270" s="9"/>
      <c r="R270" s="1"/>
    </row>
    <row r="271" spans="1:18" ht="13.5" thickBot="1" x14ac:dyDescent="0.25">
      <c r="A271" s="123">
        <v>117</v>
      </c>
      <c r="B271" s="123">
        <v>54</v>
      </c>
      <c r="C271" s="123">
        <v>63</v>
      </c>
      <c r="D271" s="123">
        <v>0</v>
      </c>
      <c r="E271" s="123">
        <v>0</v>
      </c>
      <c r="F271" s="123">
        <v>0</v>
      </c>
      <c r="G271" s="123">
        <v>74</v>
      </c>
      <c r="H271" s="123">
        <v>38</v>
      </c>
      <c r="I271" s="123">
        <v>36</v>
      </c>
      <c r="J271" s="123">
        <v>3</v>
      </c>
      <c r="K271" s="123">
        <v>3</v>
      </c>
      <c r="L271" s="123">
        <v>0</v>
      </c>
      <c r="M271" s="123">
        <v>40</v>
      </c>
      <c r="N271" s="123">
        <v>13</v>
      </c>
      <c r="O271" s="123">
        <v>27</v>
      </c>
      <c r="P271" s="7" t="s">
        <v>163</v>
      </c>
      <c r="Q271" s="124"/>
      <c r="R271" s="1"/>
    </row>
    <row r="272" spans="1:18" ht="13.5" thickBot="1" x14ac:dyDescent="0.25">
      <c r="A272" s="123">
        <v>38</v>
      </c>
      <c r="B272" s="123">
        <v>7</v>
      </c>
      <c r="C272" s="123">
        <v>31</v>
      </c>
      <c r="D272" s="123">
        <v>0</v>
      </c>
      <c r="E272" s="123">
        <v>0</v>
      </c>
      <c r="F272" s="123">
        <v>0</v>
      </c>
      <c r="G272" s="123">
        <v>0</v>
      </c>
      <c r="H272" s="123">
        <v>0</v>
      </c>
      <c r="I272" s="123">
        <v>0</v>
      </c>
      <c r="J272" s="123">
        <v>1</v>
      </c>
      <c r="K272" s="123">
        <v>1</v>
      </c>
      <c r="L272" s="123">
        <v>0</v>
      </c>
      <c r="M272" s="123">
        <v>37</v>
      </c>
      <c r="N272" s="123">
        <v>6</v>
      </c>
      <c r="O272" s="123">
        <v>31</v>
      </c>
      <c r="P272" s="7" t="s">
        <v>162</v>
      </c>
      <c r="Q272" s="124" t="s">
        <v>376</v>
      </c>
      <c r="R272" s="1"/>
    </row>
    <row r="273" spans="1:18" ht="13.5" thickBot="1" x14ac:dyDescent="0.25">
      <c r="A273" s="123">
        <v>155</v>
      </c>
      <c r="B273" s="123">
        <v>61</v>
      </c>
      <c r="C273" s="123">
        <v>94</v>
      </c>
      <c r="D273" s="123">
        <v>0</v>
      </c>
      <c r="E273" s="123">
        <v>0</v>
      </c>
      <c r="F273" s="123">
        <v>0</v>
      </c>
      <c r="G273" s="123">
        <v>74</v>
      </c>
      <c r="H273" s="123">
        <v>38</v>
      </c>
      <c r="I273" s="123">
        <v>36</v>
      </c>
      <c r="J273" s="123">
        <v>4</v>
      </c>
      <c r="K273" s="123">
        <v>4</v>
      </c>
      <c r="L273" s="123">
        <v>0</v>
      </c>
      <c r="M273" s="123">
        <v>77</v>
      </c>
      <c r="N273" s="123">
        <v>19</v>
      </c>
      <c r="O273" s="123">
        <v>58</v>
      </c>
      <c r="P273" s="7" t="s">
        <v>13</v>
      </c>
      <c r="Q273" s="9"/>
      <c r="R273" s="1"/>
    </row>
    <row r="274" spans="1:18" ht="13.5" thickBot="1" x14ac:dyDescent="0.25">
      <c r="A274" s="123">
        <v>493</v>
      </c>
      <c r="B274" s="123">
        <v>286</v>
      </c>
      <c r="C274" s="123">
        <v>207</v>
      </c>
      <c r="D274" s="123">
        <v>4</v>
      </c>
      <c r="E274" s="123">
        <v>3</v>
      </c>
      <c r="F274" s="123">
        <v>1</v>
      </c>
      <c r="G274" s="123">
        <v>191</v>
      </c>
      <c r="H274" s="123">
        <v>148</v>
      </c>
      <c r="I274" s="123">
        <v>43</v>
      </c>
      <c r="J274" s="123">
        <v>77</v>
      </c>
      <c r="K274" s="123">
        <v>62</v>
      </c>
      <c r="L274" s="123">
        <v>15</v>
      </c>
      <c r="M274" s="123">
        <v>221</v>
      </c>
      <c r="N274" s="123">
        <v>73</v>
      </c>
      <c r="O274" s="123">
        <v>148</v>
      </c>
      <c r="P274" s="7" t="s">
        <v>163</v>
      </c>
      <c r="Q274" s="124"/>
      <c r="R274" s="1"/>
    </row>
    <row r="275" spans="1:18" ht="13.5" thickBot="1" x14ac:dyDescent="0.25">
      <c r="A275" s="123">
        <v>86</v>
      </c>
      <c r="B275" s="123">
        <v>31</v>
      </c>
      <c r="C275" s="123">
        <v>55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11</v>
      </c>
      <c r="K275" s="123">
        <v>8</v>
      </c>
      <c r="L275" s="123">
        <v>3</v>
      </c>
      <c r="M275" s="123">
        <v>75</v>
      </c>
      <c r="N275" s="123">
        <v>23</v>
      </c>
      <c r="O275" s="123">
        <v>52</v>
      </c>
      <c r="P275" s="7" t="s">
        <v>162</v>
      </c>
      <c r="Q275" s="124" t="s">
        <v>359</v>
      </c>
      <c r="R275" s="1"/>
    </row>
    <row r="276" spans="1:18" ht="13.5" thickBot="1" x14ac:dyDescent="0.25">
      <c r="A276" s="123">
        <v>579</v>
      </c>
      <c r="B276" s="123">
        <v>317</v>
      </c>
      <c r="C276" s="123">
        <v>262</v>
      </c>
      <c r="D276" s="123">
        <v>4</v>
      </c>
      <c r="E276" s="123">
        <v>3</v>
      </c>
      <c r="F276" s="123">
        <v>1</v>
      </c>
      <c r="G276" s="123">
        <v>191</v>
      </c>
      <c r="H276" s="123">
        <v>148</v>
      </c>
      <c r="I276" s="123">
        <v>43</v>
      </c>
      <c r="J276" s="123">
        <v>88</v>
      </c>
      <c r="K276" s="123">
        <v>70</v>
      </c>
      <c r="L276" s="123">
        <v>18</v>
      </c>
      <c r="M276" s="123">
        <v>296</v>
      </c>
      <c r="N276" s="123">
        <v>96</v>
      </c>
      <c r="O276" s="123">
        <v>200</v>
      </c>
      <c r="P276" s="7" t="s">
        <v>13</v>
      </c>
      <c r="Q276" s="9"/>
      <c r="R276" s="1"/>
    </row>
    <row r="277" spans="1:18" ht="13.5" thickBot="1" x14ac:dyDescent="0.25">
      <c r="A277" s="123">
        <v>173</v>
      </c>
      <c r="B277" s="123">
        <v>0</v>
      </c>
      <c r="C277" s="123">
        <v>173</v>
      </c>
      <c r="D277" s="123">
        <v>1</v>
      </c>
      <c r="E277" s="123">
        <v>0</v>
      </c>
      <c r="F277" s="123">
        <v>1</v>
      </c>
      <c r="G277" s="123">
        <v>35</v>
      </c>
      <c r="H277" s="123">
        <v>0</v>
      </c>
      <c r="I277" s="123">
        <v>35</v>
      </c>
      <c r="J277" s="123">
        <v>7</v>
      </c>
      <c r="K277" s="123">
        <v>0</v>
      </c>
      <c r="L277" s="123">
        <v>7</v>
      </c>
      <c r="M277" s="123">
        <v>130</v>
      </c>
      <c r="N277" s="123">
        <v>0</v>
      </c>
      <c r="O277" s="123">
        <v>130</v>
      </c>
      <c r="P277" s="7" t="s">
        <v>163</v>
      </c>
      <c r="Q277" s="124"/>
      <c r="R277" s="1"/>
    </row>
    <row r="278" spans="1:18" ht="13.5" thickBot="1" x14ac:dyDescent="0.25">
      <c r="A278" s="123">
        <v>87</v>
      </c>
      <c r="B278" s="123">
        <v>0</v>
      </c>
      <c r="C278" s="123">
        <v>87</v>
      </c>
      <c r="D278" s="123">
        <v>0</v>
      </c>
      <c r="E278" s="123">
        <v>0</v>
      </c>
      <c r="F278" s="123">
        <v>0</v>
      </c>
      <c r="G278" s="123">
        <v>0</v>
      </c>
      <c r="H278" s="123">
        <v>0</v>
      </c>
      <c r="I278" s="123">
        <v>0</v>
      </c>
      <c r="J278" s="123">
        <v>22</v>
      </c>
      <c r="K278" s="123">
        <v>0</v>
      </c>
      <c r="L278" s="123">
        <v>22</v>
      </c>
      <c r="M278" s="123">
        <v>65</v>
      </c>
      <c r="N278" s="123">
        <v>0</v>
      </c>
      <c r="O278" s="123">
        <v>65</v>
      </c>
      <c r="P278" s="7" t="s">
        <v>162</v>
      </c>
      <c r="Q278" s="124" t="s">
        <v>377</v>
      </c>
      <c r="R278" s="1"/>
    </row>
    <row r="279" spans="1:18" ht="13.5" thickBot="1" x14ac:dyDescent="0.25">
      <c r="A279" s="123">
        <v>260</v>
      </c>
      <c r="B279" s="123">
        <v>0</v>
      </c>
      <c r="C279" s="123">
        <v>260</v>
      </c>
      <c r="D279" s="123">
        <v>1</v>
      </c>
      <c r="E279" s="123">
        <v>0</v>
      </c>
      <c r="F279" s="123">
        <v>1</v>
      </c>
      <c r="G279" s="123">
        <v>35</v>
      </c>
      <c r="H279" s="123">
        <v>0</v>
      </c>
      <c r="I279" s="123">
        <v>35</v>
      </c>
      <c r="J279" s="123">
        <v>29</v>
      </c>
      <c r="K279" s="123">
        <v>0</v>
      </c>
      <c r="L279" s="123">
        <v>29</v>
      </c>
      <c r="M279" s="123">
        <v>195</v>
      </c>
      <c r="N279" s="123">
        <v>0</v>
      </c>
      <c r="O279" s="123">
        <v>195</v>
      </c>
      <c r="P279" s="7" t="s">
        <v>13</v>
      </c>
      <c r="Q279" s="9"/>
      <c r="R279" s="1"/>
    </row>
    <row r="280" spans="1:18" ht="13.5" thickBot="1" x14ac:dyDescent="0.25">
      <c r="A280" s="123">
        <v>278</v>
      </c>
      <c r="B280" s="123">
        <v>117</v>
      </c>
      <c r="C280" s="123">
        <v>161</v>
      </c>
      <c r="D280" s="123">
        <v>0</v>
      </c>
      <c r="E280" s="123">
        <v>0</v>
      </c>
      <c r="F280" s="123">
        <v>0</v>
      </c>
      <c r="G280" s="123">
        <v>63</v>
      </c>
      <c r="H280" s="123">
        <v>32</v>
      </c>
      <c r="I280" s="123">
        <v>31</v>
      </c>
      <c r="J280" s="123">
        <v>75</v>
      </c>
      <c r="K280" s="123">
        <v>57</v>
      </c>
      <c r="L280" s="123">
        <v>18</v>
      </c>
      <c r="M280" s="123">
        <v>140</v>
      </c>
      <c r="N280" s="123">
        <v>28</v>
      </c>
      <c r="O280" s="123">
        <v>112</v>
      </c>
      <c r="P280" s="7" t="s">
        <v>163</v>
      </c>
      <c r="Q280" s="124"/>
      <c r="R280" s="1"/>
    </row>
    <row r="281" spans="1:18" ht="13.5" thickBot="1" x14ac:dyDescent="0.25">
      <c r="A281" s="123">
        <v>45</v>
      </c>
      <c r="B281" s="123">
        <v>25</v>
      </c>
      <c r="C281" s="123">
        <v>20</v>
      </c>
      <c r="D281" s="123">
        <v>0</v>
      </c>
      <c r="E281" s="123">
        <v>0</v>
      </c>
      <c r="F281" s="123">
        <v>0</v>
      </c>
      <c r="G281" s="123">
        <v>0</v>
      </c>
      <c r="H281" s="123">
        <v>0</v>
      </c>
      <c r="I281" s="123">
        <v>0</v>
      </c>
      <c r="J281" s="123">
        <v>0</v>
      </c>
      <c r="K281" s="123">
        <v>0</v>
      </c>
      <c r="L281" s="123">
        <v>0</v>
      </c>
      <c r="M281" s="123">
        <v>45</v>
      </c>
      <c r="N281" s="123">
        <v>25</v>
      </c>
      <c r="O281" s="123">
        <v>20</v>
      </c>
      <c r="P281" s="7" t="s">
        <v>162</v>
      </c>
      <c r="Q281" s="124" t="s">
        <v>378</v>
      </c>
      <c r="R281" s="1"/>
    </row>
    <row r="282" spans="1:18" ht="13.5" thickBot="1" x14ac:dyDescent="0.25">
      <c r="A282" s="123">
        <v>323</v>
      </c>
      <c r="B282" s="123">
        <v>142</v>
      </c>
      <c r="C282" s="123">
        <v>181</v>
      </c>
      <c r="D282" s="123">
        <v>0</v>
      </c>
      <c r="E282" s="123">
        <v>0</v>
      </c>
      <c r="F282" s="123">
        <v>0</v>
      </c>
      <c r="G282" s="123">
        <v>63</v>
      </c>
      <c r="H282" s="123">
        <v>32</v>
      </c>
      <c r="I282" s="123">
        <v>31</v>
      </c>
      <c r="J282" s="123">
        <v>75</v>
      </c>
      <c r="K282" s="123">
        <v>57</v>
      </c>
      <c r="L282" s="123">
        <v>18</v>
      </c>
      <c r="M282" s="123">
        <v>185</v>
      </c>
      <c r="N282" s="123">
        <v>53</v>
      </c>
      <c r="O282" s="123">
        <v>132</v>
      </c>
      <c r="P282" s="7" t="s">
        <v>13</v>
      </c>
      <c r="Q282" s="9"/>
      <c r="R282" s="1"/>
    </row>
    <row r="283" spans="1:18" ht="13.5" thickBot="1" x14ac:dyDescent="0.25">
      <c r="A283" s="123">
        <v>62</v>
      </c>
      <c r="B283" s="123">
        <v>0</v>
      </c>
      <c r="C283" s="123">
        <v>62</v>
      </c>
      <c r="D283" s="123">
        <v>1</v>
      </c>
      <c r="E283" s="123">
        <v>0</v>
      </c>
      <c r="F283" s="123">
        <v>1</v>
      </c>
      <c r="G283" s="123">
        <v>24</v>
      </c>
      <c r="H283" s="123">
        <v>0</v>
      </c>
      <c r="I283" s="123">
        <v>24</v>
      </c>
      <c r="J283" s="123">
        <v>4</v>
      </c>
      <c r="K283" s="123">
        <v>0</v>
      </c>
      <c r="L283" s="123">
        <v>4</v>
      </c>
      <c r="M283" s="123">
        <v>33</v>
      </c>
      <c r="N283" s="123">
        <v>0</v>
      </c>
      <c r="O283" s="123">
        <v>33</v>
      </c>
      <c r="P283" s="7" t="s">
        <v>163</v>
      </c>
      <c r="Q283" s="124"/>
      <c r="R283" s="1"/>
    </row>
    <row r="284" spans="1:18" ht="13.5" thickBot="1" x14ac:dyDescent="0.25">
      <c r="A284" s="123">
        <v>28</v>
      </c>
      <c r="B284" s="123">
        <v>0</v>
      </c>
      <c r="C284" s="123">
        <v>28</v>
      </c>
      <c r="D284" s="123">
        <v>0</v>
      </c>
      <c r="E284" s="123">
        <v>0</v>
      </c>
      <c r="F284" s="123">
        <v>0</v>
      </c>
      <c r="G284" s="123">
        <v>1</v>
      </c>
      <c r="H284" s="123">
        <v>0</v>
      </c>
      <c r="I284" s="123">
        <v>1</v>
      </c>
      <c r="J284" s="123">
        <v>3</v>
      </c>
      <c r="K284" s="123">
        <v>0</v>
      </c>
      <c r="L284" s="123">
        <v>3</v>
      </c>
      <c r="M284" s="123">
        <v>24</v>
      </c>
      <c r="N284" s="123">
        <v>0</v>
      </c>
      <c r="O284" s="123">
        <v>24</v>
      </c>
      <c r="P284" s="7" t="s">
        <v>162</v>
      </c>
      <c r="Q284" s="124" t="s">
        <v>539</v>
      </c>
      <c r="R284" s="1"/>
    </row>
    <row r="285" spans="1:18" ht="13.5" thickBot="1" x14ac:dyDescent="0.25">
      <c r="A285" s="123">
        <v>90</v>
      </c>
      <c r="B285" s="123">
        <v>0</v>
      </c>
      <c r="C285" s="123">
        <v>90</v>
      </c>
      <c r="D285" s="123">
        <v>1</v>
      </c>
      <c r="E285" s="123">
        <v>0</v>
      </c>
      <c r="F285" s="123">
        <v>1</v>
      </c>
      <c r="G285" s="123">
        <v>25</v>
      </c>
      <c r="H285" s="123">
        <v>0</v>
      </c>
      <c r="I285" s="123">
        <v>25</v>
      </c>
      <c r="J285" s="123">
        <v>7</v>
      </c>
      <c r="K285" s="123">
        <v>0</v>
      </c>
      <c r="L285" s="123">
        <v>7</v>
      </c>
      <c r="M285" s="123">
        <v>57</v>
      </c>
      <c r="N285" s="123">
        <v>0</v>
      </c>
      <c r="O285" s="123">
        <v>57</v>
      </c>
      <c r="P285" s="7" t="s">
        <v>13</v>
      </c>
      <c r="Q285" s="9"/>
      <c r="R285" s="1"/>
    </row>
    <row r="286" spans="1:18" ht="13.5" thickBot="1" x14ac:dyDescent="0.25">
      <c r="A286" s="123">
        <v>60</v>
      </c>
      <c r="B286" s="123">
        <v>0</v>
      </c>
      <c r="C286" s="123">
        <v>60</v>
      </c>
      <c r="D286" s="123">
        <v>0</v>
      </c>
      <c r="E286" s="123">
        <v>0</v>
      </c>
      <c r="F286" s="123">
        <v>0</v>
      </c>
      <c r="G286" s="123">
        <v>13</v>
      </c>
      <c r="H286" s="123">
        <v>0</v>
      </c>
      <c r="I286" s="123">
        <v>13</v>
      </c>
      <c r="J286" s="123">
        <v>8</v>
      </c>
      <c r="K286" s="123">
        <v>0</v>
      </c>
      <c r="L286" s="123">
        <v>8</v>
      </c>
      <c r="M286" s="123">
        <v>39</v>
      </c>
      <c r="N286" s="123">
        <v>0</v>
      </c>
      <c r="O286" s="123">
        <v>39</v>
      </c>
      <c r="P286" s="7" t="s">
        <v>163</v>
      </c>
      <c r="Q286" s="124"/>
      <c r="R286" s="1"/>
    </row>
    <row r="287" spans="1:18" ht="13.5" thickBot="1" x14ac:dyDescent="0.25">
      <c r="A287" s="123">
        <v>22</v>
      </c>
      <c r="B287" s="123">
        <v>0</v>
      </c>
      <c r="C287" s="123">
        <v>22</v>
      </c>
      <c r="D287" s="123">
        <v>0</v>
      </c>
      <c r="E287" s="123">
        <v>0</v>
      </c>
      <c r="F287" s="123">
        <v>0</v>
      </c>
      <c r="G287" s="123">
        <v>0</v>
      </c>
      <c r="H287" s="123">
        <v>0</v>
      </c>
      <c r="I287" s="123">
        <v>0</v>
      </c>
      <c r="J287" s="123">
        <v>2</v>
      </c>
      <c r="K287" s="123">
        <v>0</v>
      </c>
      <c r="L287" s="123">
        <v>2</v>
      </c>
      <c r="M287" s="123">
        <v>20</v>
      </c>
      <c r="N287" s="123">
        <v>0</v>
      </c>
      <c r="O287" s="123">
        <v>20</v>
      </c>
      <c r="P287" s="7" t="s">
        <v>162</v>
      </c>
      <c r="Q287" s="124" t="s">
        <v>379</v>
      </c>
      <c r="R287" s="1"/>
    </row>
    <row r="288" spans="1:18" ht="13.5" thickBot="1" x14ac:dyDescent="0.25">
      <c r="A288" s="123">
        <v>82</v>
      </c>
      <c r="B288" s="123">
        <v>0</v>
      </c>
      <c r="C288" s="123">
        <v>82</v>
      </c>
      <c r="D288" s="123">
        <v>0</v>
      </c>
      <c r="E288" s="123">
        <v>0</v>
      </c>
      <c r="F288" s="123">
        <v>0</v>
      </c>
      <c r="G288" s="123">
        <v>13</v>
      </c>
      <c r="H288" s="123">
        <v>0</v>
      </c>
      <c r="I288" s="123">
        <v>13</v>
      </c>
      <c r="J288" s="123">
        <v>10</v>
      </c>
      <c r="K288" s="123">
        <v>0</v>
      </c>
      <c r="L288" s="123">
        <v>10</v>
      </c>
      <c r="M288" s="123">
        <v>59</v>
      </c>
      <c r="N288" s="123">
        <v>0</v>
      </c>
      <c r="O288" s="123">
        <v>59</v>
      </c>
      <c r="P288" s="7" t="s">
        <v>13</v>
      </c>
      <c r="Q288" s="9"/>
      <c r="R288" s="1"/>
    </row>
    <row r="289" spans="1:18" ht="13.5" thickBot="1" x14ac:dyDescent="0.25">
      <c r="A289" s="123">
        <v>47</v>
      </c>
      <c r="B289" s="123">
        <v>0</v>
      </c>
      <c r="C289" s="123">
        <v>47</v>
      </c>
      <c r="D289" s="123">
        <v>0</v>
      </c>
      <c r="E289" s="123">
        <v>0</v>
      </c>
      <c r="F289" s="123">
        <v>0</v>
      </c>
      <c r="G289" s="123">
        <v>10</v>
      </c>
      <c r="H289" s="123">
        <v>0</v>
      </c>
      <c r="I289" s="123">
        <v>10</v>
      </c>
      <c r="J289" s="123">
        <v>6</v>
      </c>
      <c r="K289" s="123">
        <v>0</v>
      </c>
      <c r="L289" s="123">
        <v>6</v>
      </c>
      <c r="M289" s="123">
        <v>31</v>
      </c>
      <c r="N289" s="123">
        <v>0</v>
      </c>
      <c r="O289" s="123">
        <v>31</v>
      </c>
      <c r="P289" s="7" t="s">
        <v>163</v>
      </c>
      <c r="Q289" s="124"/>
      <c r="R289" s="1"/>
    </row>
    <row r="290" spans="1:18" ht="13.5" thickBot="1" x14ac:dyDescent="0.25">
      <c r="A290" s="123">
        <v>22</v>
      </c>
      <c r="B290" s="123">
        <v>0</v>
      </c>
      <c r="C290" s="123">
        <v>22</v>
      </c>
      <c r="D290" s="123">
        <v>0</v>
      </c>
      <c r="E290" s="123">
        <v>0</v>
      </c>
      <c r="F290" s="123">
        <v>0</v>
      </c>
      <c r="G290" s="123">
        <v>2</v>
      </c>
      <c r="H290" s="123">
        <v>0</v>
      </c>
      <c r="I290" s="123">
        <v>2</v>
      </c>
      <c r="J290" s="123">
        <v>0</v>
      </c>
      <c r="K290" s="123">
        <v>0</v>
      </c>
      <c r="L290" s="123">
        <v>0</v>
      </c>
      <c r="M290" s="123">
        <v>20</v>
      </c>
      <c r="N290" s="123">
        <v>0</v>
      </c>
      <c r="O290" s="123">
        <v>20</v>
      </c>
      <c r="P290" s="7" t="s">
        <v>162</v>
      </c>
      <c r="Q290" s="124" t="s">
        <v>566</v>
      </c>
      <c r="R290" s="1"/>
    </row>
    <row r="291" spans="1:18" ht="13.5" thickBot="1" x14ac:dyDescent="0.25">
      <c r="A291" s="123">
        <v>69</v>
      </c>
      <c r="B291" s="123">
        <v>0</v>
      </c>
      <c r="C291" s="123">
        <v>69</v>
      </c>
      <c r="D291" s="123">
        <v>0</v>
      </c>
      <c r="E291" s="123">
        <v>0</v>
      </c>
      <c r="F291" s="123">
        <v>0</v>
      </c>
      <c r="G291" s="123">
        <v>12</v>
      </c>
      <c r="H291" s="123">
        <v>0</v>
      </c>
      <c r="I291" s="123">
        <v>12</v>
      </c>
      <c r="J291" s="123">
        <v>6</v>
      </c>
      <c r="K291" s="123">
        <v>0</v>
      </c>
      <c r="L291" s="123">
        <v>6</v>
      </c>
      <c r="M291" s="123">
        <v>51</v>
      </c>
      <c r="N291" s="123">
        <v>0</v>
      </c>
      <c r="O291" s="123">
        <v>51</v>
      </c>
      <c r="P291" s="7" t="s">
        <v>13</v>
      </c>
      <c r="Q291" s="9"/>
      <c r="R291" s="1"/>
    </row>
    <row r="292" spans="1:18" ht="13.5" thickBot="1" x14ac:dyDescent="0.25">
      <c r="A292" s="123">
        <v>47</v>
      </c>
      <c r="B292" s="123">
        <v>0</v>
      </c>
      <c r="C292" s="123">
        <v>47</v>
      </c>
      <c r="D292" s="123">
        <v>1</v>
      </c>
      <c r="E292" s="123">
        <v>0</v>
      </c>
      <c r="F292" s="123">
        <v>1</v>
      </c>
      <c r="G292" s="123">
        <v>11</v>
      </c>
      <c r="H292" s="123">
        <v>0</v>
      </c>
      <c r="I292" s="123">
        <v>11</v>
      </c>
      <c r="J292" s="123">
        <v>2</v>
      </c>
      <c r="K292" s="123">
        <v>0</v>
      </c>
      <c r="L292" s="123">
        <v>2</v>
      </c>
      <c r="M292" s="123">
        <v>33</v>
      </c>
      <c r="N292" s="123">
        <v>0</v>
      </c>
      <c r="O292" s="123">
        <v>33</v>
      </c>
      <c r="P292" s="7" t="s">
        <v>163</v>
      </c>
      <c r="Q292" s="124"/>
      <c r="R292" s="1"/>
    </row>
    <row r="293" spans="1:18" ht="13.5" thickBot="1" x14ac:dyDescent="0.25">
      <c r="A293" s="123">
        <v>17</v>
      </c>
      <c r="B293" s="123">
        <v>0</v>
      </c>
      <c r="C293" s="123">
        <v>17</v>
      </c>
      <c r="D293" s="123">
        <v>0</v>
      </c>
      <c r="E293" s="123">
        <v>0</v>
      </c>
      <c r="F293" s="123">
        <v>0</v>
      </c>
      <c r="G293" s="123">
        <v>0</v>
      </c>
      <c r="H293" s="123">
        <v>0</v>
      </c>
      <c r="I293" s="123">
        <v>0</v>
      </c>
      <c r="J293" s="123">
        <v>7</v>
      </c>
      <c r="K293" s="123">
        <v>0</v>
      </c>
      <c r="L293" s="123">
        <v>7</v>
      </c>
      <c r="M293" s="123">
        <v>10</v>
      </c>
      <c r="N293" s="123">
        <v>0</v>
      </c>
      <c r="O293" s="123">
        <v>10</v>
      </c>
      <c r="P293" s="7" t="s">
        <v>162</v>
      </c>
      <c r="Q293" s="124" t="s">
        <v>538</v>
      </c>
      <c r="R293" s="1"/>
    </row>
    <row r="294" spans="1:18" ht="13.5" thickBot="1" x14ac:dyDescent="0.25">
      <c r="A294" s="123">
        <v>64</v>
      </c>
      <c r="B294" s="123">
        <v>0</v>
      </c>
      <c r="C294" s="123">
        <v>64</v>
      </c>
      <c r="D294" s="123">
        <v>1</v>
      </c>
      <c r="E294" s="123">
        <v>0</v>
      </c>
      <c r="F294" s="123">
        <v>1</v>
      </c>
      <c r="G294" s="123">
        <v>11</v>
      </c>
      <c r="H294" s="123">
        <v>0</v>
      </c>
      <c r="I294" s="123">
        <v>11</v>
      </c>
      <c r="J294" s="123">
        <v>9</v>
      </c>
      <c r="K294" s="123">
        <v>0</v>
      </c>
      <c r="L294" s="123">
        <v>9</v>
      </c>
      <c r="M294" s="123">
        <v>43</v>
      </c>
      <c r="N294" s="123">
        <v>0</v>
      </c>
      <c r="O294" s="123">
        <v>43</v>
      </c>
      <c r="P294" s="7" t="s">
        <v>13</v>
      </c>
      <c r="Q294" s="9"/>
      <c r="R294" s="1"/>
    </row>
    <row r="295" spans="1:18" ht="13.5" thickBot="1" x14ac:dyDescent="0.25">
      <c r="A295" s="123">
        <v>94</v>
      </c>
      <c r="B295" s="123">
        <v>94</v>
      </c>
      <c r="C295" s="123">
        <v>0</v>
      </c>
      <c r="D295" s="123">
        <v>0</v>
      </c>
      <c r="E295" s="123">
        <v>0</v>
      </c>
      <c r="F295" s="123">
        <v>0</v>
      </c>
      <c r="G295" s="123">
        <v>47</v>
      </c>
      <c r="H295" s="123">
        <v>47</v>
      </c>
      <c r="I295" s="123">
        <v>0</v>
      </c>
      <c r="J295" s="123">
        <v>26</v>
      </c>
      <c r="K295" s="123">
        <v>26</v>
      </c>
      <c r="L295" s="123">
        <v>0</v>
      </c>
      <c r="M295" s="123">
        <v>21</v>
      </c>
      <c r="N295" s="123">
        <v>21</v>
      </c>
      <c r="O295" s="123">
        <v>0</v>
      </c>
      <c r="P295" s="7" t="s">
        <v>163</v>
      </c>
      <c r="Q295" s="124"/>
      <c r="R295" s="1"/>
    </row>
    <row r="296" spans="1:18" ht="13.5" thickBot="1" x14ac:dyDescent="0.25">
      <c r="A296" s="123">
        <v>30</v>
      </c>
      <c r="B296" s="123">
        <v>30</v>
      </c>
      <c r="C296" s="123">
        <v>0</v>
      </c>
      <c r="D296" s="123">
        <v>0</v>
      </c>
      <c r="E296" s="123">
        <v>0</v>
      </c>
      <c r="F296" s="123">
        <v>0</v>
      </c>
      <c r="G296" s="123">
        <v>0</v>
      </c>
      <c r="H296" s="123">
        <v>0</v>
      </c>
      <c r="I296" s="123">
        <v>0</v>
      </c>
      <c r="J296" s="123">
        <v>0</v>
      </c>
      <c r="K296" s="123">
        <v>0</v>
      </c>
      <c r="L296" s="123">
        <v>0</v>
      </c>
      <c r="M296" s="123">
        <v>30</v>
      </c>
      <c r="N296" s="123">
        <v>30</v>
      </c>
      <c r="O296" s="123">
        <v>0</v>
      </c>
      <c r="P296" s="7" t="s">
        <v>162</v>
      </c>
      <c r="Q296" s="124" t="s">
        <v>380</v>
      </c>
      <c r="R296" s="1"/>
    </row>
    <row r="297" spans="1:18" ht="13.5" thickBot="1" x14ac:dyDescent="0.25">
      <c r="A297" s="123">
        <v>124</v>
      </c>
      <c r="B297" s="123">
        <v>124</v>
      </c>
      <c r="C297" s="123">
        <v>0</v>
      </c>
      <c r="D297" s="123">
        <v>0</v>
      </c>
      <c r="E297" s="123">
        <v>0</v>
      </c>
      <c r="F297" s="123">
        <v>0</v>
      </c>
      <c r="G297" s="123">
        <v>47</v>
      </c>
      <c r="H297" s="123">
        <v>47</v>
      </c>
      <c r="I297" s="123">
        <v>0</v>
      </c>
      <c r="J297" s="123">
        <v>26</v>
      </c>
      <c r="K297" s="123">
        <v>26</v>
      </c>
      <c r="L297" s="123">
        <v>0</v>
      </c>
      <c r="M297" s="123">
        <v>51</v>
      </c>
      <c r="N297" s="123">
        <v>51</v>
      </c>
      <c r="O297" s="123">
        <v>0</v>
      </c>
      <c r="P297" s="7" t="s">
        <v>13</v>
      </c>
      <c r="Q297" s="9"/>
      <c r="R297" s="1"/>
    </row>
    <row r="298" spans="1:18" ht="13.5" thickBot="1" x14ac:dyDescent="0.25">
      <c r="A298" s="123">
        <v>72</v>
      </c>
      <c r="B298" s="123">
        <v>44</v>
      </c>
      <c r="C298" s="123">
        <v>28</v>
      </c>
      <c r="D298" s="123">
        <v>0</v>
      </c>
      <c r="E298" s="123">
        <v>0</v>
      </c>
      <c r="F298" s="123">
        <v>0</v>
      </c>
      <c r="G298" s="123">
        <v>45</v>
      </c>
      <c r="H298" s="123">
        <v>36</v>
      </c>
      <c r="I298" s="123">
        <v>9</v>
      </c>
      <c r="J298" s="123">
        <v>5</v>
      </c>
      <c r="K298" s="123">
        <v>3</v>
      </c>
      <c r="L298" s="123">
        <v>2</v>
      </c>
      <c r="M298" s="123">
        <v>22</v>
      </c>
      <c r="N298" s="123">
        <v>5</v>
      </c>
      <c r="O298" s="123">
        <v>17</v>
      </c>
      <c r="P298" s="7" t="s">
        <v>163</v>
      </c>
      <c r="Q298" s="124"/>
      <c r="R298" s="1"/>
    </row>
    <row r="299" spans="1:18" ht="13.5" thickBot="1" x14ac:dyDescent="0.25">
      <c r="A299" s="123">
        <v>17</v>
      </c>
      <c r="B299" s="123">
        <v>12</v>
      </c>
      <c r="C299" s="123">
        <v>5</v>
      </c>
      <c r="D299" s="123">
        <v>0</v>
      </c>
      <c r="E299" s="123">
        <v>0</v>
      </c>
      <c r="F299" s="123">
        <v>0</v>
      </c>
      <c r="G299" s="123">
        <v>0</v>
      </c>
      <c r="H299" s="123">
        <v>0</v>
      </c>
      <c r="I299" s="123">
        <v>0</v>
      </c>
      <c r="J299" s="123">
        <v>5</v>
      </c>
      <c r="K299" s="123">
        <v>5</v>
      </c>
      <c r="L299" s="123">
        <v>0</v>
      </c>
      <c r="M299" s="123">
        <v>12</v>
      </c>
      <c r="N299" s="123">
        <v>7</v>
      </c>
      <c r="O299" s="123">
        <v>5</v>
      </c>
      <c r="P299" s="7" t="s">
        <v>162</v>
      </c>
      <c r="Q299" s="124" t="s">
        <v>264</v>
      </c>
      <c r="R299" s="1"/>
    </row>
    <row r="300" spans="1:18" ht="13.5" thickBot="1" x14ac:dyDescent="0.25">
      <c r="A300" s="123">
        <v>89</v>
      </c>
      <c r="B300" s="123">
        <v>56</v>
      </c>
      <c r="C300" s="123">
        <v>33</v>
      </c>
      <c r="D300" s="123">
        <v>0</v>
      </c>
      <c r="E300" s="123">
        <v>0</v>
      </c>
      <c r="F300" s="123">
        <v>0</v>
      </c>
      <c r="G300" s="123">
        <v>45</v>
      </c>
      <c r="H300" s="123">
        <v>36</v>
      </c>
      <c r="I300" s="123">
        <v>9</v>
      </c>
      <c r="J300" s="123">
        <v>10</v>
      </c>
      <c r="K300" s="123">
        <v>8</v>
      </c>
      <c r="L300" s="123">
        <v>2</v>
      </c>
      <c r="M300" s="123">
        <v>34</v>
      </c>
      <c r="N300" s="123">
        <v>12</v>
      </c>
      <c r="O300" s="123">
        <v>22</v>
      </c>
      <c r="P300" s="7" t="s">
        <v>13</v>
      </c>
      <c r="Q300" s="9"/>
      <c r="R300" s="1"/>
    </row>
    <row r="301" spans="1:18" ht="13.5" thickBot="1" x14ac:dyDescent="0.25">
      <c r="A301" s="123">
        <v>21</v>
      </c>
      <c r="B301" s="123">
        <v>9</v>
      </c>
      <c r="C301" s="123">
        <v>12</v>
      </c>
      <c r="D301" s="123">
        <v>0</v>
      </c>
      <c r="E301" s="123">
        <v>0</v>
      </c>
      <c r="F301" s="123">
        <v>0</v>
      </c>
      <c r="G301" s="123">
        <v>15</v>
      </c>
      <c r="H301" s="123">
        <v>6</v>
      </c>
      <c r="I301" s="123">
        <v>9</v>
      </c>
      <c r="J301" s="123">
        <v>1</v>
      </c>
      <c r="K301" s="123">
        <v>1</v>
      </c>
      <c r="L301" s="123">
        <v>0</v>
      </c>
      <c r="M301" s="123">
        <v>5</v>
      </c>
      <c r="N301" s="123">
        <v>2</v>
      </c>
      <c r="O301" s="123">
        <v>3</v>
      </c>
      <c r="P301" s="7" t="s">
        <v>163</v>
      </c>
      <c r="Q301" s="124"/>
      <c r="R301" s="1"/>
    </row>
    <row r="302" spans="1:18" ht="13.5" thickBot="1" x14ac:dyDescent="0.25">
      <c r="A302" s="123">
        <v>27</v>
      </c>
      <c r="B302" s="123">
        <v>12</v>
      </c>
      <c r="C302" s="123">
        <v>15</v>
      </c>
      <c r="D302" s="123">
        <v>0</v>
      </c>
      <c r="E302" s="123">
        <v>0</v>
      </c>
      <c r="F302" s="123">
        <v>0</v>
      </c>
      <c r="G302" s="123">
        <v>1</v>
      </c>
      <c r="H302" s="123">
        <v>1</v>
      </c>
      <c r="I302" s="123">
        <v>0</v>
      </c>
      <c r="J302" s="123">
        <v>0</v>
      </c>
      <c r="K302" s="123">
        <v>0</v>
      </c>
      <c r="L302" s="123">
        <v>0</v>
      </c>
      <c r="M302" s="123">
        <v>26</v>
      </c>
      <c r="N302" s="123">
        <v>11</v>
      </c>
      <c r="O302" s="123">
        <v>15</v>
      </c>
      <c r="P302" s="7" t="s">
        <v>162</v>
      </c>
      <c r="Q302" s="124" t="s">
        <v>337</v>
      </c>
      <c r="R302" s="1"/>
    </row>
    <row r="303" spans="1:18" ht="13.5" thickBot="1" x14ac:dyDescent="0.25">
      <c r="A303" s="123">
        <v>48</v>
      </c>
      <c r="B303" s="123">
        <v>21</v>
      </c>
      <c r="C303" s="123">
        <v>27</v>
      </c>
      <c r="D303" s="123">
        <v>0</v>
      </c>
      <c r="E303" s="123">
        <v>0</v>
      </c>
      <c r="F303" s="123">
        <v>0</v>
      </c>
      <c r="G303" s="123">
        <v>16</v>
      </c>
      <c r="H303" s="123">
        <v>7</v>
      </c>
      <c r="I303" s="123">
        <v>9</v>
      </c>
      <c r="J303" s="123">
        <v>1</v>
      </c>
      <c r="K303" s="123">
        <v>1</v>
      </c>
      <c r="L303" s="123">
        <v>0</v>
      </c>
      <c r="M303" s="123">
        <v>31</v>
      </c>
      <c r="N303" s="123">
        <v>13</v>
      </c>
      <c r="O303" s="123">
        <v>18</v>
      </c>
      <c r="P303" s="7" t="s">
        <v>13</v>
      </c>
      <c r="Q303" s="9"/>
      <c r="R303" s="1"/>
    </row>
    <row r="304" spans="1:18" ht="13.5" thickBot="1" x14ac:dyDescent="0.25">
      <c r="A304" s="123">
        <v>10</v>
      </c>
      <c r="B304" s="123">
        <v>0</v>
      </c>
      <c r="C304" s="123">
        <v>10</v>
      </c>
      <c r="D304" s="123">
        <v>0</v>
      </c>
      <c r="E304" s="123">
        <v>0</v>
      </c>
      <c r="F304" s="123">
        <v>0</v>
      </c>
      <c r="G304" s="123">
        <v>2</v>
      </c>
      <c r="H304" s="123">
        <v>0</v>
      </c>
      <c r="I304" s="123">
        <v>2</v>
      </c>
      <c r="J304" s="123">
        <v>3</v>
      </c>
      <c r="K304" s="123">
        <v>0</v>
      </c>
      <c r="L304" s="123">
        <v>3</v>
      </c>
      <c r="M304" s="123">
        <v>5</v>
      </c>
      <c r="N304" s="123">
        <v>0</v>
      </c>
      <c r="O304" s="123">
        <v>5</v>
      </c>
      <c r="P304" s="7" t="s">
        <v>163</v>
      </c>
      <c r="Q304" s="124"/>
      <c r="R304" s="1"/>
    </row>
    <row r="305" spans="1:18" ht="13.5" thickBot="1" x14ac:dyDescent="0.25">
      <c r="A305" s="123">
        <v>29</v>
      </c>
      <c r="B305" s="123">
        <v>0</v>
      </c>
      <c r="C305" s="123">
        <v>29</v>
      </c>
      <c r="D305" s="123">
        <v>0</v>
      </c>
      <c r="E305" s="123">
        <v>0</v>
      </c>
      <c r="F305" s="123">
        <v>0</v>
      </c>
      <c r="G305" s="123">
        <v>0</v>
      </c>
      <c r="H305" s="123">
        <v>0</v>
      </c>
      <c r="I305" s="123">
        <v>0</v>
      </c>
      <c r="J305" s="123">
        <v>16</v>
      </c>
      <c r="K305" s="123">
        <v>0</v>
      </c>
      <c r="L305" s="123">
        <v>16</v>
      </c>
      <c r="M305" s="123">
        <v>13</v>
      </c>
      <c r="N305" s="123">
        <v>0</v>
      </c>
      <c r="O305" s="123">
        <v>13</v>
      </c>
      <c r="P305" s="7" t="s">
        <v>162</v>
      </c>
      <c r="Q305" s="124" t="s">
        <v>95</v>
      </c>
      <c r="R305" s="1"/>
    </row>
    <row r="306" spans="1:18" ht="13.5" thickBot="1" x14ac:dyDescent="0.25">
      <c r="A306" s="123">
        <v>39</v>
      </c>
      <c r="B306" s="123">
        <v>0</v>
      </c>
      <c r="C306" s="123">
        <v>39</v>
      </c>
      <c r="D306" s="123">
        <v>0</v>
      </c>
      <c r="E306" s="123">
        <v>0</v>
      </c>
      <c r="F306" s="123">
        <v>0</v>
      </c>
      <c r="G306" s="123">
        <v>2</v>
      </c>
      <c r="H306" s="123">
        <v>0</v>
      </c>
      <c r="I306" s="123">
        <v>2</v>
      </c>
      <c r="J306" s="123">
        <v>19</v>
      </c>
      <c r="K306" s="123">
        <v>0</v>
      </c>
      <c r="L306" s="123">
        <v>19</v>
      </c>
      <c r="M306" s="123">
        <v>18</v>
      </c>
      <c r="N306" s="123">
        <v>0</v>
      </c>
      <c r="O306" s="123">
        <v>18</v>
      </c>
      <c r="P306" s="7" t="s">
        <v>13</v>
      </c>
      <c r="Q306" s="9"/>
      <c r="R306" s="1"/>
    </row>
    <row r="307" spans="1:18" ht="13.5" thickBot="1" x14ac:dyDescent="0.25">
      <c r="A307" s="123">
        <v>106</v>
      </c>
      <c r="B307" s="123">
        <v>53</v>
      </c>
      <c r="C307" s="123">
        <v>53</v>
      </c>
      <c r="D307" s="123">
        <v>0</v>
      </c>
      <c r="E307" s="123">
        <v>0</v>
      </c>
      <c r="F307" s="123">
        <v>0</v>
      </c>
      <c r="G307" s="123">
        <v>69</v>
      </c>
      <c r="H307" s="123">
        <v>43</v>
      </c>
      <c r="I307" s="123">
        <v>26</v>
      </c>
      <c r="J307" s="123">
        <v>9</v>
      </c>
      <c r="K307" s="123">
        <v>3</v>
      </c>
      <c r="L307" s="123">
        <v>6</v>
      </c>
      <c r="M307" s="123">
        <v>28</v>
      </c>
      <c r="N307" s="123">
        <v>7</v>
      </c>
      <c r="O307" s="123">
        <v>21</v>
      </c>
      <c r="P307" s="7" t="s">
        <v>163</v>
      </c>
      <c r="Q307" s="124"/>
      <c r="R307" s="1"/>
    </row>
    <row r="308" spans="1:18" ht="13.5" thickBot="1" x14ac:dyDescent="0.25">
      <c r="A308" s="123">
        <v>25</v>
      </c>
      <c r="B308" s="123">
        <v>6</v>
      </c>
      <c r="C308" s="123">
        <v>19</v>
      </c>
      <c r="D308" s="123">
        <v>0</v>
      </c>
      <c r="E308" s="123">
        <v>0</v>
      </c>
      <c r="F308" s="123">
        <v>0</v>
      </c>
      <c r="G308" s="123">
        <v>0</v>
      </c>
      <c r="H308" s="123">
        <v>0</v>
      </c>
      <c r="I308" s="123">
        <v>0</v>
      </c>
      <c r="J308" s="123">
        <v>4</v>
      </c>
      <c r="K308" s="123">
        <v>1</v>
      </c>
      <c r="L308" s="123">
        <v>3</v>
      </c>
      <c r="M308" s="123">
        <v>21</v>
      </c>
      <c r="N308" s="123">
        <v>5</v>
      </c>
      <c r="O308" s="123">
        <v>16</v>
      </c>
      <c r="P308" s="7" t="s">
        <v>162</v>
      </c>
      <c r="Q308" s="124" t="s">
        <v>381</v>
      </c>
      <c r="R308" s="1"/>
    </row>
    <row r="309" spans="1:18" ht="13.5" thickBot="1" x14ac:dyDescent="0.25">
      <c r="A309" s="123">
        <v>131</v>
      </c>
      <c r="B309" s="123">
        <v>59</v>
      </c>
      <c r="C309" s="123">
        <v>72</v>
      </c>
      <c r="D309" s="123">
        <v>0</v>
      </c>
      <c r="E309" s="123">
        <v>0</v>
      </c>
      <c r="F309" s="123">
        <v>0</v>
      </c>
      <c r="G309" s="123">
        <v>69</v>
      </c>
      <c r="H309" s="123">
        <v>43</v>
      </c>
      <c r="I309" s="123">
        <v>26</v>
      </c>
      <c r="J309" s="123">
        <v>13</v>
      </c>
      <c r="K309" s="123">
        <v>4</v>
      </c>
      <c r="L309" s="123">
        <v>9</v>
      </c>
      <c r="M309" s="123">
        <v>49</v>
      </c>
      <c r="N309" s="123">
        <v>12</v>
      </c>
      <c r="O309" s="123">
        <v>37</v>
      </c>
      <c r="P309" s="7" t="s">
        <v>13</v>
      </c>
      <c r="Q309" s="9"/>
      <c r="R309" s="1"/>
    </row>
    <row r="310" spans="1:18" ht="13.5" thickBot="1" x14ac:dyDescent="0.25">
      <c r="A310" s="123">
        <v>180</v>
      </c>
      <c r="B310" s="123">
        <v>180</v>
      </c>
      <c r="C310" s="123">
        <v>0</v>
      </c>
      <c r="D310" s="123">
        <v>0</v>
      </c>
      <c r="E310" s="123">
        <v>0</v>
      </c>
      <c r="F310" s="123">
        <v>0</v>
      </c>
      <c r="G310" s="123">
        <v>56</v>
      </c>
      <c r="H310" s="123">
        <v>56</v>
      </c>
      <c r="I310" s="123">
        <v>0</v>
      </c>
      <c r="J310" s="123">
        <v>40</v>
      </c>
      <c r="K310" s="123">
        <v>40</v>
      </c>
      <c r="L310" s="123">
        <v>0</v>
      </c>
      <c r="M310" s="123">
        <v>84</v>
      </c>
      <c r="N310" s="123">
        <v>84</v>
      </c>
      <c r="O310" s="123">
        <v>0</v>
      </c>
      <c r="P310" s="7" t="s">
        <v>163</v>
      </c>
      <c r="Q310" s="124"/>
      <c r="R310" s="1"/>
    </row>
    <row r="311" spans="1:18" ht="13.5" thickBot="1" x14ac:dyDescent="0.25">
      <c r="A311" s="123">
        <v>25</v>
      </c>
      <c r="B311" s="123">
        <v>19</v>
      </c>
      <c r="C311" s="123">
        <v>6</v>
      </c>
      <c r="D311" s="123">
        <v>0</v>
      </c>
      <c r="E311" s="123">
        <v>0</v>
      </c>
      <c r="F311" s="123">
        <v>0</v>
      </c>
      <c r="G311" s="123">
        <v>0</v>
      </c>
      <c r="H311" s="123">
        <v>0</v>
      </c>
      <c r="I311" s="123">
        <v>0</v>
      </c>
      <c r="J311" s="123">
        <v>0</v>
      </c>
      <c r="K311" s="123">
        <v>0</v>
      </c>
      <c r="L311" s="123">
        <v>0</v>
      </c>
      <c r="M311" s="123">
        <v>25</v>
      </c>
      <c r="N311" s="123">
        <v>19</v>
      </c>
      <c r="O311" s="123">
        <v>6</v>
      </c>
      <c r="P311" s="7" t="s">
        <v>162</v>
      </c>
      <c r="Q311" s="124" t="s">
        <v>383</v>
      </c>
      <c r="R311" s="1"/>
    </row>
    <row r="312" spans="1:18" ht="13.5" thickBot="1" x14ac:dyDescent="0.25">
      <c r="A312" s="123">
        <v>205</v>
      </c>
      <c r="B312" s="123">
        <v>199</v>
      </c>
      <c r="C312" s="123">
        <v>6</v>
      </c>
      <c r="D312" s="123">
        <v>0</v>
      </c>
      <c r="E312" s="123">
        <v>0</v>
      </c>
      <c r="F312" s="123">
        <v>0</v>
      </c>
      <c r="G312" s="123">
        <v>56</v>
      </c>
      <c r="H312" s="123">
        <v>56</v>
      </c>
      <c r="I312" s="123">
        <v>0</v>
      </c>
      <c r="J312" s="123">
        <v>40</v>
      </c>
      <c r="K312" s="123">
        <v>40</v>
      </c>
      <c r="L312" s="123">
        <v>0</v>
      </c>
      <c r="M312" s="123">
        <v>109</v>
      </c>
      <c r="N312" s="123">
        <v>103</v>
      </c>
      <c r="O312" s="123">
        <v>6</v>
      </c>
      <c r="P312" s="7" t="s">
        <v>13</v>
      </c>
      <c r="Q312" s="9"/>
      <c r="R312" s="1"/>
    </row>
    <row r="313" spans="1:18" ht="13.5" thickBot="1" x14ac:dyDescent="0.25">
      <c r="A313" s="123">
        <v>88</v>
      </c>
      <c r="B313" s="123">
        <v>88</v>
      </c>
      <c r="C313" s="123">
        <v>0</v>
      </c>
      <c r="D313" s="123">
        <v>0</v>
      </c>
      <c r="E313" s="123">
        <v>0</v>
      </c>
      <c r="F313" s="123">
        <v>0</v>
      </c>
      <c r="G313" s="123">
        <v>41</v>
      </c>
      <c r="H313" s="123">
        <v>41</v>
      </c>
      <c r="I313" s="123">
        <v>0</v>
      </c>
      <c r="J313" s="123">
        <v>29</v>
      </c>
      <c r="K313" s="123">
        <v>29</v>
      </c>
      <c r="L313" s="123">
        <v>0</v>
      </c>
      <c r="M313" s="123">
        <v>18</v>
      </c>
      <c r="N313" s="123">
        <v>18</v>
      </c>
      <c r="O313" s="123">
        <v>0</v>
      </c>
      <c r="P313" s="7" t="s">
        <v>163</v>
      </c>
      <c r="Q313" s="124"/>
      <c r="R313" s="1"/>
    </row>
    <row r="314" spans="1:18" ht="13.5" thickBot="1" x14ac:dyDescent="0.25">
      <c r="A314" s="123">
        <v>11</v>
      </c>
      <c r="B314" s="123">
        <v>11</v>
      </c>
      <c r="C314" s="123">
        <v>0</v>
      </c>
      <c r="D314" s="123">
        <v>0</v>
      </c>
      <c r="E314" s="123">
        <v>0</v>
      </c>
      <c r="F314" s="123">
        <v>0</v>
      </c>
      <c r="G314" s="123">
        <v>0</v>
      </c>
      <c r="H314" s="123">
        <v>0</v>
      </c>
      <c r="I314" s="123">
        <v>0</v>
      </c>
      <c r="J314" s="123">
        <v>0</v>
      </c>
      <c r="K314" s="123">
        <v>0</v>
      </c>
      <c r="L314" s="123">
        <v>0</v>
      </c>
      <c r="M314" s="123">
        <v>11</v>
      </c>
      <c r="N314" s="123">
        <v>11</v>
      </c>
      <c r="O314" s="123">
        <v>0</v>
      </c>
      <c r="P314" s="7" t="s">
        <v>162</v>
      </c>
      <c r="Q314" s="124" t="s">
        <v>384</v>
      </c>
      <c r="R314" s="1"/>
    </row>
    <row r="315" spans="1:18" ht="13.5" thickBot="1" x14ac:dyDescent="0.25">
      <c r="A315" s="123">
        <v>99</v>
      </c>
      <c r="B315" s="123">
        <v>99</v>
      </c>
      <c r="C315" s="123">
        <v>0</v>
      </c>
      <c r="D315" s="123">
        <v>0</v>
      </c>
      <c r="E315" s="123">
        <v>0</v>
      </c>
      <c r="F315" s="123">
        <v>0</v>
      </c>
      <c r="G315" s="123">
        <v>41</v>
      </c>
      <c r="H315" s="123">
        <v>41</v>
      </c>
      <c r="I315" s="123">
        <v>0</v>
      </c>
      <c r="J315" s="123">
        <v>29</v>
      </c>
      <c r="K315" s="123">
        <v>29</v>
      </c>
      <c r="L315" s="123">
        <v>0</v>
      </c>
      <c r="M315" s="123">
        <v>29</v>
      </c>
      <c r="N315" s="123">
        <v>29</v>
      </c>
      <c r="O315" s="123">
        <v>0</v>
      </c>
      <c r="P315" s="7" t="s">
        <v>13</v>
      </c>
      <c r="Q315" s="9"/>
      <c r="R315" s="1"/>
    </row>
    <row r="316" spans="1:18" ht="13.5" thickBot="1" x14ac:dyDescent="0.25">
      <c r="A316" s="123">
        <v>88</v>
      </c>
      <c r="B316" s="123">
        <v>88</v>
      </c>
      <c r="C316" s="123">
        <v>0</v>
      </c>
      <c r="D316" s="123">
        <v>0</v>
      </c>
      <c r="E316" s="123">
        <v>0</v>
      </c>
      <c r="F316" s="123">
        <v>0</v>
      </c>
      <c r="G316" s="123">
        <v>39</v>
      </c>
      <c r="H316" s="123">
        <v>39</v>
      </c>
      <c r="I316" s="123">
        <v>0</v>
      </c>
      <c r="J316" s="123">
        <v>26</v>
      </c>
      <c r="K316" s="123">
        <v>26</v>
      </c>
      <c r="L316" s="123">
        <v>0</v>
      </c>
      <c r="M316" s="123">
        <v>23</v>
      </c>
      <c r="N316" s="123">
        <v>23</v>
      </c>
      <c r="O316" s="123">
        <v>0</v>
      </c>
      <c r="P316" s="7" t="s">
        <v>163</v>
      </c>
      <c r="Q316" s="124"/>
      <c r="R316" s="1"/>
    </row>
    <row r="317" spans="1:18" ht="13.5" thickBot="1" x14ac:dyDescent="0.25">
      <c r="A317" s="123">
        <v>19</v>
      </c>
      <c r="B317" s="123">
        <v>16</v>
      </c>
      <c r="C317" s="123">
        <v>3</v>
      </c>
      <c r="D317" s="123">
        <v>0</v>
      </c>
      <c r="E317" s="123">
        <v>0</v>
      </c>
      <c r="F317" s="123">
        <v>0</v>
      </c>
      <c r="G317" s="123">
        <v>0</v>
      </c>
      <c r="H317" s="123">
        <v>0</v>
      </c>
      <c r="I317" s="123">
        <v>0</v>
      </c>
      <c r="J317" s="123">
        <v>1</v>
      </c>
      <c r="K317" s="123">
        <v>0</v>
      </c>
      <c r="L317" s="123">
        <v>1</v>
      </c>
      <c r="M317" s="123">
        <v>18</v>
      </c>
      <c r="N317" s="123">
        <v>16</v>
      </c>
      <c r="O317" s="123">
        <v>2</v>
      </c>
      <c r="P317" s="7" t="s">
        <v>162</v>
      </c>
      <c r="Q317" s="124" t="s">
        <v>629</v>
      </c>
      <c r="R317" s="1"/>
    </row>
    <row r="318" spans="1:18" ht="13.5" thickBot="1" x14ac:dyDescent="0.25">
      <c r="A318" s="123">
        <v>107</v>
      </c>
      <c r="B318" s="123">
        <v>104</v>
      </c>
      <c r="C318" s="123">
        <v>3</v>
      </c>
      <c r="D318" s="123">
        <v>0</v>
      </c>
      <c r="E318" s="123">
        <v>0</v>
      </c>
      <c r="F318" s="123">
        <v>0</v>
      </c>
      <c r="G318" s="123">
        <v>39</v>
      </c>
      <c r="H318" s="123">
        <v>39</v>
      </c>
      <c r="I318" s="123">
        <v>0</v>
      </c>
      <c r="J318" s="123">
        <v>27</v>
      </c>
      <c r="K318" s="123">
        <v>26</v>
      </c>
      <c r="L318" s="123">
        <v>1</v>
      </c>
      <c r="M318" s="123">
        <v>41</v>
      </c>
      <c r="N318" s="123">
        <v>39</v>
      </c>
      <c r="O318" s="123">
        <v>2</v>
      </c>
      <c r="P318" s="7" t="s">
        <v>13</v>
      </c>
      <c r="Q318" s="9"/>
      <c r="R318" s="1"/>
    </row>
    <row r="319" spans="1:18" ht="13.5" thickBot="1" x14ac:dyDescent="0.25">
      <c r="A319" s="123">
        <v>242</v>
      </c>
      <c r="B319" s="123">
        <v>242</v>
      </c>
      <c r="C319" s="123">
        <v>0</v>
      </c>
      <c r="D319" s="123">
        <v>12</v>
      </c>
      <c r="E319" s="123">
        <v>12</v>
      </c>
      <c r="F319" s="123">
        <v>0</v>
      </c>
      <c r="G319" s="123">
        <v>64</v>
      </c>
      <c r="H319" s="123">
        <v>64</v>
      </c>
      <c r="I319" s="123">
        <v>0</v>
      </c>
      <c r="J319" s="123">
        <v>60</v>
      </c>
      <c r="K319" s="123">
        <v>60</v>
      </c>
      <c r="L319" s="123">
        <v>0</v>
      </c>
      <c r="M319" s="123">
        <v>106</v>
      </c>
      <c r="N319" s="123">
        <v>106</v>
      </c>
      <c r="O319" s="123">
        <v>0</v>
      </c>
      <c r="P319" s="7" t="s">
        <v>163</v>
      </c>
      <c r="Q319" s="124"/>
      <c r="R319" s="1"/>
    </row>
    <row r="320" spans="1:18" ht="13.5" thickBot="1" x14ac:dyDescent="0.25">
      <c r="A320" s="123">
        <v>23</v>
      </c>
      <c r="B320" s="123">
        <v>13</v>
      </c>
      <c r="C320" s="123">
        <v>10</v>
      </c>
      <c r="D320" s="123">
        <v>0</v>
      </c>
      <c r="E320" s="123">
        <v>0</v>
      </c>
      <c r="F320" s="123">
        <v>0</v>
      </c>
      <c r="G320" s="123">
        <v>0</v>
      </c>
      <c r="H320" s="123">
        <v>0</v>
      </c>
      <c r="I320" s="123">
        <v>0</v>
      </c>
      <c r="J320" s="123">
        <v>0</v>
      </c>
      <c r="K320" s="123">
        <v>0</v>
      </c>
      <c r="L320" s="123">
        <v>0</v>
      </c>
      <c r="M320" s="123">
        <v>23</v>
      </c>
      <c r="N320" s="123">
        <v>13</v>
      </c>
      <c r="O320" s="123">
        <v>10</v>
      </c>
      <c r="P320" s="7" t="s">
        <v>162</v>
      </c>
      <c r="Q320" s="124" t="s">
        <v>386</v>
      </c>
      <c r="R320" s="1"/>
    </row>
    <row r="321" spans="1:18" ht="13.5" thickBot="1" x14ac:dyDescent="0.25">
      <c r="A321" s="123">
        <v>265</v>
      </c>
      <c r="B321" s="123">
        <v>255</v>
      </c>
      <c r="C321" s="123">
        <v>10</v>
      </c>
      <c r="D321" s="123">
        <v>12</v>
      </c>
      <c r="E321" s="123">
        <v>12</v>
      </c>
      <c r="F321" s="123">
        <v>0</v>
      </c>
      <c r="G321" s="123">
        <v>64</v>
      </c>
      <c r="H321" s="123">
        <v>64</v>
      </c>
      <c r="I321" s="123">
        <v>0</v>
      </c>
      <c r="J321" s="123">
        <v>60</v>
      </c>
      <c r="K321" s="123">
        <v>60</v>
      </c>
      <c r="L321" s="123">
        <v>0</v>
      </c>
      <c r="M321" s="123">
        <v>129</v>
      </c>
      <c r="N321" s="123">
        <v>119</v>
      </c>
      <c r="O321" s="123">
        <v>10</v>
      </c>
      <c r="P321" s="7" t="s">
        <v>13</v>
      </c>
      <c r="Q321" s="9"/>
      <c r="R321" s="1"/>
    </row>
    <row r="322" spans="1:18" ht="13.5" thickBot="1" x14ac:dyDescent="0.25">
      <c r="A322" s="123">
        <v>0</v>
      </c>
      <c r="B322" s="123">
        <v>0</v>
      </c>
      <c r="C322" s="123">
        <v>0</v>
      </c>
      <c r="D322" s="123">
        <v>0</v>
      </c>
      <c r="E322" s="123">
        <v>0</v>
      </c>
      <c r="F322" s="123">
        <v>0</v>
      </c>
      <c r="G322" s="123">
        <v>0</v>
      </c>
      <c r="H322" s="123">
        <v>0</v>
      </c>
      <c r="I322" s="123">
        <v>0</v>
      </c>
      <c r="J322" s="123">
        <v>0</v>
      </c>
      <c r="K322" s="123">
        <v>0</v>
      </c>
      <c r="L322" s="123">
        <v>0</v>
      </c>
      <c r="M322" s="123">
        <v>0</v>
      </c>
      <c r="N322" s="123">
        <v>0</v>
      </c>
      <c r="O322" s="123">
        <v>0</v>
      </c>
      <c r="P322" s="7" t="s">
        <v>163</v>
      </c>
      <c r="Q322" s="124"/>
      <c r="R322" s="1"/>
    </row>
    <row r="323" spans="1:18" ht="13.5" thickBot="1" x14ac:dyDescent="0.25">
      <c r="A323" s="123">
        <v>1</v>
      </c>
      <c r="B323" s="123">
        <v>0</v>
      </c>
      <c r="C323" s="123">
        <v>1</v>
      </c>
      <c r="D323" s="123">
        <v>0</v>
      </c>
      <c r="E323" s="123">
        <v>0</v>
      </c>
      <c r="F323" s="123">
        <v>0</v>
      </c>
      <c r="G323" s="123">
        <v>0</v>
      </c>
      <c r="H323" s="123">
        <v>0</v>
      </c>
      <c r="I323" s="123">
        <v>0</v>
      </c>
      <c r="J323" s="123">
        <v>1</v>
      </c>
      <c r="K323" s="123">
        <v>0</v>
      </c>
      <c r="L323" s="123">
        <v>1</v>
      </c>
      <c r="M323" s="123">
        <v>0</v>
      </c>
      <c r="N323" s="123">
        <v>0</v>
      </c>
      <c r="O323" s="123">
        <v>0</v>
      </c>
      <c r="P323" s="7" t="s">
        <v>162</v>
      </c>
      <c r="Q323" s="124" t="s">
        <v>96</v>
      </c>
      <c r="R323" s="1"/>
    </row>
    <row r="324" spans="1:18" ht="13.5" thickBot="1" x14ac:dyDescent="0.25">
      <c r="A324" s="123">
        <v>1</v>
      </c>
      <c r="B324" s="123">
        <v>0</v>
      </c>
      <c r="C324" s="123">
        <v>1</v>
      </c>
      <c r="D324" s="123">
        <v>0</v>
      </c>
      <c r="E324" s="123">
        <v>0</v>
      </c>
      <c r="F324" s="123">
        <v>0</v>
      </c>
      <c r="G324" s="123">
        <v>0</v>
      </c>
      <c r="H324" s="123">
        <v>0</v>
      </c>
      <c r="I324" s="123">
        <v>0</v>
      </c>
      <c r="J324" s="123">
        <v>1</v>
      </c>
      <c r="K324" s="123">
        <v>0</v>
      </c>
      <c r="L324" s="123">
        <v>1</v>
      </c>
      <c r="M324" s="123">
        <v>0</v>
      </c>
      <c r="N324" s="123">
        <v>0</v>
      </c>
      <c r="O324" s="123">
        <v>0</v>
      </c>
      <c r="P324" s="7" t="s">
        <v>13</v>
      </c>
      <c r="Q324" s="9"/>
      <c r="R324" s="1"/>
    </row>
    <row r="325" spans="1:18" ht="13.5" thickBot="1" x14ac:dyDescent="0.25">
      <c r="A325" s="123">
        <v>120</v>
      </c>
      <c r="B325" s="123">
        <v>0</v>
      </c>
      <c r="C325" s="123">
        <v>120</v>
      </c>
      <c r="D325" s="123">
        <v>0</v>
      </c>
      <c r="E325" s="123">
        <v>0</v>
      </c>
      <c r="F325" s="123">
        <v>0</v>
      </c>
      <c r="G325" s="123">
        <v>39</v>
      </c>
      <c r="H325" s="123">
        <v>0</v>
      </c>
      <c r="I325" s="123">
        <v>39</v>
      </c>
      <c r="J325" s="123">
        <v>43</v>
      </c>
      <c r="K325" s="123">
        <v>0</v>
      </c>
      <c r="L325" s="123">
        <v>43</v>
      </c>
      <c r="M325" s="123">
        <v>38</v>
      </c>
      <c r="N325" s="123">
        <v>0</v>
      </c>
      <c r="O325" s="123">
        <v>38</v>
      </c>
      <c r="P325" s="7" t="s">
        <v>163</v>
      </c>
      <c r="Q325" s="124"/>
      <c r="R325" s="1"/>
    </row>
    <row r="326" spans="1:18" ht="13.5" thickBot="1" x14ac:dyDescent="0.25">
      <c r="A326" s="123">
        <v>11</v>
      </c>
      <c r="B326" s="123">
        <v>0</v>
      </c>
      <c r="C326" s="123">
        <v>11</v>
      </c>
      <c r="D326" s="123">
        <v>0</v>
      </c>
      <c r="E326" s="123">
        <v>0</v>
      </c>
      <c r="F326" s="123">
        <v>0</v>
      </c>
      <c r="G326" s="123">
        <v>0</v>
      </c>
      <c r="H326" s="123">
        <v>0</v>
      </c>
      <c r="I326" s="123">
        <v>0</v>
      </c>
      <c r="J326" s="123">
        <v>0</v>
      </c>
      <c r="K326" s="123">
        <v>0</v>
      </c>
      <c r="L326" s="123">
        <v>0</v>
      </c>
      <c r="M326" s="123">
        <v>11</v>
      </c>
      <c r="N326" s="123">
        <v>0</v>
      </c>
      <c r="O326" s="123">
        <v>11</v>
      </c>
      <c r="P326" s="7" t="s">
        <v>162</v>
      </c>
      <c r="Q326" s="124" t="s">
        <v>248</v>
      </c>
      <c r="R326" s="1"/>
    </row>
    <row r="327" spans="1:18" ht="13.5" thickBot="1" x14ac:dyDescent="0.25">
      <c r="A327" s="123">
        <v>131</v>
      </c>
      <c r="B327" s="123">
        <v>0</v>
      </c>
      <c r="C327" s="123">
        <v>131</v>
      </c>
      <c r="D327" s="123">
        <v>0</v>
      </c>
      <c r="E327" s="123">
        <v>0</v>
      </c>
      <c r="F327" s="123">
        <v>0</v>
      </c>
      <c r="G327" s="123">
        <v>39</v>
      </c>
      <c r="H327" s="123">
        <v>0</v>
      </c>
      <c r="I327" s="123">
        <v>39</v>
      </c>
      <c r="J327" s="123">
        <v>43</v>
      </c>
      <c r="K327" s="123">
        <v>0</v>
      </c>
      <c r="L327" s="123">
        <v>43</v>
      </c>
      <c r="M327" s="123">
        <v>49</v>
      </c>
      <c r="N327" s="123">
        <v>0</v>
      </c>
      <c r="O327" s="123">
        <v>49</v>
      </c>
      <c r="P327" s="7" t="s">
        <v>13</v>
      </c>
      <c r="Q327" s="9"/>
      <c r="R327" s="1"/>
    </row>
    <row r="328" spans="1:18" ht="13.5" thickBot="1" x14ac:dyDescent="0.25">
      <c r="A328" s="123">
        <v>32</v>
      </c>
      <c r="B328" s="123">
        <v>23</v>
      </c>
      <c r="C328" s="123">
        <v>9</v>
      </c>
      <c r="D328" s="123">
        <v>12</v>
      </c>
      <c r="E328" s="123">
        <v>12</v>
      </c>
      <c r="F328" s="123">
        <v>0</v>
      </c>
      <c r="G328" s="123">
        <v>12</v>
      </c>
      <c r="H328" s="123">
        <v>9</v>
      </c>
      <c r="I328" s="123">
        <v>3</v>
      </c>
      <c r="J328" s="123">
        <v>6</v>
      </c>
      <c r="K328" s="123">
        <v>2</v>
      </c>
      <c r="L328" s="123">
        <v>4</v>
      </c>
      <c r="M328" s="123">
        <v>2</v>
      </c>
      <c r="N328" s="123">
        <v>0</v>
      </c>
      <c r="O328" s="123">
        <v>2</v>
      </c>
      <c r="P328" s="7" t="s">
        <v>163</v>
      </c>
      <c r="Q328" s="124"/>
      <c r="R328" s="1"/>
    </row>
    <row r="329" spans="1:18" ht="13.5" thickBot="1" x14ac:dyDescent="0.25">
      <c r="A329" s="123">
        <v>12</v>
      </c>
      <c r="B329" s="123">
        <v>8</v>
      </c>
      <c r="C329" s="123">
        <v>4</v>
      </c>
      <c r="D329" s="123">
        <v>0</v>
      </c>
      <c r="E329" s="123">
        <v>0</v>
      </c>
      <c r="F329" s="123">
        <v>0</v>
      </c>
      <c r="G329" s="123">
        <v>0</v>
      </c>
      <c r="H329" s="123">
        <v>0</v>
      </c>
      <c r="I329" s="123">
        <v>0</v>
      </c>
      <c r="J329" s="123">
        <v>7</v>
      </c>
      <c r="K329" s="123">
        <v>5</v>
      </c>
      <c r="L329" s="123">
        <v>2</v>
      </c>
      <c r="M329" s="123">
        <v>5</v>
      </c>
      <c r="N329" s="123">
        <v>3</v>
      </c>
      <c r="O329" s="123">
        <v>2</v>
      </c>
      <c r="P329" s="7" t="s">
        <v>162</v>
      </c>
      <c r="Q329" s="124" t="s">
        <v>249</v>
      </c>
      <c r="R329" s="1"/>
    </row>
    <row r="330" spans="1:18" ht="13.5" thickBot="1" x14ac:dyDescent="0.25">
      <c r="A330" s="123">
        <v>44</v>
      </c>
      <c r="B330" s="123">
        <v>31</v>
      </c>
      <c r="C330" s="123">
        <v>13</v>
      </c>
      <c r="D330" s="123">
        <v>12</v>
      </c>
      <c r="E330" s="123">
        <v>12</v>
      </c>
      <c r="F330" s="123">
        <v>0</v>
      </c>
      <c r="G330" s="123">
        <v>12</v>
      </c>
      <c r="H330" s="123">
        <v>9</v>
      </c>
      <c r="I330" s="123">
        <v>3</v>
      </c>
      <c r="J330" s="123">
        <v>13</v>
      </c>
      <c r="K330" s="123">
        <v>7</v>
      </c>
      <c r="L330" s="123">
        <v>6</v>
      </c>
      <c r="M330" s="123">
        <v>7</v>
      </c>
      <c r="N330" s="123">
        <v>3</v>
      </c>
      <c r="O330" s="123">
        <v>4</v>
      </c>
      <c r="P330" s="7" t="s">
        <v>13</v>
      </c>
      <c r="Q330" s="9"/>
      <c r="R330" s="1"/>
    </row>
    <row r="331" spans="1:18" ht="13.5" thickBot="1" x14ac:dyDescent="0.25">
      <c r="A331" s="123">
        <v>3163</v>
      </c>
      <c r="B331" s="123">
        <v>1633</v>
      </c>
      <c r="C331" s="123">
        <v>1530</v>
      </c>
      <c r="D331" s="123">
        <v>35</v>
      </c>
      <c r="E331" s="123">
        <v>29</v>
      </c>
      <c r="F331" s="123">
        <v>6</v>
      </c>
      <c r="G331" s="123">
        <v>1138</v>
      </c>
      <c r="H331" s="123">
        <v>703</v>
      </c>
      <c r="I331" s="123">
        <v>435</v>
      </c>
      <c r="J331" s="123">
        <v>515</v>
      </c>
      <c r="K331" s="123">
        <v>378</v>
      </c>
      <c r="L331" s="123">
        <v>137</v>
      </c>
      <c r="M331" s="123">
        <v>1475</v>
      </c>
      <c r="N331" s="123">
        <v>523</v>
      </c>
      <c r="O331" s="123">
        <v>952</v>
      </c>
      <c r="P331" s="7" t="s">
        <v>163</v>
      </c>
      <c r="Q331" s="3"/>
      <c r="R331" s="1"/>
    </row>
    <row r="332" spans="1:18" ht="13.5" thickBot="1" x14ac:dyDescent="0.25">
      <c r="A332" s="123">
        <v>682</v>
      </c>
      <c r="B332" s="123">
        <v>238</v>
      </c>
      <c r="C332" s="123">
        <v>444</v>
      </c>
      <c r="D332" s="123">
        <v>8</v>
      </c>
      <c r="E332" s="123">
        <v>6</v>
      </c>
      <c r="F332" s="123">
        <v>2</v>
      </c>
      <c r="G332" s="123">
        <v>5</v>
      </c>
      <c r="H332" s="123">
        <v>1</v>
      </c>
      <c r="I332" s="123">
        <v>4</v>
      </c>
      <c r="J332" s="123">
        <v>98</v>
      </c>
      <c r="K332" s="123">
        <v>32</v>
      </c>
      <c r="L332" s="123">
        <v>66</v>
      </c>
      <c r="M332" s="123">
        <v>571</v>
      </c>
      <c r="N332" s="123">
        <v>199</v>
      </c>
      <c r="O332" s="123">
        <v>372</v>
      </c>
      <c r="P332" s="7" t="s">
        <v>162</v>
      </c>
      <c r="Q332" s="11" t="s">
        <v>211</v>
      </c>
      <c r="R332" s="1"/>
    </row>
    <row r="333" spans="1:18" ht="13.5" thickBot="1" x14ac:dyDescent="0.25">
      <c r="A333" s="123">
        <v>3845</v>
      </c>
      <c r="B333" s="123">
        <v>1871</v>
      </c>
      <c r="C333" s="123">
        <v>1974</v>
      </c>
      <c r="D333" s="123">
        <v>43</v>
      </c>
      <c r="E333" s="123">
        <v>35</v>
      </c>
      <c r="F333" s="123">
        <v>8</v>
      </c>
      <c r="G333" s="123">
        <v>1143</v>
      </c>
      <c r="H333" s="123">
        <v>704</v>
      </c>
      <c r="I333" s="123">
        <v>439</v>
      </c>
      <c r="J333" s="123">
        <v>613</v>
      </c>
      <c r="K333" s="123">
        <v>410</v>
      </c>
      <c r="L333" s="123">
        <v>203</v>
      </c>
      <c r="M333" s="123">
        <v>2046</v>
      </c>
      <c r="N333" s="123">
        <v>722</v>
      </c>
      <c r="O333" s="123">
        <v>1324</v>
      </c>
      <c r="P333" s="7" t="s">
        <v>13</v>
      </c>
      <c r="Q333" s="5"/>
      <c r="R333" s="1"/>
    </row>
    <row r="334" spans="1:18" ht="18" customHeight="1" x14ac:dyDescent="0.2">
      <c r="A334" s="207"/>
      <c r="B334" s="207"/>
      <c r="C334" s="207"/>
      <c r="D334" s="207"/>
      <c r="E334" s="207"/>
      <c r="F334" s="207"/>
      <c r="G334" s="207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1"/>
    </row>
    <row r="335" spans="1:18" ht="18" customHeight="1" x14ac:dyDescent="0.2">
      <c r="A335" s="159" t="s">
        <v>643</v>
      </c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"/>
    </row>
    <row r="336" spans="1:18" ht="18" customHeight="1" thickBot="1" x14ac:dyDescent="0.25">
      <c r="A336" s="160" t="s">
        <v>644</v>
      </c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"/>
    </row>
    <row r="337" spans="1:18" ht="13.5" thickBot="1" x14ac:dyDescent="0.25">
      <c r="A337" s="204" t="s">
        <v>5</v>
      </c>
      <c r="B337" s="204"/>
      <c r="C337" s="204"/>
      <c r="D337" s="204" t="s">
        <v>57</v>
      </c>
      <c r="E337" s="204"/>
      <c r="F337" s="204"/>
      <c r="G337" s="204" t="s">
        <v>65</v>
      </c>
      <c r="H337" s="204"/>
      <c r="I337" s="204"/>
      <c r="J337" s="204" t="s">
        <v>62</v>
      </c>
      <c r="K337" s="204"/>
      <c r="L337" s="204"/>
      <c r="M337" s="204" t="s">
        <v>61</v>
      </c>
      <c r="N337" s="204"/>
      <c r="O337" s="204"/>
      <c r="P337" s="205" t="s">
        <v>645</v>
      </c>
      <c r="Q337" s="47" t="s">
        <v>161</v>
      </c>
      <c r="R337" s="1"/>
    </row>
    <row r="338" spans="1:18" ht="13.5" thickBot="1" x14ac:dyDescent="0.25">
      <c r="A338" s="47" t="s">
        <v>216</v>
      </c>
      <c r="B338" s="47" t="s">
        <v>11</v>
      </c>
      <c r="C338" s="47" t="s">
        <v>10</v>
      </c>
      <c r="D338" s="47" t="s">
        <v>216</v>
      </c>
      <c r="E338" s="47" t="s">
        <v>11</v>
      </c>
      <c r="F338" s="47" t="s">
        <v>10</v>
      </c>
      <c r="G338" s="47" t="s">
        <v>216</v>
      </c>
      <c r="H338" s="47" t="s">
        <v>11</v>
      </c>
      <c r="I338" s="47" t="s">
        <v>10</v>
      </c>
      <c r="J338" s="47" t="s">
        <v>216</v>
      </c>
      <c r="K338" s="47" t="s">
        <v>11</v>
      </c>
      <c r="L338" s="47" t="s">
        <v>10</v>
      </c>
      <c r="M338" s="47" t="s">
        <v>216</v>
      </c>
      <c r="N338" s="47" t="s">
        <v>11</v>
      </c>
      <c r="O338" s="47" t="s">
        <v>10</v>
      </c>
      <c r="P338" s="206"/>
      <c r="Q338" s="5" t="s">
        <v>98</v>
      </c>
      <c r="R338" s="1"/>
    </row>
    <row r="339" spans="1:18" ht="13.5" thickBot="1" x14ac:dyDescent="0.25">
      <c r="A339" s="123">
        <v>103</v>
      </c>
      <c r="B339" s="123">
        <v>0</v>
      </c>
      <c r="C339" s="123">
        <v>103</v>
      </c>
      <c r="D339" s="123">
        <v>0</v>
      </c>
      <c r="E339" s="123">
        <v>0</v>
      </c>
      <c r="F339" s="123">
        <v>0</v>
      </c>
      <c r="G339" s="123">
        <v>11</v>
      </c>
      <c r="H339" s="123">
        <v>0</v>
      </c>
      <c r="I339" s="123">
        <v>11</v>
      </c>
      <c r="J339" s="123">
        <v>6</v>
      </c>
      <c r="K339" s="123">
        <v>0</v>
      </c>
      <c r="L339" s="123">
        <v>6</v>
      </c>
      <c r="M339" s="123">
        <v>86</v>
      </c>
      <c r="N339" s="123">
        <v>0</v>
      </c>
      <c r="O339" s="123">
        <v>86</v>
      </c>
      <c r="P339" s="7" t="s">
        <v>163</v>
      </c>
      <c r="Q339" s="124"/>
      <c r="R339" s="1"/>
    </row>
    <row r="340" spans="1:18" ht="13.5" thickBot="1" x14ac:dyDescent="0.25">
      <c r="A340" s="123">
        <v>103</v>
      </c>
      <c r="B340" s="123">
        <v>0</v>
      </c>
      <c r="C340" s="123">
        <v>103</v>
      </c>
      <c r="D340" s="123">
        <v>0</v>
      </c>
      <c r="E340" s="123">
        <v>0</v>
      </c>
      <c r="F340" s="123">
        <v>0</v>
      </c>
      <c r="G340" s="123">
        <v>0</v>
      </c>
      <c r="H340" s="123">
        <v>0</v>
      </c>
      <c r="I340" s="123">
        <v>0</v>
      </c>
      <c r="J340" s="123">
        <v>25</v>
      </c>
      <c r="K340" s="123">
        <v>0</v>
      </c>
      <c r="L340" s="123">
        <v>25</v>
      </c>
      <c r="M340" s="123">
        <v>78</v>
      </c>
      <c r="N340" s="123">
        <v>0</v>
      </c>
      <c r="O340" s="123">
        <v>78</v>
      </c>
      <c r="P340" s="7" t="s">
        <v>162</v>
      </c>
      <c r="Q340" s="124" t="s">
        <v>388</v>
      </c>
      <c r="R340" s="1"/>
    </row>
    <row r="341" spans="1:18" ht="13.5" thickBot="1" x14ac:dyDescent="0.25">
      <c r="A341" s="123">
        <v>206</v>
      </c>
      <c r="B341" s="123">
        <v>0</v>
      </c>
      <c r="C341" s="123">
        <v>206</v>
      </c>
      <c r="D341" s="123">
        <v>0</v>
      </c>
      <c r="E341" s="123">
        <v>0</v>
      </c>
      <c r="F341" s="123">
        <v>0</v>
      </c>
      <c r="G341" s="123">
        <v>11</v>
      </c>
      <c r="H341" s="123">
        <v>0</v>
      </c>
      <c r="I341" s="123">
        <v>11</v>
      </c>
      <c r="J341" s="123">
        <v>31</v>
      </c>
      <c r="K341" s="123">
        <v>0</v>
      </c>
      <c r="L341" s="123">
        <v>31</v>
      </c>
      <c r="M341" s="123">
        <v>164</v>
      </c>
      <c r="N341" s="123">
        <v>0</v>
      </c>
      <c r="O341" s="123">
        <v>164</v>
      </c>
      <c r="P341" s="7" t="s">
        <v>13</v>
      </c>
      <c r="Q341" s="9"/>
      <c r="R341" s="1"/>
    </row>
    <row r="342" spans="1:18" ht="13.5" thickBot="1" x14ac:dyDescent="0.25">
      <c r="A342" s="123">
        <v>42</v>
      </c>
      <c r="B342" s="123">
        <v>0</v>
      </c>
      <c r="C342" s="123">
        <v>42</v>
      </c>
      <c r="D342" s="123">
        <v>0</v>
      </c>
      <c r="E342" s="123">
        <v>0</v>
      </c>
      <c r="F342" s="123">
        <v>0</v>
      </c>
      <c r="G342" s="123">
        <v>11</v>
      </c>
      <c r="H342" s="123">
        <v>0</v>
      </c>
      <c r="I342" s="123">
        <v>11</v>
      </c>
      <c r="J342" s="123">
        <v>5</v>
      </c>
      <c r="K342" s="123">
        <v>0</v>
      </c>
      <c r="L342" s="123">
        <v>5</v>
      </c>
      <c r="M342" s="123">
        <v>26</v>
      </c>
      <c r="N342" s="123">
        <v>0</v>
      </c>
      <c r="O342" s="123">
        <v>26</v>
      </c>
      <c r="P342" s="7" t="s">
        <v>163</v>
      </c>
      <c r="Q342" s="124"/>
      <c r="R342" s="1"/>
    </row>
    <row r="343" spans="1:18" ht="13.5" thickBot="1" x14ac:dyDescent="0.25">
      <c r="A343" s="123">
        <v>40</v>
      </c>
      <c r="B343" s="123">
        <v>0</v>
      </c>
      <c r="C343" s="123">
        <v>40</v>
      </c>
      <c r="D343" s="123">
        <v>1</v>
      </c>
      <c r="E343" s="123">
        <v>0</v>
      </c>
      <c r="F343" s="123">
        <v>1</v>
      </c>
      <c r="G343" s="123">
        <v>0</v>
      </c>
      <c r="H343" s="123">
        <v>0</v>
      </c>
      <c r="I343" s="123">
        <v>0</v>
      </c>
      <c r="J343" s="123">
        <v>9</v>
      </c>
      <c r="K343" s="123">
        <v>0</v>
      </c>
      <c r="L343" s="123">
        <v>9</v>
      </c>
      <c r="M343" s="123">
        <v>30</v>
      </c>
      <c r="N343" s="123">
        <v>0</v>
      </c>
      <c r="O343" s="123">
        <v>30</v>
      </c>
      <c r="P343" s="7" t="s">
        <v>162</v>
      </c>
      <c r="Q343" s="124" t="s">
        <v>390</v>
      </c>
      <c r="R343" s="1"/>
    </row>
    <row r="344" spans="1:18" ht="13.5" thickBot="1" x14ac:dyDescent="0.25">
      <c r="A344" s="123">
        <v>82</v>
      </c>
      <c r="B344" s="123">
        <v>0</v>
      </c>
      <c r="C344" s="123">
        <v>82</v>
      </c>
      <c r="D344" s="123">
        <v>1</v>
      </c>
      <c r="E344" s="123">
        <v>0</v>
      </c>
      <c r="F344" s="123">
        <v>1</v>
      </c>
      <c r="G344" s="123">
        <v>11</v>
      </c>
      <c r="H344" s="123">
        <v>0</v>
      </c>
      <c r="I344" s="123">
        <v>11</v>
      </c>
      <c r="J344" s="123">
        <v>14</v>
      </c>
      <c r="K344" s="123">
        <v>0</v>
      </c>
      <c r="L344" s="123">
        <v>14</v>
      </c>
      <c r="M344" s="123">
        <v>56</v>
      </c>
      <c r="N344" s="123">
        <v>0</v>
      </c>
      <c r="O344" s="123">
        <v>56</v>
      </c>
      <c r="P344" s="7" t="s">
        <v>13</v>
      </c>
      <c r="Q344" s="9"/>
      <c r="R344" s="1"/>
    </row>
    <row r="345" spans="1:18" ht="13.5" thickBot="1" x14ac:dyDescent="0.25">
      <c r="A345" s="123">
        <v>38</v>
      </c>
      <c r="B345" s="123">
        <v>0</v>
      </c>
      <c r="C345" s="123">
        <v>38</v>
      </c>
      <c r="D345" s="123">
        <v>0</v>
      </c>
      <c r="E345" s="123">
        <v>0</v>
      </c>
      <c r="F345" s="123">
        <v>0</v>
      </c>
      <c r="G345" s="123">
        <v>12</v>
      </c>
      <c r="H345" s="123">
        <v>0</v>
      </c>
      <c r="I345" s="123">
        <v>12</v>
      </c>
      <c r="J345" s="123">
        <v>2</v>
      </c>
      <c r="K345" s="123">
        <v>0</v>
      </c>
      <c r="L345" s="123">
        <v>2</v>
      </c>
      <c r="M345" s="123">
        <v>24</v>
      </c>
      <c r="N345" s="123">
        <v>0</v>
      </c>
      <c r="O345" s="123">
        <v>24</v>
      </c>
      <c r="P345" s="7" t="s">
        <v>163</v>
      </c>
      <c r="Q345" s="124"/>
      <c r="R345" s="1"/>
    </row>
    <row r="346" spans="1:18" ht="13.5" thickBot="1" x14ac:dyDescent="0.25">
      <c r="A346" s="123">
        <v>65</v>
      </c>
      <c r="B346" s="123">
        <v>0</v>
      </c>
      <c r="C346" s="123">
        <v>65</v>
      </c>
      <c r="D346" s="123">
        <v>0</v>
      </c>
      <c r="E346" s="123">
        <v>0</v>
      </c>
      <c r="F346" s="123">
        <v>0</v>
      </c>
      <c r="G346" s="123">
        <v>0</v>
      </c>
      <c r="H346" s="123">
        <v>0</v>
      </c>
      <c r="I346" s="123">
        <v>0</v>
      </c>
      <c r="J346" s="123">
        <v>20</v>
      </c>
      <c r="K346" s="123">
        <v>0</v>
      </c>
      <c r="L346" s="123">
        <v>20</v>
      </c>
      <c r="M346" s="123">
        <v>45</v>
      </c>
      <c r="N346" s="123">
        <v>0</v>
      </c>
      <c r="O346" s="123">
        <v>45</v>
      </c>
      <c r="P346" s="7" t="s">
        <v>162</v>
      </c>
      <c r="Q346" s="124" t="s">
        <v>391</v>
      </c>
      <c r="R346" s="1"/>
    </row>
    <row r="347" spans="1:18" ht="13.5" thickBot="1" x14ac:dyDescent="0.25">
      <c r="A347" s="123">
        <v>103</v>
      </c>
      <c r="B347" s="123">
        <v>0</v>
      </c>
      <c r="C347" s="123">
        <v>103</v>
      </c>
      <c r="D347" s="123">
        <v>0</v>
      </c>
      <c r="E347" s="123">
        <v>0</v>
      </c>
      <c r="F347" s="123">
        <v>0</v>
      </c>
      <c r="G347" s="123">
        <v>12</v>
      </c>
      <c r="H347" s="123">
        <v>0</v>
      </c>
      <c r="I347" s="123">
        <v>12</v>
      </c>
      <c r="J347" s="123">
        <v>22</v>
      </c>
      <c r="K347" s="123">
        <v>0</v>
      </c>
      <c r="L347" s="123">
        <v>22</v>
      </c>
      <c r="M347" s="123">
        <v>69</v>
      </c>
      <c r="N347" s="123">
        <v>0</v>
      </c>
      <c r="O347" s="123">
        <v>69</v>
      </c>
      <c r="P347" s="7" t="s">
        <v>13</v>
      </c>
      <c r="Q347" s="9"/>
      <c r="R347" s="1"/>
    </row>
    <row r="348" spans="1:18" ht="13.5" thickBot="1" x14ac:dyDescent="0.25">
      <c r="A348" s="123">
        <v>1</v>
      </c>
      <c r="B348" s="123">
        <v>0</v>
      </c>
      <c r="C348" s="123">
        <v>1</v>
      </c>
      <c r="D348" s="123">
        <v>0</v>
      </c>
      <c r="E348" s="123">
        <v>0</v>
      </c>
      <c r="F348" s="123">
        <v>0</v>
      </c>
      <c r="G348" s="123">
        <v>0</v>
      </c>
      <c r="H348" s="123">
        <v>0</v>
      </c>
      <c r="I348" s="123">
        <v>0</v>
      </c>
      <c r="J348" s="123">
        <v>0</v>
      </c>
      <c r="K348" s="123">
        <v>0</v>
      </c>
      <c r="L348" s="123">
        <v>0</v>
      </c>
      <c r="M348" s="123">
        <v>1</v>
      </c>
      <c r="N348" s="123">
        <v>0</v>
      </c>
      <c r="O348" s="123">
        <v>1</v>
      </c>
      <c r="P348" s="7" t="s">
        <v>163</v>
      </c>
      <c r="Q348" s="124"/>
      <c r="R348" s="1"/>
    </row>
    <row r="349" spans="1:18" ht="13.5" thickBot="1" x14ac:dyDescent="0.25">
      <c r="A349" s="123">
        <v>41</v>
      </c>
      <c r="B349" s="123">
        <v>0</v>
      </c>
      <c r="C349" s="123">
        <v>41</v>
      </c>
      <c r="D349" s="123">
        <v>0</v>
      </c>
      <c r="E349" s="123">
        <v>0</v>
      </c>
      <c r="F349" s="123">
        <v>0</v>
      </c>
      <c r="G349" s="123">
        <v>0</v>
      </c>
      <c r="H349" s="123">
        <v>0</v>
      </c>
      <c r="I349" s="123">
        <v>0</v>
      </c>
      <c r="J349" s="123">
        <v>32</v>
      </c>
      <c r="K349" s="123">
        <v>0</v>
      </c>
      <c r="L349" s="123">
        <v>32</v>
      </c>
      <c r="M349" s="123">
        <v>9</v>
      </c>
      <c r="N349" s="123">
        <v>0</v>
      </c>
      <c r="O349" s="123">
        <v>9</v>
      </c>
      <c r="P349" s="7" t="s">
        <v>162</v>
      </c>
      <c r="Q349" s="124" t="s">
        <v>97</v>
      </c>
      <c r="R349" s="1"/>
    </row>
    <row r="350" spans="1:18" ht="13.5" thickBot="1" x14ac:dyDescent="0.25">
      <c r="A350" s="123">
        <v>42</v>
      </c>
      <c r="B350" s="123">
        <v>0</v>
      </c>
      <c r="C350" s="123">
        <v>42</v>
      </c>
      <c r="D350" s="123">
        <v>0</v>
      </c>
      <c r="E350" s="123">
        <v>0</v>
      </c>
      <c r="F350" s="123">
        <v>0</v>
      </c>
      <c r="G350" s="123">
        <v>0</v>
      </c>
      <c r="H350" s="123">
        <v>0</v>
      </c>
      <c r="I350" s="123">
        <v>0</v>
      </c>
      <c r="J350" s="123">
        <v>32</v>
      </c>
      <c r="K350" s="123">
        <v>0</v>
      </c>
      <c r="L350" s="123">
        <v>32</v>
      </c>
      <c r="M350" s="123">
        <v>10</v>
      </c>
      <c r="N350" s="123">
        <v>0</v>
      </c>
      <c r="O350" s="123">
        <v>10</v>
      </c>
      <c r="P350" s="7" t="s">
        <v>13</v>
      </c>
      <c r="Q350" s="9"/>
      <c r="R350" s="1"/>
    </row>
    <row r="351" spans="1:18" ht="13.5" thickBot="1" x14ac:dyDescent="0.25">
      <c r="A351" s="123">
        <v>53</v>
      </c>
      <c r="B351" s="123">
        <v>0</v>
      </c>
      <c r="C351" s="123">
        <v>53</v>
      </c>
      <c r="D351" s="123">
        <v>0</v>
      </c>
      <c r="E351" s="123">
        <v>0</v>
      </c>
      <c r="F351" s="123">
        <v>0</v>
      </c>
      <c r="G351" s="123">
        <v>1</v>
      </c>
      <c r="H351" s="123">
        <v>0</v>
      </c>
      <c r="I351" s="123">
        <v>1</v>
      </c>
      <c r="J351" s="123">
        <v>6</v>
      </c>
      <c r="K351" s="123">
        <v>0</v>
      </c>
      <c r="L351" s="123">
        <v>6</v>
      </c>
      <c r="M351" s="123">
        <v>46</v>
      </c>
      <c r="N351" s="123">
        <v>0</v>
      </c>
      <c r="O351" s="123">
        <v>46</v>
      </c>
      <c r="P351" s="7" t="s">
        <v>163</v>
      </c>
      <c r="Q351" s="124"/>
      <c r="R351" s="1"/>
    </row>
    <row r="352" spans="1:18" ht="13.5" thickBot="1" x14ac:dyDescent="0.25">
      <c r="A352" s="123">
        <v>97</v>
      </c>
      <c r="B352" s="123">
        <v>0</v>
      </c>
      <c r="C352" s="123">
        <v>97</v>
      </c>
      <c r="D352" s="123">
        <v>0</v>
      </c>
      <c r="E352" s="123">
        <v>0</v>
      </c>
      <c r="F352" s="123">
        <v>0</v>
      </c>
      <c r="G352" s="123">
        <v>0</v>
      </c>
      <c r="H352" s="123">
        <v>0</v>
      </c>
      <c r="I352" s="123">
        <v>0</v>
      </c>
      <c r="J352" s="123">
        <v>16</v>
      </c>
      <c r="K352" s="123">
        <v>0</v>
      </c>
      <c r="L352" s="123">
        <v>16</v>
      </c>
      <c r="M352" s="123">
        <v>81</v>
      </c>
      <c r="N352" s="123">
        <v>0</v>
      </c>
      <c r="O352" s="123">
        <v>81</v>
      </c>
      <c r="P352" s="7" t="s">
        <v>162</v>
      </c>
      <c r="Q352" s="124" t="s">
        <v>359</v>
      </c>
      <c r="R352" s="1"/>
    </row>
    <row r="353" spans="1:18" ht="13.5" thickBot="1" x14ac:dyDescent="0.25">
      <c r="A353" s="123">
        <v>150</v>
      </c>
      <c r="B353" s="123">
        <v>0</v>
      </c>
      <c r="C353" s="123">
        <v>150</v>
      </c>
      <c r="D353" s="123">
        <v>0</v>
      </c>
      <c r="E353" s="123">
        <v>0</v>
      </c>
      <c r="F353" s="123">
        <v>0</v>
      </c>
      <c r="G353" s="123">
        <v>1</v>
      </c>
      <c r="H353" s="123">
        <v>0</v>
      </c>
      <c r="I353" s="123">
        <v>1</v>
      </c>
      <c r="J353" s="123">
        <v>22</v>
      </c>
      <c r="K353" s="123">
        <v>0</v>
      </c>
      <c r="L353" s="123">
        <v>22</v>
      </c>
      <c r="M353" s="123">
        <v>127</v>
      </c>
      <c r="N353" s="123">
        <v>0</v>
      </c>
      <c r="O353" s="123">
        <v>127</v>
      </c>
      <c r="P353" s="7" t="s">
        <v>13</v>
      </c>
      <c r="Q353" s="9"/>
      <c r="R353" s="1"/>
    </row>
    <row r="354" spans="1:18" ht="13.5" thickBot="1" x14ac:dyDescent="0.25">
      <c r="A354" s="123">
        <v>18</v>
      </c>
      <c r="B354" s="123">
        <v>0</v>
      </c>
      <c r="C354" s="123">
        <v>18</v>
      </c>
      <c r="D354" s="123">
        <v>0</v>
      </c>
      <c r="E354" s="123">
        <v>0</v>
      </c>
      <c r="F354" s="123">
        <v>0</v>
      </c>
      <c r="G354" s="123">
        <v>3</v>
      </c>
      <c r="H354" s="123">
        <v>0</v>
      </c>
      <c r="I354" s="123">
        <v>3</v>
      </c>
      <c r="J354" s="123">
        <v>2</v>
      </c>
      <c r="K354" s="123">
        <v>0</v>
      </c>
      <c r="L354" s="123">
        <v>2</v>
      </c>
      <c r="M354" s="123">
        <v>13</v>
      </c>
      <c r="N354" s="123">
        <v>0</v>
      </c>
      <c r="O354" s="123">
        <v>13</v>
      </c>
      <c r="P354" s="7" t="s">
        <v>163</v>
      </c>
      <c r="Q354" s="124"/>
      <c r="R354" s="1"/>
    </row>
    <row r="355" spans="1:18" ht="13.5" thickBot="1" x14ac:dyDescent="0.25">
      <c r="A355" s="123">
        <v>12</v>
      </c>
      <c r="B355" s="123">
        <v>0</v>
      </c>
      <c r="C355" s="123">
        <v>12</v>
      </c>
      <c r="D355" s="123">
        <v>0</v>
      </c>
      <c r="E355" s="123">
        <v>0</v>
      </c>
      <c r="F355" s="123">
        <v>0</v>
      </c>
      <c r="G355" s="123">
        <v>0</v>
      </c>
      <c r="H355" s="123">
        <v>0</v>
      </c>
      <c r="I355" s="123">
        <v>0</v>
      </c>
      <c r="J355" s="123">
        <v>5</v>
      </c>
      <c r="K355" s="123">
        <v>0</v>
      </c>
      <c r="L355" s="123">
        <v>5</v>
      </c>
      <c r="M355" s="123">
        <v>7</v>
      </c>
      <c r="N355" s="123">
        <v>0</v>
      </c>
      <c r="O355" s="123">
        <v>7</v>
      </c>
      <c r="P355" s="7" t="s">
        <v>162</v>
      </c>
      <c r="Q355" s="124" t="s">
        <v>539</v>
      </c>
      <c r="R355" s="1"/>
    </row>
    <row r="356" spans="1:18" ht="13.5" thickBot="1" x14ac:dyDescent="0.25">
      <c r="A356" s="123">
        <v>30</v>
      </c>
      <c r="B356" s="123">
        <v>0</v>
      </c>
      <c r="C356" s="123">
        <v>30</v>
      </c>
      <c r="D356" s="123">
        <v>0</v>
      </c>
      <c r="E356" s="123">
        <v>0</v>
      </c>
      <c r="F356" s="123">
        <v>0</v>
      </c>
      <c r="G356" s="123">
        <v>3</v>
      </c>
      <c r="H356" s="123">
        <v>0</v>
      </c>
      <c r="I356" s="123">
        <v>3</v>
      </c>
      <c r="J356" s="123">
        <v>7</v>
      </c>
      <c r="K356" s="123">
        <v>0</v>
      </c>
      <c r="L356" s="123">
        <v>7</v>
      </c>
      <c r="M356" s="123">
        <v>20</v>
      </c>
      <c r="N356" s="123">
        <v>0</v>
      </c>
      <c r="O356" s="123">
        <v>20</v>
      </c>
      <c r="P356" s="7" t="s">
        <v>13</v>
      </c>
      <c r="Q356" s="9"/>
      <c r="R356" s="1"/>
    </row>
    <row r="357" spans="1:18" ht="13.5" thickBot="1" x14ac:dyDescent="0.25">
      <c r="A357" s="123">
        <v>1</v>
      </c>
      <c r="B357" s="123">
        <v>0</v>
      </c>
      <c r="C357" s="123">
        <v>1</v>
      </c>
      <c r="D357" s="123">
        <v>0</v>
      </c>
      <c r="E357" s="123">
        <v>0</v>
      </c>
      <c r="F357" s="123">
        <v>0</v>
      </c>
      <c r="G357" s="123">
        <v>0</v>
      </c>
      <c r="H357" s="123">
        <v>0</v>
      </c>
      <c r="I357" s="123">
        <v>0</v>
      </c>
      <c r="J357" s="123">
        <v>1</v>
      </c>
      <c r="K357" s="123">
        <v>0</v>
      </c>
      <c r="L357" s="123">
        <v>1</v>
      </c>
      <c r="M357" s="123">
        <v>0</v>
      </c>
      <c r="N357" s="123">
        <v>0</v>
      </c>
      <c r="O357" s="123">
        <v>0</v>
      </c>
      <c r="P357" s="7" t="s">
        <v>163</v>
      </c>
      <c r="Q357" s="124"/>
      <c r="R357" s="1"/>
    </row>
    <row r="358" spans="1:18" ht="13.5" thickBot="1" x14ac:dyDescent="0.25">
      <c r="A358" s="123">
        <v>42</v>
      </c>
      <c r="B358" s="123">
        <v>0</v>
      </c>
      <c r="C358" s="123">
        <v>42</v>
      </c>
      <c r="D358" s="123">
        <v>21</v>
      </c>
      <c r="E358" s="123">
        <v>0</v>
      </c>
      <c r="F358" s="123">
        <v>21</v>
      </c>
      <c r="G358" s="123">
        <v>0</v>
      </c>
      <c r="H358" s="123">
        <v>0</v>
      </c>
      <c r="I358" s="123">
        <v>0</v>
      </c>
      <c r="J358" s="123">
        <v>15</v>
      </c>
      <c r="K358" s="123">
        <v>0</v>
      </c>
      <c r="L358" s="123">
        <v>15</v>
      </c>
      <c r="M358" s="123">
        <v>6</v>
      </c>
      <c r="N358" s="123">
        <v>0</v>
      </c>
      <c r="O358" s="123">
        <v>6</v>
      </c>
      <c r="P358" s="7" t="s">
        <v>162</v>
      </c>
      <c r="Q358" s="124" t="s">
        <v>99</v>
      </c>
      <c r="R358" s="1"/>
    </row>
    <row r="359" spans="1:18" ht="13.5" thickBot="1" x14ac:dyDescent="0.25">
      <c r="A359" s="123">
        <v>43</v>
      </c>
      <c r="B359" s="123">
        <v>0</v>
      </c>
      <c r="C359" s="123">
        <v>43</v>
      </c>
      <c r="D359" s="123">
        <v>21</v>
      </c>
      <c r="E359" s="123">
        <v>0</v>
      </c>
      <c r="F359" s="123">
        <v>21</v>
      </c>
      <c r="G359" s="123">
        <v>0</v>
      </c>
      <c r="H359" s="123">
        <v>0</v>
      </c>
      <c r="I359" s="123">
        <v>0</v>
      </c>
      <c r="J359" s="123">
        <v>16</v>
      </c>
      <c r="K359" s="123">
        <v>0</v>
      </c>
      <c r="L359" s="123">
        <v>16</v>
      </c>
      <c r="M359" s="123">
        <v>6</v>
      </c>
      <c r="N359" s="123">
        <v>0</v>
      </c>
      <c r="O359" s="123">
        <v>6</v>
      </c>
      <c r="P359" s="7" t="s">
        <v>13</v>
      </c>
      <c r="Q359" s="9"/>
      <c r="R359" s="1"/>
    </row>
    <row r="360" spans="1:18" ht="13.5" thickBot="1" x14ac:dyDescent="0.25">
      <c r="A360" s="123">
        <v>0</v>
      </c>
      <c r="B360" s="123">
        <v>0</v>
      </c>
      <c r="C360" s="123">
        <v>0</v>
      </c>
      <c r="D360" s="123">
        <v>0</v>
      </c>
      <c r="E360" s="123">
        <v>0</v>
      </c>
      <c r="F360" s="123">
        <v>0</v>
      </c>
      <c r="G360" s="123">
        <v>0</v>
      </c>
      <c r="H360" s="123">
        <v>0</v>
      </c>
      <c r="I360" s="123">
        <v>0</v>
      </c>
      <c r="J360" s="123">
        <v>0</v>
      </c>
      <c r="K360" s="123">
        <v>0</v>
      </c>
      <c r="L360" s="123">
        <v>0</v>
      </c>
      <c r="M360" s="123">
        <v>0</v>
      </c>
      <c r="N360" s="123">
        <v>0</v>
      </c>
      <c r="O360" s="123">
        <v>0</v>
      </c>
      <c r="P360" s="7" t="s">
        <v>163</v>
      </c>
      <c r="Q360" s="124"/>
      <c r="R360" s="1"/>
    </row>
    <row r="361" spans="1:18" ht="13.5" thickBot="1" x14ac:dyDescent="0.25">
      <c r="A361" s="123">
        <v>3</v>
      </c>
      <c r="B361" s="123">
        <v>0</v>
      </c>
      <c r="C361" s="123">
        <v>3</v>
      </c>
      <c r="D361" s="123">
        <v>0</v>
      </c>
      <c r="E361" s="123">
        <v>0</v>
      </c>
      <c r="F361" s="123">
        <v>0</v>
      </c>
      <c r="G361" s="123">
        <v>0</v>
      </c>
      <c r="H361" s="123">
        <v>0</v>
      </c>
      <c r="I361" s="123">
        <v>0</v>
      </c>
      <c r="J361" s="123">
        <v>3</v>
      </c>
      <c r="K361" s="123">
        <v>0</v>
      </c>
      <c r="L361" s="123">
        <v>3</v>
      </c>
      <c r="M361" s="123">
        <v>0</v>
      </c>
      <c r="N361" s="123">
        <v>0</v>
      </c>
      <c r="O361" s="123">
        <v>0</v>
      </c>
      <c r="P361" s="7" t="s">
        <v>162</v>
      </c>
      <c r="Q361" s="124" t="s">
        <v>630</v>
      </c>
      <c r="R361" s="1"/>
    </row>
    <row r="362" spans="1:18" ht="13.5" thickBot="1" x14ac:dyDescent="0.25">
      <c r="A362" s="123">
        <v>3</v>
      </c>
      <c r="B362" s="123">
        <v>0</v>
      </c>
      <c r="C362" s="123">
        <v>3</v>
      </c>
      <c r="D362" s="123">
        <v>0</v>
      </c>
      <c r="E362" s="123">
        <v>0</v>
      </c>
      <c r="F362" s="123">
        <v>0</v>
      </c>
      <c r="G362" s="123">
        <v>0</v>
      </c>
      <c r="H362" s="123">
        <v>0</v>
      </c>
      <c r="I362" s="123">
        <v>0</v>
      </c>
      <c r="J362" s="123">
        <v>3</v>
      </c>
      <c r="K362" s="123">
        <v>0</v>
      </c>
      <c r="L362" s="123">
        <v>3</v>
      </c>
      <c r="M362" s="123">
        <v>0</v>
      </c>
      <c r="N362" s="123">
        <v>0</v>
      </c>
      <c r="O362" s="123">
        <v>0</v>
      </c>
      <c r="P362" s="7" t="s">
        <v>13</v>
      </c>
      <c r="Q362" s="9"/>
      <c r="R362" s="1"/>
    </row>
    <row r="363" spans="1:18" ht="13.5" thickBot="1" x14ac:dyDescent="0.25">
      <c r="A363" s="123">
        <v>0</v>
      </c>
      <c r="B363" s="123">
        <v>0</v>
      </c>
      <c r="C363" s="123">
        <v>0</v>
      </c>
      <c r="D363" s="123">
        <v>0</v>
      </c>
      <c r="E363" s="123">
        <v>0</v>
      </c>
      <c r="F363" s="123">
        <v>0</v>
      </c>
      <c r="G363" s="123">
        <v>0</v>
      </c>
      <c r="H363" s="123">
        <v>0</v>
      </c>
      <c r="I363" s="123">
        <v>0</v>
      </c>
      <c r="J363" s="123">
        <v>0</v>
      </c>
      <c r="K363" s="123">
        <v>0</v>
      </c>
      <c r="L363" s="123">
        <v>0</v>
      </c>
      <c r="M363" s="123">
        <v>0</v>
      </c>
      <c r="N363" s="123">
        <v>0</v>
      </c>
      <c r="O363" s="123">
        <v>0</v>
      </c>
      <c r="P363" s="7" t="s">
        <v>163</v>
      </c>
      <c r="Q363" s="124"/>
      <c r="R363" s="1"/>
    </row>
    <row r="364" spans="1:18" ht="13.5" thickBot="1" x14ac:dyDescent="0.25">
      <c r="A364" s="123">
        <v>2</v>
      </c>
      <c r="B364" s="123">
        <v>0</v>
      </c>
      <c r="C364" s="123">
        <v>2</v>
      </c>
      <c r="D364" s="123">
        <v>0</v>
      </c>
      <c r="E364" s="123">
        <v>0</v>
      </c>
      <c r="F364" s="123">
        <v>0</v>
      </c>
      <c r="G364" s="123">
        <v>0</v>
      </c>
      <c r="H364" s="123">
        <v>0</v>
      </c>
      <c r="I364" s="123">
        <v>0</v>
      </c>
      <c r="J364" s="123">
        <v>2</v>
      </c>
      <c r="K364" s="123">
        <v>0</v>
      </c>
      <c r="L364" s="123">
        <v>2</v>
      </c>
      <c r="M364" s="123">
        <v>0</v>
      </c>
      <c r="N364" s="123">
        <v>0</v>
      </c>
      <c r="O364" s="123">
        <v>0</v>
      </c>
      <c r="P364" s="7" t="s">
        <v>162</v>
      </c>
      <c r="Q364" s="124" t="s">
        <v>631</v>
      </c>
      <c r="R364" s="1"/>
    </row>
    <row r="365" spans="1:18" ht="13.5" thickBot="1" x14ac:dyDescent="0.25">
      <c r="A365" s="123">
        <v>2</v>
      </c>
      <c r="B365" s="123">
        <v>0</v>
      </c>
      <c r="C365" s="123">
        <v>2</v>
      </c>
      <c r="D365" s="123">
        <v>0</v>
      </c>
      <c r="E365" s="123">
        <v>0</v>
      </c>
      <c r="F365" s="123">
        <v>0</v>
      </c>
      <c r="G365" s="123">
        <v>0</v>
      </c>
      <c r="H365" s="123">
        <v>0</v>
      </c>
      <c r="I365" s="123">
        <v>0</v>
      </c>
      <c r="J365" s="123">
        <v>2</v>
      </c>
      <c r="K365" s="123">
        <v>0</v>
      </c>
      <c r="L365" s="123">
        <v>2</v>
      </c>
      <c r="M365" s="123">
        <v>0</v>
      </c>
      <c r="N365" s="123">
        <v>0</v>
      </c>
      <c r="O365" s="123">
        <v>0</v>
      </c>
      <c r="P365" s="7" t="s">
        <v>13</v>
      </c>
      <c r="Q365" s="9"/>
      <c r="R365" s="1"/>
    </row>
    <row r="366" spans="1:18" ht="13.5" thickBot="1" x14ac:dyDescent="0.25">
      <c r="A366" s="123">
        <v>34</v>
      </c>
      <c r="B366" s="123">
        <v>0</v>
      </c>
      <c r="C366" s="123">
        <v>34</v>
      </c>
      <c r="D366" s="123">
        <v>0</v>
      </c>
      <c r="E366" s="123">
        <v>0</v>
      </c>
      <c r="F366" s="123">
        <v>0</v>
      </c>
      <c r="G366" s="123">
        <v>1</v>
      </c>
      <c r="H366" s="123">
        <v>0</v>
      </c>
      <c r="I366" s="123">
        <v>1</v>
      </c>
      <c r="J366" s="123">
        <v>8</v>
      </c>
      <c r="K366" s="123">
        <v>0</v>
      </c>
      <c r="L366" s="123">
        <v>8</v>
      </c>
      <c r="M366" s="123">
        <v>25</v>
      </c>
      <c r="N366" s="123">
        <v>0</v>
      </c>
      <c r="O366" s="123">
        <v>25</v>
      </c>
      <c r="P366" s="7" t="s">
        <v>163</v>
      </c>
      <c r="Q366" s="124"/>
      <c r="R366" s="1"/>
    </row>
    <row r="367" spans="1:18" ht="13.5" thickBot="1" x14ac:dyDescent="0.25">
      <c r="A367" s="123">
        <v>155</v>
      </c>
      <c r="B367" s="123">
        <v>33</v>
      </c>
      <c r="C367" s="123">
        <v>122</v>
      </c>
      <c r="D367" s="123">
        <v>0</v>
      </c>
      <c r="E367" s="123">
        <v>0</v>
      </c>
      <c r="F367" s="123">
        <v>0</v>
      </c>
      <c r="G367" s="123">
        <v>33</v>
      </c>
      <c r="H367" s="123">
        <v>33</v>
      </c>
      <c r="I367" s="123">
        <v>0</v>
      </c>
      <c r="J367" s="123">
        <v>108</v>
      </c>
      <c r="K367" s="123">
        <v>0</v>
      </c>
      <c r="L367" s="123">
        <v>108</v>
      </c>
      <c r="M367" s="123">
        <v>14</v>
      </c>
      <c r="N367" s="123">
        <v>0</v>
      </c>
      <c r="O367" s="123">
        <v>14</v>
      </c>
      <c r="P367" s="7" t="s">
        <v>162</v>
      </c>
      <c r="Q367" s="124" t="s">
        <v>632</v>
      </c>
      <c r="R367" s="1"/>
    </row>
    <row r="368" spans="1:18" ht="13.5" thickBot="1" x14ac:dyDescent="0.25">
      <c r="A368" s="123">
        <v>189</v>
      </c>
      <c r="B368" s="123">
        <v>33</v>
      </c>
      <c r="C368" s="123">
        <v>156</v>
      </c>
      <c r="D368" s="123">
        <v>0</v>
      </c>
      <c r="E368" s="123">
        <v>0</v>
      </c>
      <c r="F368" s="123">
        <v>0</v>
      </c>
      <c r="G368" s="123">
        <v>34</v>
      </c>
      <c r="H368" s="123">
        <v>33</v>
      </c>
      <c r="I368" s="123">
        <v>1</v>
      </c>
      <c r="J368" s="123">
        <v>116</v>
      </c>
      <c r="K368" s="123">
        <v>0</v>
      </c>
      <c r="L368" s="123">
        <v>116</v>
      </c>
      <c r="M368" s="123">
        <v>39</v>
      </c>
      <c r="N368" s="123">
        <v>0</v>
      </c>
      <c r="O368" s="123">
        <v>39</v>
      </c>
      <c r="P368" s="7" t="s">
        <v>13</v>
      </c>
      <c r="Q368" s="9"/>
      <c r="R368" s="1"/>
    </row>
    <row r="369" spans="1:18" ht="13.5" thickBot="1" x14ac:dyDescent="0.25">
      <c r="A369" s="123">
        <v>290</v>
      </c>
      <c r="B369" s="123">
        <v>0</v>
      </c>
      <c r="C369" s="123">
        <v>290</v>
      </c>
      <c r="D369" s="123">
        <v>0</v>
      </c>
      <c r="E369" s="123">
        <v>0</v>
      </c>
      <c r="F369" s="123">
        <v>0</v>
      </c>
      <c r="G369" s="123">
        <v>39</v>
      </c>
      <c r="H369" s="123">
        <v>0</v>
      </c>
      <c r="I369" s="123">
        <v>39</v>
      </c>
      <c r="J369" s="123">
        <v>30</v>
      </c>
      <c r="K369" s="123">
        <v>0</v>
      </c>
      <c r="L369" s="123">
        <v>30</v>
      </c>
      <c r="M369" s="123">
        <v>221</v>
      </c>
      <c r="N369" s="123">
        <v>0</v>
      </c>
      <c r="O369" s="123">
        <v>221</v>
      </c>
      <c r="P369" s="7" t="s">
        <v>163</v>
      </c>
      <c r="Q369" s="3"/>
      <c r="R369" s="1"/>
    </row>
    <row r="370" spans="1:18" ht="13.5" thickBot="1" x14ac:dyDescent="0.25">
      <c r="A370" s="123">
        <v>560</v>
      </c>
      <c r="B370" s="123">
        <v>33</v>
      </c>
      <c r="C370" s="123">
        <v>527</v>
      </c>
      <c r="D370" s="123">
        <v>22</v>
      </c>
      <c r="E370" s="123">
        <v>0</v>
      </c>
      <c r="F370" s="123">
        <v>22</v>
      </c>
      <c r="G370" s="123">
        <v>33</v>
      </c>
      <c r="H370" s="123">
        <v>33</v>
      </c>
      <c r="I370" s="123">
        <v>0</v>
      </c>
      <c r="J370" s="123">
        <v>235</v>
      </c>
      <c r="K370" s="123">
        <v>0</v>
      </c>
      <c r="L370" s="123">
        <v>235</v>
      </c>
      <c r="M370" s="123">
        <v>270</v>
      </c>
      <c r="N370" s="123">
        <v>0</v>
      </c>
      <c r="O370" s="123">
        <v>270</v>
      </c>
      <c r="P370" s="7" t="s">
        <v>162</v>
      </c>
      <c r="Q370" s="11" t="s">
        <v>211</v>
      </c>
      <c r="R370" s="1"/>
    </row>
    <row r="371" spans="1:18" ht="13.5" thickBot="1" x14ac:dyDescent="0.25">
      <c r="A371" s="123">
        <v>850</v>
      </c>
      <c r="B371" s="123">
        <v>33</v>
      </c>
      <c r="C371" s="123">
        <v>817</v>
      </c>
      <c r="D371" s="123">
        <v>22</v>
      </c>
      <c r="E371" s="123">
        <v>0</v>
      </c>
      <c r="F371" s="123">
        <v>22</v>
      </c>
      <c r="G371" s="123">
        <v>72</v>
      </c>
      <c r="H371" s="123">
        <v>33</v>
      </c>
      <c r="I371" s="123">
        <v>39</v>
      </c>
      <c r="J371" s="123">
        <v>265</v>
      </c>
      <c r="K371" s="123">
        <v>0</v>
      </c>
      <c r="L371" s="123">
        <v>265</v>
      </c>
      <c r="M371" s="123">
        <v>491</v>
      </c>
      <c r="N371" s="123">
        <v>0</v>
      </c>
      <c r="O371" s="123">
        <v>491</v>
      </c>
      <c r="P371" s="7" t="s">
        <v>13</v>
      </c>
      <c r="Q371" s="5"/>
      <c r="R371" s="1"/>
    </row>
    <row r="372" spans="1:18" ht="18" customHeight="1" x14ac:dyDescent="0.2">
      <c r="A372" s="207"/>
      <c r="B372" s="207"/>
      <c r="C372" s="207"/>
      <c r="D372" s="207"/>
      <c r="E372" s="207"/>
      <c r="F372" s="207"/>
      <c r="G372" s="207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1"/>
    </row>
    <row r="373" spans="1:18" ht="18" customHeight="1" x14ac:dyDescent="0.2">
      <c r="A373" s="159" t="s">
        <v>643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"/>
    </row>
    <row r="374" spans="1:18" ht="18" customHeight="1" thickBot="1" x14ac:dyDescent="0.25">
      <c r="A374" s="160" t="s">
        <v>644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"/>
    </row>
    <row r="375" spans="1:18" ht="13.5" thickBot="1" x14ac:dyDescent="0.25">
      <c r="A375" s="204" t="s">
        <v>5</v>
      </c>
      <c r="B375" s="204"/>
      <c r="C375" s="204"/>
      <c r="D375" s="204" t="s">
        <v>57</v>
      </c>
      <c r="E375" s="204"/>
      <c r="F375" s="204"/>
      <c r="G375" s="204" t="s">
        <v>65</v>
      </c>
      <c r="H375" s="204"/>
      <c r="I375" s="204"/>
      <c r="J375" s="204" t="s">
        <v>62</v>
      </c>
      <c r="K375" s="204"/>
      <c r="L375" s="204"/>
      <c r="M375" s="204" t="s">
        <v>61</v>
      </c>
      <c r="N375" s="204"/>
      <c r="O375" s="204"/>
      <c r="P375" s="205" t="s">
        <v>645</v>
      </c>
      <c r="Q375" s="47" t="s">
        <v>161</v>
      </c>
      <c r="R375" s="1"/>
    </row>
    <row r="376" spans="1:18" ht="13.5" thickBot="1" x14ac:dyDescent="0.25">
      <c r="A376" s="47" t="s">
        <v>216</v>
      </c>
      <c r="B376" s="47" t="s">
        <v>11</v>
      </c>
      <c r="C376" s="47" t="s">
        <v>10</v>
      </c>
      <c r="D376" s="47" t="s">
        <v>216</v>
      </c>
      <c r="E376" s="47" t="s">
        <v>11</v>
      </c>
      <c r="F376" s="47" t="s">
        <v>10</v>
      </c>
      <c r="G376" s="47" t="s">
        <v>216</v>
      </c>
      <c r="H376" s="47" t="s">
        <v>11</v>
      </c>
      <c r="I376" s="47" t="s">
        <v>10</v>
      </c>
      <c r="J376" s="47" t="s">
        <v>216</v>
      </c>
      <c r="K376" s="47" t="s">
        <v>11</v>
      </c>
      <c r="L376" s="47" t="s">
        <v>10</v>
      </c>
      <c r="M376" s="47" t="s">
        <v>216</v>
      </c>
      <c r="N376" s="47" t="s">
        <v>11</v>
      </c>
      <c r="O376" s="47" t="s">
        <v>10</v>
      </c>
      <c r="P376" s="206"/>
      <c r="Q376" s="5" t="s">
        <v>80</v>
      </c>
      <c r="R376" s="1"/>
    </row>
    <row r="377" spans="1:18" ht="13.5" thickBot="1" x14ac:dyDescent="0.25">
      <c r="A377" s="123">
        <v>62</v>
      </c>
      <c r="B377" s="123">
        <v>0</v>
      </c>
      <c r="C377" s="123">
        <v>62</v>
      </c>
      <c r="D377" s="123">
        <v>0</v>
      </c>
      <c r="E377" s="123">
        <v>0</v>
      </c>
      <c r="F377" s="123">
        <v>0</v>
      </c>
      <c r="G377" s="123">
        <v>31</v>
      </c>
      <c r="H377" s="123">
        <v>0</v>
      </c>
      <c r="I377" s="123">
        <v>31</v>
      </c>
      <c r="J377" s="123">
        <v>21</v>
      </c>
      <c r="K377" s="123">
        <v>0</v>
      </c>
      <c r="L377" s="123">
        <v>21</v>
      </c>
      <c r="M377" s="123">
        <v>10</v>
      </c>
      <c r="N377" s="123">
        <v>0</v>
      </c>
      <c r="O377" s="123">
        <v>10</v>
      </c>
      <c r="P377" s="7" t="s">
        <v>163</v>
      </c>
      <c r="Q377" s="124"/>
      <c r="R377" s="1"/>
    </row>
    <row r="378" spans="1:18" ht="13.5" thickBot="1" x14ac:dyDescent="0.25">
      <c r="A378" s="123">
        <v>74</v>
      </c>
      <c r="B378" s="123">
        <v>0</v>
      </c>
      <c r="C378" s="123">
        <v>74</v>
      </c>
      <c r="D378" s="123">
        <v>8</v>
      </c>
      <c r="E378" s="123">
        <v>0</v>
      </c>
      <c r="F378" s="123">
        <v>8</v>
      </c>
      <c r="G378" s="123">
        <v>6</v>
      </c>
      <c r="H378" s="123">
        <v>0</v>
      </c>
      <c r="I378" s="123">
        <v>6</v>
      </c>
      <c r="J378" s="123">
        <v>9</v>
      </c>
      <c r="K378" s="123">
        <v>0</v>
      </c>
      <c r="L378" s="123">
        <v>9</v>
      </c>
      <c r="M378" s="123">
        <v>51</v>
      </c>
      <c r="N378" s="123">
        <v>0</v>
      </c>
      <c r="O378" s="123">
        <v>51</v>
      </c>
      <c r="P378" s="7" t="s">
        <v>162</v>
      </c>
      <c r="Q378" s="124" t="s">
        <v>250</v>
      </c>
      <c r="R378" s="1"/>
    </row>
    <row r="379" spans="1:18" ht="13.5" thickBot="1" x14ac:dyDescent="0.25">
      <c r="A379" s="123">
        <v>136</v>
      </c>
      <c r="B379" s="123">
        <v>0</v>
      </c>
      <c r="C379" s="123">
        <v>136</v>
      </c>
      <c r="D379" s="123">
        <v>8</v>
      </c>
      <c r="E379" s="123">
        <v>0</v>
      </c>
      <c r="F379" s="123">
        <v>8</v>
      </c>
      <c r="G379" s="123">
        <v>37</v>
      </c>
      <c r="H379" s="123">
        <v>0</v>
      </c>
      <c r="I379" s="123">
        <v>37</v>
      </c>
      <c r="J379" s="123">
        <v>30</v>
      </c>
      <c r="K379" s="123">
        <v>0</v>
      </c>
      <c r="L379" s="123">
        <v>30</v>
      </c>
      <c r="M379" s="123">
        <v>61</v>
      </c>
      <c r="N379" s="123">
        <v>0</v>
      </c>
      <c r="O379" s="123">
        <v>61</v>
      </c>
      <c r="P379" s="7" t="s">
        <v>13</v>
      </c>
      <c r="Q379" s="9"/>
      <c r="R379" s="1"/>
    </row>
    <row r="380" spans="1:18" ht="13.5" thickBot="1" x14ac:dyDescent="0.25">
      <c r="A380" s="123">
        <v>36</v>
      </c>
      <c r="B380" s="123">
        <v>0</v>
      </c>
      <c r="C380" s="123">
        <v>36</v>
      </c>
      <c r="D380" s="123">
        <v>0</v>
      </c>
      <c r="E380" s="123">
        <v>0</v>
      </c>
      <c r="F380" s="123">
        <v>0</v>
      </c>
      <c r="G380" s="123">
        <v>8</v>
      </c>
      <c r="H380" s="123">
        <v>0</v>
      </c>
      <c r="I380" s="123">
        <v>8</v>
      </c>
      <c r="J380" s="123">
        <v>0</v>
      </c>
      <c r="K380" s="123">
        <v>0</v>
      </c>
      <c r="L380" s="123">
        <v>0</v>
      </c>
      <c r="M380" s="123">
        <v>28</v>
      </c>
      <c r="N380" s="123">
        <v>0</v>
      </c>
      <c r="O380" s="123">
        <v>28</v>
      </c>
      <c r="P380" s="7" t="s">
        <v>163</v>
      </c>
      <c r="Q380" s="124"/>
      <c r="R380" s="1"/>
    </row>
    <row r="381" spans="1:18" ht="13.5" thickBot="1" x14ac:dyDescent="0.25">
      <c r="A381" s="123">
        <v>17</v>
      </c>
      <c r="B381" s="123">
        <v>0</v>
      </c>
      <c r="C381" s="123">
        <v>17</v>
      </c>
      <c r="D381" s="123">
        <v>0</v>
      </c>
      <c r="E381" s="123">
        <v>0</v>
      </c>
      <c r="F381" s="123">
        <v>0</v>
      </c>
      <c r="G381" s="123">
        <v>0</v>
      </c>
      <c r="H381" s="123">
        <v>0</v>
      </c>
      <c r="I381" s="123">
        <v>0</v>
      </c>
      <c r="J381" s="123">
        <v>0</v>
      </c>
      <c r="K381" s="123">
        <v>0</v>
      </c>
      <c r="L381" s="123">
        <v>0</v>
      </c>
      <c r="M381" s="123">
        <v>17</v>
      </c>
      <c r="N381" s="123">
        <v>0</v>
      </c>
      <c r="O381" s="123">
        <v>17</v>
      </c>
      <c r="P381" s="7" t="s">
        <v>162</v>
      </c>
      <c r="Q381" s="124" t="s">
        <v>393</v>
      </c>
      <c r="R381" s="1"/>
    </row>
    <row r="382" spans="1:18" ht="13.5" thickBot="1" x14ac:dyDescent="0.25">
      <c r="A382" s="123">
        <v>53</v>
      </c>
      <c r="B382" s="123">
        <v>0</v>
      </c>
      <c r="C382" s="123">
        <v>53</v>
      </c>
      <c r="D382" s="123">
        <v>0</v>
      </c>
      <c r="E382" s="123">
        <v>0</v>
      </c>
      <c r="F382" s="123">
        <v>0</v>
      </c>
      <c r="G382" s="123">
        <v>8</v>
      </c>
      <c r="H382" s="123">
        <v>0</v>
      </c>
      <c r="I382" s="123">
        <v>8</v>
      </c>
      <c r="J382" s="123">
        <v>0</v>
      </c>
      <c r="K382" s="123">
        <v>0</v>
      </c>
      <c r="L382" s="123">
        <v>0</v>
      </c>
      <c r="M382" s="123">
        <v>45</v>
      </c>
      <c r="N382" s="123">
        <v>0</v>
      </c>
      <c r="O382" s="123">
        <v>45</v>
      </c>
      <c r="P382" s="7" t="s">
        <v>13</v>
      </c>
      <c r="Q382" s="9"/>
      <c r="R382" s="1"/>
    </row>
    <row r="383" spans="1:18" ht="13.5" thickBot="1" x14ac:dyDescent="0.25">
      <c r="A383" s="123">
        <v>96</v>
      </c>
      <c r="B383" s="123">
        <v>19</v>
      </c>
      <c r="C383" s="123">
        <v>77</v>
      </c>
      <c r="D383" s="123">
        <v>0</v>
      </c>
      <c r="E383" s="123">
        <v>0</v>
      </c>
      <c r="F383" s="123">
        <v>0</v>
      </c>
      <c r="G383" s="123">
        <v>24</v>
      </c>
      <c r="H383" s="123">
        <v>6</v>
      </c>
      <c r="I383" s="123">
        <v>18</v>
      </c>
      <c r="J383" s="123">
        <v>16</v>
      </c>
      <c r="K383" s="123">
        <v>11</v>
      </c>
      <c r="L383" s="123">
        <v>5</v>
      </c>
      <c r="M383" s="123">
        <v>56</v>
      </c>
      <c r="N383" s="123">
        <v>2</v>
      </c>
      <c r="O383" s="123">
        <v>54</v>
      </c>
      <c r="P383" s="7" t="s">
        <v>163</v>
      </c>
      <c r="Q383" s="124"/>
      <c r="R383" s="1"/>
    </row>
    <row r="384" spans="1:18" ht="13.5" thickBot="1" x14ac:dyDescent="0.25">
      <c r="A384" s="123">
        <v>33</v>
      </c>
      <c r="B384" s="123">
        <v>15</v>
      </c>
      <c r="C384" s="123">
        <v>18</v>
      </c>
      <c r="D384" s="123">
        <v>0</v>
      </c>
      <c r="E384" s="123">
        <v>0</v>
      </c>
      <c r="F384" s="123">
        <v>0</v>
      </c>
      <c r="G384" s="123">
        <v>2</v>
      </c>
      <c r="H384" s="123">
        <v>0</v>
      </c>
      <c r="I384" s="123">
        <v>2</v>
      </c>
      <c r="J384" s="123">
        <v>6</v>
      </c>
      <c r="K384" s="123">
        <v>1</v>
      </c>
      <c r="L384" s="123">
        <v>5</v>
      </c>
      <c r="M384" s="123">
        <v>25</v>
      </c>
      <c r="N384" s="123">
        <v>14</v>
      </c>
      <c r="O384" s="123">
        <v>11</v>
      </c>
      <c r="P384" s="7" t="s">
        <v>162</v>
      </c>
      <c r="Q384" s="124" t="s">
        <v>394</v>
      </c>
      <c r="R384" s="1"/>
    </row>
    <row r="385" spans="1:18" ht="13.5" thickBot="1" x14ac:dyDescent="0.25">
      <c r="A385" s="123">
        <v>129</v>
      </c>
      <c r="B385" s="123">
        <v>34</v>
      </c>
      <c r="C385" s="123">
        <v>95</v>
      </c>
      <c r="D385" s="123">
        <v>0</v>
      </c>
      <c r="E385" s="123">
        <v>0</v>
      </c>
      <c r="F385" s="123">
        <v>0</v>
      </c>
      <c r="G385" s="123">
        <v>26</v>
      </c>
      <c r="H385" s="123">
        <v>6</v>
      </c>
      <c r="I385" s="123">
        <v>20</v>
      </c>
      <c r="J385" s="123">
        <v>22</v>
      </c>
      <c r="K385" s="123">
        <v>12</v>
      </c>
      <c r="L385" s="123">
        <v>10</v>
      </c>
      <c r="M385" s="123">
        <v>81</v>
      </c>
      <c r="N385" s="123">
        <v>16</v>
      </c>
      <c r="O385" s="123">
        <v>65</v>
      </c>
      <c r="P385" s="7" t="s">
        <v>13</v>
      </c>
      <c r="Q385" s="9"/>
      <c r="R385" s="1"/>
    </row>
    <row r="386" spans="1:18" ht="13.5" thickBot="1" x14ac:dyDescent="0.25">
      <c r="A386" s="123">
        <v>111</v>
      </c>
      <c r="B386" s="123">
        <v>51</v>
      </c>
      <c r="C386" s="123">
        <v>60</v>
      </c>
      <c r="D386" s="123">
        <v>0</v>
      </c>
      <c r="E386" s="123">
        <v>0</v>
      </c>
      <c r="F386" s="123">
        <v>0</v>
      </c>
      <c r="G386" s="123">
        <v>48</v>
      </c>
      <c r="H386" s="123">
        <v>30</v>
      </c>
      <c r="I386" s="123">
        <v>18</v>
      </c>
      <c r="J386" s="123">
        <v>12</v>
      </c>
      <c r="K386" s="123">
        <v>8</v>
      </c>
      <c r="L386" s="123">
        <v>4</v>
      </c>
      <c r="M386" s="123">
        <v>51</v>
      </c>
      <c r="N386" s="123">
        <v>13</v>
      </c>
      <c r="O386" s="123">
        <v>38</v>
      </c>
      <c r="P386" s="7" t="s">
        <v>163</v>
      </c>
      <c r="Q386" s="124"/>
      <c r="R386" s="1"/>
    </row>
    <row r="387" spans="1:18" ht="13.5" thickBot="1" x14ac:dyDescent="0.25">
      <c r="A387" s="123">
        <v>69</v>
      </c>
      <c r="B387" s="123">
        <v>26</v>
      </c>
      <c r="C387" s="123">
        <v>43</v>
      </c>
      <c r="D387" s="123">
        <v>0</v>
      </c>
      <c r="E387" s="123">
        <v>0</v>
      </c>
      <c r="F387" s="123">
        <v>0</v>
      </c>
      <c r="G387" s="123">
        <v>0</v>
      </c>
      <c r="H387" s="123">
        <v>0</v>
      </c>
      <c r="I387" s="123">
        <v>0</v>
      </c>
      <c r="J387" s="123">
        <v>9</v>
      </c>
      <c r="K387" s="123">
        <v>4</v>
      </c>
      <c r="L387" s="123">
        <v>5</v>
      </c>
      <c r="M387" s="123">
        <v>60</v>
      </c>
      <c r="N387" s="123">
        <v>22</v>
      </c>
      <c r="O387" s="123">
        <v>38</v>
      </c>
      <c r="P387" s="7" t="s">
        <v>162</v>
      </c>
      <c r="Q387" s="124" t="s">
        <v>396</v>
      </c>
      <c r="R387" s="1"/>
    </row>
    <row r="388" spans="1:18" ht="13.5" thickBot="1" x14ac:dyDescent="0.25">
      <c r="A388" s="123">
        <v>180</v>
      </c>
      <c r="B388" s="123">
        <v>77</v>
      </c>
      <c r="C388" s="123">
        <v>103</v>
      </c>
      <c r="D388" s="123">
        <v>0</v>
      </c>
      <c r="E388" s="123">
        <v>0</v>
      </c>
      <c r="F388" s="123">
        <v>0</v>
      </c>
      <c r="G388" s="123">
        <v>48</v>
      </c>
      <c r="H388" s="123">
        <v>30</v>
      </c>
      <c r="I388" s="123">
        <v>18</v>
      </c>
      <c r="J388" s="123">
        <v>21</v>
      </c>
      <c r="K388" s="123">
        <v>12</v>
      </c>
      <c r="L388" s="123">
        <v>9</v>
      </c>
      <c r="M388" s="123">
        <v>111</v>
      </c>
      <c r="N388" s="123">
        <v>35</v>
      </c>
      <c r="O388" s="123">
        <v>76</v>
      </c>
      <c r="P388" s="7" t="s">
        <v>13</v>
      </c>
      <c r="Q388" s="9"/>
      <c r="R388" s="1"/>
    </row>
    <row r="389" spans="1:18" ht="13.5" thickBot="1" x14ac:dyDescent="0.25">
      <c r="A389" s="123">
        <v>51</v>
      </c>
      <c r="B389" s="123">
        <v>5</v>
      </c>
      <c r="C389" s="123">
        <v>46</v>
      </c>
      <c r="D389" s="123">
        <v>0</v>
      </c>
      <c r="E389" s="123">
        <v>0</v>
      </c>
      <c r="F389" s="123">
        <v>0</v>
      </c>
      <c r="G389" s="123">
        <v>25</v>
      </c>
      <c r="H389" s="123">
        <v>5</v>
      </c>
      <c r="I389" s="123">
        <v>20</v>
      </c>
      <c r="J389" s="123">
        <v>4</v>
      </c>
      <c r="K389" s="123">
        <v>0</v>
      </c>
      <c r="L389" s="123">
        <v>4</v>
      </c>
      <c r="M389" s="123">
        <v>22</v>
      </c>
      <c r="N389" s="123">
        <v>0</v>
      </c>
      <c r="O389" s="123">
        <v>22</v>
      </c>
      <c r="P389" s="7" t="s">
        <v>163</v>
      </c>
      <c r="Q389" s="124"/>
      <c r="R389" s="1"/>
    </row>
    <row r="390" spans="1:18" ht="13.5" thickBot="1" x14ac:dyDescent="0.25">
      <c r="A390" s="123">
        <v>29</v>
      </c>
      <c r="B390" s="123">
        <v>0</v>
      </c>
      <c r="C390" s="123">
        <v>29</v>
      </c>
      <c r="D390" s="123">
        <v>0</v>
      </c>
      <c r="E390" s="123">
        <v>0</v>
      </c>
      <c r="F390" s="123">
        <v>0</v>
      </c>
      <c r="G390" s="123">
        <v>0</v>
      </c>
      <c r="H390" s="123">
        <v>0</v>
      </c>
      <c r="I390" s="123">
        <v>0</v>
      </c>
      <c r="J390" s="123">
        <v>0</v>
      </c>
      <c r="K390" s="123">
        <v>0</v>
      </c>
      <c r="L390" s="123">
        <v>0</v>
      </c>
      <c r="M390" s="123">
        <v>29</v>
      </c>
      <c r="N390" s="123">
        <v>0</v>
      </c>
      <c r="O390" s="123">
        <v>29</v>
      </c>
      <c r="P390" s="7" t="s">
        <v>162</v>
      </c>
      <c r="Q390" s="124" t="s">
        <v>397</v>
      </c>
      <c r="R390" s="1"/>
    </row>
    <row r="391" spans="1:18" ht="13.5" thickBot="1" x14ac:dyDescent="0.25">
      <c r="A391" s="123">
        <v>80</v>
      </c>
      <c r="B391" s="123">
        <v>5</v>
      </c>
      <c r="C391" s="123">
        <v>75</v>
      </c>
      <c r="D391" s="123">
        <v>0</v>
      </c>
      <c r="E391" s="123">
        <v>0</v>
      </c>
      <c r="F391" s="123">
        <v>0</v>
      </c>
      <c r="G391" s="123">
        <v>25</v>
      </c>
      <c r="H391" s="123">
        <v>5</v>
      </c>
      <c r="I391" s="123">
        <v>20</v>
      </c>
      <c r="J391" s="123">
        <v>4</v>
      </c>
      <c r="K391" s="123">
        <v>0</v>
      </c>
      <c r="L391" s="123">
        <v>4</v>
      </c>
      <c r="M391" s="123">
        <v>51</v>
      </c>
      <c r="N391" s="123">
        <v>0</v>
      </c>
      <c r="O391" s="123">
        <v>51</v>
      </c>
      <c r="P391" s="7" t="s">
        <v>13</v>
      </c>
      <c r="Q391" s="9"/>
      <c r="R391" s="1"/>
    </row>
    <row r="392" spans="1:18" ht="13.5" thickBot="1" x14ac:dyDescent="0.25">
      <c r="A392" s="123">
        <v>6</v>
      </c>
      <c r="B392" s="123">
        <v>1</v>
      </c>
      <c r="C392" s="123">
        <v>5</v>
      </c>
      <c r="D392" s="123">
        <v>0</v>
      </c>
      <c r="E392" s="123">
        <v>0</v>
      </c>
      <c r="F392" s="123">
        <v>0</v>
      </c>
      <c r="G392" s="123">
        <v>6</v>
      </c>
      <c r="H392" s="123">
        <v>1</v>
      </c>
      <c r="I392" s="123">
        <v>5</v>
      </c>
      <c r="J392" s="123">
        <v>0</v>
      </c>
      <c r="K392" s="123">
        <v>0</v>
      </c>
      <c r="L392" s="123">
        <v>0</v>
      </c>
      <c r="M392" s="123">
        <v>0</v>
      </c>
      <c r="N392" s="123">
        <v>0</v>
      </c>
      <c r="O392" s="123">
        <v>0</v>
      </c>
      <c r="P392" s="7" t="s">
        <v>163</v>
      </c>
      <c r="Q392" s="124"/>
      <c r="R392" s="1"/>
    </row>
    <row r="393" spans="1:18" ht="13.5" thickBot="1" x14ac:dyDescent="0.25">
      <c r="A393" s="123">
        <v>60</v>
      </c>
      <c r="B393" s="123">
        <v>14</v>
      </c>
      <c r="C393" s="123">
        <v>46</v>
      </c>
      <c r="D393" s="123">
        <v>0</v>
      </c>
      <c r="E393" s="123">
        <v>0</v>
      </c>
      <c r="F393" s="123">
        <v>0</v>
      </c>
      <c r="G393" s="123">
        <v>0</v>
      </c>
      <c r="H393" s="123">
        <v>0</v>
      </c>
      <c r="I393" s="123">
        <v>0</v>
      </c>
      <c r="J393" s="123">
        <v>0</v>
      </c>
      <c r="K393" s="123">
        <v>0</v>
      </c>
      <c r="L393" s="123">
        <v>0</v>
      </c>
      <c r="M393" s="123">
        <v>60</v>
      </c>
      <c r="N393" s="123">
        <v>14</v>
      </c>
      <c r="O393" s="123">
        <v>46</v>
      </c>
      <c r="P393" s="7" t="s">
        <v>162</v>
      </c>
      <c r="Q393" s="124" t="s">
        <v>398</v>
      </c>
      <c r="R393" s="1"/>
    </row>
    <row r="394" spans="1:18" ht="13.5" thickBot="1" x14ac:dyDescent="0.25">
      <c r="A394" s="123">
        <v>66</v>
      </c>
      <c r="B394" s="123">
        <v>15</v>
      </c>
      <c r="C394" s="123">
        <v>51</v>
      </c>
      <c r="D394" s="123">
        <v>0</v>
      </c>
      <c r="E394" s="123">
        <v>0</v>
      </c>
      <c r="F394" s="123">
        <v>0</v>
      </c>
      <c r="G394" s="123">
        <v>6</v>
      </c>
      <c r="H394" s="123">
        <v>1</v>
      </c>
      <c r="I394" s="123">
        <v>5</v>
      </c>
      <c r="J394" s="123">
        <v>0</v>
      </c>
      <c r="K394" s="123">
        <v>0</v>
      </c>
      <c r="L394" s="123">
        <v>0</v>
      </c>
      <c r="M394" s="123">
        <v>60</v>
      </c>
      <c r="N394" s="123">
        <v>14</v>
      </c>
      <c r="O394" s="123">
        <v>46</v>
      </c>
      <c r="P394" s="7" t="s">
        <v>13</v>
      </c>
      <c r="Q394" s="9"/>
      <c r="R394" s="1"/>
    </row>
    <row r="395" spans="1:18" ht="13.5" thickBot="1" x14ac:dyDescent="0.25">
      <c r="A395" s="123">
        <v>39</v>
      </c>
      <c r="B395" s="123">
        <v>19</v>
      </c>
      <c r="C395" s="123">
        <v>20</v>
      </c>
      <c r="D395" s="123">
        <v>0</v>
      </c>
      <c r="E395" s="123">
        <v>0</v>
      </c>
      <c r="F395" s="123">
        <v>0</v>
      </c>
      <c r="G395" s="123">
        <v>23</v>
      </c>
      <c r="H395" s="123">
        <v>17</v>
      </c>
      <c r="I395" s="123">
        <v>6</v>
      </c>
      <c r="J395" s="123">
        <v>2</v>
      </c>
      <c r="K395" s="123">
        <v>2</v>
      </c>
      <c r="L395" s="123">
        <v>0</v>
      </c>
      <c r="M395" s="123">
        <v>14</v>
      </c>
      <c r="N395" s="123">
        <v>0</v>
      </c>
      <c r="O395" s="123">
        <v>14</v>
      </c>
      <c r="P395" s="7" t="s">
        <v>163</v>
      </c>
      <c r="Q395" s="124"/>
      <c r="R395" s="1"/>
    </row>
    <row r="396" spans="1:18" ht="13.5" thickBot="1" x14ac:dyDescent="0.25">
      <c r="A396" s="123">
        <v>55</v>
      </c>
      <c r="B396" s="123">
        <v>16</v>
      </c>
      <c r="C396" s="123">
        <v>39</v>
      </c>
      <c r="D396" s="123">
        <v>0</v>
      </c>
      <c r="E396" s="123">
        <v>0</v>
      </c>
      <c r="F396" s="123">
        <v>0</v>
      </c>
      <c r="G396" s="123">
        <v>0</v>
      </c>
      <c r="H396" s="123">
        <v>0</v>
      </c>
      <c r="I396" s="123">
        <v>0</v>
      </c>
      <c r="J396" s="123">
        <v>3</v>
      </c>
      <c r="K396" s="123">
        <v>1</v>
      </c>
      <c r="L396" s="123">
        <v>2</v>
      </c>
      <c r="M396" s="123">
        <v>52</v>
      </c>
      <c r="N396" s="123">
        <v>15</v>
      </c>
      <c r="O396" s="123">
        <v>37</v>
      </c>
      <c r="P396" s="7" t="s">
        <v>162</v>
      </c>
      <c r="Q396" s="124" t="s">
        <v>399</v>
      </c>
      <c r="R396" s="1"/>
    </row>
    <row r="397" spans="1:18" ht="13.5" thickBot="1" x14ac:dyDescent="0.25">
      <c r="A397" s="123">
        <v>94</v>
      </c>
      <c r="B397" s="123">
        <v>35</v>
      </c>
      <c r="C397" s="123">
        <v>59</v>
      </c>
      <c r="D397" s="123">
        <v>0</v>
      </c>
      <c r="E397" s="123">
        <v>0</v>
      </c>
      <c r="F397" s="123">
        <v>0</v>
      </c>
      <c r="G397" s="123">
        <v>23</v>
      </c>
      <c r="H397" s="123">
        <v>17</v>
      </c>
      <c r="I397" s="123">
        <v>6</v>
      </c>
      <c r="J397" s="123">
        <v>5</v>
      </c>
      <c r="K397" s="123">
        <v>3</v>
      </c>
      <c r="L397" s="123">
        <v>2</v>
      </c>
      <c r="M397" s="123">
        <v>66</v>
      </c>
      <c r="N397" s="123">
        <v>15</v>
      </c>
      <c r="O397" s="123">
        <v>51</v>
      </c>
      <c r="P397" s="7" t="s">
        <v>13</v>
      </c>
      <c r="Q397" s="9"/>
      <c r="R397" s="1"/>
    </row>
    <row r="398" spans="1:18" ht="13.5" thickBot="1" x14ac:dyDescent="0.25">
      <c r="A398" s="123">
        <v>7</v>
      </c>
      <c r="B398" s="123">
        <v>0</v>
      </c>
      <c r="C398" s="123">
        <v>7</v>
      </c>
      <c r="D398" s="123">
        <v>0</v>
      </c>
      <c r="E398" s="123">
        <v>0</v>
      </c>
      <c r="F398" s="123">
        <v>0</v>
      </c>
      <c r="G398" s="123">
        <v>2</v>
      </c>
      <c r="H398" s="123">
        <v>0</v>
      </c>
      <c r="I398" s="123">
        <v>2</v>
      </c>
      <c r="J398" s="123">
        <v>0</v>
      </c>
      <c r="K398" s="123">
        <v>0</v>
      </c>
      <c r="L398" s="123">
        <v>0</v>
      </c>
      <c r="M398" s="123">
        <v>5</v>
      </c>
      <c r="N398" s="123">
        <v>0</v>
      </c>
      <c r="O398" s="123">
        <v>5</v>
      </c>
      <c r="P398" s="7" t="s">
        <v>163</v>
      </c>
      <c r="Q398" s="124"/>
      <c r="R398" s="1"/>
    </row>
    <row r="399" spans="1:18" ht="13.5" thickBot="1" x14ac:dyDescent="0.25">
      <c r="A399" s="123">
        <v>14</v>
      </c>
      <c r="B399" s="123">
        <v>0</v>
      </c>
      <c r="C399" s="123">
        <v>14</v>
      </c>
      <c r="D399" s="123">
        <v>0</v>
      </c>
      <c r="E399" s="123">
        <v>0</v>
      </c>
      <c r="F399" s="123">
        <v>0</v>
      </c>
      <c r="G399" s="123">
        <v>0</v>
      </c>
      <c r="H399" s="123">
        <v>0</v>
      </c>
      <c r="I399" s="123">
        <v>0</v>
      </c>
      <c r="J399" s="123">
        <v>4</v>
      </c>
      <c r="K399" s="123">
        <v>0</v>
      </c>
      <c r="L399" s="123">
        <v>4</v>
      </c>
      <c r="M399" s="123">
        <v>10</v>
      </c>
      <c r="N399" s="123">
        <v>0</v>
      </c>
      <c r="O399" s="123">
        <v>10</v>
      </c>
      <c r="P399" s="7" t="s">
        <v>162</v>
      </c>
      <c r="Q399" s="124" t="s">
        <v>400</v>
      </c>
      <c r="R399" s="1"/>
    </row>
    <row r="400" spans="1:18" ht="13.5" thickBot="1" x14ac:dyDescent="0.25">
      <c r="A400" s="123">
        <v>21</v>
      </c>
      <c r="B400" s="123">
        <v>0</v>
      </c>
      <c r="C400" s="123">
        <v>21</v>
      </c>
      <c r="D400" s="123">
        <v>0</v>
      </c>
      <c r="E400" s="123">
        <v>0</v>
      </c>
      <c r="F400" s="123">
        <v>0</v>
      </c>
      <c r="G400" s="123">
        <v>2</v>
      </c>
      <c r="H400" s="123">
        <v>0</v>
      </c>
      <c r="I400" s="123">
        <v>2</v>
      </c>
      <c r="J400" s="123">
        <v>4</v>
      </c>
      <c r="K400" s="123">
        <v>0</v>
      </c>
      <c r="L400" s="123">
        <v>4</v>
      </c>
      <c r="M400" s="123">
        <v>15</v>
      </c>
      <c r="N400" s="123">
        <v>0</v>
      </c>
      <c r="O400" s="123">
        <v>15</v>
      </c>
      <c r="P400" s="7" t="s">
        <v>13</v>
      </c>
      <c r="Q400" s="9"/>
      <c r="R400" s="1"/>
    </row>
    <row r="401" spans="1:18" ht="13.5" thickBot="1" x14ac:dyDescent="0.25">
      <c r="A401" s="123">
        <v>70</v>
      </c>
      <c r="B401" s="123">
        <v>11</v>
      </c>
      <c r="C401" s="123">
        <v>59</v>
      </c>
      <c r="D401" s="123">
        <v>0</v>
      </c>
      <c r="E401" s="123">
        <v>0</v>
      </c>
      <c r="F401" s="123">
        <v>0</v>
      </c>
      <c r="G401" s="123">
        <v>19</v>
      </c>
      <c r="H401" s="123">
        <v>9</v>
      </c>
      <c r="I401" s="123">
        <v>10</v>
      </c>
      <c r="J401" s="123">
        <v>3</v>
      </c>
      <c r="K401" s="123">
        <v>1</v>
      </c>
      <c r="L401" s="123">
        <v>2</v>
      </c>
      <c r="M401" s="123">
        <v>48</v>
      </c>
      <c r="N401" s="123">
        <v>1</v>
      </c>
      <c r="O401" s="123">
        <v>47</v>
      </c>
      <c r="P401" s="7" t="s">
        <v>163</v>
      </c>
      <c r="Q401" s="124"/>
      <c r="R401" s="1"/>
    </row>
    <row r="402" spans="1:18" ht="13.5" thickBot="1" x14ac:dyDescent="0.25">
      <c r="A402" s="123">
        <v>28</v>
      </c>
      <c r="B402" s="123">
        <v>1</v>
      </c>
      <c r="C402" s="123">
        <v>27</v>
      </c>
      <c r="D402" s="123">
        <v>0</v>
      </c>
      <c r="E402" s="123">
        <v>0</v>
      </c>
      <c r="F402" s="123">
        <v>0</v>
      </c>
      <c r="G402" s="123">
        <v>1</v>
      </c>
      <c r="H402" s="123">
        <v>0</v>
      </c>
      <c r="I402" s="123">
        <v>1</v>
      </c>
      <c r="J402" s="123">
        <v>9</v>
      </c>
      <c r="K402" s="123">
        <v>1</v>
      </c>
      <c r="L402" s="123">
        <v>8</v>
      </c>
      <c r="M402" s="123">
        <v>18</v>
      </c>
      <c r="N402" s="123">
        <v>0</v>
      </c>
      <c r="O402" s="123">
        <v>18</v>
      </c>
      <c r="P402" s="7" t="s">
        <v>162</v>
      </c>
      <c r="Q402" s="124" t="s">
        <v>401</v>
      </c>
      <c r="R402" s="1"/>
    </row>
    <row r="403" spans="1:18" ht="13.5" thickBot="1" x14ac:dyDescent="0.25">
      <c r="A403" s="123">
        <v>98</v>
      </c>
      <c r="B403" s="123">
        <v>12</v>
      </c>
      <c r="C403" s="123">
        <v>86</v>
      </c>
      <c r="D403" s="123">
        <v>0</v>
      </c>
      <c r="E403" s="123">
        <v>0</v>
      </c>
      <c r="F403" s="123">
        <v>0</v>
      </c>
      <c r="G403" s="123">
        <v>20</v>
      </c>
      <c r="H403" s="123">
        <v>9</v>
      </c>
      <c r="I403" s="123">
        <v>11</v>
      </c>
      <c r="J403" s="123">
        <v>12</v>
      </c>
      <c r="K403" s="123">
        <v>2</v>
      </c>
      <c r="L403" s="123">
        <v>10</v>
      </c>
      <c r="M403" s="123">
        <v>66</v>
      </c>
      <c r="N403" s="123">
        <v>1</v>
      </c>
      <c r="O403" s="123">
        <v>65</v>
      </c>
      <c r="P403" s="7" t="s">
        <v>13</v>
      </c>
      <c r="Q403" s="9"/>
      <c r="R403" s="1"/>
    </row>
    <row r="404" spans="1:18" ht="13.5" thickBot="1" x14ac:dyDescent="0.25">
      <c r="A404" s="123">
        <v>146</v>
      </c>
      <c r="B404" s="123">
        <v>52</v>
      </c>
      <c r="C404" s="123">
        <v>94</v>
      </c>
      <c r="D404" s="123">
        <v>0</v>
      </c>
      <c r="E404" s="123">
        <v>0</v>
      </c>
      <c r="F404" s="123">
        <v>0</v>
      </c>
      <c r="G404" s="123">
        <v>63</v>
      </c>
      <c r="H404" s="123">
        <v>32</v>
      </c>
      <c r="I404" s="123">
        <v>31</v>
      </c>
      <c r="J404" s="123">
        <v>4</v>
      </c>
      <c r="K404" s="123">
        <v>4</v>
      </c>
      <c r="L404" s="123">
        <v>0</v>
      </c>
      <c r="M404" s="123">
        <v>79</v>
      </c>
      <c r="N404" s="123">
        <v>16</v>
      </c>
      <c r="O404" s="123">
        <v>63</v>
      </c>
      <c r="P404" s="7" t="s">
        <v>163</v>
      </c>
      <c r="Q404" s="124"/>
      <c r="R404" s="1"/>
    </row>
    <row r="405" spans="1:18" ht="13.5" thickBot="1" x14ac:dyDescent="0.25">
      <c r="A405" s="123">
        <v>124</v>
      </c>
      <c r="B405" s="123">
        <v>31</v>
      </c>
      <c r="C405" s="123">
        <v>93</v>
      </c>
      <c r="D405" s="123">
        <v>0</v>
      </c>
      <c r="E405" s="123">
        <v>0</v>
      </c>
      <c r="F405" s="123">
        <v>0</v>
      </c>
      <c r="G405" s="123">
        <v>7</v>
      </c>
      <c r="H405" s="123">
        <v>1</v>
      </c>
      <c r="I405" s="123">
        <v>6</v>
      </c>
      <c r="J405" s="123">
        <v>9</v>
      </c>
      <c r="K405" s="123">
        <v>5</v>
      </c>
      <c r="L405" s="123">
        <v>4</v>
      </c>
      <c r="M405" s="123">
        <v>108</v>
      </c>
      <c r="N405" s="123">
        <v>25</v>
      </c>
      <c r="O405" s="123">
        <v>83</v>
      </c>
      <c r="P405" s="7" t="s">
        <v>162</v>
      </c>
      <c r="Q405" s="124" t="s">
        <v>402</v>
      </c>
      <c r="R405" s="1"/>
    </row>
    <row r="406" spans="1:18" ht="13.5" thickBot="1" x14ac:dyDescent="0.25">
      <c r="A406" s="123">
        <v>270</v>
      </c>
      <c r="B406" s="123">
        <v>83</v>
      </c>
      <c r="C406" s="123">
        <v>187</v>
      </c>
      <c r="D406" s="123">
        <v>0</v>
      </c>
      <c r="E406" s="123">
        <v>0</v>
      </c>
      <c r="F406" s="123">
        <v>0</v>
      </c>
      <c r="G406" s="123">
        <v>70</v>
      </c>
      <c r="H406" s="123">
        <v>33</v>
      </c>
      <c r="I406" s="123">
        <v>37</v>
      </c>
      <c r="J406" s="123">
        <v>13</v>
      </c>
      <c r="K406" s="123">
        <v>9</v>
      </c>
      <c r="L406" s="123">
        <v>4</v>
      </c>
      <c r="M406" s="123">
        <v>187</v>
      </c>
      <c r="N406" s="123">
        <v>41</v>
      </c>
      <c r="O406" s="123">
        <v>146</v>
      </c>
      <c r="P406" s="7" t="s">
        <v>13</v>
      </c>
      <c r="Q406" s="9"/>
      <c r="R406" s="1"/>
    </row>
    <row r="407" spans="1:18" ht="13.5" thickBot="1" x14ac:dyDescent="0.25">
      <c r="A407" s="123">
        <v>20</v>
      </c>
      <c r="B407" s="123">
        <v>9</v>
      </c>
      <c r="C407" s="123">
        <v>11</v>
      </c>
      <c r="D407" s="123">
        <v>0</v>
      </c>
      <c r="E407" s="123">
        <v>0</v>
      </c>
      <c r="F407" s="123">
        <v>0</v>
      </c>
      <c r="G407" s="123">
        <v>14</v>
      </c>
      <c r="H407" s="123">
        <v>8</v>
      </c>
      <c r="I407" s="123">
        <v>6</v>
      </c>
      <c r="J407" s="123">
        <v>0</v>
      </c>
      <c r="K407" s="123">
        <v>0</v>
      </c>
      <c r="L407" s="123">
        <v>0</v>
      </c>
      <c r="M407" s="123">
        <v>6</v>
      </c>
      <c r="N407" s="123">
        <v>1</v>
      </c>
      <c r="O407" s="123">
        <v>5</v>
      </c>
      <c r="P407" s="7" t="s">
        <v>163</v>
      </c>
      <c r="Q407" s="124"/>
      <c r="R407" s="1"/>
    </row>
    <row r="408" spans="1:18" ht="13.5" thickBot="1" x14ac:dyDescent="0.25">
      <c r="A408" s="123">
        <v>21</v>
      </c>
      <c r="B408" s="123">
        <v>4</v>
      </c>
      <c r="C408" s="123">
        <v>17</v>
      </c>
      <c r="D408" s="123">
        <v>0</v>
      </c>
      <c r="E408" s="123">
        <v>0</v>
      </c>
      <c r="F408" s="123">
        <v>0</v>
      </c>
      <c r="G408" s="123">
        <v>0</v>
      </c>
      <c r="H408" s="123">
        <v>0</v>
      </c>
      <c r="I408" s="123">
        <v>0</v>
      </c>
      <c r="J408" s="123">
        <v>1</v>
      </c>
      <c r="K408" s="123">
        <v>0</v>
      </c>
      <c r="L408" s="123">
        <v>1</v>
      </c>
      <c r="M408" s="123">
        <v>20</v>
      </c>
      <c r="N408" s="123">
        <v>4</v>
      </c>
      <c r="O408" s="123">
        <v>16</v>
      </c>
      <c r="P408" s="7" t="s">
        <v>162</v>
      </c>
      <c r="Q408" s="124" t="s">
        <v>403</v>
      </c>
      <c r="R408" s="1"/>
    </row>
    <row r="409" spans="1:18" ht="13.5" thickBot="1" x14ac:dyDescent="0.25">
      <c r="A409" s="123">
        <v>41</v>
      </c>
      <c r="B409" s="123">
        <v>13</v>
      </c>
      <c r="C409" s="123">
        <v>28</v>
      </c>
      <c r="D409" s="123">
        <v>0</v>
      </c>
      <c r="E409" s="123">
        <v>0</v>
      </c>
      <c r="F409" s="123">
        <v>0</v>
      </c>
      <c r="G409" s="123">
        <v>14</v>
      </c>
      <c r="H409" s="123">
        <v>8</v>
      </c>
      <c r="I409" s="123">
        <v>6</v>
      </c>
      <c r="J409" s="123">
        <v>1</v>
      </c>
      <c r="K409" s="123">
        <v>0</v>
      </c>
      <c r="L409" s="123">
        <v>1</v>
      </c>
      <c r="M409" s="123">
        <v>26</v>
      </c>
      <c r="N409" s="123">
        <v>5</v>
      </c>
      <c r="O409" s="123">
        <v>21</v>
      </c>
      <c r="P409" s="7" t="s">
        <v>13</v>
      </c>
      <c r="Q409" s="9"/>
      <c r="R409" s="1"/>
    </row>
    <row r="410" spans="1:18" ht="13.5" thickBot="1" x14ac:dyDescent="0.25">
      <c r="A410" s="123">
        <v>35</v>
      </c>
      <c r="B410" s="123">
        <v>17</v>
      </c>
      <c r="C410" s="123">
        <v>18</v>
      </c>
      <c r="D410" s="123">
        <v>0</v>
      </c>
      <c r="E410" s="123">
        <v>0</v>
      </c>
      <c r="F410" s="123">
        <v>0</v>
      </c>
      <c r="G410" s="123">
        <v>28</v>
      </c>
      <c r="H410" s="123">
        <v>15</v>
      </c>
      <c r="I410" s="123">
        <v>13</v>
      </c>
      <c r="J410" s="123">
        <v>3</v>
      </c>
      <c r="K410" s="123">
        <v>0</v>
      </c>
      <c r="L410" s="123">
        <v>3</v>
      </c>
      <c r="M410" s="123">
        <v>4</v>
      </c>
      <c r="N410" s="123">
        <v>2</v>
      </c>
      <c r="O410" s="123">
        <v>2</v>
      </c>
      <c r="P410" s="7" t="s">
        <v>163</v>
      </c>
      <c r="Q410" s="124"/>
      <c r="R410" s="1"/>
    </row>
    <row r="411" spans="1:18" ht="13.5" thickBot="1" x14ac:dyDescent="0.25">
      <c r="A411" s="123">
        <v>32</v>
      </c>
      <c r="B411" s="123">
        <v>3</v>
      </c>
      <c r="C411" s="123">
        <v>29</v>
      </c>
      <c r="D411" s="123">
        <v>0</v>
      </c>
      <c r="E411" s="123">
        <v>0</v>
      </c>
      <c r="F411" s="123">
        <v>0</v>
      </c>
      <c r="G411" s="123">
        <v>3</v>
      </c>
      <c r="H411" s="123">
        <v>0</v>
      </c>
      <c r="I411" s="123">
        <v>3</v>
      </c>
      <c r="J411" s="123">
        <v>4</v>
      </c>
      <c r="K411" s="123">
        <v>0</v>
      </c>
      <c r="L411" s="123">
        <v>4</v>
      </c>
      <c r="M411" s="123">
        <v>25</v>
      </c>
      <c r="N411" s="123">
        <v>3</v>
      </c>
      <c r="O411" s="123">
        <v>22</v>
      </c>
      <c r="P411" s="7" t="s">
        <v>162</v>
      </c>
      <c r="Q411" s="124" t="s">
        <v>404</v>
      </c>
      <c r="R411" s="1"/>
    </row>
    <row r="412" spans="1:18" ht="13.5" thickBot="1" x14ac:dyDescent="0.25">
      <c r="A412" s="123">
        <v>67</v>
      </c>
      <c r="B412" s="123">
        <v>20</v>
      </c>
      <c r="C412" s="123">
        <v>47</v>
      </c>
      <c r="D412" s="123">
        <v>0</v>
      </c>
      <c r="E412" s="123">
        <v>0</v>
      </c>
      <c r="F412" s="123">
        <v>0</v>
      </c>
      <c r="G412" s="123">
        <v>31</v>
      </c>
      <c r="H412" s="123">
        <v>15</v>
      </c>
      <c r="I412" s="123">
        <v>16</v>
      </c>
      <c r="J412" s="123">
        <v>7</v>
      </c>
      <c r="K412" s="123">
        <v>0</v>
      </c>
      <c r="L412" s="123">
        <v>7</v>
      </c>
      <c r="M412" s="123">
        <v>29</v>
      </c>
      <c r="N412" s="123">
        <v>5</v>
      </c>
      <c r="O412" s="123">
        <v>24</v>
      </c>
      <c r="P412" s="7" t="s">
        <v>13</v>
      </c>
      <c r="Q412" s="9"/>
      <c r="R412" s="1"/>
    </row>
    <row r="413" spans="1:18" ht="13.5" thickBot="1" x14ac:dyDescent="0.25">
      <c r="A413" s="123">
        <v>8</v>
      </c>
      <c r="B413" s="123">
        <v>8</v>
      </c>
      <c r="C413" s="123">
        <v>0</v>
      </c>
      <c r="D413" s="123">
        <v>0</v>
      </c>
      <c r="E413" s="123">
        <v>0</v>
      </c>
      <c r="F413" s="123">
        <v>0</v>
      </c>
      <c r="G413" s="123">
        <v>8</v>
      </c>
      <c r="H413" s="123">
        <v>8</v>
      </c>
      <c r="I413" s="123">
        <v>0</v>
      </c>
      <c r="J413" s="123">
        <v>0</v>
      </c>
      <c r="K413" s="123">
        <v>0</v>
      </c>
      <c r="L413" s="123">
        <v>0</v>
      </c>
      <c r="M413" s="123">
        <v>0</v>
      </c>
      <c r="N413" s="123">
        <v>0</v>
      </c>
      <c r="O413" s="123">
        <v>0</v>
      </c>
      <c r="P413" s="7" t="s">
        <v>163</v>
      </c>
      <c r="Q413" s="124"/>
      <c r="R413" s="1"/>
    </row>
    <row r="414" spans="1:18" ht="13.5" thickBot="1" x14ac:dyDescent="0.25">
      <c r="A414" s="123">
        <v>15</v>
      </c>
      <c r="B414" s="123">
        <v>15</v>
      </c>
      <c r="C414" s="123">
        <v>0</v>
      </c>
      <c r="D414" s="123">
        <v>0</v>
      </c>
      <c r="E414" s="123">
        <v>0</v>
      </c>
      <c r="F414" s="123">
        <v>0</v>
      </c>
      <c r="G414" s="123">
        <v>0</v>
      </c>
      <c r="H414" s="123">
        <v>0</v>
      </c>
      <c r="I414" s="123">
        <v>0</v>
      </c>
      <c r="J414" s="123">
        <v>0</v>
      </c>
      <c r="K414" s="123">
        <v>0</v>
      </c>
      <c r="L414" s="123">
        <v>0</v>
      </c>
      <c r="M414" s="123">
        <v>15</v>
      </c>
      <c r="N414" s="123">
        <v>15</v>
      </c>
      <c r="O414" s="123">
        <v>0</v>
      </c>
      <c r="P414" s="7" t="s">
        <v>162</v>
      </c>
      <c r="Q414" s="124" t="s">
        <v>405</v>
      </c>
      <c r="R414" s="1"/>
    </row>
    <row r="415" spans="1:18" ht="13.5" thickBot="1" x14ac:dyDescent="0.25">
      <c r="A415" s="123">
        <v>23</v>
      </c>
      <c r="B415" s="123">
        <v>23</v>
      </c>
      <c r="C415" s="123">
        <v>0</v>
      </c>
      <c r="D415" s="123">
        <v>0</v>
      </c>
      <c r="E415" s="123">
        <v>0</v>
      </c>
      <c r="F415" s="123">
        <v>0</v>
      </c>
      <c r="G415" s="123">
        <v>8</v>
      </c>
      <c r="H415" s="123">
        <v>8</v>
      </c>
      <c r="I415" s="123">
        <v>0</v>
      </c>
      <c r="J415" s="123">
        <v>0</v>
      </c>
      <c r="K415" s="123">
        <v>0</v>
      </c>
      <c r="L415" s="123">
        <v>0</v>
      </c>
      <c r="M415" s="123">
        <v>15</v>
      </c>
      <c r="N415" s="123">
        <v>15</v>
      </c>
      <c r="O415" s="123">
        <v>0</v>
      </c>
      <c r="P415" s="7" t="s">
        <v>13</v>
      </c>
      <c r="Q415" s="9"/>
      <c r="R415" s="1"/>
    </row>
    <row r="416" spans="1:18" ht="13.5" thickBot="1" x14ac:dyDescent="0.25">
      <c r="A416" s="123">
        <v>2</v>
      </c>
      <c r="B416" s="123">
        <v>2</v>
      </c>
      <c r="C416" s="123">
        <v>0</v>
      </c>
      <c r="D416" s="123">
        <v>2</v>
      </c>
      <c r="E416" s="123">
        <v>2</v>
      </c>
      <c r="F416" s="123">
        <v>0</v>
      </c>
      <c r="G416" s="123">
        <v>0</v>
      </c>
      <c r="H416" s="123">
        <v>0</v>
      </c>
      <c r="I416" s="123">
        <v>0</v>
      </c>
      <c r="J416" s="123">
        <v>0</v>
      </c>
      <c r="K416" s="123">
        <v>0</v>
      </c>
      <c r="L416" s="123">
        <v>0</v>
      </c>
      <c r="M416" s="123">
        <v>0</v>
      </c>
      <c r="N416" s="123">
        <v>0</v>
      </c>
      <c r="O416" s="123">
        <v>0</v>
      </c>
      <c r="P416" s="7" t="s">
        <v>163</v>
      </c>
      <c r="Q416" s="124"/>
      <c r="R416" s="1"/>
    </row>
    <row r="417" spans="1:18" ht="13.5" thickBot="1" x14ac:dyDescent="0.25">
      <c r="A417" s="123">
        <v>58</v>
      </c>
      <c r="B417" s="123">
        <v>30</v>
      </c>
      <c r="C417" s="123">
        <v>28</v>
      </c>
      <c r="D417" s="123">
        <v>0</v>
      </c>
      <c r="E417" s="123">
        <v>0</v>
      </c>
      <c r="F417" s="123">
        <v>0</v>
      </c>
      <c r="G417" s="123">
        <v>1</v>
      </c>
      <c r="H417" s="123">
        <v>1</v>
      </c>
      <c r="I417" s="123">
        <v>0</v>
      </c>
      <c r="J417" s="123">
        <v>15</v>
      </c>
      <c r="K417" s="123">
        <v>10</v>
      </c>
      <c r="L417" s="123">
        <v>5</v>
      </c>
      <c r="M417" s="123">
        <v>42</v>
      </c>
      <c r="N417" s="123">
        <v>19</v>
      </c>
      <c r="O417" s="123">
        <v>23</v>
      </c>
      <c r="P417" s="7" t="s">
        <v>162</v>
      </c>
      <c r="Q417" s="124" t="s">
        <v>77</v>
      </c>
      <c r="R417" s="1"/>
    </row>
    <row r="418" spans="1:18" ht="13.5" thickBot="1" x14ac:dyDescent="0.25">
      <c r="A418" s="123">
        <v>60</v>
      </c>
      <c r="B418" s="123">
        <v>32</v>
      </c>
      <c r="C418" s="123">
        <v>28</v>
      </c>
      <c r="D418" s="123">
        <v>2</v>
      </c>
      <c r="E418" s="123">
        <v>2</v>
      </c>
      <c r="F418" s="123">
        <v>0</v>
      </c>
      <c r="G418" s="123">
        <v>1</v>
      </c>
      <c r="H418" s="123">
        <v>1</v>
      </c>
      <c r="I418" s="123">
        <v>0</v>
      </c>
      <c r="J418" s="123">
        <v>15</v>
      </c>
      <c r="K418" s="123">
        <v>10</v>
      </c>
      <c r="L418" s="123">
        <v>5</v>
      </c>
      <c r="M418" s="123">
        <v>42</v>
      </c>
      <c r="N418" s="123">
        <v>19</v>
      </c>
      <c r="O418" s="123">
        <v>23</v>
      </c>
      <c r="P418" s="7" t="s">
        <v>13</v>
      </c>
      <c r="Q418" s="9"/>
      <c r="R418" s="1"/>
    </row>
    <row r="419" spans="1:18" ht="13.5" thickBot="1" x14ac:dyDescent="0.25">
      <c r="A419" s="123">
        <v>5</v>
      </c>
      <c r="B419" s="123">
        <v>0</v>
      </c>
      <c r="C419" s="123">
        <v>5</v>
      </c>
      <c r="D419" s="123">
        <v>0</v>
      </c>
      <c r="E419" s="123">
        <v>0</v>
      </c>
      <c r="F419" s="123">
        <v>0</v>
      </c>
      <c r="G419" s="123">
        <v>5</v>
      </c>
      <c r="H419" s="123">
        <v>0</v>
      </c>
      <c r="I419" s="123">
        <v>5</v>
      </c>
      <c r="J419" s="123">
        <v>0</v>
      </c>
      <c r="K419" s="123">
        <v>0</v>
      </c>
      <c r="L419" s="123">
        <v>0</v>
      </c>
      <c r="M419" s="123">
        <v>0</v>
      </c>
      <c r="N419" s="123">
        <v>0</v>
      </c>
      <c r="O419" s="123">
        <v>0</v>
      </c>
      <c r="P419" s="7" t="s">
        <v>163</v>
      </c>
      <c r="Q419" s="124"/>
      <c r="R419" s="1"/>
    </row>
    <row r="420" spans="1:18" ht="13.5" thickBot="1" x14ac:dyDescent="0.25">
      <c r="A420" s="123">
        <v>11</v>
      </c>
      <c r="B420" s="123">
        <v>0</v>
      </c>
      <c r="C420" s="123">
        <v>11</v>
      </c>
      <c r="D420" s="123">
        <v>0</v>
      </c>
      <c r="E420" s="123">
        <v>0</v>
      </c>
      <c r="F420" s="123">
        <v>0</v>
      </c>
      <c r="G420" s="123">
        <v>0</v>
      </c>
      <c r="H420" s="123">
        <v>0</v>
      </c>
      <c r="I420" s="123">
        <v>0</v>
      </c>
      <c r="J420" s="123">
        <v>0</v>
      </c>
      <c r="K420" s="123">
        <v>0</v>
      </c>
      <c r="L420" s="123">
        <v>0</v>
      </c>
      <c r="M420" s="123">
        <v>11</v>
      </c>
      <c r="N420" s="123">
        <v>0</v>
      </c>
      <c r="O420" s="123">
        <v>11</v>
      </c>
      <c r="P420" s="7" t="s">
        <v>162</v>
      </c>
      <c r="Q420" s="124" t="s">
        <v>633</v>
      </c>
      <c r="R420" s="1"/>
    </row>
    <row r="421" spans="1:18" ht="13.5" thickBot="1" x14ac:dyDescent="0.25">
      <c r="A421" s="123">
        <v>16</v>
      </c>
      <c r="B421" s="123">
        <v>0</v>
      </c>
      <c r="C421" s="123">
        <v>16</v>
      </c>
      <c r="D421" s="123">
        <v>0</v>
      </c>
      <c r="E421" s="123">
        <v>0</v>
      </c>
      <c r="F421" s="123">
        <v>0</v>
      </c>
      <c r="G421" s="123">
        <v>5</v>
      </c>
      <c r="H421" s="123">
        <v>0</v>
      </c>
      <c r="I421" s="123">
        <v>5</v>
      </c>
      <c r="J421" s="123">
        <v>0</v>
      </c>
      <c r="K421" s="123">
        <v>0</v>
      </c>
      <c r="L421" s="123">
        <v>0</v>
      </c>
      <c r="M421" s="123">
        <v>11</v>
      </c>
      <c r="N421" s="123">
        <v>0</v>
      </c>
      <c r="O421" s="123">
        <v>11</v>
      </c>
      <c r="P421" s="7" t="s">
        <v>13</v>
      </c>
      <c r="Q421" s="9"/>
      <c r="R421" s="1"/>
    </row>
    <row r="422" spans="1:18" ht="13.5" thickBot="1" x14ac:dyDescent="0.25">
      <c r="A422" s="123">
        <v>45</v>
      </c>
      <c r="B422" s="123">
        <v>43</v>
      </c>
      <c r="C422" s="123">
        <v>2</v>
      </c>
      <c r="D422" s="123">
        <v>0</v>
      </c>
      <c r="E422" s="123">
        <v>0</v>
      </c>
      <c r="F422" s="123">
        <v>0</v>
      </c>
      <c r="G422" s="123">
        <v>18</v>
      </c>
      <c r="H422" s="123">
        <v>18</v>
      </c>
      <c r="I422" s="123">
        <v>0</v>
      </c>
      <c r="J422" s="123">
        <v>22</v>
      </c>
      <c r="K422" s="123">
        <v>22</v>
      </c>
      <c r="L422" s="123">
        <v>0</v>
      </c>
      <c r="M422" s="123">
        <v>5</v>
      </c>
      <c r="N422" s="123">
        <v>3</v>
      </c>
      <c r="O422" s="123">
        <v>2</v>
      </c>
      <c r="P422" s="7" t="s">
        <v>163</v>
      </c>
      <c r="Q422" s="124"/>
      <c r="R422" s="1"/>
    </row>
    <row r="423" spans="1:18" ht="13.5" thickBot="1" x14ac:dyDescent="0.25">
      <c r="A423" s="123">
        <v>42</v>
      </c>
      <c r="B423" s="123">
        <v>23</v>
      </c>
      <c r="C423" s="123">
        <v>19</v>
      </c>
      <c r="D423" s="123">
        <v>0</v>
      </c>
      <c r="E423" s="123">
        <v>0</v>
      </c>
      <c r="F423" s="123">
        <v>0</v>
      </c>
      <c r="G423" s="123">
        <v>0</v>
      </c>
      <c r="H423" s="123">
        <v>0</v>
      </c>
      <c r="I423" s="123">
        <v>0</v>
      </c>
      <c r="J423" s="123">
        <v>3</v>
      </c>
      <c r="K423" s="123">
        <v>3</v>
      </c>
      <c r="L423" s="123">
        <v>0</v>
      </c>
      <c r="M423" s="123">
        <v>39</v>
      </c>
      <c r="N423" s="123">
        <v>20</v>
      </c>
      <c r="O423" s="123">
        <v>19</v>
      </c>
      <c r="P423" s="7" t="s">
        <v>162</v>
      </c>
      <c r="Q423" s="124" t="s">
        <v>407</v>
      </c>
      <c r="R423" s="1"/>
    </row>
    <row r="424" spans="1:18" ht="13.5" thickBot="1" x14ac:dyDescent="0.25">
      <c r="A424" s="123">
        <v>87</v>
      </c>
      <c r="B424" s="123">
        <v>66</v>
      </c>
      <c r="C424" s="123">
        <v>21</v>
      </c>
      <c r="D424" s="123">
        <v>0</v>
      </c>
      <c r="E424" s="123">
        <v>0</v>
      </c>
      <c r="F424" s="123">
        <v>0</v>
      </c>
      <c r="G424" s="123">
        <v>18</v>
      </c>
      <c r="H424" s="123">
        <v>18</v>
      </c>
      <c r="I424" s="123">
        <v>0</v>
      </c>
      <c r="J424" s="123">
        <v>25</v>
      </c>
      <c r="K424" s="123">
        <v>25</v>
      </c>
      <c r="L424" s="123">
        <v>0</v>
      </c>
      <c r="M424" s="123">
        <v>44</v>
      </c>
      <c r="N424" s="123">
        <v>23</v>
      </c>
      <c r="O424" s="123">
        <v>21</v>
      </c>
      <c r="P424" s="7" t="s">
        <v>13</v>
      </c>
      <c r="Q424" s="9"/>
      <c r="R424" s="1"/>
    </row>
    <row r="425" spans="1:18" ht="13.5" thickBot="1" x14ac:dyDescent="0.25">
      <c r="A425" s="123">
        <v>29</v>
      </c>
      <c r="B425" s="123">
        <v>29</v>
      </c>
      <c r="C425" s="123">
        <v>0</v>
      </c>
      <c r="D425" s="123">
        <v>0</v>
      </c>
      <c r="E425" s="123">
        <v>0</v>
      </c>
      <c r="F425" s="123">
        <v>0</v>
      </c>
      <c r="G425" s="123">
        <v>12</v>
      </c>
      <c r="H425" s="123">
        <v>12</v>
      </c>
      <c r="I425" s="123">
        <v>0</v>
      </c>
      <c r="J425" s="123">
        <v>12</v>
      </c>
      <c r="K425" s="123">
        <v>12</v>
      </c>
      <c r="L425" s="123">
        <v>0</v>
      </c>
      <c r="M425" s="123">
        <v>5</v>
      </c>
      <c r="N425" s="123">
        <v>5</v>
      </c>
      <c r="O425" s="123">
        <v>0</v>
      </c>
      <c r="P425" s="7" t="s">
        <v>163</v>
      </c>
      <c r="Q425" s="124"/>
      <c r="R425" s="1"/>
    </row>
    <row r="426" spans="1:18" ht="13.5" thickBot="1" x14ac:dyDescent="0.25">
      <c r="A426" s="123">
        <v>28</v>
      </c>
      <c r="B426" s="123">
        <v>16</v>
      </c>
      <c r="C426" s="123">
        <v>12</v>
      </c>
      <c r="D426" s="123">
        <v>0</v>
      </c>
      <c r="E426" s="123">
        <v>0</v>
      </c>
      <c r="F426" s="123">
        <v>0</v>
      </c>
      <c r="G426" s="123">
        <v>0</v>
      </c>
      <c r="H426" s="123">
        <v>0</v>
      </c>
      <c r="I426" s="123">
        <v>0</v>
      </c>
      <c r="J426" s="123">
        <v>5</v>
      </c>
      <c r="K426" s="123">
        <v>5</v>
      </c>
      <c r="L426" s="123">
        <v>0</v>
      </c>
      <c r="M426" s="123">
        <v>23</v>
      </c>
      <c r="N426" s="123">
        <v>11</v>
      </c>
      <c r="O426" s="123">
        <v>12</v>
      </c>
      <c r="P426" s="7" t="s">
        <v>162</v>
      </c>
      <c r="Q426" s="124" t="s">
        <v>408</v>
      </c>
      <c r="R426" s="1"/>
    </row>
    <row r="427" spans="1:18" ht="13.5" thickBot="1" x14ac:dyDescent="0.25">
      <c r="A427" s="123">
        <v>57</v>
      </c>
      <c r="B427" s="123">
        <v>45</v>
      </c>
      <c r="C427" s="123">
        <v>12</v>
      </c>
      <c r="D427" s="123">
        <v>0</v>
      </c>
      <c r="E427" s="123">
        <v>0</v>
      </c>
      <c r="F427" s="123">
        <v>0</v>
      </c>
      <c r="G427" s="123">
        <v>12</v>
      </c>
      <c r="H427" s="123">
        <v>12</v>
      </c>
      <c r="I427" s="123">
        <v>0</v>
      </c>
      <c r="J427" s="123">
        <v>17</v>
      </c>
      <c r="K427" s="123">
        <v>17</v>
      </c>
      <c r="L427" s="123">
        <v>0</v>
      </c>
      <c r="M427" s="123">
        <v>28</v>
      </c>
      <c r="N427" s="123">
        <v>16</v>
      </c>
      <c r="O427" s="123">
        <v>12</v>
      </c>
      <c r="P427" s="7" t="s">
        <v>13</v>
      </c>
      <c r="Q427" s="9"/>
      <c r="R427" s="1"/>
    </row>
    <row r="428" spans="1:18" ht="13.5" thickBot="1" x14ac:dyDescent="0.25">
      <c r="A428" s="123">
        <v>15</v>
      </c>
      <c r="B428" s="123">
        <v>15</v>
      </c>
      <c r="C428" s="123">
        <v>0</v>
      </c>
      <c r="D428" s="123">
        <v>9</v>
      </c>
      <c r="E428" s="123">
        <v>9</v>
      </c>
      <c r="F428" s="123">
        <v>0</v>
      </c>
      <c r="G428" s="123">
        <v>6</v>
      </c>
      <c r="H428" s="123">
        <v>6</v>
      </c>
      <c r="I428" s="123">
        <v>0</v>
      </c>
      <c r="J428" s="123">
        <v>0</v>
      </c>
      <c r="K428" s="123">
        <v>0</v>
      </c>
      <c r="L428" s="123">
        <v>0</v>
      </c>
      <c r="M428" s="123">
        <v>0</v>
      </c>
      <c r="N428" s="123">
        <v>0</v>
      </c>
      <c r="O428" s="123">
        <v>0</v>
      </c>
      <c r="P428" s="7" t="s">
        <v>163</v>
      </c>
      <c r="Q428" s="124"/>
      <c r="R428" s="1"/>
    </row>
    <row r="429" spans="1:18" ht="13.5" thickBot="1" x14ac:dyDescent="0.25">
      <c r="A429" s="123">
        <v>26</v>
      </c>
      <c r="B429" s="123">
        <v>19</v>
      </c>
      <c r="C429" s="123">
        <v>7</v>
      </c>
      <c r="D429" s="123">
        <v>0</v>
      </c>
      <c r="E429" s="123">
        <v>0</v>
      </c>
      <c r="F429" s="123">
        <v>0</v>
      </c>
      <c r="G429" s="123">
        <v>0</v>
      </c>
      <c r="H429" s="123">
        <v>0</v>
      </c>
      <c r="I429" s="123">
        <v>0</v>
      </c>
      <c r="J429" s="123">
        <v>12</v>
      </c>
      <c r="K429" s="123">
        <v>12</v>
      </c>
      <c r="L429" s="123">
        <v>0</v>
      </c>
      <c r="M429" s="123">
        <v>14</v>
      </c>
      <c r="N429" s="123">
        <v>7</v>
      </c>
      <c r="O429" s="123">
        <v>7</v>
      </c>
      <c r="P429" s="7" t="s">
        <v>162</v>
      </c>
      <c r="Q429" s="124" t="s">
        <v>409</v>
      </c>
      <c r="R429" s="1"/>
    </row>
    <row r="430" spans="1:18" ht="13.5" thickBot="1" x14ac:dyDescent="0.25">
      <c r="A430" s="123">
        <v>41</v>
      </c>
      <c r="B430" s="123">
        <v>34</v>
      </c>
      <c r="C430" s="123">
        <v>7</v>
      </c>
      <c r="D430" s="123">
        <v>9</v>
      </c>
      <c r="E430" s="123">
        <v>9</v>
      </c>
      <c r="F430" s="123">
        <v>0</v>
      </c>
      <c r="G430" s="123">
        <v>6</v>
      </c>
      <c r="H430" s="123">
        <v>6</v>
      </c>
      <c r="I430" s="123">
        <v>0</v>
      </c>
      <c r="J430" s="123">
        <v>12</v>
      </c>
      <c r="K430" s="123">
        <v>12</v>
      </c>
      <c r="L430" s="123">
        <v>0</v>
      </c>
      <c r="M430" s="123">
        <v>14</v>
      </c>
      <c r="N430" s="123">
        <v>7</v>
      </c>
      <c r="O430" s="123">
        <v>7</v>
      </c>
      <c r="P430" s="7" t="s">
        <v>13</v>
      </c>
      <c r="Q430" s="9"/>
      <c r="R430" s="1"/>
    </row>
    <row r="431" spans="1:18" ht="13.5" thickBot="1" x14ac:dyDescent="0.25">
      <c r="A431" s="123">
        <v>10</v>
      </c>
      <c r="B431" s="123">
        <v>10</v>
      </c>
      <c r="C431" s="123">
        <v>0</v>
      </c>
      <c r="D431" s="123">
        <v>0</v>
      </c>
      <c r="E431" s="123">
        <v>0</v>
      </c>
      <c r="F431" s="123">
        <v>0</v>
      </c>
      <c r="G431" s="123">
        <v>9</v>
      </c>
      <c r="H431" s="123">
        <v>9</v>
      </c>
      <c r="I431" s="123">
        <v>0</v>
      </c>
      <c r="J431" s="123">
        <v>0</v>
      </c>
      <c r="K431" s="123">
        <v>0</v>
      </c>
      <c r="L431" s="123">
        <v>0</v>
      </c>
      <c r="M431" s="123">
        <v>1</v>
      </c>
      <c r="N431" s="123">
        <v>1</v>
      </c>
      <c r="O431" s="123">
        <v>0</v>
      </c>
      <c r="P431" s="7" t="s">
        <v>163</v>
      </c>
      <c r="Q431" s="124"/>
      <c r="R431" s="1"/>
    </row>
    <row r="432" spans="1:18" ht="13.5" thickBot="1" x14ac:dyDescent="0.25">
      <c r="A432" s="123">
        <v>39</v>
      </c>
      <c r="B432" s="123">
        <v>25</v>
      </c>
      <c r="C432" s="123">
        <v>14</v>
      </c>
      <c r="D432" s="123">
        <v>0</v>
      </c>
      <c r="E432" s="123">
        <v>0</v>
      </c>
      <c r="F432" s="123">
        <v>0</v>
      </c>
      <c r="G432" s="123">
        <v>0</v>
      </c>
      <c r="H432" s="123">
        <v>0</v>
      </c>
      <c r="I432" s="123">
        <v>0</v>
      </c>
      <c r="J432" s="123">
        <v>17</v>
      </c>
      <c r="K432" s="123">
        <v>16</v>
      </c>
      <c r="L432" s="123">
        <v>1</v>
      </c>
      <c r="M432" s="123">
        <v>22</v>
      </c>
      <c r="N432" s="123">
        <v>9</v>
      </c>
      <c r="O432" s="123">
        <v>13</v>
      </c>
      <c r="P432" s="7" t="s">
        <v>162</v>
      </c>
      <c r="Q432" s="124" t="s">
        <v>410</v>
      </c>
      <c r="R432" s="1"/>
    </row>
    <row r="433" spans="1:18" ht="13.5" thickBot="1" x14ac:dyDescent="0.25">
      <c r="A433" s="123">
        <v>49</v>
      </c>
      <c r="B433" s="123">
        <v>35</v>
      </c>
      <c r="C433" s="123">
        <v>14</v>
      </c>
      <c r="D433" s="123">
        <v>0</v>
      </c>
      <c r="E433" s="123">
        <v>0</v>
      </c>
      <c r="F433" s="123">
        <v>0</v>
      </c>
      <c r="G433" s="123">
        <v>9</v>
      </c>
      <c r="H433" s="123">
        <v>9</v>
      </c>
      <c r="I433" s="123">
        <v>0</v>
      </c>
      <c r="J433" s="123">
        <v>17</v>
      </c>
      <c r="K433" s="123">
        <v>16</v>
      </c>
      <c r="L433" s="123">
        <v>1</v>
      </c>
      <c r="M433" s="123">
        <v>23</v>
      </c>
      <c r="N433" s="123">
        <v>10</v>
      </c>
      <c r="O433" s="123">
        <v>13</v>
      </c>
      <c r="P433" s="7" t="s">
        <v>13</v>
      </c>
      <c r="Q433" s="9"/>
      <c r="R433" s="1"/>
    </row>
    <row r="434" spans="1:18" ht="13.5" thickBot="1" x14ac:dyDescent="0.25">
      <c r="A434" s="123">
        <v>125</v>
      </c>
      <c r="B434" s="123">
        <v>125</v>
      </c>
      <c r="C434" s="123">
        <v>0</v>
      </c>
      <c r="D434" s="123">
        <v>2</v>
      </c>
      <c r="E434" s="123">
        <v>2</v>
      </c>
      <c r="F434" s="123">
        <v>0</v>
      </c>
      <c r="G434" s="123">
        <v>16</v>
      </c>
      <c r="H434" s="123">
        <v>16</v>
      </c>
      <c r="I434" s="123">
        <v>0</v>
      </c>
      <c r="J434" s="123">
        <v>44</v>
      </c>
      <c r="K434" s="123">
        <v>44</v>
      </c>
      <c r="L434" s="123">
        <v>0</v>
      </c>
      <c r="M434" s="123">
        <v>63</v>
      </c>
      <c r="N434" s="123">
        <v>63</v>
      </c>
      <c r="O434" s="123">
        <v>0</v>
      </c>
      <c r="P434" s="7" t="s">
        <v>163</v>
      </c>
      <c r="Q434" s="124"/>
      <c r="R434" s="1"/>
    </row>
    <row r="435" spans="1:18" ht="13.5" thickBot="1" x14ac:dyDescent="0.25">
      <c r="A435" s="123">
        <v>50</v>
      </c>
      <c r="B435" s="123">
        <v>24</v>
      </c>
      <c r="C435" s="123">
        <v>26</v>
      </c>
      <c r="D435" s="123">
        <v>10</v>
      </c>
      <c r="E435" s="123">
        <v>10</v>
      </c>
      <c r="F435" s="123">
        <v>0</v>
      </c>
      <c r="G435" s="123">
        <v>0</v>
      </c>
      <c r="H435" s="123">
        <v>0</v>
      </c>
      <c r="I435" s="123">
        <v>0</v>
      </c>
      <c r="J435" s="123">
        <v>2</v>
      </c>
      <c r="K435" s="123">
        <v>2</v>
      </c>
      <c r="L435" s="123">
        <v>0</v>
      </c>
      <c r="M435" s="123">
        <v>38</v>
      </c>
      <c r="N435" s="123">
        <v>12</v>
      </c>
      <c r="O435" s="123">
        <v>26</v>
      </c>
      <c r="P435" s="7" t="s">
        <v>162</v>
      </c>
      <c r="Q435" s="124" t="s">
        <v>411</v>
      </c>
      <c r="R435" s="1"/>
    </row>
    <row r="436" spans="1:18" ht="13.5" thickBot="1" x14ac:dyDescent="0.25">
      <c r="A436" s="123">
        <v>175</v>
      </c>
      <c r="B436" s="123">
        <v>149</v>
      </c>
      <c r="C436" s="123">
        <v>26</v>
      </c>
      <c r="D436" s="123">
        <v>12</v>
      </c>
      <c r="E436" s="123">
        <v>12</v>
      </c>
      <c r="F436" s="123">
        <v>0</v>
      </c>
      <c r="G436" s="123">
        <v>16</v>
      </c>
      <c r="H436" s="123">
        <v>16</v>
      </c>
      <c r="I436" s="123">
        <v>0</v>
      </c>
      <c r="J436" s="123">
        <v>46</v>
      </c>
      <c r="K436" s="123">
        <v>46</v>
      </c>
      <c r="L436" s="123">
        <v>0</v>
      </c>
      <c r="M436" s="123">
        <v>101</v>
      </c>
      <c r="N436" s="123">
        <v>75</v>
      </c>
      <c r="O436" s="123">
        <v>26</v>
      </c>
      <c r="P436" s="7" t="s">
        <v>13</v>
      </c>
      <c r="Q436" s="9"/>
      <c r="R436" s="1"/>
    </row>
    <row r="437" spans="1:18" ht="13.5" thickBot="1" x14ac:dyDescent="0.25">
      <c r="A437" s="123">
        <v>6</v>
      </c>
      <c r="B437" s="123">
        <v>6</v>
      </c>
      <c r="C437" s="123">
        <v>0</v>
      </c>
      <c r="D437" s="123">
        <v>0</v>
      </c>
      <c r="E437" s="123">
        <v>0</v>
      </c>
      <c r="F437" s="123">
        <v>0</v>
      </c>
      <c r="G437" s="123">
        <v>4</v>
      </c>
      <c r="H437" s="123">
        <v>4</v>
      </c>
      <c r="I437" s="123">
        <v>0</v>
      </c>
      <c r="J437" s="123">
        <v>0</v>
      </c>
      <c r="K437" s="123">
        <v>0</v>
      </c>
      <c r="L437" s="123">
        <v>0</v>
      </c>
      <c r="M437" s="123">
        <v>2</v>
      </c>
      <c r="N437" s="123">
        <v>2</v>
      </c>
      <c r="O437" s="123">
        <v>0</v>
      </c>
      <c r="P437" s="7" t="s">
        <v>163</v>
      </c>
      <c r="Q437" s="124"/>
      <c r="R437" s="1"/>
    </row>
    <row r="438" spans="1:18" ht="13.5" thickBot="1" x14ac:dyDescent="0.25">
      <c r="A438" s="123">
        <v>3</v>
      </c>
      <c r="B438" s="123">
        <v>3</v>
      </c>
      <c r="C438" s="123">
        <v>0</v>
      </c>
      <c r="D438" s="123">
        <v>0</v>
      </c>
      <c r="E438" s="123">
        <v>0</v>
      </c>
      <c r="F438" s="123">
        <v>0</v>
      </c>
      <c r="G438" s="123">
        <v>0</v>
      </c>
      <c r="H438" s="123">
        <v>0</v>
      </c>
      <c r="I438" s="123">
        <v>0</v>
      </c>
      <c r="J438" s="123">
        <v>3</v>
      </c>
      <c r="K438" s="123">
        <v>3</v>
      </c>
      <c r="L438" s="123">
        <v>0</v>
      </c>
      <c r="M438" s="123">
        <v>0</v>
      </c>
      <c r="N438" s="123">
        <v>0</v>
      </c>
      <c r="O438" s="123">
        <v>0</v>
      </c>
      <c r="P438" s="7" t="s">
        <v>162</v>
      </c>
      <c r="Q438" s="124" t="s">
        <v>100</v>
      </c>
      <c r="R438" s="1"/>
    </row>
    <row r="439" spans="1:18" ht="13.5" thickBot="1" x14ac:dyDescent="0.25">
      <c r="A439" s="123">
        <v>9</v>
      </c>
      <c r="B439" s="123">
        <v>9</v>
      </c>
      <c r="C439" s="123">
        <v>0</v>
      </c>
      <c r="D439" s="123">
        <v>0</v>
      </c>
      <c r="E439" s="123">
        <v>0</v>
      </c>
      <c r="F439" s="123">
        <v>0</v>
      </c>
      <c r="G439" s="123">
        <v>4</v>
      </c>
      <c r="H439" s="123">
        <v>4</v>
      </c>
      <c r="I439" s="123">
        <v>0</v>
      </c>
      <c r="J439" s="123">
        <v>3</v>
      </c>
      <c r="K439" s="123">
        <v>3</v>
      </c>
      <c r="L439" s="123">
        <v>0</v>
      </c>
      <c r="M439" s="123">
        <v>2</v>
      </c>
      <c r="N439" s="123">
        <v>2</v>
      </c>
      <c r="O439" s="123">
        <v>0</v>
      </c>
      <c r="P439" s="7" t="s">
        <v>13</v>
      </c>
      <c r="Q439" s="9"/>
      <c r="R439" s="1"/>
    </row>
    <row r="440" spans="1:18" ht="13.5" thickBot="1" x14ac:dyDescent="0.25">
      <c r="A440" s="123">
        <v>7</v>
      </c>
      <c r="B440" s="123">
        <v>7</v>
      </c>
      <c r="C440" s="123">
        <v>0</v>
      </c>
      <c r="D440" s="123">
        <v>5</v>
      </c>
      <c r="E440" s="123">
        <v>5</v>
      </c>
      <c r="F440" s="123">
        <v>0</v>
      </c>
      <c r="G440" s="123">
        <v>0</v>
      </c>
      <c r="H440" s="123">
        <v>0</v>
      </c>
      <c r="I440" s="123">
        <v>0</v>
      </c>
      <c r="J440" s="123">
        <v>2</v>
      </c>
      <c r="K440" s="123">
        <v>2</v>
      </c>
      <c r="L440" s="123">
        <v>0</v>
      </c>
      <c r="M440" s="123">
        <v>0</v>
      </c>
      <c r="N440" s="123">
        <v>0</v>
      </c>
      <c r="O440" s="123">
        <v>0</v>
      </c>
      <c r="P440" s="7" t="s">
        <v>163</v>
      </c>
      <c r="Q440" s="124"/>
      <c r="R440" s="1"/>
    </row>
    <row r="441" spans="1:18" ht="13.5" thickBot="1" x14ac:dyDescent="0.25">
      <c r="A441" s="123">
        <v>3</v>
      </c>
      <c r="B441" s="123">
        <v>3</v>
      </c>
      <c r="C441" s="123">
        <v>0</v>
      </c>
      <c r="D441" s="123">
        <v>0</v>
      </c>
      <c r="E441" s="123">
        <v>0</v>
      </c>
      <c r="F441" s="123">
        <v>0</v>
      </c>
      <c r="G441" s="123">
        <v>0</v>
      </c>
      <c r="H441" s="123">
        <v>0</v>
      </c>
      <c r="I441" s="123">
        <v>0</v>
      </c>
      <c r="J441" s="123">
        <v>3</v>
      </c>
      <c r="K441" s="123">
        <v>3</v>
      </c>
      <c r="L441" s="123">
        <v>0</v>
      </c>
      <c r="M441" s="123">
        <v>0</v>
      </c>
      <c r="N441" s="123">
        <v>0</v>
      </c>
      <c r="O441" s="123">
        <v>0</v>
      </c>
      <c r="P441" s="7" t="s">
        <v>162</v>
      </c>
      <c r="Q441" s="124" t="s">
        <v>101</v>
      </c>
      <c r="R441" s="1"/>
    </row>
    <row r="442" spans="1:18" ht="13.5" thickBot="1" x14ac:dyDescent="0.25">
      <c r="A442" s="123">
        <v>10</v>
      </c>
      <c r="B442" s="123">
        <v>10</v>
      </c>
      <c r="C442" s="123">
        <v>0</v>
      </c>
      <c r="D442" s="123">
        <v>5</v>
      </c>
      <c r="E442" s="123">
        <v>5</v>
      </c>
      <c r="F442" s="123">
        <v>0</v>
      </c>
      <c r="G442" s="123">
        <v>0</v>
      </c>
      <c r="H442" s="123">
        <v>0</v>
      </c>
      <c r="I442" s="123">
        <v>0</v>
      </c>
      <c r="J442" s="123">
        <v>5</v>
      </c>
      <c r="K442" s="123">
        <v>5</v>
      </c>
      <c r="L442" s="123">
        <v>0</v>
      </c>
      <c r="M442" s="123">
        <v>0</v>
      </c>
      <c r="N442" s="123">
        <v>0</v>
      </c>
      <c r="O442" s="123">
        <v>0</v>
      </c>
      <c r="P442" s="7" t="s">
        <v>13</v>
      </c>
      <c r="Q442" s="9"/>
      <c r="R442" s="1"/>
    </row>
    <row r="443" spans="1:18" ht="13.5" thickBot="1" x14ac:dyDescent="0.25">
      <c r="A443" s="123">
        <v>11</v>
      </c>
      <c r="B443" s="123">
        <v>11</v>
      </c>
      <c r="C443" s="123">
        <v>0</v>
      </c>
      <c r="D443" s="123">
        <v>0</v>
      </c>
      <c r="E443" s="123">
        <v>0</v>
      </c>
      <c r="F443" s="123">
        <v>0</v>
      </c>
      <c r="G443" s="123">
        <v>9</v>
      </c>
      <c r="H443" s="123">
        <v>9</v>
      </c>
      <c r="I443" s="123">
        <v>0</v>
      </c>
      <c r="J443" s="123">
        <v>2</v>
      </c>
      <c r="K443" s="123">
        <v>2</v>
      </c>
      <c r="L443" s="123">
        <v>0</v>
      </c>
      <c r="M443" s="123">
        <v>0</v>
      </c>
      <c r="N443" s="123">
        <v>0</v>
      </c>
      <c r="O443" s="123">
        <v>0</v>
      </c>
      <c r="P443" s="7" t="s">
        <v>163</v>
      </c>
      <c r="Q443" s="124"/>
      <c r="R443" s="1"/>
    </row>
    <row r="444" spans="1:18" ht="13.5" thickBot="1" x14ac:dyDescent="0.25">
      <c r="A444" s="123">
        <v>19</v>
      </c>
      <c r="B444" s="123">
        <v>16</v>
      </c>
      <c r="C444" s="123">
        <v>3</v>
      </c>
      <c r="D444" s="123">
        <v>0</v>
      </c>
      <c r="E444" s="123">
        <v>0</v>
      </c>
      <c r="F444" s="123">
        <v>0</v>
      </c>
      <c r="G444" s="123">
        <v>0</v>
      </c>
      <c r="H444" s="123">
        <v>0</v>
      </c>
      <c r="I444" s="123">
        <v>0</v>
      </c>
      <c r="J444" s="123">
        <v>8</v>
      </c>
      <c r="K444" s="123">
        <v>8</v>
      </c>
      <c r="L444" s="123">
        <v>0</v>
      </c>
      <c r="M444" s="123">
        <v>11</v>
      </c>
      <c r="N444" s="123">
        <v>8</v>
      </c>
      <c r="O444" s="123">
        <v>3</v>
      </c>
      <c r="P444" s="7" t="s">
        <v>162</v>
      </c>
      <c r="Q444" s="124" t="s">
        <v>412</v>
      </c>
      <c r="R444" s="1"/>
    </row>
    <row r="445" spans="1:18" ht="13.5" thickBot="1" x14ac:dyDescent="0.25">
      <c r="A445" s="123">
        <v>30</v>
      </c>
      <c r="B445" s="123">
        <v>27</v>
      </c>
      <c r="C445" s="123">
        <v>3</v>
      </c>
      <c r="D445" s="123">
        <v>0</v>
      </c>
      <c r="E445" s="123">
        <v>0</v>
      </c>
      <c r="F445" s="123">
        <v>0</v>
      </c>
      <c r="G445" s="123">
        <v>9</v>
      </c>
      <c r="H445" s="123">
        <v>9</v>
      </c>
      <c r="I445" s="123">
        <v>0</v>
      </c>
      <c r="J445" s="123">
        <v>10</v>
      </c>
      <c r="K445" s="123">
        <v>10</v>
      </c>
      <c r="L445" s="123">
        <v>0</v>
      </c>
      <c r="M445" s="123">
        <v>11</v>
      </c>
      <c r="N445" s="123">
        <v>8</v>
      </c>
      <c r="O445" s="123">
        <v>3</v>
      </c>
      <c r="P445" s="7" t="s">
        <v>13</v>
      </c>
      <c r="Q445" s="9"/>
      <c r="R445" s="1"/>
    </row>
    <row r="446" spans="1:18" ht="13.5" thickBot="1" x14ac:dyDescent="0.25">
      <c r="A446" s="123">
        <v>110</v>
      </c>
      <c r="B446" s="123">
        <v>110</v>
      </c>
      <c r="C446" s="123">
        <v>0</v>
      </c>
      <c r="D446" s="123">
        <v>0</v>
      </c>
      <c r="E446" s="123">
        <v>0</v>
      </c>
      <c r="F446" s="123">
        <v>0</v>
      </c>
      <c r="G446" s="123">
        <v>17</v>
      </c>
      <c r="H446" s="123">
        <v>17</v>
      </c>
      <c r="I446" s="123">
        <v>0</v>
      </c>
      <c r="J446" s="123">
        <v>43</v>
      </c>
      <c r="K446" s="123">
        <v>43</v>
      </c>
      <c r="L446" s="123">
        <v>0</v>
      </c>
      <c r="M446" s="123">
        <v>50</v>
      </c>
      <c r="N446" s="123">
        <v>50</v>
      </c>
      <c r="O446" s="123">
        <v>0</v>
      </c>
      <c r="P446" s="7" t="s">
        <v>163</v>
      </c>
      <c r="Q446" s="124"/>
      <c r="R446" s="1"/>
    </row>
    <row r="447" spans="1:18" ht="13.5" thickBot="1" x14ac:dyDescent="0.25">
      <c r="A447" s="123">
        <v>43</v>
      </c>
      <c r="B447" s="123">
        <v>26</v>
      </c>
      <c r="C447" s="123">
        <v>17</v>
      </c>
      <c r="D447" s="123">
        <v>0</v>
      </c>
      <c r="E447" s="123">
        <v>0</v>
      </c>
      <c r="F447" s="123">
        <v>0</v>
      </c>
      <c r="G447" s="123">
        <v>0</v>
      </c>
      <c r="H447" s="123">
        <v>0</v>
      </c>
      <c r="I447" s="123">
        <v>0</v>
      </c>
      <c r="J447" s="123">
        <v>3</v>
      </c>
      <c r="K447" s="123">
        <v>3</v>
      </c>
      <c r="L447" s="123">
        <v>0</v>
      </c>
      <c r="M447" s="123">
        <v>40</v>
      </c>
      <c r="N447" s="123">
        <v>23</v>
      </c>
      <c r="O447" s="123">
        <v>17</v>
      </c>
      <c r="P447" s="7" t="s">
        <v>162</v>
      </c>
      <c r="Q447" s="124" t="s">
        <v>413</v>
      </c>
      <c r="R447" s="1"/>
    </row>
    <row r="448" spans="1:18" ht="13.5" thickBot="1" x14ac:dyDescent="0.25">
      <c r="A448" s="123">
        <v>153</v>
      </c>
      <c r="B448" s="123">
        <v>136</v>
      </c>
      <c r="C448" s="123">
        <v>17</v>
      </c>
      <c r="D448" s="123">
        <v>0</v>
      </c>
      <c r="E448" s="123">
        <v>0</v>
      </c>
      <c r="F448" s="123">
        <v>0</v>
      </c>
      <c r="G448" s="123">
        <v>17</v>
      </c>
      <c r="H448" s="123">
        <v>17</v>
      </c>
      <c r="I448" s="123">
        <v>0</v>
      </c>
      <c r="J448" s="123">
        <v>46</v>
      </c>
      <c r="K448" s="123">
        <v>46</v>
      </c>
      <c r="L448" s="123">
        <v>0</v>
      </c>
      <c r="M448" s="123">
        <v>90</v>
      </c>
      <c r="N448" s="123">
        <v>73</v>
      </c>
      <c r="O448" s="123">
        <v>17</v>
      </c>
      <c r="P448" s="7" t="s">
        <v>13</v>
      </c>
      <c r="Q448" s="9"/>
      <c r="R448" s="1"/>
    </row>
    <row r="449" spans="1:18" ht="13.5" thickBot="1" x14ac:dyDescent="0.25">
      <c r="A449" s="123">
        <v>5</v>
      </c>
      <c r="B449" s="123">
        <v>5</v>
      </c>
      <c r="C449" s="123">
        <v>0</v>
      </c>
      <c r="D449" s="123">
        <v>0</v>
      </c>
      <c r="E449" s="123">
        <v>0</v>
      </c>
      <c r="F449" s="123">
        <v>0</v>
      </c>
      <c r="G449" s="123">
        <v>5</v>
      </c>
      <c r="H449" s="123">
        <v>5</v>
      </c>
      <c r="I449" s="123">
        <v>0</v>
      </c>
      <c r="J449" s="123">
        <v>0</v>
      </c>
      <c r="K449" s="123">
        <v>0</v>
      </c>
      <c r="L449" s="123">
        <v>0</v>
      </c>
      <c r="M449" s="123">
        <v>0</v>
      </c>
      <c r="N449" s="123">
        <v>0</v>
      </c>
      <c r="O449" s="123">
        <v>0</v>
      </c>
      <c r="P449" s="7" t="s">
        <v>163</v>
      </c>
      <c r="Q449" s="124"/>
      <c r="R449" s="1"/>
    </row>
    <row r="450" spans="1:18" ht="13.5" thickBot="1" x14ac:dyDescent="0.25">
      <c r="A450" s="123">
        <v>33</v>
      </c>
      <c r="B450" s="123">
        <v>27</v>
      </c>
      <c r="C450" s="123">
        <v>6</v>
      </c>
      <c r="D450" s="123">
        <v>0</v>
      </c>
      <c r="E450" s="123">
        <v>0</v>
      </c>
      <c r="F450" s="123">
        <v>0</v>
      </c>
      <c r="G450" s="123">
        <v>0</v>
      </c>
      <c r="H450" s="123">
        <v>0</v>
      </c>
      <c r="I450" s="123">
        <v>0</v>
      </c>
      <c r="J450" s="123">
        <v>23</v>
      </c>
      <c r="K450" s="123">
        <v>22</v>
      </c>
      <c r="L450" s="123">
        <v>1</v>
      </c>
      <c r="M450" s="123">
        <v>10</v>
      </c>
      <c r="N450" s="123">
        <v>5</v>
      </c>
      <c r="O450" s="123">
        <v>5</v>
      </c>
      <c r="P450" s="7" t="s">
        <v>162</v>
      </c>
      <c r="Q450" s="124" t="s">
        <v>414</v>
      </c>
      <c r="R450" s="1"/>
    </row>
    <row r="451" spans="1:18" ht="13.5" thickBot="1" x14ac:dyDescent="0.25">
      <c r="A451" s="123">
        <v>38</v>
      </c>
      <c r="B451" s="123">
        <v>32</v>
      </c>
      <c r="C451" s="123">
        <v>6</v>
      </c>
      <c r="D451" s="123">
        <v>0</v>
      </c>
      <c r="E451" s="123">
        <v>0</v>
      </c>
      <c r="F451" s="123">
        <v>0</v>
      </c>
      <c r="G451" s="123">
        <v>5</v>
      </c>
      <c r="H451" s="123">
        <v>5</v>
      </c>
      <c r="I451" s="123">
        <v>0</v>
      </c>
      <c r="J451" s="123">
        <v>23</v>
      </c>
      <c r="K451" s="123">
        <v>22</v>
      </c>
      <c r="L451" s="123">
        <v>1</v>
      </c>
      <c r="M451" s="123">
        <v>10</v>
      </c>
      <c r="N451" s="123">
        <v>5</v>
      </c>
      <c r="O451" s="123">
        <v>5</v>
      </c>
      <c r="P451" s="7" t="s">
        <v>13</v>
      </c>
      <c r="Q451" s="9"/>
      <c r="R451" s="1"/>
    </row>
    <row r="452" spans="1:18" ht="13.5" thickBot="1" x14ac:dyDescent="0.25">
      <c r="A452" s="123">
        <v>45</v>
      </c>
      <c r="B452" s="123">
        <v>45</v>
      </c>
      <c r="C452" s="123">
        <v>0</v>
      </c>
      <c r="D452" s="123">
        <v>10</v>
      </c>
      <c r="E452" s="123">
        <v>10</v>
      </c>
      <c r="F452" s="123">
        <v>0</v>
      </c>
      <c r="G452" s="123">
        <v>29</v>
      </c>
      <c r="H452" s="123">
        <v>29</v>
      </c>
      <c r="I452" s="123">
        <v>0</v>
      </c>
      <c r="J452" s="123">
        <v>6</v>
      </c>
      <c r="K452" s="123">
        <v>6</v>
      </c>
      <c r="L452" s="123">
        <v>0</v>
      </c>
      <c r="M452" s="123">
        <v>0</v>
      </c>
      <c r="N452" s="123">
        <v>0</v>
      </c>
      <c r="O452" s="123">
        <v>0</v>
      </c>
      <c r="P452" s="7" t="s">
        <v>163</v>
      </c>
      <c r="Q452" s="124"/>
      <c r="R452" s="1"/>
    </row>
    <row r="453" spans="1:18" ht="13.5" thickBot="1" x14ac:dyDescent="0.25">
      <c r="A453" s="123">
        <v>34</v>
      </c>
      <c r="B453" s="123">
        <v>27</v>
      </c>
      <c r="C453" s="123">
        <v>7</v>
      </c>
      <c r="D453" s="123">
        <v>0</v>
      </c>
      <c r="E453" s="123">
        <v>0</v>
      </c>
      <c r="F453" s="123">
        <v>0</v>
      </c>
      <c r="G453" s="123">
        <v>1</v>
      </c>
      <c r="H453" s="123">
        <v>1</v>
      </c>
      <c r="I453" s="123">
        <v>0</v>
      </c>
      <c r="J453" s="123">
        <v>2</v>
      </c>
      <c r="K453" s="123">
        <v>2</v>
      </c>
      <c r="L453" s="123">
        <v>0</v>
      </c>
      <c r="M453" s="123">
        <v>31</v>
      </c>
      <c r="N453" s="123">
        <v>24</v>
      </c>
      <c r="O453" s="123">
        <v>7</v>
      </c>
      <c r="P453" s="7" t="s">
        <v>162</v>
      </c>
      <c r="Q453" s="124" t="s">
        <v>415</v>
      </c>
      <c r="R453" s="1"/>
    </row>
    <row r="454" spans="1:18" ht="13.5" thickBot="1" x14ac:dyDescent="0.25">
      <c r="A454" s="123">
        <v>79</v>
      </c>
      <c r="B454" s="123">
        <v>72</v>
      </c>
      <c r="C454" s="123">
        <v>7</v>
      </c>
      <c r="D454" s="123">
        <v>10</v>
      </c>
      <c r="E454" s="123">
        <v>10</v>
      </c>
      <c r="F454" s="123">
        <v>0</v>
      </c>
      <c r="G454" s="123">
        <v>30</v>
      </c>
      <c r="H454" s="123">
        <v>30</v>
      </c>
      <c r="I454" s="123">
        <v>0</v>
      </c>
      <c r="J454" s="123">
        <v>8</v>
      </c>
      <c r="K454" s="123">
        <v>8</v>
      </c>
      <c r="L454" s="123">
        <v>0</v>
      </c>
      <c r="M454" s="123">
        <v>31</v>
      </c>
      <c r="N454" s="123">
        <v>24</v>
      </c>
      <c r="O454" s="123">
        <v>7</v>
      </c>
      <c r="P454" s="7" t="s">
        <v>13</v>
      </c>
      <c r="Q454" s="9"/>
      <c r="R454" s="1"/>
    </row>
    <row r="455" spans="1:18" ht="13.5" thickBot="1" x14ac:dyDescent="0.25">
      <c r="A455" s="123">
        <v>18</v>
      </c>
      <c r="B455" s="123">
        <v>18</v>
      </c>
      <c r="C455" s="123">
        <v>0</v>
      </c>
      <c r="D455" s="123">
        <v>11</v>
      </c>
      <c r="E455" s="123">
        <v>11</v>
      </c>
      <c r="F455" s="123">
        <v>0</v>
      </c>
      <c r="G455" s="123">
        <v>4</v>
      </c>
      <c r="H455" s="123">
        <v>4</v>
      </c>
      <c r="I455" s="123">
        <v>0</v>
      </c>
      <c r="J455" s="123">
        <v>2</v>
      </c>
      <c r="K455" s="123">
        <v>2</v>
      </c>
      <c r="L455" s="123">
        <v>0</v>
      </c>
      <c r="M455" s="123">
        <v>1</v>
      </c>
      <c r="N455" s="123">
        <v>1</v>
      </c>
      <c r="O455" s="123">
        <v>0</v>
      </c>
      <c r="P455" s="7" t="s">
        <v>163</v>
      </c>
      <c r="Q455" s="124"/>
      <c r="R455" s="1"/>
    </row>
    <row r="456" spans="1:18" ht="13.5" thickBot="1" x14ac:dyDescent="0.25">
      <c r="A456" s="123">
        <v>16</v>
      </c>
      <c r="B456" s="123">
        <v>16</v>
      </c>
      <c r="C456" s="123">
        <v>0</v>
      </c>
      <c r="D456" s="123">
        <v>9</v>
      </c>
      <c r="E456" s="123">
        <v>9</v>
      </c>
      <c r="F456" s="123">
        <v>0</v>
      </c>
      <c r="G456" s="123">
        <v>0</v>
      </c>
      <c r="H456" s="123">
        <v>0</v>
      </c>
      <c r="I456" s="123">
        <v>0</v>
      </c>
      <c r="J456" s="123">
        <v>5</v>
      </c>
      <c r="K456" s="123">
        <v>5</v>
      </c>
      <c r="L456" s="123">
        <v>0</v>
      </c>
      <c r="M456" s="123">
        <v>2</v>
      </c>
      <c r="N456" s="123">
        <v>2</v>
      </c>
      <c r="O456" s="123">
        <v>0</v>
      </c>
      <c r="P456" s="7" t="s">
        <v>162</v>
      </c>
      <c r="Q456" s="124" t="s">
        <v>251</v>
      </c>
      <c r="R456" s="1"/>
    </row>
    <row r="457" spans="1:18" ht="13.5" thickBot="1" x14ac:dyDescent="0.25">
      <c r="A457" s="123">
        <v>34</v>
      </c>
      <c r="B457" s="123">
        <v>34</v>
      </c>
      <c r="C457" s="123">
        <v>0</v>
      </c>
      <c r="D457" s="123">
        <v>20</v>
      </c>
      <c r="E457" s="123">
        <v>20</v>
      </c>
      <c r="F457" s="123">
        <v>0</v>
      </c>
      <c r="G457" s="123">
        <v>4</v>
      </c>
      <c r="H457" s="123">
        <v>4</v>
      </c>
      <c r="I457" s="123">
        <v>0</v>
      </c>
      <c r="J457" s="123">
        <v>7</v>
      </c>
      <c r="K457" s="123">
        <v>7</v>
      </c>
      <c r="L457" s="123">
        <v>0</v>
      </c>
      <c r="M457" s="123">
        <v>3</v>
      </c>
      <c r="N457" s="123">
        <v>3</v>
      </c>
      <c r="O457" s="123">
        <v>0</v>
      </c>
      <c r="P457" s="7" t="s">
        <v>13</v>
      </c>
      <c r="Q457" s="9"/>
      <c r="R457" s="1"/>
    </row>
    <row r="458" spans="1:18" ht="13.5" thickBot="1" x14ac:dyDescent="0.25">
      <c r="A458" s="123">
        <v>2</v>
      </c>
      <c r="B458" s="123">
        <v>2</v>
      </c>
      <c r="C458" s="123">
        <v>0</v>
      </c>
      <c r="D458" s="123">
        <v>0</v>
      </c>
      <c r="E458" s="123">
        <v>0</v>
      </c>
      <c r="F458" s="123">
        <v>0</v>
      </c>
      <c r="G458" s="123">
        <v>2</v>
      </c>
      <c r="H458" s="123">
        <v>2</v>
      </c>
      <c r="I458" s="123">
        <v>0</v>
      </c>
      <c r="J458" s="123">
        <v>0</v>
      </c>
      <c r="K458" s="123">
        <v>0</v>
      </c>
      <c r="L458" s="123">
        <v>0</v>
      </c>
      <c r="M458" s="123">
        <v>0</v>
      </c>
      <c r="N458" s="123">
        <v>0</v>
      </c>
      <c r="O458" s="123">
        <v>0</v>
      </c>
      <c r="P458" s="7" t="s">
        <v>163</v>
      </c>
      <c r="Q458" s="124"/>
      <c r="R458" s="1"/>
    </row>
    <row r="459" spans="1:18" ht="13.5" thickBot="1" x14ac:dyDescent="0.25">
      <c r="A459" s="123">
        <v>9</v>
      </c>
      <c r="B459" s="123">
        <v>9</v>
      </c>
      <c r="C459" s="123">
        <v>0</v>
      </c>
      <c r="D459" s="123">
        <v>0</v>
      </c>
      <c r="E459" s="123">
        <v>0</v>
      </c>
      <c r="F459" s="123">
        <v>0</v>
      </c>
      <c r="G459" s="123">
        <v>6</v>
      </c>
      <c r="H459" s="123">
        <v>6</v>
      </c>
      <c r="I459" s="123">
        <v>0</v>
      </c>
      <c r="J459" s="123">
        <v>1</v>
      </c>
      <c r="K459" s="123">
        <v>1</v>
      </c>
      <c r="L459" s="123">
        <v>0</v>
      </c>
      <c r="M459" s="123">
        <v>2</v>
      </c>
      <c r="N459" s="123">
        <v>2</v>
      </c>
      <c r="O459" s="123">
        <v>0</v>
      </c>
      <c r="P459" s="7" t="s">
        <v>162</v>
      </c>
      <c r="Q459" s="124" t="s">
        <v>252</v>
      </c>
      <c r="R459" s="1"/>
    </row>
    <row r="460" spans="1:18" ht="13.5" thickBot="1" x14ac:dyDescent="0.25">
      <c r="A460" s="123">
        <v>11</v>
      </c>
      <c r="B460" s="123">
        <v>11</v>
      </c>
      <c r="C460" s="123">
        <v>0</v>
      </c>
      <c r="D460" s="123">
        <v>0</v>
      </c>
      <c r="E460" s="123">
        <v>0</v>
      </c>
      <c r="F460" s="123">
        <v>0</v>
      </c>
      <c r="G460" s="123">
        <v>8</v>
      </c>
      <c r="H460" s="123">
        <v>8</v>
      </c>
      <c r="I460" s="123">
        <v>0</v>
      </c>
      <c r="J460" s="123">
        <v>1</v>
      </c>
      <c r="K460" s="123">
        <v>1</v>
      </c>
      <c r="L460" s="123">
        <v>0</v>
      </c>
      <c r="M460" s="123">
        <v>2</v>
      </c>
      <c r="N460" s="123">
        <v>2</v>
      </c>
      <c r="O460" s="123">
        <v>0</v>
      </c>
      <c r="P460" s="7" t="s">
        <v>13</v>
      </c>
      <c r="Q460" s="9"/>
      <c r="R460" s="1"/>
    </row>
    <row r="461" spans="1:18" ht="13.5" thickBot="1" x14ac:dyDescent="0.25">
      <c r="A461" s="123">
        <v>6</v>
      </c>
      <c r="B461" s="123">
        <v>6</v>
      </c>
      <c r="C461" s="123">
        <v>0</v>
      </c>
      <c r="D461" s="123">
        <v>3</v>
      </c>
      <c r="E461" s="123">
        <v>3</v>
      </c>
      <c r="F461" s="123">
        <v>0</v>
      </c>
      <c r="G461" s="123">
        <v>1</v>
      </c>
      <c r="H461" s="123">
        <v>1</v>
      </c>
      <c r="I461" s="123">
        <v>0</v>
      </c>
      <c r="J461" s="123">
        <v>2</v>
      </c>
      <c r="K461" s="123">
        <v>2</v>
      </c>
      <c r="L461" s="123">
        <v>0</v>
      </c>
      <c r="M461" s="123">
        <v>0</v>
      </c>
      <c r="N461" s="123">
        <v>0</v>
      </c>
      <c r="O461" s="123">
        <v>0</v>
      </c>
      <c r="P461" s="7" t="s">
        <v>163</v>
      </c>
      <c r="Q461" s="124"/>
      <c r="R461" s="1"/>
    </row>
    <row r="462" spans="1:18" ht="13.5" thickBot="1" x14ac:dyDescent="0.25">
      <c r="A462" s="123">
        <v>5</v>
      </c>
      <c r="B462" s="123">
        <v>5</v>
      </c>
      <c r="C462" s="123">
        <v>0</v>
      </c>
      <c r="D462" s="123">
        <v>3</v>
      </c>
      <c r="E462" s="123">
        <v>3</v>
      </c>
      <c r="F462" s="123">
        <v>0</v>
      </c>
      <c r="G462" s="123">
        <v>0</v>
      </c>
      <c r="H462" s="123">
        <v>0</v>
      </c>
      <c r="I462" s="123">
        <v>0</v>
      </c>
      <c r="J462" s="123">
        <v>1</v>
      </c>
      <c r="K462" s="123">
        <v>1</v>
      </c>
      <c r="L462" s="123">
        <v>0</v>
      </c>
      <c r="M462" s="123">
        <v>1</v>
      </c>
      <c r="N462" s="123">
        <v>1</v>
      </c>
      <c r="O462" s="123">
        <v>0</v>
      </c>
      <c r="P462" s="7" t="s">
        <v>162</v>
      </c>
      <c r="Q462" s="124" t="s">
        <v>253</v>
      </c>
      <c r="R462" s="1"/>
    </row>
    <row r="463" spans="1:18" ht="13.5" thickBot="1" x14ac:dyDescent="0.25">
      <c r="A463" s="123">
        <v>11</v>
      </c>
      <c r="B463" s="123">
        <v>11</v>
      </c>
      <c r="C463" s="123">
        <v>0</v>
      </c>
      <c r="D463" s="123">
        <v>6</v>
      </c>
      <c r="E463" s="123">
        <v>6</v>
      </c>
      <c r="F463" s="123">
        <v>0</v>
      </c>
      <c r="G463" s="123">
        <v>1</v>
      </c>
      <c r="H463" s="123">
        <v>1</v>
      </c>
      <c r="I463" s="123">
        <v>0</v>
      </c>
      <c r="J463" s="123">
        <v>3</v>
      </c>
      <c r="K463" s="123">
        <v>3</v>
      </c>
      <c r="L463" s="123">
        <v>0</v>
      </c>
      <c r="M463" s="123">
        <v>1</v>
      </c>
      <c r="N463" s="123">
        <v>1</v>
      </c>
      <c r="O463" s="123">
        <v>0</v>
      </c>
      <c r="P463" s="7" t="s">
        <v>13</v>
      </c>
      <c r="Q463" s="9"/>
      <c r="R463" s="1"/>
    </row>
    <row r="464" spans="1:18" ht="13.5" thickBot="1" x14ac:dyDescent="0.25">
      <c r="A464" s="123">
        <v>12</v>
      </c>
      <c r="B464" s="123">
        <v>12</v>
      </c>
      <c r="C464" s="123">
        <v>0</v>
      </c>
      <c r="D464" s="123">
        <v>7</v>
      </c>
      <c r="E464" s="123">
        <v>7</v>
      </c>
      <c r="F464" s="123">
        <v>0</v>
      </c>
      <c r="G464" s="123">
        <v>5</v>
      </c>
      <c r="H464" s="123">
        <v>5</v>
      </c>
      <c r="I464" s="123">
        <v>0</v>
      </c>
      <c r="J464" s="123">
        <v>0</v>
      </c>
      <c r="K464" s="123">
        <v>0</v>
      </c>
      <c r="L464" s="123">
        <v>0</v>
      </c>
      <c r="M464" s="123">
        <v>0</v>
      </c>
      <c r="N464" s="123">
        <v>0</v>
      </c>
      <c r="O464" s="123">
        <v>0</v>
      </c>
      <c r="P464" s="7" t="s">
        <v>163</v>
      </c>
      <c r="Q464" s="124"/>
      <c r="R464" s="1"/>
    </row>
    <row r="465" spans="1:18" ht="13.5" thickBot="1" x14ac:dyDescent="0.25">
      <c r="A465" s="123">
        <v>8</v>
      </c>
      <c r="B465" s="123">
        <v>6</v>
      </c>
      <c r="C465" s="123">
        <v>2</v>
      </c>
      <c r="D465" s="123">
        <v>5</v>
      </c>
      <c r="E465" s="123">
        <v>3</v>
      </c>
      <c r="F465" s="123">
        <v>2</v>
      </c>
      <c r="G465" s="123">
        <v>0</v>
      </c>
      <c r="H465" s="123">
        <v>0</v>
      </c>
      <c r="I465" s="123">
        <v>0</v>
      </c>
      <c r="J465" s="123">
        <v>2</v>
      </c>
      <c r="K465" s="123">
        <v>2</v>
      </c>
      <c r="L465" s="123">
        <v>0</v>
      </c>
      <c r="M465" s="123">
        <v>1</v>
      </c>
      <c r="N465" s="123">
        <v>1</v>
      </c>
      <c r="O465" s="123">
        <v>0</v>
      </c>
      <c r="P465" s="7" t="s">
        <v>162</v>
      </c>
      <c r="Q465" s="124" t="s">
        <v>254</v>
      </c>
      <c r="R465" s="1"/>
    </row>
    <row r="466" spans="1:18" ht="13.5" thickBot="1" x14ac:dyDescent="0.25">
      <c r="A466" s="123">
        <v>20</v>
      </c>
      <c r="B466" s="123">
        <v>18</v>
      </c>
      <c r="C466" s="123">
        <v>2</v>
      </c>
      <c r="D466" s="123">
        <v>12</v>
      </c>
      <c r="E466" s="123">
        <v>10</v>
      </c>
      <c r="F466" s="123">
        <v>2</v>
      </c>
      <c r="G466" s="123">
        <v>5</v>
      </c>
      <c r="H466" s="123">
        <v>5</v>
      </c>
      <c r="I466" s="123">
        <v>0</v>
      </c>
      <c r="J466" s="123">
        <v>2</v>
      </c>
      <c r="K466" s="123">
        <v>2</v>
      </c>
      <c r="L466" s="123">
        <v>0</v>
      </c>
      <c r="M466" s="123">
        <v>1</v>
      </c>
      <c r="N466" s="123">
        <v>1</v>
      </c>
      <c r="O466" s="123">
        <v>0</v>
      </c>
      <c r="P466" s="7" t="s">
        <v>13</v>
      </c>
      <c r="Q466" s="9"/>
      <c r="R466" s="1"/>
    </row>
    <row r="467" spans="1:18" ht="13.5" thickBot="1" x14ac:dyDescent="0.25">
      <c r="A467" s="123">
        <v>5</v>
      </c>
      <c r="B467" s="123">
        <v>0</v>
      </c>
      <c r="C467" s="123">
        <v>5</v>
      </c>
      <c r="D467" s="123">
        <v>4</v>
      </c>
      <c r="E467" s="123">
        <v>0</v>
      </c>
      <c r="F467" s="123">
        <v>4</v>
      </c>
      <c r="G467" s="123">
        <v>1</v>
      </c>
      <c r="H467" s="123">
        <v>0</v>
      </c>
      <c r="I467" s="123">
        <v>1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7" t="s">
        <v>163</v>
      </c>
      <c r="Q467" s="124"/>
      <c r="R467" s="1"/>
    </row>
    <row r="468" spans="1:18" ht="13.5" thickBot="1" x14ac:dyDescent="0.25">
      <c r="A468" s="123">
        <v>12</v>
      </c>
      <c r="B468" s="123">
        <v>0</v>
      </c>
      <c r="C468" s="123">
        <v>12</v>
      </c>
      <c r="D468" s="123">
        <v>3</v>
      </c>
      <c r="E468" s="123">
        <v>0</v>
      </c>
      <c r="F468" s="123">
        <v>3</v>
      </c>
      <c r="G468" s="123">
        <v>0</v>
      </c>
      <c r="H468" s="123">
        <v>0</v>
      </c>
      <c r="I468" s="123">
        <v>0</v>
      </c>
      <c r="J468" s="123">
        <v>3</v>
      </c>
      <c r="K468" s="123">
        <v>0</v>
      </c>
      <c r="L468" s="123">
        <v>3</v>
      </c>
      <c r="M468" s="123">
        <v>6</v>
      </c>
      <c r="N468" s="123">
        <v>0</v>
      </c>
      <c r="O468" s="123">
        <v>6</v>
      </c>
      <c r="P468" s="7" t="s">
        <v>162</v>
      </c>
      <c r="Q468" s="124" t="s">
        <v>255</v>
      </c>
      <c r="R468" s="1"/>
    </row>
    <row r="469" spans="1:18" ht="13.5" thickBot="1" x14ac:dyDescent="0.25">
      <c r="A469" s="123">
        <v>17</v>
      </c>
      <c r="B469" s="123">
        <v>0</v>
      </c>
      <c r="C469" s="123">
        <v>17</v>
      </c>
      <c r="D469" s="123">
        <v>7</v>
      </c>
      <c r="E469" s="123">
        <v>0</v>
      </c>
      <c r="F469" s="123">
        <v>7</v>
      </c>
      <c r="G469" s="123">
        <v>1</v>
      </c>
      <c r="H469" s="123">
        <v>0</v>
      </c>
      <c r="I469" s="123">
        <v>1</v>
      </c>
      <c r="J469" s="123">
        <v>3</v>
      </c>
      <c r="K469" s="123">
        <v>0</v>
      </c>
      <c r="L469" s="123">
        <v>3</v>
      </c>
      <c r="M469" s="123">
        <v>6</v>
      </c>
      <c r="N469" s="123">
        <v>0</v>
      </c>
      <c r="O469" s="123">
        <v>6</v>
      </c>
      <c r="P469" s="7" t="s">
        <v>13</v>
      </c>
      <c r="Q469" s="9"/>
      <c r="R469" s="1"/>
    </row>
    <row r="470" spans="1:18" ht="13.5" thickBot="1" x14ac:dyDescent="0.25">
      <c r="A470" s="123">
        <v>7</v>
      </c>
      <c r="B470" s="123">
        <v>0</v>
      </c>
      <c r="C470" s="123">
        <v>7</v>
      </c>
      <c r="D470" s="123">
        <v>4</v>
      </c>
      <c r="E470" s="123">
        <v>0</v>
      </c>
      <c r="F470" s="123">
        <v>4</v>
      </c>
      <c r="G470" s="123">
        <v>1</v>
      </c>
      <c r="H470" s="123">
        <v>0</v>
      </c>
      <c r="I470" s="123">
        <v>1</v>
      </c>
      <c r="J470" s="123">
        <v>2</v>
      </c>
      <c r="K470" s="123">
        <v>0</v>
      </c>
      <c r="L470" s="123">
        <v>2</v>
      </c>
      <c r="M470" s="123">
        <v>0</v>
      </c>
      <c r="N470" s="123">
        <v>0</v>
      </c>
      <c r="O470" s="123">
        <v>0</v>
      </c>
      <c r="P470" s="7" t="s">
        <v>163</v>
      </c>
      <c r="Q470" s="124"/>
      <c r="R470" s="1"/>
    </row>
    <row r="471" spans="1:18" ht="13.5" thickBot="1" x14ac:dyDescent="0.25">
      <c r="A471" s="123">
        <v>24</v>
      </c>
      <c r="B471" s="123">
        <v>0</v>
      </c>
      <c r="C471" s="123">
        <v>24</v>
      </c>
      <c r="D471" s="123">
        <v>11</v>
      </c>
      <c r="E471" s="123">
        <v>0</v>
      </c>
      <c r="F471" s="123">
        <v>11</v>
      </c>
      <c r="G471" s="123">
        <v>0</v>
      </c>
      <c r="H471" s="123">
        <v>0</v>
      </c>
      <c r="I471" s="123">
        <v>0</v>
      </c>
      <c r="J471" s="123">
        <v>6</v>
      </c>
      <c r="K471" s="123">
        <v>0</v>
      </c>
      <c r="L471" s="123">
        <v>6</v>
      </c>
      <c r="M471" s="123">
        <v>7</v>
      </c>
      <c r="N471" s="123">
        <v>0</v>
      </c>
      <c r="O471" s="123">
        <v>7</v>
      </c>
      <c r="P471" s="7" t="s">
        <v>162</v>
      </c>
      <c r="Q471" s="124" t="s">
        <v>256</v>
      </c>
      <c r="R471" s="1"/>
    </row>
    <row r="472" spans="1:18" ht="13.5" thickBot="1" x14ac:dyDescent="0.25">
      <c r="A472" s="123">
        <v>31</v>
      </c>
      <c r="B472" s="123">
        <v>0</v>
      </c>
      <c r="C472" s="123">
        <v>31</v>
      </c>
      <c r="D472" s="123">
        <v>15</v>
      </c>
      <c r="E472" s="123">
        <v>0</v>
      </c>
      <c r="F472" s="123">
        <v>15</v>
      </c>
      <c r="G472" s="123">
        <v>1</v>
      </c>
      <c r="H472" s="123">
        <v>0</v>
      </c>
      <c r="I472" s="123">
        <v>1</v>
      </c>
      <c r="J472" s="123">
        <v>8</v>
      </c>
      <c r="K472" s="123">
        <v>0</v>
      </c>
      <c r="L472" s="123">
        <v>8</v>
      </c>
      <c r="M472" s="123">
        <v>7</v>
      </c>
      <c r="N472" s="123">
        <v>0</v>
      </c>
      <c r="O472" s="123">
        <v>7</v>
      </c>
      <c r="P472" s="7" t="s">
        <v>13</v>
      </c>
      <c r="Q472" s="9"/>
      <c r="R472" s="1"/>
    </row>
    <row r="473" spans="1:18" ht="13.5" thickBot="1" x14ac:dyDescent="0.25">
      <c r="A473" s="123">
        <v>1152</v>
      </c>
      <c r="B473" s="123">
        <v>638</v>
      </c>
      <c r="C473" s="123">
        <v>514</v>
      </c>
      <c r="D473" s="123">
        <v>57</v>
      </c>
      <c r="E473" s="123">
        <v>49</v>
      </c>
      <c r="F473" s="123">
        <v>8</v>
      </c>
      <c r="G473" s="123">
        <v>443</v>
      </c>
      <c r="H473" s="123">
        <v>268</v>
      </c>
      <c r="I473" s="123">
        <v>175</v>
      </c>
      <c r="J473" s="123">
        <v>202</v>
      </c>
      <c r="K473" s="123">
        <v>161</v>
      </c>
      <c r="L473" s="123">
        <v>41</v>
      </c>
      <c r="M473" s="123">
        <v>450</v>
      </c>
      <c r="N473" s="123">
        <v>160</v>
      </c>
      <c r="O473" s="123">
        <v>290</v>
      </c>
      <c r="P473" s="7" t="s">
        <v>163</v>
      </c>
      <c r="Q473" s="3"/>
      <c r="R473" s="1"/>
    </row>
    <row r="474" spans="1:18" ht="13.5" thickBot="1" x14ac:dyDescent="0.25">
      <c r="A474" s="123">
        <v>1034</v>
      </c>
      <c r="B474" s="123">
        <v>400</v>
      </c>
      <c r="C474" s="123">
        <v>634</v>
      </c>
      <c r="D474" s="123">
        <v>49</v>
      </c>
      <c r="E474" s="123">
        <v>25</v>
      </c>
      <c r="F474" s="123">
        <v>24</v>
      </c>
      <c r="G474" s="123">
        <v>27</v>
      </c>
      <c r="H474" s="123">
        <v>9</v>
      </c>
      <c r="I474" s="123">
        <v>18</v>
      </c>
      <c r="J474" s="123">
        <v>168</v>
      </c>
      <c r="K474" s="123">
        <v>110</v>
      </c>
      <c r="L474" s="123">
        <v>58</v>
      </c>
      <c r="M474" s="123">
        <v>790</v>
      </c>
      <c r="N474" s="123">
        <v>256</v>
      </c>
      <c r="O474" s="123">
        <v>534</v>
      </c>
      <c r="P474" s="7" t="s">
        <v>162</v>
      </c>
      <c r="Q474" s="11" t="s">
        <v>211</v>
      </c>
      <c r="R474" s="1"/>
    </row>
    <row r="475" spans="1:18" ht="13.5" thickBot="1" x14ac:dyDescent="0.25">
      <c r="A475" s="123">
        <v>2186</v>
      </c>
      <c r="B475" s="123">
        <v>1038</v>
      </c>
      <c r="C475" s="123">
        <v>1148</v>
      </c>
      <c r="D475" s="123">
        <v>106</v>
      </c>
      <c r="E475" s="123">
        <v>74</v>
      </c>
      <c r="F475" s="123">
        <v>32</v>
      </c>
      <c r="G475" s="123">
        <v>470</v>
      </c>
      <c r="H475" s="123">
        <v>277</v>
      </c>
      <c r="I475" s="123">
        <v>193</v>
      </c>
      <c r="J475" s="123">
        <v>370</v>
      </c>
      <c r="K475" s="123">
        <v>271</v>
      </c>
      <c r="L475" s="123">
        <v>99</v>
      </c>
      <c r="M475" s="123">
        <v>1240</v>
      </c>
      <c r="N475" s="123">
        <v>416</v>
      </c>
      <c r="O475" s="123">
        <v>824</v>
      </c>
      <c r="P475" s="7" t="s">
        <v>13</v>
      </c>
      <c r="Q475" s="5"/>
      <c r="R475" s="1"/>
    </row>
    <row r="476" spans="1:18" ht="18" customHeight="1" x14ac:dyDescent="0.2">
      <c r="A476" s="207"/>
      <c r="B476" s="207"/>
      <c r="C476" s="207"/>
      <c r="D476" s="207"/>
      <c r="E476" s="207"/>
      <c r="F476" s="207"/>
      <c r="G476" s="207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1"/>
    </row>
    <row r="477" spans="1:18" ht="18" customHeight="1" x14ac:dyDescent="0.2">
      <c r="A477" s="159" t="s">
        <v>643</v>
      </c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"/>
    </row>
    <row r="478" spans="1:18" ht="18" customHeight="1" thickBot="1" x14ac:dyDescent="0.25">
      <c r="A478" s="160" t="s">
        <v>644</v>
      </c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"/>
    </row>
    <row r="479" spans="1:18" ht="13.5" thickBot="1" x14ac:dyDescent="0.25">
      <c r="A479" s="204" t="s">
        <v>5</v>
      </c>
      <c r="B479" s="204"/>
      <c r="C479" s="204"/>
      <c r="D479" s="204" t="s">
        <v>57</v>
      </c>
      <c r="E479" s="204"/>
      <c r="F479" s="204"/>
      <c r="G479" s="204" t="s">
        <v>65</v>
      </c>
      <c r="H479" s="204"/>
      <c r="I479" s="204"/>
      <c r="J479" s="204" t="s">
        <v>62</v>
      </c>
      <c r="K479" s="204"/>
      <c r="L479" s="204"/>
      <c r="M479" s="204" t="s">
        <v>61</v>
      </c>
      <c r="N479" s="204"/>
      <c r="O479" s="204"/>
      <c r="P479" s="205" t="s">
        <v>645</v>
      </c>
      <c r="Q479" s="47" t="s">
        <v>161</v>
      </c>
      <c r="R479" s="1"/>
    </row>
    <row r="480" spans="1:18" ht="13.5" thickBot="1" x14ac:dyDescent="0.25">
      <c r="A480" s="47" t="s">
        <v>216</v>
      </c>
      <c r="B480" s="47" t="s">
        <v>11</v>
      </c>
      <c r="C480" s="47" t="s">
        <v>10</v>
      </c>
      <c r="D480" s="47" t="s">
        <v>216</v>
      </c>
      <c r="E480" s="47" t="s">
        <v>11</v>
      </c>
      <c r="F480" s="47" t="s">
        <v>10</v>
      </c>
      <c r="G480" s="47" t="s">
        <v>216</v>
      </c>
      <c r="H480" s="47" t="s">
        <v>11</v>
      </c>
      <c r="I480" s="47" t="s">
        <v>10</v>
      </c>
      <c r="J480" s="47" t="s">
        <v>216</v>
      </c>
      <c r="K480" s="47" t="s">
        <v>11</v>
      </c>
      <c r="L480" s="47" t="s">
        <v>10</v>
      </c>
      <c r="M480" s="47" t="s">
        <v>216</v>
      </c>
      <c r="N480" s="47" t="s">
        <v>11</v>
      </c>
      <c r="O480" s="47" t="s">
        <v>10</v>
      </c>
      <c r="P480" s="206"/>
      <c r="Q480" s="5" t="s">
        <v>81</v>
      </c>
      <c r="R480" s="1"/>
    </row>
    <row r="481" spans="1:18" ht="13.5" thickBot="1" x14ac:dyDescent="0.25">
      <c r="A481" s="123">
        <v>40</v>
      </c>
      <c r="B481" s="123">
        <v>0</v>
      </c>
      <c r="C481" s="123">
        <v>40</v>
      </c>
      <c r="D481" s="123">
        <v>0</v>
      </c>
      <c r="E481" s="123">
        <v>0</v>
      </c>
      <c r="F481" s="123">
        <v>0</v>
      </c>
      <c r="G481" s="123">
        <v>20</v>
      </c>
      <c r="H481" s="123">
        <v>0</v>
      </c>
      <c r="I481" s="123">
        <v>20</v>
      </c>
      <c r="J481" s="123">
        <v>3</v>
      </c>
      <c r="K481" s="123">
        <v>0</v>
      </c>
      <c r="L481" s="123">
        <v>3</v>
      </c>
      <c r="M481" s="123">
        <v>17</v>
      </c>
      <c r="N481" s="123">
        <v>0</v>
      </c>
      <c r="O481" s="123">
        <v>17</v>
      </c>
      <c r="P481" s="7" t="s">
        <v>163</v>
      </c>
      <c r="Q481" s="124"/>
      <c r="R481" s="1"/>
    </row>
    <row r="482" spans="1:18" ht="13.5" thickBot="1" x14ac:dyDescent="0.25">
      <c r="A482" s="123">
        <v>45</v>
      </c>
      <c r="B482" s="123">
        <v>0</v>
      </c>
      <c r="C482" s="123">
        <v>45</v>
      </c>
      <c r="D482" s="123">
        <v>0</v>
      </c>
      <c r="E482" s="123">
        <v>0</v>
      </c>
      <c r="F482" s="123">
        <v>0</v>
      </c>
      <c r="G482" s="123">
        <v>0</v>
      </c>
      <c r="H482" s="123">
        <v>0</v>
      </c>
      <c r="I482" s="123">
        <v>0</v>
      </c>
      <c r="J482" s="123">
        <v>3</v>
      </c>
      <c r="K482" s="123">
        <v>0</v>
      </c>
      <c r="L482" s="123">
        <v>3</v>
      </c>
      <c r="M482" s="123">
        <v>42</v>
      </c>
      <c r="N482" s="123">
        <v>0</v>
      </c>
      <c r="O482" s="123">
        <v>42</v>
      </c>
      <c r="P482" s="7" t="s">
        <v>162</v>
      </c>
      <c r="Q482" s="124" t="s">
        <v>540</v>
      </c>
      <c r="R482" s="1"/>
    </row>
    <row r="483" spans="1:18" ht="13.5" thickBot="1" x14ac:dyDescent="0.25">
      <c r="A483" s="123">
        <v>85</v>
      </c>
      <c r="B483" s="123">
        <v>0</v>
      </c>
      <c r="C483" s="123">
        <v>85</v>
      </c>
      <c r="D483" s="123">
        <v>0</v>
      </c>
      <c r="E483" s="123">
        <v>0</v>
      </c>
      <c r="F483" s="123">
        <v>0</v>
      </c>
      <c r="G483" s="123">
        <v>20</v>
      </c>
      <c r="H483" s="123">
        <v>0</v>
      </c>
      <c r="I483" s="123">
        <v>20</v>
      </c>
      <c r="J483" s="123">
        <v>6</v>
      </c>
      <c r="K483" s="123">
        <v>0</v>
      </c>
      <c r="L483" s="123">
        <v>6</v>
      </c>
      <c r="M483" s="123">
        <v>59</v>
      </c>
      <c r="N483" s="123">
        <v>0</v>
      </c>
      <c r="O483" s="123">
        <v>59</v>
      </c>
      <c r="P483" s="7" t="s">
        <v>13</v>
      </c>
      <c r="Q483" s="9"/>
      <c r="R483" s="1"/>
    </row>
    <row r="484" spans="1:18" ht="13.5" thickBot="1" x14ac:dyDescent="0.25">
      <c r="A484" s="123">
        <v>17</v>
      </c>
      <c r="B484" s="123">
        <v>0</v>
      </c>
      <c r="C484" s="123">
        <v>17</v>
      </c>
      <c r="D484" s="123">
        <v>0</v>
      </c>
      <c r="E484" s="123">
        <v>0</v>
      </c>
      <c r="F484" s="123">
        <v>0</v>
      </c>
      <c r="G484" s="123">
        <v>17</v>
      </c>
      <c r="H484" s="123">
        <v>0</v>
      </c>
      <c r="I484" s="123">
        <v>17</v>
      </c>
      <c r="J484" s="123">
        <v>0</v>
      </c>
      <c r="K484" s="123">
        <v>0</v>
      </c>
      <c r="L484" s="123">
        <v>0</v>
      </c>
      <c r="M484" s="123">
        <v>0</v>
      </c>
      <c r="N484" s="123">
        <v>0</v>
      </c>
      <c r="O484" s="123">
        <v>0</v>
      </c>
      <c r="P484" s="7" t="s">
        <v>163</v>
      </c>
      <c r="Q484" s="124"/>
      <c r="R484" s="1"/>
    </row>
    <row r="485" spans="1:18" ht="13.5" thickBot="1" x14ac:dyDescent="0.25">
      <c r="A485" s="123">
        <v>45</v>
      </c>
      <c r="B485" s="123">
        <v>0</v>
      </c>
      <c r="C485" s="123">
        <v>45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0</v>
      </c>
      <c r="J485" s="123">
        <v>16</v>
      </c>
      <c r="K485" s="123">
        <v>0</v>
      </c>
      <c r="L485" s="123">
        <v>16</v>
      </c>
      <c r="M485" s="123">
        <v>29</v>
      </c>
      <c r="N485" s="123">
        <v>0</v>
      </c>
      <c r="O485" s="123">
        <v>29</v>
      </c>
      <c r="P485" s="7" t="s">
        <v>162</v>
      </c>
      <c r="Q485" s="124" t="s">
        <v>416</v>
      </c>
      <c r="R485" s="1"/>
    </row>
    <row r="486" spans="1:18" ht="13.5" thickBot="1" x14ac:dyDescent="0.25">
      <c r="A486" s="123">
        <v>62</v>
      </c>
      <c r="B486" s="123">
        <v>0</v>
      </c>
      <c r="C486" s="123">
        <v>62</v>
      </c>
      <c r="D486" s="123">
        <v>0</v>
      </c>
      <c r="E486" s="123">
        <v>0</v>
      </c>
      <c r="F486" s="123">
        <v>0</v>
      </c>
      <c r="G486" s="123">
        <v>17</v>
      </c>
      <c r="H486" s="123">
        <v>0</v>
      </c>
      <c r="I486" s="123">
        <v>17</v>
      </c>
      <c r="J486" s="123">
        <v>16</v>
      </c>
      <c r="K486" s="123">
        <v>0</v>
      </c>
      <c r="L486" s="123">
        <v>16</v>
      </c>
      <c r="M486" s="123">
        <v>29</v>
      </c>
      <c r="N486" s="123">
        <v>0</v>
      </c>
      <c r="O486" s="123">
        <v>29</v>
      </c>
      <c r="P486" s="7" t="s">
        <v>13</v>
      </c>
      <c r="Q486" s="9"/>
      <c r="R486" s="1"/>
    </row>
    <row r="487" spans="1:18" ht="13.5" thickBot="1" x14ac:dyDescent="0.25">
      <c r="A487" s="123">
        <v>33</v>
      </c>
      <c r="B487" s="123">
        <v>0</v>
      </c>
      <c r="C487" s="123">
        <v>33</v>
      </c>
      <c r="D487" s="123">
        <v>0</v>
      </c>
      <c r="E487" s="123">
        <v>0</v>
      </c>
      <c r="F487" s="123">
        <v>0</v>
      </c>
      <c r="G487" s="123">
        <v>8</v>
      </c>
      <c r="H487" s="123">
        <v>0</v>
      </c>
      <c r="I487" s="123">
        <v>8</v>
      </c>
      <c r="J487" s="123">
        <v>17</v>
      </c>
      <c r="K487" s="123">
        <v>0</v>
      </c>
      <c r="L487" s="123">
        <v>17</v>
      </c>
      <c r="M487" s="123">
        <v>8</v>
      </c>
      <c r="N487" s="123">
        <v>0</v>
      </c>
      <c r="O487" s="123">
        <v>8</v>
      </c>
      <c r="P487" s="7" t="s">
        <v>163</v>
      </c>
      <c r="Q487" s="124"/>
      <c r="R487" s="1"/>
    </row>
    <row r="488" spans="1:18" ht="13.5" thickBot="1" x14ac:dyDescent="0.25">
      <c r="A488" s="123">
        <v>8</v>
      </c>
      <c r="B488" s="123">
        <v>0</v>
      </c>
      <c r="C488" s="123">
        <v>8</v>
      </c>
      <c r="D488" s="123">
        <v>0</v>
      </c>
      <c r="E488" s="123">
        <v>0</v>
      </c>
      <c r="F488" s="123">
        <v>0</v>
      </c>
      <c r="G488" s="123">
        <v>0</v>
      </c>
      <c r="H488" s="123">
        <v>0</v>
      </c>
      <c r="I488" s="123">
        <v>0</v>
      </c>
      <c r="J488" s="123">
        <v>3</v>
      </c>
      <c r="K488" s="123">
        <v>0</v>
      </c>
      <c r="L488" s="123">
        <v>3</v>
      </c>
      <c r="M488" s="123">
        <v>5</v>
      </c>
      <c r="N488" s="123">
        <v>0</v>
      </c>
      <c r="O488" s="123">
        <v>5</v>
      </c>
      <c r="P488" s="7" t="s">
        <v>162</v>
      </c>
      <c r="Q488" s="124" t="s">
        <v>417</v>
      </c>
      <c r="R488" s="1"/>
    </row>
    <row r="489" spans="1:18" ht="13.5" thickBot="1" x14ac:dyDescent="0.25">
      <c r="A489" s="123">
        <v>41</v>
      </c>
      <c r="B489" s="123">
        <v>0</v>
      </c>
      <c r="C489" s="123">
        <v>41</v>
      </c>
      <c r="D489" s="123">
        <v>0</v>
      </c>
      <c r="E489" s="123">
        <v>0</v>
      </c>
      <c r="F489" s="123">
        <v>0</v>
      </c>
      <c r="G489" s="123">
        <v>8</v>
      </c>
      <c r="H489" s="123">
        <v>0</v>
      </c>
      <c r="I489" s="123">
        <v>8</v>
      </c>
      <c r="J489" s="123">
        <v>20</v>
      </c>
      <c r="K489" s="123">
        <v>0</v>
      </c>
      <c r="L489" s="123">
        <v>20</v>
      </c>
      <c r="M489" s="123">
        <v>13</v>
      </c>
      <c r="N489" s="123">
        <v>0</v>
      </c>
      <c r="O489" s="123">
        <v>13</v>
      </c>
      <c r="P489" s="7" t="s">
        <v>13</v>
      </c>
      <c r="Q489" s="9"/>
      <c r="R489" s="1"/>
    </row>
    <row r="490" spans="1:18" ht="13.5" thickBot="1" x14ac:dyDescent="0.25">
      <c r="A490" s="123">
        <v>70</v>
      </c>
      <c r="B490" s="123">
        <v>0</v>
      </c>
      <c r="C490" s="123">
        <v>70</v>
      </c>
      <c r="D490" s="123">
        <v>0</v>
      </c>
      <c r="E490" s="123">
        <v>0</v>
      </c>
      <c r="F490" s="123">
        <v>0</v>
      </c>
      <c r="G490" s="123">
        <v>24</v>
      </c>
      <c r="H490" s="123">
        <v>0</v>
      </c>
      <c r="I490" s="123">
        <v>24</v>
      </c>
      <c r="J490" s="123">
        <v>23</v>
      </c>
      <c r="K490" s="123">
        <v>0</v>
      </c>
      <c r="L490" s="123">
        <v>23</v>
      </c>
      <c r="M490" s="123">
        <v>23</v>
      </c>
      <c r="N490" s="123">
        <v>0</v>
      </c>
      <c r="O490" s="123">
        <v>23</v>
      </c>
      <c r="P490" s="7" t="s">
        <v>163</v>
      </c>
      <c r="Q490" s="124"/>
      <c r="R490" s="1"/>
    </row>
    <row r="491" spans="1:18" ht="13.5" thickBot="1" x14ac:dyDescent="0.25">
      <c r="A491" s="123">
        <v>1</v>
      </c>
      <c r="B491" s="123">
        <v>0</v>
      </c>
      <c r="C491" s="123">
        <v>1</v>
      </c>
      <c r="D491" s="123">
        <v>0</v>
      </c>
      <c r="E491" s="123">
        <v>0</v>
      </c>
      <c r="F491" s="123">
        <v>0</v>
      </c>
      <c r="G491" s="123">
        <v>0</v>
      </c>
      <c r="H491" s="123">
        <v>0</v>
      </c>
      <c r="I491" s="123">
        <v>0</v>
      </c>
      <c r="J491" s="123">
        <v>0</v>
      </c>
      <c r="K491" s="123">
        <v>0</v>
      </c>
      <c r="L491" s="123">
        <v>0</v>
      </c>
      <c r="M491" s="123">
        <v>1</v>
      </c>
      <c r="N491" s="123">
        <v>0</v>
      </c>
      <c r="O491" s="123">
        <v>1</v>
      </c>
      <c r="P491" s="7" t="s">
        <v>162</v>
      </c>
      <c r="Q491" s="124" t="s">
        <v>257</v>
      </c>
      <c r="R491" s="1"/>
    </row>
    <row r="492" spans="1:18" ht="13.5" thickBot="1" x14ac:dyDescent="0.25">
      <c r="A492" s="123">
        <v>71</v>
      </c>
      <c r="B492" s="123">
        <v>0</v>
      </c>
      <c r="C492" s="123">
        <v>71</v>
      </c>
      <c r="D492" s="123">
        <v>0</v>
      </c>
      <c r="E492" s="123">
        <v>0</v>
      </c>
      <c r="F492" s="123">
        <v>0</v>
      </c>
      <c r="G492" s="123">
        <v>24</v>
      </c>
      <c r="H492" s="123">
        <v>0</v>
      </c>
      <c r="I492" s="123">
        <v>24</v>
      </c>
      <c r="J492" s="123">
        <v>23</v>
      </c>
      <c r="K492" s="123">
        <v>0</v>
      </c>
      <c r="L492" s="123">
        <v>23</v>
      </c>
      <c r="M492" s="123">
        <v>24</v>
      </c>
      <c r="N492" s="123">
        <v>0</v>
      </c>
      <c r="O492" s="123">
        <v>24</v>
      </c>
      <c r="P492" s="7" t="s">
        <v>13</v>
      </c>
      <c r="Q492" s="9"/>
      <c r="R492" s="1"/>
    </row>
    <row r="493" spans="1:18" ht="13.5" thickBot="1" x14ac:dyDescent="0.25">
      <c r="A493" s="123">
        <v>88</v>
      </c>
      <c r="B493" s="123">
        <v>0</v>
      </c>
      <c r="C493" s="123">
        <v>88</v>
      </c>
      <c r="D493" s="123">
        <v>0</v>
      </c>
      <c r="E493" s="123">
        <v>0</v>
      </c>
      <c r="F493" s="123">
        <v>0</v>
      </c>
      <c r="G493" s="123">
        <v>42</v>
      </c>
      <c r="H493" s="123">
        <v>0</v>
      </c>
      <c r="I493" s="123">
        <v>42</v>
      </c>
      <c r="J493" s="123">
        <v>2</v>
      </c>
      <c r="K493" s="123">
        <v>0</v>
      </c>
      <c r="L493" s="123">
        <v>2</v>
      </c>
      <c r="M493" s="123">
        <v>44</v>
      </c>
      <c r="N493" s="123">
        <v>0</v>
      </c>
      <c r="O493" s="123">
        <v>44</v>
      </c>
      <c r="P493" s="7" t="s">
        <v>163</v>
      </c>
      <c r="Q493" s="124"/>
      <c r="R493" s="1"/>
    </row>
    <row r="494" spans="1:18" ht="13.5" thickBot="1" x14ac:dyDescent="0.25">
      <c r="A494" s="123">
        <v>56</v>
      </c>
      <c r="B494" s="123">
        <v>0</v>
      </c>
      <c r="C494" s="123">
        <v>56</v>
      </c>
      <c r="D494" s="123">
        <v>0</v>
      </c>
      <c r="E494" s="123">
        <v>0</v>
      </c>
      <c r="F494" s="123">
        <v>0</v>
      </c>
      <c r="G494" s="123">
        <v>0</v>
      </c>
      <c r="H494" s="123">
        <v>0</v>
      </c>
      <c r="I494" s="123">
        <v>0</v>
      </c>
      <c r="J494" s="123">
        <v>1</v>
      </c>
      <c r="K494" s="123">
        <v>0</v>
      </c>
      <c r="L494" s="123">
        <v>1</v>
      </c>
      <c r="M494" s="123">
        <v>55</v>
      </c>
      <c r="N494" s="123">
        <v>0</v>
      </c>
      <c r="O494" s="123">
        <v>55</v>
      </c>
      <c r="P494" s="7" t="s">
        <v>162</v>
      </c>
      <c r="Q494" s="124" t="s">
        <v>418</v>
      </c>
      <c r="R494" s="1"/>
    </row>
    <row r="495" spans="1:18" ht="13.5" thickBot="1" x14ac:dyDescent="0.25">
      <c r="A495" s="123">
        <v>144</v>
      </c>
      <c r="B495" s="123">
        <v>0</v>
      </c>
      <c r="C495" s="123">
        <v>144</v>
      </c>
      <c r="D495" s="123">
        <v>0</v>
      </c>
      <c r="E495" s="123">
        <v>0</v>
      </c>
      <c r="F495" s="123">
        <v>0</v>
      </c>
      <c r="G495" s="123">
        <v>42</v>
      </c>
      <c r="H495" s="123">
        <v>0</v>
      </c>
      <c r="I495" s="123">
        <v>42</v>
      </c>
      <c r="J495" s="123">
        <v>3</v>
      </c>
      <c r="K495" s="123">
        <v>0</v>
      </c>
      <c r="L495" s="123">
        <v>3</v>
      </c>
      <c r="M495" s="123">
        <v>99</v>
      </c>
      <c r="N495" s="123">
        <v>0</v>
      </c>
      <c r="O495" s="123">
        <v>99</v>
      </c>
      <c r="P495" s="7" t="s">
        <v>13</v>
      </c>
      <c r="Q495" s="9"/>
      <c r="R495" s="1"/>
    </row>
    <row r="496" spans="1:18" ht="13.5" thickBot="1" x14ac:dyDescent="0.25">
      <c r="A496" s="123">
        <v>99</v>
      </c>
      <c r="B496" s="123">
        <v>1</v>
      </c>
      <c r="C496" s="123">
        <v>98</v>
      </c>
      <c r="D496" s="123">
        <v>0</v>
      </c>
      <c r="E496" s="123">
        <v>0</v>
      </c>
      <c r="F496" s="123">
        <v>0</v>
      </c>
      <c r="G496" s="123">
        <v>50</v>
      </c>
      <c r="H496" s="123">
        <v>1</v>
      </c>
      <c r="I496" s="123">
        <v>49</v>
      </c>
      <c r="J496" s="123">
        <v>0</v>
      </c>
      <c r="K496" s="123">
        <v>0</v>
      </c>
      <c r="L496" s="123">
        <v>0</v>
      </c>
      <c r="M496" s="123">
        <v>49</v>
      </c>
      <c r="N496" s="123">
        <v>0</v>
      </c>
      <c r="O496" s="123">
        <v>49</v>
      </c>
      <c r="P496" s="7" t="s">
        <v>163</v>
      </c>
      <c r="Q496" s="124"/>
      <c r="R496" s="1"/>
    </row>
    <row r="497" spans="1:18" ht="13.5" thickBot="1" x14ac:dyDescent="0.25">
      <c r="A497" s="123">
        <v>53</v>
      </c>
      <c r="B497" s="123">
        <v>0</v>
      </c>
      <c r="C497" s="123">
        <v>53</v>
      </c>
      <c r="D497" s="123">
        <v>0</v>
      </c>
      <c r="E497" s="123">
        <v>0</v>
      </c>
      <c r="F497" s="123">
        <v>0</v>
      </c>
      <c r="G497" s="123">
        <v>0</v>
      </c>
      <c r="H497" s="123">
        <v>0</v>
      </c>
      <c r="I497" s="123">
        <v>0</v>
      </c>
      <c r="J497" s="123">
        <v>1</v>
      </c>
      <c r="K497" s="123">
        <v>0</v>
      </c>
      <c r="L497" s="123">
        <v>1</v>
      </c>
      <c r="M497" s="123">
        <v>52</v>
      </c>
      <c r="N497" s="123">
        <v>0</v>
      </c>
      <c r="O497" s="123">
        <v>52</v>
      </c>
      <c r="P497" s="7" t="s">
        <v>162</v>
      </c>
      <c r="Q497" s="124" t="s">
        <v>419</v>
      </c>
      <c r="R497" s="1"/>
    </row>
    <row r="498" spans="1:18" ht="13.5" thickBot="1" x14ac:dyDescent="0.25">
      <c r="A498" s="123">
        <v>152</v>
      </c>
      <c r="B498" s="123">
        <v>1</v>
      </c>
      <c r="C498" s="123">
        <v>151</v>
      </c>
      <c r="D498" s="123">
        <v>0</v>
      </c>
      <c r="E498" s="123">
        <v>0</v>
      </c>
      <c r="F498" s="123">
        <v>0</v>
      </c>
      <c r="G498" s="123">
        <v>50</v>
      </c>
      <c r="H498" s="123">
        <v>1</v>
      </c>
      <c r="I498" s="123">
        <v>49</v>
      </c>
      <c r="J498" s="123">
        <v>1</v>
      </c>
      <c r="K498" s="123">
        <v>0</v>
      </c>
      <c r="L498" s="123">
        <v>1</v>
      </c>
      <c r="M498" s="123">
        <v>101</v>
      </c>
      <c r="N498" s="123">
        <v>0</v>
      </c>
      <c r="O498" s="123">
        <v>101</v>
      </c>
      <c r="P498" s="7" t="s">
        <v>13</v>
      </c>
      <c r="Q498" s="9"/>
      <c r="R498" s="1"/>
    </row>
    <row r="499" spans="1:18" ht="13.5" thickBot="1" x14ac:dyDescent="0.25">
      <c r="A499" s="123">
        <v>11</v>
      </c>
      <c r="B499" s="123">
        <v>0</v>
      </c>
      <c r="C499" s="123">
        <v>11</v>
      </c>
      <c r="D499" s="123">
        <v>0</v>
      </c>
      <c r="E499" s="123">
        <v>0</v>
      </c>
      <c r="F499" s="123">
        <v>0</v>
      </c>
      <c r="G499" s="123">
        <v>10</v>
      </c>
      <c r="H499" s="123">
        <v>0</v>
      </c>
      <c r="I499" s="123">
        <v>10</v>
      </c>
      <c r="J499" s="123">
        <v>0</v>
      </c>
      <c r="K499" s="123">
        <v>0</v>
      </c>
      <c r="L499" s="123">
        <v>0</v>
      </c>
      <c r="M499" s="123">
        <v>1</v>
      </c>
      <c r="N499" s="123">
        <v>0</v>
      </c>
      <c r="O499" s="123">
        <v>1</v>
      </c>
      <c r="P499" s="7" t="s">
        <v>163</v>
      </c>
      <c r="Q499" s="124"/>
      <c r="R499" s="1"/>
    </row>
    <row r="500" spans="1:18" ht="13.5" thickBot="1" x14ac:dyDescent="0.25">
      <c r="A500" s="123">
        <v>34</v>
      </c>
      <c r="B500" s="123">
        <v>0</v>
      </c>
      <c r="C500" s="123">
        <v>34</v>
      </c>
      <c r="D500" s="123">
        <v>0</v>
      </c>
      <c r="E500" s="123">
        <v>0</v>
      </c>
      <c r="F500" s="123">
        <v>0</v>
      </c>
      <c r="G500" s="123">
        <v>0</v>
      </c>
      <c r="H500" s="123">
        <v>0</v>
      </c>
      <c r="I500" s="123">
        <v>0</v>
      </c>
      <c r="J500" s="123">
        <v>4</v>
      </c>
      <c r="K500" s="123">
        <v>0</v>
      </c>
      <c r="L500" s="123">
        <v>4</v>
      </c>
      <c r="M500" s="123">
        <v>30</v>
      </c>
      <c r="N500" s="123">
        <v>0</v>
      </c>
      <c r="O500" s="123">
        <v>30</v>
      </c>
      <c r="P500" s="7" t="s">
        <v>162</v>
      </c>
      <c r="Q500" s="124" t="s">
        <v>244</v>
      </c>
      <c r="R500" s="1"/>
    </row>
    <row r="501" spans="1:18" ht="13.5" thickBot="1" x14ac:dyDescent="0.25">
      <c r="A501" s="123">
        <v>45</v>
      </c>
      <c r="B501" s="123">
        <v>0</v>
      </c>
      <c r="C501" s="123">
        <v>45</v>
      </c>
      <c r="D501" s="123">
        <v>0</v>
      </c>
      <c r="E501" s="123">
        <v>0</v>
      </c>
      <c r="F501" s="123">
        <v>0</v>
      </c>
      <c r="G501" s="123">
        <v>10</v>
      </c>
      <c r="H501" s="123">
        <v>0</v>
      </c>
      <c r="I501" s="123">
        <v>10</v>
      </c>
      <c r="J501" s="123">
        <v>4</v>
      </c>
      <c r="K501" s="123">
        <v>0</v>
      </c>
      <c r="L501" s="123">
        <v>4</v>
      </c>
      <c r="M501" s="123">
        <v>31</v>
      </c>
      <c r="N501" s="123">
        <v>0</v>
      </c>
      <c r="O501" s="123">
        <v>31</v>
      </c>
      <c r="P501" s="7" t="s">
        <v>13</v>
      </c>
      <c r="Q501" s="9"/>
      <c r="R501" s="1"/>
    </row>
    <row r="502" spans="1:18" ht="13.5" thickBot="1" x14ac:dyDescent="0.25">
      <c r="A502" s="123">
        <v>16</v>
      </c>
      <c r="B502" s="123">
        <v>0</v>
      </c>
      <c r="C502" s="123">
        <v>16</v>
      </c>
      <c r="D502" s="123">
        <v>0</v>
      </c>
      <c r="E502" s="123">
        <v>0</v>
      </c>
      <c r="F502" s="123">
        <v>0</v>
      </c>
      <c r="G502" s="123">
        <v>15</v>
      </c>
      <c r="H502" s="123">
        <v>0</v>
      </c>
      <c r="I502" s="123">
        <v>15</v>
      </c>
      <c r="J502" s="123">
        <v>0</v>
      </c>
      <c r="K502" s="123">
        <v>0</v>
      </c>
      <c r="L502" s="123">
        <v>0</v>
      </c>
      <c r="M502" s="123">
        <v>1</v>
      </c>
      <c r="N502" s="123">
        <v>0</v>
      </c>
      <c r="O502" s="123">
        <v>1</v>
      </c>
      <c r="P502" s="7" t="s">
        <v>163</v>
      </c>
      <c r="Q502" s="124"/>
      <c r="R502" s="1"/>
    </row>
    <row r="503" spans="1:18" ht="13.5" thickBot="1" x14ac:dyDescent="0.25">
      <c r="A503" s="123">
        <v>25</v>
      </c>
      <c r="B503" s="123">
        <v>3</v>
      </c>
      <c r="C503" s="123">
        <v>22</v>
      </c>
      <c r="D503" s="123">
        <v>0</v>
      </c>
      <c r="E503" s="123">
        <v>0</v>
      </c>
      <c r="F503" s="123">
        <v>0</v>
      </c>
      <c r="G503" s="123">
        <v>0</v>
      </c>
      <c r="H503" s="123">
        <v>0</v>
      </c>
      <c r="I503" s="123">
        <v>0</v>
      </c>
      <c r="J503" s="123">
        <v>7</v>
      </c>
      <c r="K503" s="123">
        <v>1</v>
      </c>
      <c r="L503" s="123">
        <v>6</v>
      </c>
      <c r="M503" s="123">
        <v>18</v>
      </c>
      <c r="N503" s="123">
        <v>2</v>
      </c>
      <c r="O503" s="123">
        <v>16</v>
      </c>
      <c r="P503" s="7" t="s">
        <v>162</v>
      </c>
      <c r="Q503" s="124" t="s">
        <v>337</v>
      </c>
      <c r="R503" s="1"/>
    </row>
    <row r="504" spans="1:18" ht="13.5" thickBot="1" x14ac:dyDescent="0.25">
      <c r="A504" s="123">
        <v>41</v>
      </c>
      <c r="B504" s="123">
        <v>3</v>
      </c>
      <c r="C504" s="123">
        <v>38</v>
      </c>
      <c r="D504" s="123">
        <v>0</v>
      </c>
      <c r="E504" s="123">
        <v>0</v>
      </c>
      <c r="F504" s="123">
        <v>0</v>
      </c>
      <c r="G504" s="123">
        <v>15</v>
      </c>
      <c r="H504" s="123">
        <v>0</v>
      </c>
      <c r="I504" s="123">
        <v>15</v>
      </c>
      <c r="J504" s="123">
        <v>7</v>
      </c>
      <c r="K504" s="123">
        <v>1</v>
      </c>
      <c r="L504" s="123">
        <v>6</v>
      </c>
      <c r="M504" s="123">
        <v>19</v>
      </c>
      <c r="N504" s="123">
        <v>2</v>
      </c>
      <c r="O504" s="123">
        <v>17</v>
      </c>
      <c r="P504" s="7" t="s">
        <v>13</v>
      </c>
      <c r="Q504" s="9"/>
      <c r="R504" s="1"/>
    </row>
    <row r="505" spans="1:18" ht="13.5" thickBot="1" x14ac:dyDescent="0.25">
      <c r="A505" s="123">
        <v>18</v>
      </c>
      <c r="B505" s="123">
        <v>0</v>
      </c>
      <c r="C505" s="123">
        <v>18</v>
      </c>
      <c r="D505" s="123">
        <v>0</v>
      </c>
      <c r="E505" s="123">
        <v>0</v>
      </c>
      <c r="F505" s="123">
        <v>0</v>
      </c>
      <c r="G505" s="123">
        <v>17</v>
      </c>
      <c r="H505" s="123">
        <v>0</v>
      </c>
      <c r="I505" s="123">
        <v>17</v>
      </c>
      <c r="J505" s="123">
        <v>1</v>
      </c>
      <c r="K505" s="123">
        <v>0</v>
      </c>
      <c r="L505" s="123">
        <v>1</v>
      </c>
      <c r="M505" s="123">
        <v>0</v>
      </c>
      <c r="N505" s="123">
        <v>0</v>
      </c>
      <c r="O505" s="123">
        <v>0</v>
      </c>
      <c r="P505" s="7" t="s">
        <v>163</v>
      </c>
      <c r="Q505" s="124"/>
      <c r="R505" s="1"/>
    </row>
    <row r="506" spans="1:18" ht="13.5" thickBot="1" x14ac:dyDescent="0.25">
      <c r="A506" s="123">
        <v>11</v>
      </c>
      <c r="B506" s="123">
        <v>1</v>
      </c>
      <c r="C506" s="123">
        <v>10</v>
      </c>
      <c r="D506" s="123">
        <v>0</v>
      </c>
      <c r="E506" s="123">
        <v>0</v>
      </c>
      <c r="F506" s="123">
        <v>0</v>
      </c>
      <c r="G506" s="123">
        <v>0</v>
      </c>
      <c r="H506" s="123">
        <v>0</v>
      </c>
      <c r="I506" s="123">
        <v>0</v>
      </c>
      <c r="J506" s="123">
        <v>3</v>
      </c>
      <c r="K506" s="123">
        <v>0</v>
      </c>
      <c r="L506" s="123">
        <v>3</v>
      </c>
      <c r="M506" s="123">
        <v>8</v>
      </c>
      <c r="N506" s="123">
        <v>1</v>
      </c>
      <c r="O506" s="123">
        <v>7</v>
      </c>
      <c r="P506" s="7" t="s">
        <v>162</v>
      </c>
      <c r="Q506" s="124" t="s">
        <v>264</v>
      </c>
      <c r="R506" s="1"/>
    </row>
    <row r="507" spans="1:18" ht="13.5" thickBot="1" x14ac:dyDescent="0.25">
      <c r="A507" s="123">
        <v>29</v>
      </c>
      <c r="B507" s="123">
        <v>1</v>
      </c>
      <c r="C507" s="123">
        <v>28</v>
      </c>
      <c r="D507" s="123">
        <v>0</v>
      </c>
      <c r="E507" s="123">
        <v>0</v>
      </c>
      <c r="F507" s="123">
        <v>0</v>
      </c>
      <c r="G507" s="123">
        <v>17</v>
      </c>
      <c r="H507" s="123">
        <v>0</v>
      </c>
      <c r="I507" s="123">
        <v>17</v>
      </c>
      <c r="J507" s="123">
        <v>4</v>
      </c>
      <c r="K507" s="123">
        <v>0</v>
      </c>
      <c r="L507" s="123">
        <v>4</v>
      </c>
      <c r="M507" s="123">
        <v>8</v>
      </c>
      <c r="N507" s="123">
        <v>1</v>
      </c>
      <c r="O507" s="123">
        <v>7</v>
      </c>
      <c r="P507" s="7" t="s">
        <v>13</v>
      </c>
      <c r="Q507" s="9"/>
      <c r="R507" s="1"/>
    </row>
    <row r="508" spans="1:18" ht="13.5" thickBot="1" x14ac:dyDescent="0.25">
      <c r="A508" s="123">
        <v>13</v>
      </c>
      <c r="B508" s="123">
        <v>0</v>
      </c>
      <c r="C508" s="123">
        <v>13</v>
      </c>
      <c r="D508" s="123">
        <v>0</v>
      </c>
      <c r="E508" s="123">
        <v>0</v>
      </c>
      <c r="F508" s="123">
        <v>0</v>
      </c>
      <c r="G508" s="123">
        <v>13</v>
      </c>
      <c r="H508" s="123">
        <v>0</v>
      </c>
      <c r="I508" s="123">
        <v>13</v>
      </c>
      <c r="J508" s="123">
        <v>0</v>
      </c>
      <c r="K508" s="123">
        <v>0</v>
      </c>
      <c r="L508" s="123">
        <v>0</v>
      </c>
      <c r="M508" s="123">
        <v>0</v>
      </c>
      <c r="N508" s="123">
        <v>0</v>
      </c>
      <c r="O508" s="123">
        <v>0</v>
      </c>
      <c r="P508" s="7" t="s">
        <v>163</v>
      </c>
      <c r="Q508" s="124"/>
      <c r="R508" s="1"/>
    </row>
    <row r="509" spans="1:18" ht="13.5" thickBot="1" x14ac:dyDescent="0.25">
      <c r="A509" s="123">
        <v>44</v>
      </c>
      <c r="B509" s="123">
        <v>0</v>
      </c>
      <c r="C509" s="123">
        <v>44</v>
      </c>
      <c r="D509" s="123">
        <v>0</v>
      </c>
      <c r="E509" s="123">
        <v>0</v>
      </c>
      <c r="F509" s="123">
        <v>0</v>
      </c>
      <c r="G509" s="123">
        <v>0</v>
      </c>
      <c r="H509" s="123">
        <v>0</v>
      </c>
      <c r="I509" s="123">
        <v>0</v>
      </c>
      <c r="J509" s="123">
        <v>8</v>
      </c>
      <c r="K509" s="123">
        <v>0</v>
      </c>
      <c r="L509" s="123">
        <v>8</v>
      </c>
      <c r="M509" s="123">
        <v>36</v>
      </c>
      <c r="N509" s="123">
        <v>0</v>
      </c>
      <c r="O509" s="123">
        <v>36</v>
      </c>
      <c r="P509" s="7" t="s">
        <v>162</v>
      </c>
      <c r="Q509" s="124" t="s">
        <v>377</v>
      </c>
      <c r="R509" s="1"/>
    </row>
    <row r="510" spans="1:18" ht="13.5" thickBot="1" x14ac:dyDescent="0.25">
      <c r="A510" s="123">
        <v>57</v>
      </c>
      <c r="B510" s="123">
        <v>0</v>
      </c>
      <c r="C510" s="123">
        <v>57</v>
      </c>
      <c r="D510" s="123">
        <v>0</v>
      </c>
      <c r="E510" s="123">
        <v>0</v>
      </c>
      <c r="F510" s="123">
        <v>0</v>
      </c>
      <c r="G510" s="123">
        <v>13</v>
      </c>
      <c r="H510" s="123">
        <v>0</v>
      </c>
      <c r="I510" s="123">
        <v>13</v>
      </c>
      <c r="J510" s="123">
        <v>8</v>
      </c>
      <c r="K510" s="123">
        <v>0</v>
      </c>
      <c r="L510" s="123">
        <v>8</v>
      </c>
      <c r="M510" s="123">
        <v>36</v>
      </c>
      <c r="N510" s="123">
        <v>0</v>
      </c>
      <c r="O510" s="123">
        <v>36</v>
      </c>
      <c r="P510" s="7" t="s">
        <v>13</v>
      </c>
      <c r="Q510" s="9"/>
      <c r="R510" s="1"/>
    </row>
    <row r="511" spans="1:18" ht="13.5" thickBot="1" x14ac:dyDescent="0.25">
      <c r="A511" s="123">
        <v>37</v>
      </c>
      <c r="B511" s="123">
        <v>0</v>
      </c>
      <c r="C511" s="123">
        <v>37</v>
      </c>
      <c r="D511" s="123">
        <v>0</v>
      </c>
      <c r="E511" s="123">
        <v>0</v>
      </c>
      <c r="F511" s="123">
        <v>0</v>
      </c>
      <c r="G511" s="123">
        <v>26</v>
      </c>
      <c r="H511" s="123">
        <v>0</v>
      </c>
      <c r="I511" s="123">
        <v>26</v>
      </c>
      <c r="J511" s="123">
        <v>0</v>
      </c>
      <c r="K511" s="123">
        <v>0</v>
      </c>
      <c r="L511" s="123">
        <v>0</v>
      </c>
      <c r="M511" s="123">
        <v>11</v>
      </c>
      <c r="N511" s="123">
        <v>0</v>
      </c>
      <c r="O511" s="123">
        <v>11</v>
      </c>
      <c r="P511" s="7" t="s">
        <v>163</v>
      </c>
      <c r="Q511" s="124"/>
      <c r="R511" s="1"/>
    </row>
    <row r="512" spans="1:18" ht="13.5" thickBot="1" x14ac:dyDescent="0.25">
      <c r="A512" s="123">
        <v>64</v>
      </c>
      <c r="B512" s="123">
        <v>0</v>
      </c>
      <c r="C512" s="123">
        <v>64</v>
      </c>
      <c r="D512" s="123">
        <v>0</v>
      </c>
      <c r="E512" s="123">
        <v>0</v>
      </c>
      <c r="F512" s="123">
        <v>0</v>
      </c>
      <c r="G512" s="123">
        <v>0</v>
      </c>
      <c r="H512" s="123">
        <v>0</v>
      </c>
      <c r="I512" s="123">
        <v>0</v>
      </c>
      <c r="J512" s="123">
        <v>23</v>
      </c>
      <c r="K512" s="123">
        <v>0</v>
      </c>
      <c r="L512" s="123">
        <v>23</v>
      </c>
      <c r="M512" s="123">
        <v>41</v>
      </c>
      <c r="N512" s="123">
        <v>0</v>
      </c>
      <c r="O512" s="123">
        <v>41</v>
      </c>
      <c r="P512" s="7" t="s">
        <v>162</v>
      </c>
      <c r="Q512" s="124" t="s">
        <v>354</v>
      </c>
      <c r="R512" s="1"/>
    </row>
    <row r="513" spans="1:18" ht="13.5" thickBot="1" x14ac:dyDescent="0.25">
      <c r="A513" s="123">
        <v>101</v>
      </c>
      <c r="B513" s="123">
        <v>0</v>
      </c>
      <c r="C513" s="123">
        <v>101</v>
      </c>
      <c r="D513" s="123">
        <v>0</v>
      </c>
      <c r="E513" s="123">
        <v>0</v>
      </c>
      <c r="F513" s="123">
        <v>0</v>
      </c>
      <c r="G513" s="123">
        <v>26</v>
      </c>
      <c r="H513" s="123">
        <v>0</v>
      </c>
      <c r="I513" s="123">
        <v>26</v>
      </c>
      <c r="J513" s="123">
        <v>23</v>
      </c>
      <c r="K513" s="123">
        <v>0</v>
      </c>
      <c r="L513" s="123">
        <v>23</v>
      </c>
      <c r="M513" s="123">
        <v>52</v>
      </c>
      <c r="N513" s="123">
        <v>0</v>
      </c>
      <c r="O513" s="123">
        <v>52</v>
      </c>
      <c r="P513" s="7" t="s">
        <v>13</v>
      </c>
      <c r="Q513" s="9"/>
      <c r="R513" s="1"/>
    </row>
    <row r="514" spans="1:18" ht="13.5" thickBot="1" x14ac:dyDescent="0.25">
      <c r="A514" s="123">
        <v>2</v>
      </c>
      <c r="B514" s="123">
        <v>0</v>
      </c>
      <c r="C514" s="123">
        <v>2</v>
      </c>
      <c r="D514" s="123">
        <v>0</v>
      </c>
      <c r="E514" s="123">
        <v>0</v>
      </c>
      <c r="F514" s="123">
        <v>0</v>
      </c>
      <c r="G514" s="123">
        <v>0</v>
      </c>
      <c r="H514" s="123">
        <v>0</v>
      </c>
      <c r="I514" s="123">
        <v>0</v>
      </c>
      <c r="J514" s="123">
        <v>1</v>
      </c>
      <c r="K514" s="123">
        <v>0</v>
      </c>
      <c r="L514" s="123">
        <v>1</v>
      </c>
      <c r="M514" s="123">
        <v>1</v>
      </c>
      <c r="N514" s="123">
        <v>0</v>
      </c>
      <c r="O514" s="123">
        <v>1</v>
      </c>
      <c r="P514" s="7" t="s">
        <v>163</v>
      </c>
      <c r="Q514" s="124"/>
      <c r="R514" s="1"/>
    </row>
    <row r="515" spans="1:18" ht="13.5" thickBot="1" x14ac:dyDescent="0.25">
      <c r="A515" s="123">
        <v>20</v>
      </c>
      <c r="B515" s="123">
        <v>0</v>
      </c>
      <c r="C515" s="123">
        <v>20</v>
      </c>
      <c r="D515" s="123">
        <v>0</v>
      </c>
      <c r="E515" s="123">
        <v>0</v>
      </c>
      <c r="F515" s="123">
        <v>0</v>
      </c>
      <c r="G515" s="123">
        <v>0</v>
      </c>
      <c r="H515" s="123">
        <v>0</v>
      </c>
      <c r="I515" s="123">
        <v>0</v>
      </c>
      <c r="J515" s="123">
        <v>11</v>
      </c>
      <c r="K515" s="123">
        <v>0</v>
      </c>
      <c r="L515" s="123">
        <v>11</v>
      </c>
      <c r="M515" s="123">
        <v>9</v>
      </c>
      <c r="N515" s="123">
        <v>0</v>
      </c>
      <c r="O515" s="123">
        <v>9</v>
      </c>
      <c r="P515" s="7" t="s">
        <v>162</v>
      </c>
      <c r="Q515" s="124" t="s">
        <v>102</v>
      </c>
      <c r="R515" s="1"/>
    </row>
    <row r="516" spans="1:18" ht="13.5" thickBot="1" x14ac:dyDescent="0.25">
      <c r="A516" s="123">
        <v>22</v>
      </c>
      <c r="B516" s="123">
        <v>0</v>
      </c>
      <c r="C516" s="123">
        <v>22</v>
      </c>
      <c r="D516" s="123">
        <v>0</v>
      </c>
      <c r="E516" s="123">
        <v>0</v>
      </c>
      <c r="F516" s="123">
        <v>0</v>
      </c>
      <c r="G516" s="123">
        <v>0</v>
      </c>
      <c r="H516" s="123">
        <v>0</v>
      </c>
      <c r="I516" s="123">
        <v>0</v>
      </c>
      <c r="J516" s="123">
        <v>12</v>
      </c>
      <c r="K516" s="123">
        <v>0</v>
      </c>
      <c r="L516" s="123">
        <v>12</v>
      </c>
      <c r="M516" s="123">
        <v>10</v>
      </c>
      <c r="N516" s="123">
        <v>0</v>
      </c>
      <c r="O516" s="123">
        <v>10</v>
      </c>
      <c r="P516" s="7" t="s">
        <v>13</v>
      </c>
      <c r="Q516" s="9"/>
      <c r="R516" s="1"/>
    </row>
    <row r="517" spans="1:18" ht="13.5" thickBot="1" x14ac:dyDescent="0.25">
      <c r="A517" s="123">
        <v>31</v>
      </c>
      <c r="B517" s="123">
        <v>26</v>
      </c>
      <c r="C517" s="123">
        <v>5</v>
      </c>
      <c r="D517" s="123">
        <v>0</v>
      </c>
      <c r="E517" s="123">
        <v>0</v>
      </c>
      <c r="F517" s="123">
        <v>0</v>
      </c>
      <c r="G517" s="123">
        <v>28</v>
      </c>
      <c r="H517" s="123">
        <v>26</v>
      </c>
      <c r="I517" s="123">
        <v>2</v>
      </c>
      <c r="J517" s="123">
        <v>1</v>
      </c>
      <c r="K517" s="123">
        <v>0</v>
      </c>
      <c r="L517" s="123">
        <v>1</v>
      </c>
      <c r="M517" s="123">
        <v>2</v>
      </c>
      <c r="N517" s="123">
        <v>0</v>
      </c>
      <c r="O517" s="123">
        <v>2</v>
      </c>
      <c r="P517" s="7" t="s">
        <v>163</v>
      </c>
      <c r="Q517" s="124"/>
      <c r="R517" s="1"/>
    </row>
    <row r="518" spans="1:18" ht="13.5" thickBot="1" x14ac:dyDescent="0.25">
      <c r="A518" s="123">
        <v>104</v>
      </c>
      <c r="B518" s="123">
        <v>99</v>
      </c>
      <c r="C518" s="123">
        <v>5</v>
      </c>
      <c r="D518" s="123">
        <v>0</v>
      </c>
      <c r="E518" s="123">
        <v>0</v>
      </c>
      <c r="F518" s="123">
        <v>0</v>
      </c>
      <c r="G518" s="123">
        <v>0</v>
      </c>
      <c r="H518" s="123">
        <v>0</v>
      </c>
      <c r="I518" s="123">
        <v>0</v>
      </c>
      <c r="J518" s="123">
        <v>36</v>
      </c>
      <c r="K518" s="123">
        <v>34</v>
      </c>
      <c r="L518" s="123">
        <v>2</v>
      </c>
      <c r="M518" s="123">
        <v>68</v>
      </c>
      <c r="N518" s="123">
        <v>65</v>
      </c>
      <c r="O518" s="123">
        <v>3</v>
      </c>
      <c r="P518" s="7" t="s">
        <v>162</v>
      </c>
      <c r="Q518" s="124" t="s">
        <v>634</v>
      </c>
      <c r="R518" s="1"/>
    </row>
    <row r="519" spans="1:18" ht="13.5" thickBot="1" x14ac:dyDescent="0.25">
      <c r="A519" s="123">
        <v>135</v>
      </c>
      <c r="B519" s="123">
        <v>125</v>
      </c>
      <c r="C519" s="123">
        <v>10</v>
      </c>
      <c r="D519" s="123">
        <v>0</v>
      </c>
      <c r="E519" s="123">
        <v>0</v>
      </c>
      <c r="F519" s="123">
        <v>0</v>
      </c>
      <c r="G519" s="123">
        <v>28</v>
      </c>
      <c r="H519" s="123">
        <v>26</v>
      </c>
      <c r="I519" s="123">
        <v>2</v>
      </c>
      <c r="J519" s="123">
        <v>37</v>
      </c>
      <c r="K519" s="123">
        <v>34</v>
      </c>
      <c r="L519" s="123">
        <v>3</v>
      </c>
      <c r="M519" s="123">
        <v>70</v>
      </c>
      <c r="N519" s="123">
        <v>65</v>
      </c>
      <c r="O519" s="123">
        <v>5</v>
      </c>
      <c r="P519" s="7" t="s">
        <v>13</v>
      </c>
      <c r="Q519" s="9"/>
      <c r="R519" s="1"/>
    </row>
    <row r="520" spans="1:18" ht="13.5" thickBot="1" x14ac:dyDescent="0.25">
      <c r="A520" s="123">
        <v>43</v>
      </c>
      <c r="B520" s="123">
        <v>0</v>
      </c>
      <c r="C520" s="123">
        <v>43</v>
      </c>
      <c r="D520" s="123">
        <v>0</v>
      </c>
      <c r="E520" s="123">
        <v>0</v>
      </c>
      <c r="F520" s="123">
        <v>0</v>
      </c>
      <c r="G520" s="123">
        <v>27</v>
      </c>
      <c r="H520" s="123">
        <v>0</v>
      </c>
      <c r="I520" s="123">
        <v>27</v>
      </c>
      <c r="J520" s="123">
        <v>1</v>
      </c>
      <c r="K520" s="123">
        <v>0</v>
      </c>
      <c r="L520" s="123">
        <v>1</v>
      </c>
      <c r="M520" s="123">
        <v>15</v>
      </c>
      <c r="N520" s="123">
        <v>0</v>
      </c>
      <c r="O520" s="123">
        <v>15</v>
      </c>
      <c r="P520" s="7" t="s">
        <v>163</v>
      </c>
      <c r="Q520" s="124"/>
      <c r="R520" s="1"/>
    </row>
    <row r="521" spans="1:18" ht="13.5" thickBot="1" x14ac:dyDescent="0.25">
      <c r="A521" s="123">
        <v>99</v>
      </c>
      <c r="B521" s="123">
        <v>0</v>
      </c>
      <c r="C521" s="123">
        <v>99</v>
      </c>
      <c r="D521" s="123">
        <v>0</v>
      </c>
      <c r="E521" s="123">
        <v>0</v>
      </c>
      <c r="F521" s="123">
        <v>0</v>
      </c>
      <c r="G521" s="123">
        <v>0</v>
      </c>
      <c r="H521" s="123">
        <v>0</v>
      </c>
      <c r="I521" s="123">
        <v>0</v>
      </c>
      <c r="J521" s="123">
        <v>17</v>
      </c>
      <c r="K521" s="123">
        <v>0</v>
      </c>
      <c r="L521" s="123">
        <v>17</v>
      </c>
      <c r="M521" s="123">
        <v>82</v>
      </c>
      <c r="N521" s="123">
        <v>0</v>
      </c>
      <c r="O521" s="123">
        <v>82</v>
      </c>
      <c r="P521" s="7" t="s">
        <v>162</v>
      </c>
      <c r="Q521" s="124" t="s">
        <v>365</v>
      </c>
      <c r="R521" s="1"/>
    </row>
    <row r="522" spans="1:18" ht="13.5" thickBot="1" x14ac:dyDescent="0.25">
      <c r="A522" s="123">
        <v>142</v>
      </c>
      <c r="B522" s="123">
        <v>0</v>
      </c>
      <c r="C522" s="123">
        <v>142</v>
      </c>
      <c r="D522" s="123">
        <v>0</v>
      </c>
      <c r="E522" s="123">
        <v>0</v>
      </c>
      <c r="F522" s="123">
        <v>0</v>
      </c>
      <c r="G522" s="123">
        <v>27</v>
      </c>
      <c r="H522" s="123">
        <v>0</v>
      </c>
      <c r="I522" s="123">
        <v>27</v>
      </c>
      <c r="J522" s="123">
        <v>18</v>
      </c>
      <c r="K522" s="123">
        <v>0</v>
      </c>
      <c r="L522" s="123">
        <v>18</v>
      </c>
      <c r="M522" s="123">
        <v>97</v>
      </c>
      <c r="N522" s="123">
        <v>0</v>
      </c>
      <c r="O522" s="123">
        <v>97</v>
      </c>
      <c r="P522" s="7" t="s">
        <v>13</v>
      </c>
      <c r="Q522" s="9"/>
      <c r="R522" s="1"/>
    </row>
    <row r="523" spans="1:18" ht="13.5" thickBot="1" x14ac:dyDescent="0.25">
      <c r="A523" s="123">
        <v>95</v>
      </c>
      <c r="B523" s="123">
        <v>3</v>
      </c>
      <c r="C523" s="123">
        <v>92</v>
      </c>
      <c r="D523" s="123">
        <v>0</v>
      </c>
      <c r="E523" s="123">
        <v>0</v>
      </c>
      <c r="F523" s="123">
        <v>0</v>
      </c>
      <c r="G523" s="123">
        <v>49</v>
      </c>
      <c r="H523" s="123">
        <v>2</v>
      </c>
      <c r="I523" s="123">
        <v>47</v>
      </c>
      <c r="J523" s="123">
        <v>0</v>
      </c>
      <c r="K523" s="123">
        <v>0</v>
      </c>
      <c r="L523" s="123">
        <v>0</v>
      </c>
      <c r="M523" s="123">
        <v>46</v>
      </c>
      <c r="N523" s="123">
        <v>1</v>
      </c>
      <c r="O523" s="123">
        <v>45</v>
      </c>
      <c r="P523" s="7" t="s">
        <v>163</v>
      </c>
      <c r="Q523" s="124"/>
      <c r="R523" s="1"/>
    </row>
    <row r="524" spans="1:18" ht="13.5" thickBot="1" x14ac:dyDescent="0.25">
      <c r="A524" s="123">
        <v>93</v>
      </c>
      <c r="B524" s="123">
        <v>3</v>
      </c>
      <c r="C524" s="123">
        <v>90</v>
      </c>
      <c r="D524" s="123">
        <v>0</v>
      </c>
      <c r="E524" s="123">
        <v>0</v>
      </c>
      <c r="F524" s="123">
        <v>0</v>
      </c>
      <c r="G524" s="123">
        <v>0</v>
      </c>
      <c r="H524" s="123">
        <v>0</v>
      </c>
      <c r="I524" s="123">
        <v>0</v>
      </c>
      <c r="J524" s="123">
        <v>14</v>
      </c>
      <c r="K524" s="123">
        <v>1</v>
      </c>
      <c r="L524" s="123">
        <v>13</v>
      </c>
      <c r="M524" s="123">
        <v>79</v>
      </c>
      <c r="N524" s="123">
        <v>2</v>
      </c>
      <c r="O524" s="123">
        <v>77</v>
      </c>
      <c r="P524" s="7" t="s">
        <v>162</v>
      </c>
      <c r="Q524" s="124" t="s">
        <v>263</v>
      </c>
      <c r="R524" s="1"/>
    </row>
    <row r="525" spans="1:18" ht="13.5" thickBot="1" x14ac:dyDescent="0.25">
      <c r="A525" s="123">
        <v>188</v>
      </c>
      <c r="B525" s="123">
        <v>6</v>
      </c>
      <c r="C525" s="123">
        <v>182</v>
      </c>
      <c r="D525" s="123">
        <v>0</v>
      </c>
      <c r="E525" s="123">
        <v>0</v>
      </c>
      <c r="F525" s="123">
        <v>0</v>
      </c>
      <c r="G525" s="123">
        <v>49</v>
      </c>
      <c r="H525" s="123">
        <v>2</v>
      </c>
      <c r="I525" s="123">
        <v>47</v>
      </c>
      <c r="J525" s="123">
        <v>14</v>
      </c>
      <c r="K525" s="123">
        <v>1</v>
      </c>
      <c r="L525" s="123">
        <v>13</v>
      </c>
      <c r="M525" s="123">
        <v>125</v>
      </c>
      <c r="N525" s="123">
        <v>3</v>
      </c>
      <c r="O525" s="123">
        <v>122</v>
      </c>
      <c r="P525" s="7" t="s">
        <v>13</v>
      </c>
      <c r="Q525" s="9"/>
      <c r="R525" s="1"/>
    </row>
    <row r="526" spans="1:18" ht="13.5" thickBot="1" x14ac:dyDescent="0.25">
      <c r="A526" s="123">
        <v>0</v>
      </c>
      <c r="B526" s="123">
        <v>0</v>
      </c>
      <c r="C526" s="123">
        <v>0</v>
      </c>
      <c r="D526" s="123">
        <v>0</v>
      </c>
      <c r="E526" s="123">
        <v>0</v>
      </c>
      <c r="F526" s="123">
        <v>0</v>
      </c>
      <c r="G526" s="123">
        <v>0</v>
      </c>
      <c r="H526" s="123">
        <v>0</v>
      </c>
      <c r="I526" s="123">
        <v>0</v>
      </c>
      <c r="J526" s="123">
        <v>0</v>
      </c>
      <c r="K526" s="123">
        <v>0</v>
      </c>
      <c r="L526" s="123">
        <v>0</v>
      </c>
      <c r="M526" s="123">
        <v>0</v>
      </c>
      <c r="N526" s="123">
        <v>0</v>
      </c>
      <c r="O526" s="123">
        <v>0</v>
      </c>
      <c r="P526" s="7" t="s">
        <v>163</v>
      </c>
      <c r="Q526" s="124"/>
      <c r="R526" s="1"/>
    </row>
    <row r="527" spans="1:18" ht="13.5" thickBot="1" x14ac:dyDescent="0.25">
      <c r="A527" s="123">
        <v>32</v>
      </c>
      <c r="B527" s="123">
        <v>0</v>
      </c>
      <c r="C527" s="123">
        <v>32</v>
      </c>
      <c r="D527" s="123">
        <v>0</v>
      </c>
      <c r="E527" s="123">
        <v>0</v>
      </c>
      <c r="F527" s="123">
        <v>0</v>
      </c>
      <c r="G527" s="123">
        <v>0</v>
      </c>
      <c r="H527" s="123">
        <v>0</v>
      </c>
      <c r="I527" s="123">
        <v>0</v>
      </c>
      <c r="J527" s="123">
        <v>15</v>
      </c>
      <c r="K527" s="123">
        <v>0</v>
      </c>
      <c r="L527" s="123">
        <v>15</v>
      </c>
      <c r="M527" s="123">
        <v>17</v>
      </c>
      <c r="N527" s="123">
        <v>0</v>
      </c>
      <c r="O527" s="123">
        <v>17</v>
      </c>
      <c r="P527" s="7" t="s">
        <v>162</v>
      </c>
      <c r="Q527" s="124" t="s">
        <v>103</v>
      </c>
      <c r="R527" s="1"/>
    </row>
    <row r="528" spans="1:18" ht="13.5" thickBot="1" x14ac:dyDescent="0.25">
      <c r="A528" s="123">
        <v>32</v>
      </c>
      <c r="B528" s="123">
        <v>0</v>
      </c>
      <c r="C528" s="123">
        <v>32</v>
      </c>
      <c r="D528" s="123">
        <v>0</v>
      </c>
      <c r="E528" s="123">
        <v>0</v>
      </c>
      <c r="F528" s="123">
        <v>0</v>
      </c>
      <c r="G528" s="123">
        <v>0</v>
      </c>
      <c r="H528" s="123">
        <v>0</v>
      </c>
      <c r="I528" s="123">
        <v>0</v>
      </c>
      <c r="J528" s="123">
        <v>15</v>
      </c>
      <c r="K528" s="123">
        <v>0</v>
      </c>
      <c r="L528" s="123">
        <v>15</v>
      </c>
      <c r="M528" s="123">
        <v>17</v>
      </c>
      <c r="N528" s="123">
        <v>0</v>
      </c>
      <c r="O528" s="123">
        <v>17</v>
      </c>
      <c r="P528" s="7" t="s">
        <v>13</v>
      </c>
      <c r="Q528" s="9"/>
      <c r="R528" s="1"/>
    </row>
    <row r="529" spans="1:18" ht="13.5" thickBot="1" x14ac:dyDescent="0.25">
      <c r="A529" s="123">
        <v>25</v>
      </c>
      <c r="B529" s="123">
        <v>23</v>
      </c>
      <c r="C529" s="123">
        <v>2</v>
      </c>
      <c r="D529" s="123">
        <v>0</v>
      </c>
      <c r="E529" s="123">
        <v>0</v>
      </c>
      <c r="F529" s="123">
        <v>0</v>
      </c>
      <c r="G529" s="123">
        <v>23</v>
      </c>
      <c r="H529" s="123">
        <v>21</v>
      </c>
      <c r="I529" s="123">
        <v>2</v>
      </c>
      <c r="J529" s="123">
        <v>2</v>
      </c>
      <c r="K529" s="123">
        <v>2</v>
      </c>
      <c r="L529" s="123">
        <v>0</v>
      </c>
      <c r="M529" s="123">
        <v>0</v>
      </c>
      <c r="N529" s="123">
        <v>0</v>
      </c>
      <c r="O529" s="123">
        <v>0</v>
      </c>
      <c r="P529" s="7" t="s">
        <v>163</v>
      </c>
      <c r="Q529" s="124"/>
      <c r="R529" s="1"/>
    </row>
    <row r="530" spans="1:18" ht="13.5" thickBot="1" x14ac:dyDescent="0.25">
      <c r="A530" s="123">
        <v>5</v>
      </c>
      <c r="B530" s="123">
        <v>2</v>
      </c>
      <c r="C530" s="123">
        <v>3</v>
      </c>
      <c r="D530" s="123">
        <v>0</v>
      </c>
      <c r="E530" s="123">
        <v>0</v>
      </c>
      <c r="F530" s="123">
        <v>0</v>
      </c>
      <c r="G530" s="123">
        <v>0</v>
      </c>
      <c r="H530" s="123">
        <v>0</v>
      </c>
      <c r="I530" s="123">
        <v>0</v>
      </c>
      <c r="J530" s="123">
        <v>2</v>
      </c>
      <c r="K530" s="123">
        <v>2</v>
      </c>
      <c r="L530" s="123">
        <v>0</v>
      </c>
      <c r="M530" s="123">
        <v>3</v>
      </c>
      <c r="N530" s="123">
        <v>0</v>
      </c>
      <c r="O530" s="123">
        <v>3</v>
      </c>
      <c r="P530" s="7" t="s">
        <v>162</v>
      </c>
      <c r="Q530" s="124" t="s">
        <v>420</v>
      </c>
      <c r="R530" s="1"/>
    </row>
    <row r="531" spans="1:18" ht="13.5" thickBot="1" x14ac:dyDescent="0.25">
      <c r="A531" s="123">
        <v>30</v>
      </c>
      <c r="B531" s="123">
        <v>25</v>
      </c>
      <c r="C531" s="123">
        <v>5</v>
      </c>
      <c r="D531" s="123">
        <v>0</v>
      </c>
      <c r="E531" s="123">
        <v>0</v>
      </c>
      <c r="F531" s="123">
        <v>0</v>
      </c>
      <c r="G531" s="123">
        <v>23</v>
      </c>
      <c r="H531" s="123">
        <v>21</v>
      </c>
      <c r="I531" s="123">
        <v>2</v>
      </c>
      <c r="J531" s="123">
        <v>4</v>
      </c>
      <c r="K531" s="123">
        <v>4</v>
      </c>
      <c r="L531" s="123">
        <v>0</v>
      </c>
      <c r="M531" s="123">
        <v>3</v>
      </c>
      <c r="N531" s="123">
        <v>0</v>
      </c>
      <c r="O531" s="123">
        <v>3</v>
      </c>
      <c r="P531" s="7" t="s">
        <v>13</v>
      </c>
      <c r="Q531" s="9"/>
      <c r="R531" s="1"/>
    </row>
    <row r="532" spans="1:18" ht="13.5" thickBot="1" x14ac:dyDescent="0.25">
      <c r="A532" s="123">
        <v>38</v>
      </c>
      <c r="B532" s="123">
        <v>38</v>
      </c>
      <c r="C532" s="123">
        <v>0</v>
      </c>
      <c r="D532" s="123">
        <v>0</v>
      </c>
      <c r="E532" s="123">
        <v>0</v>
      </c>
      <c r="F532" s="123">
        <v>0</v>
      </c>
      <c r="G532" s="123">
        <v>23</v>
      </c>
      <c r="H532" s="123">
        <v>23</v>
      </c>
      <c r="I532" s="123">
        <v>0</v>
      </c>
      <c r="J532" s="123">
        <v>10</v>
      </c>
      <c r="K532" s="123">
        <v>10</v>
      </c>
      <c r="L532" s="123">
        <v>0</v>
      </c>
      <c r="M532" s="123">
        <v>5</v>
      </c>
      <c r="N532" s="123">
        <v>5</v>
      </c>
      <c r="O532" s="123">
        <v>0</v>
      </c>
      <c r="P532" s="7" t="s">
        <v>163</v>
      </c>
      <c r="Q532" s="124"/>
      <c r="R532" s="1"/>
    </row>
    <row r="533" spans="1:18" ht="13.5" thickBot="1" x14ac:dyDescent="0.25">
      <c r="A533" s="123">
        <v>26</v>
      </c>
      <c r="B533" s="123">
        <v>15</v>
      </c>
      <c r="C533" s="123">
        <v>11</v>
      </c>
      <c r="D533" s="123">
        <v>0</v>
      </c>
      <c r="E533" s="123">
        <v>0</v>
      </c>
      <c r="F533" s="123">
        <v>0</v>
      </c>
      <c r="G533" s="123">
        <v>0</v>
      </c>
      <c r="H533" s="123">
        <v>0</v>
      </c>
      <c r="I533" s="123">
        <v>0</v>
      </c>
      <c r="J533" s="123">
        <v>4</v>
      </c>
      <c r="K533" s="123">
        <v>4</v>
      </c>
      <c r="L533" s="123">
        <v>0</v>
      </c>
      <c r="M533" s="123">
        <v>22</v>
      </c>
      <c r="N533" s="123">
        <v>11</v>
      </c>
      <c r="O533" s="123">
        <v>11</v>
      </c>
      <c r="P533" s="7" t="s">
        <v>162</v>
      </c>
      <c r="Q533" s="124" t="s">
        <v>421</v>
      </c>
      <c r="R533" s="1"/>
    </row>
    <row r="534" spans="1:18" ht="13.5" thickBot="1" x14ac:dyDescent="0.25">
      <c r="A534" s="123">
        <v>64</v>
      </c>
      <c r="B534" s="123">
        <v>53</v>
      </c>
      <c r="C534" s="123">
        <v>11</v>
      </c>
      <c r="D534" s="123">
        <v>0</v>
      </c>
      <c r="E534" s="123">
        <v>0</v>
      </c>
      <c r="F534" s="123">
        <v>0</v>
      </c>
      <c r="G534" s="123">
        <v>23</v>
      </c>
      <c r="H534" s="123">
        <v>23</v>
      </c>
      <c r="I534" s="123">
        <v>0</v>
      </c>
      <c r="J534" s="123">
        <v>14</v>
      </c>
      <c r="K534" s="123">
        <v>14</v>
      </c>
      <c r="L534" s="123">
        <v>0</v>
      </c>
      <c r="M534" s="123">
        <v>27</v>
      </c>
      <c r="N534" s="123">
        <v>16</v>
      </c>
      <c r="O534" s="123">
        <v>11</v>
      </c>
      <c r="P534" s="7" t="s">
        <v>13</v>
      </c>
      <c r="Q534" s="9"/>
      <c r="R534" s="1"/>
    </row>
    <row r="535" spans="1:18" ht="13.5" thickBot="1" x14ac:dyDescent="0.25">
      <c r="A535" s="123">
        <v>63</v>
      </c>
      <c r="B535" s="123">
        <v>61</v>
      </c>
      <c r="C535" s="123">
        <v>2</v>
      </c>
      <c r="D535" s="123">
        <v>0</v>
      </c>
      <c r="E535" s="123">
        <v>0</v>
      </c>
      <c r="F535" s="123">
        <v>0</v>
      </c>
      <c r="G535" s="123">
        <v>33</v>
      </c>
      <c r="H535" s="123">
        <v>31</v>
      </c>
      <c r="I535" s="123">
        <v>2</v>
      </c>
      <c r="J535" s="123">
        <v>20</v>
      </c>
      <c r="K535" s="123">
        <v>20</v>
      </c>
      <c r="L535" s="123">
        <v>0</v>
      </c>
      <c r="M535" s="123">
        <v>10</v>
      </c>
      <c r="N535" s="123">
        <v>10</v>
      </c>
      <c r="O535" s="123">
        <v>0</v>
      </c>
      <c r="P535" s="7" t="s">
        <v>163</v>
      </c>
      <c r="Q535" s="124"/>
      <c r="R535" s="1"/>
    </row>
    <row r="536" spans="1:18" ht="13.5" thickBot="1" x14ac:dyDescent="0.25">
      <c r="A536" s="123">
        <v>53</v>
      </c>
      <c r="B536" s="123">
        <v>30</v>
      </c>
      <c r="C536" s="123">
        <v>23</v>
      </c>
      <c r="D536" s="123">
        <v>0</v>
      </c>
      <c r="E536" s="123">
        <v>0</v>
      </c>
      <c r="F536" s="123">
        <v>0</v>
      </c>
      <c r="G536" s="123">
        <v>0</v>
      </c>
      <c r="H536" s="123">
        <v>0</v>
      </c>
      <c r="I536" s="123">
        <v>0</v>
      </c>
      <c r="J536" s="123">
        <v>7</v>
      </c>
      <c r="K536" s="123">
        <v>5</v>
      </c>
      <c r="L536" s="123">
        <v>2</v>
      </c>
      <c r="M536" s="123">
        <v>46</v>
      </c>
      <c r="N536" s="123">
        <v>25</v>
      </c>
      <c r="O536" s="123">
        <v>21</v>
      </c>
      <c r="P536" s="7" t="s">
        <v>162</v>
      </c>
      <c r="Q536" s="124" t="s">
        <v>422</v>
      </c>
      <c r="R536" s="1"/>
    </row>
    <row r="537" spans="1:18" ht="13.5" thickBot="1" x14ac:dyDescent="0.25">
      <c r="A537" s="123">
        <v>116</v>
      </c>
      <c r="B537" s="123">
        <v>91</v>
      </c>
      <c r="C537" s="123">
        <v>25</v>
      </c>
      <c r="D537" s="123">
        <v>0</v>
      </c>
      <c r="E537" s="123">
        <v>0</v>
      </c>
      <c r="F537" s="123">
        <v>0</v>
      </c>
      <c r="G537" s="123">
        <v>33</v>
      </c>
      <c r="H537" s="123">
        <v>31</v>
      </c>
      <c r="I537" s="123">
        <v>2</v>
      </c>
      <c r="J537" s="123">
        <v>27</v>
      </c>
      <c r="K537" s="123">
        <v>25</v>
      </c>
      <c r="L537" s="123">
        <v>2</v>
      </c>
      <c r="M537" s="123">
        <v>56</v>
      </c>
      <c r="N537" s="123">
        <v>35</v>
      </c>
      <c r="O537" s="123">
        <v>21</v>
      </c>
      <c r="P537" s="7" t="s">
        <v>13</v>
      </c>
      <c r="Q537" s="9"/>
      <c r="R537" s="1"/>
    </row>
    <row r="538" spans="1:18" ht="13.5" thickBot="1" x14ac:dyDescent="0.25">
      <c r="A538" s="123">
        <v>18</v>
      </c>
      <c r="B538" s="123">
        <v>18</v>
      </c>
      <c r="C538" s="123">
        <v>0</v>
      </c>
      <c r="D538" s="123">
        <v>0</v>
      </c>
      <c r="E538" s="123">
        <v>0</v>
      </c>
      <c r="F538" s="123">
        <v>0</v>
      </c>
      <c r="G538" s="123">
        <v>17</v>
      </c>
      <c r="H538" s="123">
        <v>17</v>
      </c>
      <c r="I538" s="123">
        <v>0</v>
      </c>
      <c r="J538" s="123">
        <v>1</v>
      </c>
      <c r="K538" s="123">
        <v>1</v>
      </c>
      <c r="L538" s="123">
        <v>0</v>
      </c>
      <c r="M538" s="123">
        <v>0</v>
      </c>
      <c r="N538" s="123">
        <v>0</v>
      </c>
      <c r="O538" s="123">
        <v>0</v>
      </c>
      <c r="P538" s="7" t="s">
        <v>163</v>
      </c>
      <c r="Q538" s="124"/>
      <c r="R538" s="1"/>
    </row>
    <row r="539" spans="1:18" ht="13.5" thickBot="1" x14ac:dyDescent="0.25">
      <c r="A539" s="123">
        <v>3</v>
      </c>
      <c r="B539" s="123">
        <v>3</v>
      </c>
      <c r="C539" s="123">
        <v>0</v>
      </c>
      <c r="D539" s="123">
        <v>0</v>
      </c>
      <c r="E539" s="123">
        <v>0</v>
      </c>
      <c r="F539" s="123">
        <v>0</v>
      </c>
      <c r="G539" s="123">
        <v>0</v>
      </c>
      <c r="H539" s="123">
        <v>0</v>
      </c>
      <c r="I539" s="123">
        <v>0</v>
      </c>
      <c r="J539" s="123">
        <v>3</v>
      </c>
      <c r="K539" s="123">
        <v>3</v>
      </c>
      <c r="L539" s="123">
        <v>0</v>
      </c>
      <c r="M539" s="123">
        <v>0</v>
      </c>
      <c r="N539" s="123">
        <v>0</v>
      </c>
      <c r="O539" s="123">
        <v>0</v>
      </c>
      <c r="P539" s="7" t="s">
        <v>162</v>
      </c>
      <c r="Q539" s="124" t="s">
        <v>423</v>
      </c>
      <c r="R539" s="1"/>
    </row>
    <row r="540" spans="1:18" ht="13.5" thickBot="1" x14ac:dyDescent="0.25">
      <c r="A540" s="123">
        <v>21</v>
      </c>
      <c r="B540" s="123">
        <v>21</v>
      </c>
      <c r="C540" s="123">
        <v>0</v>
      </c>
      <c r="D540" s="123">
        <v>0</v>
      </c>
      <c r="E540" s="123">
        <v>0</v>
      </c>
      <c r="F540" s="123">
        <v>0</v>
      </c>
      <c r="G540" s="123">
        <v>17</v>
      </c>
      <c r="H540" s="123">
        <v>17</v>
      </c>
      <c r="I540" s="123">
        <v>0</v>
      </c>
      <c r="J540" s="123">
        <v>4</v>
      </c>
      <c r="K540" s="123">
        <v>4</v>
      </c>
      <c r="L540" s="123">
        <v>0</v>
      </c>
      <c r="M540" s="123">
        <v>0</v>
      </c>
      <c r="N540" s="123">
        <v>0</v>
      </c>
      <c r="O540" s="123">
        <v>0</v>
      </c>
      <c r="P540" s="7" t="s">
        <v>13</v>
      </c>
      <c r="Q540" s="9"/>
      <c r="R540" s="1"/>
    </row>
    <row r="541" spans="1:18" ht="13.5" thickBot="1" x14ac:dyDescent="0.25">
      <c r="A541" s="123">
        <v>19</v>
      </c>
      <c r="B541" s="123">
        <v>19</v>
      </c>
      <c r="C541" s="123">
        <v>0</v>
      </c>
      <c r="D541" s="123">
        <v>0</v>
      </c>
      <c r="E541" s="123">
        <v>0</v>
      </c>
      <c r="F541" s="123">
        <v>0</v>
      </c>
      <c r="G541" s="123">
        <v>19</v>
      </c>
      <c r="H541" s="123">
        <v>19</v>
      </c>
      <c r="I541" s="123">
        <v>0</v>
      </c>
      <c r="J541" s="123">
        <v>0</v>
      </c>
      <c r="K541" s="123">
        <v>0</v>
      </c>
      <c r="L541" s="123">
        <v>0</v>
      </c>
      <c r="M541" s="123">
        <v>0</v>
      </c>
      <c r="N541" s="123">
        <v>0</v>
      </c>
      <c r="O541" s="123">
        <v>0</v>
      </c>
      <c r="P541" s="7" t="s">
        <v>163</v>
      </c>
      <c r="Q541" s="124"/>
      <c r="R541" s="1"/>
    </row>
    <row r="542" spans="1:18" ht="13.5" thickBot="1" x14ac:dyDescent="0.25">
      <c r="A542" s="123">
        <v>2</v>
      </c>
      <c r="B542" s="123">
        <v>1</v>
      </c>
      <c r="C542" s="123">
        <v>1</v>
      </c>
      <c r="D542" s="123">
        <v>0</v>
      </c>
      <c r="E542" s="123">
        <v>0</v>
      </c>
      <c r="F542" s="123">
        <v>0</v>
      </c>
      <c r="G542" s="123">
        <v>0</v>
      </c>
      <c r="H542" s="123">
        <v>0</v>
      </c>
      <c r="I542" s="123">
        <v>0</v>
      </c>
      <c r="J542" s="123">
        <v>1</v>
      </c>
      <c r="K542" s="123">
        <v>1</v>
      </c>
      <c r="L542" s="123">
        <v>0</v>
      </c>
      <c r="M542" s="123">
        <v>1</v>
      </c>
      <c r="N542" s="123">
        <v>0</v>
      </c>
      <c r="O542" s="123">
        <v>1</v>
      </c>
      <c r="P542" s="7" t="s">
        <v>162</v>
      </c>
      <c r="Q542" s="124" t="s">
        <v>424</v>
      </c>
      <c r="R542" s="1"/>
    </row>
    <row r="543" spans="1:18" ht="13.5" thickBot="1" x14ac:dyDescent="0.25">
      <c r="A543" s="123">
        <v>21</v>
      </c>
      <c r="B543" s="123">
        <v>20</v>
      </c>
      <c r="C543" s="123">
        <v>1</v>
      </c>
      <c r="D543" s="123">
        <v>0</v>
      </c>
      <c r="E543" s="123">
        <v>0</v>
      </c>
      <c r="F543" s="123">
        <v>0</v>
      </c>
      <c r="G543" s="123">
        <v>19</v>
      </c>
      <c r="H543" s="123">
        <v>19</v>
      </c>
      <c r="I543" s="123">
        <v>0</v>
      </c>
      <c r="J543" s="123">
        <v>1</v>
      </c>
      <c r="K543" s="123">
        <v>1</v>
      </c>
      <c r="L543" s="123">
        <v>0</v>
      </c>
      <c r="M543" s="123">
        <v>1</v>
      </c>
      <c r="N543" s="123">
        <v>0</v>
      </c>
      <c r="O543" s="123">
        <v>1</v>
      </c>
      <c r="P543" s="7" t="s">
        <v>13</v>
      </c>
      <c r="Q543" s="9"/>
      <c r="R543" s="1"/>
    </row>
    <row r="544" spans="1:18" ht="13.5" thickBot="1" x14ac:dyDescent="0.25">
      <c r="A544" s="123">
        <v>9</v>
      </c>
      <c r="B544" s="123">
        <v>9</v>
      </c>
      <c r="C544" s="123">
        <v>0</v>
      </c>
      <c r="D544" s="123">
        <v>0</v>
      </c>
      <c r="E544" s="123">
        <v>0</v>
      </c>
      <c r="F544" s="123">
        <v>0</v>
      </c>
      <c r="G544" s="123">
        <v>9</v>
      </c>
      <c r="H544" s="123">
        <v>9</v>
      </c>
      <c r="I544" s="123">
        <v>0</v>
      </c>
      <c r="J544" s="123">
        <v>0</v>
      </c>
      <c r="K544" s="123">
        <v>0</v>
      </c>
      <c r="L544" s="123">
        <v>0</v>
      </c>
      <c r="M544" s="123">
        <v>0</v>
      </c>
      <c r="N544" s="123">
        <v>0</v>
      </c>
      <c r="O544" s="123">
        <v>0</v>
      </c>
      <c r="P544" s="7" t="s">
        <v>163</v>
      </c>
      <c r="Q544" s="124"/>
      <c r="R544" s="1"/>
    </row>
    <row r="545" spans="1:18" ht="13.5" thickBot="1" x14ac:dyDescent="0.25">
      <c r="A545" s="123">
        <v>11</v>
      </c>
      <c r="B545" s="123">
        <v>8</v>
      </c>
      <c r="C545" s="123">
        <v>3</v>
      </c>
      <c r="D545" s="123">
        <v>0</v>
      </c>
      <c r="E545" s="123">
        <v>0</v>
      </c>
      <c r="F545" s="123">
        <v>0</v>
      </c>
      <c r="G545" s="123">
        <v>0</v>
      </c>
      <c r="H545" s="123">
        <v>0</v>
      </c>
      <c r="I545" s="123">
        <v>0</v>
      </c>
      <c r="J545" s="123">
        <v>4</v>
      </c>
      <c r="K545" s="123">
        <v>3</v>
      </c>
      <c r="L545" s="123">
        <v>1</v>
      </c>
      <c r="M545" s="123">
        <v>7</v>
      </c>
      <c r="N545" s="123">
        <v>5</v>
      </c>
      <c r="O545" s="123">
        <v>2</v>
      </c>
      <c r="P545" s="7" t="s">
        <v>162</v>
      </c>
      <c r="Q545" s="124" t="s">
        <v>425</v>
      </c>
      <c r="R545" s="1"/>
    </row>
    <row r="546" spans="1:18" ht="13.5" thickBot="1" x14ac:dyDescent="0.25">
      <c r="A546" s="123">
        <v>20</v>
      </c>
      <c r="B546" s="123">
        <v>17</v>
      </c>
      <c r="C546" s="123">
        <v>3</v>
      </c>
      <c r="D546" s="123">
        <v>0</v>
      </c>
      <c r="E546" s="123">
        <v>0</v>
      </c>
      <c r="F546" s="123">
        <v>0</v>
      </c>
      <c r="G546" s="123">
        <v>9</v>
      </c>
      <c r="H546" s="123">
        <v>9</v>
      </c>
      <c r="I546" s="123">
        <v>0</v>
      </c>
      <c r="J546" s="123">
        <v>4</v>
      </c>
      <c r="K546" s="123">
        <v>3</v>
      </c>
      <c r="L546" s="123">
        <v>1</v>
      </c>
      <c r="M546" s="123">
        <v>7</v>
      </c>
      <c r="N546" s="123">
        <v>5</v>
      </c>
      <c r="O546" s="123">
        <v>2</v>
      </c>
      <c r="P546" s="7" t="s">
        <v>13</v>
      </c>
      <c r="Q546" s="9"/>
      <c r="R546" s="1"/>
    </row>
    <row r="547" spans="1:18" ht="13.5" thickBot="1" x14ac:dyDescent="0.25">
      <c r="A547" s="123">
        <v>23</v>
      </c>
      <c r="B547" s="123">
        <v>23</v>
      </c>
      <c r="C547" s="123">
        <v>0</v>
      </c>
      <c r="D547" s="123">
        <v>0</v>
      </c>
      <c r="E547" s="123">
        <v>0</v>
      </c>
      <c r="F547" s="123">
        <v>0</v>
      </c>
      <c r="G547" s="123">
        <v>23</v>
      </c>
      <c r="H547" s="123">
        <v>23</v>
      </c>
      <c r="I547" s="123">
        <v>0</v>
      </c>
      <c r="J547" s="123">
        <v>0</v>
      </c>
      <c r="K547" s="123">
        <v>0</v>
      </c>
      <c r="L547" s="123">
        <v>0</v>
      </c>
      <c r="M547" s="123">
        <v>0</v>
      </c>
      <c r="N547" s="123">
        <v>0</v>
      </c>
      <c r="O547" s="123">
        <v>0</v>
      </c>
      <c r="P547" s="7" t="s">
        <v>163</v>
      </c>
      <c r="Q547" s="124"/>
      <c r="R547" s="1"/>
    </row>
    <row r="548" spans="1:18" ht="13.5" thickBot="1" x14ac:dyDescent="0.25">
      <c r="A548" s="123">
        <v>9</v>
      </c>
      <c r="B548" s="123">
        <v>5</v>
      </c>
      <c r="C548" s="123">
        <v>4</v>
      </c>
      <c r="D548" s="123">
        <v>0</v>
      </c>
      <c r="E548" s="123">
        <v>0</v>
      </c>
      <c r="F548" s="123">
        <v>0</v>
      </c>
      <c r="G548" s="123">
        <v>0</v>
      </c>
      <c r="H548" s="123">
        <v>0</v>
      </c>
      <c r="I548" s="123">
        <v>0</v>
      </c>
      <c r="J548" s="123">
        <v>3</v>
      </c>
      <c r="K548" s="123">
        <v>2</v>
      </c>
      <c r="L548" s="123">
        <v>1</v>
      </c>
      <c r="M548" s="123">
        <v>6</v>
      </c>
      <c r="N548" s="123">
        <v>3</v>
      </c>
      <c r="O548" s="123">
        <v>3</v>
      </c>
      <c r="P548" s="7" t="s">
        <v>162</v>
      </c>
      <c r="Q548" s="124" t="s">
        <v>426</v>
      </c>
      <c r="R548" s="1"/>
    </row>
    <row r="549" spans="1:18" ht="13.5" thickBot="1" x14ac:dyDescent="0.25">
      <c r="A549" s="123">
        <v>32</v>
      </c>
      <c r="B549" s="123">
        <v>28</v>
      </c>
      <c r="C549" s="123">
        <v>4</v>
      </c>
      <c r="D549" s="123">
        <v>0</v>
      </c>
      <c r="E549" s="123">
        <v>0</v>
      </c>
      <c r="F549" s="123">
        <v>0</v>
      </c>
      <c r="G549" s="123">
        <v>23</v>
      </c>
      <c r="H549" s="123">
        <v>23</v>
      </c>
      <c r="I549" s="123">
        <v>0</v>
      </c>
      <c r="J549" s="123">
        <v>3</v>
      </c>
      <c r="K549" s="123">
        <v>2</v>
      </c>
      <c r="L549" s="123">
        <v>1</v>
      </c>
      <c r="M549" s="123">
        <v>6</v>
      </c>
      <c r="N549" s="123">
        <v>3</v>
      </c>
      <c r="O549" s="123">
        <v>3</v>
      </c>
      <c r="P549" s="7" t="s">
        <v>13</v>
      </c>
      <c r="Q549" s="9"/>
      <c r="R549" s="1"/>
    </row>
    <row r="550" spans="1:18" ht="13.5" thickBot="1" x14ac:dyDescent="0.25">
      <c r="A550" s="123">
        <v>6</v>
      </c>
      <c r="B550" s="123">
        <v>6</v>
      </c>
      <c r="C550" s="123">
        <v>0</v>
      </c>
      <c r="D550" s="123">
        <v>0</v>
      </c>
      <c r="E550" s="123">
        <v>0</v>
      </c>
      <c r="F550" s="123">
        <v>0</v>
      </c>
      <c r="G550" s="123">
        <v>4</v>
      </c>
      <c r="H550" s="123">
        <v>4</v>
      </c>
      <c r="I550" s="123">
        <v>0</v>
      </c>
      <c r="J550" s="123">
        <v>0</v>
      </c>
      <c r="K550" s="123">
        <v>0</v>
      </c>
      <c r="L550" s="123">
        <v>0</v>
      </c>
      <c r="M550" s="123">
        <v>2</v>
      </c>
      <c r="N550" s="123">
        <v>2</v>
      </c>
      <c r="O550" s="123">
        <v>0</v>
      </c>
      <c r="P550" s="7" t="s">
        <v>163</v>
      </c>
      <c r="Q550" s="124"/>
      <c r="R550" s="1"/>
    </row>
    <row r="551" spans="1:18" ht="13.5" thickBot="1" x14ac:dyDescent="0.25">
      <c r="A551" s="123">
        <v>31</v>
      </c>
      <c r="B551" s="123">
        <v>25</v>
      </c>
      <c r="C551" s="123">
        <v>6</v>
      </c>
      <c r="D551" s="123">
        <v>0</v>
      </c>
      <c r="E551" s="123">
        <v>0</v>
      </c>
      <c r="F551" s="123">
        <v>0</v>
      </c>
      <c r="G551" s="123">
        <v>0</v>
      </c>
      <c r="H551" s="123">
        <v>0</v>
      </c>
      <c r="I551" s="123">
        <v>0</v>
      </c>
      <c r="J551" s="123">
        <v>15</v>
      </c>
      <c r="K551" s="123">
        <v>12</v>
      </c>
      <c r="L551" s="123">
        <v>3</v>
      </c>
      <c r="M551" s="123">
        <v>16</v>
      </c>
      <c r="N551" s="123">
        <v>13</v>
      </c>
      <c r="O551" s="123">
        <v>3</v>
      </c>
      <c r="P551" s="7" t="s">
        <v>162</v>
      </c>
      <c r="Q551" s="124" t="s">
        <v>104</v>
      </c>
      <c r="R551" s="1"/>
    </row>
    <row r="552" spans="1:18" ht="13.5" thickBot="1" x14ac:dyDescent="0.25">
      <c r="A552" s="123">
        <v>37</v>
      </c>
      <c r="B552" s="123">
        <v>31</v>
      </c>
      <c r="C552" s="123">
        <v>6</v>
      </c>
      <c r="D552" s="123">
        <v>0</v>
      </c>
      <c r="E552" s="123">
        <v>0</v>
      </c>
      <c r="F552" s="123">
        <v>0</v>
      </c>
      <c r="G552" s="123">
        <v>4</v>
      </c>
      <c r="H552" s="123">
        <v>4</v>
      </c>
      <c r="I552" s="123">
        <v>0</v>
      </c>
      <c r="J552" s="123">
        <v>15</v>
      </c>
      <c r="K552" s="123">
        <v>12</v>
      </c>
      <c r="L552" s="123">
        <v>3</v>
      </c>
      <c r="M552" s="123">
        <v>18</v>
      </c>
      <c r="N552" s="123">
        <v>15</v>
      </c>
      <c r="O552" s="123">
        <v>3</v>
      </c>
      <c r="P552" s="7" t="s">
        <v>13</v>
      </c>
      <c r="Q552" s="9"/>
      <c r="R552" s="1"/>
    </row>
    <row r="553" spans="1:18" ht="13.5" thickBot="1" x14ac:dyDescent="0.25">
      <c r="A553" s="123">
        <v>26</v>
      </c>
      <c r="B553" s="123">
        <v>26</v>
      </c>
      <c r="C553" s="123">
        <v>0</v>
      </c>
      <c r="D553" s="123">
        <v>0</v>
      </c>
      <c r="E553" s="123">
        <v>0</v>
      </c>
      <c r="F553" s="123">
        <v>0</v>
      </c>
      <c r="G553" s="123">
        <v>26</v>
      </c>
      <c r="H553" s="123">
        <v>26</v>
      </c>
      <c r="I553" s="123">
        <v>0</v>
      </c>
      <c r="J553" s="123">
        <v>0</v>
      </c>
      <c r="K553" s="123">
        <v>0</v>
      </c>
      <c r="L553" s="123">
        <v>0</v>
      </c>
      <c r="M553" s="123">
        <v>0</v>
      </c>
      <c r="N553" s="123">
        <v>0</v>
      </c>
      <c r="O553" s="123">
        <v>0</v>
      </c>
      <c r="P553" s="7" t="s">
        <v>163</v>
      </c>
      <c r="Q553" s="124"/>
      <c r="R553" s="1"/>
    </row>
    <row r="554" spans="1:18" ht="13.5" thickBot="1" x14ac:dyDescent="0.25">
      <c r="A554" s="123">
        <v>7</v>
      </c>
      <c r="B554" s="123">
        <v>6</v>
      </c>
      <c r="C554" s="123">
        <v>1</v>
      </c>
      <c r="D554" s="123">
        <v>0</v>
      </c>
      <c r="E554" s="123">
        <v>0</v>
      </c>
      <c r="F554" s="123">
        <v>0</v>
      </c>
      <c r="G554" s="123">
        <v>0</v>
      </c>
      <c r="H554" s="123">
        <v>0</v>
      </c>
      <c r="I554" s="123">
        <v>0</v>
      </c>
      <c r="J554" s="123">
        <v>1</v>
      </c>
      <c r="K554" s="123">
        <v>1</v>
      </c>
      <c r="L554" s="123">
        <v>0</v>
      </c>
      <c r="M554" s="123">
        <v>6</v>
      </c>
      <c r="N554" s="123">
        <v>5</v>
      </c>
      <c r="O554" s="123">
        <v>1</v>
      </c>
      <c r="P554" s="7" t="s">
        <v>162</v>
      </c>
      <c r="Q554" s="124" t="s">
        <v>427</v>
      </c>
      <c r="R554" s="1"/>
    </row>
    <row r="555" spans="1:18" ht="13.5" thickBot="1" x14ac:dyDescent="0.25">
      <c r="A555" s="123">
        <v>33</v>
      </c>
      <c r="B555" s="123">
        <v>32</v>
      </c>
      <c r="C555" s="123">
        <v>1</v>
      </c>
      <c r="D555" s="123">
        <v>0</v>
      </c>
      <c r="E555" s="123">
        <v>0</v>
      </c>
      <c r="F555" s="123">
        <v>0</v>
      </c>
      <c r="G555" s="123">
        <v>26</v>
      </c>
      <c r="H555" s="123">
        <v>26</v>
      </c>
      <c r="I555" s="123">
        <v>0</v>
      </c>
      <c r="J555" s="123">
        <v>1</v>
      </c>
      <c r="K555" s="123">
        <v>1</v>
      </c>
      <c r="L555" s="123">
        <v>0</v>
      </c>
      <c r="M555" s="123">
        <v>6</v>
      </c>
      <c r="N555" s="123">
        <v>5</v>
      </c>
      <c r="O555" s="123">
        <v>1</v>
      </c>
      <c r="P555" s="7" t="s">
        <v>13</v>
      </c>
      <c r="Q555" s="9"/>
      <c r="R555" s="1"/>
    </row>
    <row r="556" spans="1:18" ht="13.5" thickBot="1" x14ac:dyDescent="0.25">
      <c r="A556" s="123">
        <v>1</v>
      </c>
      <c r="B556" s="123">
        <v>1</v>
      </c>
      <c r="C556" s="123">
        <v>0</v>
      </c>
      <c r="D556" s="123">
        <v>0</v>
      </c>
      <c r="E556" s="123">
        <v>0</v>
      </c>
      <c r="F556" s="123">
        <v>0</v>
      </c>
      <c r="G556" s="123">
        <v>1</v>
      </c>
      <c r="H556" s="123">
        <v>1</v>
      </c>
      <c r="I556" s="123">
        <v>0</v>
      </c>
      <c r="J556" s="123">
        <v>0</v>
      </c>
      <c r="K556" s="123">
        <v>0</v>
      </c>
      <c r="L556" s="123">
        <v>0</v>
      </c>
      <c r="M556" s="123">
        <v>0</v>
      </c>
      <c r="N556" s="123">
        <v>0</v>
      </c>
      <c r="O556" s="123">
        <v>0</v>
      </c>
      <c r="P556" s="7" t="s">
        <v>163</v>
      </c>
      <c r="Q556" s="124"/>
      <c r="R556" s="1"/>
    </row>
    <row r="557" spans="1:18" ht="13.5" thickBot="1" x14ac:dyDescent="0.25">
      <c r="A557" s="123">
        <v>3</v>
      </c>
      <c r="B557" s="123">
        <v>3</v>
      </c>
      <c r="C557" s="123">
        <v>0</v>
      </c>
      <c r="D557" s="123">
        <v>0</v>
      </c>
      <c r="E557" s="123">
        <v>0</v>
      </c>
      <c r="F557" s="123">
        <v>0</v>
      </c>
      <c r="G557" s="123">
        <v>0</v>
      </c>
      <c r="H557" s="123">
        <v>0</v>
      </c>
      <c r="I557" s="123">
        <v>0</v>
      </c>
      <c r="J557" s="123">
        <v>2</v>
      </c>
      <c r="K557" s="123">
        <v>2</v>
      </c>
      <c r="L557" s="123">
        <v>0</v>
      </c>
      <c r="M557" s="123">
        <v>1</v>
      </c>
      <c r="N557" s="123">
        <v>1</v>
      </c>
      <c r="O557" s="123">
        <v>0</v>
      </c>
      <c r="P557" s="7" t="s">
        <v>162</v>
      </c>
      <c r="Q557" s="124" t="s">
        <v>635</v>
      </c>
      <c r="R557" s="1"/>
    </row>
    <row r="558" spans="1:18" ht="13.5" thickBot="1" x14ac:dyDescent="0.25">
      <c r="A558" s="123">
        <v>4</v>
      </c>
      <c r="B558" s="123">
        <v>4</v>
      </c>
      <c r="C558" s="123">
        <v>0</v>
      </c>
      <c r="D558" s="123">
        <v>0</v>
      </c>
      <c r="E558" s="123">
        <v>0</v>
      </c>
      <c r="F558" s="123">
        <v>0</v>
      </c>
      <c r="G558" s="123">
        <v>1</v>
      </c>
      <c r="H558" s="123">
        <v>1</v>
      </c>
      <c r="I558" s="123">
        <v>0</v>
      </c>
      <c r="J558" s="123">
        <v>2</v>
      </c>
      <c r="K558" s="123">
        <v>2</v>
      </c>
      <c r="L558" s="123">
        <v>0</v>
      </c>
      <c r="M558" s="123">
        <v>1</v>
      </c>
      <c r="N558" s="123">
        <v>1</v>
      </c>
      <c r="O558" s="123">
        <v>0</v>
      </c>
      <c r="P558" s="7" t="s">
        <v>13</v>
      </c>
      <c r="Q558" s="9"/>
      <c r="R558" s="1"/>
    </row>
    <row r="559" spans="1:18" ht="13.5" thickBot="1" x14ac:dyDescent="0.25">
      <c r="A559" s="123">
        <v>3</v>
      </c>
      <c r="B559" s="123">
        <v>2</v>
      </c>
      <c r="C559" s="123">
        <v>1</v>
      </c>
      <c r="D559" s="123">
        <v>0</v>
      </c>
      <c r="E559" s="123">
        <v>0</v>
      </c>
      <c r="F559" s="123">
        <v>0</v>
      </c>
      <c r="G559" s="123">
        <v>3</v>
      </c>
      <c r="H559" s="123">
        <v>2</v>
      </c>
      <c r="I559" s="123">
        <v>1</v>
      </c>
      <c r="J559" s="123">
        <v>0</v>
      </c>
      <c r="K559" s="123">
        <v>0</v>
      </c>
      <c r="L559" s="123">
        <v>0</v>
      </c>
      <c r="M559" s="123">
        <v>0</v>
      </c>
      <c r="N559" s="123">
        <v>0</v>
      </c>
      <c r="O559" s="123">
        <v>0</v>
      </c>
      <c r="P559" s="7" t="s">
        <v>163</v>
      </c>
      <c r="Q559" s="124"/>
      <c r="R559" s="1"/>
    </row>
    <row r="560" spans="1:18" ht="13.5" thickBot="1" x14ac:dyDescent="0.25">
      <c r="A560" s="123">
        <v>3</v>
      </c>
      <c r="B560" s="123">
        <v>0</v>
      </c>
      <c r="C560" s="123">
        <v>3</v>
      </c>
      <c r="D560" s="123">
        <v>0</v>
      </c>
      <c r="E560" s="123">
        <v>0</v>
      </c>
      <c r="F560" s="123">
        <v>0</v>
      </c>
      <c r="G560" s="123">
        <v>0</v>
      </c>
      <c r="H560" s="123">
        <v>0</v>
      </c>
      <c r="I560" s="123">
        <v>0</v>
      </c>
      <c r="J560" s="123">
        <v>1</v>
      </c>
      <c r="K560" s="123">
        <v>0</v>
      </c>
      <c r="L560" s="123">
        <v>1</v>
      </c>
      <c r="M560" s="123">
        <v>2</v>
      </c>
      <c r="N560" s="123">
        <v>0</v>
      </c>
      <c r="O560" s="123">
        <v>2</v>
      </c>
      <c r="P560" s="7" t="s">
        <v>162</v>
      </c>
      <c r="Q560" s="124" t="s">
        <v>430</v>
      </c>
      <c r="R560" s="1"/>
    </row>
    <row r="561" spans="1:18" ht="13.5" thickBot="1" x14ac:dyDescent="0.25">
      <c r="A561" s="123">
        <v>6</v>
      </c>
      <c r="B561" s="123">
        <v>2</v>
      </c>
      <c r="C561" s="123">
        <v>4</v>
      </c>
      <c r="D561" s="123">
        <v>0</v>
      </c>
      <c r="E561" s="123">
        <v>0</v>
      </c>
      <c r="F561" s="123">
        <v>0</v>
      </c>
      <c r="G561" s="123">
        <v>3</v>
      </c>
      <c r="H561" s="123">
        <v>2</v>
      </c>
      <c r="I561" s="123">
        <v>1</v>
      </c>
      <c r="J561" s="123">
        <v>1</v>
      </c>
      <c r="K561" s="123">
        <v>0</v>
      </c>
      <c r="L561" s="123">
        <v>1</v>
      </c>
      <c r="M561" s="123">
        <v>2</v>
      </c>
      <c r="N561" s="123">
        <v>0</v>
      </c>
      <c r="O561" s="123">
        <v>2</v>
      </c>
      <c r="P561" s="7" t="s">
        <v>13</v>
      </c>
      <c r="Q561" s="9"/>
      <c r="R561" s="1"/>
    </row>
    <row r="562" spans="1:18" ht="13.5" thickBot="1" x14ac:dyDescent="0.25">
      <c r="A562" s="123">
        <v>17</v>
      </c>
      <c r="B562" s="123">
        <v>17</v>
      </c>
      <c r="C562" s="123">
        <v>0</v>
      </c>
      <c r="D562" s="123">
        <v>0</v>
      </c>
      <c r="E562" s="123">
        <v>0</v>
      </c>
      <c r="F562" s="123">
        <v>0</v>
      </c>
      <c r="G562" s="123">
        <v>17</v>
      </c>
      <c r="H562" s="123">
        <v>17</v>
      </c>
      <c r="I562" s="123">
        <v>0</v>
      </c>
      <c r="J562" s="123">
        <v>0</v>
      </c>
      <c r="K562" s="123">
        <v>0</v>
      </c>
      <c r="L562" s="123">
        <v>0</v>
      </c>
      <c r="M562" s="123">
        <v>0</v>
      </c>
      <c r="N562" s="123">
        <v>0</v>
      </c>
      <c r="O562" s="123">
        <v>0</v>
      </c>
      <c r="P562" s="7" t="s">
        <v>163</v>
      </c>
      <c r="Q562" s="124"/>
      <c r="R562" s="1"/>
    </row>
    <row r="563" spans="1:18" ht="13.5" thickBot="1" x14ac:dyDescent="0.25">
      <c r="A563" s="123">
        <v>16</v>
      </c>
      <c r="B563" s="123">
        <v>11</v>
      </c>
      <c r="C563" s="123">
        <v>5</v>
      </c>
      <c r="D563" s="123">
        <v>0</v>
      </c>
      <c r="E563" s="123">
        <v>0</v>
      </c>
      <c r="F563" s="123">
        <v>0</v>
      </c>
      <c r="G563" s="123">
        <v>0</v>
      </c>
      <c r="H563" s="123">
        <v>0</v>
      </c>
      <c r="I563" s="123">
        <v>0</v>
      </c>
      <c r="J563" s="123">
        <v>7</v>
      </c>
      <c r="K563" s="123">
        <v>7</v>
      </c>
      <c r="L563" s="123">
        <v>0</v>
      </c>
      <c r="M563" s="123">
        <v>9</v>
      </c>
      <c r="N563" s="123">
        <v>4</v>
      </c>
      <c r="O563" s="123">
        <v>5</v>
      </c>
      <c r="P563" s="7" t="s">
        <v>162</v>
      </c>
      <c r="Q563" s="124" t="s">
        <v>431</v>
      </c>
      <c r="R563" s="1"/>
    </row>
    <row r="564" spans="1:18" ht="13.5" thickBot="1" x14ac:dyDescent="0.25">
      <c r="A564" s="123">
        <v>33</v>
      </c>
      <c r="B564" s="123">
        <v>28</v>
      </c>
      <c r="C564" s="123">
        <v>5</v>
      </c>
      <c r="D564" s="123">
        <v>0</v>
      </c>
      <c r="E564" s="123">
        <v>0</v>
      </c>
      <c r="F564" s="123">
        <v>0</v>
      </c>
      <c r="G564" s="123">
        <v>17</v>
      </c>
      <c r="H564" s="123">
        <v>17</v>
      </c>
      <c r="I564" s="123">
        <v>0</v>
      </c>
      <c r="J564" s="123">
        <v>7</v>
      </c>
      <c r="K564" s="123">
        <v>7</v>
      </c>
      <c r="L564" s="123">
        <v>0</v>
      </c>
      <c r="M564" s="123">
        <v>9</v>
      </c>
      <c r="N564" s="123">
        <v>4</v>
      </c>
      <c r="O564" s="123">
        <v>5</v>
      </c>
      <c r="P564" s="7" t="s">
        <v>13</v>
      </c>
      <c r="Q564" s="9"/>
      <c r="R564" s="1"/>
    </row>
    <row r="565" spans="1:18" ht="13.5" thickBot="1" x14ac:dyDescent="0.25">
      <c r="A565" s="123">
        <v>15</v>
      </c>
      <c r="B565" s="123">
        <v>15</v>
      </c>
      <c r="C565" s="123">
        <v>0</v>
      </c>
      <c r="D565" s="123">
        <v>0</v>
      </c>
      <c r="E565" s="123">
        <v>0</v>
      </c>
      <c r="F565" s="123">
        <v>0</v>
      </c>
      <c r="G565" s="123">
        <v>15</v>
      </c>
      <c r="H565" s="123">
        <v>15</v>
      </c>
      <c r="I565" s="123">
        <v>0</v>
      </c>
      <c r="J565" s="123">
        <v>0</v>
      </c>
      <c r="K565" s="123">
        <v>0</v>
      </c>
      <c r="L565" s="123">
        <v>0</v>
      </c>
      <c r="M565" s="123">
        <v>0</v>
      </c>
      <c r="N565" s="123">
        <v>0</v>
      </c>
      <c r="O565" s="123">
        <v>0</v>
      </c>
      <c r="P565" s="7" t="s">
        <v>163</v>
      </c>
      <c r="Q565" s="124"/>
      <c r="R565" s="1"/>
    </row>
    <row r="566" spans="1:18" ht="13.5" thickBot="1" x14ac:dyDescent="0.25">
      <c r="A566" s="123">
        <v>4</v>
      </c>
      <c r="B566" s="123">
        <v>3</v>
      </c>
      <c r="C566" s="123">
        <v>1</v>
      </c>
      <c r="D566" s="123">
        <v>0</v>
      </c>
      <c r="E566" s="123">
        <v>0</v>
      </c>
      <c r="F566" s="123">
        <v>0</v>
      </c>
      <c r="G566" s="123">
        <v>0</v>
      </c>
      <c r="H566" s="123">
        <v>0</v>
      </c>
      <c r="I566" s="123">
        <v>0</v>
      </c>
      <c r="J566" s="123">
        <v>1</v>
      </c>
      <c r="K566" s="123">
        <v>1</v>
      </c>
      <c r="L566" s="123">
        <v>0</v>
      </c>
      <c r="M566" s="123">
        <v>3</v>
      </c>
      <c r="N566" s="123">
        <v>2</v>
      </c>
      <c r="O566" s="123">
        <v>1</v>
      </c>
      <c r="P566" s="7" t="s">
        <v>162</v>
      </c>
      <c r="Q566" s="124" t="s">
        <v>429</v>
      </c>
      <c r="R566" s="1"/>
    </row>
    <row r="567" spans="1:18" ht="13.5" thickBot="1" x14ac:dyDescent="0.25">
      <c r="A567" s="123">
        <v>19</v>
      </c>
      <c r="B567" s="123">
        <v>18</v>
      </c>
      <c r="C567" s="123">
        <v>1</v>
      </c>
      <c r="D567" s="123">
        <v>0</v>
      </c>
      <c r="E567" s="123">
        <v>0</v>
      </c>
      <c r="F567" s="123">
        <v>0</v>
      </c>
      <c r="G567" s="123">
        <v>15</v>
      </c>
      <c r="H567" s="123">
        <v>15</v>
      </c>
      <c r="I567" s="123">
        <v>0</v>
      </c>
      <c r="J567" s="123">
        <v>1</v>
      </c>
      <c r="K567" s="123">
        <v>1</v>
      </c>
      <c r="L567" s="123">
        <v>0</v>
      </c>
      <c r="M567" s="123">
        <v>3</v>
      </c>
      <c r="N567" s="123">
        <v>2</v>
      </c>
      <c r="O567" s="123">
        <v>1</v>
      </c>
      <c r="P567" s="7" t="s">
        <v>13</v>
      </c>
      <c r="Q567" s="9"/>
      <c r="R567" s="1"/>
    </row>
    <row r="568" spans="1:18" ht="13.5" thickBot="1" x14ac:dyDescent="0.25">
      <c r="A568" s="123">
        <v>3</v>
      </c>
      <c r="B568" s="123">
        <v>0</v>
      </c>
      <c r="C568" s="123">
        <v>3</v>
      </c>
      <c r="D568" s="123">
        <v>0</v>
      </c>
      <c r="E568" s="123">
        <v>0</v>
      </c>
      <c r="F568" s="123">
        <v>0</v>
      </c>
      <c r="G568" s="123">
        <v>2</v>
      </c>
      <c r="H568" s="123">
        <v>0</v>
      </c>
      <c r="I568" s="123">
        <v>2</v>
      </c>
      <c r="J568" s="123">
        <v>1</v>
      </c>
      <c r="K568" s="123">
        <v>0</v>
      </c>
      <c r="L568" s="123">
        <v>1</v>
      </c>
      <c r="M568" s="123">
        <v>0</v>
      </c>
      <c r="N568" s="123">
        <v>0</v>
      </c>
      <c r="O568" s="123">
        <v>0</v>
      </c>
      <c r="P568" s="7" t="s">
        <v>163</v>
      </c>
      <c r="Q568" s="124"/>
      <c r="R568" s="1"/>
    </row>
    <row r="569" spans="1:18" ht="13.5" thickBot="1" x14ac:dyDescent="0.25">
      <c r="A569" s="123">
        <v>12</v>
      </c>
      <c r="B569" s="123">
        <v>0</v>
      </c>
      <c r="C569" s="123">
        <v>12</v>
      </c>
      <c r="D569" s="123">
        <v>0</v>
      </c>
      <c r="E569" s="123">
        <v>0</v>
      </c>
      <c r="F569" s="123">
        <v>0</v>
      </c>
      <c r="G569" s="123">
        <v>0</v>
      </c>
      <c r="H569" s="123">
        <v>0</v>
      </c>
      <c r="I569" s="123">
        <v>0</v>
      </c>
      <c r="J569" s="123">
        <v>7</v>
      </c>
      <c r="K569" s="123">
        <v>0</v>
      </c>
      <c r="L569" s="123">
        <v>7</v>
      </c>
      <c r="M569" s="123">
        <v>5</v>
      </c>
      <c r="N569" s="123">
        <v>0</v>
      </c>
      <c r="O569" s="123">
        <v>5</v>
      </c>
      <c r="P569" s="7" t="s">
        <v>162</v>
      </c>
      <c r="Q569" s="124" t="s">
        <v>259</v>
      </c>
      <c r="R569" s="1"/>
    </row>
    <row r="570" spans="1:18" ht="13.5" thickBot="1" x14ac:dyDescent="0.25">
      <c r="A570" s="123">
        <v>15</v>
      </c>
      <c r="B570" s="123">
        <v>0</v>
      </c>
      <c r="C570" s="123">
        <v>15</v>
      </c>
      <c r="D570" s="123">
        <v>0</v>
      </c>
      <c r="E570" s="123">
        <v>0</v>
      </c>
      <c r="F570" s="123">
        <v>0</v>
      </c>
      <c r="G570" s="123">
        <v>2</v>
      </c>
      <c r="H570" s="123">
        <v>0</v>
      </c>
      <c r="I570" s="123">
        <v>2</v>
      </c>
      <c r="J570" s="123">
        <v>8</v>
      </c>
      <c r="K570" s="123">
        <v>0</v>
      </c>
      <c r="L570" s="123">
        <v>8</v>
      </c>
      <c r="M570" s="123">
        <v>5</v>
      </c>
      <c r="N570" s="123">
        <v>0</v>
      </c>
      <c r="O570" s="123">
        <v>5</v>
      </c>
      <c r="P570" s="7" t="s">
        <v>13</v>
      </c>
      <c r="Q570" s="9"/>
      <c r="R570" s="1"/>
    </row>
    <row r="571" spans="1:18" ht="13.5" thickBot="1" x14ac:dyDescent="0.25">
      <c r="A571" s="123">
        <v>4</v>
      </c>
      <c r="B571" s="123">
        <v>0</v>
      </c>
      <c r="C571" s="123">
        <v>4</v>
      </c>
      <c r="D571" s="123">
        <v>0</v>
      </c>
      <c r="E571" s="123">
        <v>0</v>
      </c>
      <c r="F571" s="123">
        <v>0</v>
      </c>
      <c r="G571" s="123">
        <v>4</v>
      </c>
      <c r="H571" s="123">
        <v>0</v>
      </c>
      <c r="I571" s="123">
        <v>4</v>
      </c>
      <c r="J571" s="123">
        <v>0</v>
      </c>
      <c r="K571" s="123">
        <v>0</v>
      </c>
      <c r="L571" s="123">
        <v>0</v>
      </c>
      <c r="M571" s="123">
        <v>0</v>
      </c>
      <c r="N571" s="123">
        <v>0</v>
      </c>
      <c r="O571" s="123">
        <v>0</v>
      </c>
      <c r="P571" s="7" t="s">
        <v>163</v>
      </c>
      <c r="Q571" s="124"/>
      <c r="R571" s="1"/>
    </row>
    <row r="572" spans="1:18" ht="13.5" thickBot="1" x14ac:dyDescent="0.25">
      <c r="A572" s="123">
        <v>4</v>
      </c>
      <c r="B572" s="123">
        <v>0</v>
      </c>
      <c r="C572" s="123">
        <v>4</v>
      </c>
      <c r="D572" s="123">
        <v>0</v>
      </c>
      <c r="E572" s="123">
        <v>0</v>
      </c>
      <c r="F572" s="123">
        <v>0</v>
      </c>
      <c r="G572" s="123">
        <v>0</v>
      </c>
      <c r="H572" s="123">
        <v>0</v>
      </c>
      <c r="I572" s="123">
        <v>0</v>
      </c>
      <c r="J572" s="123">
        <v>3</v>
      </c>
      <c r="K572" s="123">
        <v>0</v>
      </c>
      <c r="L572" s="123">
        <v>3</v>
      </c>
      <c r="M572" s="123">
        <v>1</v>
      </c>
      <c r="N572" s="123">
        <v>0</v>
      </c>
      <c r="O572" s="123">
        <v>1</v>
      </c>
      <c r="P572" s="7" t="s">
        <v>162</v>
      </c>
      <c r="Q572" s="124" t="s">
        <v>433</v>
      </c>
      <c r="R572" s="1"/>
    </row>
    <row r="573" spans="1:18" ht="13.5" thickBot="1" x14ac:dyDescent="0.25">
      <c r="A573" s="123">
        <v>8</v>
      </c>
      <c r="B573" s="123">
        <v>0</v>
      </c>
      <c r="C573" s="123">
        <v>8</v>
      </c>
      <c r="D573" s="123">
        <v>0</v>
      </c>
      <c r="E573" s="123">
        <v>0</v>
      </c>
      <c r="F573" s="123">
        <v>0</v>
      </c>
      <c r="G573" s="123">
        <v>4</v>
      </c>
      <c r="H573" s="123">
        <v>0</v>
      </c>
      <c r="I573" s="123">
        <v>4</v>
      </c>
      <c r="J573" s="123">
        <v>3</v>
      </c>
      <c r="K573" s="123">
        <v>0</v>
      </c>
      <c r="L573" s="123">
        <v>3</v>
      </c>
      <c r="M573" s="123">
        <v>1</v>
      </c>
      <c r="N573" s="123">
        <v>0</v>
      </c>
      <c r="O573" s="123">
        <v>1</v>
      </c>
      <c r="P573" s="7" t="s">
        <v>13</v>
      </c>
      <c r="Q573" s="9"/>
      <c r="R573" s="1"/>
    </row>
    <row r="574" spans="1:18" ht="13.5" thickBot="1" x14ac:dyDescent="0.25">
      <c r="A574" s="123">
        <v>0</v>
      </c>
      <c r="B574" s="123">
        <v>0</v>
      </c>
      <c r="C574" s="123">
        <v>0</v>
      </c>
      <c r="D574" s="123">
        <v>0</v>
      </c>
      <c r="E574" s="123">
        <v>0</v>
      </c>
      <c r="F574" s="123">
        <v>0</v>
      </c>
      <c r="G574" s="123">
        <v>0</v>
      </c>
      <c r="H574" s="123">
        <v>0</v>
      </c>
      <c r="I574" s="123">
        <v>0</v>
      </c>
      <c r="J574" s="123">
        <v>0</v>
      </c>
      <c r="K574" s="123">
        <v>0</v>
      </c>
      <c r="L574" s="123">
        <v>0</v>
      </c>
      <c r="M574" s="123">
        <v>0</v>
      </c>
      <c r="N574" s="123">
        <v>0</v>
      </c>
      <c r="O574" s="123">
        <v>0</v>
      </c>
      <c r="P574" s="7" t="s">
        <v>163</v>
      </c>
      <c r="Q574" s="124"/>
      <c r="R574" s="1"/>
    </row>
    <row r="575" spans="1:18" ht="13.5" thickBot="1" x14ac:dyDescent="0.25">
      <c r="A575" s="123">
        <v>14</v>
      </c>
      <c r="B575" s="123">
        <v>0</v>
      </c>
      <c r="C575" s="123">
        <v>14</v>
      </c>
      <c r="D575" s="123">
        <v>0</v>
      </c>
      <c r="E575" s="123">
        <v>0</v>
      </c>
      <c r="F575" s="123">
        <v>0</v>
      </c>
      <c r="G575" s="123">
        <v>0</v>
      </c>
      <c r="H575" s="123">
        <v>0</v>
      </c>
      <c r="I575" s="123">
        <v>0</v>
      </c>
      <c r="J575" s="123">
        <v>3</v>
      </c>
      <c r="K575" s="123">
        <v>0</v>
      </c>
      <c r="L575" s="123">
        <v>3</v>
      </c>
      <c r="M575" s="123">
        <v>11</v>
      </c>
      <c r="N575" s="123">
        <v>0</v>
      </c>
      <c r="O575" s="123">
        <v>11</v>
      </c>
      <c r="P575" s="7" t="s">
        <v>162</v>
      </c>
      <c r="Q575" s="124" t="s">
        <v>260</v>
      </c>
      <c r="R575" s="1"/>
    </row>
    <row r="576" spans="1:18" ht="13.5" thickBot="1" x14ac:dyDescent="0.25">
      <c r="A576" s="123">
        <v>14</v>
      </c>
      <c r="B576" s="123">
        <v>0</v>
      </c>
      <c r="C576" s="123">
        <v>14</v>
      </c>
      <c r="D576" s="123">
        <v>0</v>
      </c>
      <c r="E576" s="123">
        <v>0</v>
      </c>
      <c r="F576" s="123">
        <v>0</v>
      </c>
      <c r="G576" s="123">
        <v>0</v>
      </c>
      <c r="H576" s="123">
        <v>0</v>
      </c>
      <c r="I576" s="123">
        <v>0</v>
      </c>
      <c r="J576" s="123">
        <v>3</v>
      </c>
      <c r="K576" s="123">
        <v>0</v>
      </c>
      <c r="L576" s="123">
        <v>3</v>
      </c>
      <c r="M576" s="123">
        <v>11</v>
      </c>
      <c r="N576" s="123">
        <v>0</v>
      </c>
      <c r="O576" s="123">
        <v>11</v>
      </c>
      <c r="P576" s="7" t="s">
        <v>13</v>
      </c>
      <c r="Q576" s="9"/>
      <c r="R576" s="1"/>
    </row>
    <row r="577" spans="1:18" ht="13.5" thickBot="1" x14ac:dyDescent="0.25">
      <c r="A577" s="123">
        <v>0</v>
      </c>
      <c r="B577" s="123">
        <v>0</v>
      </c>
      <c r="C577" s="123">
        <v>0</v>
      </c>
      <c r="D577" s="123">
        <v>0</v>
      </c>
      <c r="E577" s="123">
        <v>0</v>
      </c>
      <c r="F577" s="123">
        <v>0</v>
      </c>
      <c r="G577" s="123">
        <v>0</v>
      </c>
      <c r="H577" s="123">
        <v>0</v>
      </c>
      <c r="I577" s="123">
        <v>0</v>
      </c>
      <c r="J577" s="123">
        <v>0</v>
      </c>
      <c r="K577" s="123">
        <v>0</v>
      </c>
      <c r="L577" s="123">
        <v>0</v>
      </c>
      <c r="M577" s="123">
        <v>0</v>
      </c>
      <c r="N577" s="123">
        <v>0</v>
      </c>
      <c r="O577" s="123">
        <v>0</v>
      </c>
      <c r="P577" s="7" t="s">
        <v>163</v>
      </c>
      <c r="Q577" s="124"/>
      <c r="R577" s="1"/>
    </row>
    <row r="578" spans="1:18" ht="13.5" thickBot="1" x14ac:dyDescent="0.25">
      <c r="A578" s="123">
        <v>8</v>
      </c>
      <c r="B578" s="123">
        <v>1</v>
      </c>
      <c r="C578" s="123">
        <v>7</v>
      </c>
      <c r="D578" s="123">
        <v>0</v>
      </c>
      <c r="E578" s="123">
        <v>0</v>
      </c>
      <c r="F578" s="123">
        <v>0</v>
      </c>
      <c r="G578" s="123">
        <v>0</v>
      </c>
      <c r="H578" s="123">
        <v>0</v>
      </c>
      <c r="I578" s="123">
        <v>0</v>
      </c>
      <c r="J578" s="123">
        <v>2</v>
      </c>
      <c r="K578" s="123">
        <v>0</v>
      </c>
      <c r="L578" s="123">
        <v>2</v>
      </c>
      <c r="M578" s="123">
        <v>6</v>
      </c>
      <c r="N578" s="123">
        <v>1</v>
      </c>
      <c r="O578" s="123">
        <v>5</v>
      </c>
      <c r="P578" s="7" t="s">
        <v>162</v>
      </c>
      <c r="Q578" s="124" t="s">
        <v>435</v>
      </c>
      <c r="R578" s="1"/>
    </row>
    <row r="579" spans="1:18" ht="13.5" thickBot="1" x14ac:dyDescent="0.25">
      <c r="A579" s="123">
        <v>8</v>
      </c>
      <c r="B579" s="123">
        <v>1</v>
      </c>
      <c r="C579" s="123">
        <v>7</v>
      </c>
      <c r="D579" s="123">
        <v>0</v>
      </c>
      <c r="E579" s="123">
        <v>0</v>
      </c>
      <c r="F579" s="123">
        <v>0</v>
      </c>
      <c r="G579" s="123">
        <v>0</v>
      </c>
      <c r="H579" s="123">
        <v>0</v>
      </c>
      <c r="I579" s="123">
        <v>0</v>
      </c>
      <c r="J579" s="123">
        <v>2</v>
      </c>
      <c r="K579" s="123">
        <v>0</v>
      </c>
      <c r="L579" s="123">
        <v>2</v>
      </c>
      <c r="M579" s="123">
        <v>6</v>
      </c>
      <c r="N579" s="123">
        <v>1</v>
      </c>
      <c r="O579" s="123">
        <v>5</v>
      </c>
      <c r="P579" s="7" t="s">
        <v>13</v>
      </c>
      <c r="Q579" s="9"/>
      <c r="R579" s="1"/>
    </row>
    <row r="580" spans="1:18" ht="13.5" thickBot="1" x14ac:dyDescent="0.25">
      <c r="A580" s="123">
        <v>3</v>
      </c>
      <c r="B580" s="123">
        <v>3</v>
      </c>
      <c r="C580" s="123">
        <v>0</v>
      </c>
      <c r="D580" s="123">
        <v>0</v>
      </c>
      <c r="E580" s="123">
        <v>0</v>
      </c>
      <c r="F580" s="123">
        <v>0</v>
      </c>
      <c r="G580" s="123">
        <v>3</v>
      </c>
      <c r="H580" s="123">
        <v>3</v>
      </c>
      <c r="I580" s="123">
        <v>0</v>
      </c>
      <c r="J580" s="123">
        <v>0</v>
      </c>
      <c r="K580" s="123">
        <v>0</v>
      </c>
      <c r="L580" s="123">
        <v>0</v>
      </c>
      <c r="M580" s="123">
        <v>0</v>
      </c>
      <c r="N580" s="123">
        <v>0</v>
      </c>
      <c r="O580" s="123">
        <v>0</v>
      </c>
      <c r="P580" s="7" t="s">
        <v>163</v>
      </c>
      <c r="Q580" s="124"/>
      <c r="R580" s="1"/>
    </row>
    <row r="581" spans="1:18" ht="13.5" thickBot="1" x14ac:dyDescent="0.25">
      <c r="A581" s="123">
        <v>5</v>
      </c>
      <c r="B581" s="123">
        <v>5</v>
      </c>
      <c r="C581" s="123">
        <v>0</v>
      </c>
      <c r="D581" s="123">
        <v>0</v>
      </c>
      <c r="E581" s="123">
        <v>0</v>
      </c>
      <c r="F581" s="123">
        <v>0</v>
      </c>
      <c r="G581" s="123">
        <v>0</v>
      </c>
      <c r="H581" s="123">
        <v>0</v>
      </c>
      <c r="I581" s="123">
        <v>0</v>
      </c>
      <c r="J581" s="123">
        <v>3</v>
      </c>
      <c r="K581" s="123">
        <v>3</v>
      </c>
      <c r="L581" s="123">
        <v>0</v>
      </c>
      <c r="M581" s="123">
        <v>2</v>
      </c>
      <c r="N581" s="123">
        <v>2</v>
      </c>
      <c r="O581" s="123">
        <v>0</v>
      </c>
      <c r="P581" s="7" t="s">
        <v>162</v>
      </c>
      <c r="Q581" s="124" t="s">
        <v>436</v>
      </c>
      <c r="R581" s="1"/>
    </row>
    <row r="582" spans="1:18" ht="13.5" thickBot="1" x14ac:dyDescent="0.25">
      <c r="A582" s="123">
        <v>8</v>
      </c>
      <c r="B582" s="123">
        <v>8</v>
      </c>
      <c r="C582" s="123">
        <v>0</v>
      </c>
      <c r="D582" s="123">
        <v>0</v>
      </c>
      <c r="E582" s="123">
        <v>0</v>
      </c>
      <c r="F582" s="123">
        <v>0</v>
      </c>
      <c r="G582" s="123">
        <v>3</v>
      </c>
      <c r="H582" s="123">
        <v>3</v>
      </c>
      <c r="I582" s="123">
        <v>0</v>
      </c>
      <c r="J582" s="123">
        <v>3</v>
      </c>
      <c r="K582" s="123">
        <v>3</v>
      </c>
      <c r="L582" s="123">
        <v>0</v>
      </c>
      <c r="M582" s="123">
        <v>2</v>
      </c>
      <c r="N582" s="123">
        <v>2</v>
      </c>
      <c r="O582" s="123">
        <v>0</v>
      </c>
      <c r="P582" s="7" t="s">
        <v>13</v>
      </c>
      <c r="Q582" s="9"/>
      <c r="R582" s="1"/>
    </row>
    <row r="583" spans="1:18" ht="13.5" thickBot="1" x14ac:dyDescent="0.25">
      <c r="A583" s="123">
        <v>886</v>
      </c>
      <c r="B583" s="123">
        <v>291</v>
      </c>
      <c r="C583" s="123">
        <v>595</v>
      </c>
      <c r="D583" s="123">
        <v>0</v>
      </c>
      <c r="E583" s="123">
        <v>0</v>
      </c>
      <c r="F583" s="123">
        <v>0</v>
      </c>
      <c r="G583" s="123">
        <v>568</v>
      </c>
      <c r="H583" s="123">
        <v>240</v>
      </c>
      <c r="I583" s="123">
        <v>328</v>
      </c>
      <c r="J583" s="123">
        <v>83</v>
      </c>
      <c r="K583" s="123">
        <v>33</v>
      </c>
      <c r="L583" s="123">
        <v>50</v>
      </c>
      <c r="M583" s="123">
        <v>235</v>
      </c>
      <c r="N583" s="123">
        <v>18</v>
      </c>
      <c r="O583" s="123">
        <v>217</v>
      </c>
      <c r="P583" s="7" t="s">
        <v>163</v>
      </c>
      <c r="Q583" s="3"/>
      <c r="R583" s="1"/>
    </row>
    <row r="584" spans="1:18" ht="13.5" thickBot="1" x14ac:dyDescent="0.25">
      <c r="A584" s="123">
        <v>950</v>
      </c>
      <c r="B584" s="123">
        <v>224</v>
      </c>
      <c r="C584" s="123">
        <v>726</v>
      </c>
      <c r="D584" s="123">
        <v>0</v>
      </c>
      <c r="E584" s="123">
        <v>0</v>
      </c>
      <c r="F584" s="123">
        <v>0</v>
      </c>
      <c r="G584" s="123">
        <v>0</v>
      </c>
      <c r="H584" s="123">
        <v>0</v>
      </c>
      <c r="I584" s="123">
        <v>0</v>
      </c>
      <c r="J584" s="123">
        <v>231</v>
      </c>
      <c r="K584" s="123">
        <v>82</v>
      </c>
      <c r="L584" s="123">
        <v>149</v>
      </c>
      <c r="M584" s="123">
        <v>719</v>
      </c>
      <c r="N584" s="123">
        <v>142</v>
      </c>
      <c r="O584" s="123">
        <v>577</v>
      </c>
      <c r="P584" s="7" t="s">
        <v>162</v>
      </c>
      <c r="Q584" s="11" t="s">
        <v>211</v>
      </c>
      <c r="R584" s="1"/>
    </row>
    <row r="585" spans="1:18" ht="13.5" thickBot="1" x14ac:dyDescent="0.25">
      <c r="A585" s="123">
        <v>1836</v>
      </c>
      <c r="B585" s="123">
        <v>515</v>
      </c>
      <c r="C585" s="123">
        <v>1321</v>
      </c>
      <c r="D585" s="123">
        <v>0</v>
      </c>
      <c r="E585" s="123">
        <v>0</v>
      </c>
      <c r="F585" s="123">
        <v>0</v>
      </c>
      <c r="G585" s="123">
        <v>568</v>
      </c>
      <c r="H585" s="123">
        <v>240</v>
      </c>
      <c r="I585" s="123">
        <v>328</v>
      </c>
      <c r="J585" s="123">
        <v>314</v>
      </c>
      <c r="K585" s="123">
        <v>115</v>
      </c>
      <c r="L585" s="123">
        <v>199</v>
      </c>
      <c r="M585" s="123">
        <v>954</v>
      </c>
      <c r="N585" s="123">
        <v>160</v>
      </c>
      <c r="O585" s="123">
        <v>794</v>
      </c>
      <c r="P585" s="7" t="s">
        <v>13</v>
      </c>
      <c r="Q585" s="5"/>
      <c r="R585" s="1"/>
    </row>
    <row r="586" spans="1:18" ht="18" customHeight="1" x14ac:dyDescent="0.2">
      <c r="A586" s="207"/>
      <c r="B586" s="207"/>
      <c r="C586" s="207"/>
      <c r="D586" s="207"/>
      <c r="E586" s="207"/>
      <c r="F586" s="207"/>
      <c r="G586" s="207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1"/>
    </row>
    <row r="587" spans="1:18" ht="18" customHeight="1" x14ac:dyDescent="0.2">
      <c r="A587" s="159" t="s">
        <v>643</v>
      </c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"/>
    </row>
    <row r="588" spans="1:18" ht="18" customHeight="1" thickBot="1" x14ac:dyDescent="0.25">
      <c r="A588" s="160" t="s">
        <v>644</v>
      </c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"/>
    </row>
    <row r="589" spans="1:18" ht="13.5" thickBot="1" x14ac:dyDescent="0.25">
      <c r="A589" s="204" t="s">
        <v>5</v>
      </c>
      <c r="B589" s="204"/>
      <c r="C589" s="204"/>
      <c r="D589" s="204" t="s">
        <v>57</v>
      </c>
      <c r="E589" s="204"/>
      <c r="F589" s="204"/>
      <c r="G589" s="204" t="s">
        <v>65</v>
      </c>
      <c r="H589" s="204"/>
      <c r="I589" s="204"/>
      <c r="J589" s="204" t="s">
        <v>62</v>
      </c>
      <c r="K589" s="204"/>
      <c r="L589" s="204"/>
      <c r="M589" s="204" t="s">
        <v>61</v>
      </c>
      <c r="N589" s="204"/>
      <c r="O589" s="204"/>
      <c r="P589" s="205" t="s">
        <v>645</v>
      </c>
      <c r="Q589" s="47" t="s">
        <v>161</v>
      </c>
      <c r="R589" s="1"/>
    </row>
    <row r="590" spans="1:18" ht="13.5" thickBot="1" x14ac:dyDescent="0.25">
      <c r="A590" s="47" t="s">
        <v>216</v>
      </c>
      <c r="B590" s="47" t="s">
        <v>11</v>
      </c>
      <c r="C590" s="47" t="s">
        <v>10</v>
      </c>
      <c r="D590" s="47" t="s">
        <v>216</v>
      </c>
      <c r="E590" s="47" t="s">
        <v>11</v>
      </c>
      <c r="F590" s="47" t="s">
        <v>10</v>
      </c>
      <c r="G590" s="47" t="s">
        <v>216</v>
      </c>
      <c r="H590" s="47" t="s">
        <v>11</v>
      </c>
      <c r="I590" s="47" t="s">
        <v>10</v>
      </c>
      <c r="J590" s="47" t="s">
        <v>216</v>
      </c>
      <c r="K590" s="47" t="s">
        <v>11</v>
      </c>
      <c r="L590" s="47" t="s">
        <v>10</v>
      </c>
      <c r="M590" s="47" t="s">
        <v>216</v>
      </c>
      <c r="N590" s="47" t="s">
        <v>11</v>
      </c>
      <c r="O590" s="47" t="s">
        <v>10</v>
      </c>
      <c r="P590" s="206"/>
      <c r="Q590" s="5" t="s">
        <v>108</v>
      </c>
      <c r="R590" s="1"/>
    </row>
    <row r="591" spans="1:18" ht="13.5" thickBot="1" x14ac:dyDescent="0.25">
      <c r="A591" s="123">
        <v>53</v>
      </c>
      <c r="B591" s="123">
        <v>0</v>
      </c>
      <c r="C591" s="123">
        <v>53</v>
      </c>
      <c r="D591" s="123">
        <v>0</v>
      </c>
      <c r="E591" s="123">
        <v>0</v>
      </c>
      <c r="F591" s="123">
        <v>0</v>
      </c>
      <c r="G591" s="123">
        <v>12</v>
      </c>
      <c r="H591" s="123">
        <v>0</v>
      </c>
      <c r="I591" s="123">
        <v>12</v>
      </c>
      <c r="J591" s="123">
        <v>10</v>
      </c>
      <c r="K591" s="123">
        <v>0</v>
      </c>
      <c r="L591" s="123">
        <v>10</v>
      </c>
      <c r="M591" s="123">
        <v>31</v>
      </c>
      <c r="N591" s="123">
        <v>0</v>
      </c>
      <c r="O591" s="123">
        <v>31</v>
      </c>
      <c r="P591" s="7" t="s">
        <v>163</v>
      </c>
      <c r="Q591" s="124"/>
      <c r="R591" s="1"/>
    </row>
    <row r="592" spans="1:18" ht="13.5" thickBot="1" x14ac:dyDescent="0.25">
      <c r="A592" s="123">
        <v>49</v>
      </c>
      <c r="B592" s="123">
        <v>0</v>
      </c>
      <c r="C592" s="123">
        <v>49</v>
      </c>
      <c r="D592" s="123">
        <v>0</v>
      </c>
      <c r="E592" s="123">
        <v>0</v>
      </c>
      <c r="F592" s="123">
        <v>0</v>
      </c>
      <c r="G592" s="123">
        <v>16</v>
      </c>
      <c r="H592" s="123">
        <v>0</v>
      </c>
      <c r="I592" s="123">
        <v>16</v>
      </c>
      <c r="J592" s="123">
        <v>7</v>
      </c>
      <c r="K592" s="123">
        <v>0</v>
      </c>
      <c r="L592" s="123">
        <v>7</v>
      </c>
      <c r="M592" s="123">
        <v>26</v>
      </c>
      <c r="N592" s="123">
        <v>0</v>
      </c>
      <c r="O592" s="123">
        <v>26</v>
      </c>
      <c r="P592" s="7" t="s">
        <v>162</v>
      </c>
      <c r="Q592" s="124" t="s">
        <v>437</v>
      </c>
      <c r="R592" s="1"/>
    </row>
    <row r="593" spans="1:18" ht="13.5" thickBot="1" x14ac:dyDescent="0.25">
      <c r="A593" s="123">
        <v>102</v>
      </c>
      <c r="B593" s="123">
        <v>0</v>
      </c>
      <c r="C593" s="123">
        <v>102</v>
      </c>
      <c r="D593" s="123">
        <v>0</v>
      </c>
      <c r="E593" s="123">
        <v>0</v>
      </c>
      <c r="F593" s="123">
        <v>0</v>
      </c>
      <c r="G593" s="123">
        <v>28</v>
      </c>
      <c r="H593" s="123">
        <v>0</v>
      </c>
      <c r="I593" s="123">
        <v>28</v>
      </c>
      <c r="J593" s="123">
        <v>17</v>
      </c>
      <c r="K593" s="123">
        <v>0</v>
      </c>
      <c r="L593" s="123">
        <v>17</v>
      </c>
      <c r="M593" s="123">
        <v>57</v>
      </c>
      <c r="N593" s="123">
        <v>0</v>
      </c>
      <c r="O593" s="123">
        <v>57</v>
      </c>
      <c r="P593" s="7" t="s">
        <v>13</v>
      </c>
      <c r="Q593" s="9"/>
      <c r="R593" s="1"/>
    </row>
    <row r="594" spans="1:18" ht="13.5" thickBot="1" x14ac:dyDescent="0.25">
      <c r="A594" s="123">
        <v>166</v>
      </c>
      <c r="B594" s="123">
        <v>0</v>
      </c>
      <c r="C594" s="123">
        <v>166</v>
      </c>
      <c r="D594" s="123">
        <v>1</v>
      </c>
      <c r="E594" s="123">
        <v>0</v>
      </c>
      <c r="F594" s="123">
        <v>1</v>
      </c>
      <c r="G594" s="123">
        <v>57</v>
      </c>
      <c r="H594" s="123">
        <v>0</v>
      </c>
      <c r="I594" s="123">
        <v>57</v>
      </c>
      <c r="J594" s="123">
        <v>9</v>
      </c>
      <c r="K594" s="123">
        <v>0</v>
      </c>
      <c r="L594" s="123">
        <v>9</v>
      </c>
      <c r="M594" s="123">
        <v>99</v>
      </c>
      <c r="N594" s="123">
        <v>0</v>
      </c>
      <c r="O594" s="123">
        <v>99</v>
      </c>
      <c r="P594" s="7" t="s">
        <v>163</v>
      </c>
      <c r="Q594" s="124"/>
      <c r="R594" s="1"/>
    </row>
    <row r="595" spans="1:18" ht="13.5" thickBot="1" x14ac:dyDescent="0.25">
      <c r="A595" s="123">
        <v>6</v>
      </c>
      <c r="B595" s="123">
        <v>0</v>
      </c>
      <c r="C595" s="123">
        <v>6</v>
      </c>
      <c r="D595" s="123">
        <v>0</v>
      </c>
      <c r="E595" s="123">
        <v>0</v>
      </c>
      <c r="F595" s="123">
        <v>0</v>
      </c>
      <c r="G595" s="123">
        <v>1</v>
      </c>
      <c r="H595" s="123">
        <v>0</v>
      </c>
      <c r="I595" s="123">
        <v>1</v>
      </c>
      <c r="J595" s="123">
        <v>1</v>
      </c>
      <c r="K595" s="123">
        <v>0</v>
      </c>
      <c r="L595" s="123">
        <v>1</v>
      </c>
      <c r="M595" s="123">
        <v>4</v>
      </c>
      <c r="N595" s="123">
        <v>0</v>
      </c>
      <c r="O595" s="123">
        <v>4</v>
      </c>
      <c r="P595" s="7" t="s">
        <v>162</v>
      </c>
      <c r="Q595" s="124" t="s">
        <v>419</v>
      </c>
      <c r="R595" s="1"/>
    </row>
    <row r="596" spans="1:18" ht="13.5" thickBot="1" x14ac:dyDescent="0.25">
      <c r="A596" s="123">
        <v>172</v>
      </c>
      <c r="B596" s="123">
        <v>0</v>
      </c>
      <c r="C596" s="123">
        <v>172</v>
      </c>
      <c r="D596" s="123">
        <v>1</v>
      </c>
      <c r="E596" s="123">
        <v>0</v>
      </c>
      <c r="F596" s="123">
        <v>1</v>
      </c>
      <c r="G596" s="123">
        <v>58</v>
      </c>
      <c r="H596" s="123">
        <v>0</v>
      </c>
      <c r="I596" s="123">
        <v>58</v>
      </c>
      <c r="J596" s="123">
        <v>10</v>
      </c>
      <c r="K596" s="123">
        <v>0</v>
      </c>
      <c r="L596" s="123">
        <v>10</v>
      </c>
      <c r="M596" s="123">
        <v>103</v>
      </c>
      <c r="N596" s="123">
        <v>0</v>
      </c>
      <c r="O596" s="123">
        <v>103</v>
      </c>
      <c r="P596" s="7" t="s">
        <v>13</v>
      </c>
      <c r="Q596" s="9"/>
      <c r="R596" s="1"/>
    </row>
    <row r="597" spans="1:18" ht="13.5" thickBot="1" x14ac:dyDescent="0.25">
      <c r="A597" s="123">
        <v>110</v>
      </c>
      <c r="B597" s="123">
        <v>1</v>
      </c>
      <c r="C597" s="123">
        <v>109</v>
      </c>
      <c r="D597" s="123">
        <v>4</v>
      </c>
      <c r="E597" s="123">
        <v>0</v>
      </c>
      <c r="F597" s="123">
        <v>4</v>
      </c>
      <c r="G597" s="123">
        <v>25</v>
      </c>
      <c r="H597" s="123">
        <v>0</v>
      </c>
      <c r="I597" s="123">
        <v>25</v>
      </c>
      <c r="J597" s="123">
        <v>5</v>
      </c>
      <c r="K597" s="123">
        <v>1</v>
      </c>
      <c r="L597" s="123">
        <v>4</v>
      </c>
      <c r="M597" s="123">
        <v>76</v>
      </c>
      <c r="N597" s="123">
        <v>0</v>
      </c>
      <c r="O597" s="123">
        <v>76</v>
      </c>
      <c r="P597" s="7" t="s">
        <v>163</v>
      </c>
      <c r="Q597" s="124"/>
      <c r="R597" s="1"/>
    </row>
    <row r="598" spans="1:18" ht="13.5" thickBot="1" x14ac:dyDescent="0.25">
      <c r="A598" s="123">
        <v>31</v>
      </c>
      <c r="B598" s="123">
        <v>0</v>
      </c>
      <c r="C598" s="123">
        <v>31</v>
      </c>
      <c r="D598" s="123">
        <v>0</v>
      </c>
      <c r="E598" s="123">
        <v>0</v>
      </c>
      <c r="F598" s="123">
        <v>0</v>
      </c>
      <c r="G598" s="123">
        <v>1</v>
      </c>
      <c r="H598" s="123">
        <v>0</v>
      </c>
      <c r="I598" s="123">
        <v>1</v>
      </c>
      <c r="J598" s="123">
        <v>6</v>
      </c>
      <c r="K598" s="123">
        <v>0</v>
      </c>
      <c r="L598" s="123">
        <v>6</v>
      </c>
      <c r="M598" s="123">
        <v>24</v>
      </c>
      <c r="N598" s="123">
        <v>0</v>
      </c>
      <c r="O598" s="123">
        <v>24</v>
      </c>
      <c r="P598" s="7" t="s">
        <v>162</v>
      </c>
      <c r="Q598" s="124" t="s">
        <v>438</v>
      </c>
      <c r="R598" s="1"/>
    </row>
    <row r="599" spans="1:18" ht="13.5" thickBot="1" x14ac:dyDescent="0.25">
      <c r="A599" s="123">
        <v>141</v>
      </c>
      <c r="B599" s="123">
        <v>1</v>
      </c>
      <c r="C599" s="123">
        <v>140</v>
      </c>
      <c r="D599" s="123">
        <v>4</v>
      </c>
      <c r="E599" s="123">
        <v>0</v>
      </c>
      <c r="F599" s="123">
        <v>4</v>
      </c>
      <c r="G599" s="123">
        <v>26</v>
      </c>
      <c r="H599" s="123">
        <v>0</v>
      </c>
      <c r="I599" s="123">
        <v>26</v>
      </c>
      <c r="J599" s="123">
        <v>11</v>
      </c>
      <c r="K599" s="123">
        <v>1</v>
      </c>
      <c r="L599" s="123">
        <v>10</v>
      </c>
      <c r="M599" s="123">
        <v>100</v>
      </c>
      <c r="N599" s="123">
        <v>0</v>
      </c>
      <c r="O599" s="123">
        <v>100</v>
      </c>
      <c r="P599" s="7" t="s">
        <v>13</v>
      </c>
      <c r="Q599" s="9"/>
      <c r="R599" s="1"/>
    </row>
    <row r="600" spans="1:18" ht="13.5" thickBot="1" x14ac:dyDescent="0.25">
      <c r="A600" s="123">
        <v>131</v>
      </c>
      <c r="B600" s="123">
        <v>66</v>
      </c>
      <c r="C600" s="123">
        <v>65</v>
      </c>
      <c r="D600" s="123">
        <v>32</v>
      </c>
      <c r="E600" s="123">
        <v>4</v>
      </c>
      <c r="F600" s="123">
        <v>28</v>
      </c>
      <c r="G600" s="123">
        <v>50</v>
      </c>
      <c r="H600" s="123">
        <v>50</v>
      </c>
      <c r="I600" s="123">
        <v>0</v>
      </c>
      <c r="J600" s="123">
        <v>10</v>
      </c>
      <c r="K600" s="123">
        <v>10</v>
      </c>
      <c r="L600" s="123">
        <v>0</v>
      </c>
      <c r="M600" s="123">
        <v>39</v>
      </c>
      <c r="N600" s="123">
        <v>2</v>
      </c>
      <c r="O600" s="123">
        <v>37</v>
      </c>
      <c r="P600" s="7" t="s">
        <v>163</v>
      </c>
      <c r="Q600" s="124"/>
      <c r="R600" s="1"/>
    </row>
    <row r="601" spans="1:18" ht="13.5" thickBot="1" x14ac:dyDescent="0.25">
      <c r="A601" s="123">
        <v>155</v>
      </c>
      <c r="B601" s="123">
        <v>62</v>
      </c>
      <c r="C601" s="123">
        <v>93</v>
      </c>
      <c r="D601" s="123">
        <v>16</v>
      </c>
      <c r="E601" s="123">
        <v>6</v>
      </c>
      <c r="F601" s="123">
        <v>10</v>
      </c>
      <c r="G601" s="123">
        <v>1</v>
      </c>
      <c r="H601" s="123">
        <v>1</v>
      </c>
      <c r="I601" s="123">
        <v>0</v>
      </c>
      <c r="J601" s="123">
        <v>47</v>
      </c>
      <c r="K601" s="123">
        <v>27</v>
      </c>
      <c r="L601" s="123">
        <v>20</v>
      </c>
      <c r="M601" s="123">
        <v>91</v>
      </c>
      <c r="N601" s="123">
        <v>28</v>
      </c>
      <c r="O601" s="123">
        <v>63</v>
      </c>
      <c r="P601" s="7" t="s">
        <v>162</v>
      </c>
      <c r="Q601" s="124" t="s">
        <v>439</v>
      </c>
      <c r="R601" s="1"/>
    </row>
    <row r="602" spans="1:18" ht="13.5" thickBot="1" x14ac:dyDescent="0.25">
      <c r="A602" s="123">
        <v>286</v>
      </c>
      <c r="B602" s="123">
        <v>128</v>
      </c>
      <c r="C602" s="123">
        <v>158</v>
      </c>
      <c r="D602" s="123">
        <v>48</v>
      </c>
      <c r="E602" s="123">
        <v>10</v>
      </c>
      <c r="F602" s="123">
        <v>38</v>
      </c>
      <c r="G602" s="123">
        <v>51</v>
      </c>
      <c r="H602" s="123">
        <v>51</v>
      </c>
      <c r="I602" s="123">
        <v>0</v>
      </c>
      <c r="J602" s="123">
        <v>57</v>
      </c>
      <c r="K602" s="123">
        <v>37</v>
      </c>
      <c r="L602" s="123">
        <v>20</v>
      </c>
      <c r="M602" s="123">
        <v>130</v>
      </c>
      <c r="N602" s="123">
        <v>30</v>
      </c>
      <c r="O602" s="123">
        <v>100</v>
      </c>
      <c r="P602" s="7" t="s">
        <v>13</v>
      </c>
      <c r="Q602" s="9"/>
      <c r="R602" s="1"/>
    </row>
    <row r="603" spans="1:18" ht="13.5" thickBot="1" x14ac:dyDescent="0.25">
      <c r="A603" s="123">
        <v>36</v>
      </c>
      <c r="B603" s="123">
        <v>0</v>
      </c>
      <c r="C603" s="123">
        <v>36</v>
      </c>
      <c r="D603" s="123">
        <v>0</v>
      </c>
      <c r="E603" s="123">
        <v>0</v>
      </c>
      <c r="F603" s="123">
        <v>0</v>
      </c>
      <c r="G603" s="123">
        <v>5</v>
      </c>
      <c r="H603" s="123">
        <v>0</v>
      </c>
      <c r="I603" s="123">
        <v>5</v>
      </c>
      <c r="J603" s="123">
        <v>2</v>
      </c>
      <c r="K603" s="123">
        <v>0</v>
      </c>
      <c r="L603" s="123">
        <v>2</v>
      </c>
      <c r="M603" s="123">
        <v>29</v>
      </c>
      <c r="N603" s="123">
        <v>0</v>
      </c>
      <c r="O603" s="123">
        <v>29</v>
      </c>
      <c r="P603" s="7" t="s">
        <v>163</v>
      </c>
      <c r="Q603" s="124"/>
      <c r="R603" s="1"/>
    </row>
    <row r="604" spans="1:18" ht="13.5" thickBot="1" x14ac:dyDescent="0.25">
      <c r="A604" s="123">
        <v>41</v>
      </c>
      <c r="B604" s="123">
        <v>0</v>
      </c>
      <c r="C604" s="123">
        <v>41</v>
      </c>
      <c r="D604" s="123">
        <v>0</v>
      </c>
      <c r="E604" s="123">
        <v>0</v>
      </c>
      <c r="F604" s="123">
        <v>0</v>
      </c>
      <c r="G604" s="123">
        <v>12</v>
      </c>
      <c r="H604" s="123">
        <v>0</v>
      </c>
      <c r="I604" s="123">
        <v>12</v>
      </c>
      <c r="J604" s="123">
        <v>0</v>
      </c>
      <c r="K604" s="123">
        <v>0</v>
      </c>
      <c r="L604" s="123">
        <v>0</v>
      </c>
      <c r="M604" s="123">
        <v>29</v>
      </c>
      <c r="N604" s="123">
        <v>0</v>
      </c>
      <c r="O604" s="123">
        <v>29</v>
      </c>
      <c r="P604" s="7" t="s">
        <v>162</v>
      </c>
      <c r="Q604" s="124" t="s">
        <v>440</v>
      </c>
      <c r="R604" s="1"/>
    </row>
    <row r="605" spans="1:18" ht="13.5" thickBot="1" x14ac:dyDescent="0.25">
      <c r="A605" s="123">
        <v>77</v>
      </c>
      <c r="B605" s="123">
        <v>0</v>
      </c>
      <c r="C605" s="123">
        <v>77</v>
      </c>
      <c r="D605" s="123">
        <v>0</v>
      </c>
      <c r="E605" s="123">
        <v>0</v>
      </c>
      <c r="F605" s="123">
        <v>0</v>
      </c>
      <c r="G605" s="123">
        <v>17</v>
      </c>
      <c r="H605" s="123">
        <v>0</v>
      </c>
      <c r="I605" s="123">
        <v>17</v>
      </c>
      <c r="J605" s="123">
        <v>2</v>
      </c>
      <c r="K605" s="123">
        <v>0</v>
      </c>
      <c r="L605" s="123">
        <v>2</v>
      </c>
      <c r="M605" s="123">
        <v>58</v>
      </c>
      <c r="N605" s="123">
        <v>0</v>
      </c>
      <c r="O605" s="123">
        <v>58</v>
      </c>
      <c r="P605" s="7" t="s">
        <v>13</v>
      </c>
      <c r="Q605" s="9"/>
      <c r="R605" s="1"/>
    </row>
    <row r="606" spans="1:18" ht="13.5" thickBot="1" x14ac:dyDescent="0.25">
      <c r="A606" s="123">
        <v>26</v>
      </c>
      <c r="B606" s="123">
        <v>4</v>
      </c>
      <c r="C606" s="123">
        <v>22</v>
      </c>
      <c r="D606" s="123">
        <v>0</v>
      </c>
      <c r="E606" s="123">
        <v>0</v>
      </c>
      <c r="F606" s="123">
        <v>0</v>
      </c>
      <c r="G606" s="123">
        <v>18</v>
      </c>
      <c r="H606" s="123">
        <v>4</v>
      </c>
      <c r="I606" s="123">
        <v>14</v>
      </c>
      <c r="J606" s="123">
        <v>0</v>
      </c>
      <c r="K606" s="123">
        <v>0</v>
      </c>
      <c r="L606" s="123">
        <v>0</v>
      </c>
      <c r="M606" s="123">
        <v>8</v>
      </c>
      <c r="N606" s="123">
        <v>0</v>
      </c>
      <c r="O606" s="123">
        <v>8</v>
      </c>
      <c r="P606" s="7" t="s">
        <v>163</v>
      </c>
      <c r="Q606" s="124"/>
      <c r="R606" s="1"/>
    </row>
    <row r="607" spans="1:18" ht="13.5" thickBot="1" x14ac:dyDescent="0.25">
      <c r="A607" s="123">
        <v>53</v>
      </c>
      <c r="B607" s="123">
        <v>13</v>
      </c>
      <c r="C607" s="123">
        <v>40</v>
      </c>
      <c r="D607" s="123">
        <v>0</v>
      </c>
      <c r="E607" s="123">
        <v>0</v>
      </c>
      <c r="F607" s="123">
        <v>0</v>
      </c>
      <c r="G607" s="123">
        <v>0</v>
      </c>
      <c r="H607" s="123">
        <v>0</v>
      </c>
      <c r="I607" s="123">
        <v>0</v>
      </c>
      <c r="J607" s="123">
        <v>0</v>
      </c>
      <c r="K607" s="123">
        <v>0</v>
      </c>
      <c r="L607" s="123">
        <v>0</v>
      </c>
      <c r="M607" s="123">
        <v>53</v>
      </c>
      <c r="N607" s="123">
        <v>13</v>
      </c>
      <c r="O607" s="123">
        <v>40</v>
      </c>
      <c r="P607" s="7" t="s">
        <v>162</v>
      </c>
      <c r="Q607" s="124" t="s">
        <v>441</v>
      </c>
      <c r="R607" s="1"/>
    </row>
    <row r="608" spans="1:18" ht="13.5" thickBot="1" x14ac:dyDescent="0.25">
      <c r="A608" s="123">
        <v>79</v>
      </c>
      <c r="B608" s="123">
        <v>17</v>
      </c>
      <c r="C608" s="123">
        <v>62</v>
      </c>
      <c r="D608" s="123">
        <v>0</v>
      </c>
      <c r="E608" s="123">
        <v>0</v>
      </c>
      <c r="F608" s="123">
        <v>0</v>
      </c>
      <c r="G608" s="123">
        <v>18</v>
      </c>
      <c r="H608" s="123">
        <v>4</v>
      </c>
      <c r="I608" s="123">
        <v>14</v>
      </c>
      <c r="J608" s="123">
        <v>0</v>
      </c>
      <c r="K608" s="123">
        <v>0</v>
      </c>
      <c r="L608" s="123">
        <v>0</v>
      </c>
      <c r="M608" s="123">
        <v>61</v>
      </c>
      <c r="N608" s="123">
        <v>13</v>
      </c>
      <c r="O608" s="123">
        <v>48</v>
      </c>
      <c r="P608" s="7" t="s">
        <v>13</v>
      </c>
      <c r="Q608" s="9"/>
      <c r="R608" s="1"/>
    </row>
    <row r="609" spans="1:18" ht="13.5" thickBot="1" x14ac:dyDescent="0.25">
      <c r="A609" s="123">
        <v>7</v>
      </c>
      <c r="B609" s="123">
        <v>0</v>
      </c>
      <c r="C609" s="123">
        <v>7</v>
      </c>
      <c r="D609" s="123">
        <v>0</v>
      </c>
      <c r="E609" s="123">
        <v>0</v>
      </c>
      <c r="F609" s="123">
        <v>0</v>
      </c>
      <c r="G609" s="123">
        <v>1</v>
      </c>
      <c r="H609" s="123">
        <v>0</v>
      </c>
      <c r="I609" s="123">
        <v>1</v>
      </c>
      <c r="J609" s="123">
        <v>0</v>
      </c>
      <c r="K609" s="123">
        <v>0</v>
      </c>
      <c r="L609" s="123">
        <v>0</v>
      </c>
      <c r="M609" s="123">
        <v>6</v>
      </c>
      <c r="N609" s="123">
        <v>0</v>
      </c>
      <c r="O609" s="123">
        <v>6</v>
      </c>
      <c r="P609" s="7" t="s">
        <v>163</v>
      </c>
      <c r="Q609" s="124"/>
      <c r="R609" s="1"/>
    </row>
    <row r="610" spans="1:18" ht="13.5" thickBot="1" x14ac:dyDescent="0.25">
      <c r="A610" s="123">
        <v>33</v>
      </c>
      <c r="B610" s="123">
        <v>0</v>
      </c>
      <c r="C610" s="123">
        <v>33</v>
      </c>
      <c r="D610" s="123">
        <v>0</v>
      </c>
      <c r="E610" s="123">
        <v>0</v>
      </c>
      <c r="F610" s="123">
        <v>0</v>
      </c>
      <c r="G610" s="123">
        <v>1</v>
      </c>
      <c r="H610" s="123">
        <v>0</v>
      </c>
      <c r="I610" s="123">
        <v>1</v>
      </c>
      <c r="J610" s="123">
        <v>1</v>
      </c>
      <c r="K610" s="123">
        <v>0</v>
      </c>
      <c r="L610" s="123">
        <v>1</v>
      </c>
      <c r="M610" s="123">
        <v>31</v>
      </c>
      <c r="N610" s="123">
        <v>0</v>
      </c>
      <c r="O610" s="123">
        <v>31</v>
      </c>
      <c r="P610" s="7" t="s">
        <v>162</v>
      </c>
      <c r="Q610" s="124" t="s">
        <v>377</v>
      </c>
      <c r="R610" s="1"/>
    </row>
    <row r="611" spans="1:18" ht="13.5" thickBot="1" x14ac:dyDescent="0.25">
      <c r="A611" s="123">
        <v>40</v>
      </c>
      <c r="B611" s="123">
        <v>0</v>
      </c>
      <c r="C611" s="123">
        <v>40</v>
      </c>
      <c r="D611" s="123">
        <v>0</v>
      </c>
      <c r="E611" s="123">
        <v>0</v>
      </c>
      <c r="F611" s="123">
        <v>0</v>
      </c>
      <c r="G611" s="123">
        <v>2</v>
      </c>
      <c r="H611" s="123">
        <v>0</v>
      </c>
      <c r="I611" s="123">
        <v>2</v>
      </c>
      <c r="J611" s="123">
        <v>1</v>
      </c>
      <c r="K611" s="123">
        <v>0</v>
      </c>
      <c r="L611" s="123">
        <v>1</v>
      </c>
      <c r="M611" s="123">
        <v>37</v>
      </c>
      <c r="N611" s="123">
        <v>0</v>
      </c>
      <c r="O611" s="123">
        <v>37</v>
      </c>
      <c r="P611" s="7" t="s">
        <v>13</v>
      </c>
      <c r="Q611" s="9"/>
      <c r="R611" s="1"/>
    </row>
    <row r="612" spans="1:18" ht="13.5" thickBot="1" x14ac:dyDescent="0.25">
      <c r="A612" s="123">
        <v>7</v>
      </c>
      <c r="B612" s="123">
        <v>1</v>
      </c>
      <c r="C612" s="123">
        <v>6</v>
      </c>
      <c r="D612" s="123">
        <v>2</v>
      </c>
      <c r="E612" s="123">
        <v>0</v>
      </c>
      <c r="F612" s="123">
        <v>2</v>
      </c>
      <c r="G612" s="123">
        <v>1</v>
      </c>
      <c r="H612" s="123">
        <v>1</v>
      </c>
      <c r="I612" s="123">
        <v>0</v>
      </c>
      <c r="J612" s="123">
        <v>1</v>
      </c>
      <c r="K612" s="123">
        <v>0</v>
      </c>
      <c r="L612" s="123">
        <v>1</v>
      </c>
      <c r="M612" s="123">
        <v>3</v>
      </c>
      <c r="N612" s="123">
        <v>0</v>
      </c>
      <c r="O612" s="123">
        <v>3</v>
      </c>
      <c r="P612" s="7" t="s">
        <v>163</v>
      </c>
      <c r="Q612" s="124"/>
      <c r="R612" s="1"/>
    </row>
    <row r="613" spans="1:18" ht="13.5" thickBot="1" x14ac:dyDescent="0.25">
      <c r="A613" s="123">
        <v>34</v>
      </c>
      <c r="B613" s="123">
        <v>3</v>
      </c>
      <c r="C613" s="123">
        <v>31</v>
      </c>
      <c r="D613" s="123">
        <v>0</v>
      </c>
      <c r="E613" s="123">
        <v>0</v>
      </c>
      <c r="F613" s="123">
        <v>0</v>
      </c>
      <c r="G613" s="123">
        <v>8</v>
      </c>
      <c r="H613" s="123">
        <v>0</v>
      </c>
      <c r="I613" s="123">
        <v>8</v>
      </c>
      <c r="J613" s="123">
        <v>2</v>
      </c>
      <c r="K613" s="123">
        <v>1</v>
      </c>
      <c r="L613" s="123">
        <v>1</v>
      </c>
      <c r="M613" s="123">
        <v>24</v>
      </c>
      <c r="N613" s="123">
        <v>2</v>
      </c>
      <c r="O613" s="123">
        <v>22</v>
      </c>
      <c r="P613" s="7" t="s">
        <v>162</v>
      </c>
      <c r="Q613" s="124" t="s">
        <v>359</v>
      </c>
      <c r="R613" s="1"/>
    </row>
    <row r="614" spans="1:18" ht="13.5" thickBot="1" x14ac:dyDescent="0.25">
      <c r="A614" s="123">
        <v>41</v>
      </c>
      <c r="B614" s="123">
        <v>4</v>
      </c>
      <c r="C614" s="123">
        <v>37</v>
      </c>
      <c r="D614" s="123">
        <v>2</v>
      </c>
      <c r="E614" s="123">
        <v>0</v>
      </c>
      <c r="F614" s="123">
        <v>2</v>
      </c>
      <c r="G614" s="123">
        <v>9</v>
      </c>
      <c r="H614" s="123">
        <v>1</v>
      </c>
      <c r="I614" s="123">
        <v>8</v>
      </c>
      <c r="J614" s="123">
        <v>3</v>
      </c>
      <c r="K614" s="123">
        <v>1</v>
      </c>
      <c r="L614" s="123">
        <v>2</v>
      </c>
      <c r="M614" s="123">
        <v>27</v>
      </c>
      <c r="N614" s="123">
        <v>2</v>
      </c>
      <c r="O614" s="123">
        <v>25</v>
      </c>
      <c r="P614" s="7" t="s">
        <v>13</v>
      </c>
      <c r="Q614" s="9"/>
      <c r="R614" s="1"/>
    </row>
    <row r="615" spans="1:18" ht="13.5" thickBot="1" x14ac:dyDescent="0.25">
      <c r="A615" s="123">
        <v>3</v>
      </c>
      <c r="B615" s="123">
        <v>0</v>
      </c>
      <c r="C615" s="123">
        <v>3</v>
      </c>
      <c r="D615" s="123">
        <v>0</v>
      </c>
      <c r="E615" s="123">
        <v>0</v>
      </c>
      <c r="F615" s="123">
        <v>0</v>
      </c>
      <c r="G615" s="123">
        <v>1</v>
      </c>
      <c r="H615" s="123">
        <v>0</v>
      </c>
      <c r="I615" s="123">
        <v>1</v>
      </c>
      <c r="J615" s="123">
        <v>1</v>
      </c>
      <c r="K615" s="123">
        <v>0</v>
      </c>
      <c r="L615" s="123">
        <v>1</v>
      </c>
      <c r="M615" s="123">
        <v>1</v>
      </c>
      <c r="N615" s="123">
        <v>0</v>
      </c>
      <c r="O615" s="123">
        <v>1</v>
      </c>
      <c r="P615" s="7" t="s">
        <v>163</v>
      </c>
      <c r="Q615" s="124"/>
      <c r="R615" s="1"/>
    </row>
    <row r="616" spans="1:18" ht="13.5" thickBot="1" x14ac:dyDescent="0.25">
      <c r="A616" s="123">
        <v>21</v>
      </c>
      <c r="B616" s="123">
        <v>0</v>
      </c>
      <c r="C616" s="123">
        <v>21</v>
      </c>
      <c r="D616" s="123">
        <v>0</v>
      </c>
      <c r="E616" s="123">
        <v>0</v>
      </c>
      <c r="F616" s="123">
        <v>0</v>
      </c>
      <c r="G616" s="123">
        <v>0</v>
      </c>
      <c r="H616" s="123">
        <v>0</v>
      </c>
      <c r="I616" s="123">
        <v>0</v>
      </c>
      <c r="J616" s="123">
        <v>5</v>
      </c>
      <c r="K616" s="123">
        <v>0</v>
      </c>
      <c r="L616" s="123">
        <v>5</v>
      </c>
      <c r="M616" s="123">
        <v>16</v>
      </c>
      <c r="N616" s="123">
        <v>0</v>
      </c>
      <c r="O616" s="123">
        <v>16</v>
      </c>
      <c r="P616" s="7" t="s">
        <v>162</v>
      </c>
      <c r="Q616" s="124" t="s">
        <v>442</v>
      </c>
      <c r="R616" s="1"/>
    </row>
    <row r="617" spans="1:18" ht="13.5" thickBot="1" x14ac:dyDescent="0.25">
      <c r="A617" s="123">
        <v>24</v>
      </c>
      <c r="B617" s="123">
        <v>0</v>
      </c>
      <c r="C617" s="123">
        <v>24</v>
      </c>
      <c r="D617" s="123">
        <v>0</v>
      </c>
      <c r="E617" s="123">
        <v>0</v>
      </c>
      <c r="F617" s="123">
        <v>0</v>
      </c>
      <c r="G617" s="123">
        <v>1</v>
      </c>
      <c r="H617" s="123">
        <v>0</v>
      </c>
      <c r="I617" s="123">
        <v>1</v>
      </c>
      <c r="J617" s="123">
        <v>6</v>
      </c>
      <c r="K617" s="123">
        <v>0</v>
      </c>
      <c r="L617" s="123">
        <v>6</v>
      </c>
      <c r="M617" s="123">
        <v>17</v>
      </c>
      <c r="N617" s="123">
        <v>0</v>
      </c>
      <c r="O617" s="123">
        <v>17</v>
      </c>
      <c r="P617" s="7" t="s">
        <v>13</v>
      </c>
      <c r="Q617" s="9"/>
      <c r="R617" s="1"/>
    </row>
    <row r="618" spans="1:18" ht="13.5" thickBot="1" x14ac:dyDescent="0.25">
      <c r="A618" s="123">
        <v>4</v>
      </c>
      <c r="B618" s="123">
        <v>0</v>
      </c>
      <c r="C618" s="123">
        <v>4</v>
      </c>
      <c r="D618" s="123">
        <v>0</v>
      </c>
      <c r="E618" s="123">
        <v>0</v>
      </c>
      <c r="F618" s="123">
        <v>0</v>
      </c>
      <c r="G618" s="123">
        <v>2</v>
      </c>
      <c r="H618" s="123">
        <v>0</v>
      </c>
      <c r="I618" s="123">
        <v>2</v>
      </c>
      <c r="J618" s="123">
        <v>0</v>
      </c>
      <c r="K618" s="123">
        <v>0</v>
      </c>
      <c r="L618" s="123">
        <v>0</v>
      </c>
      <c r="M618" s="123">
        <v>2</v>
      </c>
      <c r="N618" s="123">
        <v>0</v>
      </c>
      <c r="O618" s="123">
        <v>2</v>
      </c>
      <c r="P618" s="7" t="s">
        <v>163</v>
      </c>
      <c r="Q618" s="124"/>
      <c r="R618" s="1"/>
    </row>
    <row r="619" spans="1:18" ht="13.5" thickBot="1" x14ac:dyDescent="0.25">
      <c r="A619" s="123">
        <v>19</v>
      </c>
      <c r="B619" s="123">
        <v>0</v>
      </c>
      <c r="C619" s="123">
        <v>19</v>
      </c>
      <c r="D619" s="123">
        <v>0</v>
      </c>
      <c r="E619" s="123">
        <v>0</v>
      </c>
      <c r="F619" s="123">
        <v>0</v>
      </c>
      <c r="G619" s="123">
        <v>0</v>
      </c>
      <c r="H619" s="123">
        <v>0</v>
      </c>
      <c r="I619" s="123">
        <v>0</v>
      </c>
      <c r="J619" s="123">
        <v>0</v>
      </c>
      <c r="K619" s="123">
        <v>0</v>
      </c>
      <c r="L619" s="123">
        <v>0</v>
      </c>
      <c r="M619" s="123">
        <v>19</v>
      </c>
      <c r="N619" s="123">
        <v>0</v>
      </c>
      <c r="O619" s="123">
        <v>19</v>
      </c>
      <c r="P619" s="7" t="s">
        <v>162</v>
      </c>
      <c r="Q619" s="124" t="s">
        <v>443</v>
      </c>
      <c r="R619" s="1"/>
    </row>
    <row r="620" spans="1:18" ht="13.5" thickBot="1" x14ac:dyDescent="0.25">
      <c r="A620" s="123">
        <v>23</v>
      </c>
      <c r="B620" s="123">
        <v>0</v>
      </c>
      <c r="C620" s="123">
        <v>23</v>
      </c>
      <c r="D620" s="123">
        <v>0</v>
      </c>
      <c r="E620" s="123">
        <v>0</v>
      </c>
      <c r="F620" s="123">
        <v>0</v>
      </c>
      <c r="G620" s="123">
        <v>2</v>
      </c>
      <c r="H620" s="123">
        <v>0</v>
      </c>
      <c r="I620" s="123">
        <v>2</v>
      </c>
      <c r="J620" s="123">
        <v>0</v>
      </c>
      <c r="K620" s="123">
        <v>0</v>
      </c>
      <c r="L620" s="123">
        <v>0</v>
      </c>
      <c r="M620" s="123">
        <v>21</v>
      </c>
      <c r="N620" s="123">
        <v>0</v>
      </c>
      <c r="O620" s="123">
        <v>21</v>
      </c>
      <c r="P620" s="7" t="s">
        <v>13</v>
      </c>
      <c r="Q620" s="9"/>
      <c r="R620" s="1"/>
    </row>
    <row r="621" spans="1:18" ht="13.5" thickBot="1" x14ac:dyDescent="0.25">
      <c r="A621" s="123">
        <v>7</v>
      </c>
      <c r="B621" s="123">
        <v>0</v>
      </c>
      <c r="C621" s="123">
        <v>7</v>
      </c>
      <c r="D621" s="123">
        <v>0</v>
      </c>
      <c r="E621" s="123">
        <v>0</v>
      </c>
      <c r="F621" s="123">
        <v>0</v>
      </c>
      <c r="G621" s="123">
        <v>2</v>
      </c>
      <c r="H621" s="123">
        <v>0</v>
      </c>
      <c r="I621" s="123">
        <v>2</v>
      </c>
      <c r="J621" s="123">
        <v>0</v>
      </c>
      <c r="K621" s="123">
        <v>0</v>
      </c>
      <c r="L621" s="123">
        <v>0</v>
      </c>
      <c r="M621" s="123">
        <v>5</v>
      </c>
      <c r="N621" s="123">
        <v>0</v>
      </c>
      <c r="O621" s="123">
        <v>5</v>
      </c>
      <c r="P621" s="7" t="s">
        <v>163</v>
      </c>
      <c r="Q621" s="124"/>
      <c r="R621" s="1"/>
    </row>
    <row r="622" spans="1:18" ht="13.5" thickBot="1" x14ac:dyDescent="0.25">
      <c r="A622" s="123">
        <v>9</v>
      </c>
      <c r="B622" s="123">
        <v>0</v>
      </c>
      <c r="C622" s="123">
        <v>9</v>
      </c>
      <c r="D622" s="123">
        <v>0</v>
      </c>
      <c r="E622" s="123">
        <v>0</v>
      </c>
      <c r="F622" s="123">
        <v>0</v>
      </c>
      <c r="G622" s="123">
        <v>0</v>
      </c>
      <c r="H622" s="123">
        <v>0</v>
      </c>
      <c r="I622" s="123">
        <v>0</v>
      </c>
      <c r="J622" s="123">
        <v>0</v>
      </c>
      <c r="K622" s="123">
        <v>0</v>
      </c>
      <c r="L622" s="123">
        <v>0</v>
      </c>
      <c r="M622" s="123">
        <v>9</v>
      </c>
      <c r="N622" s="123">
        <v>0</v>
      </c>
      <c r="O622" s="123">
        <v>9</v>
      </c>
      <c r="P622" s="7" t="s">
        <v>162</v>
      </c>
      <c r="Q622" s="124" t="s">
        <v>569</v>
      </c>
      <c r="R622" s="1"/>
    </row>
    <row r="623" spans="1:18" ht="13.5" thickBot="1" x14ac:dyDescent="0.25">
      <c r="A623" s="123">
        <v>16</v>
      </c>
      <c r="B623" s="123">
        <v>0</v>
      </c>
      <c r="C623" s="123">
        <v>16</v>
      </c>
      <c r="D623" s="123">
        <v>0</v>
      </c>
      <c r="E623" s="123">
        <v>0</v>
      </c>
      <c r="F623" s="123">
        <v>0</v>
      </c>
      <c r="G623" s="123">
        <v>2</v>
      </c>
      <c r="H623" s="123">
        <v>0</v>
      </c>
      <c r="I623" s="123">
        <v>2</v>
      </c>
      <c r="J623" s="123">
        <v>0</v>
      </c>
      <c r="K623" s="123">
        <v>0</v>
      </c>
      <c r="L623" s="123">
        <v>0</v>
      </c>
      <c r="M623" s="123">
        <v>14</v>
      </c>
      <c r="N623" s="123">
        <v>0</v>
      </c>
      <c r="O623" s="123">
        <v>14</v>
      </c>
      <c r="P623" s="7" t="s">
        <v>13</v>
      </c>
      <c r="Q623" s="9"/>
      <c r="R623" s="1"/>
    </row>
    <row r="624" spans="1:18" ht="13.5" thickBot="1" x14ac:dyDescent="0.25">
      <c r="A624" s="123">
        <v>3</v>
      </c>
      <c r="B624" s="123">
        <v>0</v>
      </c>
      <c r="C624" s="123">
        <v>3</v>
      </c>
      <c r="D624" s="123">
        <v>0</v>
      </c>
      <c r="E624" s="123">
        <v>0</v>
      </c>
      <c r="F624" s="123">
        <v>0</v>
      </c>
      <c r="G624" s="123">
        <v>1</v>
      </c>
      <c r="H624" s="123">
        <v>0</v>
      </c>
      <c r="I624" s="123">
        <v>1</v>
      </c>
      <c r="J624" s="123">
        <v>1</v>
      </c>
      <c r="K624" s="123">
        <v>0</v>
      </c>
      <c r="L624" s="123">
        <v>1</v>
      </c>
      <c r="M624" s="123">
        <v>1</v>
      </c>
      <c r="N624" s="123">
        <v>0</v>
      </c>
      <c r="O624" s="123">
        <v>1</v>
      </c>
      <c r="P624" s="7" t="s">
        <v>163</v>
      </c>
      <c r="Q624" s="124"/>
      <c r="R624" s="1"/>
    </row>
    <row r="625" spans="1:18" ht="13.5" thickBot="1" x14ac:dyDescent="0.25">
      <c r="A625" s="123">
        <v>5</v>
      </c>
      <c r="B625" s="123">
        <v>0</v>
      </c>
      <c r="C625" s="123">
        <v>5</v>
      </c>
      <c r="D625" s="123">
        <v>0</v>
      </c>
      <c r="E625" s="123">
        <v>0</v>
      </c>
      <c r="F625" s="123">
        <v>0</v>
      </c>
      <c r="G625" s="123">
        <v>0</v>
      </c>
      <c r="H625" s="123">
        <v>0</v>
      </c>
      <c r="I625" s="123">
        <v>0</v>
      </c>
      <c r="J625" s="123">
        <v>2</v>
      </c>
      <c r="K625" s="123">
        <v>0</v>
      </c>
      <c r="L625" s="123">
        <v>2</v>
      </c>
      <c r="M625" s="123">
        <v>3</v>
      </c>
      <c r="N625" s="123">
        <v>0</v>
      </c>
      <c r="O625" s="123">
        <v>3</v>
      </c>
      <c r="P625" s="7" t="s">
        <v>162</v>
      </c>
      <c r="Q625" s="124" t="s">
        <v>107</v>
      </c>
      <c r="R625" s="1"/>
    </row>
    <row r="626" spans="1:18" ht="13.5" thickBot="1" x14ac:dyDescent="0.25">
      <c r="A626" s="123">
        <v>8</v>
      </c>
      <c r="B626" s="123">
        <v>0</v>
      </c>
      <c r="C626" s="123">
        <v>8</v>
      </c>
      <c r="D626" s="123">
        <v>0</v>
      </c>
      <c r="E626" s="123">
        <v>0</v>
      </c>
      <c r="F626" s="123">
        <v>0</v>
      </c>
      <c r="G626" s="123">
        <v>1</v>
      </c>
      <c r="H626" s="123">
        <v>0</v>
      </c>
      <c r="I626" s="123">
        <v>1</v>
      </c>
      <c r="J626" s="123">
        <v>3</v>
      </c>
      <c r="K626" s="123">
        <v>0</v>
      </c>
      <c r="L626" s="123">
        <v>3</v>
      </c>
      <c r="M626" s="123">
        <v>4</v>
      </c>
      <c r="N626" s="123">
        <v>0</v>
      </c>
      <c r="O626" s="123">
        <v>4</v>
      </c>
      <c r="P626" s="7" t="s">
        <v>13</v>
      </c>
      <c r="Q626" s="9"/>
      <c r="R626" s="1"/>
    </row>
    <row r="627" spans="1:18" ht="13.5" thickBot="1" x14ac:dyDescent="0.25">
      <c r="A627" s="123">
        <v>50</v>
      </c>
      <c r="B627" s="123">
        <v>49</v>
      </c>
      <c r="C627" s="123">
        <v>1</v>
      </c>
      <c r="D627" s="123">
        <v>0</v>
      </c>
      <c r="E627" s="123">
        <v>0</v>
      </c>
      <c r="F627" s="123">
        <v>0</v>
      </c>
      <c r="G627" s="123">
        <v>12</v>
      </c>
      <c r="H627" s="123">
        <v>12</v>
      </c>
      <c r="I627" s="123">
        <v>0</v>
      </c>
      <c r="J627" s="123">
        <v>23</v>
      </c>
      <c r="K627" s="123">
        <v>23</v>
      </c>
      <c r="L627" s="123">
        <v>0</v>
      </c>
      <c r="M627" s="123">
        <v>15</v>
      </c>
      <c r="N627" s="123">
        <v>14</v>
      </c>
      <c r="O627" s="123">
        <v>1</v>
      </c>
      <c r="P627" s="7" t="s">
        <v>163</v>
      </c>
      <c r="Q627" s="124"/>
      <c r="R627" s="1"/>
    </row>
    <row r="628" spans="1:18" ht="13.5" thickBot="1" x14ac:dyDescent="0.25">
      <c r="A628" s="123">
        <v>26</v>
      </c>
      <c r="B628" s="123">
        <v>16</v>
      </c>
      <c r="C628" s="123">
        <v>10</v>
      </c>
      <c r="D628" s="123">
        <v>0</v>
      </c>
      <c r="E628" s="123">
        <v>0</v>
      </c>
      <c r="F628" s="123">
        <v>0</v>
      </c>
      <c r="G628" s="123">
        <v>0</v>
      </c>
      <c r="H628" s="123">
        <v>0</v>
      </c>
      <c r="I628" s="123">
        <v>0</v>
      </c>
      <c r="J628" s="123">
        <v>8</v>
      </c>
      <c r="K628" s="123">
        <v>6</v>
      </c>
      <c r="L628" s="123">
        <v>2</v>
      </c>
      <c r="M628" s="123">
        <v>18</v>
      </c>
      <c r="N628" s="123">
        <v>10</v>
      </c>
      <c r="O628" s="123">
        <v>8</v>
      </c>
      <c r="P628" s="7" t="s">
        <v>162</v>
      </c>
      <c r="Q628" s="124" t="s">
        <v>570</v>
      </c>
      <c r="R628" s="1"/>
    </row>
    <row r="629" spans="1:18" ht="13.5" thickBot="1" x14ac:dyDescent="0.25">
      <c r="A629" s="123">
        <v>76</v>
      </c>
      <c r="B629" s="123">
        <v>65</v>
      </c>
      <c r="C629" s="123">
        <v>11</v>
      </c>
      <c r="D629" s="123">
        <v>0</v>
      </c>
      <c r="E629" s="123">
        <v>0</v>
      </c>
      <c r="F629" s="123">
        <v>0</v>
      </c>
      <c r="G629" s="123">
        <v>12</v>
      </c>
      <c r="H629" s="123">
        <v>12</v>
      </c>
      <c r="I629" s="123">
        <v>0</v>
      </c>
      <c r="J629" s="123">
        <v>31</v>
      </c>
      <c r="K629" s="123">
        <v>29</v>
      </c>
      <c r="L629" s="123">
        <v>2</v>
      </c>
      <c r="M629" s="123">
        <v>33</v>
      </c>
      <c r="N629" s="123">
        <v>24</v>
      </c>
      <c r="O629" s="123">
        <v>9</v>
      </c>
      <c r="P629" s="7" t="s">
        <v>13</v>
      </c>
      <c r="Q629" s="9"/>
      <c r="R629" s="1"/>
    </row>
    <row r="630" spans="1:18" ht="13.5" thickBot="1" x14ac:dyDescent="0.25">
      <c r="A630" s="123">
        <v>38</v>
      </c>
      <c r="B630" s="123">
        <v>38</v>
      </c>
      <c r="C630" s="123">
        <v>0</v>
      </c>
      <c r="D630" s="123">
        <v>0</v>
      </c>
      <c r="E630" s="123">
        <v>0</v>
      </c>
      <c r="F630" s="123">
        <v>0</v>
      </c>
      <c r="G630" s="123">
        <v>22</v>
      </c>
      <c r="H630" s="123">
        <v>22</v>
      </c>
      <c r="I630" s="123">
        <v>0</v>
      </c>
      <c r="J630" s="123">
        <v>6</v>
      </c>
      <c r="K630" s="123">
        <v>6</v>
      </c>
      <c r="L630" s="123">
        <v>0</v>
      </c>
      <c r="M630" s="123">
        <v>10</v>
      </c>
      <c r="N630" s="123">
        <v>10</v>
      </c>
      <c r="O630" s="123">
        <v>0</v>
      </c>
      <c r="P630" s="7" t="s">
        <v>163</v>
      </c>
      <c r="Q630" s="124"/>
      <c r="R630" s="1"/>
    </row>
    <row r="631" spans="1:18" ht="13.5" thickBot="1" x14ac:dyDescent="0.25">
      <c r="A631" s="123">
        <v>26</v>
      </c>
      <c r="B631" s="123">
        <v>21</v>
      </c>
      <c r="C631" s="123">
        <v>5</v>
      </c>
      <c r="D631" s="123">
        <v>0</v>
      </c>
      <c r="E631" s="123">
        <v>0</v>
      </c>
      <c r="F631" s="123">
        <v>0</v>
      </c>
      <c r="G631" s="123">
        <v>1</v>
      </c>
      <c r="H631" s="123">
        <v>0</v>
      </c>
      <c r="I631" s="123">
        <v>1</v>
      </c>
      <c r="J631" s="123">
        <v>4</v>
      </c>
      <c r="K631" s="123">
        <v>3</v>
      </c>
      <c r="L631" s="123">
        <v>1</v>
      </c>
      <c r="M631" s="123">
        <v>21</v>
      </c>
      <c r="N631" s="123">
        <v>18</v>
      </c>
      <c r="O631" s="123">
        <v>3</v>
      </c>
      <c r="P631" s="7" t="s">
        <v>162</v>
      </c>
      <c r="Q631" s="124" t="s">
        <v>444</v>
      </c>
      <c r="R631" s="1"/>
    </row>
    <row r="632" spans="1:18" ht="13.5" thickBot="1" x14ac:dyDescent="0.25">
      <c r="A632" s="123">
        <v>64</v>
      </c>
      <c r="B632" s="123">
        <v>59</v>
      </c>
      <c r="C632" s="123">
        <v>5</v>
      </c>
      <c r="D632" s="123">
        <v>0</v>
      </c>
      <c r="E632" s="123">
        <v>0</v>
      </c>
      <c r="F632" s="123">
        <v>0</v>
      </c>
      <c r="G632" s="123">
        <v>23</v>
      </c>
      <c r="H632" s="123">
        <v>22</v>
      </c>
      <c r="I632" s="123">
        <v>1</v>
      </c>
      <c r="J632" s="123">
        <v>10</v>
      </c>
      <c r="K632" s="123">
        <v>9</v>
      </c>
      <c r="L632" s="123">
        <v>1</v>
      </c>
      <c r="M632" s="123">
        <v>31</v>
      </c>
      <c r="N632" s="123">
        <v>28</v>
      </c>
      <c r="O632" s="123">
        <v>3</v>
      </c>
      <c r="P632" s="7" t="s">
        <v>13</v>
      </c>
      <c r="Q632" s="9"/>
      <c r="R632" s="1"/>
    </row>
    <row r="633" spans="1:18" ht="13.5" thickBot="1" x14ac:dyDescent="0.25">
      <c r="A633" s="123">
        <v>30</v>
      </c>
      <c r="B633" s="123">
        <v>30</v>
      </c>
      <c r="C633" s="123">
        <v>0</v>
      </c>
      <c r="D633" s="123">
        <v>0</v>
      </c>
      <c r="E633" s="123">
        <v>0</v>
      </c>
      <c r="F633" s="123">
        <v>0</v>
      </c>
      <c r="G633" s="123">
        <v>29</v>
      </c>
      <c r="H633" s="123">
        <v>29</v>
      </c>
      <c r="I633" s="123">
        <v>0</v>
      </c>
      <c r="J633" s="123">
        <v>1</v>
      </c>
      <c r="K633" s="123">
        <v>1</v>
      </c>
      <c r="L633" s="123">
        <v>0</v>
      </c>
      <c r="M633" s="123">
        <v>0</v>
      </c>
      <c r="N633" s="123">
        <v>0</v>
      </c>
      <c r="O633" s="123">
        <v>0</v>
      </c>
      <c r="P633" s="7" t="s">
        <v>163</v>
      </c>
      <c r="Q633" s="124"/>
      <c r="R633" s="1"/>
    </row>
    <row r="634" spans="1:18" ht="13.5" thickBot="1" x14ac:dyDescent="0.25">
      <c r="A634" s="123">
        <v>29</v>
      </c>
      <c r="B634" s="123">
        <v>24</v>
      </c>
      <c r="C634" s="123">
        <v>5</v>
      </c>
      <c r="D634" s="123">
        <v>0</v>
      </c>
      <c r="E634" s="123">
        <v>0</v>
      </c>
      <c r="F634" s="123">
        <v>0</v>
      </c>
      <c r="G634" s="123">
        <v>0</v>
      </c>
      <c r="H634" s="123">
        <v>0</v>
      </c>
      <c r="I634" s="123">
        <v>0</v>
      </c>
      <c r="J634" s="123">
        <v>15</v>
      </c>
      <c r="K634" s="123">
        <v>14</v>
      </c>
      <c r="L634" s="123">
        <v>1</v>
      </c>
      <c r="M634" s="123">
        <v>14</v>
      </c>
      <c r="N634" s="123">
        <v>10</v>
      </c>
      <c r="O634" s="123">
        <v>4</v>
      </c>
      <c r="P634" s="7" t="s">
        <v>162</v>
      </c>
      <c r="Q634" s="124" t="s">
        <v>451</v>
      </c>
      <c r="R634" s="1"/>
    </row>
    <row r="635" spans="1:18" ht="13.5" thickBot="1" x14ac:dyDescent="0.25">
      <c r="A635" s="123">
        <v>59</v>
      </c>
      <c r="B635" s="123">
        <v>54</v>
      </c>
      <c r="C635" s="123">
        <v>5</v>
      </c>
      <c r="D635" s="123">
        <v>0</v>
      </c>
      <c r="E635" s="123">
        <v>0</v>
      </c>
      <c r="F635" s="123">
        <v>0</v>
      </c>
      <c r="G635" s="123">
        <v>29</v>
      </c>
      <c r="H635" s="123">
        <v>29</v>
      </c>
      <c r="I635" s="123">
        <v>0</v>
      </c>
      <c r="J635" s="123">
        <v>16</v>
      </c>
      <c r="K635" s="123">
        <v>15</v>
      </c>
      <c r="L635" s="123">
        <v>1</v>
      </c>
      <c r="M635" s="123">
        <v>14</v>
      </c>
      <c r="N635" s="123">
        <v>10</v>
      </c>
      <c r="O635" s="123">
        <v>4</v>
      </c>
      <c r="P635" s="7" t="s">
        <v>13</v>
      </c>
      <c r="Q635" s="9"/>
      <c r="R635" s="1"/>
    </row>
    <row r="636" spans="1:18" ht="13.5" thickBot="1" x14ac:dyDescent="0.25">
      <c r="A636" s="123">
        <v>11</v>
      </c>
      <c r="B636" s="123">
        <v>11</v>
      </c>
      <c r="C636" s="123">
        <v>0</v>
      </c>
      <c r="D636" s="123">
        <v>1</v>
      </c>
      <c r="E636" s="123">
        <v>1</v>
      </c>
      <c r="F636" s="123">
        <v>0</v>
      </c>
      <c r="G636" s="123">
        <v>8</v>
      </c>
      <c r="H636" s="123">
        <v>8</v>
      </c>
      <c r="I636" s="123">
        <v>0</v>
      </c>
      <c r="J636" s="123">
        <v>1</v>
      </c>
      <c r="K636" s="123">
        <v>1</v>
      </c>
      <c r="L636" s="123">
        <v>0</v>
      </c>
      <c r="M636" s="123">
        <v>1</v>
      </c>
      <c r="N636" s="123">
        <v>1</v>
      </c>
      <c r="O636" s="123">
        <v>0</v>
      </c>
      <c r="P636" s="7" t="s">
        <v>163</v>
      </c>
      <c r="Q636" s="124"/>
      <c r="R636" s="1"/>
    </row>
    <row r="637" spans="1:18" ht="13.5" thickBot="1" x14ac:dyDescent="0.25">
      <c r="A637" s="123">
        <v>14</v>
      </c>
      <c r="B637" s="123">
        <v>9</v>
      </c>
      <c r="C637" s="123">
        <v>5</v>
      </c>
      <c r="D637" s="123">
        <v>0</v>
      </c>
      <c r="E637" s="123">
        <v>0</v>
      </c>
      <c r="F637" s="123">
        <v>0</v>
      </c>
      <c r="G637" s="123">
        <v>0</v>
      </c>
      <c r="H637" s="123">
        <v>0</v>
      </c>
      <c r="I637" s="123">
        <v>0</v>
      </c>
      <c r="J637" s="123">
        <v>6</v>
      </c>
      <c r="K637" s="123">
        <v>6</v>
      </c>
      <c r="L637" s="123">
        <v>0</v>
      </c>
      <c r="M637" s="123">
        <v>8</v>
      </c>
      <c r="N637" s="123">
        <v>3</v>
      </c>
      <c r="O637" s="123">
        <v>5</v>
      </c>
      <c r="P637" s="7" t="s">
        <v>162</v>
      </c>
      <c r="Q637" s="124" t="s">
        <v>447</v>
      </c>
      <c r="R637" s="1"/>
    </row>
    <row r="638" spans="1:18" ht="13.5" thickBot="1" x14ac:dyDescent="0.25">
      <c r="A638" s="123">
        <v>25</v>
      </c>
      <c r="B638" s="123">
        <v>20</v>
      </c>
      <c r="C638" s="123">
        <v>5</v>
      </c>
      <c r="D638" s="123">
        <v>1</v>
      </c>
      <c r="E638" s="123">
        <v>1</v>
      </c>
      <c r="F638" s="123">
        <v>0</v>
      </c>
      <c r="G638" s="123">
        <v>8</v>
      </c>
      <c r="H638" s="123">
        <v>8</v>
      </c>
      <c r="I638" s="123">
        <v>0</v>
      </c>
      <c r="J638" s="123">
        <v>7</v>
      </c>
      <c r="K638" s="123">
        <v>7</v>
      </c>
      <c r="L638" s="123">
        <v>0</v>
      </c>
      <c r="M638" s="123">
        <v>9</v>
      </c>
      <c r="N638" s="123">
        <v>4</v>
      </c>
      <c r="O638" s="123">
        <v>5</v>
      </c>
      <c r="P638" s="7" t="s">
        <v>13</v>
      </c>
      <c r="Q638" s="9"/>
      <c r="R638" s="1"/>
    </row>
    <row r="639" spans="1:18" ht="13.5" thickBot="1" x14ac:dyDescent="0.25">
      <c r="A639" s="123">
        <v>46</v>
      </c>
      <c r="B639" s="123">
        <v>46</v>
      </c>
      <c r="C639" s="123">
        <v>0</v>
      </c>
      <c r="D639" s="123">
        <v>0</v>
      </c>
      <c r="E639" s="123">
        <v>0</v>
      </c>
      <c r="F639" s="123">
        <v>0</v>
      </c>
      <c r="G639" s="123">
        <v>37</v>
      </c>
      <c r="H639" s="123">
        <v>37</v>
      </c>
      <c r="I639" s="123">
        <v>0</v>
      </c>
      <c r="J639" s="123">
        <v>4</v>
      </c>
      <c r="K639" s="123">
        <v>4</v>
      </c>
      <c r="L639" s="123">
        <v>0</v>
      </c>
      <c r="M639" s="123">
        <v>5</v>
      </c>
      <c r="N639" s="123">
        <v>5</v>
      </c>
      <c r="O639" s="123">
        <v>0</v>
      </c>
      <c r="P639" s="7" t="s">
        <v>163</v>
      </c>
      <c r="Q639" s="124"/>
      <c r="R639" s="1"/>
    </row>
    <row r="640" spans="1:18" ht="13.5" thickBot="1" x14ac:dyDescent="0.25">
      <c r="A640" s="123">
        <v>54</v>
      </c>
      <c r="B640" s="123">
        <v>37</v>
      </c>
      <c r="C640" s="123">
        <v>17</v>
      </c>
      <c r="D640" s="123">
        <v>0</v>
      </c>
      <c r="E640" s="123">
        <v>0</v>
      </c>
      <c r="F640" s="123">
        <v>0</v>
      </c>
      <c r="G640" s="123">
        <v>0</v>
      </c>
      <c r="H640" s="123">
        <v>0</v>
      </c>
      <c r="I640" s="123">
        <v>0</v>
      </c>
      <c r="J640" s="123">
        <v>29</v>
      </c>
      <c r="K640" s="123">
        <v>25</v>
      </c>
      <c r="L640" s="123">
        <v>4</v>
      </c>
      <c r="M640" s="123">
        <v>25</v>
      </c>
      <c r="N640" s="123">
        <v>12</v>
      </c>
      <c r="O640" s="123">
        <v>13</v>
      </c>
      <c r="P640" s="7" t="s">
        <v>162</v>
      </c>
      <c r="Q640" s="124" t="s">
        <v>448</v>
      </c>
      <c r="R640" s="1"/>
    </row>
    <row r="641" spans="1:18" ht="13.5" thickBot="1" x14ac:dyDescent="0.25">
      <c r="A641" s="123">
        <v>100</v>
      </c>
      <c r="B641" s="123">
        <v>83</v>
      </c>
      <c r="C641" s="123">
        <v>17</v>
      </c>
      <c r="D641" s="123">
        <v>0</v>
      </c>
      <c r="E641" s="123">
        <v>0</v>
      </c>
      <c r="F641" s="123">
        <v>0</v>
      </c>
      <c r="G641" s="123">
        <v>37</v>
      </c>
      <c r="H641" s="123">
        <v>37</v>
      </c>
      <c r="I641" s="123">
        <v>0</v>
      </c>
      <c r="J641" s="123">
        <v>33</v>
      </c>
      <c r="K641" s="123">
        <v>29</v>
      </c>
      <c r="L641" s="123">
        <v>4</v>
      </c>
      <c r="M641" s="123">
        <v>30</v>
      </c>
      <c r="N641" s="123">
        <v>17</v>
      </c>
      <c r="O641" s="123">
        <v>13</v>
      </c>
      <c r="P641" s="7" t="s">
        <v>13</v>
      </c>
      <c r="Q641" s="9"/>
      <c r="R641" s="1"/>
    </row>
    <row r="642" spans="1:18" ht="13.5" thickBot="1" x14ac:dyDescent="0.25">
      <c r="A642" s="123">
        <v>3</v>
      </c>
      <c r="B642" s="123">
        <v>0</v>
      </c>
      <c r="C642" s="123">
        <v>3</v>
      </c>
      <c r="D642" s="123">
        <v>0</v>
      </c>
      <c r="E642" s="123">
        <v>0</v>
      </c>
      <c r="F642" s="123">
        <v>0</v>
      </c>
      <c r="G642" s="123">
        <v>0</v>
      </c>
      <c r="H642" s="123">
        <v>0</v>
      </c>
      <c r="I642" s="123">
        <v>0</v>
      </c>
      <c r="J642" s="123">
        <v>0</v>
      </c>
      <c r="K642" s="123">
        <v>0</v>
      </c>
      <c r="L642" s="123">
        <v>0</v>
      </c>
      <c r="M642" s="123">
        <v>3</v>
      </c>
      <c r="N642" s="123">
        <v>0</v>
      </c>
      <c r="O642" s="123">
        <v>3</v>
      </c>
      <c r="P642" s="7" t="s">
        <v>163</v>
      </c>
      <c r="Q642" s="124"/>
      <c r="R642" s="1"/>
    </row>
    <row r="643" spans="1:18" ht="13.5" thickBot="1" x14ac:dyDescent="0.25">
      <c r="A643" s="123">
        <v>5</v>
      </c>
      <c r="B643" s="123">
        <v>0</v>
      </c>
      <c r="C643" s="123">
        <v>5</v>
      </c>
      <c r="D643" s="123">
        <v>0</v>
      </c>
      <c r="E643" s="123">
        <v>0</v>
      </c>
      <c r="F643" s="123">
        <v>0</v>
      </c>
      <c r="G643" s="123">
        <v>0</v>
      </c>
      <c r="H643" s="123">
        <v>0</v>
      </c>
      <c r="I643" s="123">
        <v>0</v>
      </c>
      <c r="J643" s="123">
        <v>0</v>
      </c>
      <c r="K643" s="123">
        <v>0</v>
      </c>
      <c r="L643" s="123">
        <v>0</v>
      </c>
      <c r="M643" s="123">
        <v>5</v>
      </c>
      <c r="N643" s="123">
        <v>0</v>
      </c>
      <c r="O643" s="123">
        <v>5</v>
      </c>
      <c r="P643" s="7" t="s">
        <v>162</v>
      </c>
      <c r="Q643" s="124" t="s">
        <v>364</v>
      </c>
      <c r="R643" s="1"/>
    </row>
    <row r="644" spans="1:18" ht="13.5" thickBot="1" x14ac:dyDescent="0.25">
      <c r="A644" s="123">
        <v>8</v>
      </c>
      <c r="B644" s="123">
        <v>0</v>
      </c>
      <c r="C644" s="123">
        <v>8</v>
      </c>
      <c r="D644" s="123">
        <v>0</v>
      </c>
      <c r="E644" s="123">
        <v>0</v>
      </c>
      <c r="F644" s="123">
        <v>0</v>
      </c>
      <c r="G644" s="123">
        <v>0</v>
      </c>
      <c r="H644" s="123">
        <v>0</v>
      </c>
      <c r="I644" s="123">
        <v>0</v>
      </c>
      <c r="J644" s="123">
        <v>0</v>
      </c>
      <c r="K644" s="123">
        <v>0</v>
      </c>
      <c r="L644" s="123">
        <v>0</v>
      </c>
      <c r="M644" s="123">
        <v>8</v>
      </c>
      <c r="N644" s="123">
        <v>0</v>
      </c>
      <c r="O644" s="123">
        <v>8</v>
      </c>
      <c r="P644" s="7" t="s">
        <v>13</v>
      </c>
      <c r="Q644" s="9"/>
      <c r="R644" s="1"/>
    </row>
    <row r="645" spans="1:18" ht="13.5" thickBot="1" x14ac:dyDescent="0.25">
      <c r="A645" s="123">
        <v>0</v>
      </c>
      <c r="B645" s="123">
        <v>0</v>
      </c>
      <c r="C645" s="123">
        <v>0</v>
      </c>
      <c r="D645" s="123">
        <v>0</v>
      </c>
      <c r="E645" s="123">
        <v>0</v>
      </c>
      <c r="F645" s="123">
        <v>0</v>
      </c>
      <c r="G645" s="123">
        <v>0</v>
      </c>
      <c r="H645" s="123">
        <v>0</v>
      </c>
      <c r="I645" s="123">
        <v>0</v>
      </c>
      <c r="J645" s="123">
        <v>0</v>
      </c>
      <c r="K645" s="123">
        <v>0</v>
      </c>
      <c r="L645" s="123">
        <v>0</v>
      </c>
      <c r="M645" s="123">
        <v>0</v>
      </c>
      <c r="N645" s="123">
        <v>0</v>
      </c>
      <c r="O645" s="123">
        <v>0</v>
      </c>
      <c r="P645" s="7" t="s">
        <v>163</v>
      </c>
      <c r="Q645" s="124"/>
      <c r="R645" s="1"/>
    </row>
    <row r="646" spans="1:18" ht="13.5" thickBot="1" x14ac:dyDescent="0.25">
      <c r="A646" s="123">
        <v>40</v>
      </c>
      <c r="B646" s="123">
        <v>0</v>
      </c>
      <c r="C646" s="123">
        <v>40</v>
      </c>
      <c r="D646" s="123">
        <v>15</v>
      </c>
      <c r="E646" s="123">
        <v>0</v>
      </c>
      <c r="F646" s="123">
        <v>15</v>
      </c>
      <c r="G646" s="123">
        <v>3</v>
      </c>
      <c r="H646" s="123">
        <v>0</v>
      </c>
      <c r="I646" s="123">
        <v>3</v>
      </c>
      <c r="J646" s="123">
        <v>12</v>
      </c>
      <c r="K646" s="123">
        <v>0</v>
      </c>
      <c r="L646" s="123">
        <v>12</v>
      </c>
      <c r="M646" s="123">
        <v>10</v>
      </c>
      <c r="N646" s="123">
        <v>0</v>
      </c>
      <c r="O646" s="123">
        <v>10</v>
      </c>
      <c r="P646" s="7" t="s">
        <v>162</v>
      </c>
      <c r="Q646" s="124" t="s">
        <v>392</v>
      </c>
      <c r="R646" s="1"/>
    </row>
    <row r="647" spans="1:18" ht="13.5" thickBot="1" x14ac:dyDescent="0.25">
      <c r="A647" s="123">
        <v>40</v>
      </c>
      <c r="B647" s="123">
        <v>0</v>
      </c>
      <c r="C647" s="123">
        <v>40</v>
      </c>
      <c r="D647" s="123">
        <v>15</v>
      </c>
      <c r="E647" s="123">
        <v>0</v>
      </c>
      <c r="F647" s="123">
        <v>15</v>
      </c>
      <c r="G647" s="123">
        <v>3</v>
      </c>
      <c r="H647" s="123">
        <v>0</v>
      </c>
      <c r="I647" s="123">
        <v>3</v>
      </c>
      <c r="J647" s="123">
        <v>12</v>
      </c>
      <c r="K647" s="123">
        <v>0</v>
      </c>
      <c r="L647" s="123">
        <v>12</v>
      </c>
      <c r="M647" s="123">
        <v>10</v>
      </c>
      <c r="N647" s="123">
        <v>0</v>
      </c>
      <c r="O647" s="123">
        <v>10</v>
      </c>
      <c r="P647" s="7" t="s">
        <v>13</v>
      </c>
      <c r="Q647" s="9"/>
      <c r="R647" s="1"/>
    </row>
    <row r="648" spans="1:18" ht="13.5" thickBot="1" x14ac:dyDescent="0.25">
      <c r="A648" s="123">
        <v>0</v>
      </c>
      <c r="B648" s="123">
        <v>0</v>
      </c>
      <c r="C648" s="123">
        <v>0</v>
      </c>
      <c r="D648" s="123">
        <v>0</v>
      </c>
      <c r="E648" s="123">
        <v>0</v>
      </c>
      <c r="F648" s="123">
        <v>0</v>
      </c>
      <c r="G648" s="123">
        <v>0</v>
      </c>
      <c r="H648" s="123">
        <v>0</v>
      </c>
      <c r="I648" s="123">
        <v>0</v>
      </c>
      <c r="J648" s="123">
        <v>0</v>
      </c>
      <c r="K648" s="123">
        <v>0</v>
      </c>
      <c r="L648" s="123">
        <v>0</v>
      </c>
      <c r="M648" s="123">
        <v>0</v>
      </c>
      <c r="N648" s="123">
        <v>0</v>
      </c>
      <c r="O648" s="123">
        <v>0</v>
      </c>
      <c r="P648" s="7" t="s">
        <v>163</v>
      </c>
      <c r="Q648" s="124"/>
      <c r="R648" s="1"/>
    </row>
    <row r="649" spans="1:18" ht="13.5" thickBot="1" x14ac:dyDescent="0.25">
      <c r="A649" s="123">
        <v>1</v>
      </c>
      <c r="B649" s="123">
        <v>0</v>
      </c>
      <c r="C649" s="123">
        <v>1</v>
      </c>
      <c r="D649" s="123">
        <v>0</v>
      </c>
      <c r="E649" s="123">
        <v>0</v>
      </c>
      <c r="F649" s="123">
        <v>0</v>
      </c>
      <c r="G649" s="123">
        <v>0</v>
      </c>
      <c r="H649" s="123">
        <v>0</v>
      </c>
      <c r="I649" s="123">
        <v>0</v>
      </c>
      <c r="J649" s="123">
        <v>0</v>
      </c>
      <c r="K649" s="123">
        <v>0</v>
      </c>
      <c r="L649" s="123">
        <v>0</v>
      </c>
      <c r="M649" s="123">
        <v>1</v>
      </c>
      <c r="N649" s="123">
        <v>0</v>
      </c>
      <c r="O649" s="123">
        <v>1</v>
      </c>
      <c r="P649" s="7" t="s">
        <v>162</v>
      </c>
      <c r="Q649" s="124" t="s">
        <v>376</v>
      </c>
      <c r="R649" s="1"/>
    </row>
    <row r="650" spans="1:18" ht="13.5" thickBot="1" x14ac:dyDescent="0.25">
      <c r="A650" s="123">
        <v>1</v>
      </c>
      <c r="B650" s="123">
        <v>0</v>
      </c>
      <c r="C650" s="123">
        <v>1</v>
      </c>
      <c r="D650" s="123">
        <v>0</v>
      </c>
      <c r="E650" s="123">
        <v>0</v>
      </c>
      <c r="F650" s="123">
        <v>0</v>
      </c>
      <c r="G650" s="123">
        <v>0</v>
      </c>
      <c r="H650" s="123">
        <v>0</v>
      </c>
      <c r="I650" s="123">
        <v>0</v>
      </c>
      <c r="J650" s="123">
        <v>0</v>
      </c>
      <c r="K650" s="123">
        <v>0</v>
      </c>
      <c r="L650" s="123">
        <v>0</v>
      </c>
      <c r="M650" s="123">
        <v>1</v>
      </c>
      <c r="N650" s="123">
        <v>0</v>
      </c>
      <c r="O650" s="123">
        <v>1</v>
      </c>
      <c r="P650" s="7" t="s">
        <v>13</v>
      </c>
      <c r="Q650" s="9"/>
      <c r="R650" s="1"/>
    </row>
    <row r="651" spans="1:18" ht="13.5" thickBot="1" x14ac:dyDescent="0.25">
      <c r="A651" s="123">
        <v>0</v>
      </c>
      <c r="B651" s="123">
        <v>0</v>
      </c>
      <c r="C651" s="123">
        <v>0</v>
      </c>
      <c r="D651" s="123">
        <v>0</v>
      </c>
      <c r="E651" s="123">
        <v>0</v>
      </c>
      <c r="F651" s="123">
        <v>0</v>
      </c>
      <c r="G651" s="123">
        <v>0</v>
      </c>
      <c r="H651" s="123">
        <v>0</v>
      </c>
      <c r="I651" s="123">
        <v>0</v>
      </c>
      <c r="J651" s="123">
        <v>0</v>
      </c>
      <c r="K651" s="123">
        <v>0</v>
      </c>
      <c r="L651" s="123">
        <v>0</v>
      </c>
      <c r="M651" s="123">
        <v>0</v>
      </c>
      <c r="N651" s="123">
        <v>0</v>
      </c>
      <c r="O651" s="123">
        <v>0</v>
      </c>
      <c r="P651" s="7" t="s">
        <v>163</v>
      </c>
      <c r="Q651" s="124"/>
      <c r="R651" s="1"/>
    </row>
    <row r="652" spans="1:18" ht="13.5" thickBot="1" x14ac:dyDescent="0.25">
      <c r="A652" s="123">
        <v>10</v>
      </c>
      <c r="B652" s="123">
        <v>0</v>
      </c>
      <c r="C652" s="123">
        <v>10</v>
      </c>
      <c r="D652" s="123">
        <v>0</v>
      </c>
      <c r="E652" s="123">
        <v>0</v>
      </c>
      <c r="F652" s="123">
        <v>0</v>
      </c>
      <c r="G652" s="123">
        <v>4</v>
      </c>
      <c r="H652" s="123">
        <v>0</v>
      </c>
      <c r="I652" s="123">
        <v>4</v>
      </c>
      <c r="J652" s="123">
        <v>0</v>
      </c>
      <c r="K652" s="123">
        <v>0</v>
      </c>
      <c r="L652" s="123">
        <v>0</v>
      </c>
      <c r="M652" s="123">
        <v>6</v>
      </c>
      <c r="N652" s="123">
        <v>0</v>
      </c>
      <c r="O652" s="123">
        <v>6</v>
      </c>
      <c r="P652" s="7" t="s">
        <v>162</v>
      </c>
      <c r="Q652" s="124" t="s">
        <v>109</v>
      </c>
      <c r="R652" s="1"/>
    </row>
    <row r="653" spans="1:18" ht="13.5" thickBot="1" x14ac:dyDescent="0.25">
      <c r="A653" s="123">
        <v>10</v>
      </c>
      <c r="B653" s="123">
        <v>0</v>
      </c>
      <c r="C653" s="123">
        <v>10</v>
      </c>
      <c r="D653" s="123">
        <v>0</v>
      </c>
      <c r="E653" s="123">
        <v>0</v>
      </c>
      <c r="F653" s="123">
        <v>0</v>
      </c>
      <c r="G653" s="123">
        <v>4</v>
      </c>
      <c r="H653" s="123">
        <v>0</v>
      </c>
      <c r="I653" s="123">
        <v>4</v>
      </c>
      <c r="J653" s="123">
        <v>0</v>
      </c>
      <c r="K653" s="123">
        <v>0</v>
      </c>
      <c r="L653" s="123">
        <v>0</v>
      </c>
      <c r="M653" s="123">
        <v>6</v>
      </c>
      <c r="N653" s="123">
        <v>0</v>
      </c>
      <c r="O653" s="123">
        <v>6</v>
      </c>
      <c r="P653" s="7" t="s">
        <v>13</v>
      </c>
      <c r="Q653" s="9"/>
      <c r="R653" s="1"/>
    </row>
    <row r="654" spans="1:18" ht="13.5" thickBot="1" x14ac:dyDescent="0.25">
      <c r="A654" s="123">
        <v>731</v>
      </c>
      <c r="B654" s="123">
        <v>246</v>
      </c>
      <c r="C654" s="123">
        <v>485</v>
      </c>
      <c r="D654" s="123">
        <v>40</v>
      </c>
      <c r="E654" s="123">
        <v>5</v>
      </c>
      <c r="F654" s="123">
        <v>35</v>
      </c>
      <c r="G654" s="123">
        <v>283</v>
      </c>
      <c r="H654" s="123">
        <v>163</v>
      </c>
      <c r="I654" s="123">
        <v>120</v>
      </c>
      <c r="J654" s="123">
        <v>74</v>
      </c>
      <c r="K654" s="123">
        <v>46</v>
      </c>
      <c r="L654" s="123">
        <v>28</v>
      </c>
      <c r="M654" s="123">
        <v>334</v>
      </c>
      <c r="N654" s="123">
        <v>32</v>
      </c>
      <c r="O654" s="123">
        <v>302</v>
      </c>
      <c r="P654" s="7" t="s">
        <v>163</v>
      </c>
      <c r="Q654" s="3"/>
      <c r="R654" s="1"/>
    </row>
    <row r="655" spans="1:18" ht="13.5" thickBot="1" x14ac:dyDescent="0.25">
      <c r="A655" s="123">
        <v>661</v>
      </c>
      <c r="B655" s="123">
        <v>185</v>
      </c>
      <c r="C655" s="123">
        <v>476</v>
      </c>
      <c r="D655" s="123">
        <v>31</v>
      </c>
      <c r="E655" s="123">
        <v>6</v>
      </c>
      <c r="F655" s="123">
        <v>25</v>
      </c>
      <c r="G655" s="123">
        <v>48</v>
      </c>
      <c r="H655" s="123">
        <v>1</v>
      </c>
      <c r="I655" s="123">
        <v>47</v>
      </c>
      <c r="J655" s="123">
        <v>145</v>
      </c>
      <c r="K655" s="123">
        <v>82</v>
      </c>
      <c r="L655" s="123">
        <v>63</v>
      </c>
      <c r="M655" s="123">
        <v>437</v>
      </c>
      <c r="N655" s="123">
        <v>96</v>
      </c>
      <c r="O655" s="123">
        <v>341</v>
      </c>
      <c r="P655" s="7" t="s">
        <v>162</v>
      </c>
      <c r="Q655" s="11" t="s">
        <v>211</v>
      </c>
      <c r="R655" s="1"/>
    </row>
    <row r="656" spans="1:18" ht="13.5" thickBot="1" x14ac:dyDescent="0.25">
      <c r="A656" s="123">
        <v>1392</v>
      </c>
      <c r="B656" s="123">
        <v>431</v>
      </c>
      <c r="C656" s="123">
        <v>961</v>
      </c>
      <c r="D656" s="123">
        <v>71</v>
      </c>
      <c r="E656" s="123">
        <v>11</v>
      </c>
      <c r="F656" s="123">
        <v>60</v>
      </c>
      <c r="G656" s="123">
        <v>331</v>
      </c>
      <c r="H656" s="123">
        <v>164</v>
      </c>
      <c r="I656" s="123">
        <v>167</v>
      </c>
      <c r="J656" s="123">
        <v>219</v>
      </c>
      <c r="K656" s="123">
        <v>128</v>
      </c>
      <c r="L656" s="123">
        <v>91</v>
      </c>
      <c r="M656" s="123">
        <v>771</v>
      </c>
      <c r="N656" s="123">
        <v>128</v>
      </c>
      <c r="O656" s="123">
        <v>643</v>
      </c>
      <c r="P656" s="7" t="s">
        <v>13</v>
      </c>
      <c r="Q656" s="5"/>
      <c r="R656" s="1"/>
    </row>
    <row r="657" spans="1:18" ht="18" customHeight="1" x14ac:dyDescent="0.2">
      <c r="A657" s="207"/>
      <c r="B657" s="207"/>
      <c r="C657" s="207"/>
      <c r="D657" s="207"/>
      <c r="E657" s="207"/>
      <c r="F657" s="207"/>
      <c r="G657" s="207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1"/>
    </row>
    <row r="658" spans="1:18" ht="18" customHeight="1" x14ac:dyDescent="0.2">
      <c r="A658" s="159" t="s">
        <v>643</v>
      </c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"/>
    </row>
    <row r="659" spans="1:18" ht="18" customHeight="1" thickBot="1" x14ac:dyDescent="0.25">
      <c r="A659" s="160" t="s">
        <v>644</v>
      </c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"/>
    </row>
    <row r="660" spans="1:18" ht="13.5" thickBot="1" x14ac:dyDescent="0.25">
      <c r="A660" s="204" t="s">
        <v>5</v>
      </c>
      <c r="B660" s="204"/>
      <c r="C660" s="204"/>
      <c r="D660" s="204" t="s">
        <v>57</v>
      </c>
      <c r="E660" s="204"/>
      <c r="F660" s="204"/>
      <c r="G660" s="204" t="s">
        <v>65</v>
      </c>
      <c r="H660" s="204"/>
      <c r="I660" s="204"/>
      <c r="J660" s="204" t="s">
        <v>62</v>
      </c>
      <c r="K660" s="204"/>
      <c r="L660" s="204"/>
      <c r="M660" s="204" t="s">
        <v>61</v>
      </c>
      <c r="N660" s="204"/>
      <c r="O660" s="204"/>
      <c r="P660" s="205" t="s">
        <v>645</v>
      </c>
      <c r="Q660" s="47" t="s">
        <v>161</v>
      </c>
      <c r="R660" s="1"/>
    </row>
    <row r="661" spans="1:18" ht="13.5" thickBot="1" x14ac:dyDescent="0.25">
      <c r="A661" s="47" t="s">
        <v>216</v>
      </c>
      <c r="B661" s="47" t="s">
        <v>11</v>
      </c>
      <c r="C661" s="47" t="s">
        <v>10</v>
      </c>
      <c r="D661" s="47" t="s">
        <v>216</v>
      </c>
      <c r="E661" s="47" t="s">
        <v>11</v>
      </c>
      <c r="F661" s="47" t="s">
        <v>10</v>
      </c>
      <c r="G661" s="47" t="s">
        <v>216</v>
      </c>
      <c r="H661" s="47" t="s">
        <v>11</v>
      </c>
      <c r="I661" s="47" t="s">
        <v>10</v>
      </c>
      <c r="J661" s="47" t="s">
        <v>216</v>
      </c>
      <c r="K661" s="47" t="s">
        <v>11</v>
      </c>
      <c r="L661" s="47" t="s">
        <v>10</v>
      </c>
      <c r="M661" s="47" t="s">
        <v>216</v>
      </c>
      <c r="N661" s="47" t="s">
        <v>11</v>
      </c>
      <c r="O661" s="47" t="s">
        <v>10</v>
      </c>
      <c r="P661" s="206"/>
      <c r="Q661" s="5" t="s">
        <v>82</v>
      </c>
      <c r="R661" s="1"/>
    </row>
    <row r="662" spans="1:18" ht="13.5" thickBot="1" x14ac:dyDescent="0.25">
      <c r="A662" s="123">
        <v>214</v>
      </c>
      <c r="B662" s="123">
        <v>51</v>
      </c>
      <c r="C662" s="123">
        <v>163</v>
      </c>
      <c r="D662" s="123">
        <v>0</v>
      </c>
      <c r="E662" s="123">
        <v>0</v>
      </c>
      <c r="F662" s="123">
        <v>0</v>
      </c>
      <c r="G662" s="123">
        <v>93</v>
      </c>
      <c r="H662" s="123">
        <v>26</v>
      </c>
      <c r="I662" s="123">
        <v>67</v>
      </c>
      <c r="J662" s="123">
        <v>36</v>
      </c>
      <c r="K662" s="123">
        <v>12</v>
      </c>
      <c r="L662" s="123">
        <v>24</v>
      </c>
      <c r="M662" s="123">
        <v>85</v>
      </c>
      <c r="N662" s="123">
        <v>13</v>
      </c>
      <c r="O662" s="123">
        <v>72</v>
      </c>
      <c r="P662" s="7" t="s">
        <v>163</v>
      </c>
      <c r="Q662" s="124"/>
      <c r="R662" s="1"/>
    </row>
    <row r="663" spans="1:18" ht="13.5" thickBot="1" x14ac:dyDescent="0.25">
      <c r="A663" s="123">
        <v>131</v>
      </c>
      <c r="B663" s="123">
        <v>32</v>
      </c>
      <c r="C663" s="123">
        <v>99</v>
      </c>
      <c r="D663" s="123">
        <v>0</v>
      </c>
      <c r="E663" s="123">
        <v>0</v>
      </c>
      <c r="F663" s="123">
        <v>0</v>
      </c>
      <c r="G663" s="123">
        <v>1</v>
      </c>
      <c r="H663" s="123">
        <v>0</v>
      </c>
      <c r="I663" s="123">
        <v>1</v>
      </c>
      <c r="J663" s="123">
        <v>13</v>
      </c>
      <c r="K663" s="123">
        <v>4</v>
      </c>
      <c r="L663" s="123">
        <v>9</v>
      </c>
      <c r="M663" s="123">
        <v>117</v>
      </c>
      <c r="N663" s="123">
        <v>28</v>
      </c>
      <c r="O663" s="123">
        <v>89</v>
      </c>
      <c r="P663" s="7" t="s">
        <v>162</v>
      </c>
      <c r="Q663" s="124" t="s">
        <v>454</v>
      </c>
      <c r="R663" s="1"/>
    </row>
    <row r="664" spans="1:18" ht="13.5" thickBot="1" x14ac:dyDescent="0.25">
      <c r="A664" s="123">
        <v>345</v>
      </c>
      <c r="B664" s="123">
        <v>83</v>
      </c>
      <c r="C664" s="123">
        <v>262</v>
      </c>
      <c r="D664" s="123">
        <v>0</v>
      </c>
      <c r="E664" s="123">
        <v>0</v>
      </c>
      <c r="F664" s="123">
        <v>0</v>
      </c>
      <c r="G664" s="123">
        <v>94</v>
      </c>
      <c r="H664" s="123">
        <v>26</v>
      </c>
      <c r="I664" s="123">
        <v>68</v>
      </c>
      <c r="J664" s="123">
        <v>49</v>
      </c>
      <c r="K664" s="123">
        <v>16</v>
      </c>
      <c r="L664" s="123">
        <v>33</v>
      </c>
      <c r="M664" s="123">
        <v>202</v>
      </c>
      <c r="N664" s="123">
        <v>41</v>
      </c>
      <c r="O664" s="123">
        <v>161</v>
      </c>
      <c r="P664" s="7" t="s">
        <v>13</v>
      </c>
      <c r="Q664" s="9"/>
      <c r="R664" s="1"/>
    </row>
    <row r="665" spans="1:18" ht="13.5" thickBot="1" x14ac:dyDescent="0.25">
      <c r="A665" s="123">
        <v>118</v>
      </c>
      <c r="B665" s="123">
        <v>32</v>
      </c>
      <c r="C665" s="123">
        <v>86</v>
      </c>
      <c r="D665" s="123">
        <v>0</v>
      </c>
      <c r="E665" s="123">
        <v>0</v>
      </c>
      <c r="F665" s="123">
        <v>0</v>
      </c>
      <c r="G665" s="123">
        <v>39</v>
      </c>
      <c r="H665" s="123">
        <v>14</v>
      </c>
      <c r="I665" s="123">
        <v>25</v>
      </c>
      <c r="J665" s="123">
        <v>25</v>
      </c>
      <c r="K665" s="123">
        <v>9</v>
      </c>
      <c r="L665" s="123">
        <v>16</v>
      </c>
      <c r="M665" s="123">
        <v>54</v>
      </c>
      <c r="N665" s="123">
        <v>9</v>
      </c>
      <c r="O665" s="123">
        <v>45</v>
      </c>
      <c r="P665" s="7" t="s">
        <v>163</v>
      </c>
      <c r="Q665" s="124"/>
      <c r="R665" s="1"/>
    </row>
    <row r="666" spans="1:18" ht="13.5" thickBot="1" x14ac:dyDescent="0.25">
      <c r="A666" s="123">
        <v>64</v>
      </c>
      <c r="B666" s="123">
        <v>28</v>
      </c>
      <c r="C666" s="123">
        <v>36</v>
      </c>
      <c r="D666" s="123">
        <v>0</v>
      </c>
      <c r="E666" s="123">
        <v>0</v>
      </c>
      <c r="F666" s="123">
        <v>0</v>
      </c>
      <c r="G666" s="123">
        <v>0</v>
      </c>
      <c r="H666" s="123">
        <v>0</v>
      </c>
      <c r="I666" s="123">
        <v>0</v>
      </c>
      <c r="J666" s="123">
        <v>6</v>
      </c>
      <c r="K666" s="123">
        <v>2</v>
      </c>
      <c r="L666" s="123">
        <v>4</v>
      </c>
      <c r="M666" s="123">
        <v>58</v>
      </c>
      <c r="N666" s="123">
        <v>26</v>
      </c>
      <c r="O666" s="123">
        <v>32</v>
      </c>
      <c r="P666" s="7" t="s">
        <v>162</v>
      </c>
      <c r="Q666" s="124" t="s">
        <v>359</v>
      </c>
      <c r="R666" s="1"/>
    </row>
    <row r="667" spans="1:18" ht="13.5" thickBot="1" x14ac:dyDescent="0.25">
      <c r="A667" s="123">
        <v>182</v>
      </c>
      <c r="B667" s="123">
        <v>60</v>
      </c>
      <c r="C667" s="123">
        <v>122</v>
      </c>
      <c r="D667" s="123">
        <v>0</v>
      </c>
      <c r="E667" s="123">
        <v>0</v>
      </c>
      <c r="F667" s="123">
        <v>0</v>
      </c>
      <c r="G667" s="123">
        <v>39</v>
      </c>
      <c r="H667" s="123">
        <v>14</v>
      </c>
      <c r="I667" s="123">
        <v>25</v>
      </c>
      <c r="J667" s="123">
        <v>31</v>
      </c>
      <c r="K667" s="123">
        <v>11</v>
      </c>
      <c r="L667" s="123">
        <v>20</v>
      </c>
      <c r="M667" s="123">
        <v>112</v>
      </c>
      <c r="N667" s="123">
        <v>35</v>
      </c>
      <c r="O667" s="123">
        <v>77</v>
      </c>
      <c r="P667" s="7" t="s">
        <v>13</v>
      </c>
      <c r="Q667" s="9"/>
      <c r="R667" s="1"/>
    </row>
    <row r="668" spans="1:18" ht="13.5" thickBot="1" x14ac:dyDescent="0.25">
      <c r="A668" s="123">
        <v>78</v>
      </c>
      <c r="B668" s="123">
        <v>23</v>
      </c>
      <c r="C668" s="123">
        <v>55</v>
      </c>
      <c r="D668" s="123">
        <v>0</v>
      </c>
      <c r="E668" s="123">
        <v>0</v>
      </c>
      <c r="F668" s="123">
        <v>0</v>
      </c>
      <c r="G668" s="123">
        <v>42</v>
      </c>
      <c r="H668" s="123">
        <v>10</v>
      </c>
      <c r="I668" s="123">
        <v>32</v>
      </c>
      <c r="J668" s="123">
        <v>14</v>
      </c>
      <c r="K668" s="123">
        <v>9</v>
      </c>
      <c r="L668" s="123">
        <v>5</v>
      </c>
      <c r="M668" s="123">
        <v>22</v>
      </c>
      <c r="N668" s="123">
        <v>4</v>
      </c>
      <c r="O668" s="123">
        <v>18</v>
      </c>
      <c r="P668" s="7" t="s">
        <v>163</v>
      </c>
      <c r="Q668" s="124"/>
      <c r="R668" s="1"/>
    </row>
    <row r="669" spans="1:18" ht="13.5" thickBot="1" x14ac:dyDescent="0.25">
      <c r="A669" s="123">
        <v>53</v>
      </c>
      <c r="B669" s="123">
        <v>22</v>
      </c>
      <c r="C669" s="123">
        <v>31</v>
      </c>
      <c r="D669" s="123">
        <v>0</v>
      </c>
      <c r="E669" s="123">
        <v>0</v>
      </c>
      <c r="F669" s="123">
        <v>0</v>
      </c>
      <c r="G669" s="123">
        <v>0</v>
      </c>
      <c r="H669" s="123">
        <v>0</v>
      </c>
      <c r="I669" s="123">
        <v>0</v>
      </c>
      <c r="J669" s="123">
        <v>5</v>
      </c>
      <c r="K669" s="123">
        <v>2</v>
      </c>
      <c r="L669" s="123">
        <v>3</v>
      </c>
      <c r="M669" s="123">
        <v>48</v>
      </c>
      <c r="N669" s="123">
        <v>20</v>
      </c>
      <c r="O669" s="123">
        <v>28</v>
      </c>
      <c r="P669" s="7" t="s">
        <v>162</v>
      </c>
      <c r="Q669" s="124" t="s">
        <v>441</v>
      </c>
      <c r="R669" s="1"/>
    </row>
    <row r="670" spans="1:18" ht="13.5" thickBot="1" x14ac:dyDescent="0.25">
      <c r="A670" s="123">
        <v>131</v>
      </c>
      <c r="B670" s="123">
        <v>45</v>
      </c>
      <c r="C670" s="123">
        <v>86</v>
      </c>
      <c r="D670" s="123">
        <v>0</v>
      </c>
      <c r="E670" s="123">
        <v>0</v>
      </c>
      <c r="F670" s="123">
        <v>0</v>
      </c>
      <c r="G670" s="123">
        <v>42</v>
      </c>
      <c r="H670" s="123">
        <v>10</v>
      </c>
      <c r="I670" s="123">
        <v>32</v>
      </c>
      <c r="J670" s="123">
        <v>19</v>
      </c>
      <c r="K670" s="123">
        <v>11</v>
      </c>
      <c r="L670" s="123">
        <v>8</v>
      </c>
      <c r="M670" s="123">
        <v>70</v>
      </c>
      <c r="N670" s="123">
        <v>24</v>
      </c>
      <c r="O670" s="123">
        <v>46</v>
      </c>
      <c r="P670" s="7" t="s">
        <v>13</v>
      </c>
      <c r="Q670" s="9"/>
      <c r="R670" s="1"/>
    </row>
    <row r="671" spans="1:18" ht="13.5" thickBot="1" x14ac:dyDescent="0.25">
      <c r="A671" s="123">
        <v>13</v>
      </c>
      <c r="B671" s="123">
        <v>2</v>
      </c>
      <c r="C671" s="123">
        <v>11</v>
      </c>
      <c r="D671" s="123">
        <v>0</v>
      </c>
      <c r="E671" s="123">
        <v>0</v>
      </c>
      <c r="F671" s="123">
        <v>0</v>
      </c>
      <c r="G671" s="123">
        <v>11</v>
      </c>
      <c r="H671" s="123">
        <v>2</v>
      </c>
      <c r="I671" s="123">
        <v>9</v>
      </c>
      <c r="J671" s="123">
        <v>0</v>
      </c>
      <c r="K671" s="123">
        <v>0</v>
      </c>
      <c r="L671" s="123">
        <v>0</v>
      </c>
      <c r="M671" s="123">
        <v>2</v>
      </c>
      <c r="N671" s="123">
        <v>0</v>
      </c>
      <c r="O671" s="123">
        <v>2</v>
      </c>
      <c r="P671" s="7" t="s">
        <v>163</v>
      </c>
      <c r="Q671" s="124"/>
      <c r="R671" s="1"/>
    </row>
    <row r="672" spans="1:18" ht="13.5" thickBot="1" x14ac:dyDescent="0.25">
      <c r="A672" s="123">
        <v>23</v>
      </c>
      <c r="B672" s="123">
        <v>7</v>
      </c>
      <c r="C672" s="123">
        <v>16</v>
      </c>
      <c r="D672" s="123">
        <v>0</v>
      </c>
      <c r="E672" s="123">
        <v>0</v>
      </c>
      <c r="F672" s="123">
        <v>0</v>
      </c>
      <c r="G672" s="123">
        <v>0</v>
      </c>
      <c r="H672" s="123">
        <v>0</v>
      </c>
      <c r="I672" s="123">
        <v>0</v>
      </c>
      <c r="J672" s="123">
        <v>0</v>
      </c>
      <c r="K672" s="123">
        <v>0</v>
      </c>
      <c r="L672" s="123">
        <v>0</v>
      </c>
      <c r="M672" s="123">
        <v>23</v>
      </c>
      <c r="N672" s="123">
        <v>7</v>
      </c>
      <c r="O672" s="123">
        <v>16</v>
      </c>
      <c r="P672" s="7" t="s">
        <v>162</v>
      </c>
      <c r="Q672" s="124" t="s">
        <v>455</v>
      </c>
      <c r="R672" s="1"/>
    </row>
    <row r="673" spans="1:18" ht="13.5" thickBot="1" x14ac:dyDescent="0.25">
      <c r="A673" s="123">
        <v>36</v>
      </c>
      <c r="B673" s="123">
        <v>9</v>
      </c>
      <c r="C673" s="123">
        <v>27</v>
      </c>
      <c r="D673" s="123">
        <v>0</v>
      </c>
      <c r="E673" s="123">
        <v>0</v>
      </c>
      <c r="F673" s="123">
        <v>0</v>
      </c>
      <c r="G673" s="123">
        <v>11</v>
      </c>
      <c r="H673" s="123">
        <v>2</v>
      </c>
      <c r="I673" s="123">
        <v>9</v>
      </c>
      <c r="J673" s="123">
        <v>0</v>
      </c>
      <c r="K673" s="123">
        <v>0</v>
      </c>
      <c r="L673" s="123">
        <v>0</v>
      </c>
      <c r="M673" s="123">
        <v>25</v>
      </c>
      <c r="N673" s="123">
        <v>7</v>
      </c>
      <c r="O673" s="123">
        <v>18</v>
      </c>
      <c r="P673" s="7" t="s">
        <v>13</v>
      </c>
      <c r="Q673" s="9"/>
      <c r="R673" s="1"/>
    </row>
    <row r="674" spans="1:18" ht="13.5" thickBot="1" x14ac:dyDescent="0.25">
      <c r="A674" s="123">
        <v>50</v>
      </c>
      <c r="B674" s="123">
        <v>19</v>
      </c>
      <c r="C674" s="123">
        <v>31</v>
      </c>
      <c r="D674" s="123">
        <v>0</v>
      </c>
      <c r="E674" s="123">
        <v>0</v>
      </c>
      <c r="F674" s="123">
        <v>0</v>
      </c>
      <c r="G674" s="123">
        <v>27</v>
      </c>
      <c r="H674" s="123">
        <v>11</v>
      </c>
      <c r="I674" s="123">
        <v>16</v>
      </c>
      <c r="J674" s="123">
        <v>10</v>
      </c>
      <c r="K674" s="123">
        <v>6</v>
      </c>
      <c r="L674" s="123">
        <v>4</v>
      </c>
      <c r="M674" s="123">
        <v>13</v>
      </c>
      <c r="N674" s="123">
        <v>2</v>
      </c>
      <c r="O674" s="123">
        <v>11</v>
      </c>
      <c r="P674" s="7" t="s">
        <v>163</v>
      </c>
      <c r="Q674" s="124"/>
      <c r="R674" s="1"/>
    </row>
    <row r="675" spans="1:18" ht="13.5" thickBot="1" x14ac:dyDescent="0.25">
      <c r="A675" s="123">
        <v>23</v>
      </c>
      <c r="B675" s="123">
        <v>11</v>
      </c>
      <c r="C675" s="123">
        <v>12</v>
      </c>
      <c r="D675" s="123">
        <v>0</v>
      </c>
      <c r="E675" s="123">
        <v>0</v>
      </c>
      <c r="F675" s="123">
        <v>0</v>
      </c>
      <c r="G675" s="123">
        <v>1</v>
      </c>
      <c r="H675" s="123">
        <v>0</v>
      </c>
      <c r="I675" s="123">
        <v>1</v>
      </c>
      <c r="J675" s="123">
        <v>4</v>
      </c>
      <c r="K675" s="123">
        <v>2</v>
      </c>
      <c r="L675" s="123">
        <v>2</v>
      </c>
      <c r="M675" s="123">
        <v>18</v>
      </c>
      <c r="N675" s="123">
        <v>9</v>
      </c>
      <c r="O675" s="123">
        <v>9</v>
      </c>
      <c r="P675" s="7" t="s">
        <v>162</v>
      </c>
      <c r="Q675" s="124" t="s">
        <v>456</v>
      </c>
      <c r="R675" s="1"/>
    </row>
    <row r="676" spans="1:18" ht="13.5" thickBot="1" x14ac:dyDescent="0.25">
      <c r="A676" s="123">
        <v>73</v>
      </c>
      <c r="B676" s="123">
        <v>30</v>
      </c>
      <c r="C676" s="123">
        <v>43</v>
      </c>
      <c r="D676" s="123">
        <v>0</v>
      </c>
      <c r="E676" s="123">
        <v>0</v>
      </c>
      <c r="F676" s="123">
        <v>0</v>
      </c>
      <c r="G676" s="123">
        <v>28</v>
      </c>
      <c r="H676" s="123">
        <v>11</v>
      </c>
      <c r="I676" s="123">
        <v>17</v>
      </c>
      <c r="J676" s="123">
        <v>14</v>
      </c>
      <c r="K676" s="123">
        <v>8</v>
      </c>
      <c r="L676" s="123">
        <v>6</v>
      </c>
      <c r="M676" s="123">
        <v>31</v>
      </c>
      <c r="N676" s="123">
        <v>11</v>
      </c>
      <c r="O676" s="123">
        <v>20</v>
      </c>
      <c r="P676" s="7" t="s">
        <v>13</v>
      </c>
      <c r="Q676" s="9"/>
      <c r="R676" s="1"/>
    </row>
    <row r="677" spans="1:18" ht="13.5" thickBot="1" x14ac:dyDescent="0.25">
      <c r="A677" s="123">
        <v>26</v>
      </c>
      <c r="B677" s="123">
        <v>7</v>
      </c>
      <c r="C677" s="123">
        <v>19</v>
      </c>
      <c r="D677" s="123">
        <v>0</v>
      </c>
      <c r="E677" s="123">
        <v>0</v>
      </c>
      <c r="F677" s="123">
        <v>0</v>
      </c>
      <c r="G677" s="123">
        <v>18</v>
      </c>
      <c r="H677" s="123">
        <v>4</v>
      </c>
      <c r="I677" s="123">
        <v>14</v>
      </c>
      <c r="J677" s="123">
        <v>3</v>
      </c>
      <c r="K677" s="123">
        <v>2</v>
      </c>
      <c r="L677" s="123">
        <v>1</v>
      </c>
      <c r="M677" s="123">
        <v>5</v>
      </c>
      <c r="N677" s="123">
        <v>1</v>
      </c>
      <c r="O677" s="123">
        <v>4</v>
      </c>
      <c r="P677" s="7" t="s">
        <v>163</v>
      </c>
      <c r="Q677" s="124"/>
      <c r="R677" s="1"/>
    </row>
    <row r="678" spans="1:18" ht="13.5" thickBot="1" x14ac:dyDescent="0.25">
      <c r="A678" s="123">
        <v>19</v>
      </c>
      <c r="B678" s="123">
        <v>10</v>
      </c>
      <c r="C678" s="123">
        <v>9</v>
      </c>
      <c r="D678" s="123">
        <v>0</v>
      </c>
      <c r="E678" s="123">
        <v>0</v>
      </c>
      <c r="F678" s="123">
        <v>0</v>
      </c>
      <c r="G678" s="123">
        <v>0</v>
      </c>
      <c r="H678" s="123">
        <v>0</v>
      </c>
      <c r="I678" s="123">
        <v>0</v>
      </c>
      <c r="J678" s="123">
        <v>1</v>
      </c>
      <c r="K678" s="123">
        <v>1</v>
      </c>
      <c r="L678" s="123">
        <v>0</v>
      </c>
      <c r="M678" s="123">
        <v>18</v>
      </c>
      <c r="N678" s="123">
        <v>9</v>
      </c>
      <c r="O678" s="123">
        <v>9</v>
      </c>
      <c r="P678" s="7" t="s">
        <v>162</v>
      </c>
      <c r="Q678" s="124" t="s">
        <v>112</v>
      </c>
      <c r="R678" s="1"/>
    </row>
    <row r="679" spans="1:18" ht="13.5" thickBot="1" x14ac:dyDescent="0.25">
      <c r="A679" s="123">
        <v>45</v>
      </c>
      <c r="B679" s="123">
        <v>17</v>
      </c>
      <c r="C679" s="123">
        <v>28</v>
      </c>
      <c r="D679" s="123">
        <v>0</v>
      </c>
      <c r="E679" s="123">
        <v>0</v>
      </c>
      <c r="F679" s="123">
        <v>0</v>
      </c>
      <c r="G679" s="123">
        <v>18</v>
      </c>
      <c r="H679" s="123">
        <v>4</v>
      </c>
      <c r="I679" s="123">
        <v>14</v>
      </c>
      <c r="J679" s="123">
        <v>4</v>
      </c>
      <c r="K679" s="123">
        <v>3</v>
      </c>
      <c r="L679" s="123">
        <v>1</v>
      </c>
      <c r="M679" s="123">
        <v>23</v>
      </c>
      <c r="N679" s="123">
        <v>10</v>
      </c>
      <c r="O679" s="123">
        <v>13</v>
      </c>
      <c r="P679" s="7" t="s">
        <v>13</v>
      </c>
      <c r="Q679" s="9"/>
      <c r="R679" s="1"/>
    </row>
    <row r="680" spans="1:18" ht="13.5" thickBot="1" x14ac:dyDescent="0.25">
      <c r="A680" s="123">
        <v>19</v>
      </c>
      <c r="B680" s="123">
        <v>0</v>
      </c>
      <c r="C680" s="123">
        <v>19</v>
      </c>
      <c r="D680" s="123">
        <v>0</v>
      </c>
      <c r="E680" s="123">
        <v>0</v>
      </c>
      <c r="F680" s="123">
        <v>0</v>
      </c>
      <c r="G680" s="123">
        <v>8</v>
      </c>
      <c r="H680" s="123">
        <v>0</v>
      </c>
      <c r="I680" s="123">
        <v>8</v>
      </c>
      <c r="J680" s="123">
        <v>3</v>
      </c>
      <c r="K680" s="123">
        <v>0</v>
      </c>
      <c r="L680" s="123">
        <v>3</v>
      </c>
      <c r="M680" s="123">
        <v>8</v>
      </c>
      <c r="N680" s="123">
        <v>0</v>
      </c>
      <c r="O680" s="123">
        <v>8</v>
      </c>
      <c r="P680" s="7" t="s">
        <v>163</v>
      </c>
      <c r="Q680" s="124"/>
      <c r="R680" s="1"/>
    </row>
    <row r="681" spans="1:18" ht="13.5" thickBot="1" x14ac:dyDescent="0.25">
      <c r="A681" s="123">
        <v>4</v>
      </c>
      <c r="B681" s="123">
        <v>0</v>
      </c>
      <c r="C681" s="123">
        <v>4</v>
      </c>
      <c r="D681" s="123">
        <v>0</v>
      </c>
      <c r="E681" s="123">
        <v>0</v>
      </c>
      <c r="F681" s="123">
        <v>0</v>
      </c>
      <c r="G681" s="123">
        <v>0</v>
      </c>
      <c r="H681" s="123">
        <v>0</v>
      </c>
      <c r="I681" s="123">
        <v>0</v>
      </c>
      <c r="J681" s="123">
        <v>0</v>
      </c>
      <c r="K681" s="123">
        <v>0</v>
      </c>
      <c r="L681" s="123">
        <v>0</v>
      </c>
      <c r="M681" s="123">
        <v>4</v>
      </c>
      <c r="N681" s="123">
        <v>0</v>
      </c>
      <c r="O681" s="123">
        <v>4</v>
      </c>
      <c r="P681" s="7" t="s">
        <v>162</v>
      </c>
      <c r="Q681" s="124" t="s">
        <v>636</v>
      </c>
      <c r="R681" s="1"/>
    </row>
    <row r="682" spans="1:18" ht="13.5" thickBot="1" x14ac:dyDescent="0.25">
      <c r="A682" s="123">
        <v>23</v>
      </c>
      <c r="B682" s="123">
        <v>0</v>
      </c>
      <c r="C682" s="123">
        <v>23</v>
      </c>
      <c r="D682" s="123">
        <v>0</v>
      </c>
      <c r="E682" s="123">
        <v>0</v>
      </c>
      <c r="F682" s="123">
        <v>0</v>
      </c>
      <c r="G682" s="123">
        <v>8</v>
      </c>
      <c r="H682" s="123">
        <v>0</v>
      </c>
      <c r="I682" s="123">
        <v>8</v>
      </c>
      <c r="J682" s="123">
        <v>3</v>
      </c>
      <c r="K682" s="123">
        <v>0</v>
      </c>
      <c r="L682" s="123">
        <v>3</v>
      </c>
      <c r="M682" s="123">
        <v>12</v>
      </c>
      <c r="N682" s="123">
        <v>0</v>
      </c>
      <c r="O682" s="123">
        <v>12</v>
      </c>
      <c r="P682" s="7" t="s">
        <v>13</v>
      </c>
      <c r="Q682" s="9"/>
      <c r="R682" s="1"/>
    </row>
    <row r="683" spans="1:18" ht="13.5" thickBot="1" x14ac:dyDescent="0.25">
      <c r="A683" s="123">
        <v>518</v>
      </c>
      <c r="B683" s="123">
        <v>134</v>
      </c>
      <c r="C683" s="123">
        <v>384</v>
      </c>
      <c r="D683" s="123">
        <v>0</v>
      </c>
      <c r="E683" s="123">
        <v>0</v>
      </c>
      <c r="F683" s="123">
        <v>0</v>
      </c>
      <c r="G683" s="123">
        <v>238</v>
      </c>
      <c r="H683" s="123">
        <v>67</v>
      </c>
      <c r="I683" s="123">
        <v>171</v>
      </c>
      <c r="J683" s="123">
        <v>91</v>
      </c>
      <c r="K683" s="123">
        <v>38</v>
      </c>
      <c r="L683" s="123">
        <v>53</v>
      </c>
      <c r="M683" s="123">
        <v>189</v>
      </c>
      <c r="N683" s="123">
        <v>29</v>
      </c>
      <c r="O683" s="123">
        <v>160</v>
      </c>
      <c r="P683" s="7" t="s">
        <v>163</v>
      </c>
      <c r="Q683" s="3"/>
      <c r="R683" s="1"/>
    </row>
    <row r="684" spans="1:18" ht="13.5" thickBot="1" x14ac:dyDescent="0.25">
      <c r="A684" s="123">
        <v>317</v>
      </c>
      <c r="B684" s="123">
        <v>110</v>
      </c>
      <c r="C684" s="123">
        <v>207</v>
      </c>
      <c r="D684" s="123">
        <v>0</v>
      </c>
      <c r="E684" s="123">
        <v>0</v>
      </c>
      <c r="F684" s="123">
        <v>0</v>
      </c>
      <c r="G684" s="123">
        <v>2</v>
      </c>
      <c r="H684" s="123">
        <v>0</v>
      </c>
      <c r="I684" s="123">
        <v>2</v>
      </c>
      <c r="J684" s="123">
        <v>29</v>
      </c>
      <c r="K684" s="123">
        <v>11</v>
      </c>
      <c r="L684" s="123">
        <v>18</v>
      </c>
      <c r="M684" s="123">
        <v>286</v>
      </c>
      <c r="N684" s="123">
        <v>99</v>
      </c>
      <c r="O684" s="123">
        <v>187</v>
      </c>
      <c r="P684" s="7" t="s">
        <v>162</v>
      </c>
      <c r="Q684" s="11" t="s">
        <v>211</v>
      </c>
      <c r="R684" s="1"/>
    </row>
    <row r="685" spans="1:18" ht="13.5" thickBot="1" x14ac:dyDescent="0.25">
      <c r="A685" s="123">
        <v>835</v>
      </c>
      <c r="B685" s="123">
        <v>244</v>
      </c>
      <c r="C685" s="123">
        <v>591</v>
      </c>
      <c r="D685" s="123">
        <v>0</v>
      </c>
      <c r="E685" s="123">
        <v>0</v>
      </c>
      <c r="F685" s="123">
        <v>0</v>
      </c>
      <c r="G685" s="123">
        <v>240</v>
      </c>
      <c r="H685" s="123">
        <v>67</v>
      </c>
      <c r="I685" s="123">
        <v>173</v>
      </c>
      <c r="J685" s="123">
        <v>120</v>
      </c>
      <c r="K685" s="123">
        <v>49</v>
      </c>
      <c r="L685" s="123">
        <v>71</v>
      </c>
      <c r="M685" s="123">
        <v>475</v>
      </c>
      <c r="N685" s="123">
        <v>128</v>
      </c>
      <c r="O685" s="123">
        <v>347</v>
      </c>
      <c r="P685" s="7" t="s">
        <v>13</v>
      </c>
      <c r="Q685" s="5"/>
      <c r="R685" s="1"/>
    </row>
    <row r="686" spans="1:18" ht="18" customHeight="1" x14ac:dyDescent="0.2">
      <c r="A686" s="207"/>
      <c r="B686" s="207"/>
      <c r="C686" s="207"/>
      <c r="D686" s="207"/>
      <c r="E686" s="207"/>
      <c r="F686" s="207"/>
      <c r="G686" s="207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1"/>
    </row>
    <row r="687" spans="1:18" ht="18" customHeight="1" x14ac:dyDescent="0.2">
      <c r="A687" s="159" t="s">
        <v>643</v>
      </c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"/>
    </row>
    <row r="688" spans="1:18" ht="18" customHeight="1" thickBot="1" x14ac:dyDescent="0.25">
      <c r="A688" s="160" t="s">
        <v>644</v>
      </c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"/>
    </row>
    <row r="689" spans="1:18" ht="13.5" thickBot="1" x14ac:dyDescent="0.25">
      <c r="A689" s="204" t="s">
        <v>5</v>
      </c>
      <c r="B689" s="204"/>
      <c r="C689" s="204"/>
      <c r="D689" s="204" t="s">
        <v>57</v>
      </c>
      <c r="E689" s="204"/>
      <c r="F689" s="204"/>
      <c r="G689" s="204" t="s">
        <v>65</v>
      </c>
      <c r="H689" s="204"/>
      <c r="I689" s="204"/>
      <c r="J689" s="204" t="s">
        <v>62</v>
      </c>
      <c r="K689" s="204"/>
      <c r="L689" s="204"/>
      <c r="M689" s="204" t="s">
        <v>61</v>
      </c>
      <c r="N689" s="204"/>
      <c r="O689" s="204"/>
      <c r="P689" s="205" t="s">
        <v>645</v>
      </c>
      <c r="Q689" s="47" t="s">
        <v>161</v>
      </c>
      <c r="R689" s="1"/>
    </row>
    <row r="690" spans="1:18" ht="13.5" thickBot="1" x14ac:dyDescent="0.25">
      <c r="A690" s="47" t="s">
        <v>216</v>
      </c>
      <c r="B690" s="47" t="s">
        <v>11</v>
      </c>
      <c r="C690" s="47" t="s">
        <v>10</v>
      </c>
      <c r="D690" s="47" t="s">
        <v>216</v>
      </c>
      <c r="E690" s="47" t="s">
        <v>11</v>
      </c>
      <c r="F690" s="47" t="s">
        <v>10</v>
      </c>
      <c r="G690" s="47" t="s">
        <v>216</v>
      </c>
      <c r="H690" s="47" t="s">
        <v>11</v>
      </c>
      <c r="I690" s="47" t="s">
        <v>10</v>
      </c>
      <c r="J690" s="47" t="s">
        <v>216</v>
      </c>
      <c r="K690" s="47" t="s">
        <v>11</v>
      </c>
      <c r="L690" s="47" t="s">
        <v>10</v>
      </c>
      <c r="M690" s="47" t="s">
        <v>216</v>
      </c>
      <c r="N690" s="47" t="s">
        <v>11</v>
      </c>
      <c r="O690" s="47" t="s">
        <v>10</v>
      </c>
      <c r="P690" s="206"/>
      <c r="Q690" s="5" t="s">
        <v>83</v>
      </c>
      <c r="R690" s="1"/>
    </row>
    <row r="691" spans="1:18" ht="13.5" thickBot="1" x14ac:dyDescent="0.25">
      <c r="A691" s="123">
        <v>108</v>
      </c>
      <c r="B691" s="123">
        <v>1</v>
      </c>
      <c r="C691" s="123">
        <v>107</v>
      </c>
      <c r="D691" s="123">
        <v>0</v>
      </c>
      <c r="E691" s="123">
        <v>0</v>
      </c>
      <c r="F691" s="123">
        <v>0</v>
      </c>
      <c r="G691" s="123">
        <v>44</v>
      </c>
      <c r="H691" s="123">
        <v>0</v>
      </c>
      <c r="I691" s="123">
        <v>44</v>
      </c>
      <c r="J691" s="123">
        <v>36</v>
      </c>
      <c r="K691" s="123">
        <v>0</v>
      </c>
      <c r="L691" s="123">
        <v>36</v>
      </c>
      <c r="M691" s="123">
        <v>28</v>
      </c>
      <c r="N691" s="123">
        <v>1</v>
      </c>
      <c r="O691" s="123">
        <v>27</v>
      </c>
      <c r="P691" s="7" t="s">
        <v>163</v>
      </c>
      <c r="Q691" s="124"/>
      <c r="R691" s="1"/>
    </row>
    <row r="692" spans="1:18" ht="13.5" thickBot="1" x14ac:dyDescent="0.25">
      <c r="A692" s="123">
        <v>4</v>
      </c>
      <c r="B692" s="123">
        <v>0</v>
      </c>
      <c r="C692" s="123">
        <v>4</v>
      </c>
      <c r="D692" s="123">
        <v>0</v>
      </c>
      <c r="E692" s="123">
        <v>0</v>
      </c>
      <c r="F692" s="123">
        <v>0</v>
      </c>
      <c r="G692" s="123">
        <v>0</v>
      </c>
      <c r="H692" s="123">
        <v>0</v>
      </c>
      <c r="I692" s="123">
        <v>0</v>
      </c>
      <c r="J692" s="123">
        <v>0</v>
      </c>
      <c r="K692" s="123">
        <v>0</v>
      </c>
      <c r="L692" s="123">
        <v>0</v>
      </c>
      <c r="M692" s="123">
        <v>4</v>
      </c>
      <c r="N692" s="123">
        <v>0</v>
      </c>
      <c r="O692" s="123">
        <v>4</v>
      </c>
      <c r="P692" s="7" t="s">
        <v>162</v>
      </c>
      <c r="Q692" s="124" t="s">
        <v>261</v>
      </c>
      <c r="R692" s="1"/>
    </row>
    <row r="693" spans="1:18" ht="13.5" thickBot="1" x14ac:dyDescent="0.25">
      <c r="A693" s="123">
        <v>112</v>
      </c>
      <c r="B693" s="123">
        <v>1</v>
      </c>
      <c r="C693" s="123">
        <v>111</v>
      </c>
      <c r="D693" s="123">
        <v>0</v>
      </c>
      <c r="E693" s="123">
        <v>0</v>
      </c>
      <c r="F693" s="123">
        <v>0</v>
      </c>
      <c r="G693" s="123">
        <v>44</v>
      </c>
      <c r="H693" s="123">
        <v>0</v>
      </c>
      <c r="I693" s="123">
        <v>44</v>
      </c>
      <c r="J693" s="123">
        <v>36</v>
      </c>
      <c r="K693" s="123">
        <v>0</v>
      </c>
      <c r="L693" s="123">
        <v>36</v>
      </c>
      <c r="M693" s="123">
        <v>32</v>
      </c>
      <c r="N693" s="123">
        <v>1</v>
      </c>
      <c r="O693" s="123">
        <v>31</v>
      </c>
      <c r="P693" s="7" t="s">
        <v>13</v>
      </c>
      <c r="Q693" s="9"/>
      <c r="R693" s="1"/>
    </row>
    <row r="694" spans="1:18" ht="13.5" thickBot="1" x14ac:dyDescent="0.25">
      <c r="A694" s="123">
        <v>60</v>
      </c>
      <c r="B694" s="123">
        <v>38</v>
      </c>
      <c r="C694" s="123">
        <v>22</v>
      </c>
      <c r="D694" s="123">
        <v>0</v>
      </c>
      <c r="E694" s="123">
        <v>0</v>
      </c>
      <c r="F694" s="123">
        <v>0</v>
      </c>
      <c r="G694" s="123">
        <v>32</v>
      </c>
      <c r="H694" s="123">
        <v>24</v>
      </c>
      <c r="I694" s="123">
        <v>8</v>
      </c>
      <c r="J694" s="123">
        <v>10</v>
      </c>
      <c r="K694" s="123">
        <v>8</v>
      </c>
      <c r="L694" s="123">
        <v>2</v>
      </c>
      <c r="M694" s="123">
        <v>18</v>
      </c>
      <c r="N694" s="123">
        <v>6</v>
      </c>
      <c r="O694" s="123">
        <v>12</v>
      </c>
      <c r="P694" s="7" t="s">
        <v>163</v>
      </c>
      <c r="Q694" s="124"/>
      <c r="R694" s="1"/>
    </row>
    <row r="695" spans="1:18" ht="13.5" thickBot="1" x14ac:dyDescent="0.25">
      <c r="A695" s="123">
        <v>56</v>
      </c>
      <c r="B695" s="123">
        <v>24</v>
      </c>
      <c r="C695" s="123">
        <v>32</v>
      </c>
      <c r="D695" s="123">
        <v>2</v>
      </c>
      <c r="E695" s="123">
        <v>2</v>
      </c>
      <c r="F695" s="123">
        <v>0</v>
      </c>
      <c r="G695" s="123">
        <v>0</v>
      </c>
      <c r="H695" s="123">
        <v>0</v>
      </c>
      <c r="I695" s="123">
        <v>0</v>
      </c>
      <c r="J695" s="123">
        <v>0</v>
      </c>
      <c r="K695" s="123">
        <v>0</v>
      </c>
      <c r="L695" s="123">
        <v>0</v>
      </c>
      <c r="M695" s="123">
        <v>54</v>
      </c>
      <c r="N695" s="123">
        <v>22</v>
      </c>
      <c r="O695" s="123">
        <v>32</v>
      </c>
      <c r="P695" s="7" t="s">
        <v>162</v>
      </c>
      <c r="Q695" s="124" t="s">
        <v>364</v>
      </c>
      <c r="R695" s="1"/>
    </row>
    <row r="696" spans="1:18" ht="13.5" thickBot="1" x14ac:dyDescent="0.25">
      <c r="A696" s="123">
        <v>116</v>
      </c>
      <c r="B696" s="123">
        <v>62</v>
      </c>
      <c r="C696" s="123">
        <v>54</v>
      </c>
      <c r="D696" s="123">
        <v>2</v>
      </c>
      <c r="E696" s="123">
        <v>2</v>
      </c>
      <c r="F696" s="123">
        <v>0</v>
      </c>
      <c r="G696" s="123">
        <v>32</v>
      </c>
      <c r="H696" s="123">
        <v>24</v>
      </c>
      <c r="I696" s="123">
        <v>8</v>
      </c>
      <c r="J696" s="123">
        <v>10</v>
      </c>
      <c r="K696" s="123">
        <v>8</v>
      </c>
      <c r="L696" s="123">
        <v>2</v>
      </c>
      <c r="M696" s="123">
        <v>72</v>
      </c>
      <c r="N696" s="123">
        <v>28</v>
      </c>
      <c r="O696" s="123">
        <v>44</v>
      </c>
      <c r="P696" s="7" t="s">
        <v>13</v>
      </c>
      <c r="Q696" s="9"/>
      <c r="R696" s="1"/>
    </row>
    <row r="697" spans="1:18" ht="13.5" thickBot="1" x14ac:dyDescent="0.25">
      <c r="A697" s="123">
        <v>85</v>
      </c>
      <c r="B697" s="123">
        <v>49</v>
      </c>
      <c r="C697" s="123">
        <v>36</v>
      </c>
      <c r="D697" s="123">
        <v>0</v>
      </c>
      <c r="E697" s="123">
        <v>0</v>
      </c>
      <c r="F697" s="123">
        <v>0</v>
      </c>
      <c r="G697" s="123">
        <v>59</v>
      </c>
      <c r="H697" s="123">
        <v>38</v>
      </c>
      <c r="I697" s="123">
        <v>21</v>
      </c>
      <c r="J697" s="123">
        <v>12</v>
      </c>
      <c r="K697" s="123">
        <v>9</v>
      </c>
      <c r="L697" s="123">
        <v>3</v>
      </c>
      <c r="M697" s="123">
        <v>14</v>
      </c>
      <c r="N697" s="123">
        <v>2</v>
      </c>
      <c r="O697" s="123">
        <v>12</v>
      </c>
      <c r="P697" s="7" t="s">
        <v>163</v>
      </c>
      <c r="Q697" s="124"/>
      <c r="R697" s="1"/>
    </row>
    <row r="698" spans="1:18" ht="13.5" thickBot="1" x14ac:dyDescent="0.25">
      <c r="A698" s="123">
        <v>113</v>
      </c>
      <c r="B698" s="123">
        <v>26</v>
      </c>
      <c r="C698" s="123">
        <v>87</v>
      </c>
      <c r="D698" s="123">
        <v>0</v>
      </c>
      <c r="E698" s="123">
        <v>0</v>
      </c>
      <c r="F698" s="123">
        <v>0</v>
      </c>
      <c r="G698" s="123">
        <v>0</v>
      </c>
      <c r="H698" s="123">
        <v>0</v>
      </c>
      <c r="I698" s="123">
        <v>0</v>
      </c>
      <c r="J698" s="123">
        <v>0</v>
      </c>
      <c r="K698" s="123">
        <v>0</v>
      </c>
      <c r="L698" s="123">
        <v>0</v>
      </c>
      <c r="M698" s="123">
        <v>113</v>
      </c>
      <c r="N698" s="123">
        <v>26</v>
      </c>
      <c r="O698" s="123">
        <v>87</v>
      </c>
      <c r="P698" s="7" t="s">
        <v>162</v>
      </c>
      <c r="Q698" s="124" t="s">
        <v>359</v>
      </c>
      <c r="R698" s="1"/>
    </row>
    <row r="699" spans="1:18" ht="13.5" thickBot="1" x14ac:dyDescent="0.25">
      <c r="A699" s="123">
        <v>198</v>
      </c>
      <c r="B699" s="123">
        <v>75</v>
      </c>
      <c r="C699" s="123">
        <v>123</v>
      </c>
      <c r="D699" s="123">
        <v>0</v>
      </c>
      <c r="E699" s="123">
        <v>0</v>
      </c>
      <c r="F699" s="123">
        <v>0</v>
      </c>
      <c r="G699" s="123">
        <v>59</v>
      </c>
      <c r="H699" s="123">
        <v>38</v>
      </c>
      <c r="I699" s="123">
        <v>21</v>
      </c>
      <c r="J699" s="123">
        <v>12</v>
      </c>
      <c r="K699" s="123">
        <v>9</v>
      </c>
      <c r="L699" s="123">
        <v>3</v>
      </c>
      <c r="M699" s="123">
        <v>127</v>
      </c>
      <c r="N699" s="123">
        <v>28</v>
      </c>
      <c r="O699" s="123">
        <v>99</v>
      </c>
      <c r="P699" s="7" t="s">
        <v>13</v>
      </c>
      <c r="Q699" s="9"/>
      <c r="R699" s="1"/>
    </row>
    <row r="700" spans="1:18" ht="13.5" thickBot="1" x14ac:dyDescent="0.25">
      <c r="A700" s="123">
        <v>40</v>
      </c>
      <c r="B700" s="123">
        <v>7</v>
      </c>
      <c r="C700" s="123">
        <v>33</v>
      </c>
      <c r="D700" s="123">
        <v>1</v>
      </c>
      <c r="E700" s="123">
        <v>0</v>
      </c>
      <c r="F700" s="123">
        <v>1</v>
      </c>
      <c r="G700" s="123">
        <v>30</v>
      </c>
      <c r="H700" s="123">
        <v>7</v>
      </c>
      <c r="I700" s="123">
        <v>23</v>
      </c>
      <c r="J700" s="123">
        <v>3</v>
      </c>
      <c r="K700" s="123">
        <v>0</v>
      </c>
      <c r="L700" s="123">
        <v>3</v>
      </c>
      <c r="M700" s="123">
        <v>6</v>
      </c>
      <c r="N700" s="123">
        <v>0</v>
      </c>
      <c r="O700" s="123">
        <v>6</v>
      </c>
      <c r="P700" s="7" t="s">
        <v>163</v>
      </c>
      <c r="Q700" s="124"/>
      <c r="R700" s="1"/>
    </row>
    <row r="701" spans="1:18" ht="13.5" thickBot="1" x14ac:dyDescent="0.25">
      <c r="A701" s="123">
        <v>44</v>
      </c>
      <c r="B701" s="123">
        <v>6</v>
      </c>
      <c r="C701" s="123">
        <v>38</v>
      </c>
      <c r="D701" s="123">
        <v>0</v>
      </c>
      <c r="E701" s="123">
        <v>0</v>
      </c>
      <c r="F701" s="123">
        <v>0</v>
      </c>
      <c r="G701" s="123">
        <v>0</v>
      </c>
      <c r="H701" s="123">
        <v>0</v>
      </c>
      <c r="I701" s="123">
        <v>0</v>
      </c>
      <c r="J701" s="123">
        <v>0</v>
      </c>
      <c r="K701" s="123">
        <v>0</v>
      </c>
      <c r="L701" s="123">
        <v>0</v>
      </c>
      <c r="M701" s="123">
        <v>44</v>
      </c>
      <c r="N701" s="123">
        <v>6</v>
      </c>
      <c r="O701" s="123">
        <v>38</v>
      </c>
      <c r="P701" s="7" t="s">
        <v>162</v>
      </c>
      <c r="Q701" s="124" t="s">
        <v>470</v>
      </c>
      <c r="R701" s="1"/>
    </row>
    <row r="702" spans="1:18" ht="13.5" thickBot="1" x14ac:dyDescent="0.25">
      <c r="A702" s="123">
        <v>84</v>
      </c>
      <c r="B702" s="123">
        <v>13</v>
      </c>
      <c r="C702" s="123">
        <v>71</v>
      </c>
      <c r="D702" s="123">
        <v>1</v>
      </c>
      <c r="E702" s="123">
        <v>0</v>
      </c>
      <c r="F702" s="123">
        <v>1</v>
      </c>
      <c r="G702" s="123">
        <v>30</v>
      </c>
      <c r="H702" s="123">
        <v>7</v>
      </c>
      <c r="I702" s="123">
        <v>23</v>
      </c>
      <c r="J702" s="123">
        <v>3</v>
      </c>
      <c r="K702" s="123">
        <v>0</v>
      </c>
      <c r="L702" s="123">
        <v>3</v>
      </c>
      <c r="M702" s="123">
        <v>50</v>
      </c>
      <c r="N702" s="123">
        <v>6</v>
      </c>
      <c r="O702" s="123">
        <v>44</v>
      </c>
      <c r="P702" s="7" t="s">
        <v>13</v>
      </c>
      <c r="Q702" s="9"/>
      <c r="R702" s="1"/>
    </row>
    <row r="703" spans="1:18" ht="13.5" thickBot="1" x14ac:dyDescent="0.25">
      <c r="A703" s="123">
        <v>36</v>
      </c>
      <c r="B703" s="123">
        <v>17</v>
      </c>
      <c r="C703" s="123">
        <v>19</v>
      </c>
      <c r="D703" s="123">
        <v>0</v>
      </c>
      <c r="E703" s="123">
        <v>0</v>
      </c>
      <c r="F703" s="123">
        <v>0</v>
      </c>
      <c r="G703" s="123">
        <v>33</v>
      </c>
      <c r="H703" s="123">
        <v>17</v>
      </c>
      <c r="I703" s="123">
        <v>16</v>
      </c>
      <c r="J703" s="123">
        <v>2</v>
      </c>
      <c r="K703" s="123">
        <v>0</v>
      </c>
      <c r="L703" s="123">
        <v>2</v>
      </c>
      <c r="M703" s="123">
        <v>1</v>
      </c>
      <c r="N703" s="123">
        <v>0</v>
      </c>
      <c r="O703" s="123">
        <v>1</v>
      </c>
      <c r="P703" s="7" t="s">
        <v>163</v>
      </c>
      <c r="Q703" s="124"/>
      <c r="R703" s="1"/>
    </row>
    <row r="704" spans="1:18" ht="13.5" thickBot="1" x14ac:dyDescent="0.25">
      <c r="A704" s="123">
        <v>19</v>
      </c>
      <c r="B704" s="123">
        <v>1</v>
      </c>
      <c r="C704" s="123">
        <v>18</v>
      </c>
      <c r="D704" s="123">
        <v>0</v>
      </c>
      <c r="E704" s="123">
        <v>0</v>
      </c>
      <c r="F704" s="123">
        <v>0</v>
      </c>
      <c r="G704" s="123">
        <v>0</v>
      </c>
      <c r="H704" s="123">
        <v>0</v>
      </c>
      <c r="I704" s="123">
        <v>0</v>
      </c>
      <c r="J704" s="123">
        <v>0</v>
      </c>
      <c r="K704" s="123">
        <v>0</v>
      </c>
      <c r="L704" s="123">
        <v>0</v>
      </c>
      <c r="M704" s="123">
        <v>19</v>
      </c>
      <c r="N704" s="123">
        <v>1</v>
      </c>
      <c r="O704" s="123">
        <v>18</v>
      </c>
      <c r="P704" s="7" t="s">
        <v>162</v>
      </c>
      <c r="Q704" s="124" t="s">
        <v>471</v>
      </c>
      <c r="R704" s="1"/>
    </row>
    <row r="705" spans="1:18" ht="13.5" thickBot="1" x14ac:dyDescent="0.25">
      <c r="A705" s="123">
        <v>55</v>
      </c>
      <c r="B705" s="123">
        <v>18</v>
      </c>
      <c r="C705" s="123">
        <v>37</v>
      </c>
      <c r="D705" s="123">
        <v>0</v>
      </c>
      <c r="E705" s="123">
        <v>0</v>
      </c>
      <c r="F705" s="123">
        <v>0</v>
      </c>
      <c r="G705" s="123">
        <v>33</v>
      </c>
      <c r="H705" s="123">
        <v>17</v>
      </c>
      <c r="I705" s="123">
        <v>16</v>
      </c>
      <c r="J705" s="123">
        <v>2</v>
      </c>
      <c r="K705" s="123">
        <v>0</v>
      </c>
      <c r="L705" s="123">
        <v>2</v>
      </c>
      <c r="M705" s="123">
        <v>20</v>
      </c>
      <c r="N705" s="123">
        <v>1</v>
      </c>
      <c r="O705" s="123">
        <v>19</v>
      </c>
      <c r="P705" s="7" t="s">
        <v>13</v>
      </c>
      <c r="Q705" s="9"/>
      <c r="R705" s="1"/>
    </row>
    <row r="706" spans="1:18" ht="13.5" thickBot="1" x14ac:dyDescent="0.25">
      <c r="A706" s="123">
        <v>53</v>
      </c>
      <c r="B706" s="123">
        <v>23</v>
      </c>
      <c r="C706" s="123">
        <v>30</v>
      </c>
      <c r="D706" s="123">
        <v>0</v>
      </c>
      <c r="E706" s="123">
        <v>0</v>
      </c>
      <c r="F706" s="123">
        <v>0</v>
      </c>
      <c r="G706" s="123">
        <v>33</v>
      </c>
      <c r="H706" s="123">
        <v>18</v>
      </c>
      <c r="I706" s="123">
        <v>15</v>
      </c>
      <c r="J706" s="123">
        <v>15</v>
      </c>
      <c r="K706" s="123">
        <v>4</v>
      </c>
      <c r="L706" s="123">
        <v>11</v>
      </c>
      <c r="M706" s="123">
        <v>5</v>
      </c>
      <c r="N706" s="123">
        <v>1</v>
      </c>
      <c r="O706" s="123">
        <v>4</v>
      </c>
      <c r="P706" s="7" t="s">
        <v>163</v>
      </c>
      <c r="Q706" s="124"/>
      <c r="R706" s="1"/>
    </row>
    <row r="707" spans="1:18" ht="13.5" thickBot="1" x14ac:dyDescent="0.25">
      <c r="A707" s="123">
        <v>33</v>
      </c>
      <c r="B707" s="123">
        <v>8</v>
      </c>
      <c r="C707" s="123">
        <v>25</v>
      </c>
      <c r="D707" s="123">
        <v>0</v>
      </c>
      <c r="E707" s="123">
        <v>0</v>
      </c>
      <c r="F707" s="123">
        <v>0</v>
      </c>
      <c r="G707" s="123">
        <v>0</v>
      </c>
      <c r="H707" s="123">
        <v>0</v>
      </c>
      <c r="I707" s="123">
        <v>0</v>
      </c>
      <c r="J707" s="123">
        <v>0</v>
      </c>
      <c r="K707" s="123">
        <v>0</v>
      </c>
      <c r="L707" s="123">
        <v>0</v>
      </c>
      <c r="M707" s="123">
        <v>33</v>
      </c>
      <c r="N707" s="123">
        <v>8</v>
      </c>
      <c r="O707" s="123">
        <v>25</v>
      </c>
      <c r="P707" s="7" t="s">
        <v>162</v>
      </c>
      <c r="Q707" s="124" t="s">
        <v>455</v>
      </c>
      <c r="R707" s="1"/>
    </row>
    <row r="708" spans="1:18" ht="13.5" thickBot="1" x14ac:dyDescent="0.25">
      <c r="A708" s="123">
        <v>86</v>
      </c>
      <c r="B708" s="123">
        <v>31</v>
      </c>
      <c r="C708" s="123">
        <v>55</v>
      </c>
      <c r="D708" s="123">
        <v>0</v>
      </c>
      <c r="E708" s="123">
        <v>0</v>
      </c>
      <c r="F708" s="123">
        <v>0</v>
      </c>
      <c r="G708" s="123">
        <v>33</v>
      </c>
      <c r="H708" s="123">
        <v>18</v>
      </c>
      <c r="I708" s="123">
        <v>15</v>
      </c>
      <c r="J708" s="123">
        <v>15</v>
      </c>
      <c r="K708" s="123">
        <v>4</v>
      </c>
      <c r="L708" s="123">
        <v>11</v>
      </c>
      <c r="M708" s="123">
        <v>38</v>
      </c>
      <c r="N708" s="123">
        <v>9</v>
      </c>
      <c r="O708" s="123">
        <v>29</v>
      </c>
      <c r="P708" s="7" t="s">
        <v>13</v>
      </c>
      <c r="Q708" s="9"/>
      <c r="R708" s="1"/>
    </row>
    <row r="709" spans="1:18" ht="13.5" thickBot="1" x14ac:dyDescent="0.25">
      <c r="A709" s="123">
        <v>24</v>
      </c>
      <c r="B709" s="123">
        <v>13</v>
      </c>
      <c r="C709" s="123">
        <v>11</v>
      </c>
      <c r="D709" s="123">
        <v>0</v>
      </c>
      <c r="E709" s="123">
        <v>0</v>
      </c>
      <c r="F709" s="123">
        <v>0</v>
      </c>
      <c r="G709" s="123">
        <v>20</v>
      </c>
      <c r="H709" s="123">
        <v>13</v>
      </c>
      <c r="I709" s="123">
        <v>7</v>
      </c>
      <c r="J709" s="123">
        <v>4</v>
      </c>
      <c r="K709" s="123">
        <v>0</v>
      </c>
      <c r="L709" s="123">
        <v>4</v>
      </c>
      <c r="M709" s="123">
        <v>0</v>
      </c>
      <c r="N709" s="123">
        <v>0</v>
      </c>
      <c r="O709" s="123">
        <v>0</v>
      </c>
      <c r="P709" s="7" t="s">
        <v>163</v>
      </c>
      <c r="Q709" s="124"/>
      <c r="R709" s="1"/>
    </row>
    <row r="710" spans="1:18" ht="13.5" thickBot="1" x14ac:dyDescent="0.25">
      <c r="A710" s="123">
        <v>6</v>
      </c>
      <c r="B710" s="123">
        <v>3</v>
      </c>
      <c r="C710" s="123">
        <v>3</v>
      </c>
      <c r="D710" s="123">
        <v>0</v>
      </c>
      <c r="E710" s="123">
        <v>0</v>
      </c>
      <c r="F710" s="123">
        <v>0</v>
      </c>
      <c r="G710" s="123">
        <v>0</v>
      </c>
      <c r="H710" s="123">
        <v>0</v>
      </c>
      <c r="I710" s="123">
        <v>0</v>
      </c>
      <c r="J710" s="123">
        <v>0</v>
      </c>
      <c r="K710" s="123">
        <v>0</v>
      </c>
      <c r="L710" s="123">
        <v>0</v>
      </c>
      <c r="M710" s="123">
        <v>6</v>
      </c>
      <c r="N710" s="123">
        <v>3</v>
      </c>
      <c r="O710" s="123">
        <v>3</v>
      </c>
      <c r="P710" s="7" t="s">
        <v>162</v>
      </c>
      <c r="Q710" s="124" t="s">
        <v>603</v>
      </c>
      <c r="R710" s="1"/>
    </row>
    <row r="711" spans="1:18" ht="13.5" thickBot="1" x14ac:dyDescent="0.25">
      <c r="A711" s="123">
        <v>30</v>
      </c>
      <c r="B711" s="123">
        <v>16</v>
      </c>
      <c r="C711" s="123">
        <v>14</v>
      </c>
      <c r="D711" s="123">
        <v>0</v>
      </c>
      <c r="E711" s="123">
        <v>0</v>
      </c>
      <c r="F711" s="123">
        <v>0</v>
      </c>
      <c r="G711" s="123">
        <v>20</v>
      </c>
      <c r="H711" s="123">
        <v>13</v>
      </c>
      <c r="I711" s="123">
        <v>7</v>
      </c>
      <c r="J711" s="123">
        <v>4</v>
      </c>
      <c r="K711" s="123">
        <v>0</v>
      </c>
      <c r="L711" s="123">
        <v>4</v>
      </c>
      <c r="M711" s="123">
        <v>6</v>
      </c>
      <c r="N711" s="123">
        <v>3</v>
      </c>
      <c r="O711" s="123">
        <v>3</v>
      </c>
      <c r="P711" s="7" t="s">
        <v>13</v>
      </c>
      <c r="Q711" s="9"/>
      <c r="R711" s="1"/>
    </row>
    <row r="712" spans="1:18" ht="13.5" thickBot="1" x14ac:dyDescent="0.25">
      <c r="A712" s="123">
        <v>23</v>
      </c>
      <c r="B712" s="123">
        <v>15</v>
      </c>
      <c r="C712" s="123">
        <v>8</v>
      </c>
      <c r="D712" s="123">
        <v>0</v>
      </c>
      <c r="E712" s="123">
        <v>0</v>
      </c>
      <c r="F712" s="123">
        <v>0</v>
      </c>
      <c r="G712" s="123">
        <v>17</v>
      </c>
      <c r="H712" s="123">
        <v>13</v>
      </c>
      <c r="I712" s="123">
        <v>4</v>
      </c>
      <c r="J712" s="123">
        <v>5</v>
      </c>
      <c r="K712" s="123">
        <v>2</v>
      </c>
      <c r="L712" s="123">
        <v>3</v>
      </c>
      <c r="M712" s="123">
        <v>1</v>
      </c>
      <c r="N712" s="123">
        <v>0</v>
      </c>
      <c r="O712" s="123">
        <v>1</v>
      </c>
      <c r="P712" s="7" t="s">
        <v>163</v>
      </c>
      <c r="Q712" s="124"/>
      <c r="R712" s="1"/>
    </row>
    <row r="713" spans="1:18" ht="13.5" thickBot="1" x14ac:dyDescent="0.25">
      <c r="A713" s="123">
        <v>5</v>
      </c>
      <c r="B713" s="123">
        <v>1</v>
      </c>
      <c r="C713" s="123">
        <v>4</v>
      </c>
      <c r="D713" s="123">
        <v>0</v>
      </c>
      <c r="E713" s="123">
        <v>0</v>
      </c>
      <c r="F713" s="123">
        <v>0</v>
      </c>
      <c r="G713" s="123">
        <v>0</v>
      </c>
      <c r="H713" s="123">
        <v>0</v>
      </c>
      <c r="I713" s="123">
        <v>0</v>
      </c>
      <c r="J713" s="123">
        <v>0</v>
      </c>
      <c r="K713" s="123">
        <v>0</v>
      </c>
      <c r="L713" s="123">
        <v>0</v>
      </c>
      <c r="M713" s="123">
        <v>5</v>
      </c>
      <c r="N713" s="123">
        <v>1</v>
      </c>
      <c r="O713" s="123">
        <v>4</v>
      </c>
      <c r="P713" s="7" t="s">
        <v>162</v>
      </c>
      <c r="Q713" s="124" t="s">
        <v>604</v>
      </c>
      <c r="R713" s="1"/>
    </row>
    <row r="714" spans="1:18" ht="13.5" thickBot="1" x14ac:dyDescent="0.25">
      <c r="A714" s="123">
        <v>28</v>
      </c>
      <c r="B714" s="123">
        <v>16</v>
      </c>
      <c r="C714" s="123">
        <v>12</v>
      </c>
      <c r="D714" s="123">
        <v>0</v>
      </c>
      <c r="E714" s="123">
        <v>0</v>
      </c>
      <c r="F714" s="123">
        <v>0</v>
      </c>
      <c r="G714" s="123">
        <v>17</v>
      </c>
      <c r="H714" s="123">
        <v>13</v>
      </c>
      <c r="I714" s="123">
        <v>4</v>
      </c>
      <c r="J714" s="123">
        <v>5</v>
      </c>
      <c r="K714" s="123">
        <v>2</v>
      </c>
      <c r="L714" s="123">
        <v>3</v>
      </c>
      <c r="M714" s="123">
        <v>6</v>
      </c>
      <c r="N714" s="123">
        <v>1</v>
      </c>
      <c r="O714" s="123">
        <v>5</v>
      </c>
      <c r="P714" s="7" t="s">
        <v>13</v>
      </c>
      <c r="Q714" s="9"/>
      <c r="R714" s="1"/>
    </row>
    <row r="715" spans="1:18" ht="13.5" thickBot="1" x14ac:dyDescent="0.25">
      <c r="A715" s="123">
        <v>8</v>
      </c>
      <c r="B715" s="123">
        <v>8</v>
      </c>
      <c r="C715" s="123">
        <v>0</v>
      </c>
      <c r="D715" s="123">
        <v>0</v>
      </c>
      <c r="E715" s="123">
        <v>0</v>
      </c>
      <c r="F715" s="123">
        <v>0</v>
      </c>
      <c r="G715" s="123">
        <v>8</v>
      </c>
      <c r="H715" s="123">
        <v>8</v>
      </c>
      <c r="I715" s="123">
        <v>0</v>
      </c>
      <c r="J715" s="123">
        <v>0</v>
      </c>
      <c r="K715" s="123">
        <v>0</v>
      </c>
      <c r="L715" s="123">
        <v>0</v>
      </c>
      <c r="M715" s="123">
        <v>0</v>
      </c>
      <c r="N715" s="123">
        <v>0</v>
      </c>
      <c r="O715" s="123">
        <v>0</v>
      </c>
      <c r="P715" s="7" t="s">
        <v>163</v>
      </c>
      <c r="Q715" s="124"/>
      <c r="R715" s="1"/>
    </row>
    <row r="716" spans="1:18" ht="13.5" thickBot="1" x14ac:dyDescent="0.25">
      <c r="A716" s="123">
        <v>1</v>
      </c>
      <c r="B716" s="123">
        <v>0</v>
      </c>
      <c r="C716" s="123">
        <v>1</v>
      </c>
      <c r="D716" s="123">
        <v>0</v>
      </c>
      <c r="E716" s="123">
        <v>0</v>
      </c>
      <c r="F716" s="123">
        <v>0</v>
      </c>
      <c r="G716" s="123">
        <v>0</v>
      </c>
      <c r="H716" s="123">
        <v>0</v>
      </c>
      <c r="I716" s="123">
        <v>0</v>
      </c>
      <c r="J716" s="123">
        <v>0</v>
      </c>
      <c r="K716" s="123">
        <v>0</v>
      </c>
      <c r="L716" s="123">
        <v>0</v>
      </c>
      <c r="M716" s="123">
        <v>1</v>
      </c>
      <c r="N716" s="123">
        <v>0</v>
      </c>
      <c r="O716" s="123">
        <v>1</v>
      </c>
      <c r="P716" s="7" t="s">
        <v>162</v>
      </c>
      <c r="Q716" s="124" t="s">
        <v>113</v>
      </c>
      <c r="R716" s="1"/>
    </row>
    <row r="717" spans="1:18" ht="13.5" thickBot="1" x14ac:dyDescent="0.25">
      <c r="A717" s="123">
        <v>9</v>
      </c>
      <c r="B717" s="123">
        <v>8</v>
      </c>
      <c r="C717" s="123">
        <v>1</v>
      </c>
      <c r="D717" s="123">
        <v>0</v>
      </c>
      <c r="E717" s="123">
        <v>0</v>
      </c>
      <c r="F717" s="123">
        <v>0</v>
      </c>
      <c r="G717" s="123">
        <v>8</v>
      </c>
      <c r="H717" s="123">
        <v>8</v>
      </c>
      <c r="I717" s="123">
        <v>0</v>
      </c>
      <c r="J717" s="123">
        <v>0</v>
      </c>
      <c r="K717" s="123">
        <v>0</v>
      </c>
      <c r="L717" s="123">
        <v>0</v>
      </c>
      <c r="M717" s="123">
        <v>1</v>
      </c>
      <c r="N717" s="123">
        <v>0</v>
      </c>
      <c r="O717" s="123">
        <v>1</v>
      </c>
      <c r="P717" s="7" t="s">
        <v>13</v>
      </c>
      <c r="Q717" s="9"/>
      <c r="R717" s="1"/>
    </row>
    <row r="718" spans="1:18" ht="13.5" thickBot="1" x14ac:dyDescent="0.25">
      <c r="A718" s="123">
        <v>101</v>
      </c>
      <c r="B718" s="123">
        <v>101</v>
      </c>
      <c r="C718" s="123">
        <v>0</v>
      </c>
      <c r="D718" s="123">
        <v>3</v>
      </c>
      <c r="E718" s="123">
        <v>3</v>
      </c>
      <c r="F718" s="123">
        <v>0</v>
      </c>
      <c r="G718" s="123">
        <v>61</v>
      </c>
      <c r="H718" s="123">
        <v>61</v>
      </c>
      <c r="I718" s="123">
        <v>0</v>
      </c>
      <c r="J718" s="123">
        <v>29</v>
      </c>
      <c r="K718" s="123">
        <v>29</v>
      </c>
      <c r="L718" s="123">
        <v>0</v>
      </c>
      <c r="M718" s="123">
        <v>8</v>
      </c>
      <c r="N718" s="123">
        <v>8</v>
      </c>
      <c r="O718" s="123">
        <v>0</v>
      </c>
      <c r="P718" s="7" t="s">
        <v>163</v>
      </c>
      <c r="Q718" s="124"/>
      <c r="R718" s="1"/>
    </row>
    <row r="719" spans="1:18" ht="13.5" thickBot="1" x14ac:dyDescent="0.25">
      <c r="A719" s="123">
        <v>5</v>
      </c>
      <c r="B719" s="123">
        <v>5</v>
      </c>
      <c r="C719" s="123">
        <v>0</v>
      </c>
      <c r="D719" s="123">
        <v>0</v>
      </c>
      <c r="E719" s="123">
        <v>0</v>
      </c>
      <c r="F719" s="123">
        <v>0</v>
      </c>
      <c r="G719" s="123">
        <v>0</v>
      </c>
      <c r="H719" s="123">
        <v>0</v>
      </c>
      <c r="I719" s="123">
        <v>0</v>
      </c>
      <c r="J719" s="123">
        <v>0</v>
      </c>
      <c r="K719" s="123">
        <v>0</v>
      </c>
      <c r="L719" s="123">
        <v>0</v>
      </c>
      <c r="M719" s="123">
        <v>5</v>
      </c>
      <c r="N719" s="123">
        <v>5</v>
      </c>
      <c r="O719" s="123">
        <v>0</v>
      </c>
      <c r="P719" s="7" t="s">
        <v>162</v>
      </c>
      <c r="Q719" s="124" t="s">
        <v>574</v>
      </c>
      <c r="R719" s="1"/>
    </row>
    <row r="720" spans="1:18" ht="13.5" thickBot="1" x14ac:dyDescent="0.25">
      <c r="A720" s="123">
        <v>106</v>
      </c>
      <c r="B720" s="123">
        <v>106</v>
      </c>
      <c r="C720" s="123">
        <v>0</v>
      </c>
      <c r="D720" s="123">
        <v>3</v>
      </c>
      <c r="E720" s="123">
        <v>3</v>
      </c>
      <c r="F720" s="123">
        <v>0</v>
      </c>
      <c r="G720" s="123">
        <v>61</v>
      </c>
      <c r="H720" s="123">
        <v>61</v>
      </c>
      <c r="I720" s="123">
        <v>0</v>
      </c>
      <c r="J720" s="123">
        <v>29</v>
      </c>
      <c r="K720" s="123">
        <v>29</v>
      </c>
      <c r="L720" s="123">
        <v>0</v>
      </c>
      <c r="M720" s="123">
        <v>13</v>
      </c>
      <c r="N720" s="123">
        <v>13</v>
      </c>
      <c r="O720" s="123">
        <v>0</v>
      </c>
      <c r="P720" s="7" t="s">
        <v>13</v>
      </c>
      <c r="Q720" s="9"/>
      <c r="R720" s="1"/>
    </row>
    <row r="721" spans="1:18" ht="13.5" thickBot="1" x14ac:dyDescent="0.25">
      <c r="A721" s="123">
        <v>17</v>
      </c>
      <c r="B721" s="123">
        <v>1</v>
      </c>
      <c r="C721" s="123">
        <v>16</v>
      </c>
      <c r="D721" s="123">
        <v>11</v>
      </c>
      <c r="E721" s="123">
        <v>0</v>
      </c>
      <c r="F721" s="123">
        <v>11</v>
      </c>
      <c r="G721" s="123">
        <v>3</v>
      </c>
      <c r="H721" s="123">
        <v>0</v>
      </c>
      <c r="I721" s="123">
        <v>3</v>
      </c>
      <c r="J721" s="123">
        <v>3</v>
      </c>
      <c r="K721" s="123">
        <v>1</v>
      </c>
      <c r="L721" s="123">
        <v>2</v>
      </c>
      <c r="M721" s="123">
        <v>0</v>
      </c>
      <c r="N721" s="123">
        <v>0</v>
      </c>
      <c r="O721" s="123">
        <v>0</v>
      </c>
      <c r="P721" s="7" t="s">
        <v>163</v>
      </c>
      <c r="Q721" s="124"/>
      <c r="R721" s="1"/>
    </row>
    <row r="722" spans="1:18" ht="13.5" thickBot="1" x14ac:dyDescent="0.25">
      <c r="A722" s="123">
        <v>21</v>
      </c>
      <c r="B722" s="123">
        <v>12</v>
      </c>
      <c r="C722" s="123">
        <v>9</v>
      </c>
      <c r="D722" s="123">
        <v>6</v>
      </c>
      <c r="E722" s="123">
        <v>3</v>
      </c>
      <c r="F722" s="123">
        <v>3</v>
      </c>
      <c r="G722" s="123">
        <v>0</v>
      </c>
      <c r="H722" s="123">
        <v>0</v>
      </c>
      <c r="I722" s="123">
        <v>0</v>
      </c>
      <c r="J722" s="123">
        <v>7</v>
      </c>
      <c r="K722" s="123">
        <v>4</v>
      </c>
      <c r="L722" s="123">
        <v>3</v>
      </c>
      <c r="M722" s="123">
        <v>8</v>
      </c>
      <c r="N722" s="123">
        <v>5</v>
      </c>
      <c r="O722" s="123">
        <v>3</v>
      </c>
      <c r="P722" s="7" t="s">
        <v>162</v>
      </c>
      <c r="Q722" s="124" t="s">
        <v>637</v>
      </c>
      <c r="R722" s="1"/>
    </row>
    <row r="723" spans="1:18" ht="13.5" thickBot="1" x14ac:dyDescent="0.25">
      <c r="A723" s="123">
        <v>38</v>
      </c>
      <c r="B723" s="123">
        <v>13</v>
      </c>
      <c r="C723" s="123">
        <v>25</v>
      </c>
      <c r="D723" s="123">
        <v>17</v>
      </c>
      <c r="E723" s="123">
        <v>3</v>
      </c>
      <c r="F723" s="123">
        <v>14</v>
      </c>
      <c r="G723" s="123">
        <v>3</v>
      </c>
      <c r="H723" s="123">
        <v>0</v>
      </c>
      <c r="I723" s="123">
        <v>3</v>
      </c>
      <c r="J723" s="123">
        <v>10</v>
      </c>
      <c r="K723" s="123">
        <v>5</v>
      </c>
      <c r="L723" s="123">
        <v>5</v>
      </c>
      <c r="M723" s="123">
        <v>8</v>
      </c>
      <c r="N723" s="123">
        <v>5</v>
      </c>
      <c r="O723" s="123">
        <v>3</v>
      </c>
      <c r="P723" s="7" t="s">
        <v>13</v>
      </c>
      <c r="Q723" s="9"/>
      <c r="R723" s="1"/>
    </row>
    <row r="724" spans="1:18" ht="13.5" thickBot="1" x14ac:dyDescent="0.25">
      <c r="A724" s="123">
        <v>555</v>
      </c>
      <c r="B724" s="123">
        <v>273</v>
      </c>
      <c r="C724" s="123">
        <v>282</v>
      </c>
      <c r="D724" s="123">
        <v>15</v>
      </c>
      <c r="E724" s="123">
        <v>3</v>
      </c>
      <c r="F724" s="123">
        <v>12</v>
      </c>
      <c r="G724" s="123">
        <v>340</v>
      </c>
      <c r="H724" s="123">
        <v>199</v>
      </c>
      <c r="I724" s="123">
        <v>141</v>
      </c>
      <c r="J724" s="123">
        <v>119</v>
      </c>
      <c r="K724" s="123">
        <v>53</v>
      </c>
      <c r="L724" s="123">
        <v>66</v>
      </c>
      <c r="M724" s="123">
        <v>81</v>
      </c>
      <c r="N724" s="123">
        <v>18</v>
      </c>
      <c r="O724" s="123">
        <v>63</v>
      </c>
      <c r="P724" s="7" t="s">
        <v>163</v>
      </c>
      <c r="Q724" s="3"/>
      <c r="R724" s="1"/>
    </row>
    <row r="725" spans="1:18" ht="13.5" thickBot="1" x14ac:dyDescent="0.25">
      <c r="A725" s="123">
        <v>307</v>
      </c>
      <c r="B725" s="123">
        <v>86</v>
      </c>
      <c r="C725" s="123">
        <v>221</v>
      </c>
      <c r="D725" s="123">
        <v>8</v>
      </c>
      <c r="E725" s="123">
        <v>5</v>
      </c>
      <c r="F725" s="123">
        <v>3</v>
      </c>
      <c r="G725" s="123">
        <v>0</v>
      </c>
      <c r="H725" s="123">
        <v>0</v>
      </c>
      <c r="I725" s="123">
        <v>0</v>
      </c>
      <c r="J725" s="123">
        <v>7</v>
      </c>
      <c r="K725" s="123">
        <v>4</v>
      </c>
      <c r="L725" s="123">
        <v>3</v>
      </c>
      <c r="M725" s="123">
        <v>292</v>
      </c>
      <c r="N725" s="123">
        <v>77</v>
      </c>
      <c r="O725" s="123">
        <v>215</v>
      </c>
      <c r="P725" s="7" t="s">
        <v>162</v>
      </c>
      <c r="Q725" s="11" t="s">
        <v>211</v>
      </c>
      <c r="R725" s="1"/>
    </row>
    <row r="726" spans="1:18" ht="13.5" thickBot="1" x14ac:dyDescent="0.25">
      <c r="A726" s="123">
        <v>862</v>
      </c>
      <c r="B726" s="123">
        <v>359</v>
      </c>
      <c r="C726" s="123">
        <v>503</v>
      </c>
      <c r="D726" s="123">
        <v>23</v>
      </c>
      <c r="E726" s="123">
        <v>8</v>
      </c>
      <c r="F726" s="123">
        <v>15</v>
      </c>
      <c r="G726" s="123">
        <v>340</v>
      </c>
      <c r="H726" s="123">
        <v>199</v>
      </c>
      <c r="I726" s="123">
        <v>141</v>
      </c>
      <c r="J726" s="123">
        <v>126</v>
      </c>
      <c r="K726" s="123">
        <v>57</v>
      </c>
      <c r="L726" s="123">
        <v>69</v>
      </c>
      <c r="M726" s="123">
        <v>373</v>
      </c>
      <c r="N726" s="123">
        <v>95</v>
      </c>
      <c r="O726" s="123">
        <v>278</v>
      </c>
      <c r="P726" s="7" t="s">
        <v>13</v>
      </c>
      <c r="Q726" s="5"/>
      <c r="R726" s="1"/>
    </row>
    <row r="727" spans="1:18" ht="18" customHeight="1" x14ac:dyDescent="0.2">
      <c r="A727" s="207"/>
      <c r="B727" s="207"/>
      <c r="C727" s="207"/>
      <c r="D727" s="207"/>
      <c r="E727" s="207"/>
      <c r="F727" s="207"/>
      <c r="G727" s="207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1"/>
    </row>
    <row r="728" spans="1:18" ht="18" customHeight="1" x14ac:dyDescent="0.2">
      <c r="A728" s="159" t="s">
        <v>643</v>
      </c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"/>
    </row>
    <row r="729" spans="1:18" ht="18" customHeight="1" thickBot="1" x14ac:dyDescent="0.25">
      <c r="A729" s="160" t="s">
        <v>644</v>
      </c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"/>
    </row>
    <row r="730" spans="1:18" ht="13.5" thickBot="1" x14ac:dyDescent="0.25">
      <c r="A730" s="204" t="s">
        <v>5</v>
      </c>
      <c r="B730" s="204"/>
      <c r="C730" s="204"/>
      <c r="D730" s="204" t="s">
        <v>57</v>
      </c>
      <c r="E730" s="204"/>
      <c r="F730" s="204"/>
      <c r="G730" s="204" t="s">
        <v>65</v>
      </c>
      <c r="H730" s="204"/>
      <c r="I730" s="204"/>
      <c r="J730" s="204" t="s">
        <v>62</v>
      </c>
      <c r="K730" s="204"/>
      <c r="L730" s="204"/>
      <c r="M730" s="204" t="s">
        <v>61</v>
      </c>
      <c r="N730" s="204"/>
      <c r="O730" s="204"/>
      <c r="P730" s="205" t="s">
        <v>645</v>
      </c>
      <c r="Q730" s="47" t="s">
        <v>161</v>
      </c>
      <c r="R730" s="1"/>
    </row>
    <row r="731" spans="1:18" ht="13.5" thickBot="1" x14ac:dyDescent="0.25">
      <c r="A731" s="47" t="s">
        <v>216</v>
      </c>
      <c r="B731" s="47" t="s">
        <v>11</v>
      </c>
      <c r="C731" s="47" t="s">
        <v>10</v>
      </c>
      <c r="D731" s="47" t="s">
        <v>216</v>
      </c>
      <c r="E731" s="47" t="s">
        <v>11</v>
      </c>
      <c r="F731" s="47" t="s">
        <v>10</v>
      </c>
      <c r="G731" s="47" t="s">
        <v>216</v>
      </c>
      <c r="H731" s="47" t="s">
        <v>11</v>
      </c>
      <c r="I731" s="47" t="s">
        <v>10</v>
      </c>
      <c r="J731" s="47" t="s">
        <v>216</v>
      </c>
      <c r="K731" s="47" t="s">
        <v>11</v>
      </c>
      <c r="L731" s="47" t="s">
        <v>10</v>
      </c>
      <c r="M731" s="47" t="s">
        <v>216</v>
      </c>
      <c r="N731" s="47" t="s">
        <v>11</v>
      </c>
      <c r="O731" s="47" t="s">
        <v>10</v>
      </c>
      <c r="P731" s="206"/>
      <c r="Q731" s="5" t="s">
        <v>165</v>
      </c>
      <c r="R731" s="1"/>
    </row>
    <row r="732" spans="1:18" ht="13.5" thickBot="1" x14ac:dyDescent="0.25">
      <c r="A732" s="123">
        <v>14</v>
      </c>
      <c r="B732" s="123">
        <v>0</v>
      </c>
      <c r="C732" s="123">
        <v>14</v>
      </c>
      <c r="D732" s="123">
        <v>0</v>
      </c>
      <c r="E732" s="123">
        <v>0</v>
      </c>
      <c r="F732" s="123">
        <v>0</v>
      </c>
      <c r="G732" s="123">
        <v>0</v>
      </c>
      <c r="H732" s="123">
        <v>0</v>
      </c>
      <c r="I732" s="123">
        <v>0</v>
      </c>
      <c r="J732" s="123">
        <v>2</v>
      </c>
      <c r="K732" s="123">
        <v>0</v>
      </c>
      <c r="L732" s="123">
        <v>2</v>
      </c>
      <c r="M732" s="123">
        <v>12</v>
      </c>
      <c r="N732" s="123">
        <v>0</v>
      </c>
      <c r="O732" s="123">
        <v>12</v>
      </c>
      <c r="P732" s="7" t="s">
        <v>163</v>
      </c>
      <c r="Q732" s="124"/>
      <c r="R732" s="1"/>
    </row>
    <row r="733" spans="1:18" ht="13.5" thickBot="1" x14ac:dyDescent="0.25">
      <c r="A733" s="123">
        <v>20</v>
      </c>
      <c r="B733" s="123">
        <v>4</v>
      </c>
      <c r="C733" s="123">
        <v>16</v>
      </c>
      <c r="D733" s="123">
        <v>0</v>
      </c>
      <c r="E733" s="123">
        <v>0</v>
      </c>
      <c r="F733" s="123">
        <v>0</v>
      </c>
      <c r="G733" s="123">
        <v>0</v>
      </c>
      <c r="H733" s="123">
        <v>0</v>
      </c>
      <c r="I733" s="123">
        <v>0</v>
      </c>
      <c r="J733" s="123">
        <v>0</v>
      </c>
      <c r="K733" s="123">
        <v>0</v>
      </c>
      <c r="L733" s="123">
        <v>0</v>
      </c>
      <c r="M733" s="123">
        <v>20</v>
      </c>
      <c r="N733" s="123">
        <v>4</v>
      </c>
      <c r="O733" s="123">
        <v>16</v>
      </c>
      <c r="P733" s="7" t="s">
        <v>162</v>
      </c>
      <c r="Q733" s="124" t="s">
        <v>542</v>
      </c>
      <c r="R733" s="1"/>
    </row>
    <row r="734" spans="1:18" ht="13.5" thickBot="1" x14ac:dyDescent="0.25">
      <c r="A734" s="123">
        <v>34</v>
      </c>
      <c r="B734" s="123">
        <v>4</v>
      </c>
      <c r="C734" s="123">
        <v>30</v>
      </c>
      <c r="D734" s="123">
        <v>0</v>
      </c>
      <c r="E734" s="123">
        <v>0</v>
      </c>
      <c r="F734" s="123">
        <v>0</v>
      </c>
      <c r="G734" s="123">
        <v>0</v>
      </c>
      <c r="H734" s="123">
        <v>0</v>
      </c>
      <c r="I734" s="123">
        <v>0</v>
      </c>
      <c r="J734" s="123">
        <v>2</v>
      </c>
      <c r="K734" s="123">
        <v>0</v>
      </c>
      <c r="L734" s="123">
        <v>2</v>
      </c>
      <c r="M734" s="123">
        <v>32</v>
      </c>
      <c r="N734" s="123">
        <v>4</v>
      </c>
      <c r="O734" s="123">
        <v>28</v>
      </c>
      <c r="P734" s="7" t="s">
        <v>13</v>
      </c>
      <c r="Q734" s="9"/>
      <c r="R734" s="1"/>
    </row>
    <row r="735" spans="1:18" ht="13.5" thickBot="1" x14ac:dyDescent="0.25">
      <c r="A735" s="123">
        <v>3</v>
      </c>
      <c r="B735" s="123">
        <v>0</v>
      </c>
      <c r="C735" s="123">
        <v>3</v>
      </c>
      <c r="D735" s="123">
        <v>0</v>
      </c>
      <c r="E735" s="123">
        <v>0</v>
      </c>
      <c r="F735" s="123">
        <v>0</v>
      </c>
      <c r="G735" s="123">
        <v>0</v>
      </c>
      <c r="H735" s="123">
        <v>0</v>
      </c>
      <c r="I735" s="123">
        <v>0</v>
      </c>
      <c r="J735" s="123">
        <v>0</v>
      </c>
      <c r="K735" s="123">
        <v>0</v>
      </c>
      <c r="L735" s="123">
        <v>0</v>
      </c>
      <c r="M735" s="123">
        <v>3</v>
      </c>
      <c r="N735" s="123">
        <v>0</v>
      </c>
      <c r="O735" s="123">
        <v>3</v>
      </c>
      <c r="P735" s="7" t="s">
        <v>163</v>
      </c>
      <c r="Q735" s="124"/>
      <c r="R735" s="1"/>
    </row>
    <row r="736" spans="1:18" ht="13.5" thickBot="1" x14ac:dyDescent="0.25">
      <c r="A736" s="123">
        <v>2</v>
      </c>
      <c r="B736" s="123">
        <v>0</v>
      </c>
      <c r="C736" s="123">
        <v>2</v>
      </c>
      <c r="D736" s="123">
        <v>0</v>
      </c>
      <c r="E736" s="123">
        <v>0</v>
      </c>
      <c r="F736" s="123">
        <v>0</v>
      </c>
      <c r="G736" s="123">
        <v>0</v>
      </c>
      <c r="H736" s="123">
        <v>0</v>
      </c>
      <c r="I736" s="123">
        <v>0</v>
      </c>
      <c r="J736" s="123">
        <v>1</v>
      </c>
      <c r="K736" s="123">
        <v>0</v>
      </c>
      <c r="L736" s="123">
        <v>1</v>
      </c>
      <c r="M736" s="123">
        <v>1</v>
      </c>
      <c r="N736" s="123">
        <v>0</v>
      </c>
      <c r="O736" s="123">
        <v>1</v>
      </c>
      <c r="P736" s="7" t="s">
        <v>162</v>
      </c>
      <c r="Q736" s="124" t="s">
        <v>543</v>
      </c>
      <c r="R736" s="1"/>
    </row>
    <row r="737" spans="1:18" ht="13.5" thickBot="1" x14ac:dyDescent="0.25">
      <c r="A737" s="123">
        <v>5</v>
      </c>
      <c r="B737" s="123">
        <v>0</v>
      </c>
      <c r="C737" s="123">
        <v>5</v>
      </c>
      <c r="D737" s="123">
        <v>0</v>
      </c>
      <c r="E737" s="123">
        <v>0</v>
      </c>
      <c r="F737" s="123">
        <v>0</v>
      </c>
      <c r="G737" s="123">
        <v>0</v>
      </c>
      <c r="H737" s="123">
        <v>0</v>
      </c>
      <c r="I737" s="123">
        <v>0</v>
      </c>
      <c r="J737" s="123">
        <v>1</v>
      </c>
      <c r="K737" s="123">
        <v>0</v>
      </c>
      <c r="L737" s="123">
        <v>1</v>
      </c>
      <c r="M737" s="123">
        <v>4</v>
      </c>
      <c r="N737" s="123">
        <v>0</v>
      </c>
      <c r="O737" s="123">
        <v>4</v>
      </c>
      <c r="P737" s="7" t="s">
        <v>13</v>
      </c>
      <c r="Q737" s="9"/>
      <c r="R737" s="1"/>
    </row>
    <row r="738" spans="1:18" ht="13.5" thickBot="1" x14ac:dyDescent="0.25">
      <c r="A738" s="123">
        <v>10</v>
      </c>
      <c r="B738" s="123">
        <v>10</v>
      </c>
      <c r="C738" s="123">
        <v>0</v>
      </c>
      <c r="D738" s="123">
        <v>0</v>
      </c>
      <c r="E738" s="123">
        <v>0</v>
      </c>
      <c r="F738" s="123">
        <v>0</v>
      </c>
      <c r="G738" s="123">
        <v>1</v>
      </c>
      <c r="H738" s="123">
        <v>1</v>
      </c>
      <c r="I738" s="123">
        <v>0</v>
      </c>
      <c r="J738" s="123">
        <v>8</v>
      </c>
      <c r="K738" s="123">
        <v>8</v>
      </c>
      <c r="L738" s="123">
        <v>0</v>
      </c>
      <c r="M738" s="123">
        <v>1</v>
      </c>
      <c r="N738" s="123">
        <v>1</v>
      </c>
      <c r="O738" s="123">
        <v>0</v>
      </c>
      <c r="P738" s="7" t="s">
        <v>163</v>
      </c>
      <c r="Q738" s="124"/>
      <c r="R738" s="1"/>
    </row>
    <row r="739" spans="1:18" ht="13.5" thickBot="1" x14ac:dyDescent="0.25">
      <c r="A739" s="123">
        <v>27</v>
      </c>
      <c r="B739" s="123">
        <v>25</v>
      </c>
      <c r="C739" s="123">
        <v>2</v>
      </c>
      <c r="D739" s="123">
        <v>1</v>
      </c>
      <c r="E739" s="123">
        <v>1</v>
      </c>
      <c r="F739" s="123">
        <v>0</v>
      </c>
      <c r="G739" s="123">
        <v>4</v>
      </c>
      <c r="H739" s="123">
        <v>4</v>
      </c>
      <c r="I739" s="123">
        <v>0</v>
      </c>
      <c r="J739" s="123">
        <v>11</v>
      </c>
      <c r="K739" s="123">
        <v>11</v>
      </c>
      <c r="L739" s="123">
        <v>0</v>
      </c>
      <c r="M739" s="123">
        <v>11</v>
      </c>
      <c r="N739" s="123">
        <v>9</v>
      </c>
      <c r="O739" s="123">
        <v>2</v>
      </c>
      <c r="P739" s="7" t="s">
        <v>162</v>
      </c>
      <c r="Q739" s="124" t="s">
        <v>477</v>
      </c>
      <c r="R739" s="1"/>
    </row>
    <row r="740" spans="1:18" ht="13.5" thickBot="1" x14ac:dyDescent="0.25">
      <c r="A740" s="123">
        <v>37</v>
      </c>
      <c r="B740" s="123">
        <v>35</v>
      </c>
      <c r="C740" s="123">
        <v>2</v>
      </c>
      <c r="D740" s="123">
        <v>1</v>
      </c>
      <c r="E740" s="123">
        <v>1</v>
      </c>
      <c r="F740" s="123">
        <v>0</v>
      </c>
      <c r="G740" s="123">
        <v>5</v>
      </c>
      <c r="H740" s="123">
        <v>5</v>
      </c>
      <c r="I740" s="123">
        <v>0</v>
      </c>
      <c r="J740" s="123">
        <v>19</v>
      </c>
      <c r="K740" s="123">
        <v>19</v>
      </c>
      <c r="L740" s="123">
        <v>0</v>
      </c>
      <c r="M740" s="123">
        <v>12</v>
      </c>
      <c r="N740" s="123">
        <v>10</v>
      </c>
      <c r="O740" s="123">
        <v>2</v>
      </c>
      <c r="P740" s="7" t="s">
        <v>13</v>
      </c>
      <c r="Q740" s="9"/>
      <c r="R740" s="1"/>
    </row>
    <row r="741" spans="1:18" ht="13.5" thickBot="1" x14ac:dyDescent="0.25">
      <c r="A741" s="123">
        <v>11</v>
      </c>
      <c r="B741" s="123">
        <v>11</v>
      </c>
      <c r="C741" s="123">
        <v>0</v>
      </c>
      <c r="D741" s="123">
        <v>0</v>
      </c>
      <c r="E741" s="123">
        <v>0</v>
      </c>
      <c r="F741" s="123">
        <v>0</v>
      </c>
      <c r="G741" s="123">
        <v>9</v>
      </c>
      <c r="H741" s="123">
        <v>9</v>
      </c>
      <c r="I741" s="123">
        <v>0</v>
      </c>
      <c r="J741" s="123">
        <v>1</v>
      </c>
      <c r="K741" s="123">
        <v>1</v>
      </c>
      <c r="L741" s="123">
        <v>0</v>
      </c>
      <c r="M741" s="123">
        <v>1</v>
      </c>
      <c r="N741" s="123">
        <v>1</v>
      </c>
      <c r="O741" s="123">
        <v>0</v>
      </c>
      <c r="P741" s="7" t="s">
        <v>163</v>
      </c>
      <c r="Q741" s="124"/>
      <c r="R741" s="1"/>
    </row>
    <row r="742" spans="1:18" ht="13.5" thickBot="1" x14ac:dyDescent="0.25">
      <c r="A742" s="123">
        <v>9</v>
      </c>
      <c r="B742" s="123">
        <v>9</v>
      </c>
      <c r="C742" s="123">
        <v>0</v>
      </c>
      <c r="D742" s="123">
        <v>0</v>
      </c>
      <c r="E742" s="123">
        <v>0</v>
      </c>
      <c r="F742" s="123">
        <v>0</v>
      </c>
      <c r="G742" s="123">
        <v>0</v>
      </c>
      <c r="H742" s="123">
        <v>0</v>
      </c>
      <c r="I742" s="123">
        <v>0</v>
      </c>
      <c r="J742" s="123">
        <v>2</v>
      </c>
      <c r="K742" s="123">
        <v>2</v>
      </c>
      <c r="L742" s="123">
        <v>0</v>
      </c>
      <c r="M742" s="123">
        <v>7</v>
      </c>
      <c r="N742" s="123">
        <v>7</v>
      </c>
      <c r="O742" s="123">
        <v>0</v>
      </c>
      <c r="P742" s="7" t="s">
        <v>162</v>
      </c>
      <c r="Q742" s="124" t="s">
        <v>478</v>
      </c>
      <c r="R742" s="1"/>
    </row>
    <row r="743" spans="1:18" ht="13.5" thickBot="1" x14ac:dyDescent="0.25">
      <c r="A743" s="123">
        <v>20</v>
      </c>
      <c r="B743" s="123">
        <v>20</v>
      </c>
      <c r="C743" s="123">
        <v>0</v>
      </c>
      <c r="D743" s="123">
        <v>0</v>
      </c>
      <c r="E743" s="123">
        <v>0</v>
      </c>
      <c r="F743" s="123">
        <v>0</v>
      </c>
      <c r="G743" s="123">
        <v>9</v>
      </c>
      <c r="H743" s="123">
        <v>9</v>
      </c>
      <c r="I743" s="123">
        <v>0</v>
      </c>
      <c r="J743" s="123">
        <v>3</v>
      </c>
      <c r="K743" s="123">
        <v>3</v>
      </c>
      <c r="L743" s="123">
        <v>0</v>
      </c>
      <c r="M743" s="123">
        <v>8</v>
      </c>
      <c r="N743" s="123">
        <v>8</v>
      </c>
      <c r="O743" s="123">
        <v>0</v>
      </c>
      <c r="P743" s="7" t="s">
        <v>13</v>
      </c>
      <c r="Q743" s="9"/>
      <c r="R743" s="1"/>
    </row>
    <row r="744" spans="1:18" ht="13.5" thickBot="1" x14ac:dyDescent="0.25">
      <c r="A744" s="123">
        <v>38</v>
      </c>
      <c r="B744" s="123">
        <v>21</v>
      </c>
      <c r="C744" s="123">
        <v>17</v>
      </c>
      <c r="D744" s="123">
        <v>0</v>
      </c>
      <c r="E744" s="123">
        <v>0</v>
      </c>
      <c r="F744" s="123">
        <v>0</v>
      </c>
      <c r="G744" s="123">
        <v>10</v>
      </c>
      <c r="H744" s="123">
        <v>10</v>
      </c>
      <c r="I744" s="123">
        <v>0</v>
      </c>
      <c r="J744" s="123">
        <v>11</v>
      </c>
      <c r="K744" s="123">
        <v>9</v>
      </c>
      <c r="L744" s="123">
        <v>2</v>
      </c>
      <c r="M744" s="123">
        <v>17</v>
      </c>
      <c r="N744" s="123">
        <v>2</v>
      </c>
      <c r="O744" s="123">
        <v>15</v>
      </c>
      <c r="P744" s="7" t="s">
        <v>163</v>
      </c>
      <c r="Q744" s="3"/>
      <c r="R744" s="1"/>
    </row>
    <row r="745" spans="1:18" ht="13.5" thickBot="1" x14ac:dyDescent="0.25">
      <c r="A745" s="123">
        <v>58</v>
      </c>
      <c r="B745" s="123">
        <v>38</v>
      </c>
      <c r="C745" s="123">
        <v>20</v>
      </c>
      <c r="D745" s="123">
        <v>1</v>
      </c>
      <c r="E745" s="123">
        <v>1</v>
      </c>
      <c r="F745" s="123">
        <v>0</v>
      </c>
      <c r="G745" s="123">
        <v>4</v>
      </c>
      <c r="H745" s="123">
        <v>4</v>
      </c>
      <c r="I745" s="123">
        <v>0</v>
      </c>
      <c r="J745" s="123">
        <v>14</v>
      </c>
      <c r="K745" s="123">
        <v>13</v>
      </c>
      <c r="L745" s="123">
        <v>1</v>
      </c>
      <c r="M745" s="123">
        <v>39</v>
      </c>
      <c r="N745" s="123">
        <v>20</v>
      </c>
      <c r="O745" s="123">
        <v>19</v>
      </c>
      <c r="P745" s="7" t="s">
        <v>162</v>
      </c>
      <c r="Q745" s="11" t="s">
        <v>211</v>
      </c>
      <c r="R745" s="1"/>
    </row>
    <row r="746" spans="1:18" ht="13.5" thickBot="1" x14ac:dyDescent="0.25">
      <c r="A746" s="123">
        <v>96</v>
      </c>
      <c r="B746" s="123">
        <v>59</v>
      </c>
      <c r="C746" s="123">
        <v>37</v>
      </c>
      <c r="D746" s="123">
        <v>1</v>
      </c>
      <c r="E746" s="123">
        <v>1</v>
      </c>
      <c r="F746" s="123">
        <v>0</v>
      </c>
      <c r="G746" s="123">
        <v>14</v>
      </c>
      <c r="H746" s="123">
        <v>14</v>
      </c>
      <c r="I746" s="123">
        <v>0</v>
      </c>
      <c r="J746" s="123">
        <v>25</v>
      </c>
      <c r="K746" s="123">
        <v>22</v>
      </c>
      <c r="L746" s="123">
        <v>3</v>
      </c>
      <c r="M746" s="123">
        <v>56</v>
      </c>
      <c r="N746" s="123">
        <v>22</v>
      </c>
      <c r="O746" s="123">
        <v>34</v>
      </c>
      <c r="P746" s="7" t="s">
        <v>13</v>
      </c>
      <c r="Q746" s="5"/>
      <c r="R746" s="1"/>
    </row>
    <row r="747" spans="1:18" ht="18" customHeight="1" x14ac:dyDescent="0.2">
      <c r="A747" s="207"/>
      <c r="B747" s="207"/>
      <c r="C747" s="207"/>
      <c r="D747" s="207"/>
      <c r="E747" s="207"/>
      <c r="F747" s="207"/>
      <c r="G747" s="207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1"/>
    </row>
    <row r="748" spans="1:18" ht="18" customHeight="1" x14ac:dyDescent="0.2">
      <c r="A748" s="159" t="s">
        <v>643</v>
      </c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"/>
    </row>
    <row r="749" spans="1:18" ht="18" customHeight="1" thickBot="1" x14ac:dyDescent="0.25">
      <c r="A749" s="160" t="s">
        <v>644</v>
      </c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"/>
    </row>
    <row r="750" spans="1:18" ht="13.5" thickBot="1" x14ac:dyDescent="0.25">
      <c r="A750" s="204" t="s">
        <v>5</v>
      </c>
      <c r="B750" s="204"/>
      <c r="C750" s="204"/>
      <c r="D750" s="204" t="s">
        <v>57</v>
      </c>
      <c r="E750" s="204"/>
      <c r="F750" s="204"/>
      <c r="G750" s="204" t="s">
        <v>65</v>
      </c>
      <c r="H750" s="204"/>
      <c r="I750" s="204"/>
      <c r="J750" s="204" t="s">
        <v>62</v>
      </c>
      <c r="K750" s="204"/>
      <c r="L750" s="204"/>
      <c r="M750" s="204" t="s">
        <v>61</v>
      </c>
      <c r="N750" s="204"/>
      <c r="O750" s="204"/>
      <c r="P750" s="205" t="s">
        <v>645</v>
      </c>
      <c r="Q750" s="47" t="s">
        <v>161</v>
      </c>
      <c r="R750" s="1"/>
    </row>
    <row r="751" spans="1:18" ht="13.5" thickBot="1" x14ac:dyDescent="0.25">
      <c r="A751" s="47" t="s">
        <v>216</v>
      </c>
      <c r="B751" s="47" t="s">
        <v>11</v>
      </c>
      <c r="C751" s="47" t="s">
        <v>10</v>
      </c>
      <c r="D751" s="47" t="s">
        <v>216</v>
      </c>
      <c r="E751" s="47" t="s">
        <v>11</v>
      </c>
      <c r="F751" s="47" t="s">
        <v>10</v>
      </c>
      <c r="G751" s="47" t="s">
        <v>216</v>
      </c>
      <c r="H751" s="47" t="s">
        <v>11</v>
      </c>
      <c r="I751" s="47" t="s">
        <v>10</v>
      </c>
      <c r="J751" s="47" t="s">
        <v>216</v>
      </c>
      <c r="K751" s="47" t="s">
        <v>11</v>
      </c>
      <c r="L751" s="47" t="s">
        <v>10</v>
      </c>
      <c r="M751" s="47" t="s">
        <v>216</v>
      </c>
      <c r="N751" s="47" t="s">
        <v>11</v>
      </c>
      <c r="O751" s="47" t="s">
        <v>10</v>
      </c>
      <c r="P751" s="206"/>
      <c r="Q751" s="5" t="s">
        <v>115</v>
      </c>
      <c r="R751" s="1"/>
    </row>
    <row r="752" spans="1:18" ht="13.5" thickBot="1" x14ac:dyDescent="0.25">
      <c r="A752" s="123">
        <v>75</v>
      </c>
      <c r="B752" s="123">
        <v>0</v>
      </c>
      <c r="C752" s="123">
        <v>75</v>
      </c>
      <c r="D752" s="123">
        <v>0</v>
      </c>
      <c r="E752" s="123">
        <v>0</v>
      </c>
      <c r="F752" s="123">
        <v>0</v>
      </c>
      <c r="G752" s="123">
        <v>24</v>
      </c>
      <c r="H752" s="123">
        <v>0</v>
      </c>
      <c r="I752" s="123">
        <v>24</v>
      </c>
      <c r="J752" s="123">
        <v>24</v>
      </c>
      <c r="K752" s="123">
        <v>0</v>
      </c>
      <c r="L752" s="123">
        <v>24</v>
      </c>
      <c r="M752" s="123">
        <v>27</v>
      </c>
      <c r="N752" s="123">
        <v>0</v>
      </c>
      <c r="O752" s="123">
        <v>27</v>
      </c>
      <c r="P752" s="7" t="s">
        <v>163</v>
      </c>
      <c r="Q752" s="124"/>
      <c r="R752" s="1"/>
    </row>
    <row r="753" spans="1:18" ht="13.5" thickBot="1" x14ac:dyDescent="0.25">
      <c r="A753" s="123">
        <v>68</v>
      </c>
      <c r="B753" s="123">
        <v>0</v>
      </c>
      <c r="C753" s="123">
        <v>68</v>
      </c>
      <c r="D753" s="123">
        <v>8</v>
      </c>
      <c r="E753" s="123">
        <v>0</v>
      </c>
      <c r="F753" s="123">
        <v>8</v>
      </c>
      <c r="G753" s="123">
        <v>2</v>
      </c>
      <c r="H753" s="123">
        <v>0</v>
      </c>
      <c r="I753" s="123">
        <v>2</v>
      </c>
      <c r="J753" s="123">
        <v>10</v>
      </c>
      <c r="K753" s="123">
        <v>0</v>
      </c>
      <c r="L753" s="123">
        <v>10</v>
      </c>
      <c r="M753" s="123">
        <v>48</v>
      </c>
      <c r="N753" s="123">
        <v>0</v>
      </c>
      <c r="O753" s="123">
        <v>48</v>
      </c>
      <c r="P753" s="7" t="s">
        <v>162</v>
      </c>
      <c r="Q753" s="124" t="s">
        <v>265</v>
      </c>
      <c r="R753" s="1"/>
    </row>
    <row r="754" spans="1:18" ht="13.5" thickBot="1" x14ac:dyDescent="0.25">
      <c r="A754" s="123">
        <v>143</v>
      </c>
      <c r="B754" s="123">
        <v>0</v>
      </c>
      <c r="C754" s="123">
        <v>143</v>
      </c>
      <c r="D754" s="123">
        <v>8</v>
      </c>
      <c r="E754" s="123">
        <v>0</v>
      </c>
      <c r="F754" s="123">
        <v>8</v>
      </c>
      <c r="G754" s="123">
        <v>26</v>
      </c>
      <c r="H754" s="123">
        <v>0</v>
      </c>
      <c r="I754" s="123">
        <v>26</v>
      </c>
      <c r="J754" s="123">
        <v>34</v>
      </c>
      <c r="K754" s="123">
        <v>0</v>
      </c>
      <c r="L754" s="123">
        <v>34</v>
      </c>
      <c r="M754" s="123">
        <v>75</v>
      </c>
      <c r="N754" s="123">
        <v>0</v>
      </c>
      <c r="O754" s="123">
        <v>75</v>
      </c>
      <c r="P754" s="7" t="s">
        <v>13</v>
      </c>
      <c r="Q754" s="9"/>
      <c r="R754" s="1"/>
    </row>
    <row r="755" spans="1:18" ht="13.5" thickBot="1" x14ac:dyDescent="0.25">
      <c r="A755" s="123">
        <v>11</v>
      </c>
      <c r="B755" s="123">
        <v>3</v>
      </c>
      <c r="C755" s="123">
        <v>8</v>
      </c>
      <c r="D755" s="123">
        <v>0</v>
      </c>
      <c r="E755" s="123">
        <v>0</v>
      </c>
      <c r="F755" s="123">
        <v>0</v>
      </c>
      <c r="G755" s="123">
        <v>10</v>
      </c>
      <c r="H755" s="123">
        <v>3</v>
      </c>
      <c r="I755" s="123">
        <v>7</v>
      </c>
      <c r="J755" s="123">
        <v>0</v>
      </c>
      <c r="K755" s="123">
        <v>0</v>
      </c>
      <c r="L755" s="123">
        <v>0</v>
      </c>
      <c r="M755" s="123">
        <v>1</v>
      </c>
      <c r="N755" s="123">
        <v>0</v>
      </c>
      <c r="O755" s="123">
        <v>1</v>
      </c>
      <c r="P755" s="7" t="s">
        <v>163</v>
      </c>
      <c r="Q755" s="124"/>
      <c r="R755" s="1"/>
    </row>
    <row r="756" spans="1:18" ht="13.5" thickBot="1" x14ac:dyDescent="0.25">
      <c r="A756" s="123">
        <v>2</v>
      </c>
      <c r="B756" s="123">
        <v>0</v>
      </c>
      <c r="C756" s="123">
        <v>2</v>
      </c>
      <c r="D756" s="123">
        <v>0</v>
      </c>
      <c r="E756" s="123">
        <v>0</v>
      </c>
      <c r="F756" s="123">
        <v>0</v>
      </c>
      <c r="G756" s="123">
        <v>0</v>
      </c>
      <c r="H756" s="123">
        <v>0</v>
      </c>
      <c r="I756" s="123">
        <v>0</v>
      </c>
      <c r="J756" s="123">
        <v>0</v>
      </c>
      <c r="K756" s="123">
        <v>0</v>
      </c>
      <c r="L756" s="123">
        <v>0</v>
      </c>
      <c r="M756" s="123">
        <v>2</v>
      </c>
      <c r="N756" s="123">
        <v>0</v>
      </c>
      <c r="O756" s="123">
        <v>2</v>
      </c>
      <c r="P756" s="7" t="s">
        <v>162</v>
      </c>
      <c r="Q756" s="124" t="s">
        <v>416</v>
      </c>
      <c r="R756" s="1"/>
    </row>
    <row r="757" spans="1:18" ht="13.5" thickBot="1" x14ac:dyDescent="0.25">
      <c r="A757" s="123">
        <v>13</v>
      </c>
      <c r="B757" s="123">
        <v>3</v>
      </c>
      <c r="C757" s="123">
        <v>10</v>
      </c>
      <c r="D757" s="123">
        <v>0</v>
      </c>
      <c r="E757" s="123">
        <v>0</v>
      </c>
      <c r="F757" s="123">
        <v>0</v>
      </c>
      <c r="G757" s="123">
        <v>10</v>
      </c>
      <c r="H757" s="123">
        <v>3</v>
      </c>
      <c r="I757" s="123">
        <v>7</v>
      </c>
      <c r="J757" s="123">
        <v>0</v>
      </c>
      <c r="K757" s="123">
        <v>0</v>
      </c>
      <c r="L757" s="123">
        <v>0</v>
      </c>
      <c r="M757" s="123">
        <v>3</v>
      </c>
      <c r="N757" s="123">
        <v>0</v>
      </c>
      <c r="O757" s="123">
        <v>3</v>
      </c>
      <c r="P757" s="7" t="s">
        <v>13</v>
      </c>
      <c r="Q757" s="9"/>
      <c r="R757" s="1"/>
    </row>
    <row r="758" spans="1:18" ht="13.5" thickBot="1" x14ac:dyDescent="0.25">
      <c r="A758" s="123">
        <v>7</v>
      </c>
      <c r="B758" s="123">
        <v>0</v>
      </c>
      <c r="C758" s="123">
        <v>7</v>
      </c>
      <c r="D758" s="123">
        <v>0</v>
      </c>
      <c r="E758" s="123">
        <v>0</v>
      </c>
      <c r="F758" s="123">
        <v>0</v>
      </c>
      <c r="G758" s="123">
        <v>6</v>
      </c>
      <c r="H758" s="123">
        <v>0</v>
      </c>
      <c r="I758" s="123">
        <v>6</v>
      </c>
      <c r="J758" s="123">
        <v>0</v>
      </c>
      <c r="K758" s="123">
        <v>0</v>
      </c>
      <c r="L758" s="123">
        <v>0</v>
      </c>
      <c r="M758" s="123">
        <v>1</v>
      </c>
      <c r="N758" s="123">
        <v>0</v>
      </c>
      <c r="O758" s="123">
        <v>1</v>
      </c>
      <c r="P758" s="7" t="s">
        <v>163</v>
      </c>
      <c r="Q758" s="124"/>
      <c r="R758" s="1"/>
    </row>
    <row r="759" spans="1:18" ht="13.5" thickBot="1" x14ac:dyDescent="0.25">
      <c r="A759" s="123">
        <v>14</v>
      </c>
      <c r="B759" s="123">
        <v>0</v>
      </c>
      <c r="C759" s="123">
        <v>14</v>
      </c>
      <c r="D759" s="123">
        <v>0</v>
      </c>
      <c r="E759" s="123">
        <v>0</v>
      </c>
      <c r="F759" s="123">
        <v>0</v>
      </c>
      <c r="G759" s="123">
        <v>0</v>
      </c>
      <c r="H759" s="123">
        <v>0</v>
      </c>
      <c r="I759" s="123">
        <v>0</v>
      </c>
      <c r="J759" s="123">
        <v>0</v>
      </c>
      <c r="K759" s="123">
        <v>0</v>
      </c>
      <c r="L759" s="123">
        <v>0</v>
      </c>
      <c r="M759" s="123">
        <v>14</v>
      </c>
      <c r="N759" s="123">
        <v>0</v>
      </c>
      <c r="O759" s="123">
        <v>14</v>
      </c>
      <c r="P759" s="7" t="s">
        <v>162</v>
      </c>
      <c r="Q759" s="124" t="s">
        <v>377</v>
      </c>
      <c r="R759" s="1"/>
    </row>
    <row r="760" spans="1:18" ht="13.5" thickBot="1" x14ac:dyDescent="0.25">
      <c r="A760" s="123">
        <v>21</v>
      </c>
      <c r="B760" s="123">
        <v>0</v>
      </c>
      <c r="C760" s="123">
        <v>21</v>
      </c>
      <c r="D760" s="123">
        <v>0</v>
      </c>
      <c r="E760" s="123">
        <v>0</v>
      </c>
      <c r="F760" s="123">
        <v>0</v>
      </c>
      <c r="G760" s="123">
        <v>6</v>
      </c>
      <c r="H760" s="123">
        <v>0</v>
      </c>
      <c r="I760" s="123">
        <v>6</v>
      </c>
      <c r="J760" s="123">
        <v>0</v>
      </c>
      <c r="K760" s="123">
        <v>0</v>
      </c>
      <c r="L760" s="123">
        <v>0</v>
      </c>
      <c r="M760" s="123">
        <v>15</v>
      </c>
      <c r="N760" s="123">
        <v>0</v>
      </c>
      <c r="O760" s="123">
        <v>15</v>
      </c>
      <c r="P760" s="7" t="s">
        <v>13</v>
      </c>
      <c r="Q760" s="9"/>
      <c r="R760" s="1"/>
    </row>
    <row r="761" spans="1:18" ht="13.5" thickBot="1" x14ac:dyDescent="0.25">
      <c r="A761" s="123">
        <v>27</v>
      </c>
      <c r="B761" s="123">
        <v>0</v>
      </c>
      <c r="C761" s="123">
        <v>27</v>
      </c>
      <c r="D761" s="123">
        <v>0</v>
      </c>
      <c r="E761" s="123">
        <v>0</v>
      </c>
      <c r="F761" s="123">
        <v>0</v>
      </c>
      <c r="G761" s="123">
        <v>25</v>
      </c>
      <c r="H761" s="123">
        <v>0</v>
      </c>
      <c r="I761" s="123">
        <v>25</v>
      </c>
      <c r="J761" s="123">
        <v>0</v>
      </c>
      <c r="K761" s="123">
        <v>0</v>
      </c>
      <c r="L761" s="123">
        <v>0</v>
      </c>
      <c r="M761" s="123">
        <v>2</v>
      </c>
      <c r="N761" s="123">
        <v>0</v>
      </c>
      <c r="O761" s="123">
        <v>2</v>
      </c>
      <c r="P761" s="7" t="s">
        <v>163</v>
      </c>
      <c r="Q761" s="124"/>
      <c r="R761" s="1"/>
    </row>
    <row r="762" spans="1:18" ht="13.5" thickBot="1" x14ac:dyDescent="0.25">
      <c r="A762" s="123">
        <v>36</v>
      </c>
      <c r="B762" s="123">
        <v>0</v>
      </c>
      <c r="C762" s="123">
        <v>36</v>
      </c>
      <c r="D762" s="123">
        <v>0</v>
      </c>
      <c r="E762" s="123">
        <v>0</v>
      </c>
      <c r="F762" s="123">
        <v>0</v>
      </c>
      <c r="G762" s="123">
        <v>0</v>
      </c>
      <c r="H762" s="123">
        <v>0</v>
      </c>
      <c r="I762" s="123">
        <v>0</v>
      </c>
      <c r="J762" s="123">
        <v>5</v>
      </c>
      <c r="K762" s="123">
        <v>0</v>
      </c>
      <c r="L762" s="123">
        <v>5</v>
      </c>
      <c r="M762" s="123">
        <v>31</v>
      </c>
      <c r="N762" s="123">
        <v>0</v>
      </c>
      <c r="O762" s="123">
        <v>31</v>
      </c>
      <c r="P762" s="7" t="s">
        <v>162</v>
      </c>
      <c r="Q762" s="124" t="s">
        <v>263</v>
      </c>
      <c r="R762" s="1"/>
    </row>
    <row r="763" spans="1:18" ht="13.5" thickBot="1" x14ac:dyDescent="0.25">
      <c r="A763" s="123">
        <v>63</v>
      </c>
      <c r="B763" s="123">
        <v>0</v>
      </c>
      <c r="C763" s="123">
        <v>63</v>
      </c>
      <c r="D763" s="123">
        <v>0</v>
      </c>
      <c r="E763" s="123">
        <v>0</v>
      </c>
      <c r="F763" s="123">
        <v>0</v>
      </c>
      <c r="G763" s="123">
        <v>25</v>
      </c>
      <c r="H763" s="123">
        <v>0</v>
      </c>
      <c r="I763" s="123">
        <v>25</v>
      </c>
      <c r="J763" s="123">
        <v>5</v>
      </c>
      <c r="K763" s="123">
        <v>0</v>
      </c>
      <c r="L763" s="123">
        <v>5</v>
      </c>
      <c r="M763" s="123">
        <v>33</v>
      </c>
      <c r="N763" s="123">
        <v>0</v>
      </c>
      <c r="O763" s="123">
        <v>33</v>
      </c>
      <c r="P763" s="7" t="s">
        <v>13</v>
      </c>
      <c r="Q763" s="9"/>
      <c r="R763" s="1"/>
    </row>
    <row r="764" spans="1:18" ht="13.5" thickBot="1" x14ac:dyDescent="0.25">
      <c r="A764" s="123">
        <v>14</v>
      </c>
      <c r="B764" s="123">
        <v>0</v>
      </c>
      <c r="C764" s="123">
        <v>14</v>
      </c>
      <c r="D764" s="123">
        <v>7</v>
      </c>
      <c r="E764" s="123">
        <v>0</v>
      </c>
      <c r="F764" s="123">
        <v>7</v>
      </c>
      <c r="G764" s="123">
        <v>3</v>
      </c>
      <c r="H764" s="123">
        <v>0</v>
      </c>
      <c r="I764" s="123">
        <v>3</v>
      </c>
      <c r="J764" s="123">
        <v>2</v>
      </c>
      <c r="K764" s="123">
        <v>0</v>
      </c>
      <c r="L764" s="123">
        <v>2</v>
      </c>
      <c r="M764" s="123">
        <v>2</v>
      </c>
      <c r="N764" s="123">
        <v>0</v>
      </c>
      <c r="O764" s="123">
        <v>2</v>
      </c>
      <c r="P764" s="7" t="s">
        <v>163</v>
      </c>
      <c r="Q764" s="124"/>
      <c r="R764" s="1"/>
    </row>
    <row r="765" spans="1:18" ht="13.5" thickBot="1" x14ac:dyDescent="0.25">
      <c r="A765" s="123">
        <v>18</v>
      </c>
      <c r="B765" s="123">
        <v>0</v>
      </c>
      <c r="C765" s="123">
        <v>18</v>
      </c>
      <c r="D765" s="123">
        <v>0</v>
      </c>
      <c r="E765" s="123">
        <v>0</v>
      </c>
      <c r="F765" s="123">
        <v>0</v>
      </c>
      <c r="G765" s="123">
        <v>0</v>
      </c>
      <c r="H765" s="123">
        <v>0</v>
      </c>
      <c r="I765" s="123">
        <v>0</v>
      </c>
      <c r="J765" s="123">
        <v>7</v>
      </c>
      <c r="K765" s="123">
        <v>0</v>
      </c>
      <c r="L765" s="123">
        <v>7</v>
      </c>
      <c r="M765" s="123">
        <v>11</v>
      </c>
      <c r="N765" s="123">
        <v>0</v>
      </c>
      <c r="O765" s="123">
        <v>11</v>
      </c>
      <c r="P765" s="7" t="s">
        <v>162</v>
      </c>
      <c r="Q765" s="124" t="s">
        <v>114</v>
      </c>
      <c r="R765" s="1"/>
    </row>
    <row r="766" spans="1:18" ht="13.5" thickBot="1" x14ac:dyDescent="0.25">
      <c r="A766" s="123">
        <v>32</v>
      </c>
      <c r="B766" s="123">
        <v>0</v>
      </c>
      <c r="C766" s="123">
        <v>32</v>
      </c>
      <c r="D766" s="123">
        <v>7</v>
      </c>
      <c r="E766" s="123">
        <v>0</v>
      </c>
      <c r="F766" s="123">
        <v>7</v>
      </c>
      <c r="G766" s="123">
        <v>3</v>
      </c>
      <c r="H766" s="123">
        <v>0</v>
      </c>
      <c r="I766" s="123">
        <v>3</v>
      </c>
      <c r="J766" s="123">
        <v>9</v>
      </c>
      <c r="K766" s="123">
        <v>0</v>
      </c>
      <c r="L766" s="123">
        <v>9</v>
      </c>
      <c r="M766" s="123">
        <v>13</v>
      </c>
      <c r="N766" s="123">
        <v>0</v>
      </c>
      <c r="O766" s="123">
        <v>13</v>
      </c>
      <c r="P766" s="7" t="s">
        <v>13</v>
      </c>
      <c r="Q766" s="9"/>
      <c r="R766" s="1"/>
    </row>
    <row r="767" spans="1:18" ht="13.5" thickBot="1" x14ac:dyDescent="0.25">
      <c r="A767" s="123">
        <v>13</v>
      </c>
      <c r="B767" s="123">
        <v>0</v>
      </c>
      <c r="C767" s="123">
        <v>13</v>
      </c>
      <c r="D767" s="123">
        <v>0</v>
      </c>
      <c r="E767" s="123">
        <v>0</v>
      </c>
      <c r="F767" s="123">
        <v>0</v>
      </c>
      <c r="G767" s="123">
        <v>9</v>
      </c>
      <c r="H767" s="123">
        <v>0</v>
      </c>
      <c r="I767" s="123">
        <v>9</v>
      </c>
      <c r="J767" s="123">
        <v>2</v>
      </c>
      <c r="K767" s="123">
        <v>0</v>
      </c>
      <c r="L767" s="123">
        <v>2</v>
      </c>
      <c r="M767" s="123">
        <v>2</v>
      </c>
      <c r="N767" s="123">
        <v>0</v>
      </c>
      <c r="O767" s="123">
        <v>2</v>
      </c>
      <c r="P767" s="7" t="s">
        <v>163</v>
      </c>
      <c r="Q767" s="124"/>
      <c r="R767" s="1"/>
    </row>
    <row r="768" spans="1:18" ht="13.5" thickBot="1" x14ac:dyDescent="0.25">
      <c r="A768" s="123">
        <v>12</v>
      </c>
      <c r="B768" s="123">
        <v>0</v>
      </c>
      <c r="C768" s="123">
        <v>12</v>
      </c>
      <c r="D768" s="123">
        <v>0</v>
      </c>
      <c r="E768" s="123">
        <v>0</v>
      </c>
      <c r="F768" s="123">
        <v>0</v>
      </c>
      <c r="G768" s="123">
        <v>0</v>
      </c>
      <c r="H768" s="123">
        <v>0</v>
      </c>
      <c r="I768" s="123">
        <v>0</v>
      </c>
      <c r="J768" s="123">
        <v>1</v>
      </c>
      <c r="K768" s="123">
        <v>0</v>
      </c>
      <c r="L768" s="123">
        <v>1</v>
      </c>
      <c r="M768" s="123">
        <v>11</v>
      </c>
      <c r="N768" s="123">
        <v>0</v>
      </c>
      <c r="O768" s="123">
        <v>11</v>
      </c>
      <c r="P768" s="7" t="s">
        <v>162</v>
      </c>
      <c r="Q768" s="124" t="s">
        <v>359</v>
      </c>
      <c r="R768" s="1"/>
    </row>
    <row r="769" spans="1:18" ht="13.5" thickBot="1" x14ac:dyDescent="0.25">
      <c r="A769" s="123">
        <v>25</v>
      </c>
      <c r="B769" s="123">
        <v>0</v>
      </c>
      <c r="C769" s="123">
        <v>25</v>
      </c>
      <c r="D769" s="123">
        <v>0</v>
      </c>
      <c r="E769" s="123">
        <v>0</v>
      </c>
      <c r="F769" s="123">
        <v>0</v>
      </c>
      <c r="G769" s="123">
        <v>9</v>
      </c>
      <c r="H769" s="123">
        <v>0</v>
      </c>
      <c r="I769" s="123">
        <v>9</v>
      </c>
      <c r="J769" s="123">
        <v>3</v>
      </c>
      <c r="K769" s="123">
        <v>0</v>
      </c>
      <c r="L769" s="123">
        <v>3</v>
      </c>
      <c r="M769" s="123">
        <v>13</v>
      </c>
      <c r="N769" s="123">
        <v>0</v>
      </c>
      <c r="O769" s="123">
        <v>13</v>
      </c>
      <c r="P769" s="7" t="s">
        <v>13</v>
      </c>
      <c r="Q769" s="9"/>
      <c r="R769" s="1"/>
    </row>
    <row r="770" spans="1:18" ht="13.5" thickBot="1" x14ac:dyDescent="0.25">
      <c r="A770" s="123">
        <v>20</v>
      </c>
      <c r="B770" s="123">
        <v>1</v>
      </c>
      <c r="C770" s="123">
        <v>19</v>
      </c>
      <c r="D770" s="123">
        <v>0</v>
      </c>
      <c r="E770" s="123">
        <v>0</v>
      </c>
      <c r="F770" s="123">
        <v>0</v>
      </c>
      <c r="G770" s="123">
        <v>17</v>
      </c>
      <c r="H770" s="123">
        <v>1</v>
      </c>
      <c r="I770" s="123">
        <v>16</v>
      </c>
      <c r="J770" s="123">
        <v>1</v>
      </c>
      <c r="K770" s="123">
        <v>0</v>
      </c>
      <c r="L770" s="123">
        <v>1</v>
      </c>
      <c r="M770" s="123">
        <v>2</v>
      </c>
      <c r="N770" s="123">
        <v>0</v>
      </c>
      <c r="O770" s="123">
        <v>2</v>
      </c>
      <c r="P770" s="7" t="s">
        <v>163</v>
      </c>
      <c r="Q770" s="124"/>
      <c r="R770" s="1"/>
    </row>
    <row r="771" spans="1:18" ht="13.5" thickBot="1" x14ac:dyDescent="0.25">
      <c r="A771" s="123">
        <v>1</v>
      </c>
      <c r="B771" s="123">
        <v>0</v>
      </c>
      <c r="C771" s="123">
        <v>1</v>
      </c>
      <c r="D771" s="123">
        <v>0</v>
      </c>
      <c r="E771" s="123">
        <v>0</v>
      </c>
      <c r="F771" s="123">
        <v>0</v>
      </c>
      <c r="G771" s="123">
        <v>0</v>
      </c>
      <c r="H771" s="123">
        <v>0</v>
      </c>
      <c r="I771" s="123">
        <v>0</v>
      </c>
      <c r="J771" s="123">
        <v>0</v>
      </c>
      <c r="K771" s="123">
        <v>0</v>
      </c>
      <c r="L771" s="123">
        <v>0</v>
      </c>
      <c r="M771" s="123">
        <v>1</v>
      </c>
      <c r="N771" s="123">
        <v>0</v>
      </c>
      <c r="O771" s="123">
        <v>1</v>
      </c>
      <c r="P771" s="7" t="s">
        <v>162</v>
      </c>
      <c r="Q771" s="124" t="s">
        <v>264</v>
      </c>
      <c r="R771" s="1"/>
    </row>
    <row r="772" spans="1:18" ht="13.5" thickBot="1" x14ac:dyDescent="0.25">
      <c r="A772" s="123">
        <v>21</v>
      </c>
      <c r="B772" s="123">
        <v>1</v>
      </c>
      <c r="C772" s="123">
        <v>20</v>
      </c>
      <c r="D772" s="123">
        <v>0</v>
      </c>
      <c r="E772" s="123">
        <v>0</v>
      </c>
      <c r="F772" s="123">
        <v>0</v>
      </c>
      <c r="G772" s="123">
        <v>17</v>
      </c>
      <c r="H772" s="123">
        <v>1</v>
      </c>
      <c r="I772" s="123">
        <v>16</v>
      </c>
      <c r="J772" s="123">
        <v>1</v>
      </c>
      <c r="K772" s="123">
        <v>0</v>
      </c>
      <c r="L772" s="123">
        <v>1</v>
      </c>
      <c r="M772" s="123">
        <v>3</v>
      </c>
      <c r="N772" s="123">
        <v>0</v>
      </c>
      <c r="O772" s="123">
        <v>3</v>
      </c>
      <c r="P772" s="7" t="s">
        <v>13</v>
      </c>
      <c r="Q772" s="9"/>
      <c r="R772" s="1"/>
    </row>
    <row r="773" spans="1:18" ht="13.5" thickBot="1" x14ac:dyDescent="0.25">
      <c r="A773" s="123">
        <v>16</v>
      </c>
      <c r="B773" s="123">
        <v>0</v>
      </c>
      <c r="C773" s="123">
        <v>16</v>
      </c>
      <c r="D773" s="123">
        <v>6</v>
      </c>
      <c r="E773" s="123">
        <v>0</v>
      </c>
      <c r="F773" s="123">
        <v>6</v>
      </c>
      <c r="G773" s="123">
        <v>6</v>
      </c>
      <c r="H773" s="123">
        <v>0</v>
      </c>
      <c r="I773" s="123">
        <v>6</v>
      </c>
      <c r="J773" s="123">
        <v>3</v>
      </c>
      <c r="K773" s="123">
        <v>0</v>
      </c>
      <c r="L773" s="123">
        <v>3</v>
      </c>
      <c r="M773" s="123">
        <v>1</v>
      </c>
      <c r="N773" s="123">
        <v>0</v>
      </c>
      <c r="O773" s="123">
        <v>1</v>
      </c>
      <c r="P773" s="7" t="s">
        <v>163</v>
      </c>
      <c r="Q773" s="124"/>
      <c r="R773" s="1"/>
    </row>
    <row r="774" spans="1:18" ht="13.5" thickBot="1" x14ac:dyDescent="0.25">
      <c r="A774" s="123">
        <v>16</v>
      </c>
      <c r="B774" s="123">
        <v>0</v>
      </c>
      <c r="C774" s="123">
        <v>16</v>
      </c>
      <c r="D774" s="123">
        <v>4</v>
      </c>
      <c r="E774" s="123">
        <v>0</v>
      </c>
      <c r="F774" s="123">
        <v>4</v>
      </c>
      <c r="G774" s="123">
        <v>2</v>
      </c>
      <c r="H774" s="123">
        <v>0</v>
      </c>
      <c r="I774" s="123">
        <v>2</v>
      </c>
      <c r="J774" s="123">
        <v>6</v>
      </c>
      <c r="K774" s="123">
        <v>0</v>
      </c>
      <c r="L774" s="123">
        <v>6</v>
      </c>
      <c r="M774" s="123">
        <v>4</v>
      </c>
      <c r="N774" s="123">
        <v>0</v>
      </c>
      <c r="O774" s="123">
        <v>4</v>
      </c>
      <c r="P774" s="7" t="s">
        <v>162</v>
      </c>
      <c r="Q774" s="124" t="s">
        <v>266</v>
      </c>
      <c r="R774" s="1"/>
    </row>
    <row r="775" spans="1:18" ht="13.5" thickBot="1" x14ac:dyDescent="0.25">
      <c r="A775" s="123">
        <v>32</v>
      </c>
      <c r="B775" s="123">
        <v>0</v>
      </c>
      <c r="C775" s="123">
        <v>32</v>
      </c>
      <c r="D775" s="123">
        <v>10</v>
      </c>
      <c r="E775" s="123">
        <v>0</v>
      </c>
      <c r="F775" s="123">
        <v>10</v>
      </c>
      <c r="G775" s="123">
        <v>8</v>
      </c>
      <c r="H775" s="123">
        <v>0</v>
      </c>
      <c r="I775" s="123">
        <v>8</v>
      </c>
      <c r="J775" s="123">
        <v>9</v>
      </c>
      <c r="K775" s="123">
        <v>0</v>
      </c>
      <c r="L775" s="123">
        <v>9</v>
      </c>
      <c r="M775" s="123">
        <v>5</v>
      </c>
      <c r="N775" s="123">
        <v>0</v>
      </c>
      <c r="O775" s="123">
        <v>5</v>
      </c>
      <c r="P775" s="7" t="s">
        <v>13</v>
      </c>
      <c r="Q775" s="9"/>
      <c r="R775" s="1"/>
    </row>
    <row r="776" spans="1:18" ht="13.5" thickBot="1" x14ac:dyDescent="0.25">
      <c r="A776" s="123">
        <v>1</v>
      </c>
      <c r="B776" s="123">
        <v>1</v>
      </c>
      <c r="C776" s="123">
        <v>0</v>
      </c>
      <c r="D776" s="123">
        <v>1</v>
      </c>
      <c r="E776" s="123">
        <v>1</v>
      </c>
      <c r="F776" s="123">
        <v>0</v>
      </c>
      <c r="G776" s="123">
        <v>0</v>
      </c>
      <c r="H776" s="123">
        <v>0</v>
      </c>
      <c r="I776" s="123">
        <v>0</v>
      </c>
      <c r="J776" s="123">
        <v>0</v>
      </c>
      <c r="K776" s="123">
        <v>0</v>
      </c>
      <c r="L776" s="123">
        <v>0</v>
      </c>
      <c r="M776" s="123">
        <v>0</v>
      </c>
      <c r="N776" s="123">
        <v>0</v>
      </c>
      <c r="O776" s="123">
        <v>0</v>
      </c>
      <c r="P776" s="7" t="s">
        <v>163</v>
      </c>
      <c r="Q776" s="124"/>
      <c r="R776" s="1"/>
    </row>
    <row r="777" spans="1:18" ht="13.5" thickBot="1" x14ac:dyDescent="0.25">
      <c r="A777" s="123">
        <v>12</v>
      </c>
      <c r="B777" s="123">
        <v>12</v>
      </c>
      <c r="C777" s="123">
        <v>0</v>
      </c>
      <c r="D777" s="123">
        <v>4</v>
      </c>
      <c r="E777" s="123">
        <v>4</v>
      </c>
      <c r="F777" s="123">
        <v>0</v>
      </c>
      <c r="G777" s="123">
        <v>0</v>
      </c>
      <c r="H777" s="123">
        <v>0</v>
      </c>
      <c r="I777" s="123">
        <v>0</v>
      </c>
      <c r="J777" s="123">
        <v>7</v>
      </c>
      <c r="K777" s="123">
        <v>7</v>
      </c>
      <c r="L777" s="123">
        <v>0</v>
      </c>
      <c r="M777" s="123">
        <v>1</v>
      </c>
      <c r="N777" s="123">
        <v>1</v>
      </c>
      <c r="O777" s="123">
        <v>0</v>
      </c>
      <c r="P777" s="7" t="s">
        <v>162</v>
      </c>
      <c r="Q777" s="124" t="s">
        <v>267</v>
      </c>
      <c r="R777" s="1"/>
    </row>
    <row r="778" spans="1:18" ht="13.5" thickBot="1" x14ac:dyDescent="0.25">
      <c r="A778" s="123">
        <v>13</v>
      </c>
      <c r="B778" s="123">
        <v>13</v>
      </c>
      <c r="C778" s="123">
        <v>0</v>
      </c>
      <c r="D778" s="123">
        <v>5</v>
      </c>
      <c r="E778" s="123">
        <v>5</v>
      </c>
      <c r="F778" s="123">
        <v>0</v>
      </c>
      <c r="G778" s="123">
        <v>0</v>
      </c>
      <c r="H778" s="123">
        <v>0</v>
      </c>
      <c r="I778" s="123">
        <v>0</v>
      </c>
      <c r="J778" s="123">
        <v>7</v>
      </c>
      <c r="K778" s="123">
        <v>7</v>
      </c>
      <c r="L778" s="123">
        <v>0</v>
      </c>
      <c r="M778" s="123">
        <v>1</v>
      </c>
      <c r="N778" s="123">
        <v>1</v>
      </c>
      <c r="O778" s="123">
        <v>0</v>
      </c>
      <c r="P778" s="7" t="s">
        <v>13</v>
      </c>
      <c r="Q778" s="9"/>
      <c r="R778" s="1"/>
    </row>
    <row r="779" spans="1:18" ht="13.5" thickBot="1" x14ac:dyDescent="0.25">
      <c r="A779" s="123">
        <v>19</v>
      </c>
      <c r="B779" s="123">
        <v>19</v>
      </c>
      <c r="C779" s="123">
        <v>0</v>
      </c>
      <c r="D779" s="123">
        <v>0</v>
      </c>
      <c r="E779" s="123">
        <v>0</v>
      </c>
      <c r="F779" s="123">
        <v>0</v>
      </c>
      <c r="G779" s="123">
        <v>8</v>
      </c>
      <c r="H779" s="123">
        <v>8</v>
      </c>
      <c r="I779" s="123">
        <v>0</v>
      </c>
      <c r="J779" s="123">
        <v>9</v>
      </c>
      <c r="K779" s="123">
        <v>9</v>
      </c>
      <c r="L779" s="123">
        <v>0</v>
      </c>
      <c r="M779" s="123">
        <v>2</v>
      </c>
      <c r="N779" s="123">
        <v>2</v>
      </c>
      <c r="O779" s="123">
        <v>0</v>
      </c>
      <c r="P779" s="7" t="s">
        <v>163</v>
      </c>
      <c r="Q779" s="124"/>
      <c r="R779" s="1"/>
    </row>
    <row r="780" spans="1:18" ht="13.5" thickBot="1" x14ac:dyDescent="0.25">
      <c r="A780" s="123">
        <v>37</v>
      </c>
      <c r="B780" s="123">
        <v>19</v>
      </c>
      <c r="C780" s="123">
        <v>18</v>
      </c>
      <c r="D780" s="123">
        <v>0</v>
      </c>
      <c r="E780" s="123">
        <v>0</v>
      </c>
      <c r="F780" s="123">
        <v>0</v>
      </c>
      <c r="G780" s="123">
        <v>0</v>
      </c>
      <c r="H780" s="123">
        <v>0</v>
      </c>
      <c r="I780" s="123">
        <v>0</v>
      </c>
      <c r="J780" s="123">
        <v>12</v>
      </c>
      <c r="K780" s="123">
        <v>12</v>
      </c>
      <c r="L780" s="123">
        <v>0</v>
      </c>
      <c r="M780" s="123">
        <v>25</v>
      </c>
      <c r="N780" s="123">
        <v>7</v>
      </c>
      <c r="O780" s="123">
        <v>18</v>
      </c>
      <c r="P780" s="7" t="s">
        <v>162</v>
      </c>
      <c r="Q780" s="124" t="s">
        <v>479</v>
      </c>
      <c r="R780" s="1"/>
    </row>
    <row r="781" spans="1:18" ht="13.5" thickBot="1" x14ac:dyDescent="0.25">
      <c r="A781" s="123">
        <v>56</v>
      </c>
      <c r="B781" s="123">
        <v>38</v>
      </c>
      <c r="C781" s="123">
        <v>18</v>
      </c>
      <c r="D781" s="123">
        <v>0</v>
      </c>
      <c r="E781" s="123">
        <v>0</v>
      </c>
      <c r="F781" s="123">
        <v>0</v>
      </c>
      <c r="G781" s="123">
        <v>8</v>
      </c>
      <c r="H781" s="123">
        <v>8</v>
      </c>
      <c r="I781" s="123">
        <v>0</v>
      </c>
      <c r="J781" s="123">
        <v>21</v>
      </c>
      <c r="K781" s="123">
        <v>21</v>
      </c>
      <c r="L781" s="123">
        <v>0</v>
      </c>
      <c r="M781" s="123">
        <v>27</v>
      </c>
      <c r="N781" s="123">
        <v>9</v>
      </c>
      <c r="O781" s="123">
        <v>18</v>
      </c>
      <c r="P781" s="7" t="s">
        <v>13</v>
      </c>
      <c r="Q781" s="9"/>
      <c r="R781" s="1"/>
    </row>
    <row r="782" spans="1:18" ht="13.5" thickBot="1" x14ac:dyDescent="0.25">
      <c r="A782" s="123">
        <v>0</v>
      </c>
      <c r="B782" s="123">
        <v>0</v>
      </c>
      <c r="C782" s="123">
        <v>0</v>
      </c>
      <c r="D782" s="123">
        <v>0</v>
      </c>
      <c r="E782" s="123">
        <v>0</v>
      </c>
      <c r="F782" s="123">
        <v>0</v>
      </c>
      <c r="G782" s="123">
        <v>0</v>
      </c>
      <c r="H782" s="123">
        <v>0</v>
      </c>
      <c r="I782" s="123">
        <v>0</v>
      </c>
      <c r="J782" s="123">
        <v>0</v>
      </c>
      <c r="K782" s="123">
        <v>0</v>
      </c>
      <c r="L782" s="123">
        <v>0</v>
      </c>
      <c r="M782" s="123">
        <v>0</v>
      </c>
      <c r="N782" s="123">
        <v>0</v>
      </c>
      <c r="O782" s="123">
        <v>0</v>
      </c>
      <c r="P782" s="7" t="s">
        <v>163</v>
      </c>
      <c r="Q782" s="124"/>
      <c r="R782" s="1"/>
    </row>
    <row r="783" spans="1:18" ht="13.5" thickBot="1" x14ac:dyDescent="0.25">
      <c r="A783" s="123">
        <v>1</v>
      </c>
      <c r="B783" s="123">
        <v>1</v>
      </c>
      <c r="C783" s="123">
        <v>0</v>
      </c>
      <c r="D783" s="123">
        <v>0</v>
      </c>
      <c r="E783" s="123">
        <v>0</v>
      </c>
      <c r="F783" s="123">
        <v>0</v>
      </c>
      <c r="G783" s="123">
        <v>0</v>
      </c>
      <c r="H783" s="123">
        <v>0</v>
      </c>
      <c r="I783" s="123">
        <v>0</v>
      </c>
      <c r="J783" s="123">
        <v>0</v>
      </c>
      <c r="K783" s="123">
        <v>0</v>
      </c>
      <c r="L783" s="123">
        <v>0</v>
      </c>
      <c r="M783" s="123">
        <v>1</v>
      </c>
      <c r="N783" s="123">
        <v>1</v>
      </c>
      <c r="O783" s="123">
        <v>0</v>
      </c>
      <c r="P783" s="7" t="s">
        <v>162</v>
      </c>
      <c r="Q783" s="124" t="s">
        <v>116</v>
      </c>
      <c r="R783" s="1"/>
    </row>
    <row r="784" spans="1:18" ht="13.5" thickBot="1" x14ac:dyDescent="0.25">
      <c r="A784" s="123">
        <v>1</v>
      </c>
      <c r="B784" s="123">
        <v>1</v>
      </c>
      <c r="C784" s="123">
        <v>0</v>
      </c>
      <c r="D784" s="123">
        <v>0</v>
      </c>
      <c r="E784" s="123">
        <v>0</v>
      </c>
      <c r="F784" s="123">
        <v>0</v>
      </c>
      <c r="G784" s="123">
        <v>0</v>
      </c>
      <c r="H784" s="123">
        <v>0</v>
      </c>
      <c r="I784" s="123">
        <v>0</v>
      </c>
      <c r="J784" s="123">
        <v>0</v>
      </c>
      <c r="K784" s="123">
        <v>0</v>
      </c>
      <c r="L784" s="123">
        <v>0</v>
      </c>
      <c r="M784" s="123">
        <v>1</v>
      </c>
      <c r="N784" s="123">
        <v>1</v>
      </c>
      <c r="O784" s="123">
        <v>0</v>
      </c>
      <c r="P784" s="7" t="s">
        <v>13</v>
      </c>
      <c r="Q784" s="9"/>
      <c r="R784" s="1"/>
    </row>
    <row r="785" spans="1:18" ht="13.5" thickBot="1" x14ac:dyDescent="0.25">
      <c r="A785" s="123">
        <v>0</v>
      </c>
      <c r="B785" s="123">
        <v>0</v>
      </c>
      <c r="C785" s="123">
        <v>0</v>
      </c>
      <c r="D785" s="123">
        <v>0</v>
      </c>
      <c r="E785" s="123">
        <v>0</v>
      </c>
      <c r="F785" s="123">
        <v>0</v>
      </c>
      <c r="G785" s="123">
        <v>0</v>
      </c>
      <c r="H785" s="123">
        <v>0</v>
      </c>
      <c r="I785" s="123">
        <v>0</v>
      </c>
      <c r="J785" s="123">
        <v>0</v>
      </c>
      <c r="K785" s="123">
        <v>0</v>
      </c>
      <c r="L785" s="123">
        <v>0</v>
      </c>
      <c r="M785" s="123">
        <v>0</v>
      </c>
      <c r="N785" s="123">
        <v>0</v>
      </c>
      <c r="O785" s="123">
        <v>0</v>
      </c>
      <c r="P785" s="7" t="s">
        <v>163</v>
      </c>
      <c r="Q785" s="124"/>
      <c r="R785" s="1"/>
    </row>
    <row r="786" spans="1:18" ht="13.5" thickBot="1" x14ac:dyDescent="0.25">
      <c r="A786" s="123">
        <v>8</v>
      </c>
      <c r="B786" s="123">
        <v>6</v>
      </c>
      <c r="C786" s="123">
        <v>2</v>
      </c>
      <c r="D786" s="123">
        <v>0</v>
      </c>
      <c r="E786" s="123">
        <v>0</v>
      </c>
      <c r="F786" s="123">
        <v>0</v>
      </c>
      <c r="G786" s="123">
        <v>0</v>
      </c>
      <c r="H786" s="123">
        <v>0</v>
      </c>
      <c r="I786" s="123">
        <v>0</v>
      </c>
      <c r="J786" s="123">
        <v>4</v>
      </c>
      <c r="K786" s="123">
        <v>2</v>
      </c>
      <c r="L786" s="123">
        <v>2</v>
      </c>
      <c r="M786" s="123">
        <v>4</v>
      </c>
      <c r="N786" s="123">
        <v>4</v>
      </c>
      <c r="O786" s="123">
        <v>0</v>
      </c>
      <c r="P786" s="7" t="s">
        <v>162</v>
      </c>
      <c r="Q786" s="124" t="s">
        <v>480</v>
      </c>
      <c r="R786" s="1"/>
    </row>
    <row r="787" spans="1:18" ht="13.5" thickBot="1" x14ac:dyDescent="0.25">
      <c r="A787" s="123">
        <v>8</v>
      </c>
      <c r="B787" s="123">
        <v>6</v>
      </c>
      <c r="C787" s="123">
        <v>2</v>
      </c>
      <c r="D787" s="123">
        <v>0</v>
      </c>
      <c r="E787" s="123">
        <v>0</v>
      </c>
      <c r="F787" s="123">
        <v>0</v>
      </c>
      <c r="G787" s="123">
        <v>0</v>
      </c>
      <c r="H787" s="123">
        <v>0</v>
      </c>
      <c r="I787" s="123">
        <v>0</v>
      </c>
      <c r="J787" s="123">
        <v>4</v>
      </c>
      <c r="K787" s="123">
        <v>2</v>
      </c>
      <c r="L787" s="123">
        <v>2</v>
      </c>
      <c r="M787" s="123">
        <v>4</v>
      </c>
      <c r="N787" s="123">
        <v>4</v>
      </c>
      <c r="O787" s="123">
        <v>0</v>
      </c>
      <c r="P787" s="7" t="s">
        <v>13</v>
      </c>
      <c r="Q787" s="9"/>
      <c r="R787" s="1"/>
    </row>
    <row r="788" spans="1:18" ht="13.5" thickBot="1" x14ac:dyDescent="0.25">
      <c r="A788" s="123">
        <v>21</v>
      </c>
      <c r="B788" s="123">
        <v>21</v>
      </c>
      <c r="C788" s="123">
        <v>0</v>
      </c>
      <c r="D788" s="123">
        <v>0</v>
      </c>
      <c r="E788" s="123">
        <v>0</v>
      </c>
      <c r="F788" s="123">
        <v>0</v>
      </c>
      <c r="G788" s="123">
        <v>7</v>
      </c>
      <c r="H788" s="123">
        <v>7</v>
      </c>
      <c r="I788" s="123">
        <v>0</v>
      </c>
      <c r="J788" s="123">
        <v>11</v>
      </c>
      <c r="K788" s="123">
        <v>11</v>
      </c>
      <c r="L788" s="123">
        <v>0</v>
      </c>
      <c r="M788" s="123">
        <v>3</v>
      </c>
      <c r="N788" s="123">
        <v>3</v>
      </c>
      <c r="O788" s="123">
        <v>0</v>
      </c>
      <c r="P788" s="7" t="s">
        <v>163</v>
      </c>
      <c r="Q788" s="124"/>
      <c r="R788" s="1"/>
    </row>
    <row r="789" spans="1:18" ht="13.5" thickBot="1" x14ac:dyDescent="0.25">
      <c r="A789" s="123">
        <v>34</v>
      </c>
      <c r="B789" s="123">
        <v>28</v>
      </c>
      <c r="C789" s="123">
        <v>6</v>
      </c>
      <c r="D789" s="123">
        <v>0</v>
      </c>
      <c r="E789" s="123">
        <v>0</v>
      </c>
      <c r="F789" s="123">
        <v>0</v>
      </c>
      <c r="G789" s="123">
        <v>0</v>
      </c>
      <c r="H789" s="123">
        <v>0</v>
      </c>
      <c r="I789" s="123">
        <v>0</v>
      </c>
      <c r="J789" s="123">
        <v>8</v>
      </c>
      <c r="K789" s="123">
        <v>8</v>
      </c>
      <c r="L789" s="123">
        <v>0</v>
      </c>
      <c r="M789" s="123">
        <v>26</v>
      </c>
      <c r="N789" s="123">
        <v>20</v>
      </c>
      <c r="O789" s="123">
        <v>6</v>
      </c>
      <c r="P789" s="7" t="s">
        <v>162</v>
      </c>
      <c r="Q789" s="124" t="s">
        <v>481</v>
      </c>
      <c r="R789" s="1"/>
    </row>
    <row r="790" spans="1:18" ht="13.5" thickBot="1" x14ac:dyDescent="0.25">
      <c r="A790" s="123">
        <v>55</v>
      </c>
      <c r="B790" s="123">
        <v>49</v>
      </c>
      <c r="C790" s="123">
        <v>6</v>
      </c>
      <c r="D790" s="123">
        <v>0</v>
      </c>
      <c r="E790" s="123">
        <v>0</v>
      </c>
      <c r="F790" s="123">
        <v>0</v>
      </c>
      <c r="G790" s="123">
        <v>7</v>
      </c>
      <c r="H790" s="123">
        <v>7</v>
      </c>
      <c r="I790" s="123">
        <v>0</v>
      </c>
      <c r="J790" s="123">
        <v>19</v>
      </c>
      <c r="K790" s="123">
        <v>19</v>
      </c>
      <c r="L790" s="123">
        <v>0</v>
      </c>
      <c r="M790" s="123">
        <v>29</v>
      </c>
      <c r="N790" s="123">
        <v>23</v>
      </c>
      <c r="O790" s="123">
        <v>6</v>
      </c>
      <c r="P790" s="7" t="s">
        <v>13</v>
      </c>
      <c r="Q790" s="9"/>
      <c r="R790" s="1"/>
    </row>
    <row r="791" spans="1:18" ht="13.5" thickBot="1" x14ac:dyDescent="0.25">
      <c r="A791" s="123">
        <v>19</v>
      </c>
      <c r="B791" s="123">
        <v>19</v>
      </c>
      <c r="C791" s="123">
        <v>0</v>
      </c>
      <c r="D791" s="123">
        <v>0</v>
      </c>
      <c r="E791" s="123">
        <v>0</v>
      </c>
      <c r="F791" s="123">
        <v>0</v>
      </c>
      <c r="G791" s="123">
        <v>17</v>
      </c>
      <c r="H791" s="123">
        <v>17</v>
      </c>
      <c r="I791" s="123">
        <v>0</v>
      </c>
      <c r="J791" s="123">
        <v>2</v>
      </c>
      <c r="K791" s="123">
        <v>2</v>
      </c>
      <c r="L791" s="123">
        <v>0</v>
      </c>
      <c r="M791" s="123">
        <v>0</v>
      </c>
      <c r="N791" s="123">
        <v>0</v>
      </c>
      <c r="O791" s="123">
        <v>0</v>
      </c>
      <c r="P791" s="7" t="s">
        <v>163</v>
      </c>
      <c r="Q791" s="124"/>
      <c r="R791" s="1"/>
    </row>
    <row r="792" spans="1:18" ht="13.5" thickBot="1" x14ac:dyDescent="0.25">
      <c r="A792" s="123">
        <v>32</v>
      </c>
      <c r="B792" s="123">
        <v>24</v>
      </c>
      <c r="C792" s="123">
        <v>8</v>
      </c>
      <c r="D792" s="123">
        <v>1</v>
      </c>
      <c r="E792" s="123">
        <v>1</v>
      </c>
      <c r="F792" s="123">
        <v>0</v>
      </c>
      <c r="G792" s="123">
        <v>0</v>
      </c>
      <c r="H792" s="123">
        <v>0</v>
      </c>
      <c r="I792" s="123">
        <v>0</v>
      </c>
      <c r="J792" s="123">
        <v>16</v>
      </c>
      <c r="K792" s="123">
        <v>16</v>
      </c>
      <c r="L792" s="123">
        <v>0</v>
      </c>
      <c r="M792" s="123">
        <v>15</v>
      </c>
      <c r="N792" s="123">
        <v>7</v>
      </c>
      <c r="O792" s="123">
        <v>8</v>
      </c>
      <c r="P792" s="7" t="s">
        <v>162</v>
      </c>
      <c r="Q792" s="124" t="s">
        <v>482</v>
      </c>
      <c r="R792" s="1"/>
    </row>
    <row r="793" spans="1:18" ht="13.5" thickBot="1" x14ac:dyDescent="0.25">
      <c r="A793" s="123">
        <v>51</v>
      </c>
      <c r="B793" s="123">
        <v>43</v>
      </c>
      <c r="C793" s="123">
        <v>8</v>
      </c>
      <c r="D793" s="123">
        <v>1</v>
      </c>
      <c r="E793" s="123">
        <v>1</v>
      </c>
      <c r="F793" s="123">
        <v>0</v>
      </c>
      <c r="G793" s="123">
        <v>17</v>
      </c>
      <c r="H793" s="123">
        <v>17</v>
      </c>
      <c r="I793" s="123">
        <v>0</v>
      </c>
      <c r="J793" s="123">
        <v>18</v>
      </c>
      <c r="K793" s="123">
        <v>18</v>
      </c>
      <c r="L793" s="123">
        <v>0</v>
      </c>
      <c r="M793" s="123">
        <v>15</v>
      </c>
      <c r="N793" s="123">
        <v>7</v>
      </c>
      <c r="O793" s="123">
        <v>8</v>
      </c>
      <c r="P793" s="7" t="s">
        <v>13</v>
      </c>
      <c r="Q793" s="9"/>
      <c r="R793" s="1"/>
    </row>
    <row r="794" spans="1:18" ht="13.5" thickBot="1" x14ac:dyDescent="0.25">
      <c r="A794" s="123">
        <v>18</v>
      </c>
      <c r="B794" s="123">
        <v>0</v>
      </c>
      <c r="C794" s="123">
        <v>18</v>
      </c>
      <c r="D794" s="123">
        <v>10</v>
      </c>
      <c r="E794" s="123">
        <v>0</v>
      </c>
      <c r="F794" s="123">
        <v>10</v>
      </c>
      <c r="G794" s="123">
        <v>5</v>
      </c>
      <c r="H794" s="123">
        <v>0</v>
      </c>
      <c r="I794" s="123">
        <v>5</v>
      </c>
      <c r="J794" s="123">
        <v>3</v>
      </c>
      <c r="K794" s="123">
        <v>0</v>
      </c>
      <c r="L794" s="123">
        <v>3</v>
      </c>
      <c r="M794" s="123">
        <v>0</v>
      </c>
      <c r="N794" s="123">
        <v>0</v>
      </c>
      <c r="O794" s="123">
        <v>0</v>
      </c>
      <c r="P794" s="7" t="s">
        <v>163</v>
      </c>
      <c r="Q794" s="124"/>
      <c r="R794" s="1"/>
    </row>
    <row r="795" spans="1:18" ht="13.5" thickBot="1" x14ac:dyDescent="0.25">
      <c r="A795" s="123">
        <v>71</v>
      </c>
      <c r="B795" s="123">
        <v>25</v>
      </c>
      <c r="C795" s="123">
        <v>46</v>
      </c>
      <c r="D795" s="123">
        <v>0</v>
      </c>
      <c r="E795" s="123">
        <v>0</v>
      </c>
      <c r="F795" s="123">
        <v>0</v>
      </c>
      <c r="G795" s="123">
        <v>19</v>
      </c>
      <c r="H795" s="123">
        <v>0</v>
      </c>
      <c r="I795" s="123">
        <v>19</v>
      </c>
      <c r="J795" s="123">
        <v>27</v>
      </c>
      <c r="K795" s="123">
        <v>1</v>
      </c>
      <c r="L795" s="123">
        <v>26</v>
      </c>
      <c r="M795" s="123">
        <v>25</v>
      </c>
      <c r="N795" s="123">
        <v>24</v>
      </c>
      <c r="O795" s="123">
        <v>1</v>
      </c>
      <c r="P795" s="7" t="s">
        <v>162</v>
      </c>
      <c r="Q795" s="124" t="s">
        <v>483</v>
      </c>
      <c r="R795" s="1"/>
    </row>
    <row r="796" spans="1:18" ht="13.5" thickBot="1" x14ac:dyDescent="0.25">
      <c r="A796" s="123">
        <v>89</v>
      </c>
      <c r="B796" s="123">
        <v>25</v>
      </c>
      <c r="C796" s="123">
        <v>64</v>
      </c>
      <c r="D796" s="123">
        <v>10</v>
      </c>
      <c r="E796" s="123">
        <v>0</v>
      </c>
      <c r="F796" s="123">
        <v>10</v>
      </c>
      <c r="G796" s="123">
        <v>24</v>
      </c>
      <c r="H796" s="123">
        <v>0</v>
      </c>
      <c r="I796" s="123">
        <v>24</v>
      </c>
      <c r="J796" s="123">
        <v>30</v>
      </c>
      <c r="K796" s="123">
        <v>1</v>
      </c>
      <c r="L796" s="123">
        <v>29</v>
      </c>
      <c r="M796" s="123">
        <v>25</v>
      </c>
      <c r="N796" s="123">
        <v>24</v>
      </c>
      <c r="O796" s="123">
        <v>1</v>
      </c>
      <c r="P796" s="7" t="s">
        <v>13</v>
      </c>
      <c r="Q796" s="9"/>
      <c r="R796" s="1"/>
    </row>
    <row r="797" spans="1:18" ht="13.5" thickBot="1" x14ac:dyDescent="0.25">
      <c r="A797" s="123">
        <v>261</v>
      </c>
      <c r="B797" s="123">
        <v>64</v>
      </c>
      <c r="C797" s="123">
        <v>197</v>
      </c>
      <c r="D797" s="123">
        <v>24</v>
      </c>
      <c r="E797" s="123">
        <v>1</v>
      </c>
      <c r="F797" s="123">
        <v>23</v>
      </c>
      <c r="G797" s="123">
        <v>137</v>
      </c>
      <c r="H797" s="123">
        <v>36</v>
      </c>
      <c r="I797" s="123">
        <v>101</v>
      </c>
      <c r="J797" s="123">
        <v>57</v>
      </c>
      <c r="K797" s="123">
        <v>22</v>
      </c>
      <c r="L797" s="123">
        <v>35</v>
      </c>
      <c r="M797" s="123">
        <v>43</v>
      </c>
      <c r="N797" s="123">
        <v>5</v>
      </c>
      <c r="O797" s="123">
        <v>38</v>
      </c>
      <c r="P797" s="7" t="s">
        <v>163</v>
      </c>
      <c r="Q797" s="3"/>
      <c r="R797" s="1"/>
    </row>
    <row r="798" spans="1:18" ht="13.5" thickBot="1" x14ac:dyDescent="0.25">
      <c r="A798" s="123">
        <v>362</v>
      </c>
      <c r="B798" s="123">
        <v>115</v>
      </c>
      <c r="C798" s="123">
        <v>247</v>
      </c>
      <c r="D798" s="123">
        <v>17</v>
      </c>
      <c r="E798" s="123">
        <v>5</v>
      </c>
      <c r="F798" s="123">
        <v>12</v>
      </c>
      <c r="G798" s="123">
        <v>23</v>
      </c>
      <c r="H798" s="123">
        <v>0</v>
      </c>
      <c r="I798" s="123">
        <v>23</v>
      </c>
      <c r="J798" s="123">
        <v>103</v>
      </c>
      <c r="K798" s="123">
        <v>46</v>
      </c>
      <c r="L798" s="123">
        <v>57</v>
      </c>
      <c r="M798" s="123">
        <v>219</v>
      </c>
      <c r="N798" s="123">
        <v>64</v>
      </c>
      <c r="O798" s="123">
        <v>155</v>
      </c>
      <c r="P798" s="7" t="s">
        <v>162</v>
      </c>
      <c r="Q798" s="11" t="s">
        <v>211</v>
      </c>
      <c r="R798" s="1"/>
    </row>
    <row r="799" spans="1:18" ht="13.5" thickBot="1" x14ac:dyDescent="0.25">
      <c r="A799" s="123">
        <v>623</v>
      </c>
      <c r="B799" s="123">
        <v>179</v>
      </c>
      <c r="C799" s="123">
        <v>444</v>
      </c>
      <c r="D799" s="123">
        <v>41</v>
      </c>
      <c r="E799" s="123">
        <v>6</v>
      </c>
      <c r="F799" s="123">
        <v>35</v>
      </c>
      <c r="G799" s="123">
        <v>160</v>
      </c>
      <c r="H799" s="123">
        <v>36</v>
      </c>
      <c r="I799" s="123">
        <v>124</v>
      </c>
      <c r="J799" s="123">
        <v>160</v>
      </c>
      <c r="K799" s="123">
        <v>68</v>
      </c>
      <c r="L799" s="123">
        <v>92</v>
      </c>
      <c r="M799" s="123">
        <v>262</v>
      </c>
      <c r="N799" s="123">
        <v>69</v>
      </c>
      <c r="O799" s="123">
        <v>193</v>
      </c>
      <c r="P799" s="7" t="s">
        <v>13</v>
      </c>
      <c r="Q799" s="5"/>
      <c r="R799" s="1"/>
    </row>
    <row r="800" spans="1:18" ht="18" customHeight="1" x14ac:dyDescent="0.2">
      <c r="A800" s="207"/>
      <c r="B800" s="207"/>
      <c r="C800" s="207"/>
      <c r="D800" s="207"/>
      <c r="E800" s="207"/>
      <c r="F800" s="207"/>
      <c r="G800" s="207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1"/>
    </row>
    <row r="801" spans="1:18" ht="18" customHeight="1" x14ac:dyDescent="0.2">
      <c r="A801" s="159" t="s">
        <v>643</v>
      </c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"/>
    </row>
    <row r="802" spans="1:18" ht="18" customHeight="1" thickBot="1" x14ac:dyDescent="0.25">
      <c r="A802" s="160" t="s">
        <v>644</v>
      </c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"/>
    </row>
    <row r="803" spans="1:18" ht="13.5" thickBot="1" x14ac:dyDescent="0.25">
      <c r="A803" s="204" t="s">
        <v>5</v>
      </c>
      <c r="B803" s="204"/>
      <c r="C803" s="204"/>
      <c r="D803" s="204" t="s">
        <v>57</v>
      </c>
      <c r="E803" s="204"/>
      <c r="F803" s="204"/>
      <c r="G803" s="204" t="s">
        <v>65</v>
      </c>
      <c r="H803" s="204"/>
      <c r="I803" s="204"/>
      <c r="J803" s="204" t="s">
        <v>62</v>
      </c>
      <c r="K803" s="204"/>
      <c r="L803" s="204"/>
      <c r="M803" s="204" t="s">
        <v>61</v>
      </c>
      <c r="N803" s="204"/>
      <c r="O803" s="204"/>
      <c r="P803" s="205" t="s">
        <v>645</v>
      </c>
      <c r="Q803" s="47" t="s">
        <v>161</v>
      </c>
      <c r="R803" s="1"/>
    </row>
    <row r="804" spans="1:18" ht="13.5" thickBot="1" x14ac:dyDescent="0.25">
      <c r="A804" s="47" t="s">
        <v>216</v>
      </c>
      <c r="B804" s="47" t="s">
        <v>11</v>
      </c>
      <c r="C804" s="47" t="s">
        <v>10</v>
      </c>
      <c r="D804" s="47" t="s">
        <v>216</v>
      </c>
      <c r="E804" s="47" t="s">
        <v>11</v>
      </c>
      <c r="F804" s="47" t="s">
        <v>10</v>
      </c>
      <c r="G804" s="47" t="s">
        <v>216</v>
      </c>
      <c r="H804" s="47" t="s">
        <v>11</v>
      </c>
      <c r="I804" s="47" t="s">
        <v>10</v>
      </c>
      <c r="J804" s="47" t="s">
        <v>216</v>
      </c>
      <c r="K804" s="47" t="s">
        <v>11</v>
      </c>
      <c r="L804" s="47" t="s">
        <v>10</v>
      </c>
      <c r="M804" s="47" t="s">
        <v>216</v>
      </c>
      <c r="N804" s="47" t="s">
        <v>11</v>
      </c>
      <c r="O804" s="47" t="s">
        <v>10</v>
      </c>
      <c r="P804" s="206"/>
      <c r="Q804" s="5" t="s">
        <v>118</v>
      </c>
      <c r="R804" s="1"/>
    </row>
    <row r="805" spans="1:18" ht="13.5" thickBot="1" x14ac:dyDescent="0.25">
      <c r="A805" s="123">
        <v>0</v>
      </c>
      <c r="B805" s="123">
        <v>0</v>
      </c>
      <c r="C805" s="123">
        <v>0</v>
      </c>
      <c r="D805" s="123">
        <v>0</v>
      </c>
      <c r="E805" s="123">
        <v>0</v>
      </c>
      <c r="F805" s="123">
        <v>0</v>
      </c>
      <c r="G805" s="123">
        <v>0</v>
      </c>
      <c r="H805" s="123">
        <v>0</v>
      </c>
      <c r="I805" s="123">
        <v>0</v>
      </c>
      <c r="J805" s="123">
        <v>0</v>
      </c>
      <c r="K805" s="123">
        <v>0</v>
      </c>
      <c r="L805" s="123">
        <v>0</v>
      </c>
      <c r="M805" s="123">
        <v>0</v>
      </c>
      <c r="N805" s="123">
        <v>0</v>
      </c>
      <c r="O805" s="123">
        <v>0</v>
      </c>
      <c r="P805" s="7" t="s">
        <v>163</v>
      </c>
      <c r="Q805" s="124"/>
      <c r="R805" s="1"/>
    </row>
    <row r="806" spans="1:18" ht="13.5" thickBot="1" x14ac:dyDescent="0.25">
      <c r="A806" s="123">
        <v>7</v>
      </c>
      <c r="B806" s="123">
        <v>0</v>
      </c>
      <c r="C806" s="123">
        <v>7</v>
      </c>
      <c r="D806" s="123">
        <v>0</v>
      </c>
      <c r="E806" s="123">
        <v>0</v>
      </c>
      <c r="F806" s="123">
        <v>0</v>
      </c>
      <c r="G806" s="123">
        <v>0</v>
      </c>
      <c r="H806" s="123">
        <v>0</v>
      </c>
      <c r="I806" s="123">
        <v>0</v>
      </c>
      <c r="J806" s="123">
        <v>0</v>
      </c>
      <c r="K806" s="123">
        <v>0</v>
      </c>
      <c r="L806" s="123">
        <v>0</v>
      </c>
      <c r="M806" s="123">
        <v>7</v>
      </c>
      <c r="N806" s="123">
        <v>0</v>
      </c>
      <c r="O806" s="123">
        <v>7</v>
      </c>
      <c r="P806" s="7" t="s">
        <v>162</v>
      </c>
      <c r="Q806" s="124" t="s">
        <v>377</v>
      </c>
      <c r="R806" s="1"/>
    </row>
    <row r="807" spans="1:18" ht="13.5" thickBot="1" x14ac:dyDescent="0.25">
      <c r="A807" s="123">
        <v>7</v>
      </c>
      <c r="B807" s="123">
        <v>0</v>
      </c>
      <c r="C807" s="123">
        <v>7</v>
      </c>
      <c r="D807" s="123">
        <v>0</v>
      </c>
      <c r="E807" s="123">
        <v>0</v>
      </c>
      <c r="F807" s="123">
        <v>0</v>
      </c>
      <c r="G807" s="123">
        <v>0</v>
      </c>
      <c r="H807" s="123">
        <v>0</v>
      </c>
      <c r="I807" s="123">
        <v>0</v>
      </c>
      <c r="J807" s="123">
        <v>0</v>
      </c>
      <c r="K807" s="123">
        <v>0</v>
      </c>
      <c r="L807" s="123">
        <v>0</v>
      </c>
      <c r="M807" s="123">
        <v>7</v>
      </c>
      <c r="N807" s="123">
        <v>0</v>
      </c>
      <c r="O807" s="123">
        <v>7</v>
      </c>
      <c r="P807" s="7" t="s">
        <v>13</v>
      </c>
      <c r="Q807" s="9"/>
      <c r="R807" s="1"/>
    </row>
    <row r="808" spans="1:18" ht="13.5" thickBot="1" x14ac:dyDescent="0.25">
      <c r="A808" s="123">
        <v>20</v>
      </c>
      <c r="B808" s="123">
        <v>7</v>
      </c>
      <c r="C808" s="123">
        <v>13</v>
      </c>
      <c r="D808" s="123">
        <v>0</v>
      </c>
      <c r="E808" s="123">
        <v>0</v>
      </c>
      <c r="F808" s="123">
        <v>0</v>
      </c>
      <c r="G808" s="123">
        <v>17</v>
      </c>
      <c r="H808" s="123">
        <v>7</v>
      </c>
      <c r="I808" s="123">
        <v>10</v>
      </c>
      <c r="J808" s="123">
        <v>3</v>
      </c>
      <c r="K808" s="123">
        <v>0</v>
      </c>
      <c r="L808" s="123">
        <v>3</v>
      </c>
      <c r="M808" s="123">
        <v>0</v>
      </c>
      <c r="N808" s="123">
        <v>0</v>
      </c>
      <c r="O808" s="123">
        <v>0</v>
      </c>
      <c r="P808" s="7" t="s">
        <v>163</v>
      </c>
      <c r="Q808" s="124"/>
      <c r="R808" s="1"/>
    </row>
    <row r="809" spans="1:18" ht="13.5" thickBot="1" x14ac:dyDescent="0.25">
      <c r="A809" s="123">
        <v>44</v>
      </c>
      <c r="B809" s="123">
        <v>3</v>
      </c>
      <c r="C809" s="123">
        <v>41</v>
      </c>
      <c r="D809" s="123">
        <v>0</v>
      </c>
      <c r="E809" s="123">
        <v>0</v>
      </c>
      <c r="F809" s="123">
        <v>0</v>
      </c>
      <c r="G809" s="123">
        <v>3</v>
      </c>
      <c r="H809" s="123">
        <v>0</v>
      </c>
      <c r="I809" s="123">
        <v>3</v>
      </c>
      <c r="J809" s="123">
        <v>24</v>
      </c>
      <c r="K809" s="123">
        <v>1</v>
      </c>
      <c r="L809" s="123">
        <v>23</v>
      </c>
      <c r="M809" s="123">
        <v>17</v>
      </c>
      <c r="N809" s="123">
        <v>2</v>
      </c>
      <c r="O809" s="123">
        <v>15</v>
      </c>
      <c r="P809" s="7" t="s">
        <v>162</v>
      </c>
      <c r="Q809" s="124" t="s">
        <v>268</v>
      </c>
      <c r="R809" s="1"/>
    </row>
    <row r="810" spans="1:18" ht="13.5" thickBot="1" x14ac:dyDescent="0.25">
      <c r="A810" s="123">
        <v>64</v>
      </c>
      <c r="B810" s="123">
        <v>10</v>
      </c>
      <c r="C810" s="123">
        <v>54</v>
      </c>
      <c r="D810" s="123">
        <v>0</v>
      </c>
      <c r="E810" s="123">
        <v>0</v>
      </c>
      <c r="F810" s="123">
        <v>0</v>
      </c>
      <c r="G810" s="123">
        <v>20</v>
      </c>
      <c r="H810" s="123">
        <v>7</v>
      </c>
      <c r="I810" s="123">
        <v>13</v>
      </c>
      <c r="J810" s="123">
        <v>27</v>
      </c>
      <c r="K810" s="123">
        <v>1</v>
      </c>
      <c r="L810" s="123">
        <v>26</v>
      </c>
      <c r="M810" s="123">
        <v>17</v>
      </c>
      <c r="N810" s="123">
        <v>2</v>
      </c>
      <c r="O810" s="123">
        <v>15</v>
      </c>
      <c r="P810" s="7" t="s">
        <v>13</v>
      </c>
      <c r="Q810" s="9"/>
      <c r="R810" s="1"/>
    </row>
    <row r="811" spans="1:18" ht="13.5" thickBot="1" x14ac:dyDescent="0.25">
      <c r="A811" s="123">
        <v>28</v>
      </c>
      <c r="B811" s="123">
        <v>28</v>
      </c>
      <c r="C811" s="123">
        <v>0</v>
      </c>
      <c r="D811" s="123">
        <v>0</v>
      </c>
      <c r="E811" s="123">
        <v>0</v>
      </c>
      <c r="F811" s="123">
        <v>0</v>
      </c>
      <c r="G811" s="123">
        <v>14</v>
      </c>
      <c r="H811" s="123">
        <v>14</v>
      </c>
      <c r="I811" s="123">
        <v>0</v>
      </c>
      <c r="J811" s="123">
        <v>13</v>
      </c>
      <c r="K811" s="123">
        <v>13</v>
      </c>
      <c r="L811" s="123">
        <v>0</v>
      </c>
      <c r="M811" s="123">
        <v>1</v>
      </c>
      <c r="N811" s="123">
        <v>1</v>
      </c>
      <c r="O811" s="123">
        <v>0</v>
      </c>
      <c r="P811" s="7" t="s">
        <v>163</v>
      </c>
      <c r="Q811" s="124"/>
      <c r="R811" s="1"/>
    </row>
    <row r="812" spans="1:18" ht="13.5" thickBot="1" x14ac:dyDescent="0.25">
      <c r="A812" s="123">
        <v>62</v>
      </c>
      <c r="B812" s="123">
        <v>44</v>
      </c>
      <c r="C812" s="123">
        <v>18</v>
      </c>
      <c r="D812" s="123">
        <v>0</v>
      </c>
      <c r="E812" s="123">
        <v>0</v>
      </c>
      <c r="F812" s="123">
        <v>0</v>
      </c>
      <c r="G812" s="123">
        <v>0</v>
      </c>
      <c r="H812" s="123">
        <v>0</v>
      </c>
      <c r="I812" s="123">
        <v>0</v>
      </c>
      <c r="J812" s="123">
        <v>19</v>
      </c>
      <c r="K812" s="123">
        <v>15</v>
      </c>
      <c r="L812" s="123">
        <v>4</v>
      </c>
      <c r="M812" s="123">
        <v>43</v>
      </c>
      <c r="N812" s="123">
        <v>29</v>
      </c>
      <c r="O812" s="123">
        <v>14</v>
      </c>
      <c r="P812" s="7" t="s">
        <v>162</v>
      </c>
      <c r="Q812" s="124" t="s">
        <v>484</v>
      </c>
      <c r="R812" s="1"/>
    </row>
    <row r="813" spans="1:18" ht="13.5" thickBot="1" x14ac:dyDescent="0.25">
      <c r="A813" s="123">
        <v>90</v>
      </c>
      <c r="B813" s="123">
        <v>72</v>
      </c>
      <c r="C813" s="123">
        <v>18</v>
      </c>
      <c r="D813" s="123">
        <v>0</v>
      </c>
      <c r="E813" s="123">
        <v>0</v>
      </c>
      <c r="F813" s="123">
        <v>0</v>
      </c>
      <c r="G813" s="123">
        <v>14</v>
      </c>
      <c r="H813" s="123">
        <v>14</v>
      </c>
      <c r="I813" s="123">
        <v>0</v>
      </c>
      <c r="J813" s="123">
        <v>32</v>
      </c>
      <c r="K813" s="123">
        <v>28</v>
      </c>
      <c r="L813" s="123">
        <v>4</v>
      </c>
      <c r="M813" s="123">
        <v>44</v>
      </c>
      <c r="N813" s="123">
        <v>30</v>
      </c>
      <c r="O813" s="123">
        <v>14</v>
      </c>
      <c r="P813" s="7" t="s">
        <v>13</v>
      </c>
      <c r="Q813" s="9"/>
      <c r="R813" s="1"/>
    </row>
    <row r="814" spans="1:18" ht="13.5" thickBot="1" x14ac:dyDescent="0.25">
      <c r="A814" s="123">
        <v>17</v>
      </c>
      <c r="B814" s="123">
        <v>17</v>
      </c>
      <c r="C814" s="123">
        <v>0</v>
      </c>
      <c r="D814" s="123">
        <v>0</v>
      </c>
      <c r="E814" s="123">
        <v>0</v>
      </c>
      <c r="F814" s="123">
        <v>0</v>
      </c>
      <c r="G814" s="123">
        <v>5</v>
      </c>
      <c r="H814" s="123">
        <v>5</v>
      </c>
      <c r="I814" s="123">
        <v>0</v>
      </c>
      <c r="J814" s="123">
        <v>12</v>
      </c>
      <c r="K814" s="123">
        <v>12</v>
      </c>
      <c r="L814" s="123">
        <v>0</v>
      </c>
      <c r="M814" s="123">
        <v>0</v>
      </c>
      <c r="N814" s="123">
        <v>0</v>
      </c>
      <c r="O814" s="123">
        <v>0</v>
      </c>
      <c r="P814" s="7" t="s">
        <v>163</v>
      </c>
      <c r="Q814" s="124"/>
      <c r="R814" s="1"/>
    </row>
    <row r="815" spans="1:18" ht="13.5" thickBot="1" x14ac:dyDescent="0.25">
      <c r="A815" s="123">
        <v>40</v>
      </c>
      <c r="B815" s="123">
        <v>40</v>
      </c>
      <c r="C815" s="123">
        <v>0</v>
      </c>
      <c r="D815" s="123">
        <v>1</v>
      </c>
      <c r="E815" s="123">
        <v>1</v>
      </c>
      <c r="F815" s="123">
        <v>0</v>
      </c>
      <c r="G815" s="123">
        <v>0</v>
      </c>
      <c r="H815" s="123">
        <v>0</v>
      </c>
      <c r="I815" s="123">
        <v>0</v>
      </c>
      <c r="J815" s="123">
        <v>15</v>
      </c>
      <c r="K815" s="123">
        <v>15</v>
      </c>
      <c r="L815" s="123">
        <v>0</v>
      </c>
      <c r="M815" s="123">
        <v>24</v>
      </c>
      <c r="N815" s="123">
        <v>24</v>
      </c>
      <c r="O815" s="123">
        <v>0</v>
      </c>
      <c r="P815" s="7" t="s">
        <v>162</v>
      </c>
      <c r="Q815" s="124" t="s">
        <v>575</v>
      </c>
      <c r="R815" s="1"/>
    </row>
    <row r="816" spans="1:18" ht="13.5" thickBot="1" x14ac:dyDescent="0.25">
      <c r="A816" s="123">
        <v>57</v>
      </c>
      <c r="B816" s="123">
        <v>57</v>
      </c>
      <c r="C816" s="123">
        <v>0</v>
      </c>
      <c r="D816" s="123">
        <v>1</v>
      </c>
      <c r="E816" s="123">
        <v>1</v>
      </c>
      <c r="F816" s="123">
        <v>0</v>
      </c>
      <c r="G816" s="123">
        <v>5</v>
      </c>
      <c r="H816" s="123">
        <v>5</v>
      </c>
      <c r="I816" s="123">
        <v>0</v>
      </c>
      <c r="J816" s="123">
        <v>27</v>
      </c>
      <c r="K816" s="123">
        <v>27</v>
      </c>
      <c r="L816" s="123">
        <v>0</v>
      </c>
      <c r="M816" s="123">
        <v>24</v>
      </c>
      <c r="N816" s="123">
        <v>24</v>
      </c>
      <c r="O816" s="123">
        <v>0</v>
      </c>
      <c r="P816" s="7" t="s">
        <v>13</v>
      </c>
      <c r="Q816" s="9"/>
      <c r="R816" s="1"/>
    </row>
    <row r="817" spans="1:18" ht="13.5" thickBot="1" x14ac:dyDescent="0.25">
      <c r="A817" s="123">
        <v>3</v>
      </c>
      <c r="B817" s="123">
        <v>0</v>
      </c>
      <c r="C817" s="123">
        <v>3</v>
      </c>
      <c r="D817" s="123">
        <v>0</v>
      </c>
      <c r="E817" s="123">
        <v>0</v>
      </c>
      <c r="F817" s="123">
        <v>0</v>
      </c>
      <c r="G817" s="123">
        <v>0</v>
      </c>
      <c r="H817" s="123">
        <v>0</v>
      </c>
      <c r="I817" s="123">
        <v>0</v>
      </c>
      <c r="J817" s="123">
        <v>2</v>
      </c>
      <c r="K817" s="123">
        <v>0</v>
      </c>
      <c r="L817" s="123">
        <v>2</v>
      </c>
      <c r="M817" s="123">
        <v>1</v>
      </c>
      <c r="N817" s="123">
        <v>0</v>
      </c>
      <c r="O817" s="123">
        <v>1</v>
      </c>
      <c r="P817" s="7" t="s">
        <v>163</v>
      </c>
      <c r="Q817" s="124"/>
      <c r="R817" s="1"/>
    </row>
    <row r="818" spans="1:18" ht="13.5" thickBot="1" x14ac:dyDescent="0.25">
      <c r="A818" s="123">
        <v>16</v>
      </c>
      <c r="B818" s="123">
        <v>0</v>
      </c>
      <c r="C818" s="123">
        <v>16</v>
      </c>
      <c r="D818" s="123">
        <v>0</v>
      </c>
      <c r="E818" s="123">
        <v>0</v>
      </c>
      <c r="F818" s="123">
        <v>0</v>
      </c>
      <c r="G818" s="123">
        <v>0</v>
      </c>
      <c r="H818" s="123">
        <v>0</v>
      </c>
      <c r="I818" s="123">
        <v>0</v>
      </c>
      <c r="J818" s="123">
        <v>11</v>
      </c>
      <c r="K818" s="123">
        <v>0</v>
      </c>
      <c r="L818" s="123">
        <v>11</v>
      </c>
      <c r="M818" s="123">
        <v>5</v>
      </c>
      <c r="N818" s="123">
        <v>0</v>
      </c>
      <c r="O818" s="123">
        <v>5</v>
      </c>
      <c r="P818" s="7" t="s">
        <v>162</v>
      </c>
      <c r="Q818" s="124" t="s">
        <v>117</v>
      </c>
      <c r="R818" s="1"/>
    </row>
    <row r="819" spans="1:18" ht="13.5" thickBot="1" x14ac:dyDescent="0.25">
      <c r="A819" s="123">
        <v>19</v>
      </c>
      <c r="B819" s="123">
        <v>0</v>
      </c>
      <c r="C819" s="123">
        <v>19</v>
      </c>
      <c r="D819" s="123">
        <v>0</v>
      </c>
      <c r="E819" s="123">
        <v>0</v>
      </c>
      <c r="F819" s="123">
        <v>0</v>
      </c>
      <c r="G819" s="123">
        <v>0</v>
      </c>
      <c r="H819" s="123">
        <v>0</v>
      </c>
      <c r="I819" s="123">
        <v>0</v>
      </c>
      <c r="J819" s="123">
        <v>13</v>
      </c>
      <c r="K819" s="123">
        <v>0</v>
      </c>
      <c r="L819" s="123">
        <v>13</v>
      </c>
      <c r="M819" s="123">
        <v>6</v>
      </c>
      <c r="N819" s="123">
        <v>0</v>
      </c>
      <c r="O819" s="123">
        <v>6</v>
      </c>
      <c r="P819" s="7" t="s">
        <v>13</v>
      </c>
      <c r="Q819" s="9"/>
      <c r="R819" s="1"/>
    </row>
    <row r="820" spans="1:18" ht="13.5" thickBot="1" x14ac:dyDescent="0.25">
      <c r="A820" s="123">
        <v>10</v>
      </c>
      <c r="B820" s="123">
        <v>5</v>
      </c>
      <c r="C820" s="123">
        <v>5</v>
      </c>
      <c r="D820" s="123">
        <v>2</v>
      </c>
      <c r="E820" s="123">
        <v>0</v>
      </c>
      <c r="F820" s="123">
        <v>2</v>
      </c>
      <c r="G820" s="123">
        <v>4</v>
      </c>
      <c r="H820" s="123">
        <v>3</v>
      </c>
      <c r="I820" s="123">
        <v>1</v>
      </c>
      <c r="J820" s="123">
        <v>2</v>
      </c>
      <c r="K820" s="123">
        <v>1</v>
      </c>
      <c r="L820" s="123">
        <v>1</v>
      </c>
      <c r="M820" s="123">
        <v>2</v>
      </c>
      <c r="N820" s="123">
        <v>1</v>
      </c>
      <c r="O820" s="123">
        <v>1</v>
      </c>
      <c r="P820" s="7" t="s">
        <v>163</v>
      </c>
      <c r="Q820" s="124"/>
      <c r="R820" s="1"/>
    </row>
    <row r="821" spans="1:18" ht="13.5" thickBot="1" x14ac:dyDescent="0.25">
      <c r="A821" s="123">
        <v>14</v>
      </c>
      <c r="B821" s="123">
        <v>1</v>
      </c>
      <c r="C821" s="123">
        <v>13</v>
      </c>
      <c r="D821" s="123">
        <v>0</v>
      </c>
      <c r="E821" s="123">
        <v>0</v>
      </c>
      <c r="F821" s="123">
        <v>0</v>
      </c>
      <c r="G821" s="123">
        <v>0</v>
      </c>
      <c r="H821" s="123">
        <v>0</v>
      </c>
      <c r="I821" s="123">
        <v>0</v>
      </c>
      <c r="J821" s="123">
        <v>8</v>
      </c>
      <c r="K821" s="123">
        <v>1</v>
      </c>
      <c r="L821" s="123">
        <v>7</v>
      </c>
      <c r="M821" s="123">
        <v>6</v>
      </c>
      <c r="N821" s="123">
        <v>0</v>
      </c>
      <c r="O821" s="123">
        <v>6</v>
      </c>
      <c r="P821" s="7" t="s">
        <v>162</v>
      </c>
      <c r="Q821" s="124" t="s">
        <v>269</v>
      </c>
      <c r="R821" s="1"/>
    </row>
    <row r="822" spans="1:18" ht="13.5" thickBot="1" x14ac:dyDescent="0.25">
      <c r="A822" s="123">
        <v>24</v>
      </c>
      <c r="B822" s="123">
        <v>6</v>
      </c>
      <c r="C822" s="123">
        <v>18</v>
      </c>
      <c r="D822" s="123">
        <v>2</v>
      </c>
      <c r="E822" s="123">
        <v>0</v>
      </c>
      <c r="F822" s="123">
        <v>2</v>
      </c>
      <c r="G822" s="123">
        <v>4</v>
      </c>
      <c r="H822" s="123">
        <v>3</v>
      </c>
      <c r="I822" s="123">
        <v>1</v>
      </c>
      <c r="J822" s="123">
        <v>10</v>
      </c>
      <c r="K822" s="123">
        <v>2</v>
      </c>
      <c r="L822" s="123">
        <v>8</v>
      </c>
      <c r="M822" s="123">
        <v>8</v>
      </c>
      <c r="N822" s="123">
        <v>1</v>
      </c>
      <c r="O822" s="123">
        <v>7</v>
      </c>
      <c r="P822" s="7" t="s">
        <v>13</v>
      </c>
      <c r="Q822" s="9"/>
      <c r="R822" s="1"/>
    </row>
    <row r="823" spans="1:18" ht="13.5" thickBot="1" x14ac:dyDescent="0.25">
      <c r="A823" s="123">
        <v>67</v>
      </c>
      <c r="B823" s="123">
        <v>0</v>
      </c>
      <c r="C823" s="123">
        <v>67</v>
      </c>
      <c r="D823" s="123">
        <v>12</v>
      </c>
      <c r="E823" s="123">
        <v>0</v>
      </c>
      <c r="F823" s="123">
        <v>12</v>
      </c>
      <c r="G823" s="123">
        <v>22</v>
      </c>
      <c r="H823" s="123">
        <v>0</v>
      </c>
      <c r="I823" s="123">
        <v>22</v>
      </c>
      <c r="J823" s="123">
        <v>21</v>
      </c>
      <c r="K823" s="123">
        <v>0</v>
      </c>
      <c r="L823" s="123">
        <v>21</v>
      </c>
      <c r="M823" s="123">
        <v>12</v>
      </c>
      <c r="N823" s="123">
        <v>0</v>
      </c>
      <c r="O823" s="123">
        <v>12</v>
      </c>
      <c r="P823" s="7" t="s">
        <v>163</v>
      </c>
      <c r="Q823" s="124"/>
      <c r="R823" s="1"/>
    </row>
    <row r="824" spans="1:18" ht="13.5" thickBot="1" x14ac:dyDescent="0.25">
      <c r="A824" s="123">
        <v>74</v>
      </c>
      <c r="B824" s="123">
        <v>0</v>
      </c>
      <c r="C824" s="123">
        <v>74</v>
      </c>
      <c r="D824" s="123">
        <v>6</v>
      </c>
      <c r="E824" s="123">
        <v>0</v>
      </c>
      <c r="F824" s="123">
        <v>6</v>
      </c>
      <c r="G824" s="123">
        <v>4</v>
      </c>
      <c r="H824" s="123">
        <v>0</v>
      </c>
      <c r="I824" s="123">
        <v>4</v>
      </c>
      <c r="J824" s="123">
        <v>5</v>
      </c>
      <c r="K824" s="123">
        <v>0</v>
      </c>
      <c r="L824" s="123">
        <v>5</v>
      </c>
      <c r="M824" s="123">
        <v>59</v>
      </c>
      <c r="N824" s="123">
        <v>0</v>
      </c>
      <c r="O824" s="123">
        <v>59</v>
      </c>
      <c r="P824" s="7" t="s">
        <v>162</v>
      </c>
      <c r="Q824" s="124" t="s">
        <v>486</v>
      </c>
      <c r="R824" s="1"/>
    </row>
    <row r="825" spans="1:18" ht="13.5" thickBot="1" x14ac:dyDescent="0.25">
      <c r="A825" s="123">
        <v>141</v>
      </c>
      <c r="B825" s="123">
        <v>0</v>
      </c>
      <c r="C825" s="123">
        <v>141</v>
      </c>
      <c r="D825" s="123">
        <v>18</v>
      </c>
      <c r="E825" s="123">
        <v>0</v>
      </c>
      <c r="F825" s="123">
        <v>18</v>
      </c>
      <c r="G825" s="123">
        <v>26</v>
      </c>
      <c r="H825" s="123">
        <v>0</v>
      </c>
      <c r="I825" s="123">
        <v>26</v>
      </c>
      <c r="J825" s="123">
        <v>26</v>
      </c>
      <c r="K825" s="123">
        <v>0</v>
      </c>
      <c r="L825" s="123">
        <v>26</v>
      </c>
      <c r="M825" s="123">
        <v>71</v>
      </c>
      <c r="N825" s="123">
        <v>0</v>
      </c>
      <c r="O825" s="123">
        <v>71</v>
      </c>
      <c r="P825" s="7" t="s">
        <v>13</v>
      </c>
      <c r="Q825" s="9"/>
      <c r="R825" s="1"/>
    </row>
    <row r="826" spans="1:18" ht="13.5" thickBot="1" x14ac:dyDescent="0.25">
      <c r="A826" s="123">
        <v>0</v>
      </c>
      <c r="B826" s="123">
        <v>0</v>
      </c>
      <c r="C826" s="123">
        <v>0</v>
      </c>
      <c r="D826" s="123">
        <v>0</v>
      </c>
      <c r="E826" s="123">
        <v>0</v>
      </c>
      <c r="F826" s="123">
        <v>0</v>
      </c>
      <c r="G826" s="123">
        <v>0</v>
      </c>
      <c r="H826" s="123">
        <v>0</v>
      </c>
      <c r="I826" s="123">
        <v>0</v>
      </c>
      <c r="J826" s="123">
        <v>0</v>
      </c>
      <c r="K826" s="123">
        <v>0</v>
      </c>
      <c r="L826" s="123">
        <v>0</v>
      </c>
      <c r="M826" s="123">
        <v>0</v>
      </c>
      <c r="N826" s="123">
        <v>0</v>
      </c>
      <c r="O826" s="123">
        <v>0</v>
      </c>
      <c r="P826" s="7" t="s">
        <v>163</v>
      </c>
      <c r="Q826" s="124"/>
      <c r="R826" s="1"/>
    </row>
    <row r="827" spans="1:18" ht="13.5" thickBot="1" x14ac:dyDescent="0.25">
      <c r="A827" s="123">
        <v>60</v>
      </c>
      <c r="B827" s="123">
        <v>28</v>
      </c>
      <c r="C827" s="123">
        <v>32</v>
      </c>
      <c r="D827" s="123">
        <v>7</v>
      </c>
      <c r="E827" s="123">
        <v>5</v>
      </c>
      <c r="F827" s="123">
        <v>2</v>
      </c>
      <c r="G827" s="123">
        <v>0</v>
      </c>
      <c r="H827" s="123">
        <v>0</v>
      </c>
      <c r="I827" s="123">
        <v>0</v>
      </c>
      <c r="J827" s="123">
        <v>19</v>
      </c>
      <c r="K827" s="123">
        <v>11</v>
      </c>
      <c r="L827" s="123">
        <v>8</v>
      </c>
      <c r="M827" s="123">
        <v>34</v>
      </c>
      <c r="N827" s="123">
        <v>12</v>
      </c>
      <c r="O827" s="123">
        <v>22</v>
      </c>
      <c r="P827" s="7" t="s">
        <v>162</v>
      </c>
      <c r="Q827" s="124" t="s">
        <v>365</v>
      </c>
      <c r="R827" s="1"/>
    </row>
    <row r="828" spans="1:18" ht="13.5" thickBot="1" x14ac:dyDescent="0.25">
      <c r="A828" s="123">
        <v>60</v>
      </c>
      <c r="B828" s="123">
        <v>28</v>
      </c>
      <c r="C828" s="123">
        <v>32</v>
      </c>
      <c r="D828" s="123">
        <v>7</v>
      </c>
      <c r="E828" s="123">
        <v>5</v>
      </c>
      <c r="F828" s="123">
        <v>2</v>
      </c>
      <c r="G828" s="123">
        <v>0</v>
      </c>
      <c r="H828" s="123">
        <v>0</v>
      </c>
      <c r="I828" s="123">
        <v>0</v>
      </c>
      <c r="J828" s="123">
        <v>19</v>
      </c>
      <c r="K828" s="123">
        <v>11</v>
      </c>
      <c r="L828" s="123">
        <v>8</v>
      </c>
      <c r="M828" s="123">
        <v>34</v>
      </c>
      <c r="N828" s="123">
        <v>12</v>
      </c>
      <c r="O828" s="123">
        <v>22</v>
      </c>
      <c r="P828" s="7" t="s">
        <v>13</v>
      </c>
      <c r="Q828" s="9"/>
      <c r="R828" s="1"/>
    </row>
    <row r="829" spans="1:18" ht="13.5" thickBot="1" x14ac:dyDescent="0.25">
      <c r="A829" s="123">
        <v>145</v>
      </c>
      <c r="B829" s="123">
        <v>57</v>
      </c>
      <c r="C829" s="123">
        <v>88</v>
      </c>
      <c r="D829" s="123">
        <v>14</v>
      </c>
      <c r="E829" s="123">
        <v>0</v>
      </c>
      <c r="F829" s="123">
        <v>14</v>
      </c>
      <c r="G829" s="123">
        <v>62</v>
      </c>
      <c r="H829" s="123">
        <v>29</v>
      </c>
      <c r="I829" s="123">
        <v>33</v>
      </c>
      <c r="J829" s="123">
        <v>53</v>
      </c>
      <c r="K829" s="123">
        <v>26</v>
      </c>
      <c r="L829" s="123">
        <v>27</v>
      </c>
      <c r="M829" s="123">
        <v>16</v>
      </c>
      <c r="N829" s="123">
        <v>2</v>
      </c>
      <c r="O829" s="123">
        <v>14</v>
      </c>
      <c r="P829" s="7" t="s">
        <v>163</v>
      </c>
      <c r="Q829" s="3"/>
      <c r="R829" s="1"/>
    </row>
    <row r="830" spans="1:18" ht="13.5" thickBot="1" x14ac:dyDescent="0.25">
      <c r="A830" s="123">
        <v>317</v>
      </c>
      <c r="B830" s="123">
        <v>116</v>
      </c>
      <c r="C830" s="123">
        <v>201</v>
      </c>
      <c r="D830" s="123">
        <v>14</v>
      </c>
      <c r="E830" s="123">
        <v>6</v>
      </c>
      <c r="F830" s="123">
        <v>8</v>
      </c>
      <c r="G830" s="123">
        <v>7</v>
      </c>
      <c r="H830" s="123">
        <v>0</v>
      </c>
      <c r="I830" s="123">
        <v>7</v>
      </c>
      <c r="J830" s="123">
        <v>101</v>
      </c>
      <c r="K830" s="123">
        <v>43</v>
      </c>
      <c r="L830" s="123">
        <v>58</v>
      </c>
      <c r="M830" s="123">
        <v>195</v>
      </c>
      <c r="N830" s="123">
        <v>67</v>
      </c>
      <c r="O830" s="123">
        <v>128</v>
      </c>
      <c r="P830" s="7" t="s">
        <v>162</v>
      </c>
      <c r="Q830" s="11" t="s">
        <v>211</v>
      </c>
      <c r="R830" s="1"/>
    </row>
    <row r="831" spans="1:18" ht="13.5" thickBot="1" x14ac:dyDescent="0.25">
      <c r="A831" s="123">
        <v>462</v>
      </c>
      <c r="B831" s="123">
        <v>173</v>
      </c>
      <c r="C831" s="123">
        <v>289</v>
      </c>
      <c r="D831" s="123">
        <v>28</v>
      </c>
      <c r="E831" s="123">
        <v>6</v>
      </c>
      <c r="F831" s="123">
        <v>22</v>
      </c>
      <c r="G831" s="123">
        <v>69</v>
      </c>
      <c r="H831" s="123">
        <v>29</v>
      </c>
      <c r="I831" s="123">
        <v>40</v>
      </c>
      <c r="J831" s="123">
        <v>154</v>
      </c>
      <c r="K831" s="123">
        <v>69</v>
      </c>
      <c r="L831" s="123">
        <v>85</v>
      </c>
      <c r="M831" s="123">
        <v>211</v>
      </c>
      <c r="N831" s="123">
        <v>69</v>
      </c>
      <c r="O831" s="123">
        <v>142</v>
      </c>
      <c r="P831" s="7" t="s">
        <v>13</v>
      </c>
      <c r="Q831" s="5"/>
      <c r="R831" s="1"/>
    </row>
    <row r="832" spans="1:18" ht="18" customHeight="1" x14ac:dyDescent="0.2">
      <c r="A832" s="207"/>
      <c r="B832" s="207"/>
      <c r="C832" s="207"/>
      <c r="D832" s="207"/>
      <c r="E832" s="207"/>
      <c r="F832" s="207"/>
      <c r="G832" s="207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1"/>
    </row>
    <row r="833" spans="1:18" ht="18" customHeight="1" x14ac:dyDescent="0.2">
      <c r="A833" s="159" t="s">
        <v>643</v>
      </c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"/>
    </row>
    <row r="834" spans="1:18" ht="18" customHeight="1" thickBot="1" x14ac:dyDescent="0.25">
      <c r="A834" s="160" t="s">
        <v>644</v>
      </c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"/>
    </row>
    <row r="835" spans="1:18" ht="13.5" thickBot="1" x14ac:dyDescent="0.25">
      <c r="A835" s="204" t="s">
        <v>5</v>
      </c>
      <c r="B835" s="204"/>
      <c r="C835" s="204"/>
      <c r="D835" s="204" t="s">
        <v>57</v>
      </c>
      <c r="E835" s="204"/>
      <c r="F835" s="204"/>
      <c r="G835" s="204" t="s">
        <v>65</v>
      </c>
      <c r="H835" s="204"/>
      <c r="I835" s="204"/>
      <c r="J835" s="204" t="s">
        <v>62</v>
      </c>
      <c r="K835" s="204"/>
      <c r="L835" s="204"/>
      <c r="M835" s="204" t="s">
        <v>61</v>
      </c>
      <c r="N835" s="204"/>
      <c r="O835" s="204"/>
      <c r="P835" s="205" t="s">
        <v>645</v>
      </c>
      <c r="Q835" s="47" t="s">
        <v>161</v>
      </c>
      <c r="R835" s="1"/>
    </row>
    <row r="836" spans="1:18" ht="13.5" thickBot="1" x14ac:dyDescent="0.25">
      <c r="A836" s="47" t="s">
        <v>216</v>
      </c>
      <c r="B836" s="47" t="s">
        <v>11</v>
      </c>
      <c r="C836" s="47" t="s">
        <v>10</v>
      </c>
      <c r="D836" s="47" t="s">
        <v>216</v>
      </c>
      <c r="E836" s="47" t="s">
        <v>11</v>
      </c>
      <c r="F836" s="47" t="s">
        <v>10</v>
      </c>
      <c r="G836" s="47" t="s">
        <v>216</v>
      </c>
      <c r="H836" s="47" t="s">
        <v>11</v>
      </c>
      <c r="I836" s="47" t="s">
        <v>10</v>
      </c>
      <c r="J836" s="47" t="s">
        <v>216</v>
      </c>
      <c r="K836" s="47" t="s">
        <v>11</v>
      </c>
      <c r="L836" s="47" t="s">
        <v>10</v>
      </c>
      <c r="M836" s="47" t="s">
        <v>216</v>
      </c>
      <c r="N836" s="47" t="s">
        <v>11</v>
      </c>
      <c r="O836" s="47" t="s">
        <v>10</v>
      </c>
      <c r="P836" s="206"/>
      <c r="Q836" s="5" t="s">
        <v>120</v>
      </c>
      <c r="R836" s="1"/>
    </row>
    <row r="837" spans="1:18" ht="13.5" thickBot="1" x14ac:dyDescent="0.25">
      <c r="A837" s="123">
        <v>23</v>
      </c>
      <c r="B837" s="123">
        <v>3</v>
      </c>
      <c r="C837" s="123">
        <v>20</v>
      </c>
      <c r="D837" s="123">
        <v>0</v>
      </c>
      <c r="E837" s="123">
        <v>0</v>
      </c>
      <c r="F837" s="123">
        <v>0</v>
      </c>
      <c r="G837" s="123">
        <v>19</v>
      </c>
      <c r="H837" s="123">
        <v>2</v>
      </c>
      <c r="I837" s="123">
        <v>17</v>
      </c>
      <c r="J837" s="123">
        <v>4</v>
      </c>
      <c r="K837" s="123">
        <v>1</v>
      </c>
      <c r="L837" s="123">
        <v>3</v>
      </c>
      <c r="M837" s="123">
        <v>0</v>
      </c>
      <c r="N837" s="123">
        <v>0</v>
      </c>
      <c r="O837" s="123">
        <v>0</v>
      </c>
      <c r="P837" s="7" t="s">
        <v>163</v>
      </c>
      <c r="Q837" s="124"/>
      <c r="R837" s="1"/>
    </row>
    <row r="838" spans="1:18" ht="13.5" thickBot="1" x14ac:dyDescent="0.25">
      <c r="A838" s="123">
        <v>67</v>
      </c>
      <c r="B838" s="123">
        <v>7</v>
      </c>
      <c r="C838" s="123">
        <v>60</v>
      </c>
      <c r="D838" s="123">
        <v>0</v>
      </c>
      <c r="E838" s="123">
        <v>0</v>
      </c>
      <c r="F838" s="123">
        <v>0</v>
      </c>
      <c r="G838" s="123">
        <v>0</v>
      </c>
      <c r="H838" s="123">
        <v>0</v>
      </c>
      <c r="I838" s="123">
        <v>0</v>
      </c>
      <c r="J838" s="123">
        <v>32</v>
      </c>
      <c r="K838" s="123">
        <v>7</v>
      </c>
      <c r="L838" s="123">
        <v>25</v>
      </c>
      <c r="M838" s="123">
        <v>35</v>
      </c>
      <c r="N838" s="123">
        <v>0</v>
      </c>
      <c r="O838" s="123">
        <v>35</v>
      </c>
      <c r="P838" s="7" t="s">
        <v>162</v>
      </c>
      <c r="Q838" s="124" t="s">
        <v>359</v>
      </c>
      <c r="R838" s="1"/>
    </row>
    <row r="839" spans="1:18" ht="13.5" thickBot="1" x14ac:dyDescent="0.25">
      <c r="A839" s="123">
        <v>90</v>
      </c>
      <c r="B839" s="123">
        <v>10</v>
      </c>
      <c r="C839" s="123">
        <v>80</v>
      </c>
      <c r="D839" s="123">
        <v>0</v>
      </c>
      <c r="E839" s="123">
        <v>0</v>
      </c>
      <c r="F839" s="123">
        <v>0</v>
      </c>
      <c r="G839" s="123">
        <v>19</v>
      </c>
      <c r="H839" s="123">
        <v>2</v>
      </c>
      <c r="I839" s="123">
        <v>17</v>
      </c>
      <c r="J839" s="123">
        <v>36</v>
      </c>
      <c r="K839" s="123">
        <v>8</v>
      </c>
      <c r="L839" s="123">
        <v>28</v>
      </c>
      <c r="M839" s="123">
        <v>35</v>
      </c>
      <c r="N839" s="123">
        <v>0</v>
      </c>
      <c r="O839" s="123">
        <v>35</v>
      </c>
      <c r="P839" s="7" t="s">
        <v>13</v>
      </c>
      <c r="Q839" s="9"/>
      <c r="R839" s="1"/>
    </row>
    <row r="840" spans="1:18" ht="13.5" thickBot="1" x14ac:dyDescent="0.25">
      <c r="A840" s="123">
        <v>12</v>
      </c>
      <c r="B840" s="123">
        <v>2</v>
      </c>
      <c r="C840" s="123">
        <v>10</v>
      </c>
      <c r="D840" s="123">
        <v>0</v>
      </c>
      <c r="E840" s="123">
        <v>0</v>
      </c>
      <c r="F840" s="123">
        <v>0</v>
      </c>
      <c r="G840" s="123">
        <v>6</v>
      </c>
      <c r="H840" s="123">
        <v>1</v>
      </c>
      <c r="I840" s="123">
        <v>5</v>
      </c>
      <c r="J840" s="123">
        <v>4</v>
      </c>
      <c r="K840" s="123">
        <v>1</v>
      </c>
      <c r="L840" s="123">
        <v>3</v>
      </c>
      <c r="M840" s="123">
        <v>2</v>
      </c>
      <c r="N840" s="123">
        <v>0</v>
      </c>
      <c r="O840" s="123">
        <v>2</v>
      </c>
      <c r="P840" s="7" t="s">
        <v>163</v>
      </c>
      <c r="Q840" s="124"/>
      <c r="R840" s="1"/>
    </row>
    <row r="841" spans="1:18" ht="13.5" thickBot="1" x14ac:dyDescent="0.25">
      <c r="A841" s="123">
        <v>32</v>
      </c>
      <c r="B841" s="123">
        <v>11</v>
      </c>
      <c r="C841" s="123">
        <v>21</v>
      </c>
      <c r="D841" s="123">
        <v>0</v>
      </c>
      <c r="E841" s="123">
        <v>0</v>
      </c>
      <c r="F841" s="123">
        <v>0</v>
      </c>
      <c r="G841" s="123">
        <v>0</v>
      </c>
      <c r="H841" s="123">
        <v>0</v>
      </c>
      <c r="I841" s="123">
        <v>0</v>
      </c>
      <c r="J841" s="123">
        <v>13</v>
      </c>
      <c r="K841" s="123">
        <v>2</v>
      </c>
      <c r="L841" s="123">
        <v>11</v>
      </c>
      <c r="M841" s="123">
        <v>19</v>
      </c>
      <c r="N841" s="123">
        <v>9</v>
      </c>
      <c r="O841" s="123">
        <v>10</v>
      </c>
      <c r="P841" s="7" t="s">
        <v>162</v>
      </c>
      <c r="Q841" s="124" t="s">
        <v>264</v>
      </c>
      <c r="R841" s="1"/>
    </row>
    <row r="842" spans="1:18" ht="13.5" thickBot="1" x14ac:dyDescent="0.25">
      <c r="A842" s="123">
        <v>44</v>
      </c>
      <c r="B842" s="123">
        <v>13</v>
      </c>
      <c r="C842" s="123">
        <v>31</v>
      </c>
      <c r="D842" s="123">
        <v>0</v>
      </c>
      <c r="E842" s="123">
        <v>0</v>
      </c>
      <c r="F842" s="123">
        <v>0</v>
      </c>
      <c r="G842" s="123">
        <v>6</v>
      </c>
      <c r="H842" s="123">
        <v>1</v>
      </c>
      <c r="I842" s="123">
        <v>5</v>
      </c>
      <c r="J842" s="123">
        <v>17</v>
      </c>
      <c r="K842" s="123">
        <v>3</v>
      </c>
      <c r="L842" s="123">
        <v>14</v>
      </c>
      <c r="M842" s="123">
        <v>21</v>
      </c>
      <c r="N842" s="123">
        <v>9</v>
      </c>
      <c r="O842" s="123">
        <v>12</v>
      </c>
      <c r="P842" s="7" t="s">
        <v>13</v>
      </c>
      <c r="Q842" s="9"/>
      <c r="R842" s="1"/>
    </row>
    <row r="843" spans="1:18" ht="13.5" thickBot="1" x14ac:dyDescent="0.25">
      <c r="A843" s="123">
        <v>3</v>
      </c>
      <c r="B843" s="123">
        <v>0</v>
      </c>
      <c r="C843" s="123">
        <v>3</v>
      </c>
      <c r="D843" s="123">
        <v>0</v>
      </c>
      <c r="E843" s="123">
        <v>0</v>
      </c>
      <c r="F843" s="123">
        <v>0</v>
      </c>
      <c r="G843" s="123">
        <v>2</v>
      </c>
      <c r="H843" s="123">
        <v>0</v>
      </c>
      <c r="I843" s="123">
        <v>2</v>
      </c>
      <c r="J843" s="123">
        <v>0</v>
      </c>
      <c r="K843" s="123">
        <v>0</v>
      </c>
      <c r="L843" s="123">
        <v>0</v>
      </c>
      <c r="M843" s="123">
        <v>1</v>
      </c>
      <c r="N843" s="123">
        <v>0</v>
      </c>
      <c r="O843" s="123">
        <v>1</v>
      </c>
      <c r="P843" s="7" t="s">
        <v>163</v>
      </c>
      <c r="Q843" s="124"/>
      <c r="R843" s="1"/>
    </row>
    <row r="844" spans="1:18" ht="13.5" thickBot="1" x14ac:dyDescent="0.25">
      <c r="A844" s="123">
        <v>15</v>
      </c>
      <c r="B844" s="123">
        <v>0</v>
      </c>
      <c r="C844" s="123">
        <v>15</v>
      </c>
      <c r="D844" s="123">
        <v>0</v>
      </c>
      <c r="E844" s="123">
        <v>0</v>
      </c>
      <c r="F844" s="123">
        <v>0</v>
      </c>
      <c r="G844" s="123">
        <v>0</v>
      </c>
      <c r="H844" s="123">
        <v>0</v>
      </c>
      <c r="I844" s="123">
        <v>0</v>
      </c>
      <c r="J844" s="123">
        <v>5</v>
      </c>
      <c r="K844" s="123">
        <v>0</v>
      </c>
      <c r="L844" s="123">
        <v>5</v>
      </c>
      <c r="M844" s="123">
        <v>10</v>
      </c>
      <c r="N844" s="123">
        <v>0</v>
      </c>
      <c r="O844" s="123">
        <v>10</v>
      </c>
      <c r="P844" s="7" t="s">
        <v>162</v>
      </c>
      <c r="Q844" s="124" t="s">
        <v>377</v>
      </c>
      <c r="R844" s="1"/>
    </row>
    <row r="845" spans="1:18" ht="13.5" thickBot="1" x14ac:dyDescent="0.25">
      <c r="A845" s="123">
        <v>18</v>
      </c>
      <c r="B845" s="123">
        <v>0</v>
      </c>
      <c r="C845" s="123">
        <v>18</v>
      </c>
      <c r="D845" s="123">
        <v>0</v>
      </c>
      <c r="E845" s="123">
        <v>0</v>
      </c>
      <c r="F845" s="123">
        <v>0</v>
      </c>
      <c r="G845" s="123">
        <v>2</v>
      </c>
      <c r="H845" s="123">
        <v>0</v>
      </c>
      <c r="I845" s="123">
        <v>2</v>
      </c>
      <c r="J845" s="123">
        <v>5</v>
      </c>
      <c r="K845" s="123">
        <v>0</v>
      </c>
      <c r="L845" s="123">
        <v>5</v>
      </c>
      <c r="M845" s="123">
        <v>11</v>
      </c>
      <c r="N845" s="123">
        <v>0</v>
      </c>
      <c r="O845" s="123">
        <v>11</v>
      </c>
      <c r="P845" s="7" t="s">
        <v>13</v>
      </c>
      <c r="Q845" s="9"/>
      <c r="R845" s="1"/>
    </row>
    <row r="846" spans="1:18" ht="13.5" thickBot="1" x14ac:dyDescent="0.25">
      <c r="A846" s="123">
        <v>3</v>
      </c>
      <c r="B846" s="123">
        <v>0</v>
      </c>
      <c r="C846" s="123">
        <v>3</v>
      </c>
      <c r="D846" s="123">
        <v>0</v>
      </c>
      <c r="E846" s="123">
        <v>0</v>
      </c>
      <c r="F846" s="123">
        <v>0</v>
      </c>
      <c r="G846" s="123">
        <v>0</v>
      </c>
      <c r="H846" s="123">
        <v>0</v>
      </c>
      <c r="I846" s="123">
        <v>0</v>
      </c>
      <c r="J846" s="123">
        <v>2</v>
      </c>
      <c r="K846" s="123">
        <v>0</v>
      </c>
      <c r="L846" s="123">
        <v>2</v>
      </c>
      <c r="M846" s="123">
        <v>1</v>
      </c>
      <c r="N846" s="123">
        <v>0</v>
      </c>
      <c r="O846" s="123">
        <v>1</v>
      </c>
      <c r="P846" s="7" t="s">
        <v>163</v>
      </c>
      <c r="Q846" s="124"/>
      <c r="R846" s="1"/>
    </row>
    <row r="847" spans="1:18" ht="13.5" thickBot="1" x14ac:dyDescent="0.25">
      <c r="A847" s="123">
        <v>26</v>
      </c>
      <c r="B847" s="123">
        <v>0</v>
      </c>
      <c r="C847" s="123">
        <v>26</v>
      </c>
      <c r="D847" s="123">
        <v>0</v>
      </c>
      <c r="E847" s="123">
        <v>0</v>
      </c>
      <c r="F847" s="123">
        <v>0</v>
      </c>
      <c r="G847" s="123">
        <v>0</v>
      </c>
      <c r="H847" s="123">
        <v>0</v>
      </c>
      <c r="I847" s="123">
        <v>0</v>
      </c>
      <c r="J847" s="123">
        <v>11</v>
      </c>
      <c r="K847" s="123">
        <v>0</v>
      </c>
      <c r="L847" s="123">
        <v>11</v>
      </c>
      <c r="M847" s="123">
        <v>15</v>
      </c>
      <c r="N847" s="123">
        <v>0</v>
      </c>
      <c r="O847" s="123">
        <v>15</v>
      </c>
      <c r="P847" s="7" t="s">
        <v>162</v>
      </c>
      <c r="Q847" s="124" t="s">
        <v>119</v>
      </c>
      <c r="R847" s="1"/>
    </row>
    <row r="848" spans="1:18" ht="13.5" thickBot="1" x14ac:dyDescent="0.25">
      <c r="A848" s="123">
        <v>29</v>
      </c>
      <c r="B848" s="123">
        <v>0</v>
      </c>
      <c r="C848" s="123">
        <v>29</v>
      </c>
      <c r="D848" s="123">
        <v>0</v>
      </c>
      <c r="E848" s="123">
        <v>0</v>
      </c>
      <c r="F848" s="123">
        <v>0</v>
      </c>
      <c r="G848" s="123">
        <v>0</v>
      </c>
      <c r="H848" s="123">
        <v>0</v>
      </c>
      <c r="I848" s="123">
        <v>0</v>
      </c>
      <c r="J848" s="123">
        <v>13</v>
      </c>
      <c r="K848" s="123">
        <v>0</v>
      </c>
      <c r="L848" s="123">
        <v>13</v>
      </c>
      <c r="M848" s="123">
        <v>16</v>
      </c>
      <c r="N848" s="123">
        <v>0</v>
      </c>
      <c r="O848" s="123">
        <v>16</v>
      </c>
      <c r="P848" s="7" t="s">
        <v>13</v>
      </c>
      <c r="Q848" s="9"/>
      <c r="R848" s="1"/>
    </row>
    <row r="849" spans="1:18" ht="13.5" thickBot="1" x14ac:dyDescent="0.25">
      <c r="A849" s="123">
        <v>1</v>
      </c>
      <c r="B849" s="123">
        <v>1</v>
      </c>
      <c r="C849" s="123">
        <v>0</v>
      </c>
      <c r="D849" s="123">
        <v>0</v>
      </c>
      <c r="E849" s="123">
        <v>0</v>
      </c>
      <c r="F849" s="123">
        <v>0</v>
      </c>
      <c r="G849" s="123">
        <v>0</v>
      </c>
      <c r="H849" s="123">
        <v>0</v>
      </c>
      <c r="I849" s="123">
        <v>0</v>
      </c>
      <c r="J849" s="123">
        <v>0</v>
      </c>
      <c r="K849" s="123">
        <v>0</v>
      </c>
      <c r="L849" s="123">
        <v>0</v>
      </c>
      <c r="M849" s="123">
        <v>1</v>
      </c>
      <c r="N849" s="123">
        <v>1</v>
      </c>
      <c r="O849" s="123">
        <v>0</v>
      </c>
      <c r="P849" s="7" t="s">
        <v>163</v>
      </c>
      <c r="Q849" s="124"/>
      <c r="R849" s="1"/>
    </row>
    <row r="850" spans="1:18" ht="13.5" thickBot="1" x14ac:dyDescent="0.25">
      <c r="A850" s="123">
        <v>30</v>
      </c>
      <c r="B850" s="123">
        <v>21</v>
      </c>
      <c r="C850" s="123">
        <v>9</v>
      </c>
      <c r="D850" s="123">
        <v>0</v>
      </c>
      <c r="E850" s="123">
        <v>0</v>
      </c>
      <c r="F850" s="123">
        <v>0</v>
      </c>
      <c r="G850" s="123">
        <v>0</v>
      </c>
      <c r="H850" s="123">
        <v>0</v>
      </c>
      <c r="I850" s="123">
        <v>0</v>
      </c>
      <c r="J850" s="123">
        <v>10</v>
      </c>
      <c r="K850" s="123">
        <v>10</v>
      </c>
      <c r="L850" s="123">
        <v>0</v>
      </c>
      <c r="M850" s="123">
        <v>20</v>
      </c>
      <c r="N850" s="123">
        <v>11</v>
      </c>
      <c r="O850" s="123">
        <v>9</v>
      </c>
      <c r="P850" s="7" t="s">
        <v>162</v>
      </c>
      <c r="Q850" s="124" t="s">
        <v>487</v>
      </c>
      <c r="R850" s="1"/>
    </row>
    <row r="851" spans="1:18" ht="13.5" thickBot="1" x14ac:dyDescent="0.25">
      <c r="A851" s="123">
        <v>31</v>
      </c>
      <c r="B851" s="123">
        <v>22</v>
      </c>
      <c r="C851" s="123">
        <v>9</v>
      </c>
      <c r="D851" s="123">
        <v>0</v>
      </c>
      <c r="E851" s="123">
        <v>0</v>
      </c>
      <c r="F851" s="123">
        <v>0</v>
      </c>
      <c r="G851" s="123">
        <v>0</v>
      </c>
      <c r="H851" s="123">
        <v>0</v>
      </c>
      <c r="I851" s="123">
        <v>0</v>
      </c>
      <c r="J851" s="123">
        <v>10</v>
      </c>
      <c r="K851" s="123">
        <v>10</v>
      </c>
      <c r="L851" s="123">
        <v>0</v>
      </c>
      <c r="M851" s="123">
        <v>21</v>
      </c>
      <c r="N851" s="123">
        <v>12</v>
      </c>
      <c r="O851" s="123">
        <v>9</v>
      </c>
      <c r="P851" s="7" t="s">
        <v>13</v>
      </c>
      <c r="Q851" s="9"/>
      <c r="R851" s="1"/>
    </row>
    <row r="852" spans="1:18" ht="13.5" thickBot="1" x14ac:dyDescent="0.25">
      <c r="A852" s="123">
        <v>11</v>
      </c>
      <c r="B852" s="123">
        <v>11</v>
      </c>
      <c r="C852" s="123">
        <v>0</v>
      </c>
      <c r="D852" s="123">
        <v>0</v>
      </c>
      <c r="E852" s="123">
        <v>0</v>
      </c>
      <c r="F852" s="123">
        <v>0</v>
      </c>
      <c r="G852" s="123">
        <v>9</v>
      </c>
      <c r="H852" s="123">
        <v>9</v>
      </c>
      <c r="I852" s="123">
        <v>0</v>
      </c>
      <c r="J852" s="123">
        <v>1</v>
      </c>
      <c r="K852" s="123">
        <v>1</v>
      </c>
      <c r="L852" s="123">
        <v>0</v>
      </c>
      <c r="M852" s="123">
        <v>1</v>
      </c>
      <c r="N852" s="123">
        <v>1</v>
      </c>
      <c r="O852" s="123">
        <v>0</v>
      </c>
      <c r="P852" s="7" t="s">
        <v>163</v>
      </c>
      <c r="Q852" s="124"/>
      <c r="R852" s="1"/>
    </row>
    <row r="853" spans="1:18" ht="13.5" thickBot="1" x14ac:dyDescent="0.25">
      <c r="A853" s="123">
        <v>58</v>
      </c>
      <c r="B853" s="123">
        <v>44</v>
      </c>
      <c r="C853" s="123">
        <v>14</v>
      </c>
      <c r="D853" s="123">
        <v>0</v>
      </c>
      <c r="E853" s="123">
        <v>0</v>
      </c>
      <c r="F853" s="123">
        <v>0</v>
      </c>
      <c r="G853" s="123">
        <v>0</v>
      </c>
      <c r="H853" s="123">
        <v>0</v>
      </c>
      <c r="I853" s="123">
        <v>0</v>
      </c>
      <c r="J853" s="123">
        <v>28</v>
      </c>
      <c r="K853" s="123">
        <v>28</v>
      </c>
      <c r="L853" s="123">
        <v>0</v>
      </c>
      <c r="M853" s="123">
        <v>30</v>
      </c>
      <c r="N853" s="123">
        <v>16</v>
      </c>
      <c r="O853" s="123">
        <v>14</v>
      </c>
      <c r="P853" s="7" t="s">
        <v>162</v>
      </c>
      <c r="Q853" s="124" t="s">
        <v>488</v>
      </c>
      <c r="R853" s="1"/>
    </row>
    <row r="854" spans="1:18" ht="13.5" thickBot="1" x14ac:dyDescent="0.25">
      <c r="A854" s="123">
        <v>69</v>
      </c>
      <c r="B854" s="123">
        <v>55</v>
      </c>
      <c r="C854" s="123">
        <v>14</v>
      </c>
      <c r="D854" s="123">
        <v>0</v>
      </c>
      <c r="E854" s="123">
        <v>0</v>
      </c>
      <c r="F854" s="123">
        <v>0</v>
      </c>
      <c r="G854" s="123">
        <v>9</v>
      </c>
      <c r="H854" s="123">
        <v>9</v>
      </c>
      <c r="I854" s="123">
        <v>0</v>
      </c>
      <c r="J854" s="123">
        <v>29</v>
      </c>
      <c r="K854" s="123">
        <v>29</v>
      </c>
      <c r="L854" s="123">
        <v>0</v>
      </c>
      <c r="M854" s="123">
        <v>31</v>
      </c>
      <c r="N854" s="123">
        <v>17</v>
      </c>
      <c r="O854" s="123">
        <v>14</v>
      </c>
      <c r="P854" s="7" t="s">
        <v>13</v>
      </c>
      <c r="Q854" s="9"/>
      <c r="R854" s="1"/>
    </row>
    <row r="855" spans="1:18" ht="13.5" thickBot="1" x14ac:dyDescent="0.25">
      <c r="A855" s="123">
        <v>1</v>
      </c>
      <c r="B855" s="123">
        <v>1</v>
      </c>
      <c r="C855" s="123">
        <v>0</v>
      </c>
      <c r="D855" s="123">
        <v>0</v>
      </c>
      <c r="E855" s="123">
        <v>0</v>
      </c>
      <c r="F855" s="123">
        <v>0</v>
      </c>
      <c r="G855" s="123">
        <v>0</v>
      </c>
      <c r="H855" s="123">
        <v>0</v>
      </c>
      <c r="I855" s="123">
        <v>0</v>
      </c>
      <c r="J855" s="123">
        <v>0</v>
      </c>
      <c r="K855" s="123">
        <v>0</v>
      </c>
      <c r="L855" s="123">
        <v>0</v>
      </c>
      <c r="M855" s="123">
        <v>1</v>
      </c>
      <c r="N855" s="123">
        <v>1</v>
      </c>
      <c r="O855" s="123">
        <v>0</v>
      </c>
      <c r="P855" s="7" t="s">
        <v>163</v>
      </c>
      <c r="Q855" s="124"/>
      <c r="R855" s="1"/>
    </row>
    <row r="856" spans="1:18" ht="13.5" thickBot="1" x14ac:dyDescent="0.25">
      <c r="A856" s="123">
        <v>0</v>
      </c>
      <c r="B856" s="123">
        <v>0</v>
      </c>
      <c r="C856" s="123">
        <v>0</v>
      </c>
      <c r="D856" s="123">
        <v>0</v>
      </c>
      <c r="E856" s="123">
        <v>0</v>
      </c>
      <c r="F856" s="123">
        <v>0</v>
      </c>
      <c r="G856" s="123">
        <v>0</v>
      </c>
      <c r="H856" s="123">
        <v>0</v>
      </c>
      <c r="I856" s="123">
        <v>0</v>
      </c>
      <c r="J856" s="123">
        <v>0</v>
      </c>
      <c r="K856" s="123">
        <v>0</v>
      </c>
      <c r="L856" s="123">
        <v>0</v>
      </c>
      <c r="M856" s="123">
        <v>0</v>
      </c>
      <c r="N856" s="123">
        <v>0</v>
      </c>
      <c r="O856" s="123">
        <v>0</v>
      </c>
      <c r="P856" s="7" t="s">
        <v>162</v>
      </c>
      <c r="Q856" s="124" t="s">
        <v>121</v>
      </c>
      <c r="R856" s="1"/>
    </row>
    <row r="857" spans="1:18" ht="13.5" thickBot="1" x14ac:dyDescent="0.25">
      <c r="A857" s="123">
        <v>1</v>
      </c>
      <c r="B857" s="123">
        <v>1</v>
      </c>
      <c r="C857" s="123">
        <v>0</v>
      </c>
      <c r="D857" s="123">
        <v>0</v>
      </c>
      <c r="E857" s="123">
        <v>0</v>
      </c>
      <c r="F857" s="123">
        <v>0</v>
      </c>
      <c r="G857" s="123">
        <v>0</v>
      </c>
      <c r="H857" s="123">
        <v>0</v>
      </c>
      <c r="I857" s="123">
        <v>0</v>
      </c>
      <c r="J857" s="123">
        <v>0</v>
      </c>
      <c r="K857" s="123">
        <v>0</v>
      </c>
      <c r="L857" s="123">
        <v>0</v>
      </c>
      <c r="M857" s="123">
        <v>1</v>
      </c>
      <c r="N857" s="123">
        <v>1</v>
      </c>
      <c r="O857" s="123">
        <v>0</v>
      </c>
      <c r="P857" s="7" t="s">
        <v>13</v>
      </c>
      <c r="Q857" s="9"/>
      <c r="R857" s="1"/>
    </row>
    <row r="858" spans="1:18" ht="13.5" thickBot="1" x14ac:dyDescent="0.25">
      <c r="A858" s="123">
        <v>1</v>
      </c>
      <c r="B858" s="123">
        <v>1</v>
      </c>
      <c r="C858" s="123">
        <v>0</v>
      </c>
      <c r="D858" s="123">
        <v>0</v>
      </c>
      <c r="E858" s="123">
        <v>0</v>
      </c>
      <c r="F858" s="123">
        <v>0</v>
      </c>
      <c r="G858" s="123">
        <v>0</v>
      </c>
      <c r="H858" s="123">
        <v>0</v>
      </c>
      <c r="I858" s="123">
        <v>0</v>
      </c>
      <c r="J858" s="123">
        <v>0</v>
      </c>
      <c r="K858" s="123">
        <v>0</v>
      </c>
      <c r="L858" s="123">
        <v>0</v>
      </c>
      <c r="M858" s="123">
        <v>1</v>
      </c>
      <c r="N858" s="123">
        <v>1</v>
      </c>
      <c r="O858" s="123">
        <v>0</v>
      </c>
      <c r="P858" s="7" t="s">
        <v>163</v>
      </c>
      <c r="Q858" s="124"/>
      <c r="R858" s="1"/>
    </row>
    <row r="859" spans="1:18" ht="13.5" thickBot="1" x14ac:dyDescent="0.25">
      <c r="A859" s="123">
        <v>0</v>
      </c>
      <c r="B859" s="123">
        <v>0</v>
      </c>
      <c r="C859" s="123">
        <v>0</v>
      </c>
      <c r="D859" s="123">
        <v>0</v>
      </c>
      <c r="E859" s="123">
        <v>0</v>
      </c>
      <c r="F859" s="123">
        <v>0</v>
      </c>
      <c r="G859" s="123">
        <v>0</v>
      </c>
      <c r="H859" s="123">
        <v>0</v>
      </c>
      <c r="I859" s="123">
        <v>0</v>
      </c>
      <c r="J859" s="123">
        <v>0</v>
      </c>
      <c r="K859" s="123">
        <v>0</v>
      </c>
      <c r="L859" s="123">
        <v>0</v>
      </c>
      <c r="M859" s="123">
        <v>0</v>
      </c>
      <c r="N859" s="123">
        <v>0</v>
      </c>
      <c r="O859" s="123">
        <v>0</v>
      </c>
      <c r="P859" s="7" t="s">
        <v>162</v>
      </c>
      <c r="Q859" s="124" t="s">
        <v>122</v>
      </c>
      <c r="R859" s="1"/>
    </row>
    <row r="860" spans="1:18" ht="13.5" thickBot="1" x14ac:dyDescent="0.25">
      <c r="A860" s="123">
        <v>1</v>
      </c>
      <c r="B860" s="123">
        <v>1</v>
      </c>
      <c r="C860" s="123">
        <v>0</v>
      </c>
      <c r="D860" s="123">
        <v>0</v>
      </c>
      <c r="E860" s="123">
        <v>0</v>
      </c>
      <c r="F860" s="123">
        <v>0</v>
      </c>
      <c r="G860" s="123">
        <v>0</v>
      </c>
      <c r="H860" s="123">
        <v>0</v>
      </c>
      <c r="I860" s="123">
        <v>0</v>
      </c>
      <c r="J860" s="123">
        <v>0</v>
      </c>
      <c r="K860" s="123">
        <v>0</v>
      </c>
      <c r="L860" s="123">
        <v>0</v>
      </c>
      <c r="M860" s="123">
        <v>1</v>
      </c>
      <c r="N860" s="123">
        <v>1</v>
      </c>
      <c r="O860" s="123">
        <v>0</v>
      </c>
      <c r="P860" s="7" t="s">
        <v>13</v>
      </c>
      <c r="Q860" s="9"/>
      <c r="R860" s="1"/>
    </row>
    <row r="861" spans="1:18" ht="13.5" thickBot="1" x14ac:dyDescent="0.25">
      <c r="A861" s="123">
        <v>14</v>
      </c>
      <c r="B861" s="123">
        <v>0</v>
      </c>
      <c r="C861" s="123">
        <v>14</v>
      </c>
      <c r="D861" s="123">
        <v>0</v>
      </c>
      <c r="E861" s="123">
        <v>0</v>
      </c>
      <c r="F861" s="123">
        <v>0</v>
      </c>
      <c r="G861" s="123">
        <v>2</v>
      </c>
      <c r="H861" s="123">
        <v>0</v>
      </c>
      <c r="I861" s="123">
        <v>2</v>
      </c>
      <c r="J861" s="123">
        <v>10</v>
      </c>
      <c r="K861" s="123">
        <v>0</v>
      </c>
      <c r="L861" s="123">
        <v>10</v>
      </c>
      <c r="M861" s="123">
        <v>2</v>
      </c>
      <c r="N861" s="123">
        <v>0</v>
      </c>
      <c r="O861" s="123">
        <v>2</v>
      </c>
      <c r="P861" s="7" t="s">
        <v>163</v>
      </c>
      <c r="Q861" s="124"/>
      <c r="R861" s="1"/>
    </row>
    <row r="862" spans="1:18" ht="13.5" thickBot="1" x14ac:dyDescent="0.25">
      <c r="A862" s="123">
        <v>87</v>
      </c>
      <c r="B862" s="123">
        <v>0</v>
      </c>
      <c r="C862" s="123">
        <v>87</v>
      </c>
      <c r="D862" s="123">
        <v>11</v>
      </c>
      <c r="E862" s="123">
        <v>0</v>
      </c>
      <c r="F862" s="123">
        <v>11</v>
      </c>
      <c r="G862" s="123">
        <v>3</v>
      </c>
      <c r="H862" s="123">
        <v>0</v>
      </c>
      <c r="I862" s="123">
        <v>3</v>
      </c>
      <c r="J862" s="123">
        <v>18</v>
      </c>
      <c r="K862" s="123">
        <v>0</v>
      </c>
      <c r="L862" s="123">
        <v>18</v>
      </c>
      <c r="M862" s="123">
        <v>55</v>
      </c>
      <c r="N862" s="123">
        <v>0</v>
      </c>
      <c r="O862" s="123">
        <v>55</v>
      </c>
      <c r="P862" s="7" t="s">
        <v>162</v>
      </c>
      <c r="Q862" s="124" t="s">
        <v>270</v>
      </c>
      <c r="R862" s="1"/>
    </row>
    <row r="863" spans="1:18" ht="13.5" thickBot="1" x14ac:dyDescent="0.25">
      <c r="A863" s="123">
        <v>101</v>
      </c>
      <c r="B863" s="123">
        <v>0</v>
      </c>
      <c r="C863" s="123">
        <v>101</v>
      </c>
      <c r="D863" s="123">
        <v>11</v>
      </c>
      <c r="E863" s="123">
        <v>0</v>
      </c>
      <c r="F863" s="123">
        <v>11</v>
      </c>
      <c r="G863" s="123">
        <v>5</v>
      </c>
      <c r="H863" s="123">
        <v>0</v>
      </c>
      <c r="I863" s="123">
        <v>5</v>
      </c>
      <c r="J863" s="123">
        <v>28</v>
      </c>
      <c r="K863" s="123">
        <v>0</v>
      </c>
      <c r="L863" s="123">
        <v>28</v>
      </c>
      <c r="M863" s="123">
        <v>57</v>
      </c>
      <c r="N863" s="123">
        <v>0</v>
      </c>
      <c r="O863" s="123">
        <v>57</v>
      </c>
      <c r="P863" s="7" t="s">
        <v>13</v>
      </c>
      <c r="Q863" s="9"/>
      <c r="R863" s="1"/>
    </row>
    <row r="864" spans="1:18" ht="13.5" thickBot="1" x14ac:dyDescent="0.25">
      <c r="A864" s="123">
        <v>53</v>
      </c>
      <c r="B864" s="123">
        <v>53</v>
      </c>
      <c r="C864" s="123">
        <v>0</v>
      </c>
      <c r="D864" s="123">
        <v>2</v>
      </c>
      <c r="E864" s="123">
        <v>2</v>
      </c>
      <c r="F864" s="123">
        <v>0</v>
      </c>
      <c r="G864" s="123">
        <v>32</v>
      </c>
      <c r="H864" s="123">
        <v>32</v>
      </c>
      <c r="I864" s="123">
        <v>0</v>
      </c>
      <c r="J864" s="123">
        <v>18</v>
      </c>
      <c r="K864" s="123">
        <v>18</v>
      </c>
      <c r="L864" s="123">
        <v>0</v>
      </c>
      <c r="M864" s="123">
        <v>1</v>
      </c>
      <c r="N864" s="123">
        <v>1</v>
      </c>
      <c r="O864" s="123">
        <v>0</v>
      </c>
      <c r="P864" s="7" t="s">
        <v>163</v>
      </c>
      <c r="Q864" s="124"/>
      <c r="R864" s="1"/>
    </row>
    <row r="865" spans="1:18" ht="13.5" thickBot="1" x14ac:dyDescent="0.25">
      <c r="A865" s="123">
        <v>48</v>
      </c>
      <c r="B865" s="123">
        <v>36</v>
      </c>
      <c r="C865" s="123">
        <v>12</v>
      </c>
      <c r="D865" s="123">
        <v>0</v>
      </c>
      <c r="E865" s="123">
        <v>0</v>
      </c>
      <c r="F865" s="123">
        <v>0</v>
      </c>
      <c r="G865" s="123">
        <v>0</v>
      </c>
      <c r="H865" s="123">
        <v>0</v>
      </c>
      <c r="I865" s="123">
        <v>0</v>
      </c>
      <c r="J865" s="123">
        <v>23</v>
      </c>
      <c r="K865" s="123">
        <v>21</v>
      </c>
      <c r="L865" s="123">
        <v>2</v>
      </c>
      <c r="M865" s="123">
        <v>25</v>
      </c>
      <c r="N865" s="123">
        <v>15</v>
      </c>
      <c r="O865" s="123">
        <v>10</v>
      </c>
      <c r="P865" s="7" t="s">
        <v>162</v>
      </c>
      <c r="Q865" s="124" t="s">
        <v>489</v>
      </c>
      <c r="R865" s="1"/>
    </row>
    <row r="866" spans="1:18" ht="13.5" thickBot="1" x14ac:dyDescent="0.25">
      <c r="A866" s="123">
        <v>101</v>
      </c>
      <c r="B866" s="123">
        <v>89</v>
      </c>
      <c r="C866" s="123">
        <v>12</v>
      </c>
      <c r="D866" s="123">
        <v>2</v>
      </c>
      <c r="E866" s="123">
        <v>2</v>
      </c>
      <c r="F866" s="123">
        <v>0</v>
      </c>
      <c r="G866" s="123">
        <v>32</v>
      </c>
      <c r="H866" s="123">
        <v>32</v>
      </c>
      <c r="I866" s="123">
        <v>0</v>
      </c>
      <c r="J866" s="123">
        <v>41</v>
      </c>
      <c r="K866" s="123">
        <v>39</v>
      </c>
      <c r="L866" s="123">
        <v>2</v>
      </c>
      <c r="M866" s="123">
        <v>26</v>
      </c>
      <c r="N866" s="123">
        <v>16</v>
      </c>
      <c r="O866" s="123">
        <v>10</v>
      </c>
      <c r="P866" s="7" t="s">
        <v>13</v>
      </c>
      <c r="Q866" s="9"/>
      <c r="R866" s="1"/>
    </row>
    <row r="867" spans="1:18" ht="13.5" thickBot="1" x14ac:dyDescent="0.25">
      <c r="A867" s="123">
        <v>1</v>
      </c>
      <c r="B867" s="123">
        <v>0</v>
      </c>
      <c r="C867" s="123">
        <v>1</v>
      </c>
      <c r="D867" s="123">
        <v>0</v>
      </c>
      <c r="E867" s="123">
        <v>0</v>
      </c>
      <c r="F867" s="123">
        <v>0</v>
      </c>
      <c r="G867" s="123">
        <v>0</v>
      </c>
      <c r="H867" s="123">
        <v>0</v>
      </c>
      <c r="I867" s="123">
        <v>0</v>
      </c>
      <c r="J867" s="123">
        <v>0</v>
      </c>
      <c r="K867" s="123">
        <v>0</v>
      </c>
      <c r="L867" s="123">
        <v>0</v>
      </c>
      <c r="M867" s="123">
        <v>1</v>
      </c>
      <c r="N867" s="123">
        <v>0</v>
      </c>
      <c r="O867" s="123">
        <v>1</v>
      </c>
      <c r="P867" s="7" t="s">
        <v>163</v>
      </c>
      <c r="Q867" s="124"/>
      <c r="R867" s="1"/>
    </row>
    <row r="868" spans="1:18" ht="13.5" thickBot="1" x14ac:dyDescent="0.25">
      <c r="A868" s="123">
        <v>0</v>
      </c>
      <c r="B868" s="123">
        <v>0</v>
      </c>
      <c r="C868" s="123">
        <v>0</v>
      </c>
      <c r="D868" s="123">
        <v>0</v>
      </c>
      <c r="E868" s="123">
        <v>0</v>
      </c>
      <c r="F868" s="123">
        <v>0</v>
      </c>
      <c r="G868" s="123">
        <v>0</v>
      </c>
      <c r="H868" s="123">
        <v>0</v>
      </c>
      <c r="I868" s="123">
        <v>0</v>
      </c>
      <c r="J868" s="123">
        <v>0</v>
      </c>
      <c r="K868" s="123">
        <v>0</v>
      </c>
      <c r="L868" s="123">
        <v>0</v>
      </c>
      <c r="M868" s="123">
        <v>0</v>
      </c>
      <c r="N868" s="123">
        <v>0</v>
      </c>
      <c r="O868" s="123">
        <v>0</v>
      </c>
      <c r="P868" s="7" t="s">
        <v>162</v>
      </c>
      <c r="Q868" s="124" t="s">
        <v>490</v>
      </c>
      <c r="R868" s="1"/>
    </row>
    <row r="869" spans="1:18" ht="13.5" thickBot="1" x14ac:dyDescent="0.25">
      <c r="A869" s="123">
        <v>1</v>
      </c>
      <c r="B869" s="123">
        <v>0</v>
      </c>
      <c r="C869" s="123">
        <v>1</v>
      </c>
      <c r="D869" s="123">
        <v>0</v>
      </c>
      <c r="E869" s="123">
        <v>0</v>
      </c>
      <c r="F869" s="123">
        <v>0</v>
      </c>
      <c r="G869" s="123">
        <v>0</v>
      </c>
      <c r="H869" s="123">
        <v>0</v>
      </c>
      <c r="I869" s="123">
        <v>0</v>
      </c>
      <c r="J869" s="123">
        <v>0</v>
      </c>
      <c r="K869" s="123">
        <v>0</v>
      </c>
      <c r="L869" s="123">
        <v>0</v>
      </c>
      <c r="M869" s="123">
        <v>1</v>
      </c>
      <c r="N869" s="123">
        <v>0</v>
      </c>
      <c r="O869" s="123">
        <v>1</v>
      </c>
      <c r="P869" s="7" t="s">
        <v>13</v>
      </c>
      <c r="Q869" s="9"/>
      <c r="R869" s="1"/>
    </row>
    <row r="870" spans="1:18" ht="13.5" thickBot="1" x14ac:dyDescent="0.25">
      <c r="A870" s="123">
        <v>1</v>
      </c>
      <c r="B870" s="123">
        <v>1</v>
      </c>
      <c r="C870" s="123">
        <v>0</v>
      </c>
      <c r="D870" s="123">
        <v>0</v>
      </c>
      <c r="E870" s="123">
        <v>0</v>
      </c>
      <c r="F870" s="123">
        <v>0</v>
      </c>
      <c r="G870" s="123">
        <v>1</v>
      </c>
      <c r="H870" s="123">
        <v>1</v>
      </c>
      <c r="I870" s="123">
        <v>0</v>
      </c>
      <c r="J870" s="123">
        <v>0</v>
      </c>
      <c r="K870" s="123">
        <v>0</v>
      </c>
      <c r="L870" s="123">
        <v>0</v>
      </c>
      <c r="M870" s="123">
        <v>0</v>
      </c>
      <c r="N870" s="123">
        <v>0</v>
      </c>
      <c r="O870" s="123">
        <v>0</v>
      </c>
      <c r="P870" s="7" t="s">
        <v>163</v>
      </c>
      <c r="Q870" s="124"/>
      <c r="R870" s="1"/>
    </row>
    <row r="871" spans="1:18" ht="13.5" thickBot="1" x14ac:dyDescent="0.25">
      <c r="A871" s="123">
        <v>11</v>
      </c>
      <c r="B871" s="123">
        <v>11</v>
      </c>
      <c r="C871" s="123">
        <v>0</v>
      </c>
      <c r="D871" s="123">
        <v>5</v>
      </c>
      <c r="E871" s="123">
        <v>5</v>
      </c>
      <c r="F871" s="123">
        <v>0</v>
      </c>
      <c r="G871" s="123">
        <v>0</v>
      </c>
      <c r="H871" s="123">
        <v>0</v>
      </c>
      <c r="I871" s="123">
        <v>0</v>
      </c>
      <c r="J871" s="123">
        <v>5</v>
      </c>
      <c r="K871" s="123">
        <v>5</v>
      </c>
      <c r="L871" s="123">
        <v>0</v>
      </c>
      <c r="M871" s="123">
        <v>1</v>
      </c>
      <c r="N871" s="123">
        <v>1</v>
      </c>
      <c r="O871" s="123">
        <v>0</v>
      </c>
      <c r="P871" s="7" t="s">
        <v>162</v>
      </c>
      <c r="Q871" s="124" t="s">
        <v>271</v>
      </c>
      <c r="R871" s="1"/>
    </row>
    <row r="872" spans="1:18" ht="13.5" thickBot="1" x14ac:dyDescent="0.25">
      <c r="A872" s="123">
        <v>12</v>
      </c>
      <c r="B872" s="123">
        <v>12</v>
      </c>
      <c r="C872" s="123">
        <v>0</v>
      </c>
      <c r="D872" s="123">
        <v>5</v>
      </c>
      <c r="E872" s="123">
        <v>5</v>
      </c>
      <c r="F872" s="123">
        <v>0</v>
      </c>
      <c r="G872" s="123">
        <v>1</v>
      </c>
      <c r="H872" s="123">
        <v>1</v>
      </c>
      <c r="I872" s="123">
        <v>0</v>
      </c>
      <c r="J872" s="123">
        <v>5</v>
      </c>
      <c r="K872" s="123">
        <v>5</v>
      </c>
      <c r="L872" s="123">
        <v>0</v>
      </c>
      <c r="M872" s="123">
        <v>1</v>
      </c>
      <c r="N872" s="123">
        <v>1</v>
      </c>
      <c r="O872" s="123">
        <v>0</v>
      </c>
      <c r="P872" s="7" t="s">
        <v>13</v>
      </c>
      <c r="Q872" s="9"/>
      <c r="R872" s="1"/>
    </row>
    <row r="873" spans="1:18" ht="13.5" thickBot="1" x14ac:dyDescent="0.25">
      <c r="A873" s="123">
        <v>4</v>
      </c>
      <c r="B873" s="123">
        <v>0</v>
      </c>
      <c r="C873" s="123">
        <v>4</v>
      </c>
      <c r="D873" s="123">
        <v>3</v>
      </c>
      <c r="E873" s="123">
        <v>0</v>
      </c>
      <c r="F873" s="123">
        <v>3</v>
      </c>
      <c r="G873" s="123">
        <v>1</v>
      </c>
      <c r="H873" s="123">
        <v>0</v>
      </c>
      <c r="I873" s="123">
        <v>1</v>
      </c>
      <c r="J873" s="123">
        <v>0</v>
      </c>
      <c r="K873" s="123">
        <v>0</v>
      </c>
      <c r="L873" s="123">
        <v>0</v>
      </c>
      <c r="M873" s="123">
        <v>0</v>
      </c>
      <c r="N873" s="123">
        <v>0</v>
      </c>
      <c r="O873" s="123">
        <v>0</v>
      </c>
      <c r="P873" s="7" t="s">
        <v>163</v>
      </c>
      <c r="Q873" s="124"/>
      <c r="R873" s="1"/>
    </row>
    <row r="874" spans="1:18" ht="13.5" thickBot="1" x14ac:dyDescent="0.25">
      <c r="A874" s="123">
        <v>16</v>
      </c>
      <c r="B874" s="123">
        <v>0</v>
      </c>
      <c r="C874" s="123">
        <v>16</v>
      </c>
      <c r="D874" s="123">
        <v>4</v>
      </c>
      <c r="E874" s="123">
        <v>0</v>
      </c>
      <c r="F874" s="123">
        <v>4</v>
      </c>
      <c r="G874" s="123">
        <v>0</v>
      </c>
      <c r="H874" s="123">
        <v>0</v>
      </c>
      <c r="I874" s="123">
        <v>0</v>
      </c>
      <c r="J874" s="123">
        <v>9</v>
      </c>
      <c r="K874" s="123">
        <v>0</v>
      </c>
      <c r="L874" s="123">
        <v>9</v>
      </c>
      <c r="M874" s="123">
        <v>3</v>
      </c>
      <c r="N874" s="123">
        <v>0</v>
      </c>
      <c r="O874" s="123">
        <v>3</v>
      </c>
      <c r="P874" s="7" t="s">
        <v>162</v>
      </c>
      <c r="Q874" s="124" t="s">
        <v>272</v>
      </c>
      <c r="R874" s="1"/>
    </row>
    <row r="875" spans="1:18" ht="13.5" thickBot="1" x14ac:dyDescent="0.25">
      <c r="A875" s="123">
        <v>20</v>
      </c>
      <c r="B875" s="123">
        <v>0</v>
      </c>
      <c r="C875" s="123">
        <v>20</v>
      </c>
      <c r="D875" s="123">
        <v>7</v>
      </c>
      <c r="E875" s="123">
        <v>0</v>
      </c>
      <c r="F875" s="123">
        <v>7</v>
      </c>
      <c r="G875" s="123">
        <v>1</v>
      </c>
      <c r="H875" s="123">
        <v>0</v>
      </c>
      <c r="I875" s="123">
        <v>1</v>
      </c>
      <c r="J875" s="123">
        <v>9</v>
      </c>
      <c r="K875" s="123">
        <v>0</v>
      </c>
      <c r="L875" s="123">
        <v>9</v>
      </c>
      <c r="M875" s="123">
        <v>3</v>
      </c>
      <c r="N875" s="123">
        <v>0</v>
      </c>
      <c r="O875" s="123">
        <v>3</v>
      </c>
      <c r="P875" s="7" t="s">
        <v>13</v>
      </c>
      <c r="Q875" s="9"/>
      <c r="R875" s="1"/>
    </row>
    <row r="876" spans="1:18" ht="13.5" thickBot="1" x14ac:dyDescent="0.25">
      <c r="A876" s="123">
        <v>6</v>
      </c>
      <c r="B876" s="123">
        <v>6</v>
      </c>
      <c r="C876" s="123">
        <v>0</v>
      </c>
      <c r="D876" s="123">
        <v>1</v>
      </c>
      <c r="E876" s="123">
        <v>1</v>
      </c>
      <c r="F876" s="123">
        <v>0</v>
      </c>
      <c r="G876" s="123">
        <v>5</v>
      </c>
      <c r="H876" s="123">
        <v>5</v>
      </c>
      <c r="I876" s="123">
        <v>0</v>
      </c>
      <c r="J876" s="123">
        <v>0</v>
      </c>
      <c r="K876" s="123">
        <v>0</v>
      </c>
      <c r="L876" s="123">
        <v>0</v>
      </c>
      <c r="M876" s="123">
        <v>0</v>
      </c>
      <c r="N876" s="123">
        <v>0</v>
      </c>
      <c r="O876" s="123">
        <v>0</v>
      </c>
      <c r="P876" s="7" t="s">
        <v>163</v>
      </c>
      <c r="Q876" s="124"/>
      <c r="R876" s="1"/>
    </row>
    <row r="877" spans="1:18" ht="13.5" thickBot="1" x14ac:dyDescent="0.25">
      <c r="A877" s="123">
        <v>3</v>
      </c>
      <c r="B877" s="123">
        <v>3</v>
      </c>
      <c r="C877" s="123">
        <v>0</v>
      </c>
      <c r="D877" s="123">
        <v>0</v>
      </c>
      <c r="E877" s="123">
        <v>0</v>
      </c>
      <c r="F877" s="123">
        <v>0</v>
      </c>
      <c r="G877" s="123">
        <v>0</v>
      </c>
      <c r="H877" s="123">
        <v>0</v>
      </c>
      <c r="I877" s="123">
        <v>0</v>
      </c>
      <c r="J877" s="123">
        <v>1</v>
      </c>
      <c r="K877" s="123">
        <v>1</v>
      </c>
      <c r="L877" s="123">
        <v>0</v>
      </c>
      <c r="M877" s="123">
        <v>2</v>
      </c>
      <c r="N877" s="123">
        <v>2</v>
      </c>
      <c r="O877" s="123">
        <v>0</v>
      </c>
      <c r="P877" s="7" t="s">
        <v>162</v>
      </c>
      <c r="Q877" s="124" t="s">
        <v>273</v>
      </c>
      <c r="R877" s="1"/>
    </row>
    <row r="878" spans="1:18" ht="13.5" thickBot="1" x14ac:dyDescent="0.25">
      <c r="A878" s="123">
        <v>9</v>
      </c>
      <c r="B878" s="123">
        <v>9</v>
      </c>
      <c r="C878" s="123">
        <v>0</v>
      </c>
      <c r="D878" s="123">
        <v>1</v>
      </c>
      <c r="E878" s="123">
        <v>1</v>
      </c>
      <c r="F878" s="123">
        <v>0</v>
      </c>
      <c r="G878" s="123">
        <v>5</v>
      </c>
      <c r="H878" s="123">
        <v>5</v>
      </c>
      <c r="I878" s="123">
        <v>0</v>
      </c>
      <c r="J878" s="123">
        <v>1</v>
      </c>
      <c r="K878" s="123">
        <v>1</v>
      </c>
      <c r="L878" s="123">
        <v>0</v>
      </c>
      <c r="M878" s="123">
        <v>2</v>
      </c>
      <c r="N878" s="123">
        <v>2</v>
      </c>
      <c r="O878" s="123">
        <v>0</v>
      </c>
      <c r="P878" s="7" t="s">
        <v>13</v>
      </c>
      <c r="Q878" s="9"/>
      <c r="R878" s="1"/>
    </row>
    <row r="879" spans="1:18" ht="13.5" thickBot="1" x14ac:dyDescent="0.25">
      <c r="A879" s="123">
        <v>134</v>
      </c>
      <c r="B879" s="123">
        <v>79</v>
      </c>
      <c r="C879" s="123">
        <v>55</v>
      </c>
      <c r="D879" s="123">
        <v>6</v>
      </c>
      <c r="E879" s="123">
        <v>3</v>
      </c>
      <c r="F879" s="123">
        <v>3</v>
      </c>
      <c r="G879" s="123">
        <v>77</v>
      </c>
      <c r="H879" s="123">
        <v>50</v>
      </c>
      <c r="I879" s="123">
        <v>27</v>
      </c>
      <c r="J879" s="123">
        <v>39</v>
      </c>
      <c r="K879" s="123">
        <v>21</v>
      </c>
      <c r="L879" s="123">
        <v>18</v>
      </c>
      <c r="M879" s="123">
        <v>12</v>
      </c>
      <c r="N879" s="123">
        <v>5</v>
      </c>
      <c r="O879" s="123">
        <v>7</v>
      </c>
      <c r="P879" s="7" t="s">
        <v>163</v>
      </c>
      <c r="Q879" s="3"/>
      <c r="R879" s="1"/>
    </row>
    <row r="880" spans="1:18" ht="13.5" thickBot="1" x14ac:dyDescent="0.25">
      <c r="A880" s="123">
        <v>393</v>
      </c>
      <c r="B880" s="123">
        <v>133</v>
      </c>
      <c r="C880" s="123">
        <v>260</v>
      </c>
      <c r="D880" s="123">
        <v>20</v>
      </c>
      <c r="E880" s="123">
        <v>5</v>
      </c>
      <c r="F880" s="123">
        <v>15</v>
      </c>
      <c r="G880" s="123">
        <v>3</v>
      </c>
      <c r="H880" s="123">
        <v>0</v>
      </c>
      <c r="I880" s="123">
        <v>3</v>
      </c>
      <c r="J880" s="123">
        <v>155</v>
      </c>
      <c r="K880" s="123">
        <v>74</v>
      </c>
      <c r="L880" s="123">
        <v>81</v>
      </c>
      <c r="M880" s="123">
        <v>215</v>
      </c>
      <c r="N880" s="123">
        <v>54</v>
      </c>
      <c r="O880" s="123">
        <v>161</v>
      </c>
      <c r="P880" s="7" t="s">
        <v>162</v>
      </c>
      <c r="Q880" s="11" t="s">
        <v>211</v>
      </c>
      <c r="R880" s="1"/>
    </row>
    <row r="881" spans="1:18" ht="13.5" thickBot="1" x14ac:dyDescent="0.25">
      <c r="A881" s="123">
        <v>527</v>
      </c>
      <c r="B881" s="123">
        <v>212</v>
      </c>
      <c r="C881" s="123">
        <v>315</v>
      </c>
      <c r="D881" s="123">
        <v>26</v>
      </c>
      <c r="E881" s="123">
        <v>8</v>
      </c>
      <c r="F881" s="123">
        <v>18</v>
      </c>
      <c r="G881" s="123">
        <v>80</v>
      </c>
      <c r="H881" s="123">
        <v>50</v>
      </c>
      <c r="I881" s="123">
        <v>30</v>
      </c>
      <c r="J881" s="123">
        <v>194</v>
      </c>
      <c r="K881" s="123">
        <v>95</v>
      </c>
      <c r="L881" s="123">
        <v>99</v>
      </c>
      <c r="M881" s="123">
        <v>227</v>
      </c>
      <c r="N881" s="123">
        <v>59</v>
      </c>
      <c r="O881" s="123">
        <v>168</v>
      </c>
      <c r="P881" s="7" t="s">
        <v>13</v>
      </c>
      <c r="Q881" s="5"/>
      <c r="R881" s="1"/>
    </row>
    <row r="882" spans="1:18" ht="18" customHeight="1" x14ac:dyDescent="0.2">
      <c r="A882" s="207"/>
      <c r="B882" s="207"/>
      <c r="C882" s="207"/>
      <c r="D882" s="207"/>
      <c r="E882" s="207"/>
      <c r="F882" s="207"/>
      <c r="G882" s="207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1"/>
    </row>
    <row r="883" spans="1:18" ht="18" customHeight="1" x14ac:dyDescent="0.2">
      <c r="A883" s="159" t="s">
        <v>643</v>
      </c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"/>
    </row>
    <row r="884" spans="1:18" ht="18" customHeight="1" thickBot="1" x14ac:dyDescent="0.25">
      <c r="A884" s="160" t="s">
        <v>644</v>
      </c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"/>
    </row>
    <row r="885" spans="1:18" ht="13.5" thickBot="1" x14ac:dyDescent="0.25">
      <c r="A885" s="204" t="s">
        <v>5</v>
      </c>
      <c r="B885" s="204"/>
      <c r="C885" s="204"/>
      <c r="D885" s="204" t="s">
        <v>57</v>
      </c>
      <c r="E885" s="204"/>
      <c r="F885" s="204"/>
      <c r="G885" s="204" t="s">
        <v>65</v>
      </c>
      <c r="H885" s="204"/>
      <c r="I885" s="204"/>
      <c r="J885" s="204" t="s">
        <v>62</v>
      </c>
      <c r="K885" s="204"/>
      <c r="L885" s="204"/>
      <c r="M885" s="204" t="s">
        <v>61</v>
      </c>
      <c r="N885" s="204"/>
      <c r="O885" s="204"/>
      <c r="P885" s="205" t="s">
        <v>645</v>
      </c>
      <c r="Q885" s="47" t="s">
        <v>161</v>
      </c>
      <c r="R885" s="1"/>
    </row>
    <row r="886" spans="1:18" ht="13.5" thickBot="1" x14ac:dyDescent="0.25">
      <c r="A886" s="47" t="s">
        <v>216</v>
      </c>
      <c r="B886" s="47" t="s">
        <v>11</v>
      </c>
      <c r="C886" s="47" t="s">
        <v>10</v>
      </c>
      <c r="D886" s="47" t="s">
        <v>216</v>
      </c>
      <c r="E886" s="47" t="s">
        <v>11</v>
      </c>
      <c r="F886" s="47" t="s">
        <v>10</v>
      </c>
      <c r="G886" s="47" t="s">
        <v>216</v>
      </c>
      <c r="H886" s="47" t="s">
        <v>11</v>
      </c>
      <c r="I886" s="47" t="s">
        <v>10</v>
      </c>
      <c r="J886" s="47" t="s">
        <v>216</v>
      </c>
      <c r="K886" s="47" t="s">
        <v>11</v>
      </c>
      <c r="L886" s="47" t="s">
        <v>10</v>
      </c>
      <c r="M886" s="47" t="s">
        <v>216</v>
      </c>
      <c r="N886" s="47" t="s">
        <v>11</v>
      </c>
      <c r="O886" s="47" t="s">
        <v>10</v>
      </c>
      <c r="P886" s="206"/>
      <c r="Q886" s="5" t="s">
        <v>124</v>
      </c>
      <c r="R886" s="1"/>
    </row>
    <row r="887" spans="1:18" ht="13.5" thickBot="1" x14ac:dyDescent="0.25">
      <c r="A887" s="123">
        <v>4</v>
      </c>
      <c r="B887" s="123">
        <v>0</v>
      </c>
      <c r="C887" s="123">
        <v>4</v>
      </c>
      <c r="D887" s="123">
        <v>0</v>
      </c>
      <c r="E887" s="123">
        <v>0</v>
      </c>
      <c r="F887" s="123">
        <v>0</v>
      </c>
      <c r="G887" s="123">
        <v>3</v>
      </c>
      <c r="H887" s="123">
        <v>0</v>
      </c>
      <c r="I887" s="123">
        <v>3</v>
      </c>
      <c r="J887" s="123">
        <v>0</v>
      </c>
      <c r="K887" s="123">
        <v>0</v>
      </c>
      <c r="L887" s="123">
        <v>0</v>
      </c>
      <c r="M887" s="123">
        <v>1</v>
      </c>
      <c r="N887" s="123">
        <v>0</v>
      </c>
      <c r="O887" s="123">
        <v>1</v>
      </c>
      <c r="P887" s="7" t="s">
        <v>163</v>
      </c>
      <c r="Q887" s="124"/>
      <c r="R887" s="1"/>
    </row>
    <row r="888" spans="1:18" ht="13.5" thickBot="1" x14ac:dyDescent="0.25">
      <c r="A888" s="123">
        <v>5</v>
      </c>
      <c r="B888" s="123">
        <v>0</v>
      </c>
      <c r="C888" s="123">
        <v>5</v>
      </c>
      <c r="D888" s="123">
        <v>0</v>
      </c>
      <c r="E888" s="123">
        <v>0</v>
      </c>
      <c r="F888" s="123">
        <v>0</v>
      </c>
      <c r="G888" s="123">
        <v>0</v>
      </c>
      <c r="H888" s="123">
        <v>0</v>
      </c>
      <c r="I888" s="123">
        <v>0</v>
      </c>
      <c r="J888" s="123">
        <v>2</v>
      </c>
      <c r="K888" s="123">
        <v>0</v>
      </c>
      <c r="L888" s="123">
        <v>2</v>
      </c>
      <c r="M888" s="123">
        <v>3</v>
      </c>
      <c r="N888" s="123">
        <v>0</v>
      </c>
      <c r="O888" s="123">
        <v>3</v>
      </c>
      <c r="P888" s="7" t="s">
        <v>162</v>
      </c>
      <c r="Q888" s="124" t="s">
        <v>359</v>
      </c>
      <c r="R888" s="1"/>
    </row>
    <row r="889" spans="1:18" ht="13.5" thickBot="1" x14ac:dyDescent="0.25">
      <c r="A889" s="123">
        <v>9</v>
      </c>
      <c r="B889" s="123">
        <v>0</v>
      </c>
      <c r="C889" s="123">
        <v>9</v>
      </c>
      <c r="D889" s="123">
        <v>0</v>
      </c>
      <c r="E889" s="123">
        <v>0</v>
      </c>
      <c r="F889" s="123">
        <v>0</v>
      </c>
      <c r="G889" s="123">
        <v>3</v>
      </c>
      <c r="H889" s="123">
        <v>0</v>
      </c>
      <c r="I889" s="123">
        <v>3</v>
      </c>
      <c r="J889" s="123">
        <v>2</v>
      </c>
      <c r="K889" s="123">
        <v>0</v>
      </c>
      <c r="L889" s="123">
        <v>2</v>
      </c>
      <c r="M889" s="123">
        <v>4</v>
      </c>
      <c r="N889" s="123">
        <v>0</v>
      </c>
      <c r="O889" s="123">
        <v>4</v>
      </c>
      <c r="P889" s="7" t="s">
        <v>13</v>
      </c>
      <c r="Q889" s="9"/>
      <c r="R889" s="1"/>
    </row>
    <row r="890" spans="1:18" ht="13.5" thickBot="1" x14ac:dyDescent="0.25">
      <c r="A890" s="123">
        <v>4</v>
      </c>
      <c r="B890" s="123">
        <v>4</v>
      </c>
      <c r="C890" s="123">
        <v>0</v>
      </c>
      <c r="D890" s="123">
        <v>0</v>
      </c>
      <c r="E890" s="123">
        <v>0</v>
      </c>
      <c r="F890" s="123">
        <v>0</v>
      </c>
      <c r="G890" s="123">
        <v>2</v>
      </c>
      <c r="H890" s="123">
        <v>2</v>
      </c>
      <c r="I890" s="123">
        <v>0</v>
      </c>
      <c r="J890" s="123">
        <v>2</v>
      </c>
      <c r="K890" s="123">
        <v>2</v>
      </c>
      <c r="L890" s="123">
        <v>0</v>
      </c>
      <c r="M890" s="123">
        <v>0</v>
      </c>
      <c r="N890" s="123">
        <v>0</v>
      </c>
      <c r="O890" s="123">
        <v>0</v>
      </c>
      <c r="P890" s="7" t="s">
        <v>163</v>
      </c>
      <c r="Q890" s="124"/>
      <c r="R890" s="1"/>
    </row>
    <row r="891" spans="1:18" ht="13.5" thickBot="1" x14ac:dyDescent="0.25">
      <c r="A891" s="123">
        <v>10</v>
      </c>
      <c r="B891" s="123">
        <v>1</v>
      </c>
      <c r="C891" s="123">
        <v>9</v>
      </c>
      <c r="D891" s="123">
        <v>0</v>
      </c>
      <c r="E891" s="123">
        <v>0</v>
      </c>
      <c r="F891" s="123">
        <v>0</v>
      </c>
      <c r="G891" s="123">
        <v>0</v>
      </c>
      <c r="H891" s="123">
        <v>0</v>
      </c>
      <c r="I891" s="123">
        <v>0</v>
      </c>
      <c r="J891" s="123">
        <v>0</v>
      </c>
      <c r="K891" s="123">
        <v>0</v>
      </c>
      <c r="L891" s="123">
        <v>0</v>
      </c>
      <c r="M891" s="123">
        <v>10</v>
      </c>
      <c r="N891" s="123">
        <v>1</v>
      </c>
      <c r="O891" s="123">
        <v>9</v>
      </c>
      <c r="P891" s="7" t="s">
        <v>162</v>
      </c>
      <c r="Q891" s="124" t="s">
        <v>264</v>
      </c>
      <c r="R891" s="1"/>
    </row>
    <row r="892" spans="1:18" ht="13.5" thickBot="1" x14ac:dyDescent="0.25">
      <c r="A892" s="123">
        <v>14</v>
      </c>
      <c r="B892" s="123">
        <v>5</v>
      </c>
      <c r="C892" s="123">
        <v>9</v>
      </c>
      <c r="D892" s="123">
        <v>0</v>
      </c>
      <c r="E892" s="123">
        <v>0</v>
      </c>
      <c r="F892" s="123">
        <v>0</v>
      </c>
      <c r="G892" s="123">
        <v>2</v>
      </c>
      <c r="H892" s="123">
        <v>2</v>
      </c>
      <c r="I892" s="123">
        <v>0</v>
      </c>
      <c r="J892" s="123">
        <v>2</v>
      </c>
      <c r="K892" s="123">
        <v>2</v>
      </c>
      <c r="L892" s="123">
        <v>0</v>
      </c>
      <c r="M892" s="123">
        <v>10</v>
      </c>
      <c r="N892" s="123">
        <v>1</v>
      </c>
      <c r="O892" s="123">
        <v>9</v>
      </c>
      <c r="P892" s="7" t="s">
        <v>13</v>
      </c>
      <c r="Q892" s="9"/>
      <c r="R892" s="1"/>
    </row>
    <row r="893" spans="1:18" ht="13.5" thickBot="1" x14ac:dyDescent="0.25">
      <c r="A893" s="123">
        <v>48</v>
      </c>
      <c r="B893" s="123">
        <v>48</v>
      </c>
      <c r="C893" s="123">
        <v>0</v>
      </c>
      <c r="D893" s="123">
        <v>0</v>
      </c>
      <c r="E893" s="123">
        <v>0</v>
      </c>
      <c r="F893" s="123">
        <v>0</v>
      </c>
      <c r="G893" s="123">
        <v>34</v>
      </c>
      <c r="H893" s="123">
        <v>34</v>
      </c>
      <c r="I893" s="123">
        <v>0</v>
      </c>
      <c r="J893" s="123">
        <v>10</v>
      </c>
      <c r="K893" s="123">
        <v>10</v>
      </c>
      <c r="L893" s="123">
        <v>0</v>
      </c>
      <c r="M893" s="123">
        <v>4</v>
      </c>
      <c r="N893" s="123">
        <v>4</v>
      </c>
      <c r="O893" s="123">
        <v>0</v>
      </c>
      <c r="P893" s="7" t="s">
        <v>163</v>
      </c>
      <c r="Q893" s="124"/>
      <c r="R893" s="1"/>
    </row>
    <row r="894" spans="1:18" ht="13.5" thickBot="1" x14ac:dyDescent="0.25">
      <c r="A894" s="123">
        <v>32</v>
      </c>
      <c r="B894" s="123">
        <v>26</v>
      </c>
      <c r="C894" s="123">
        <v>6</v>
      </c>
      <c r="D894" s="123">
        <v>0</v>
      </c>
      <c r="E894" s="123">
        <v>0</v>
      </c>
      <c r="F894" s="123">
        <v>0</v>
      </c>
      <c r="G894" s="123">
        <v>0</v>
      </c>
      <c r="H894" s="123">
        <v>0</v>
      </c>
      <c r="I894" s="123">
        <v>0</v>
      </c>
      <c r="J894" s="123">
        <v>3</v>
      </c>
      <c r="K894" s="123">
        <v>3</v>
      </c>
      <c r="L894" s="123">
        <v>0</v>
      </c>
      <c r="M894" s="123">
        <v>29</v>
      </c>
      <c r="N894" s="123">
        <v>23</v>
      </c>
      <c r="O894" s="123">
        <v>6</v>
      </c>
      <c r="P894" s="7" t="s">
        <v>162</v>
      </c>
      <c r="Q894" s="124" t="s">
        <v>491</v>
      </c>
      <c r="R894" s="1"/>
    </row>
    <row r="895" spans="1:18" ht="13.5" thickBot="1" x14ac:dyDescent="0.25">
      <c r="A895" s="123">
        <v>80</v>
      </c>
      <c r="B895" s="123">
        <v>74</v>
      </c>
      <c r="C895" s="123">
        <v>6</v>
      </c>
      <c r="D895" s="123">
        <v>0</v>
      </c>
      <c r="E895" s="123">
        <v>0</v>
      </c>
      <c r="F895" s="123">
        <v>0</v>
      </c>
      <c r="G895" s="123">
        <v>34</v>
      </c>
      <c r="H895" s="123">
        <v>34</v>
      </c>
      <c r="I895" s="123">
        <v>0</v>
      </c>
      <c r="J895" s="123">
        <v>13</v>
      </c>
      <c r="K895" s="123">
        <v>13</v>
      </c>
      <c r="L895" s="123">
        <v>0</v>
      </c>
      <c r="M895" s="123">
        <v>33</v>
      </c>
      <c r="N895" s="123">
        <v>27</v>
      </c>
      <c r="O895" s="123">
        <v>6</v>
      </c>
      <c r="P895" s="7" t="s">
        <v>13</v>
      </c>
      <c r="Q895" s="9"/>
      <c r="R895" s="1"/>
    </row>
    <row r="896" spans="1:18" ht="13.5" thickBot="1" x14ac:dyDescent="0.25">
      <c r="A896" s="123">
        <v>69</v>
      </c>
      <c r="B896" s="123">
        <v>69</v>
      </c>
      <c r="C896" s="123">
        <v>0</v>
      </c>
      <c r="D896" s="123">
        <v>0</v>
      </c>
      <c r="E896" s="123">
        <v>0</v>
      </c>
      <c r="F896" s="123">
        <v>0</v>
      </c>
      <c r="G896" s="123">
        <v>37</v>
      </c>
      <c r="H896" s="123">
        <v>37</v>
      </c>
      <c r="I896" s="123">
        <v>0</v>
      </c>
      <c r="J896" s="123">
        <v>15</v>
      </c>
      <c r="K896" s="123">
        <v>15</v>
      </c>
      <c r="L896" s="123">
        <v>0</v>
      </c>
      <c r="M896" s="123">
        <v>17</v>
      </c>
      <c r="N896" s="123">
        <v>17</v>
      </c>
      <c r="O896" s="123">
        <v>0</v>
      </c>
      <c r="P896" s="7" t="s">
        <v>163</v>
      </c>
      <c r="Q896" s="124"/>
      <c r="R896" s="1"/>
    </row>
    <row r="897" spans="1:18" ht="13.5" thickBot="1" x14ac:dyDescent="0.25">
      <c r="A897" s="123">
        <v>39</v>
      </c>
      <c r="B897" s="123">
        <v>24</v>
      </c>
      <c r="C897" s="123">
        <v>15</v>
      </c>
      <c r="D897" s="123">
        <v>0</v>
      </c>
      <c r="E897" s="123">
        <v>0</v>
      </c>
      <c r="F897" s="123">
        <v>0</v>
      </c>
      <c r="G897" s="123">
        <v>0</v>
      </c>
      <c r="H897" s="123">
        <v>0</v>
      </c>
      <c r="I897" s="123">
        <v>0</v>
      </c>
      <c r="J897" s="123">
        <v>9</v>
      </c>
      <c r="K897" s="123">
        <v>8</v>
      </c>
      <c r="L897" s="123">
        <v>1</v>
      </c>
      <c r="M897" s="123">
        <v>30</v>
      </c>
      <c r="N897" s="123">
        <v>16</v>
      </c>
      <c r="O897" s="123">
        <v>14</v>
      </c>
      <c r="P897" s="7" t="s">
        <v>162</v>
      </c>
      <c r="Q897" s="124" t="s">
        <v>492</v>
      </c>
      <c r="R897" s="1"/>
    </row>
    <row r="898" spans="1:18" ht="13.5" thickBot="1" x14ac:dyDescent="0.25">
      <c r="A898" s="123">
        <v>108</v>
      </c>
      <c r="B898" s="123">
        <v>93</v>
      </c>
      <c r="C898" s="123">
        <v>15</v>
      </c>
      <c r="D898" s="123">
        <v>0</v>
      </c>
      <c r="E898" s="123">
        <v>0</v>
      </c>
      <c r="F898" s="123">
        <v>0</v>
      </c>
      <c r="G898" s="123">
        <v>37</v>
      </c>
      <c r="H898" s="123">
        <v>37</v>
      </c>
      <c r="I898" s="123">
        <v>0</v>
      </c>
      <c r="J898" s="123">
        <v>24</v>
      </c>
      <c r="K898" s="123">
        <v>23</v>
      </c>
      <c r="L898" s="123">
        <v>1</v>
      </c>
      <c r="M898" s="123">
        <v>47</v>
      </c>
      <c r="N898" s="123">
        <v>33</v>
      </c>
      <c r="O898" s="123">
        <v>14</v>
      </c>
      <c r="P898" s="7" t="s">
        <v>13</v>
      </c>
      <c r="Q898" s="9"/>
      <c r="R898" s="1"/>
    </row>
    <row r="899" spans="1:18" ht="13.5" thickBot="1" x14ac:dyDescent="0.25">
      <c r="A899" s="123">
        <v>49</v>
      </c>
      <c r="B899" s="123">
        <v>0</v>
      </c>
      <c r="C899" s="123">
        <v>49</v>
      </c>
      <c r="D899" s="123">
        <v>4</v>
      </c>
      <c r="E899" s="123">
        <v>0</v>
      </c>
      <c r="F899" s="123">
        <v>4</v>
      </c>
      <c r="G899" s="123">
        <v>15</v>
      </c>
      <c r="H899" s="123">
        <v>0</v>
      </c>
      <c r="I899" s="123">
        <v>15</v>
      </c>
      <c r="J899" s="123">
        <v>16</v>
      </c>
      <c r="K899" s="123">
        <v>0</v>
      </c>
      <c r="L899" s="123">
        <v>16</v>
      </c>
      <c r="M899" s="123">
        <v>14</v>
      </c>
      <c r="N899" s="123">
        <v>0</v>
      </c>
      <c r="O899" s="123">
        <v>14</v>
      </c>
      <c r="P899" s="7" t="s">
        <v>163</v>
      </c>
      <c r="Q899" s="124"/>
      <c r="R899" s="1"/>
    </row>
    <row r="900" spans="1:18" ht="13.5" thickBot="1" x14ac:dyDescent="0.25">
      <c r="A900" s="123">
        <v>45</v>
      </c>
      <c r="B900" s="123">
        <v>0</v>
      </c>
      <c r="C900" s="123">
        <v>45</v>
      </c>
      <c r="D900" s="123">
        <v>8</v>
      </c>
      <c r="E900" s="123">
        <v>0</v>
      </c>
      <c r="F900" s="123">
        <v>8</v>
      </c>
      <c r="G900" s="123">
        <v>1</v>
      </c>
      <c r="H900" s="123">
        <v>0</v>
      </c>
      <c r="I900" s="123">
        <v>1</v>
      </c>
      <c r="J900" s="123">
        <v>4</v>
      </c>
      <c r="K900" s="123">
        <v>0</v>
      </c>
      <c r="L900" s="123">
        <v>4</v>
      </c>
      <c r="M900" s="123">
        <v>32</v>
      </c>
      <c r="N900" s="123">
        <v>0</v>
      </c>
      <c r="O900" s="123">
        <v>32</v>
      </c>
      <c r="P900" s="7" t="s">
        <v>162</v>
      </c>
      <c r="Q900" s="124" t="s">
        <v>247</v>
      </c>
      <c r="R900" s="1"/>
    </row>
    <row r="901" spans="1:18" ht="13.5" thickBot="1" x14ac:dyDescent="0.25">
      <c r="A901" s="123">
        <v>94</v>
      </c>
      <c r="B901" s="123">
        <v>0</v>
      </c>
      <c r="C901" s="123">
        <v>94</v>
      </c>
      <c r="D901" s="123">
        <v>12</v>
      </c>
      <c r="E901" s="123">
        <v>0</v>
      </c>
      <c r="F901" s="123">
        <v>12</v>
      </c>
      <c r="G901" s="123">
        <v>16</v>
      </c>
      <c r="H901" s="123">
        <v>0</v>
      </c>
      <c r="I901" s="123">
        <v>16</v>
      </c>
      <c r="J901" s="123">
        <v>20</v>
      </c>
      <c r="K901" s="123">
        <v>0</v>
      </c>
      <c r="L901" s="123">
        <v>20</v>
      </c>
      <c r="M901" s="123">
        <v>46</v>
      </c>
      <c r="N901" s="123">
        <v>0</v>
      </c>
      <c r="O901" s="123">
        <v>46</v>
      </c>
      <c r="P901" s="7" t="s">
        <v>13</v>
      </c>
      <c r="Q901" s="9"/>
      <c r="R901" s="1"/>
    </row>
    <row r="902" spans="1:18" ht="13.5" thickBot="1" x14ac:dyDescent="0.25">
      <c r="A902" s="123">
        <v>4</v>
      </c>
      <c r="B902" s="123">
        <v>0</v>
      </c>
      <c r="C902" s="123">
        <v>4</v>
      </c>
      <c r="D902" s="123">
        <v>2</v>
      </c>
      <c r="E902" s="123">
        <v>0</v>
      </c>
      <c r="F902" s="123">
        <v>2</v>
      </c>
      <c r="G902" s="123">
        <v>2</v>
      </c>
      <c r="H902" s="123">
        <v>0</v>
      </c>
      <c r="I902" s="123">
        <v>2</v>
      </c>
      <c r="J902" s="123">
        <v>0</v>
      </c>
      <c r="K902" s="123">
        <v>0</v>
      </c>
      <c r="L902" s="123">
        <v>0</v>
      </c>
      <c r="M902" s="123">
        <v>0</v>
      </c>
      <c r="N902" s="123">
        <v>0</v>
      </c>
      <c r="O902" s="123">
        <v>0</v>
      </c>
      <c r="P902" s="7" t="s">
        <v>163</v>
      </c>
      <c r="Q902" s="124"/>
      <c r="R902" s="1"/>
    </row>
    <row r="903" spans="1:18" ht="13.5" thickBot="1" x14ac:dyDescent="0.25">
      <c r="A903" s="123">
        <v>13</v>
      </c>
      <c r="B903" s="123">
        <v>0</v>
      </c>
      <c r="C903" s="123">
        <v>13</v>
      </c>
      <c r="D903" s="123">
        <v>6</v>
      </c>
      <c r="E903" s="123">
        <v>0</v>
      </c>
      <c r="F903" s="123">
        <v>6</v>
      </c>
      <c r="G903" s="123">
        <v>0</v>
      </c>
      <c r="H903" s="123">
        <v>0</v>
      </c>
      <c r="I903" s="123">
        <v>0</v>
      </c>
      <c r="J903" s="123">
        <v>3</v>
      </c>
      <c r="K903" s="123">
        <v>0</v>
      </c>
      <c r="L903" s="123">
        <v>3</v>
      </c>
      <c r="M903" s="123">
        <v>4</v>
      </c>
      <c r="N903" s="123">
        <v>0</v>
      </c>
      <c r="O903" s="123">
        <v>4</v>
      </c>
      <c r="P903" s="7" t="s">
        <v>162</v>
      </c>
      <c r="Q903" s="124" t="s">
        <v>274</v>
      </c>
      <c r="R903" s="1"/>
    </row>
    <row r="904" spans="1:18" ht="13.5" thickBot="1" x14ac:dyDescent="0.25">
      <c r="A904" s="123">
        <v>17</v>
      </c>
      <c r="B904" s="123">
        <v>0</v>
      </c>
      <c r="C904" s="123">
        <v>17</v>
      </c>
      <c r="D904" s="123">
        <v>8</v>
      </c>
      <c r="E904" s="123">
        <v>0</v>
      </c>
      <c r="F904" s="123">
        <v>8</v>
      </c>
      <c r="G904" s="123">
        <v>2</v>
      </c>
      <c r="H904" s="123">
        <v>0</v>
      </c>
      <c r="I904" s="123">
        <v>2</v>
      </c>
      <c r="J904" s="123">
        <v>3</v>
      </c>
      <c r="K904" s="123">
        <v>0</v>
      </c>
      <c r="L904" s="123">
        <v>3</v>
      </c>
      <c r="M904" s="123">
        <v>4</v>
      </c>
      <c r="N904" s="123">
        <v>0</v>
      </c>
      <c r="O904" s="123">
        <v>4</v>
      </c>
      <c r="P904" s="7" t="s">
        <v>13</v>
      </c>
      <c r="Q904" s="9"/>
      <c r="R904" s="1"/>
    </row>
    <row r="905" spans="1:18" ht="13.5" thickBot="1" x14ac:dyDescent="0.25">
      <c r="A905" s="123">
        <v>2</v>
      </c>
      <c r="B905" s="123">
        <v>0</v>
      </c>
      <c r="C905" s="123">
        <v>2</v>
      </c>
      <c r="D905" s="123">
        <v>0</v>
      </c>
      <c r="E905" s="123">
        <v>0</v>
      </c>
      <c r="F905" s="123">
        <v>0</v>
      </c>
      <c r="G905" s="123">
        <v>2</v>
      </c>
      <c r="H905" s="123">
        <v>0</v>
      </c>
      <c r="I905" s="123">
        <v>2</v>
      </c>
      <c r="J905" s="123">
        <v>0</v>
      </c>
      <c r="K905" s="123">
        <v>0</v>
      </c>
      <c r="L905" s="123">
        <v>0</v>
      </c>
      <c r="M905" s="123">
        <v>0</v>
      </c>
      <c r="N905" s="123">
        <v>0</v>
      </c>
      <c r="O905" s="123">
        <v>0</v>
      </c>
      <c r="P905" s="7" t="s">
        <v>163</v>
      </c>
      <c r="Q905" s="124"/>
      <c r="R905" s="1"/>
    </row>
    <row r="906" spans="1:18" ht="13.5" thickBot="1" x14ac:dyDescent="0.25">
      <c r="A906" s="123">
        <v>1</v>
      </c>
      <c r="B906" s="123">
        <v>0</v>
      </c>
      <c r="C906" s="123">
        <v>1</v>
      </c>
      <c r="D906" s="123">
        <v>0</v>
      </c>
      <c r="E906" s="123">
        <v>0</v>
      </c>
      <c r="F906" s="123">
        <v>0</v>
      </c>
      <c r="G906" s="123">
        <v>0</v>
      </c>
      <c r="H906" s="123">
        <v>0</v>
      </c>
      <c r="I906" s="123">
        <v>0</v>
      </c>
      <c r="J906" s="123">
        <v>1</v>
      </c>
      <c r="K906" s="123">
        <v>0</v>
      </c>
      <c r="L906" s="123">
        <v>1</v>
      </c>
      <c r="M906" s="123">
        <v>0</v>
      </c>
      <c r="N906" s="123">
        <v>0</v>
      </c>
      <c r="O906" s="123">
        <v>0</v>
      </c>
      <c r="P906" s="7" t="s">
        <v>162</v>
      </c>
      <c r="Q906" s="124" t="s">
        <v>263</v>
      </c>
      <c r="R906" s="1"/>
    </row>
    <row r="907" spans="1:18" ht="13.5" thickBot="1" x14ac:dyDescent="0.25">
      <c r="A907" s="123">
        <v>3</v>
      </c>
      <c r="B907" s="123">
        <v>0</v>
      </c>
      <c r="C907" s="123">
        <v>3</v>
      </c>
      <c r="D907" s="123">
        <v>0</v>
      </c>
      <c r="E907" s="123">
        <v>0</v>
      </c>
      <c r="F907" s="123">
        <v>0</v>
      </c>
      <c r="G907" s="123">
        <v>2</v>
      </c>
      <c r="H907" s="123">
        <v>0</v>
      </c>
      <c r="I907" s="123">
        <v>2</v>
      </c>
      <c r="J907" s="123">
        <v>1</v>
      </c>
      <c r="K907" s="123">
        <v>0</v>
      </c>
      <c r="L907" s="123">
        <v>1</v>
      </c>
      <c r="M907" s="123">
        <v>0</v>
      </c>
      <c r="N907" s="123">
        <v>0</v>
      </c>
      <c r="O907" s="123">
        <v>0</v>
      </c>
      <c r="P907" s="7" t="s">
        <v>13</v>
      </c>
      <c r="Q907" s="9"/>
      <c r="R907" s="1"/>
    </row>
    <row r="908" spans="1:18" ht="13.5" thickBot="1" x14ac:dyDescent="0.25">
      <c r="A908" s="123">
        <v>1</v>
      </c>
      <c r="B908" s="123">
        <v>1</v>
      </c>
      <c r="C908" s="123">
        <v>0</v>
      </c>
      <c r="D908" s="123">
        <v>0</v>
      </c>
      <c r="E908" s="123">
        <v>0</v>
      </c>
      <c r="F908" s="123">
        <v>0</v>
      </c>
      <c r="G908" s="123">
        <v>0</v>
      </c>
      <c r="H908" s="123">
        <v>0</v>
      </c>
      <c r="I908" s="123">
        <v>0</v>
      </c>
      <c r="J908" s="123">
        <v>0</v>
      </c>
      <c r="K908" s="123">
        <v>0</v>
      </c>
      <c r="L908" s="123">
        <v>0</v>
      </c>
      <c r="M908" s="123">
        <v>1</v>
      </c>
      <c r="N908" s="123">
        <v>1</v>
      </c>
      <c r="O908" s="123">
        <v>0</v>
      </c>
      <c r="P908" s="7" t="s">
        <v>163</v>
      </c>
      <c r="Q908" s="124"/>
      <c r="R908" s="1"/>
    </row>
    <row r="909" spans="1:18" ht="13.5" thickBot="1" x14ac:dyDescent="0.25">
      <c r="A909" s="123">
        <v>0</v>
      </c>
      <c r="B909" s="123">
        <v>0</v>
      </c>
      <c r="C909" s="123">
        <v>0</v>
      </c>
      <c r="D909" s="123">
        <v>0</v>
      </c>
      <c r="E909" s="123">
        <v>0</v>
      </c>
      <c r="F909" s="123">
        <v>0</v>
      </c>
      <c r="G909" s="123">
        <v>0</v>
      </c>
      <c r="H909" s="123">
        <v>0</v>
      </c>
      <c r="I909" s="123">
        <v>0</v>
      </c>
      <c r="J909" s="123">
        <v>0</v>
      </c>
      <c r="K909" s="123">
        <v>0</v>
      </c>
      <c r="L909" s="123">
        <v>0</v>
      </c>
      <c r="M909" s="123">
        <v>0</v>
      </c>
      <c r="N909" s="123">
        <v>0</v>
      </c>
      <c r="O909" s="123">
        <v>0</v>
      </c>
      <c r="P909" s="7" t="s">
        <v>162</v>
      </c>
      <c r="Q909" s="124" t="s">
        <v>275</v>
      </c>
      <c r="R909" s="1"/>
    </row>
    <row r="910" spans="1:18" ht="13.5" thickBot="1" x14ac:dyDescent="0.25">
      <c r="A910" s="123">
        <v>1</v>
      </c>
      <c r="B910" s="123">
        <v>1</v>
      </c>
      <c r="C910" s="123">
        <v>0</v>
      </c>
      <c r="D910" s="123">
        <v>0</v>
      </c>
      <c r="E910" s="123">
        <v>0</v>
      </c>
      <c r="F910" s="123">
        <v>0</v>
      </c>
      <c r="G910" s="123">
        <v>0</v>
      </c>
      <c r="H910" s="123">
        <v>0</v>
      </c>
      <c r="I910" s="123">
        <v>0</v>
      </c>
      <c r="J910" s="123">
        <v>0</v>
      </c>
      <c r="K910" s="123">
        <v>0</v>
      </c>
      <c r="L910" s="123">
        <v>0</v>
      </c>
      <c r="M910" s="123">
        <v>1</v>
      </c>
      <c r="N910" s="123">
        <v>1</v>
      </c>
      <c r="O910" s="123">
        <v>0</v>
      </c>
      <c r="P910" s="7" t="s">
        <v>13</v>
      </c>
      <c r="Q910" s="9"/>
      <c r="R910" s="1"/>
    </row>
    <row r="911" spans="1:18" ht="13.5" thickBot="1" x14ac:dyDescent="0.25">
      <c r="A911" s="123">
        <v>6</v>
      </c>
      <c r="B911" s="123">
        <v>6</v>
      </c>
      <c r="C911" s="123">
        <v>0</v>
      </c>
      <c r="D911" s="123">
        <v>4</v>
      </c>
      <c r="E911" s="123">
        <v>4</v>
      </c>
      <c r="F911" s="123">
        <v>0</v>
      </c>
      <c r="G911" s="123">
        <v>2</v>
      </c>
      <c r="H911" s="123">
        <v>2</v>
      </c>
      <c r="I911" s="123">
        <v>0</v>
      </c>
      <c r="J911" s="123">
        <v>0</v>
      </c>
      <c r="K911" s="123">
        <v>0</v>
      </c>
      <c r="L911" s="123">
        <v>0</v>
      </c>
      <c r="M911" s="123">
        <v>0</v>
      </c>
      <c r="N911" s="123">
        <v>0</v>
      </c>
      <c r="O911" s="123">
        <v>0</v>
      </c>
      <c r="P911" s="7" t="s">
        <v>163</v>
      </c>
      <c r="Q911" s="124"/>
      <c r="R911" s="1"/>
    </row>
    <row r="912" spans="1:18" ht="13.5" thickBot="1" x14ac:dyDescent="0.25">
      <c r="A912" s="123">
        <v>7</v>
      </c>
      <c r="B912" s="123">
        <v>7</v>
      </c>
      <c r="C912" s="123">
        <v>0</v>
      </c>
      <c r="D912" s="123">
        <v>1</v>
      </c>
      <c r="E912" s="123">
        <v>1</v>
      </c>
      <c r="F912" s="123">
        <v>0</v>
      </c>
      <c r="G912" s="123">
        <v>0</v>
      </c>
      <c r="H912" s="123">
        <v>0</v>
      </c>
      <c r="I912" s="123">
        <v>0</v>
      </c>
      <c r="J912" s="123">
        <v>4</v>
      </c>
      <c r="K912" s="123">
        <v>4</v>
      </c>
      <c r="L912" s="123">
        <v>0</v>
      </c>
      <c r="M912" s="123">
        <v>2</v>
      </c>
      <c r="N912" s="123">
        <v>2</v>
      </c>
      <c r="O912" s="123">
        <v>0</v>
      </c>
      <c r="P912" s="7" t="s">
        <v>162</v>
      </c>
      <c r="Q912" s="124" t="s">
        <v>276</v>
      </c>
      <c r="R912" s="1"/>
    </row>
    <row r="913" spans="1:18" ht="13.5" thickBot="1" x14ac:dyDescent="0.25">
      <c r="A913" s="123">
        <v>13</v>
      </c>
      <c r="B913" s="123">
        <v>13</v>
      </c>
      <c r="C913" s="123">
        <v>0</v>
      </c>
      <c r="D913" s="123">
        <v>5</v>
      </c>
      <c r="E913" s="123">
        <v>5</v>
      </c>
      <c r="F913" s="123">
        <v>0</v>
      </c>
      <c r="G913" s="123">
        <v>2</v>
      </c>
      <c r="H913" s="123">
        <v>2</v>
      </c>
      <c r="I913" s="123">
        <v>0</v>
      </c>
      <c r="J913" s="123">
        <v>4</v>
      </c>
      <c r="K913" s="123">
        <v>4</v>
      </c>
      <c r="L913" s="123">
        <v>0</v>
      </c>
      <c r="M913" s="123">
        <v>2</v>
      </c>
      <c r="N913" s="123">
        <v>2</v>
      </c>
      <c r="O913" s="123">
        <v>0</v>
      </c>
      <c r="P913" s="7" t="s">
        <v>13</v>
      </c>
      <c r="Q913" s="9"/>
      <c r="R913" s="1"/>
    </row>
    <row r="914" spans="1:18" ht="13.5" thickBot="1" x14ac:dyDescent="0.25">
      <c r="A914" s="123">
        <v>18</v>
      </c>
      <c r="B914" s="123">
        <v>18</v>
      </c>
      <c r="C914" s="123">
        <v>0</v>
      </c>
      <c r="D914" s="123">
        <v>1</v>
      </c>
      <c r="E914" s="123">
        <v>1</v>
      </c>
      <c r="F914" s="123">
        <v>0</v>
      </c>
      <c r="G914" s="123">
        <v>15</v>
      </c>
      <c r="H914" s="123">
        <v>15</v>
      </c>
      <c r="I914" s="123">
        <v>0</v>
      </c>
      <c r="J914" s="123">
        <v>1</v>
      </c>
      <c r="K914" s="123">
        <v>1</v>
      </c>
      <c r="L914" s="123">
        <v>0</v>
      </c>
      <c r="M914" s="123">
        <v>1</v>
      </c>
      <c r="N914" s="123">
        <v>1</v>
      </c>
      <c r="O914" s="123">
        <v>0</v>
      </c>
      <c r="P914" s="7" t="s">
        <v>163</v>
      </c>
      <c r="Q914" s="124"/>
      <c r="R914" s="1"/>
    </row>
    <row r="915" spans="1:18" ht="13.5" thickBot="1" x14ac:dyDescent="0.25">
      <c r="A915" s="123">
        <v>31</v>
      </c>
      <c r="B915" s="123">
        <v>28</v>
      </c>
      <c r="C915" s="123">
        <v>3</v>
      </c>
      <c r="D915" s="123">
        <v>0</v>
      </c>
      <c r="E915" s="123">
        <v>0</v>
      </c>
      <c r="F915" s="123">
        <v>0</v>
      </c>
      <c r="G915" s="123">
        <v>0</v>
      </c>
      <c r="H915" s="123">
        <v>0</v>
      </c>
      <c r="I915" s="123">
        <v>0</v>
      </c>
      <c r="J915" s="123">
        <v>16</v>
      </c>
      <c r="K915" s="123">
        <v>16</v>
      </c>
      <c r="L915" s="123">
        <v>0</v>
      </c>
      <c r="M915" s="123">
        <v>15</v>
      </c>
      <c r="N915" s="123">
        <v>12</v>
      </c>
      <c r="O915" s="123">
        <v>3</v>
      </c>
      <c r="P915" s="7" t="s">
        <v>162</v>
      </c>
      <c r="Q915" s="124" t="s">
        <v>493</v>
      </c>
      <c r="R915" s="1"/>
    </row>
    <row r="916" spans="1:18" ht="13.5" thickBot="1" x14ac:dyDescent="0.25">
      <c r="A916" s="123">
        <v>49</v>
      </c>
      <c r="B916" s="123">
        <v>46</v>
      </c>
      <c r="C916" s="123">
        <v>3</v>
      </c>
      <c r="D916" s="123">
        <v>1</v>
      </c>
      <c r="E916" s="123">
        <v>1</v>
      </c>
      <c r="F916" s="123">
        <v>0</v>
      </c>
      <c r="G916" s="123">
        <v>15</v>
      </c>
      <c r="H916" s="123">
        <v>15</v>
      </c>
      <c r="I916" s="123">
        <v>0</v>
      </c>
      <c r="J916" s="123">
        <v>17</v>
      </c>
      <c r="K916" s="123">
        <v>17</v>
      </c>
      <c r="L916" s="123">
        <v>0</v>
      </c>
      <c r="M916" s="123">
        <v>16</v>
      </c>
      <c r="N916" s="123">
        <v>13</v>
      </c>
      <c r="O916" s="123">
        <v>3</v>
      </c>
      <c r="P916" s="7" t="s">
        <v>13</v>
      </c>
      <c r="Q916" s="9"/>
      <c r="R916" s="1"/>
    </row>
    <row r="917" spans="1:18" ht="13.5" thickBot="1" x14ac:dyDescent="0.25">
      <c r="A917" s="123">
        <v>205</v>
      </c>
      <c r="B917" s="123">
        <v>146</v>
      </c>
      <c r="C917" s="123">
        <v>59</v>
      </c>
      <c r="D917" s="123">
        <v>11</v>
      </c>
      <c r="E917" s="123">
        <v>5</v>
      </c>
      <c r="F917" s="123">
        <v>6</v>
      </c>
      <c r="G917" s="123">
        <v>112</v>
      </c>
      <c r="H917" s="123">
        <v>90</v>
      </c>
      <c r="I917" s="123">
        <v>22</v>
      </c>
      <c r="J917" s="123">
        <v>44</v>
      </c>
      <c r="K917" s="123">
        <v>28</v>
      </c>
      <c r="L917" s="123">
        <v>16</v>
      </c>
      <c r="M917" s="123">
        <v>38</v>
      </c>
      <c r="N917" s="123">
        <v>23</v>
      </c>
      <c r="O917" s="123">
        <v>15</v>
      </c>
      <c r="P917" s="7" t="s">
        <v>163</v>
      </c>
      <c r="Q917" s="3"/>
      <c r="R917" s="1"/>
    </row>
    <row r="918" spans="1:18" ht="13.5" thickBot="1" x14ac:dyDescent="0.25">
      <c r="A918" s="123">
        <v>183</v>
      </c>
      <c r="B918" s="123">
        <v>86</v>
      </c>
      <c r="C918" s="123">
        <v>97</v>
      </c>
      <c r="D918" s="123">
        <v>15</v>
      </c>
      <c r="E918" s="123">
        <v>1</v>
      </c>
      <c r="F918" s="123">
        <v>14</v>
      </c>
      <c r="G918" s="123">
        <v>1</v>
      </c>
      <c r="H918" s="123">
        <v>0</v>
      </c>
      <c r="I918" s="123">
        <v>1</v>
      </c>
      <c r="J918" s="123">
        <v>42</v>
      </c>
      <c r="K918" s="123">
        <v>31</v>
      </c>
      <c r="L918" s="123">
        <v>11</v>
      </c>
      <c r="M918" s="123">
        <v>125</v>
      </c>
      <c r="N918" s="123">
        <v>54</v>
      </c>
      <c r="O918" s="123">
        <v>71</v>
      </c>
      <c r="P918" s="7" t="s">
        <v>162</v>
      </c>
      <c r="Q918" s="11" t="s">
        <v>211</v>
      </c>
      <c r="R918" s="1"/>
    </row>
    <row r="919" spans="1:18" ht="13.5" thickBot="1" x14ac:dyDescent="0.25">
      <c r="A919" s="123">
        <v>388</v>
      </c>
      <c r="B919" s="123">
        <v>232</v>
      </c>
      <c r="C919" s="123">
        <v>156</v>
      </c>
      <c r="D919" s="123">
        <v>26</v>
      </c>
      <c r="E919" s="123">
        <v>6</v>
      </c>
      <c r="F919" s="123">
        <v>20</v>
      </c>
      <c r="G919" s="123">
        <v>113</v>
      </c>
      <c r="H919" s="123">
        <v>90</v>
      </c>
      <c r="I919" s="123">
        <v>23</v>
      </c>
      <c r="J919" s="123">
        <v>86</v>
      </c>
      <c r="K919" s="123">
        <v>59</v>
      </c>
      <c r="L919" s="123">
        <v>27</v>
      </c>
      <c r="M919" s="123">
        <v>163</v>
      </c>
      <c r="N919" s="123">
        <v>77</v>
      </c>
      <c r="O919" s="123">
        <v>86</v>
      </c>
      <c r="P919" s="7" t="s">
        <v>13</v>
      </c>
      <c r="Q919" s="5"/>
      <c r="R919" s="1"/>
    </row>
    <row r="920" spans="1:18" ht="18" customHeight="1" x14ac:dyDescent="0.2">
      <c r="A920" s="207"/>
      <c r="B920" s="207"/>
      <c r="C920" s="207"/>
      <c r="D920" s="207"/>
      <c r="E920" s="207"/>
      <c r="F920" s="207"/>
      <c r="G920" s="207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1"/>
    </row>
    <row r="921" spans="1:18" ht="18" customHeight="1" x14ac:dyDescent="0.2">
      <c r="A921" s="159" t="s">
        <v>643</v>
      </c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"/>
    </row>
    <row r="922" spans="1:18" ht="18" customHeight="1" thickBot="1" x14ac:dyDescent="0.25">
      <c r="A922" s="160" t="s">
        <v>644</v>
      </c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"/>
    </row>
    <row r="923" spans="1:18" ht="13.5" thickBot="1" x14ac:dyDescent="0.25">
      <c r="A923" s="204" t="s">
        <v>5</v>
      </c>
      <c r="B923" s="204"/>
      <c r="C923" s="204"/>
      <c r="D923" s="204" t="s">
        <v>57</v>
      </c>
      <c r="E923" s="204"/>
      <c r="F923" s="204"/>
      <c r="G923" s="204" t="s">
        <v>65</v>
      </c>
      <c r="H923" s="204"/>
      <c r="I923" s="204"/>
      <c r="J923" s="204" t="s">
        <v>62</v>
      </c>
      <c r="K923" s="204"/>
      <c r="L923" s="204"/>
      <c r="M923" s="204" t="s">
        <v>61</v>
      </c>
      <c r="N923" s="204"/>
      <c r="O923" s="204"/>
      <c r="P923" s="205" t="s">
        <v>645</v>
      </c>
      <c r="Q923" s="47" t="s">
        <v>161</v>
      </c>
      <c r="R923" s="1"/>
    </row>
    <row r="924" spans="1:18" ht="13.5" thickBot="1" x14ac:dyDescent="0.25">
      <c r="A924" s="47" t="s">
        <v>216</v>
      </c>
      <c r="B924" s="47" t="s">
        <v>11</v>
      </c>
      <c r="C924" s="47" t="s">
        <v>10</v>
      </c>
      <c r="D924" s="47" t="s">
        <v>216</v>
      </c>
      <c r="E924" s="47" t="s">
        <v>11</v>
      </c>
      <c r="F924" s="47" t="s">
        <v>10</v>
      </c>
      <c r="G924" s="47" t="s">
        <v>216</v>
      </c>
      <c r="H924" s="47" t="s">
        <v>11</v>
      </c>
      <c r="I924" s="47" t="s">
        <v>10</v>
      </c>
      <c r="J924" s="47" t="s">
        <v>216</v>
      </c>
      <c r="K924" s="47" t="s">
        <v>11</v>
      </c>
      <c r="L924" s="47" t="s">
        <v>10</v>
      </c>
      <c r="M924" s="47" t="s">
        <v>216</v>
      </c>
      <c r="N924" s="47" t="s">
        <v>11</v>
      </c>
      <c r="O924" s="47" t="s">
        <v>10</v>
      </c>
      <c r="P924" s="206"/>
      <c r="Q924" s="5" t="s">
        <v>126</v>
      </c>
      <c r="R924" s="1"/>
    </row>
    <row r="925" spans="1:18" ht="13.5" thickBot="1" x14ac:dyDescent="0.25">
      <c r="A925" s="123">
        <v>40</v>
      </c>
      <c r="B925" s="123">
        <v>0</v>
      </c>
      <c r="C925" s="123">
        <v>40</v>
      </c>
      <c r="D925" s="123">
        <v>1</v>
      </c>
      <c r="E925" s="123">
        <v>0</v>
      </c>
      <c r="F925" s="123">
        <v>1</v>
      </c>
      <c r="G925" s="123">
        <v>17</v>
      </c>
      <c r="H925" s="123">
        <v>0</v>
      </c>
      <c r="I925" s="123">
        <v>17</v>
      </c>
      <c r="J925" s="123">
        <v>14</v>
      </c>
      <c r="K925" s="123">
        <v>0</v>
      </c>
      <c r="L925" s="123">
        <v>14</v>
      </c>
      <c r="M925" s="123">
        <v>8</v>
      </c>
      <c r="N925" s="123">
        <v>0</v>
      </c>
      <c r="O925" s="123">
        <v>8</v>
      </c>
      <c r="P925" s="7" t="s">
        <v>163</v>
      </c>
      <c r="Q925" s="124"/>
      <c r="R925" s="1"/>
    </row>
    <row r="926" spans="1:18" ht="13.5" thickBot="1" x14ac:dyDescent="0.25">
      <c r="A926" s="123">
        <v>90</v>
      </c>
      <c r="B926" s="123">
        <v>0</v>
      </c>
      <c r="C926" s="123">
        <v>90</v>
      </c>
      <c r="D926" s="123">
        <v>15</v>
      </c>
      <c r="E926" s="123">
        <v>0</v>
      </c>
      <c r="F926" s="123">
        <v>15</v>
      </c>
      <c r="G926" s="123">
        <v>9</v>
      </c>
      <c r="H926" s="123">
        <v>0</v>
      </c>
      <c r="I926" s="123">
        <v>9</v>
      </c>
      <c r="J926" s="123">
        <v>2</v>
      </c>
      <c r="K926" s="123">
        <v>0</v>
      </c>
      <c r="L926" s="123">
        <v>2</v>
      </c>
      <c r="M926" s="123">
        <v>64</v>
      </c>
      <c r="N926" s="123">
        <v>0</v>
      </c>
      <c r="O926" s="123">
        <v>64</v>
      </c>
      <c r="P926" s="7" t="s">
        <v>162</v>
      </c>
      <c r="Q926" s="124" t="s">
        <v>494</v>
      </c>
      <c r="R926" s="1"/>
    </row>
    <row r="927" spans="1:18" ht="13.5" thickBot="1" x14ac:dyDescent="0.25">
      <c r="A927" s="123">
        <v>130</v>
      </c>
      <c r="B927" s="123">
        <v>0</v>
      </c>
      <c r="C927" s="123">
        <v>130</v>
      </c>
      <c r="D927" s="123">
        <v>16</v>
      </c>
      <c r="E927" s="123">
        <v>0</v>
      </c>
      <c r="F927" s="123">
        <v>16</v>
      </c>
      <c r="G927" s="123">
        <v>26</v>
      </c>
      <c r="H927" s="123">
        <v>0</v>
      </c>
      <c r="I927" s="123">
        <v>26</v>
      </c>
      <c r="J927" s="123">
        <v>16</v>
      </c>
      <c r="K927" s="123">
        <v>0</v>
      </c>
      <c r="L927" s="123">
        <v>16</v>
      </c>
      <c r="M927" s="123">
        <v>72</v>
      </c>
      <c r="N927" s="123">
        <v>0</v>
      </c>
      <c r="O927" s="123">
        <v>72</v>
      </c>
      <c r="P927" s="7" t="s">
        <v>13</v>
      </c>
      <c r="Q927" s="9"/>
      <c r="R927" s="1"/>
    </row>
    <row r="928" spans="1:18" ht="13.5" thickBot="1" x14ac:dyDescent="0.25">
      <c r="A928" s="123">
        <v>18</v>
      </c>
      <c r="B928" s="123">
        <v>6</v>
      </c>
      <c r="C928" s="123">
        <v>12</v>
      </c>
      <c r="D928" s="123">
        <v>0</v>
      </c>
      <c r="E928" s="123">
        <v>0</v>
      </c>
      <c r="F928" s="123">
        <v>0</v>
      </c>
      <c r="G928" s="123">
        <v>17</v>
      </c>
      <c r="H928" s="123">
        <v>6</v>
      </c>
      <c r="I928" s="123">
        <v>11</v>
      </c>
      <c r="J928" s="123">
        <v>0</v>
      </c>
      <c r="K928" s="123">
        <v>0</v>
      </c>
      <c r="L928" s="123">
        <v>0</v>
      </c>
      <c r="M928" s="123">
        <v>1</v>
      </c>
      <c r="N928" s="123">
        <v>0</v>
      </c>
      <c r="O928" s="123">
        <v>1</v>
      </c>
      <c r="P928" s="7" t="s">
        <v>163</v>
      </c>
      <c r="Q928" s="124"/>
      <c r="R928" s="1"/>
    </row>
    <row r="929" spans="1:18" ht="13.5" thickBot="1" x14ac:dyDescent="0.25">
      <c r="A929" s="123">
        <v>7</v>
      </c>
      <c r="B929" s="123">
        <v>0</v>
      </c>
      <c r="C929" s="123">
        <v>7</v>
      </c>
      <c r="D929" s="123">
        <v>0</v>
      </c>
      <c r="E929" s="123">
        <v>0</v>
      </c>
      <c r="F929" s="123">
        <v>0</v>
      </c>
      <c r="G929" s="123">
        <v>0</v>
      </c>
      <c r="H929" s="123">
        <v>0</v>
      </c>
      <c r="I929" s="123">
        <v>0</v>
      </c>
      <c r="J929" s="123">
        <v>2</v>
      </c>
      <c r="K929" s="123">
        <v>0</v>
      </c>
      <c r="L929" s="123">
        <v>2</v>
      </c>
      <c r="M929" s="123">
        <v>5</v>
      </c>
      <c r="N929" s="123">
        <v>0</v>
      </c>
      <c r="O929" s="123">
        <v>5</v>
      </c>
      <c r="P929" s="7" t="s">
        <v>162</v>
      </c>
      <c r="Q929" s="124" t="s">
        <v>359</v>
      </c>
      <c r="R929" s="1"/>
    </row>
    <row r="930" spans="1:18" ht="13.5" thickBot="1" x14ac:dyDescent="0.25">
      <c r="A930" s="123">
        <v>25</v>
      </c>
      <c r="B930" s="123">
        <v>6</v>
      </c>
      <c r="C930" s="123">
        <v>19</v>
      </c>
      <c r="D930" s="123">
        <v>0</v>
      </c>
      <c r="E930" s="123">
        <v>0</v>
      </c>
      <c r="F930" s="123">
        <v>0</v>
      </c>
      <c r="G930" s="123">
        <v>17</v>
      </c>
      <c r="H930" s="123">
        <v>6</v>
      </c>
      <c r="I930" s="123">
        <v>11</v>
      </c>
      <c r="J930" s="123">
        <v>2</v>
      </c>
      <c r="K930" s="123">
        <v>0</v>
      </c>
      <c r="L930" s="123">
        <v>2</v>
      </c>
      <c r="M930" s="123">
        <v>6</v>
      </c>
      <c r="N930" s="123">
        <v>0</v>
      </c>
      <c r="O930" s="123">
        <v>6</v>
      </c>
      <c r="P930" s="7" t="s">
        <v>13</v>
      </c>
      <c r="Q930" s="9"/>
      <c r="R930" s="1"/>
    </row>
    <row r="931" spans="1:18" ht="13.5" thickBot="1" x14ac:dyDescent="0.25">
      <c r="A931" s="123">
        <v>8</v>
      </c>
      <c r="B931" s="123">
        <v>0</v>
      </c>
      <c r="C931" s="123">
        <v>8</v>
      </c>
      <c r="D931" s="123">
        <v>0</v>
      </c>
      <c r="E931" s="123">
        <v>0</v>
      </c>
      <c r="F931" s="123">
        <v>0</v>
      </c>
      <c r="G931" s="123">
        <v>7</v>
      </c>
      <c r="H931" s="123">
        <v>0</v>
      </c>
      <c r="I931" s="123">
        <v>7</v>
      </c>
      <c r="J931" s="123">
        <v>0</v>
      </c>
      <c r="K931" s="123">
        <v>0</v>
      </c>
      <c r="L931" s="123">
        <v>0</v>
      </c>
      <c r="M931" s="123">
        <v>1</v>
      </c>
      <c r="N931" s="123">
        <v>0</v>
      </c>
      <c r="O931" s="123">
        <v>1</v>
      </c>
      <c r="P931" s="7" t="s">
        <v>163</v>
      </c>
      <c r="Q931" s="124"/>
      <c r="R931" s="1"/>
    </row>
    <row r="932" spans="1:18" ht="13.5" thickBot="1" x14ac:dyDescent="0.25">
      <c r="A932" s="123">
        <v>26</v>
      </c>
      <c r="B932" s="123">
        <v>0</v>
      </c>
      <c r="C932" s="123">
        <v>26</v>
      </c>
      <c r="D932" s="123">
        <v>0</v>
      </c>
      <c r="E932" s="123">
        <v>0</v>
      </c>
      <c r="F932" s="123">
        <v>0</v>
      </c>
      <c r="G932" s="123">
        <v>0</v>
      </c>
      <c r="H932" s="123">
        <v>0</v>
      </c>
      <c r="I932" s="123">
        <v>0</v>
      </c>
      <c r="J932" s="123">
        <v>3</v>
      </c>
      <c r="K932" s="123">
        <v>0</v>
      </c>
      <c r="L932" s="123">
        <v>3</v>
      </c>
      <c r="M932" s="123">
        <v>23</v>
      </c>
      <c r="N932" s="123">
        <v>0</v>
      </c>
      <c r="O932" s="123">
        <v>23</v>
      </c>
      <c r="P932" s="7" t="s">
        <v>162</v>
      </c>
      <c r="Q932" s="124" t="s">
        <v>377</v>
      </c>
      <c r="R932" s="1"/>
    </row>
    <row r="933" spans="1:18" ht="13.5" thickBot="1" x14ac:dyDescent="0.25">
      <c r="A933" s="123">
        <v>34</v>
      </c>
      <c r="B933" s="123">
        <v>0</v>
      </c>
      <c r="C933" s="123">
        <v>34</v>
      </c>
      <c r="D933" s="123">
        <v>0</v>
      </c>
      <c r="E933" s="123">
        <v>0</v>
      </c>
      <c r="F933" s="123">
        <v>0</v>
      </c>
      <c r="G933" s="123">
        <v>7</v>
      </c>
      <c r="H933" s="123">
        <v>0</v>
      </c>
      <c r="I933" s="123">
        <v>7</v>
      </c>
      <c r="J933" s="123">
        <v>3</v>
      </c>
      <c r="K933" s="123">
        <v>0</v>
      </c>
      <c r="L933" s="123">
        <v>3</v>
      </c>
      <c r="M933" s="123">
        <v>24</v>
      </c>
      <c r="N933" s="123">
        <v>0</v>
      </c>
      <c r="O933" s="123">
        <v>24</v>
      </c>
      <c r="P933" s="7" t="s">
        <v>13</v>
      </c>
      <c r="Q933" s="9"/>
      <c r="R933" s="1"/>
    </row>
    <row r="934" spans="1:18" ht="13.5" thickBot="1" x14ac:dyDescent="0.25">
      <c r="A934" s="123">
        <v>1</v>
      </c>
      <c r="B934" s="123">
        <v>0</v>
      </c>
      <c r="C934" s="123">
        <v>1</v>
      </c>
      <c r="D934" s="123">
        <v>1</v>
      </c>
      <c r="E934" s="123">
        <v>0</v>
      </c>
      <c r="F934" s="123">
        <v>1</v>
      </c>
      <c r="G934" s="123">
        <v>0</v>
      </c>
      <c r="H934" s="123">
        <v>0</v>
      </c>
      <c r="I934" s="123">
        <v>0</v>
      </c>
      <c r="J934" s="123">
        <v>0</v>
      </c>
      <c r="K934" s="123">
        <v>0</v>
      </c>
      <c r="L934" s="123">
        <v>0</v>
      </c>
      <c r="M934" s="123">
        <v>0</v>
      </c>
      <c r="N934" s="123">
        <v>0</v>
      </c>
      <c r="O934" s="123">
        <v>0</v>
      </c>
      <c r="P934" s="7" t="s">
        <v>163</v>
      </c>
      <c r="Q934" s="124"/>
      <c r="R934" s="1"/>
    </row>
    <row r="935" spans="1:18" ht="13.5" thickBot="1" x14ac:dyDescent="0.25">
      <c r="A935" s="123">
        <v>7</v>
      </c>
      <c r="B935" s="123">
        <v>3</v>
      </c>
      <c r="C935" s="123">
        <v>4</v>
      </c>
      <c r="D935" s="123">
        <v>2</v>
      </c>
      <c r="E935" s="123">
        <v>0</v>
      </c>
      <c r="F935" s="123">
        <v>2</v>
      </c>
      <c r="G935" s="123">
        <v>0</v>
      </c>
      <c r="H935" s="123">
        <v>0</v>
      </c>
      <c r="I935" s="123">
        <v>0</v>
      </c>
      <c r="J935" s="123">
        <v>0</v>
      </c>
      <c r="K935" s="123">
        <v>0</v>
      </c>
      <c r="L935" s="123">
        <v>0</v>
      </c>
      <c r="M935" s="123">
        <v>5</v>
      </c>
      <c r="N935" s="123">
        <v>3</v>
      </c>
      <c r="O935" s="123">
        <v>2</v>
      </c>
      <c r="P935" s="7" t="s">
        <v>162</v>
      </c>
      <c r="Q935" s="124" t="s">
        <v>264</v>
      </c>
      <c r="R935" s="1"/>
    </row>
    <row r="936" spans="1:18" ht="13.5" thickBot="1" x14ac:dyDescent="0.25">
      <c r="A936" s="123">
        <v>8</v>
      </c>
      <c r="B936" s="123">
        <v>3</v>
      </c>
      <c r="C936" s="123">
        <v>5</v>
      </c>
      <c r="D936" s="123">
        <v>3</v>
      </c>
      <c r="E936" s="123">
        <v>0</v>
      </c>
      <c r="F936" s="123">
        <v>3</v>
      </c>
      <c r="G936" s="123">
        <v>0</v>
      </c>
      <c r="H936" s="123">
        <v>0</v>
      </c>
      <c r="I936" s="123">
        <v>0</v>
      </c>
      <c r="J936" s="123">
        <v>0</v>
      </c>
      <c r="K936" s="123">
        <v>0</v>
      </c>
      <c r="L936" s="123">
        <v>0</v>
      </c>
      <c r="M936" s="123">
        <v>5</v>
      </c>
      <c r="N936" s="123">
        <v>3</v>
      </c>
      <c r="O936" s="123">
        <v>2</v>
      </c>
      <c r="P936" s="7" t="s">
        <v>13</v>
      </c>
      <c r="Q936" s="9"/>
      <c r="R936" s="1"/>
    </row>
    <row r="937" spans="1:18" ht="13.5" thickBot="1" x14ac:dyDescent="0.25">
      <c r="A937" s="123">
        <v>1</v>
      </c>
      <c r="B937" s="123">
        <v>0</v>
      </c>
      <c r="C937" s="123">
        <v>1</v>
      </c>
      <c r="D937" s="123">
        <v>0</v>
      </c>
      <c r="E937" s="123">
        <v>0</v>
      </c>
      <c r="F937" s="123">
        <v>0</v>
      </c>
      <c r="G937" s="123">
        <v>0</v>
      </c>
      <c r="H937" s="123">
        <v>0</v>
      </c>
      <c r="I937" s="123">
        <v>0</v>
      </c>
      <c r="J937" s="123">
        <v>0</v>
      </c>
      <c r="K937" s="123">
        <v>0</v>
      </c>
      <c r="L937" s="123">
        <v>0</v>
      </c>
      <c r="M937" s="123">
        <v>1</v>
      </c>
      <c r="N937" s="123">
        <v>0</v>
      </c>
      <c r="O937" s="123">
        <v>1</v>
      </c>
      <c r="P937" s="7" t="s">
        <v>163</v>
      </c>
      <c r="Q937" s="124"/>
      <c r="R937" s="1"/>
    </row>
    <row r="938" spans="1:18" ht="13.5" thickBot="1" x14ac:dyDescent="0.25">
      <c r="A938" s="123">
        <v>38</v>
      </c>
      <c r="B938" s="123">
        <v>0</v>
      </c>
      <c r="C938" s="123">
        <v>38</v>
      </c>
      <c r="D938" s="123">
        <v>0</v>
      </c>
      <c r="E938" s="123">
        <v>0</v>
      </c>
      <c r="F938" s="123">
        <v>0</v>
      </c>
      <c r="G938" s="123">
        <v>0</v>
      </c>
      <c r="H938" s="123">
        <v>0</v>
      </c>
      <c r="I938" s="123">
        <v>0</v>
      </c>
      <c r="J938" s="123">
        <v>16</v>
      </c>
      <c r="K938" s="123">
        <v>0</v>
      </c>
      <c r="L938" s="123">
        <v>16</v>
      </c>
      <c r="M938" s="123">
        <v>22</v>
      </c>
      <c r="N938" s="123">
        <v>0</v>
      </c>
      <c r="O938" s="123">
        <v>22</v>
      </c>
      <c r="P938" s="7" t="s">
        <v>162</v>
      </c>
      <c r="Q938" s="124" t="s">
        <v>125</v>
      </c>
      <c r="R938" s="1"/>
    </row>
    <row r="939" spans="1:18" ht="13.5" thickBot="1" x14ac:dyDescent="0.25">
      <c r="A939" s="123">
        <v>39</v>
      </c>
      <c r="B939" s="123">
        <v>0</v>
      </c>
      <c r="C939" s="123">
        <v>39</v>
      </c>
      <c r="D939" s="123">
        <v>0</v>
      </c>
      <c r="E939" s="123">
        <v>0</v>
      </c>
      <c r="F939" s="123">
        <v>0</v>
      </c>
      <c r="G939" s="123">
        <v>0</v>
      </c>
      <c r="H939" s="123">
        <v>0</v>
      </c>
      <c r="I939" s="123">
        <v>0</v>
      </c>
      <c r="J939" s="123">
        <v>16</v>
      </c>
      <c r="K939" s="123">
        <v>0</v>
      </c>
      <c r="L939" s="123">
        <v>16</v>
      </c>
      <c r="M939" s="123">
        <v>23</v>
      </c>
      <c r="N939" s="123">
        <v>0</v>
      </c>
      <c r="O939" s="123">
        <v>23</v>
      </c>
      <c r="P939" s="7" t="s">
        <v>13</v>
      </c>
      <c r="Q939" s="9"/>
      <c r="R939" s="1"/>
    </row>
    <row r="940" spans="1:18" ht="13.5" thickBot="1" x14ac:dyDescent="0.25">
      <c r="A940" s="123">
        <v>8</v>
      </c>
      <c r="B940" s="123">
        <v>8</v>
      </c>
      <c r="C940" s="123">
        <v>0</v>
      </c>
      <c r="D940" s="123">
        <v>2</v>
      </c>
      <c r="E940" s="123">
        <v>2</v>
      </c>
      <c r="F940" s="123">
        <v>0</v>
      </c>
      <c r="G940" s="123">
        <v>6</v>
      </c>
      <c r="H940" s="123">
        <v>6</v>
      </c>
      <c r="I940" s="123">
        <v>0</v>
      </c>
      <c r="J940" s="123">
        <v>0</v>
      </c>
      <c r="K940" s="123">
        <v>0</v>
      </c>
      <c r="L940" s="123">
        <v>0</v>
      </c>
      <c r="M940" s="123">
        <v>0</v>
      </c>
      <c r="N940" s="123">
        <v>0</v>
      </c>
      <c r="O940" s="123">
        <v>0</v>
      </c>
      <c r="P940" s="7" t="s">
        <v>163</v>
      </c>
      <c r="Q940" s="124"/>
      <c r="R940" s="1"/>
    </row>
    <row r="941" spans="1:18" ht="13.5" thickBot="1" x14ac:dyDescent="0.25">
      <c r="A941" s="123">
        <v>48</v>
      </c>
      <c r="B941" s="123">
        <v>39</v>
      </c>
      <c r="C941" s="123">
        <v>9</v>
      </c>
      <c r="D941" s="123">
        <v>0</v>
      </c>
      <c r="E941" s="123">
        <v>0</v>
      </c>
      <c r="F941" s="123">
        <v>0</v>
      </c>
      <c r="G941" s="123">
        <v>0</v>
      </c>
      <c r="H941" s="123">
        <v>0</v>
      </c>
      <c r="I941" s="123">
        <v>0</v>
      </c>
      <c r="J941" s="123">
        <v>26</v>
      </c>
      <c r="K941" s="123">
        <v>26</v>
      </c>
      <c r="L941" s="123">
        <v>0</v>
      </c>
      <c r="M941" s="123">
        <v>22</v>
      </c>
      <c r="N941" s="123">
        <v>13</v>
      </c>
      <c r="O941" s="123">
        <v>9</v>
      </c>
      <c r="P941" s="7" t="s">
        <v>162</v>
      </c>
      <c r="Q941" s="124" t="s">
        <v>495</v>
      </c>
      <c r="R941" s="1"/>
    </row>
    <row r="942" spans="1:18" ht="13.5" thickBot="1" x14ac:dyDescent="0.25">
      <c r="A942" s="123">
        <v>56</v>
      </c>
      <c r="B942" s="123">
        <v>47</v>
      </c>
      <c r="C942" s="123">
        <v>9</v>
      </c>
      <c r="D942" s="123">
        <v>2</v>
      </c>
      <c r="E942" s="123">
        <v>2</v>
      </c>
      <c r="F942" s="123">
        <v>0</v>
      </c>
      <c r="G942" s="123">
        <v>6</v>
      </c>
      <c r="H942" s="123">
        <v>6</v>
      </c>
      <c r="I942" s="123">
        <v>0</v>
      </c>
      <c r="J942" s="123">
        <v>26</v>
      </c>
      <c r="K942" s="123">
        <v>26</v>
      </c>
      <c r="L942" s="123">
        <v>0</v>
      </c>
      <c r="M942" s="123">
        <v>22</v>
      </c>
      <c r="N942" s="123">
        <v>13</v>
      </c>
      <c r="O942" s="123">
        <v>9</v>
      </c>
      <c r="P942" s="7" t="s">
        <v>13</v>
      </c>
      <c r="Q942" s="9"/>
      <c r="R942" s="1"/>
    </row>
    <row r="943" spans="1:18" ht="13.5" thickBot="1" x14ac:dyDescent="0.25">
      <c r="A943" s="123">
        <v>0</v>
      </c>
      <c r="B943" s="123">
        <v>0</v>
      </c>
      <c r="C943" s="123">
        <v>0</v>
      </c>
      <c r="D943" s="123">
        <v>0</v>
      </c>
      <c r="E943" s="123">
        <v>0</v>
      </c>
      <c r="F943" s="123">
        <v>0</v>
      </c>
      <c r="G943" s="123">
        <v>0</v>
      </c>
      <c r="H943" s="123">
        <v>0</v>
      </c>
      <c r="I943" s="123">
        <v>0</v>
      </c>
      <c r="J943" s="123">
        <v>0</v>
      </c>
      <c r="K943" s="123">
        <v>0</v>
      </c>
      <c r="L943" s="123">
        <v>0</v>
      </c>
      <c r="M943" s="123">
        <v>0</v>
      </c>
      <c r="N943" s="123">
        <v>0</v>
      </c>
      <c r="O943" s="123">
        <v>0</v>
      </c>
      <c r="P943" s="7" t="s">
        <v>163</v>
      </c>
      <c r="Q943" s="124"/>
      <c r="R943" s="1"/>
    </row>
    <row r="944" spans="1:18" ht="13.5" thickBot="1" x14ac:dyDescent="0.25">
      <c r="A944" s="123">
        <v>1</v>
      </c>
      <c r="B944" s="123">
        <v>1</v>
      </c>
      <c r="C944" s="123">
        <v>0</v>
      </c>
      <c r="D944" s="123">
        <v>0</v>
      </c>
      <c r="E944" s="123">
        <v>0</v>
      </c>
      <c r="F944" s="123">
        <v>0</v>
      </c>
      <c r="G944" s="123">
        <v>0</v>
      </c>
      <c r="H944" s="123">
        <v>0</v>
      </c>
      <c r="I944" s="123">
        <v>0</v>
      </c>
      <c r="J944" s="123">
        <v>1</v>
      </c>
      <c r="K944" s="123">
        <v>1</v>
      </c>
      <c r="L944" s="123">
        <v>0</v>
      </c>
      <c r="M944" s="123">
        <v>0</v>
      </c>
      <c r="N944" s="123">
        <v>0</v>
      </c>
      <c r="O944" s="123">
        <v>0</v>
      </c>
      <c r="P944" s="7" t="s">
        <v>162</v>
      </c>
      <c r="Q944" s="124" t="s">
        <v>127</v>
      </c>
      <c r="R944" s="1"/>
    </row>
    <row r="945" spans="1:18" ht="13.5" thickBot="1" x14ac:dyDescent="0.25">
      <c r="A945" s="123">
        <v>1</v>
      </c>
      <c r="B945" s="123">
        <v>1</v>
      </c>
      <c r="C945" s="123">
        <v>0</v>
      </c>
      <c r="D945" s="123">
        <v>0</v>
      </c>
      <c r="E945" s="123">
        <v>0</v>
      </c>
      <c r="F945" s="123">
        <v>0</v>
      </c>
      <c r="G945" s="123">
        <v>0</v>
      </c>
      <c r="H945" s="123">
        <v>0</v>
      </c>
      <c r="I945" s="123">
        <v>0</v>
      </c>
      <c r="J945" s="123">
        <v>1</v>
      </c>
      <c r="K945" s="123">
        <v>1</v>
      </c>
      <c r="L945" s="123">
        <v>0</v>
      </c>
      <c r="M945" s="123">
        <v>0</v>
      </c>
      <c r="N945" s="123">
        <v>0</v>
      </c>
      <c r="O945" s="123">
        <v>0</v>
      </c>
      <c r="P945" s="7" t="s">
        <v>13</v>
      </c>
      <c r="Q945" s="9"/>
      <c r="R945" s="1"/>
    </row>
    <row r="946" spans="1:18" ht="13.5" thickBot="1" x14ac:dyDescent="0.25">
      <c r="A946" s="123">
        <v>8</v>
      </c>
      <c r="B946" s="123">
        <v>8</v>
      </c>
      <c r="C946" s="123">
        <v>0</v>
      </c>
      <c r="D946" s="123">
        <v>0</v>
      </c>
      <c r="E946" s="123">
        <v>0</v>
      </c>
      <c r="F946" s="123">
        <v>0</v>
      </c>
      <c r="G946" s="123">
        <v>6</v>
      </c>
      <c r="H946" s="123">
        <v>6</v>
      </c>
      <c r="I946" s="123">
        <v>0</v>
      </c>
      <c r="J946" s="123">
        <v>2</v>
      </c>
      <c r="K946" s="123">
        <v>2</v>
      </c>
      <c r="L946" s="123">
        <v>0</v>
      </c>
      <c r="M946" s="123">
        <v>0</v>
      </c>
      <c r="N946" s="123">
        <v>0</v>
      </c>
      <c r="O946" s="123">
        <v>0</v>
      </c>
      <c r="P946" s="7" t="s">
        <v>163</v>
      </c>
      <c r="Q946" s="124"/>
      <c r="R946" s="1"/>
    </row>
    <row r="947" spans="1:18" ht="13.5" thickBot="1" x14ac:dyDescent="0.25">
      <c r="A947" s="123">
        <v>23</v>
      </c>
      <c r="B947" s="123">
        <v>19</v>
      </c>
      <c r="C947" s="123">
        <v>4</v>
      </c>
      <c r="D947" s="123">
        <v>0</v>
      </c>
      <c r="E947" s="123">
        <v>0</v>
      </c>
      <c r="F947" s="123">
        <v>0</v>
      </c>
      <c r="G947" s="123">
        <v>0</v>
      </c>
      <c r="H947" s="123">
        <v>0</v>
      </c>
      <c r="I947" s="123">
        <v>0</v>
      </c>
      <c r="J947" s="123">
        <v>10</v>
      </c>
      <c r="K947" s="123">
        <v>10</v>
      </c>
      <c r="L947" s="123">
        <v>0</v>
      </c>
      <c r="M947" s="123">
        <v>13</v>
      </c>
      <c r="N947" s="123">
        <v>9</v>
      </c>
      <c r="O947" s="123">
        <v>4</v>
      </c>
      <c r="P947" s="7" t="s">
        <v>162</v>
      </c>
      <c r="Q947" s="124" t="s">
        <v>496</v>
      </c>
      <c r="R947" s="1"/>
    </row>
    <row r="948" spans="1:18" ht="13.5" thickBot="1" x14ac:dyDescent="0.25">
      <c r="A948" s="123">
        <v>31</v>
      </c>
      <c r="B948" s="123">
        <v>27</v>
      </c>
      <c r="C948" s="123">
        <v>4</v>
      </c>
      <c r="D948" s="123">
        <v>0</v>
      </c>
      <c r="E948" s="123">
        <v>0</v>
      </c>
      <c r="F948" s="123">
        <v>0</v>
      </c>
      <c r="G948" s="123">
        <v>6</v>
      </c>
      <c r="H948" s="123">
        <v>6</v>
      </c>
      <c r="I948" s="123">
        <v>0</v>
      </c>
      <c r="J948" s="123">
        <v>12</v>
      </c>
      <c r="K948" s="123">
        <v>12</v>
      </c>
      <c r="L948" s="123">
        <v>0</v>
      </c>
      <c r="M948" s="123">
        <v>13</v>
      </c>
      <c r="N948" s="123">
        <v>9</v>
      </c>
      <c r="O948" s="123">
        <v>4</v>
      </c>
      <c r="P948" s="7" t="s">
        <v>13</v>
      </c>
      <c r="Q948" s="9"/>
      <c r="R948" s="1"/>
    </row>
    <row r="949" spans="1:18" ht="13.5" thickBot="1" x14ac:dyDescent="0.25">
      <c r="A949" s="123">
        <v>6</v>
      </c>
      <c r="B949" s="123">
        <v>6</v>
      </c>
      <c r="C949" s="123">
        <v>0</v>
      </c>
      <c r="D949" s="123">
        <v>0</v>
      </c>
      <c r="E949" s="123">
        <v>0</v>
      </c>
      <c r="F949" s="123">
        <v>0</v>
      </c>
      <c r="G949" s="123">
        <v>4</v>
      </c>
      <c r="H949" s="123">
        <v>4</v>
      </c>
      <c r="I949" s="123">
        <v>0</v>
      </c>
      <c r="J949" s="123">
        <v>2</v>
      </c>
      <c r="K949" s="123">
        <v>2</v>
      </c>
      <c r="L949" s="123">
        <v>0</v>
      </c>
      <c r="M949" s="123">
        <v>0</v>
      </c>
      <c r="N949" s="123">
        <v>0</v>
      </c>
      <c r="O949" s="123">
        <v>0</v>
      </c>
      <c r="P949" s="7" t="s">
        <v>163</v>
      </c>
      <c r="Q949" s="124"/>
      <c r="R949" s="1"/>
    </row>
    <row r="950" spans="1:18" ht="13.5" thickBot="1" x14ac:dyDescent="0.25">
      <c r="A950" s="123">
        <v>34</v>
      </c>
      <c r="B950" s="123">
        <v>31</v>
      </c>
      <c r="C950" s="123">
        <v>3</v>
      </c>
      <c r="D950" s="123">
        <v>0</v>
      </c>
      <c r="E950" s="123">
        <v>0</v>
      </c>
      <c r="F950" s="123">
        <v>0</v>
      </c>
      <c r="G950" s="123">
        <v>0</v>
      </c>
      <c r="H950" s="123">
        <v>0</v>
      </c>
      <c r="I950" s="123">
        <v>0</v>
      </c>
      <c r="J950" s="123">
        <v>8</v>
      </c>
      <c r="K950" s="123">
        <v>8</v>
      </c>
      <c r="L950" s="123">
        <v>0</v>
      </c>
      <c r="M950" s="123">
        <v>26</v>
      </c>
      <c r="N950" s="123">
        <v>23</v>
      </c>
      <c r="O950" s="123">
        <v>3</v>
      </c>
      <c r="P950" s="7" t="s">
        <v>162</v>
      </c>
      <c r="Q950" s="124" t="s">
        <v>497</v>
      </c>
      <c r="R950" s="1"/>
    </row>
    <row r="951" spans="1:18" ht="13.5" thickBot="1" x14ac:dyDescent="0.25">
      <c r="A951" s="123">
        <v>40</v>
      </c>
      <c r="B951" s="123">
        <v>37</v>
      </c>
      <c r="C951" s="123">
        <v>3</v>
      </c>
      <c r="D951" s="123">
        <v>0</v>
      </c>
      <c r="E951" s="123">
        <v>0</v>
      </c>
      <c r="F951" s="123">
        <v>0</v>
      </c>
      <c r="G951" s="123">
        <v>4</v>
      </c>
      <c r="H951" s="123">
        <v>4</v>
      </c>
      <c r="I951" s="123">
        <v>0</v>
      </c>
      <c r="J951" s="123">
        <v>10</v>
      </c>
      <c r="K951" s="123">
        <v>10</v>
      </c>
      <c r="L951" s="123">
        <v>0</v>
      </c>
      <c r="M951" s="123">
        <v>26</v>
      </c>
      <c r="N951" s="123">
        <v>23</v>
      </c>
      <c r="O951" s="123">
        <v>3</v>
      </c>
      <c r="P951" s="7" t="s">
        <v>13</v>
      </c>
      <c r="Q951" s="9"/>
      <c r="R951" s="1"/>
    </row>
    <row r="952" spans="1:18" ht="13.5" thickBot="1" x14ac:dyDescent="0.25">
      <c r="A952" s="123">
        <v>12</v>
      </c>
      <c r="B952" s="123">
        <v>12</v>
      </c>
      <c r="C952" s="123">
        <v>0</v>
      </c>
      <c r="D952" s="123">
        <v>0</v>
      </c>
      <c r="E952" s="123">
        <v>0</v>
      </c>
      <c r="F952" s="123">
        <v>0</v>
      </c>
      <c r="G952" s="123">
        <v>9</v>
      </c>
      <c r="H952" s="123">
        <v>9</v>
      </c>
      <c r="I952" s="123">
        <v>0</v>
      </c>
      <c r="J952" s="123">
        <v>3</v>
      </c>
      <c r="K952" s="123">
        <v>3</v>
      </c>
      <c r="L952" s="123">
        <v>0</v>
      </c>
      <c r="M952" s="123">
        <v>0</v>
      </c>
      <c r="N952" s="123">
        <v>0</v>
      </c>
      <c r="O952" s="123">
        <v>0</v>
      </c>
      <c r="P952" s="7" t="s">
        <v>163</v>
      </c>
      <c r="Q952" s="124"/>
      <c r="R952" s="1"/>
    </row>
    <row r="953" spans="1:18" ht="13.5" thickBot="1" x14ac:dyDescent="0.25">
      <c r="A953" s="123">
        <v>36</v>
      </c>
      <c r="B953" s="123">
        <v>26</v>
      </c>
      <c r="C953" s="123">
        <v>10</v>
      </c>
      <c r="D953" s="123">
        <v>0</v>
      </c>
      <c r="E953" s="123">
        <v>0</v>
      </c>
      <c r="F953" s="123">
        <v>0</v>
      </c>
      <c r="G953" s="123">
        <v>0</v>
      </c>
      <c r="H953" s="123">
        <v>0</v>
      </c>
      <c r="I953" s="123">
        <v>0</v>
      </c>
      <c r="J953" s="123">
        <v>11</v>
      </c>
      <c r="K953" s="123">
        <v>11</v>
      </c>
      <c r="L953" s="123">
        <v>0</v>
      </c>
      <c r="M953" s="123">
        <v>25</v>
      </c>
      <c r="N953" s="123">
        <v>15</v>
      </c>
      <c r="O953" s="123">
        <v>10</v>
      </c>
      <c r="P953" s="7" t="s">
        <v>162</v>
      </c>
      <c r="Q953" s="124" t="s">
        <v>498</v>
      </c>
      <c r="R953" s="1"/>
    </row>
    <row r="954" spans="1:18" ht="13.5" thickBot="1" x14ac:dyDescent="0.25">
      <c r="A954" s="123">
        <v>48</v>
      </c>
      <c r="B954" s="123">
        <v>38</v>
      </c>
      <c r="C954" s="123">
        <v>10</v>
      </c>
      <c r="D954" s="123">
        <v>0</v>
      </c>
      <c r="E954" s="123">
        <v>0</v>
      </c>
      <c r="F954" s="123">
        <v>0</v>
      </c>
      <c r="G954" s="123">
        <v>9</v>
      </c>
      <c r="H954" s="123">
        <v>9</v>
      </c>
      <c r="I954" s="123">
        <v>0</v>
      </c>
      <c r="J954" s="123">
        <v>14</v>
      </c>
      <c r="K954" s="123">
        <v>14</v>
      </c>
      <c r="L954" s="123">
        <v>0</v>
      </c>
      <c r="M954" s="123">
        <v>25</v>
      </c>
      <c r="N954" s="123">
        <v>15</v>
      </c>
      <c r="O954" s="123">
        <v>10</v>
      </c>
      <c r="P954" s="7" t="s">
        <v>13</v>
      </c>
      <c r="Q954" s="9"/>
      <c r="R954" s="1"/>
    </row>
    <row r="955" spans="1:18" ht="13.5" thickBot="1" x14ac:dyDescent="0.25">
      <c r="A955" s="123">
        <v>102</v>
      </c>
      <c r="B955" s="123">
        <v>40</v>
      </c>
      <c r="C955" s="123">
        <v>62</v>
      </c>
      <c r="D955" s="123">
        <v>4</v>
      </c>
      <c r="E955" s="123">
        <v>2</v>
      </c>
      <c r="F955" s="123">
        <v>2</v>
      </c>
      <c r="G955" s="123">
        <v>66</v>
      </c>
      <c r="H955" s="123">
        <v>31</v>
      </c>
      <c r="I955" s="123">
        <v>35</v>
      </c>
      <c r="J955" s="123">
        <v>21</v>
      </c>
      <c r="K955" s="123">
        <v>7</v>
      </c>
      <c r="L955" s="123">
        <v>14</v>
      </c>
      <c r="M955" s="123">
        <v>11</v>
      </c>
      <c r="N955" s="123">
        <v>0</v>
      </c>
      <c r="O955" s="123">
        <v>11</v>
      </c>
      <c r="P955" s="7" t="s">
        <v>163</v>
      </c>
      <c r="Q955" s="3"/>
      <c r="R955" s="1"/>
    </row>
    <row r="956" spans="1:18" ht="13.5" thickBot="1" x14ac:dyDescent="0.25">
      <c r="A956" s="123">
        <v>310</v>
      </c>
      <c r="B956" s="123">
        <v>119</v>
      </c>
      <c r="C956" s="123">
        <v>191</v>
      </c>
      <c r="D956" s="123">
        <v>17</v>
      </c>
      <c r="E956" s="123">
        <v>0</v>
      </c>
      <c r="F956" s="123">
        <v>17</v>
      </c>
      <c r="G956" s="123">
        <v>9</v>
      </c>
      <c r="H956" s="123">
        <v>0</v>
      </c>
      <c r="I956" s="123">
        <v>9</v>
      </c>
      <c r="J956" s="123">
        <v>79</v>
      </c>
      <c r="K956" s="123">
        <v>56</v>
      </c>
      <c r="L956" s="123">
        <v>23</v>
      </c>
      <c r="M956" s="123">
        <v>205</v>
      </c>
      <c r="N956" s="123">
        <v>63</v>
      </c>
      <c r="O956" s="123">
        <v>142</v>
      </c>
      <c r="P956" s="7" t="s">
        <v>162</v>
      </c>
      <c r="Q956" s="11" t="s">
        <v>211</v>
      </c>
      <c r="R956" s="1"/>
    </row>
    <row r="957" spans="1:18" ht="13.5" thickBot="1" x14ac:dyDescent="0.25">
      <c r="A957" s="123">
        <v>412</v>
      </c>
      <c r="B957" s="123">
        <v>159</v>
      </c>
      <c r="C957" s="123">
        <v>253</v>
      </c>
      <c r="D957" s="123">
        <v>21</v>
      </c>
      <c r="E957" s="123">
        <v>2</v>
      </c>
      <c r="F957" s="123">
        <v>19</v>
      </c>
      <c r="G957" s="123">
        <v>75</v>
      </c>
      <c r="H957" s="123">
        <v>31</v>
      </c>
      <c r="I957" s="123">
        <v>44</v>
      </c>
      <c r="J957" s="123">
        <v>100</v>
      </c>
      <c r="K957" s="123">
        <v>63</v>
      </c>
      <c r="L957" s="123">
        <v>37</v>
      </c>
      <c r="M957" s="123">
        <v>216</v>
      </c>
      <c r="N957" s="123">
        <v>63</v>
      </c>
      <c r="O957" s="123">
        <v>153</v>
      </c>
      <c r="P957" s="7" t="s">
        <v>13</v>
      </c>
      <c r="Q957" s="5"/>
      <c r="R957" s="1"/>
    </row>
    <row r="958" spans="1:18" ht="18" customHeight="1" x14ac:dyDescent="0.2">
      <c r="A958" s="207"/>
      <c r="B958" s="207"/>
      <c r="C958" s="207"/>
      <c r="D958" s="207"/>
      <c r="E958" s="207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1"/>
    </row>
    <row r="959" spans="1:18" ht="18" customHeight="1" x14ac:dyDescent="0.2">
      <c r="A959" s="159" t="s">
        <v>643</v>
      </c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"/>
    </row>
    <row r="960" spans="1:18" ht="18" customHeight="1" thickBot="1" x14ac:dyDescent="0.25">
      <c r="A960" s="160" t="s">
        <v>644</v>
      </c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"/>
    </row>
    <row r="961" spans="1:18" ht="13.5" thickBot="1" x14ac:dyDescent="0.25">
      <c r="A961" s="204" t="s">
        <v>5</v>
      </c>
      <c r="B961" s="204"/>
      <c r="C961" s="204"/>
      <c r="D961" s="204" t="s">
        <v>57</v>
      </c>
      <c r="E961" s="204"/>
      <c r="F961" s="204"/>
      <c r="G961" s="204" t="s">
        <v>65</v>
      </c>
      <c r="H961" s="204"/>
      <c r="I961" s="204"/>
      <c r="J961" s="204" t="s">
        <v>62</v>
      </c>
      <c r="K961" s="204"/>
      <c r="L961" s="204"/>
      <c r="M961" s="204" t="s">
        <v>61</v>
      </c>
      <c r="N961" s="204"/>
      <c r="O961" s="204"/>
      <c r="P961" s="205" t="s">
        <v>645</v>
      </c>
      <c r="Q961" s="47" t="s">
        <v>161</v>
      </c>
      <c r="R961" s="1"/>
    </row>
    <row r="962" spans="1:18" ht="13.5" thickBot="1" x14ac:dyDescent="0.25">
      <c r="A962" s="47" t="s">
        <v>216</v>
      </c>
      <c r="B962" s="47" t="s">
        <v>11</v>
      </c>
      <c r="C962" s="47" t="s">
        <v>10</v>
      </c>
      <c r="D962" s="47" t="s">
        <v>216</v>
      </c>
      <c r="E962" s="47" t="s">
        <v>11</v>
      </c>
      <c r="F962" s="47" t="s">
        <v>10</v>
      </c>
      <c r="G962" s="47" t="s">
        <v>216</v>
      </c>
      <c r="H962" s="47" t="s">
        <v>11</v>
      </c>
      <c r="I962" s="47" t="s">
        <v>10</v>
      </c>
      <c r="J962" s="47" t="s">
        <v>216</v>
      </c>
      <c r="K962" s="47" t="s">
        <v>11</v>
      </c>
      <c r="L962" s="47" t="s">
        <v>10</v>
      </c>
      <c r="M962" s="47" t="s">
        <v>216</v>
      </c>
      <c r="N962" s="47" t="s">
        <v>11</v>
      </c>
      <c r="O962" s="47" t="s">
        <v>10</v>
      </c>
      <c r="P962" s="206"/>
      <c r="Q962" s="5" t="s">
        <v>129</v>
      </c>
      <c r="R962" s="1"/>
    </row>
    <row r="963" spans="1:18" ht="13.5" thickBot="1" x14ac:dyDescent="0.25">
      <c r="A963" s="123">
        <v>10</v>
      </c>
      <c r="B963" s="123">
        <v>8</v>
      </c>
      <c r="C963" s="123">
        <v>2</v>
      </c>
      <c r="D963" s="123">
        <v>2</v>
      </c>
      <c r="E963" s="123">
        <v>0</v>
      </c>
      <c r="F963" s="123">
        <v>2</v>
      </c>
      <c r="G963" s="123">
        <v>7</v>
      </c>
      <c r="H963" s="123">
        <v>7</v>
      </c>
      <c r="I963" s="123">
        <v>0</v>
      </c>
      <c r="J963" s="123">
        <v>0</v>
      </c>
      <c r="K963" s="123">
        <v>0</v>
      </c>
      <c r="L963" s="123">
        <v>0</v>
      </c>
      <c r="M963" s="123">
        <v>1</v>
      </c>
      <c r="N963" s="123">
        <v>1</v>
      </c>
      <c r="O963" s="123">
        <v>0</v>
      </c>
      <c r="P963" s="7" t="s">
        <v>163</v>
      </c>
      <c r="Q963" s="124"/>
      <c r="R963" s="1"/>
    </row>
    <row r="964" spans="1:18" ht="13.5" thickBot="1" x14ac:dyDescent="0.25">
      <c r="A964" s="123">
        <v>38</v>
      </c>
      <c r="B964" s="123">
        <v>31</v>
      </c>
      <c r="C964" s="123">
        <v>7</v>
      </c>
      <c r="D964" s="123">
        <v>0</v>
      </c>
      <c r="E964" s="123">
        <v>0</v>
      </c>
      <c r="F964" s="123">
        <v>0</v>
      </c>
      <c r="G964" s="123">
        <v>0</v>
      </c>
      <c r="H964" s="123">
        <v>0</v>
      </c>
      <c r="I964" s="123">
        <v>0</v>
      </c>
      <c r="J964" s="123">
        <v>17</v>
      </c>
      <c r="K964" s="123">
        <v>17</v>
      </c>
      <c r="L964" s="123">
        <v>0</v>
      </c>
      <c r="M964" s="123">
        <v>21</v>
      </c>
      <c r="N964" s="123">
        <v>14</v>
      </c>
      <c r="O964" s="123">
        <v>7</v>
      </c>
      <c r="P964" s="7" t="s">
        <v>162</v>
      </c>
      <c r="Q964" s="124" t="s">
        <v>499</v>
      </c>
      <c r="R964" s="1"/>
    </row>
    <row r="965" spans="1:18" ht="13.5" thickBot="1" x14ac:dyDescent="0.25">
      <c r="A965" s="123">
        <v>48</v>
      </c>
      <c r="B965" s="123">
        <v>39</v>
      </c>
      <c r="C965" s="123">
        <v>9</v>
      </c>
      <c r="D965" s="123">
        <v>2</v>
      </c>
      <c r="E965" s="123">
        <v>0</v>
      </c>
      <c r="F965" s="123">
        <v>2</v>
      </c>
      <c r="G965" s="123">
        <v>7</v>
      </c>
      <c r="H965" s="123">
        <v>7</v>
      </c>
      <c r="I965" s="123">
        <v>0</v>
      </c>
      <c r="J965" s="123">
        <v>17</v>
      </c>
      <c r="K965" s="123">
        <v>17</v>
      </c>
      <c r="L965" s="123">
        <v>0</v>
      </c>
      <c r="M965" s="123">
        <v>22</v>
      </c>
      <c r="N965" s="123">
        <v>15</v>
      </c>
      <c r="O965" s="123">
        <v>7</v>
      </c>
      <c r="P965" s="7" t="s">
        <v>13</v>
      </c>
      <c r="Q965" s="9"/>
      <c r="R965" s="1"/>
    </row>
    <row r="966" spans="1:18" ht="13.5" thickBot="1" x14ac:dyDescent="0.25">
      <c r="A966" s="123">
        <v>27</v>
      </c>
      <c r="B966" s="123">
        <v>27</v>
      </c>
      <c r="C966" s="123">
        <v>0</v>
      </c>
      <c r="D966" s="123">
        <v>0</v>
      </c>
      <c r="E966" s="123">
        <v>0</v>
      </c>
      <c r="F966" s="123">
        <v>0</v>
      </c>
      <c r="G966" s="123">
        <v>27</v>
      </c>
      <c r="H966" s="123">
        <v>27</v>
      </c>
      <c r="I966" s="123">
        <v>0</v>
      </c>
      <c r="J966" s="123">
        <v>0</v>
      </c>
      <c r="K966" s="123">
        <v>0</v>
      </c>
      <c r="L966" s="123">
        <v>0</v>
      </c>
      <c r="M966" s="123">
        <v>0</v>
      </c>
      <c r="N966" s="123">
        <v>0</v>
      </c>
      <c r="O966" s="123">
        <v>0</v>
      </c>
      <c r="P966" s="7" t="s">
        <v>163</v>
      </c>
      <c r="Q966" s="124"/>
      <c r="R966" s="1"/>
    </row>
    <row r="967" spans="1:18" ht="13.5" thickBot="1" x14ac:dyDescent="0.25">
      <c r="A967" s="123">
        <v>28</v>
      </c>
      <c r="B967" s="123">
        <v>18</v>
      </c>
      <c r="C967" s="123">
        <v>10</v>
      </c>
      <c r="D967" s="123">
        <v>0</v>
      </c>
      <c r="E967" s="123">
        <v>0</v>
      </c>
      <c r="F967" s="123">
        <v>0</v>
      </c>
      <c r="G967" s="123">
        <v>0</v>
      </c>
      <c r="H967" s="123">
        <v>0</v>
      </c>
      <c r="I967" s="123">
        <v>0</v>
      </c>
      <c r="J967" s="123">
        <v>21</v>
      </c>
      <c r="K967" s="123">
        <v>16</v>
      </c>
      <c r="L967" s="123">
        <v>5</v>
      </c>
      <c r="M967" s="123">
        <v>7</v>
      </c>
      <c r="N967" s="123">
        <v>2</v>
      </c>
      <c r="O967" s="123">
        <v>5</v>
      </c>
      <c r="P967" s="7" t="s">
        <v>162</v>
      </c>
      <c r="Q967" s="124" t="s">
        <v>500</v>
      </c>
      <c r="R967" s="1"/>
    </row>
    <row r="968" spans="1:18" ht="13.5" thickBot="1" x14ac:dyDescent="0.25">
      <c r="A968" s="123">
        <v>55</v>
      </c>
      <c r="B968" s="123">
        <v>45</v>
      </c>
      <c r="C968" s="123">
        <v>10</v>
      </c>
      <c r="D968" s="123">
        <v>0</v>
      </c>
      <c r="E968" s="123">
        <v>0</v>
      </c>
      <c r="F968" s="123">
        <v>0</v>
      </c>
      <c r="G968" s="123">
        <v>27</v>
      </c>
      <c r="H968" s="123">
        <v>27</v>
      </c>
      <c r="I968" s="123">
        <v>0</v>
      </c>
      <c r="J968" s="123">
        <v>21</v>
      </c>
      <c r="K968" s="123">
        <v>16</v>
      </c>
      <c r="L968" s="123">
        <v>5</v>
      </c>
      <c r="M968" s="123">
        <v>7</v>
      </c>
      <c r="N968" s="123">
        <v>2</v>
      </c>
      <c r="O968" s="123">
        <v>5</v>
      </c>
      <c r="P968" s="7" t="s">
        <v>13</v>
      </c>
      <c r="Q968" s="9"/>
      <c r="R968" s="1"/>
    </row>
    <row r="969" spans="1:18" ht="13.5" thickBot="1" x14ac:dyDescent="0.25">
      <c r="A969" s="123">
        <v>7</v>
      </c>
      <c r="B969" s="123">
        <v>7</v>
      </c>
      <c r="C969" s="123">
        <v>0</v>
      </c>
      <c r="D969" s="123">
        <v>2</v>
      </c>
      <c r="E969" s="123">
        <v>2</v>
      </c>
      <c r="F969" s="123">
        <v>0</v>
      </c>
      <c r="G969" s="123">
        <v>4</v>
      </c>
      <c r="H969" s="123">
        <v>4</v>
      </c>
      <c r="I969" s="123">
        <v>0</v>
      </c>
      <c r="J969" s="123">
        <v>1</v>
      </c>
      <c r="K969" s="123">
        <v>1</v>
      </c>
      <c r="L969" s="123">
        <v>0</v>
      </c>
      <c r="M969" s="123">
        <v>0</v>
      </c>
      <c r="N969" s="123">
        <v>0</v>
      </c>
      <c r="O969" s="123">
        <v>0</v>
      </c>
      <c r="P969" s="7" t="s">
        <v>163</v>
      </c>
      <c r="Q969" s="124"/>
      <c r="R969" s="1"/>
    </row>
    <row r="970" spans="1:18" ht="13.5" thickBot="1" x14ac:dyDescent="0.25">
      <c r="A970" s="123">
        <v>19</v>
      </c>
      <c r="B970" s="123">
        <v>18</v>
      </c>
      <c r="C970" s="123">
        <v>1</v>
      </c>
      <c r="D970" s="123">
        <v>0</v>
      </c>
      <c r="E970" s="123">
        <v>0</v>
      </c>
      <c r="F970" s="123">
        <v>0</v>
      </c>
      <c r="G970" s="123">
        <v>14</v>
      </c>
      <c r="H970" s="123">
        <v>14</v>
      </c>
      <c r="I970" s="123">
        <v>0</v>
      </c>
      <c r="J970" s="123">
        <v>5</v>
      </c>
      <c r="K970" s="123">
        <v>4</v>
      </c>
      <c r="L970" s="123">
        <v>1</v>
      </c>
      <c r="M970" s="123">
        <v>0</v>
      </c>
      <c r="N970" s="123">
        <v>0</v>
      </c>
      <c r="O970" s="123">
        <v>0</v>
      </c>
      <c r="P970" s="7" t="s">
        <v>162</v>
      </c>
      <c r="Q970" s="124" t="s">
        <v>128</v>
      </c>
      <c r="R970" s="1"/>
    </row>
    <row r="971" spans="1:18" ht="13.5" thickBot="1" x14ac:dyDescent="0.25">
      <c r="A971" s="123">
        <v>26</v>
      </c>
      <c r="B971" s="123">
        <v>25</v>
      </c>
      <c r="C971" s="123">
        <v>1</v>
      </c>
      <c r="D971" s="123">
        <v>2</v>
      </c>
      <c r="E971" s="123">
        <v>2</v>
      </c>
      <c r="F971" s="123">
        <v>0</v>
      </c>
      <c r="G971" s="123">
        <v>18</v>
      </c>
      <c r="H971" s="123">
        <v>18</v>
      </c>
      <c r="I971" s="123">
        <v>0</v>
      </c>
      <c r="J971" s="123">
        <v>6</v>
      </c>
      <c r="K971" s="123">
        <v>5</v>
      </c>
      <c r="L971" s="123">
        <v>1</v>
      </c>
      <c r="M971" s="123">
        <v>0</v>
      </c>
      <c r="N971" s="123">
        <v>0</v>
      </c>
      <c r="O971" s="123">
        <v>0</v>
      </c>
      <c r="P971" s="7" t="s">
        <v>13</v>
      </c>
      <c r="Q971" s="9"/>
      <c r="R971" s="1"/>
    </row>
    <row r="972" spans="1:18" ht="13.5" thickBot="1" x14ac:dyDescent="0.25">
      <c r="A972" s="123">
        <v>8</v>
      </c>
      <c r="B972" s="123">
        <v>0</v>
      </c>
      <c r="C972" s="123">
        <v>8</v>
      </c>
      <c r="D972" s="123">
        <v>0</v>
      </c>
      <c r="E972" s="123">
        <v>0</v>
      </c>
      <c r="F972" s="123">
        <v>0</v>
      </c>
      <c r="G972" s="123">
        <v>4</v>
      </c>
      <c r="H972" s="123">
        <v>0</v>
      </c>
      <c r="I972" s="123">
        <v>4</v>
      </c>
      <c r="J972" s="123">
        <v>1</v>
      </c>
      <c r="K972" s="123">
        <v>0</v>
      </c>
      <c r="L972" s="123">
        <v>1</v>
      </c>
      <c r="M972" s="123">
        <v>3</v>
      </c>
      <c r="N972" s="123">
        <v>0</v>
      </c>
      <c r="O972" s="123">
        <v>3</v>
      </c>
      <c r="P972" s="7" t="s">
        <v>163</v>
      </c>
      <c r="Q972" s="124"/>
      <c r="R972" s="1"/>
    </row>
    <row r="973" spans="1:18" ht="13.5" thickBot="1" x14ac:dyDescent="0.25">
      <c r="A973" s="123">
        <v>22</v>
      </c>
      <c r="B973" s="123">
        <v>0</v>
      </c>
      <c r="C973" s="123">
        <v>22</v>
      </c>
      <c r="D973" s="123">
        <v>1</v>
      </c>
      <c r="E973" s="123">
        <v>0</v>
      </c>
      <c r="F973" s="123">
        <v>1</v>
      </c>
      <c r="G973" s="123">
        <v>0</v>
      </c>
      <c r="H973" s="123">
        <v>0</v>
      </c>
      <c r="I973" s="123">
        <v>0</v>
      </c>
      <c r="J973" s="123">
        <v>9</v>
      </c>
      <c r="K973" s="123">
        <v>0</v>
      </c>
      <c r="L973" s="123">
        <v>9</v>
      </c>
      <c r="M973" s="123">
        <v>12</v>
      </c>
      <c r="N973" s="123">
        <v>0</v>
      </c>
      <c r="O973" s="123">
        <v>12</v>
      </c>
      <c r="P973" s="7" t="s">
        <v>162</v>
      </c>
      <c r="Q973" s="124" t="s">
        <v>277</v>
      </c>
      <c r="R973" s="1"/>
    </row>
    <row r="974" spans="1:18" ht="13.5" thickBot="1" x14ac:dyDescent="0.25">
      <c r="A974" s="123">
        <v>30</v>
      </c>
      <c r="B974" s="123">
        <v>0</v>
      </c>
      <c r="C974" s="123">
        <v>30</v>
      </c>
      <c r="D974" s="123">
        <v>1</v>
      </c>
      <c r="E974" s="123">
        <v>0</v>
      </c>
      <c r="F974" s="123">
        <v>1</v>
      </c>
      <c r="G974" s="123">
        <v>4</v>
      </c>
      <c r="H974" s="123">
        <v>0</v>
      </c>
      <c r="I974" s="123">
        <v>4</v>
      </c>
      <c r="J974" s="123">
        <v>10</v>
      </c>
      <c r="K974" s="123">
        <v>0</v>
      </c>
      <c r="L974" s="123">
        <v>10</v>
      </c>
      <c r="M974" s="123">
        <v>15</v>
      </c>
      <c r="N974" s="123">
        <v>0</v>
      </c>
      <c r="O974" s="123">
        <v>15</v>
      </c>
      <c r="P974" s="7" t="s">
        <v>13</v>
      </c>
      <c r="Q974" s="9"/>
      <c r="R974" s="1"/>
    </row>
    <row r="975" spans="1:18" ht="13.5" thickBot="1" x14ac:dyDescent="0.25">
      <c r="A975" s="123">
        <v>52</v>
      </c>
      <c r="B975" s="123">
        <v>42</v>
      </c>
      <c r="C975" s="123">
        <v>10</v>
      </c>
      <c r="D975" s="123">
        <v>4</v>
      </c>
      <c r="E975" s="123">
        <v>2</v>
      </c>
      <c r="F975" s="123">
        <v>2</v>
      </c>
      <c r="G975" s="123">
        <v>42</v>
      </c>
      <c r="H975" s="123">
        <v>38</v>
      </c>
      <c r="I975" s="123">
        <v>4</v>
      </c>
      <c r="J975" s="123">
        <v>2</v>
      </c>
      <c r="K975" s="123">
        <v>1</v>
      </c>
      <c r="L975" s="123">
        <v>1</v>
      </c>
      <c r="M975" s="123">
        <v>4</v>
      </c>
      <c r="N975" s="123">
        <v>1</v>
      </c>
      <c r="O975" s="123">
        <v>3</v>
      </c>
      <c r="P975" s="7" t="s">
        <v>163</v>
      </c>
      <c r="Q975" s="3"/>
      <c r="R975" s="1"/>
    </row>
    <row r="976" spans="1:18" ht="13.5" thickBot="1" x14ac:dyDescent="0.25">
      <c r="A976" s="123">
        <v>107</v>
      </c>
      <c r="B976" s="123">
        <v>67</v>
      </c>
      <c r="C976" s="123">
        <v>40</v>
      </c>
      <c r="D976" s="123">
        <v>1</v>
      </c>
      <c r="E976" s="123">
        <v>0</v>
      </c>
      <c r="F976" s="123">
        <v>1</v>
      </c>
      <c r="G976" s="123">
        <v>14</v>
      </c>
      <c r="H976" s="123">
        <v>14</v>
      </c>
      <c r="I976" s="123">
        <v>0</v>
      </c>
      <c r="J976" s="123">
        <v>52</v>
      </c>
      <c r="K976" s="123">
        <v>37</v>
      </c>
      <c r="L976" s="123">
        <v>15</v>
      </c>
      <c r="M976" s="123">
        <v>40</v>
      </c>
      <c r="N976" s="123">
        <v>16</v>
      </c>
      <c r="O976" s="123">
        <v>24</v>
      </c>
      <c r="P976" s="7" t="s">
        <v>162</v>
      </c>
      <c r="Q976" s="11" t="s">
        <v>211</v>
      </c>
      <c r="R976" s="1"/>
    </row>
    <row r="977" spans="1:18" ht="13.5" thickBot="1" x14ac:dyDescent="0.25">
      <c r="A977" s="123">
        <v>159</v>
      </c>
      <c r="B977" s="123">
        <v>109</v>
      </c>
      <c r="C977" s="123">
        <v>50</v>
      </c>
      <c r="D977" s="123">
        <v>5</v>
      </c>
      <c r="E977" s="123">
        <v>2</v>
      </c>
      <c r="F977" s="123">
        <v>3</v>
      </c>
      <c r="G977" s="123">
        <v>56</v>
      </c>
      <c r="H977" s="123">
        <v>52</v>
      </c>
      <c r="I977" s="123">
        <v>4</v>
      </c>
      <c r="J977" s="123">
        <v>54</v>
      </c>
      <c r="K977" s="123">
        <v>38</v>
      </c>
      <c r="L977" s="123">
        <v>16</v>
      </c>
      <c r="M977" s="123">
        <v>44</v>
      </c>
      <c r="N977" s="123">
        <v>17</v>
      </c>
      <c r="O977" s="123">
        <v>27</v>
      </c>
      <c r="P977" s="7" t="s">
        <v>13</v>
      </c>
      <c r="Q977" s="5"/>
      <c r="R977" s="1"/>
    </row>
    <row r="978" spans="1:18" ht="18" customHeight="1" x14ac:dyDescent="0.2">
      <c r="A978" s="207"/>
      <c r="B978" s="207"/>
      <c r="C978" s="207"/>
      <c r="D978" s="207"/>
      <c r="E978" s="207"/>
      <c r="F978" s="207"/>
      <c r="G978" s="207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1"/>
    </row>
    <row r="979" spans="1:18" ht="18" customHeight="1" x14ac:dyDescent="0.2">
      <c r="A979" s="159" t="s">
        <v>643</v>
      </c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"/>
    </row>
    <row r="980" spans="1:18" ht="18" customHeight="1" thickBot="1" x14ac:dyDescent="0.25">
      <c r="A980" s="160" t="s">
        <v>644</v>
      </c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"/>
    </row>
    <row r="981" spans="1:18" ht="13.5" thickBot="1" x14ac:dyDescent="0.25">
      <c r="A981" s="204" t="s">
        <v>5</v>
      </c>
      <c r="B981" s="204"/>
      <c r="C981" s="204"/>
      <c r="D981" s="204" t="s">
        <v>57</v>
      </c>
      <c r="E981" s="204"/>
      <c r="F981" s="204"/>
      <c r="G981" s="204" t="s">
        <v>65</v>
      </c>
      <c r="H981" s="204"/>
      <c r="I981" s="204"/>
      <c r="J981" s="204" t="s">
        <v>62</v>
      </c>
      <c r="K981" s="204"/>
      <c r="L981" s="204"/>
      <c r="M981" s="204" t="s">
        <v>61</v>
      </c>
      <c r="N981" s="204"/>
      <c r="O981" s="204"/>
      <c r="P981" s="205" t="s">
        <v>645</v>
      </c>
      <c r="Q981" s="47" t="s">
        <v>161</v>
      </c>
      <c r="R981" s="1"/>
    </row>
    <row r="982" spans="1:18" ht="13.5" thickBot="1" x14ac:dyDescent="0.25">
      <c r="A982" s="47" t="s">
        <v>216</v>
      </c>
      <c r="B982" s="47" t="s">
        <v>11</v>
      </c>
      <c r="C982" s="47" t="s">
        <v>10</v>
      </c>
      <c r="D982" s="47" t="s">
        <v>216</v>
      </c>
      <c r="E982" s="47" t="s">
        <v>11</v>
      </c>
      <c r="F982" s="47" t="s">
        <v>10</v>
      </c>
      <c r="G982" s="47" t="s">
        <v>216</v>
      </c>
      <c r="H982" s="47" t="s">
        <v>11</v>
      </c>
      <c r="I982" s="47" t="s">
        <v>10</v>
      </c>
      <c r="J982" s="47" t="s">
        <v>216</v>
      </c>
      <c r="K982" s="47" t="s">
        <v>11</v>
      </c>
      <c r="L982" s="47" t="s">
        <v>10</v>
      </c>
      <c r="M982" s="47" t="s">
        <v>216</v>
      </c>
      <c r="N982" s="47" t="s">
        <v>11</v>
      </c>
      <c r="O982" s="47" t="s">
        <v>10</v>
      </c>
      <c r="P982" s="206"/>
      <c r="Q982" s="5" t="s">
        <v>131</v>
      </c>
      <c r="R982" s="1"/>
    </row>
    <row r="983" spans="1:18" ht="13.5" thickBot="1" x14ac:dyDescent="0.25">
      <c r="A983" s="123">
        <v>178</v>
      </c>
      <c r="B983" s="123">
        <v>178</v>
      </c>
      <c r="C983" s="123">
        <v>0</v>
      </c>
      <c r="D983" s="123">
        <v>0</v>
      </c>
      <c r="E983" s="123">
        <v>0</v>
      </c>
      <c r="F983" s="123">
        <v>0</v>
      </c>
      <c r="G983" s="123">
        <v>19</v>
      </c>
      <c r="H983" s="123">
        <v>19</v>
      </c>
      <c r="I983" s="123">
        <v>0</v>
      </c>
      <c r="J983" s="123">
        <v>70</v>
      </c>
      <c r="K983" s="123">
        <v>70</v>
      </c>
      <c r="L983" s="123">
        <v>0</v>
      </c>
      <c r="M983" s="123">
        <v>89</v>
      </c>
      <c r="N983" s="123">
        <v>89</v>
      </c>
      <c r="O983" s="123">
        <v>0</v>
      </c>
      <c r="P983" s="7" t="s">
        <v>163</v>
      </c>
      <c r="Q983" s="124"/>
      <c r="R983" s="1"/>
    </row>
    <row r="984" spans="1:18" ht="13.5" thickBot="1" x14ac:dyDescent="0.25">
      <c r="A984" s="123">
        <v>18</v>
      </c>
      <c r="B984" s="123">
        <v>6</v>
      </c>
      <c r="C984" s="123">
        <v>12</v>
      </c>
      <c r="D984" s="123">
        <v>0</v>
      </c>
      <c r="E984" s="123">
        <v>0</v>
      </c>
      <c r="F984" s="123">
        <v>0</v>
      </c>
      <c r="G984" s="123">
        <v>0</v>
      </c>
      <c r="H984" s="123">
        <v>0</v>
      </c>
      <c r="I984" s="123">
        <v>0</v>
      </c>
      <c r="J984" s="123">
        <v>0</v>
      </c>
      <c r="K984" s="123">
        <v>0</v>
      </c>
      <c r="L984" s="123">
        <v>0</v>
      </c>
      <c r="M984" s="123">
        <v>18</v>
      </c>
      <c r="N984" s="123">
        <v>6</v>
      </c>
      <c r="O984" s="123">
        <v>12</v>
      </c>
      <c r="P984" s="7" t="s">
        <v>162</v>
      </c>
      <c r="Q984" s="124" t="s">
        <v>502</v>
      </c>
      <c r="R984" s="1"/>
    </row>
    <row r="985" spans="1:18" ht="13.5" thickBot="1" x14ac:dyDescent="0.25">
      <c r="A985" s="123">
        <v>196</v>
      </c>
      <c r="B985" s="123">
        <v>184</v>
      </c>
      <c r="C985" s="123">
        <v>12</v>
      </c>
      <c r="D985" s="123">
        <v>0</v>
      </c>
      <c r="E985" s="123">
        <v>0</v>
      </c>
      <c r="F985" s="123">
        <v>0</v>
      </c>
      <c r="G985" s="123">
        <v>19</v>
      </c>
      <c r="H985" s="123">
        <v>19</v>
      </c>
      <c r="I985" s="123">
        <v>0</v>
      </c>
      <c r="J985" s="123">
        <v>70</v>
      </c>
      <c r="K985" s="123">
        <v>70</v>
      </c>
      <c r="L985" s="123">
        <v>0</v>
      </c>
      <c r="M985" s="123">
        <v>107</v>
      </c>
      <c r="N985" s="123">
        <v>95</v>
      </c>
      <c r="O985" s="123">
        <v>12</v>
      </c>
      <c r="P985" s="7" t="s">
        <v>13</v>
      </c>
      <c r="Q985" s="9"/>
      <c r="R985" s="1"/>
    </row>
    <row r="986" spans="1:18" ht="13.5" thickBot="1" x14ac:dyDescent="0.25">
      <c r="A986" s="123">
        <v>259</v>
      </c>
      <c r="B986" s="123">
        <v>259</v>
      </c>
      <c r="C986" s="123">
        <v>0</v>
      </c>
      <c r="D986" s="123">
        <v>0</v>
      </c>
      <c r="E986" s="123">
        <v>0</v>
      </c>
      <c r="F986" s="123">
        <v>0</v>
      </c>
      <c r="G986" s="123">
        <v>23</v>
      </c>
      <c r="H986" s="123">
        <v>23</v>
      </c>
      <c r="I986" s="123">
        <v>0</v>
      </c>
      <c r="J986" s="123">
        <v>95</v>
      </c>
      <c r="K986" s="123">
        <v>95</v>
      </c>
      <c r="L986" s="123">
        <v>0</v>
      </c>
      <c r="M986" s="123">
        <v>141</v>
      </c>
      <c r="N986" s="123">
        <v>141</v>
      </c>
      <c r="O986" s="123">
        <v>0</v>
      </c>
      <c r="P986" s="7" t="s">
        <v>163</v>
      </c>
      <c r="Q986" s="124"/>
      <c r="R986" s="1"/>
    </row>
    <row r="987" spans="1:18" ht="13.5" thickBot="1" x14ac:dyDescent="0.25">
      <c r="A987" s="123">
        <v>13</v>
      </c>
      <c r="B987" s="123">
        <v>4</v>
      </c>
      <c r="C987" s="123">
        <v>9</v>
      </c>
      <c r="D987" s="123">
        <v>0</v>
      </c>
      <c r="E987" s="123">
        <v>0</v>
      </c>
      <c r="F987" s="123">
        <v>0</v>
      </c>
      <c r="G987" s="123">
        <v>0</v>
      </c>
      <c r="H987" s="123">
        <v>0</v>
      </c>
      <c r="I987" s="123">
        <v>0</v>
      </c>
      <c r="J987" s="123">
        <v>1</v>
      </c>
      <c r="K987" s="123">
        <v>1</v>
      </c>
      <c r="L987" s="123">
        <v>0</v>
      </c>
      <c r="M987" s="123">
        <v>12</v>
      </c>
      <c r="N987" s="123">
        <v>3</v>
      </c>
      <c r="O987" s="123">
        <v>9</v>
      </c>
      <c r="P987" s="7" t="s">
        <v>162</v>
      </c>
      <c r="Q987" s="124" t="s">
        <v>503</v>
      </c>
      <c r="R987" s="1"/>
    </row>
    <row r="988" spans="1:18" ht="13.5" thickBot="1" x14ac:dyDescent="0.25">
      <c r="A988" s="123">
        <v>272</v>
      </c>
      <c r="B988" s="123">
        <v>263</v>
      </c>
      <c r="C988" s="123">
        <v>9</v>
      </c>
      <c r="D988" s="123">
        <v>0</v>
      </c>
      <c r="E988" s="123">
        <v>0</v>
      </c>
      <c r="F988" s="123">
        <v>0</v>
      </c>
      <c r="G988" s="123">
        <v>23</v>
      </c>
      <c r="H988" s="123">
        <v>23</v>
      </c>
      <c r="I988" s="123">
        <v>0</v>
      </c>
      <c r="J988" s="123">
        <v>96</v>
      </c>
      <c r="K988" s="123">
        <v>96</v>
      </c>
      <c r="L988" s="123">
        <v>0</v>
      </c>
      <c r="M988" s="123">
        <v>153</v>
      </c>
      <c r="N988" s="123">
        <v>144</v>
      </c>
      <c r="O988" s="123">
        <v>9</v>
      </c>
      <c r="P988" s="7" t="s">
        <v>13</v>
      </c>
      <c r="Q988" s="9"/>
      <c r="R988" s="1"/>
    </row>
    <row r="989" spans="1:18" ht="13.5" thickBot="1" x14ac:dyDescent="0.25">
      <c r="A989" s="123">
        <v>101</v>
      </c>
      <c r="B989" s="123">
        <v>101</v>
      </c>
      <c r="C989" s="123">
        <v>0</v>
      </c>
      <c r="D989" s="123">
        <v>0</v>
      </c>
      <c r="E989" s="123">
        <v>0</v>
      </c>
      <c r="F989" s="123">
        <v>0</v>
      </c>
      <c r="G989" s="123">
        <v>37</v>
      </c>
      <c r="H989" s="123">
        <v>37</v>
      </c>
      <c r="I989" s="123">
        <v>0</v>
      </c>
      <c r="J989" s="123">
        <v>36</v>
      </c>
      <c r="K989" s="123">
        <v>36</v>
      </c>
      <c r="L989" s="123">
        <v>0</v>
      </c>
      <c r="M989" s="123">
        <v>28</v>
      </c>
      <c r="N989" s="123">
        <v>28</v>
      </c>
      <c r="O989" s="123">
        <v>0</v>
      </c>
      <c r="P989" s="7" t="s">
        <v>163</v>
      </c>
      <c r="Q989" s="124"/>
      <c r="R989" s="1"/>
    </row>
    <row r="990" spans="1:18" ht="13.5" thickBot="1" x14ac:dyDescent="0.25">
      <c r="A990" s="123">
        <v>13</v>
      </c>
      <c r="B990" s="123">
        <v>12</v>
      </c>
      <c r="C990" s="123">
        <v>1</v>
      </c>
      <c r="D990" s="123">
        <v>0</v>
      </c>
      <c r="E990" s="123">
        <v>0</v>
      </c>
      <c r="F990" s="123">
        <v>0</v>
      </c>
      <c r="G990" s="123">
        <v>0</v>
      </c>
      <c r="H990" s="123">
        <v>0</v>
      </c>
      <c r="I990" s="123">
        <v>0</v>
      </c>
      <c r="J990" s="123">
        <v>0</v>
      </c>
      <c r="K990" s="123">
        <v>0</v>
      </c>
      <c r="L990" s="123">
        <v>0</v>
      </c>
      <c r="M990" s="123">
        <v>13</v>
      </c>
      <c r="N990" s="123">
        <v>12</v>
      </c>
      <c r="O990" s="123">
        <v>1</v>
      </c>
      <c r="P990" s="7" t="s">
        <v>162</v>
      </c>
      <c r="Q990" s="124" t="s">
        <v>504</v>
      </c>
      <c r="R990" s="1"/>
    </row>
    <row r="991" spans="1:18" ht="13.5" thickBot="1" x14ac:dyDescent="0.25">
      <c r="A991" s="123">
        <v>114</v>
      </c>
      <c r="B991" s="123">
        <v>113</v>
      </c>
      <c r="C991" s="123">
        <v>1</v>
      </c>
      <c r="D991" s="123">
        <v>0</v>
      </c>
      <c r="E991" s="123">
        <v>0</v>
      </c>
      <c r="F991" s="123">
        <v>0</v>
      </c>
      <c r="G991" s="123">
        <v>37</v>
      </c>
      <c r="H991" s="123">
        <v>37</v>
      </c>
      <c r="I991" s="123">
        <v>0</v>
      </c>
      <c r="J991" s="123">
        <v>36</v>
      </c>
      <c r="K991" s="123">
        <v>36</v>
      </c>
      <c r="L991" s="123">
        <v>0</v>
      </c>
      <c r="M991" s="123">
        <v>41</v>
      </c>
      <c r="N991" s="123">
        <v>40</v>
      </c>
      <c r="O991" s="123">
        <v>1</v>
      </c>
      <c r="P991" s="7" t="s">
        <v>13</v>
      </c>
      <c r="Q991" s="9"/>
      <c r="R991" s="1"/>
    </row>
    <row r="992" spans="1:18" ht="13.5" thickBot="1" x14ac:dyDescent="0.25">
      <c r="A992" s="123">
        <v>59</v>
      </c>
      <c r="B992" s="123">
        <v>59</v>
      </c>
      <c r="C992" s="123">
        <v>0</v>
      </c>
      <c r="D992" s="123">
        <v>0</v>
      </c>
      <c r="E992" s="123">
        <v>0</v>
      </c>
      <c r="F992" s="123">
        <v>0</v>
      </c>
      <c r="G992" s="123">
        <v>2</v>
      </c>
      <c r="H992" s="123">
        <v>2</v>
      </c>
      <c r="I992" s="123">
        <v>0</v>
      </c>
      <c r="J992" s="123">
        <v>21</v>
      </c>
      <c r="K992" s="123">
        <v>21</v>
      </c>
      <c r="L992" s="123">
        <v>0</v>
      </c>
      <c r="M992" s="123">
        <v>36</v>
      </c>
      <c r="N992" s="123">
        <v>36</v>
      </c>
      <c r="O992" s="123">
        <v>0</v>
      </c>
      <c r="P992" s="7" t="s">
        <v>163</v>
      </c>
      <c r="Q992" s="124"/>
      <c r="R992" s="1"/>
    </row>
    <row r="993" spans="1:18" ht="13.5" thickBot="1" x14ac:dyDescent="0.25">
      <c r="A993" s="123">
        <v>6</v>
      </c>
      <c r="B993" s="123">
        <v>5</v>
      </c>
      <c r="C993" s="123">
        <v>1</v>
      </c>
      <c r="D993" s="123">
        <v>0</v>
      </c>
      <c r="E993" s="123">
        <v>0</v>
      </c>
      <c r="F993" s="123">
        <v>0</v>
      </c>
      <c r="G993" s="123">
        <v>0</v>
      </c>
      <c r="H993" s="123">
        <v>0</v>
      </c>
      <c r="I993" s="123">
        <v>0</v>
      </c>
      <c r="J993" s="123">
        <v>0</v>
      </c>
      <c r="K993" s="123">
        <v>0</v>
      </c>
      <c r="L993" s="123">
        <v>0</v>
      </c>
      <c r="M993" s="123">
        <v>6</v>
      </c>
      <c r="N993" s="123">
        <v>5</v>
      </c>
      <c r="O993" s="123">
        <v>1</v>
      </c>
      <c r="P993" s="7" t="s">
        <v>162</v>
      </c>
      <c r="Q993" s="124" t="s">
        <v>505</v>
      </c>
      <c r="R993" s="1"/>
    </row>
    <row r="994" spans="1:18" ht="13.5" thickBot="1" x14ac:dyDescent="0.25">
      <c r="A994" s="123">
        <v>65</v>
      </c>
      <c r="B994" s="123">
        <v>64</v>
      </c>
      <c r="C994" s="123">
        <v>1</v>
      </c>
      <c r="D994" s="123">
        <v>0</v>
      </c>
      <c r="E994" s="123">
        <v>0</v>
      </c>
      <c r="F994" s="123">
        <v>0</v>
      </c>
      <c r="G994" s="123">
        <v>2</v>
      </c>
      <c r="H994" s="123">
        <v>2</v>
      </c>
      <c r="I994" s="123">
        <v>0</v>
      </c>
      <c r="J994" s="123">
        <v>21</v>
      </c>
      <c r="K994" s="123">
        <v>21</v>
      </c>
      <c r="L994" s="123">
        <v>0</v>
      </c>
      <c r="M994" s="123">
        <v>42</v>
      </c>
      <c r="N994" s="123">
        <v>41</v>
      </c>
      <c r="O994" s="123">
        <v>1</v>
      </c>
      <c r="P994" s="7" t="s">
        <v>13</v>
      </c>
      <c r="Q994" s="9"/>
      <c r="R994" s="1"/>
    </row>
    <row r="995" spans="1:18" ht="13.5" thickBot="1" x14ac:dyDescent="0.25">
      <c r="A995" s="123">
        <v>94</v>
      </c>
      <c r="B995" s="123">
        <v>94</v>
      </c>
      <c r="C995" s="123">
        <v>0</v>
      </c>
      <c r="D995" s="123">
        <v>0</v>
      </c>
      <c r="E995" s="123">
        <v>0</v>
      </c>
      <c r="F995" s="123">
        <v>0</v>
      </c>
      <c r="G995" s="123">
        <v>34</v>
      </c>
      <c r="H995" s="123">
        <v>34</v>
      </c>
      <c r="I995" s="123">
        <v>0</v>
      </c>
      <c r="J995" s="123">
        <v>44</v>
      </c>
      <c r="K995" s="123">
        <v>44</v>
      </c>
      <c r="L995" s="123">
        <v>0</v>
      </c>
      <c r="M995" s="123">
        <v>16</v>
      </c>
      <c r="N995" s="123">
        <v>16</v>
      </c>
      <c r="O995" s="123">
        <v>0</v>
      </c>
      <c r="P995" s="7" t="s">
        <v>163</v>
      </c>
      <c r="Q995" s="124"/>
      <c r="R995" s="1"/>
    </row>
    <row r="996" spans="1:18" ht="13.5" thickBot="1" x14ac:dyDescent="0.25">
      <c r="A996" s="123">
        <v>15</v>
      </c>
      <c r="B996" s="123">
        <v>11</v>
      </c>
      <c r="C996" s="123">
        <v>4</v>
      </c>
      <c r="D996" s="123">
        <v>0</v>
      </c>
      <c r="E996" s="123">
        <v>0</v>
      </c>
      <c r="F996" s="123">
        <v>0</v>
      </c>
      <c r="G996" s="123">
        <v>0</v>
      </c>
      <c r="H996" s="123">
        <v>0</v>
      </c>
      <c r="I996" s="123">
        <v>0</v>
      </c>
      <c r="J996" s="123">
        <v>0</v>
      </c>
      <c r="K996" s="123">
        <v>0</v>
      </c>
      <c r="L996" s="123">
        <v>0</v>
      </c>
      <c r="M996" s="123">
        <v>15</v>
      </c>
      <c r="N996" s="123">
        <v>11</v>
      </c>
      <c r="O996" s="123">
        <v>4</v>
      </c>
      <c r="P996" s="7" t="s">
        <v>162</v>
      </c>
      <c r="Q996" s="124" t="s">
        <v>506</v>
      </c>
      <c r="R996" s="1"/>
    </row>
    <row r="997" spans="1:18" ht="13.5" thickBot="1" x14ac:dyDescent="0.25">
      <c r="A997" s="123">
        <v>109</v>
      </c>
      <c r="B997" s="123">
        <v>105</v>
      </c>
      <c r="C997" s="123">
        <v>4</v>
      </c>
      <c r="D997" s="123">
        <v>0</v>
      </c>
      <c r="E997" s="123">
        <v>0</v>
      </c>
      <c r="F997" s="123">
        <v>0</v>
      </c>
      <c r="G997" s="123">
        <v>34</v>
      </c>
      <c r="H997" s="123">
        <v>34</v>
      </c>
      <c r="I997" s="123">
        <v>0</v>
      </c>
      <c r="J997" s="123">
        <v>44</v>
      </c>
      <c r="K997" s="123">
        <v>44</v>
      </c>
      <c r="L997" s="123">
        <v>0</v>
      </c>
      <c r="M997" s="123">
        <v>31</v>
      </c>
      <c r="N997" s="123">
        <v>27</v>
      </c>
      <c r="O997" s="123">
        <v>4</v>
      </c>
      <c r="P997" s="7" t="s">
        <v>13</v>
      </c>
      <c r="Q997" s="9"/>
      <c r="R997" s="1"/>
    </row>
    <row r="998" spans="1:18" ht="13.5" thickBot="1" x14ac:dyDescent="0.25">
      <c r="A998" s="123">
        <v>6</v>
      </c>
      <c r="B998" s="123">
        <v>6</v>
      </c>
      <c r="C998" s="123">
        <v>0</v>
      </c>
      <c r="D998" s="123">
        <v>0</v>
      </c>
      <c r="E998" s="123">
        <v>0</v>
      </c>
      <c r="F998" s="123">
        <v>0</v>
      </c>
      <c r="G998" s="123">
        <v>6</v>
      </c>
      <c r="H998" s="123">
        <v>6</v>
      </c>
      <c r="I998" s="123">
        <v>0</v>
      </c>
      <c r="J998" s="123">
        <v>0</v>
      </c>
      <c r="K998" s="123">
        <v>0</v>
      </c>
      <c r="L998" s="123">
        <v>0</v>
      </c>
      <c r="M998" s="123">
        <v>0</v>
      </c>
      <c r="N998" s="123">
        <v>0</v>
      </c>
      <c r="O998" s="123">
        <v>0</v>
      </c>
      <c r="P998" s="7" t="s">
        <v>163</v>
      </c>
      <c r="Q998" s="124"/>
      <c r="R998" s="1"/>
    </row>
    <row r="999" spans="1:18" ht="13.5" thickBot="1" x14ac:dyDescent="0.25">
      <c r="A999" s="123">
        <v>35</v>
      </c>
      <c r="B999" s="123">
        <v>27</v>
      </c>
      <c r="C999" s="123">
        <v>8</v>
      </c>
      <c r="D999" s="123">
        <v>0</v>
      </c>
      <c r="E999" s="123">
        <v>0</v>
      </c>
      <c r="F999" s="123">
        <v>0</v>
      </c>
      <c r="G999" s="123">
        <v>0</v>
      </c>
      <c r="H999" s="123">
        <v>0</v>
      </c>
      <c r="I999" s="123">
        <v>0</v>
      </c>
      <c r="J999" s="123">
        <v>16</v>
      </c>
      <c r="K999" s="123">
        <v>14</v>
      </c>
      <c r="L999" s="123">
        <v>2</v>
      </c>
      <c r="M999" s="123">
        <v>19</v>
      </c>
      <c r="N999" s="123">
        <v>13</v>
      </c>
      <c r="O999" s="123">
        <v>6</v>
      </c>
      <c r="P999" s="7" t="s">
        <v>162</v>
      </c>
      <c r="Q999" s="124" t="s">
        <v>507</v>
      </c>
      <c r="R999" s="1"/>
    </row>
    <row r="1000" spans="1:18" ht="13.5" thickBot="1" x14ac:dyDescent="0.25">
      <c r="A1000" s="123">
        <v>41</v>
      </c>
      <c r="B1000" s="123">
        <v>33</v>
      </c>
      <c r="C1000" s="123">
        <v>8</v>
      </c>
      <c r="D1000" s="123">
        <v>0</v>
      </c>
      <c r="E1000" s="123">
        <v>0</v>
      </c>
      <c r="F1000" s="123">
        <v>0</v>
      </c>
      <c r="G1000" s="123">
        <v>6</v>
      </c>
      <c r="H1000" s="123">
        <v>6</v>
      </c>
      <c r="I1000" s="123">
        <v>0</v>
      </c>
      <c r="J1000" s="123">
        <v>16</v>
      </c>
      <c r="K1000" s="123">
        <v>14</v>
      </c>
      <c r="L1000" s="123">
        <v>2</v>
      </c>
      <c r="M1000" s="123">
        <v>19</v>
      </c>
      <c r="N1000" s="123">
        <v>13</v>
      </c>
      <c r="O1000" s="123">
        <v>6</v>
      </c>
      <c r="P1000" s="7" t="s">
        <v>13</v>
      </c>
      <c r="Q1000" s="9"/>
      <c r="R1000" s="1"/>
    </row>
    <row r="1001" spans="1:18" ht="13.5" thickBot="1" x14ac:dyDescent="0.25">
      <c r="A1001" s="123">
        <v>10</v>
      </c>
      <c r="B1001" s="123">
        <v>10</v>
      </c>
      <c r="C1001" s="123">
        <v>0</v>
      </c>
      <c r="D1001" s="123">
        <v>1</v>
      </c>
      <c r="E1001" s="123">
        <v>1</v>
      </c>
      <c r="F1001" s="123">
        <v>0</v>
      </c>
      <c r="G1001" s="123">
        <v>9</v>
      </c>
      <c r="H1001" s="123">
        <v>9</v>
      </c>
      <c r="I1001" s="123">
        <v>0</v>
      </c>
      <c r="J1001" s="123">
        <v>0</v>
      </c>
      <c r="K1001" s="123">
        <v>0</v>
      </c>
      <c r="L1001" s="123">
        <v>0</v>
      </c>
      <c r="M1001" s="123">
        <v>0</v>
      </c>
      <c r="N1001" s="123">
        <v>0</v>
      </c>
      <c r="O1001" s="123">
        <v>0</v>
      </c>
      <c r="P1001" s="7" t="s">
        <v>163</v>
      </c>
      <c r="Q1001" s="124"/>
      <c r="R1001" s="1"/>
    </row>
    <row r="1002" spans="1:18" ht="13.5" thickBot="1" x14ac:dyDescent="0.25">
      <c r="A1002" s="123">
        <v>30</v>
      </c>
      <c r="B1002" s="123">
        <v>20</v>
      </c>
      <c r="C1002" s="123">
        <v>10</v>
      </c>
      <c r="D1002" s="123">
        <v>0</v>
      </c>
      <c r="E1002" s="123">
        <v>0</v>
      </c>
      <c r="F1002" s="123">
        <v>0</v>
      </c>
      <c r="G1002" s="123">
        <v>0</v>
      </c>
      <c r="H1002" s="123">
        <v>0</v>
      </c>
      <c r="I1002" s="123">
        <v>0</v>
      </c>
      <c r="J1002" s="123">
        <v>13</v>
      </c>
      <c r="K1002" s="123">
        <v>12</v>
      </c>
      <c r="L1002" s="123">
        <v>1</v>
      </c>
      <c r="M1002" s="123">
        <v>17</v>
      </c>
      <c r="N1002" s="123">
        <v>8</v>
      </c>
      <c r="O1002" s="123">
        <v>9</v>
      </c>
      <c r="P1002" s="7" t="s">
        <v>162</v>
      </c>
      <c r="Q1002" s="124" t="s">
        <v>508</v>
      </c>
      <c r="R1002" s="1"/>
    </row>
    <row r="1003" spans="1:18" ht="13.5" thickBot="1" x14ac:dyDescent="0.25">
      <c r="A1003" s="123">
        <v>40</v>
      </c>
      <c r="B1003" s="123">
        <v>30</v>
      </c>
      <c r="C1003" s="123">
        <v>10</v>
      </c>
      <c r="D1003" s="123">
        <v>1</v>
      </c>
      <c r="E1003" s="123">
        <v>1</v>
      </c>
      <c r="F1003" s="123">
        <v>0</v>
      </c>
      <c r="G1003" s="123">
        <v>9</v>
      </c>
      <c r="H1003" s="123">
        <v>9</v>
      </c>
      <c r="I1003" s="123">
        <v>0</v>
      </c>
      <c r="J1003" s="123">
        <v>13</v>
      </c>
      <c r="K1003" s="123">
        <v>12</v>
      </c>
      <c r="L1003" s="123">
        <v>1</v>
      </c>
      <c r="M1003" s="123">
        <v>17</v>
      </c>
      <c r="N1003" s="123">
        <v>8</v>
      </c>
      <c r="O1003" s="123">
        <v>9</v>
      </c>
      <c r="P1003" s="7" t="s">
        <v>13</v>
      </c>
      <c r="Q1003" s="9"/>
      <c r="R1003" s="1"/>
    </row>
    <row r="1004" spans="1:18" ht="13.5" thickBot="1" x14ac:dyDescent="0.25">
      <c r="A1004" s="123">
        <v>13</v>
      </c>
      <c r="B1004" s="123">
        <v>13</v>
      </c>
      <c r="C1004" s="123">
        <v>0</v>
      </c>
      <c r="D1004" s="123">
        <v>0</v>
      </c>
      <c r="E1004" s="123">
        <v>0</v>
      </c>
      <c r="F1004" s="123">
        <v>0</v>
      </c>
      <c r="G1004" s="123">
        <v>13</v>
      </c>
      <c r="H1004" s="123">
        <v>13</v>
      </c>
      <c r="I1004" s="123">
        <v>0</v>
      </c>
      <c r="J1004" s="123">
        <v>0</v>
      </c>
      <c r="K1004" s="123">
        <v>0</v>
      </c>
      <c r="L1004" s="123">
        <v>0</v>
      </c>
      <c r="M1004" s="123">
        <v>0</v>
      </c>
      <c r="N1004" s="123">
        <v>0</v>
      </c>
      <c r="O1004" s="123">
        <v>0</v>
      </c>
      <c r="P1004" s="7" t="s">
        <v>163</v>
      </c>
      <c r="Q1004" s="124"/>
      <c r="R1004" s="1"/>
    </row>
    <row r="1005" spans="1:18" ht="13.5" thickBot="1" x14ac:dyDescent="0.25">
      <c r="A1005" s="123">
        <v>18</v>
      </c>
      <c r="B1005" s="123">
        <v>15</v>
      </c>
      <c r="C1005" s="123">
        <v>3</v>
      </c>
      <c r="D1005" s="123">
        <v>0</v>
      </c>
      <c r="E1005" s="123">
        <v>0</v>
      </c>
      <c r="F1005" s="123">
        <v>0</v>
      </c>
      <c r="G1005" s="123">
        <v>0</v>
      </c>
      <c r="H1005" s="123">
        <v>0</v>
      </c>
      <c r="I1005" s="123">
        <v>0</v>
      </c>
      <c r="J1005" s="123">
        <v>7</v>
      </c>
      <c r="K1005" s="123">
        <v>6</v>
      </c>
      <c r="L1005" s="123">
        <v>1</v>
      </c>
      <c r="M1005" s="123">
        <v>11</v>
      </c>
      <c r="N1005" s="123">
        <v>9</v>
      </c>
      <c r="O1005" s="123">
        <v>2</v>
      </c>
      <c r="P1005" s="7" t="s">
        <v>162</v>
      </c>
      <c r="Q1005" s="124" t="s">
        <v>509</v>
      </c>
      <c r="R1005" s="1"/>
    </row>
    <row r="1006" spans="1:18" ht="13.5" thickBot="1" x14ac:dyDescent="0.25">
      <c r="A1006" s="123">
        <v>31</v>
      </c>
      <c r="B1006" s="123">
        <v>28</v>
      </c>
      <c r="C1006" s="123">
        <v>3</v>
      </c>
      <c r="D1006" s="123">
        <v>0</v>
      </c>
      <c r="E1006" s="123">
        <v>0</v>
      </c>
      <c r="F1006" s="123">
        <v>0</v>
      </c>
      <c r="G1006" s="123">
        <v>13</v>
      </c>
      <c r="H1006" s="123">
        <v>13</v>
      </c>
      <c r="I1006" s="123">
        <v>0</v>
      </c>
      <c r="J1006" s="123">
        <v>7</v>
      </c>
      <c r="K1006" s="123">
        <v>6</v>
      </c>
      <c r="L1006" s="123">
        <v>1</v>
      </c>
      <c r="M1006" s="123">
        <v>11</v>
      </c>
      <c r="N1006" s="123">
        <v>9</v>
      </c>
      <c r="O1006" s="123">
        <v>2</v>
      </c>
      <c r="P1006" s="7" t="s">
        <v>13</v>
      </c>
      <c r="Q1006" s="9"/>
      <c r="R1006" s="1"/>
    </row>
    <row r="1007" spans="1:18" ht="13.5" thickBot="1" x14ac:dyDescent="0.25">
      <c r="A1007" s="123">
        <v>10</v>
      </c>
      <c r="B1007" s="123">
        <v>10</v>
      </c>
      <c r="C1007" s="123">
        <v>0</v>
      </c>
      <c r="D1007" s="123">
        <v>0</v>
      </c>
      <c r="E1007" s="123">
        <v>0</v>
      </c>
      <c r="F1007" s="123">
        <v>0</v>
      </c>
      <c r="G1007" s="123">
        <v>7</v>
      </c>
      <c r="H1007" s="123">
        <v>7</v>
      </c>
      <c r="I1007" s="123">
        <v>0</v>
      </c>
      <c r="J1007" s="123">
        <v>3</v>
      </c>
      <c r="K1007" s="123">
        <v>3</v>
      </c>
      <c r="L1007" s="123">
        <v>0</v>
      </c>
      <c r="M1007" s="123">
        <v>0</v>
      </c>
      <c r="N1007" s="123">
        <v>0</v>
      </c>
      <c r="O1007" s="123">
        <v>0</v>
      </c>
      <c r="P1007" s="7" t="s">
        <v>163</v>
      </c>
      <c r="Q1007" s="124"/>
      <c r="R1007" s="1"/>
    </row>
    <row r="1008" spans="1:18" ht="13.5" thickBot="1" x14ac:dyDescent="0.25">
      <c r="A1008" s="123">
        <v>36</v>
      </c>
      <c r="B1008" s="123">
        <v>32</v>
      </c>
      <c r="C1008" s="123">
        <v>4</v>
      </c>
      <c r="D1008" s="123">
        <v>0</v>
      </c>
      <c r="E1008" s="123">
        <v>0</v>
      </c>
      <c r="F1008" s="123">
        <v>0</v>
      </c>
      <c r="G1008" s="123">
        <v>0</v>
      </c>
      <c r="H1008" s="123">
        <v>0</v>
      </c>
      <c r="I1008" s="123">
        <v>0</v>
      </c>
      <c r="J1008" s="123">
        <v>22</v>
      </c>
      <c r="K1008" s="123">
        <v>20</v>
      </c>
      <c r="L1008" s="123">
        <v>2</v>
      </c>
      <c r="M1008" s="123">
        <v>14</v>
      </c>
      <c r="N1008" s="123">
        <v>12</v>
      </c>
      <c r="O1008" s="123">
        <v>2</v>
      </c>
      <c r="P1008" s="7" t="s">
        <v>162</v>
      </c>
      <c r="Q1008" s="124" t="s">
        <v>510</v>
      </c>
      <c r="R1008" s="1"/>
    </row>
    <row r="1009" spans="1:18" ht="13.5" thickBot="1" x14ac:dyDescent="0.25">
      <c r="A1009" s="123">
        <v>46</v>
      </c>
      <c r="B1009" s="123">
        <v>42</v>
      </c>
      <c r="C1009" s="123">
        <v>4</v>
      </c>
      <c r="D1009" s="123">
        <v>0</v>
      </c>
      <c r="E1009" s="123">
        <v>0</v>
      </c>
      <c r="F1009" s="123">
        <v>0</v>
      </c>
      <c r="G1009" s="123">
        <v>7</v>
      </c>
      <c r="H1009" s="123">
        <v>7</v>
      </c>
      <c r="I1009" s="123">
        <v>0</v>
      </c>
      <c r="J1009" s="123">
        <v>25</v>
      </c>
      <c r="K1009" s="123">
        <v>23</v>
      </c>
      <c r="L1009" s="123">
        <v>2</v>
      </c>
      <c r="M1009" s="123">
        <v>14</v>
      </c>
      <c r="N1009" s="123">
        <v>12</v>
      </c>
      <c r="O1009" s="123">
        <v>2</v>
      </c>
      <c r="P1009" s="7" t="s">
        <v>13</v>
      </c>
      <c r="Q1009" s="9"/>
      <c r="R1009" s="1"/>
    </row>
    <row r="1010" spans="1:18" ht="13.5" thickBot="1" x14ac:dyDescent="0.25">
      <c r="A1010" s="123">
        <v>7</v>
      </c>
      <c r="B1010" s="123">
        <v>7</v>
      </c>
      <c r="C1010" s="123">
        <v>0</v>
      </c>
      <c r="D1010" s="123">
        <v>0</v>
      </c>
      <c r="E1010" s="123">
        <v>0</v>
      </c>
      <c r="F1010" s="123">
        <v>0</v>
      </c>
      <c r="G1010" s="123">
        <v>6</v>
      </c>
      <c r="H1010" s="123">
        <v>6</v>
      </c>
      <c r="I1010" s="123">
        <v>0</v>
      </c>
      <c r="J1010" s="123">
        <v>1</v>
      </c>
      <c r="K1010" s="123">
        <v>1</v>
      </c>
      <c r="L1010" s="123">
        <v>0</v>
      </c>
      <c r="M1010" s="123">
        <v>0</v>
      </c>
      <c r="N1010" s="123">
        <v>0</v>
      </c>
      <c r="O1010" s="123">
        <v>0</v>
      </c>
      <c r="P1010" s="7" t="s">
        <v>163</v>
      </c>
      <c r="Q1010" s="124"/>
      <c r="R1010" s="1"/>
    </row>
    <row r="1011" spans="1:18" ht="13.5" thickBot="1" x14ac:dyDescent="0.25">
      <c r="A1011" s="123">
        <v>43</v>
      </c>
      <c r="B1011" s="123">
        <v>34</v>
      </c>
      <c r="C1011" s="123">
        <v>9</v>
      </c>
      <c r="D1011" s="123">
        <v>1</v>
      </c>
      <c r="E1011" s="123">
        <v>1</v>
      </c>
      <c r="F1011" s="123">
        <v>0</v>
      </c>
      <c r="G1011" s="123">
        <v>0</v>
      </c>
      <c r="H1011" s="123">
        <v>0</v>
      </c>
      <c r="I1011" s="123">
        <v>0</v>
      </c>
      <c r="J1011" s="123">
        <v>13</v>
      </c>
      <c r="K1011" s="123">
        <v>13</v>
      </c>
      <c r="L1011" s="123">
        <v>0</v>
      </c>
      <c r="M1011" s="123">
        <v>29</v>
      </c>
      <c r="N1011" s="123">
        <v>20</v>
      </c>
      <c r="O1011" s="123">
        <v>9</v>
      </c>
      <c r="P1011" s="7" t="s">
        <v>162</v>
      </c>
      <c r="Q1011" s="124" t="s">
        <v>511</v>
      </c>
      <c r="R1011" s="1"/>
    </row>
    <row r="1012" spans="1:18" ht="13.5" thickBot="1" x14ac:dyDescent="0.25">
      <c r="A1012" s="123">
        <v>50</v>
      </c>
      <c r="B1012" s="123">
        <v>41</v>
      </c>
      <c r="C1012" s="123">
        <v>9</v>
      </c>
      <c r="D1012" s="123">
        <v>1</v>
      </c>
      <c r="E1012" s="123">
        <v>1</v>
      </c>
      <c r="F1012" s="123">
        <v>0</v>
      </c>
      <c r="G1012" s="123">
        <v>6</v>
      </c>
      <c r="H1012" s="123">
        <v>6</v>
      </c>
      <c r="I1012" s="123">
        <v>0</v>
      </c>
      <c r="J1012" s="123">
        <v>14</v>
      </c>
      <c r="K1012" s="123">
        <v>14</v>
      </c>
      <c r="L1012" s="123">
        <v>0</v>
      </c>
      <c r="M1012" s="123">
        <v>29</v>
      </c>
      <c r="N1012" s="123">
        <v>20</v>
      </c>
      <c r="O1012" s="123">
        <v>9</v>
      </c>
      <c r="P1012" s="7" t="s">
        <v>13</v>
      </c>
      <c r="Q1012" s="9"/>
      <c r="R1012" s="1"/>
    </row>
    <row r="1013" spans="1:18" ht="13.5" thickBot="1" x14ac:dyDescent="0.25">
      <c r="A1013" s="123">
        <v>5</v>
      </c>
      <c r="B1013" s="123">
        <v>3</v>
      </c>
      <c r="C1013" s="123">
        <v>2</v>
      </c>
      <c r="D1013" s="123">
        <v>0</v>
      </c>
      <c r="E1013" s="123">
        <v>0</v>
      </c>
      <c r="F1013" s="123">
        <v>0</v>
      </c>
      <c r="G1013" s="123">
        <v>4</v>
      </c>
      <c r="H1013" s="123">
        <v>2</v>
      </c>
      <c r="I1013" s="123">
        <v>2</v>
      </c>
      <c r="J1013" s="123">
        <v>1</v>
      </c>
      <c r="K1013" s="123">
        <v>1</v>
      </c>
      <c r="L1013" s="123">
        <v>0</v>
      </c>
      <c r="M1013" s="123">
        <v>0</v>
      </c>
      <c r="N1013" s="123">
        <v>0</v>
      </c>
      <c r="O1013" s="123">
        <v>0</v>
      </c>
      <c r="P1013" s="7" t="s">
        <v>163</v>
      </c>
      <c r="Q1013" s="124"/>
      <c r="R1013" s="1"/>
    </row>
    <row r="1014" spans="1:18" ht="13.5" thickBot="1" x14ac:dyDescent="0.25">
      <c r="A1014" s="123">
        <v>31</v>
      </c>
      <c r="B1014" s="123">
        <v>26</v>
      </c>
      <c r="C1014" s="123">
        <v>5</v>
      </c>
      <c r="D1014" s="123">
        <v>0</v>
      </c>
      <c r="E1014" s="123">
        <v>0</v>
      </c>
      <c r="F1014" s="123">
        <v>0</v>
      </c>
      <c r="G1014" s="123">
        <v>0</v>
      </c>
      <c r="H1014" s="123">
        <v>0</v>
      </c>
      <c r="I1014" s="123">
        <v>0</v>
      </c>
      <c r="J1014" s="123">
        <v>10</v>
      </c>
      <c r="K1014" s="123">
        <v>10</v>
      </c>
      <c r="L1014" s="123">
        <v>0</v>
      </c>
      <c r="M1014" s="123">
        <v>21</v>
      </c>
      <c r="N1014" s="123">
        <v>16</v>
      </c>
      <c r="O1014" s="123">
        <v>5</v>
      </c>
      <c r="P1014" s="7" t="s">
        <v>162</v>
      </c>
      <c r="Q1014" s="124" t="s">
        <v>512</v>
      </c>
      <c r="R1014" s="1"/>
    </row>
    <row r="1015" spans="1:18" ht="13.5" thickBot="1" x14ac:dyDescent="0.25">
      <c r="A1015" s="123">
        <v>36</v>
      </c>
      <c r="B1015" s="123">
        <v>29</v>
      </c>
      <c r="C1015" s="123">
        <v>7</v>
      </c>
      <c r="D1015" s="123">
        <v>0</v>
      </c>
      <c r="E1015" s="123">
        <v>0</v>
      </c>
      <c r="F1015" s="123">
        <v>0</v>
      </c>
      <c r="G1015" s="123">
        <v>4</v>
      </c>
      <c r="H1015" s="123">
        <v>2</v>
      </c>
      <c r="I1015" s="123">
        <v>2</v>
      </c>
      <c r="J1015" s="123">
        <v>11</v>
      </c>
      <c r="K1015" s="123">
        <v>11</v>
      </c>
      <c r="L1015" s="123">
        <v>0</v>
      </c>
      <c r="M1015" s="123">
        <v>21</v>
      </c>
      <c r="N1015" s="123">
        <v>16</v>
      </c>
      <c r="O1015" s="123">
        <v>5</v>
      </c>
      <c r="P1015" s="7" t="s">
        <v>13</v>
      </c>
      <c r="Q1015" s="9"/>
      <c r="R1015" s="1"/>
    </row>
    <row r="1016" spans="1:18" ht="13.5" thickBot="1" x14ac:dyDescent="0.25">
      <c r="A1016" s="123">
        <v>2</v>
      </c>
      <c r="B1016" s="123">
        <v>2</v>
      </c>
      <c r="C1016" s="123">
        <v>0</v>
      </c>
      <c r="D1016" s="123">
        <v>0</v>
      </c>
      <c r="E1016" s="123">
        <v>0</v>
      </c>
      <c r="F1016" s="123">
        <v>0</v>
      </c>
      <c r="G1016" s="123">
        <v>2</v>
      </c>
      <c r="H1016" s="123">
        <v>2</v>
      </c>
      <c r="I1016" s="123">
        <v>0</v>
      </c>
      <c r="J1016" s="123">
        <v>0</v>
      </c>
      <c r="K1016" s="123">
        <v>0</v>
      </c>
      <c r="L1016" s="123">
        <v>0</v>
      </c>
      <c r="M1016" s="123">
        <v>0</v>
      </c>
      <c r="N1016" s="123">
        <v>0</v>
      </c>
      <c r="O1016" s="123">
        <v>0</v>
      </c>
      <c r="P1016" s="7" t="s">
        <v>163</v>
      </c>
      <c r="Q1016" s="124"/>
      <c r="R1016" s="1"/>
    </row>
    <row r="1017" spans="1:18" ht="13.5" thickBot="1" x14ac:dyDescent="0.25">
      <c r="A1017" s="123">
        <v>46</v>
      </c>
      <c r="B1017" s="123">
        <v>35</v>
      </c>
      <c r="C1017" s="123">
        <v>11</v>
      </c>
      <c r="D1017" s="123">
        <v>0</v>
      </c>
      <c r="E1017" s="123">
        <v>0</v>
      </c>
      <c r="F1017" s="123">
        <v>0</v>
      </c>
      <c r="G1017" s="123">
        <v>0</v>
      </c>
      <c r="H1017" s="123">
        <v>0</v>
      </c>
      <c r="I1017" s="123">
        <v>0</v>
      </c>
      <c r="J1017" s="123">
        <v>26</v>
      </c>
      <c r="K1017" s="123">
        <v>25</v>
      </c>
      <c r="L1017" s="123">
        <v>1</v>
      </c>
      <c r="M1017" s="123">
        <v>20</v>
      </c>
      <c r="N1017" s="123">
        <v>10</v>
      </c>
      <c r="O1017" s="123">
        <v>10</v>
      </c>
      <c r="P1017" s="7" t="s">
        <v>162</v>
      </c>
      <c r="Q1017" s="124" t="s">
        <v>513</v>
      </c>
      <c r="R1017" s="1"/>
    </row>
    <row r="1018" spans="1:18" ht="13.5" thickBot="1" x14ac:dyDescent="0.25">
      <c r="A1018" s="123">
        <v>48</v>
      </c>
      <c r="B1018" s="123">
        <v>37</v>
      </c>
      <c r="C1018" s="123">
        <v>11</v>
      </c>
      <c r="D1018" s="123">
        <v>0</v>
      </c>
      <c r="E1018" s="123">
        <v>0</v>
      </c>
      <c r="F1018" s="123">
        <v>0</v>
      </c>
      <c r="G1018" s="123">
        <v>2</v>
      </c>
      <c r="H1018" s="123">
        <v>2</v>
      </c>
      <c r="I1018" s="123">
        <v>0</v>
      </c>
      <c r="J1018" s="123">
        <v>26</v>
      </c>
      <c r="K1018" s="123">
        <v>25</v>
      </c>
      <c r="L1018" s="123">
        <v>1</v>
      </c>
      <c r="M1018" s="123">
        <v>20</v>
      </c>
      <c r="N1018" s="123">
        <v>10</v>
      </c>
      <c r="O1018" s="123">
        <v>10</v>
      </c>
      <c r="P1018" s="7" t="s">
        <v>13</v>
      </c>
      <c r="Q1018" s="9"/>
      <c r="R1018" s="1"/>
    </row>
    <row r="1019" spans="1:18" ht="13.5" thickBot="1" x14ac:dyDescent="0.25">
      <c r="A1019" s="123">
        <v>15</v>
      </c>
      <c r="B1019" s="123">
        <v>15</v>
      </c>
      <c r="C1019" s="123">
        <v>0</v>
      </c>
      <c r="D1019" s="123">
        <v>0</v>
      </c>
      <c r="E1019" s="123">
        <v>0</v>
      </c>
      <c r="F1019" s="123">
        <v>0</v>
      </c>
      <c r="G1019" s="123">
        <v>14</v>
      </c>
      <c r="H1019" s="123">
        <v>14</v>
      </c>
      <c r="I1019" s="123">
        <v>0</v>
      </c>
      <c r="J1019" s="123">
        <v>1</v>
      </c>
      <c r="K1019" s="123">
        <v>1</v>
      </c>
      <c r="L1019" s="123">
        <v>0</v>
      </c>
      <c r="M1019" s="123">
        <v>0</v>
      </c>
      <c r="N1019" s="123">
        <v>0</v>
      </c>
      <c r="O1019" s="123">
        <v>0</v>
      </c>
      <c r="P1019" s="7" t="s">
        <v>163</v>
      </c>
      <c r="Q1019" s="124"/>
      <c r="R1019" s="1"/>
    </row>
    <row r="1020" spans="1:18" ht="13.5" thickBot="1" x14ac:dyDescent="0.25">
      <c r="A1020" s="123">
        <v>16</v>
      </c>
      <c r="B1020" s="123">
        <v>14</v>
      </c>
      <c r="C1020" s="123">
        <v>2</v>
      </c>
      <c r="D1020" s="123">
        <v>0</v>
      </c>
      <c r="E1020" s="123">
        <v>0</v>
      </c>
      <c r="F1020" s="123">
        <v>0</v>
      </c>
      <c r="G1020" s="123">
        <v>0</v>
      </c>
      <c r="H1020" s="123">
        <v>0</v>
      </c>
      <c r="I1020" s="123">
        <v>0</v>
      </c>
      <c r="J1020" s="123">
        <v>9</v>
      </c>
      <c r="K1020" s="123">
        <v>8</v>
      </c>
      <c r="L1020" s="123">
        <v>1</v>
      </c>
      <c r="M1020" s="123">
        <v>7</v>
      </c>
      <c r="N1020" s="123">
        <v>6</v>
      </c>
      <c r="O1020" s="123">
        <v>1</v>
      </c>
      <c r="P1020" s="7" t="s">
        <v>162</v>
      </c>
      <c r="Q1020" s="124" t="s">
        <v>514</v>
      </c>
      <c r="R1020" s="1"/>
    </row>
    <row r="1021" spans="1:18" ht="13.5" thickBot="1" x14ac:dyDescent="0.25">
      <c r="A1021" s="123">
        <v>31</v>
      </c>
      <c r="B1021" s="123">
        <v>29</v>
      </c>
      <c r="C1021" s="123">
        <v>2</v>
      </c>
      <c r="D1021" s="123">
        <v>0</v>
      </c>
      <c r="E1021" s="123">
        <v>0</v>
      </c>
      <c r="F1021" s="123">
        <v>0</v>
      </c>
      <c r="G1021" s="123">
        <v>14</v>
      </c>
      <c r="H1021" s="123">
        <v>14</v>
      </c>
      <c r="I1021" s="123">
        <v>0</v>
      </c>
      <c r="J1021" s="123">
        <v>10</v>
      </c>
      <c r="K1021" s="123">
        <v>9</v>
      </c>
      <c r="L1021" s="123">
        <v>1</v>
      </c>
      <c r="M1021" s="123">
        <v>7</v>
      </c>
      <c r="N1021" s="123">
        <v>6</v>
      </c>
      <c r="O1021" s="123">
        <v>1</v>
      </c>
      <c r="P1021" s="7" t="s">
        <v>13</v>
      </c>
      <c r="Q1021" s="9"/>
      <c r="R1021" s="1"/>
    </row>
    <row r="1022" spans="1:18" ht="13.5" thickBot="1" x14ac:dyDescent="0.25">
      <c r="A1022" s="123">
        <v>20</v>
      </c>
      <c r="B1022" s="123">
        <v>20</v>
      </c>
      <c r="C1022" s="123">
        <v>0</v>
      </c>
      <c r="D1022" s="123">
        <v>0</v>
      </c>
      <c r="E1022" s="123">
        <v>0</v>
      </c>
      <c r="F1022" s="123">
        <v>0</v>
      </c>
      <c r="G1022" s="123">
        <v>16</v>
      </c>
      <c r="H1022" s="123">
        <v>16</v>
      </c>
      <c r="I1022" s="123">
        <v>0</v>
      </c>
      <c r="J1022" s="123">
        <v>3</v>
      </c>
      <c r="K1022" s="123">
        <v>3</v>
      </c>
      <c r="L1022" s="123">
        <v>0</v>
      </c>
      <c r="M1022" s="123">
        <v>1</v>
      </c>
      <c r="N1022" s="123">
        <v>1</v>
      </c>
      <c r="O1022" s="123">
        <v>0</v>
      </c>
      <c r="P1022" s="7" t="s">
        <v>163</v>
      </c>
      <c r="Q1022" s="124"/>
      <c r="R1022" s="1"/>
    </row>
    <row r="1023" spans="1:18" ht="13.5" thickBot="1" x14ac:dyDescent="0.25">
      <c r="A1023" s="123">
        <v>49</v>
      </c>
      <c r="B1023" s="123">
        <v>41</v>
      </c>
      <c r="C1023" s="123">
        <v>8</v>
      </c>
      <c r="D1023" s="123">
        <v>0</v>
      </c>
      <c r="E1023" s="123">
        <v>0</v>
      </c>
      <c r="F1023" s="123">
        <v>0</v>
      </c>
      <c r="G1023" s="123">
        <v>0</v>
      </c>
      <c r="H1023" s="123">
        <v>0</v>
      </c>
      <c r="I1023" s="123">
        <v>0</v>
      </c>
      <c r="J1023" s="123">
        <v>19</v>
      </c>
      <c r="K1023" s="123">
        <v>19</v>
      </c>
      <c r="L1023" s="123">
        <v>0</v>
      </c>
      <c r="M1023" s="123">
        <v>30</v>
      </c>
      <c r="N1023" s="123">
        <v>22</v>
      </c>
      <c r="O1023" s="123">
        <v>8</v>
      </c>
      <c r="P1023" s="7" t="s">
        <v>162</v>
      </c>
      <c r="Q1023" s="124" t="s">
        <v>515</v>
      </c>
      <c r="R1023" s="1"/>
    </row>
    <row r="1024" spans="1:18" ht="13.5" thickBot="1" x14ac:dyDescent="0.25">
      <c r="A1024" s="123">
        <v>69</v>
      </c>
      <c r="B1024" s="123">
        <v>61</v>
      </c>
      <c r="C1024" s="123">
        <v>8</v>
      </c>
      <c r="D1024" s="123">
        <v>0</v>
      </c>
      <c r="E1024" s="123">
        <v>0</v>
      </c>
      <c r="F1024" s="123">
        <v>0</v>
      </c>
      <c r="G1024" s="123">
        <v>16</v>
      </c>
      <c r="H1024" s="123">
        <v>16</v>
      </c>
      <c r="I1024" s="123">
        <v>0</v>
      </c>
      <c r="J1024" s="123">
        <v>22</v>
      </c>
      <c r="K1024" s="123">
        <v>22</v>
      </c>
      <c r="L1024" s="123">
        <v>0</v>
      </c>
      <c r="M1024" s="123">
        <v>31</v>
      </c>
      <c r="N1024" s="123">
        <v>23</v>
      </c>
      <c r="O1024" s="123">
        <v>8</v>
      </c>
      <c r="P1024" s="7" t="s">
        <v>13</v>
      </c>
      <c r="Q1024" s="9"/>
      <c r="R1024" s="1"/>
    </row>
    <row r="1025" spans="1:18" ht="13.5" thickBot="1" x14ac:dyDescent="0.25">
      <c r="A1025" s="123">
        <v>48</v>
      </c>
      <c r="B1025" s="123">
        <v>48</v>
      </c>
      <c r="C1025" s="123">
        <v>0</v>
      </c>
      <c r="D1025" s="123">
        <v>0</v>
      </c>
      <c r="E1025" s="123">
        <v>0</v>
      </c>
      <c r="F1025" s="123">
        <v>0</v>
      </c>
      <c r="G1025" s="123">
        <v>32</v>
      </c>
      <c r="H1025" s="123">
        <v>32</v>
      </c>
      <c r="I1025" s="123">
        <v>0</v>
      </c>
      <c r="J1025" s="123">
        <v>13</v>
      </c>
      <c r="K1025" s="123">
        <v>13</v>
      </c>
      <c r="L1025" s="123">
        <v>0</v>
      </c>
      <c r="M1025" s="123">
        <v>3</v>
      </c>
      <c r="N1025" s="123">
        <v>3</v>
      </c>
      <c r="O1025" s="123">
        <v>0</v>
      </c>
      <c r="P1025" s="7" t="s">
        <v>163</v>
      </c>
      <c r="Q1025" s="124"/>
      <c r="R1025" s="1"/>
    </row>
    <row r="1026" spans="1:18" ht="13.5" thickBot="1" x14ac:dyDescent="0.25">
      <c r="A1026" s="123">
        <v>43</v>
      </c>
      <c r="B1026" s="123">
        <v>30</v>
      </c>
      <c r="C1026" s="123">
        <v>13</v>
      </c>
      <c r="D1026" s="123">
        <v>0</v>
      </c>
      <c r="E1026" s="123">
        <v>0</v>
      </c>
      <c r="F1026" s="123">
        <v>0</v>
      </c>
      <c r="G1026" s="123">
        <v>0</v>
      </c>
      <c r="H1026" s="123">
        <v>0</v>
      </c>
      <c r="I1026" s="123">
        <v>0</v>
      </c>
      <c r="J1026" s="123">
        <v>18</v>
      </c>
      <c r="K1026" s="123">
        <v>17</v>
      </c>
      <c r="L1026" s="123">
        <v>1</v>
      </c>
      <c r="M1026" s="123">
        <v>25</v>
      </c>
      <c r="N1026" s="123">
        <v>13</v>
      </c>
      <c r="O1026" s="123">
        <v>12</v>
      </c>
      <c r="P1026" s="7" t="s">
        <v>162</v>
      </c>
      <c r="Q1026" s="124" t="s">
        <v>516</v>
      </c>
      <c r="R1026" s="1"/>
    </row>
    <row r="1027" spans="1:18" ht="13.5" thickBot="1" x14ac:dyDescent="0.25">
      <c r="A1027" s="123">
        <v>91</v>
      </c>
      <c r="B1027" s="123">
        <v>78</v>
      </c>
      <c r="C1027" s="123">
        <v>13</v>
      </c>
      <c r="D1027" s="123">
        <v>0</v>
      </c>
      <c r="E1027" s="123">
        <v>0</v>
      </c>
      <c r="F1027" s="123">
        <v>0</v>
      </c>
      <c r="G1027" s="123">
        <v>32</v>
      </c>
      <c r="H1027" s="123">
        <v>32</v>
      </c>
      <c r="I1027" s="123">
        <v>0</v>
      </c>
      <c r="J1027" s="123">
        <v>31</v>
      </c>
      <c r="K1027" s="123">
        <v>30</v>
      </c>
      <c r="L1027" s="123">
        <v>1</v>
      </c>
      <c r="M1027" s="123">
        <v>28</v>
      </c>
      <c r="N1027" s="123">
        <v>16</v>
      </c>
      <c r="O1027" s="123">
        <v>12</v>
      </c>
      <c r="P1027" s="7" t="s">
        <v>13</v>
      </c>
      <c r="Q1027" s="9"/>
      <c r="R1027" s="1"/>
    </row>
    <row r="1028" spans="1:18" ht="13.5" thickBot="1" x14ac:dyDescent="0.25">
      <c r="A1028" s="123">
        <v>9</v>
      </c>
      <c r="B1028" s="123">
        <v>9</v>
      </c>
      <c r="C1028" s="123">
        <v>0</v>
      </c>
      <c r="D1028" s="123">
        <v>0</v>
      </c>
      <c r="E1028" s="123">
        <v>0</v>
      </c>
      <c r="F1028" s="123">
        <v>0</v>
      </c>
      <c r="G1028" s="123">
        <v>9</v>
      </c>
      <c r="H1028" s="123">
        <v>9</v>
      </c>
      <c r="I1028" s="123">
        <v>0</v>
      </c>
      <c r="J1028" s="123">
        <v>0</v>
      </c>
      <c r="K1028" s="123">
        <v>0</v>
      </c>
      <c r="L1028" s="123">
        <v>0</v>
      </c>
      <c r="M1028" s="123">
        <v>0</v>
      </c>
      <c r="N1028" s="123">
        <v>0</v>
      </c>
      <c r="O1028" s="123">
        <v>0</v>
      </c>
      <c r="P1028" s="7" t="s">
        <v>163</v>
      </c>
      <c r="Q1028" s="124"/>
      <c r="R1028" s="1"/>
    </row>
    <row r="1029" spans="1:18" ht="13.5" thickBot="1" x14ac:dyDescent="0.25">
      <c r="A1029" s="123">
        <v>53</v>
      </c>
      <c r="B1029" s="123">
        <v>35</v>
      </c>
      <c r="C1029" s="123">
        <v>18</v>
      </c>
      <c r="D1029" s="123">
        <v>0</v>
      </c>
      <c r="E1029" s="123">
        <v>0</v>
      </c>
      <c r="F1029" s="123">
        <v>0</v>
      </c>
      <c r="G1029" s="123">
        <v>0</v>
      </c>
      <c r="H1029" s="123">
        <v>0</v>
      </c>
      <c r="I1029" s="123">
        <v>0</v>
      </c>
      <c r="J1029" s="123">
        <v>21</v>
      </c>
      <c r="K1029" s="123">
        <v>19</v>
      </c>
      <c r="L1029" s="123">
        <v>2</v>
      </c>
      <c r="M1029" s="123">
        <v>32</v>
      </c>
      <c r="N1029" s="123">
        <v>16</v>
      </c>
      <c r="O1029" s="123">
        <v>16</v>
      </c>
      <c r="P1029" s="7" t="s">
        <v>162</v>
      </c>
      <c r="Q1029" s="124" t="s">
        <v>517</v>
      </c>
      <c r="R1029" s="1"/>
    </row>
    <row r="1030" spans="1:18" ht="13.5" thickBot="1" x14ac:dyDescent="0.25">
      <c r="A1030" s="123">
        <v>62</v>
      </c>
      <c r="B1030" s="123">
        <v>44</v>
      </c>
      <c r="C1030" s="123">
        <v>18</v>
      </c>
      <c r="D1030" s="123">
        <v>0</v>
      </c>
      <c r="E1030" s="123">
        <v>0</v>
      </c>
      <c r="F1030" s="123">
        <v>0</v>
      </c>
      <c r="G1030" s="123">
        <v>9</v>
      </c>
      <c r="H1030" s="123">
        <v>9</v>
      </c>
      <c r="I1030" s="123">
        <v>0</v>
      </c>
      <c r="J1030" s="123">
        <v>21</v>
      </c>
      <c r="K1030" s="123">
        <v>19</v>
      </c>
      <c r="L1030" s="123">
        <v>2</v>
      </c>
      <c r="M1030" s="123">
        <v>32</v>
      </c>
      <c r="N1030" s="123">
        <v>16</v>
      </c>
      <c r="O1030" s="123">
        <v>16</v>
      </c>
      <c r="P1030" s="7" t="s">
        <v>13</v>
      </c>
      <c r="Q1030" s="9"/>
      <c r="R1030" s="1"/>
    </row>
    <row r="1031" spans="1:18" ht="13.5" thickBot="1" x14ac:dyDescent="0.25">
      <c r="A1031" s="123">
        <v>22</v>
      </c>
      <c r="B1031" s="123">
        <v>22</v>
      </c>
      <c r="C1031" s="123">
        <v>0</v>
      </c>
      <c r="D1031" s="123">
        <v>0</v>
      </c>
      <c r="E1031" s="123">
        <v>0</v>
      </c>
      <c r="F1031" s="123">
        <v>0</v>
      </c>
      <c r="G1031" s="123">
        <v>18</v>
      </c>
      <c r="H1031" s="123">
        <v>18</v>
      </c>
      <c r="I1031" s="123">
        <v>0</v>
      </c>
      <c r="J1031" s="123">
        <v>4</v>
      </c>
      <c r="K1031" s="123">
        <v>4</v>
      </c>
      <c r="L1031" s="123">
        <v>0</v>
      </c>
      <c r="M1031" s="123">
        <v>0</v>
      </c>
      <c r="N1031" s="123">
        <v>0</v>
      </c>
      <c r="O1031" s="123">
        <v>0</v>
      </c>
      <c r="P1031" s="7" t="s">
        <v>163</v>
      </c>
      <c r="Q1031" s="124"/>
      <c r="R1031" s="1"/>
    </row>
    <row r="1032" spans="1:18" ht="13.5" thickBot="1" x14ac:dyDescent="0.25">
      <c r="A1032" s="123">
        <v>44</v>
      </c>
      <c r="B1032" s="123">
        <v>38</v>
      </c>
      <c r="C1032" s="123">
        <v>6</v>
      </c>
      <c r="D1032" s="123">
        <v>0</v>
      </c>
      <c r="E1032" s="123">
        <v>0</v>
      </c>
      <c r="F1032" s="123">
        <v>0</v>
      </c>
      <c r="G1032" s="123">
        <v>0</v>
      </c>
      <c r="H1032" s="123">
        <v>0</v>
      </c>
      <c r="I1032" s="123">
        <v>0</v>
      </c>
      <c r="J1032" s="123">
        <v>18</v>
      </c>
      <c r="K1032" s="123">
        <v>18</v>
      </c>
      <c r="L1032" s="123">
        <v>0</v>
      </c>
      <c r="M1032" s="123">
        <v>26</v>
      </c>
      <c r="N1032" s="123">
        <v>20</v>
      </c>
      <c r="O1032" s="123">
        <v>6</v>
      </c>
      <c r="P1032" s="7" t="s">
        <v>162</v>
      </c>
      <c r="Q1032" s="124" t="s">
        <v>518</v>
      </c>
      <c r="R1032" s="1"/>
    </row>
    <row r="1033" spans="1:18" ht="13.5" thickBot="1" x14ac:dyDescent="0.25">
      <c r="A1033" s="123">
        <v>66</v>
      </c>
      <c r="B1033" s="123">
        <v>60</v>
      </c>
      <c r="C1033" s="123">
        <v>6</v>
      </c>
      <c r="D1033" s="123">
        <v>0</v>
      </c>
      <c r="E1033" s="123">
        <v>0</v>
      </c>
      <c r="F1033" s="123">
        <v>0</v>
      </c>
      <c r="G1033" s="123">
        <v>18</v>
      </c>
      <c r="H1033" s="123">
        <v>18</v>
      </c>
      <c r="I1033" s="123">
        <v>0</v>
      </c>
      <c r="J1033" s="123">
        <v>22</v>
      </c>
      <c r="K1033" s="123">
        <v>22</v>
      </c>
      <c r="L1033" s="123">
        <v>0</v>
      </c>
      <c r="M1033" s="123">
        <v>26</v>
      </c>
      <c r="N1033" s="123">
        <v>20</v>
      </c>
      <c r="O1033" s="123">
        <v>6</v>
      </c>
      <c r="P1033" s="7" t="s">
        <v>13</v>
      </c>
      <c r="Q1033" s="9"/>
      <c r="R1033" s="1"/>
    </row>
    <row r="1034" spans="1:18" ht="13.5" thickBot="1" x14ac:dyDescent="0.25">
      <c r="A1034" s="123">
        <v>13</v>
      </c>
      <c r="B1034" s="123">
        <v>13</v>
      </c>
      <c r="C1034" s="123">
        <v>0</v>
      </c>
      <c r="D1034" s="123">
        <v>1</v>
      </c>
      <c r="E1034" s="123">
        <v>1</v>
      </c>
      <c r="F1034" s="123">
        <v>0</v>
      </c>
      <c r="G1034" s="123">
        <v>12</v>
      </c>
      <c r="H1034" s="123">
        <v>12</v>
      </c>
      <c r="I1034" s="123">
        <v>0</v>
      </c>
      <c r="J1034" s="123">
        <v>0</v>
      </c>
      <c r="K1034" s="123">
        <v>0</v>
      </c>
      <c r="L1034" s="123">
        <v>0</v>
      </c>
      <c r="M1034" s="123">
        <v>0</v>
      </c>
      <c r="N1034" s="123">
        <v>0</v>
      </c>
      <c r="O1034" s="123">
        <v>0</v>
      </c>
      <c r="P1034" s="7" t="s">
        <v>163</v>
      </c>
      <c r="Q1034" s="124"/>
      <c r="R1034" s="1"/>
    </row>
    <row r="1035" spans="1:18" ht="13.5" thickBot="1" x14ac:dyDescent="0.25">
      <c r="A1035" s="123">
        <v>75</v>
      </c>
      <c r="B1035" s="123">
        <v>55</v>
      </c>
      <c r="C1035" s="123">
        <v>20</v>
      </c>
      <c r="D1035" s="123">
        <v>0</v>
      </c>
      <c r="E1035" s="123">
        <v>0</v>
      </c>
      <c r="F1035" s="123">
        <v>0</v>
      </c>
      <c r="G1035" s="123">
        <v>0</v>
      </c>
      <c r="H1035" s="123">
        <v>0</v>
      </c>
      <c r="I1035" s="123">
        <v>0</v>
      </c>
      <c r="J1035" s="123">
        <v>34</v>
      </c>
      <c r="K1035" s="123">
        <v>30</v>
      </c>
      <c r="L1035" s="123">
        <v>4</v>
      </c>
      <c r="M1035" s="123">
        <v>41</v>
      </c>
      <c r="N1035" s="123">
        <v>25</v>
      </c>
      <c r="O1035" s="123">
        <v>16</v>
      </c>
      <c r="P1035" s="7" t="s">
        <v>162</v>
      </c>
      <c r="Q1035" s="124" t="s">
        <v>519</v>
      </c>
      <c r="R1035" s="1"/>
    </row>
    <row r="1036" spans="1:18" ht="13.5" thickBot="1" x14ac:dyDescent="0.25">
      <c r="A1036" s="123">
        <v>88</v>
      </c>
      <c r="B1036" s="123">
        <v>68</v>
      </c>
      <c r="C1036" s="123">
        <v>20</v>
      </c>
      <c r="D1036" s="123">
        <v>1</v>
      </c>
      <c r="E1036" s="123">
        <v>1</v>
      </c>
      <c r="F1036" s="123">
        <v>0</v>
      </c>
      <c r="G1036" s="123">
        <v>12</v>
      </c>
      <c r="H1036" s="123">
        <v>12</v>
      </c>
      <c r="I1036" s="123">
        <v>0</v>
      </c>
      <c r="J1036" s="123">
        <v>34</v>
      </c>
      <c r="K1036" s="123">
        <v>30</v>
      </c>
      <c r="L1036" s="123">
        <v>4</v>
      </c>
      <c r="M1036" s="123">
        <v>41</v>
      </c>
      <c r="N1036" s="123">
        <v>25</v>
      </c>
      <c r="O1036" s="123">
        <v>16</v>
      </c>
      <c r="P1036" s="7" t="s">
        <v>13</v>
      </c>
      <c r="Q1036" s="9"/>
      <c r="R1036" s="1"/>
    </row>
    <row r="1037" spans="1:18" ht="13.5" thickBot="1" x14ac:dyDescent="0.25">
      <c r="A1037" s="123">
        <v>135</v>
      </c>
      <c r="B1037" s="123">
        <v>135</v>
      </c>
      <c r="C1037" s="123">
        <v>0</v>
      </c>
      <c r="D1037" s="123">
        <v>0</v>
      </c>
      <c r="E1037" s="123">
        <v>0</v>
      </c>
      <c r="F1037" s="123">
        <v>0</v>
      </c>
      <c r="G1037" s="123">
        <v>17</v>
      </c>
      <c r="H1037" s="123">
        <v>17</v>
      </c>
      <c r="I1037" s="123">
        <v>0</v>
      </c>
      <c r="J1037" s="123">
        <v>51</v>
      </c>
      <c r="K1037" s="123">
        <v>51</v>
      </c>
      <c r="L1037" s="123">
        <v>0</v>
      </c>
      <c r="M1037" s="123">
        <v>67</v>
      </c>
      <c r="N1037" s="123">
        <v>67</v>
      </c>
      <c r="O1037" s="123">
        <v>0</v>
      </c>
      <c r="P1037" s="7" t="s">
        <v>163</v>
      </c>
      <c r="Q1037" s="124"/>
      <c r="R1037" s="1"/>
    </row>
    <row r="1038" spans="1:18" ht="13.5" thickBot="1" x14ac:dyDescent="0.25">
      <c r="A1038" s="123">
        <v>10</v>
      </c>
      <c r="B1038" s="123">
        <v>2</v>
      </c>
      <c r="C1038" s="123">
        <v>8</v>
      </c>
      <c r="D1038" s="123">
        <v>0</v>
      </c>
      <c r="E1038" s="123">
        <v>0</v>
      </c>
      <c r="F1038" s="123">
        <v>0</v>
      </c>
      <c r="G1038" s="123">
        <v>0</v>
      </c>
      <c r="H1038" s="123">
        <v>0</v>
      </c>
      <c r="I1038" s="123">
        <v>0</v>
      </c>
      <c r="J1038" s="123">
        <v>0</v>
      </c>
      <c r="K1038" s="123">
        <v>0</v>
      </c>
      <c r="L1038" s="123">
        <v>0</v>
      </c>
      <c r="M1038" s="123">
        <v>10</v>
      </c>
      <c r="N1038" s="123">
        <v>2</v>
      </c>
      <c r="O1038" s="123">
        <v>8</v>
      </c>
      <c r="P1038" s="7" t="s">
        <v>162</v>
      </c>
      <c r="Q1038" s="124" t="s">
        <v>520</v>
      </c>
      <c r="R1038" s="1"/>
    </row>
    <row r="1039" spans="1:18" ht="13.5" thickBot="1" x14ac:dyDescent="0.25">
      <c r="A1039" s="123">
        <v>145</v>
      </c>
      <c r="B1039" s="123">
        <v>137</v>
      </c>
      <c r="C1039" s="123">
        <v>8</v>
      </c>
      <c r="D1039" s="123">
        <v>0</v>
      </c>
      <c r="E1039" s="123">
        <v>0</v>
      </c>
      <c r="F1039" s="123">
        <v>0</v>
      </c>
      <c r="G1039" s="123">
        <v>17</v>
      </c>
      <c r="H1039" s="123">
        <v>17</v>
      </c>
      <c r="I1039" s="123">
        <v>0</v>
      </c>
      <c r="J1039" s="123">
        <v>51</v>
      </c>
      <c r="K1039" s="123">
        <v>51</v>
      </c>
      <c r="L1039" s="123">
        <v>0</v>
      </c>
      <c r="M1039" s="123">
        <v>77</v>
      </c>
      <c r="N1039" s="123">
        <v>69</v>
      </c>
      <c r="O1039" s="123">
        <v>8</v>
      </c>
      <c r="P1039" s="7" t="s">
        <v>13</v>
      </c>
      <c r="Q1039" s="9"/>
      <c r="R1039" s="1"/>
    </row>
    <row r="1040" spans="1:18" ht="13.5" thickBot="1" x14ac:dyDescent="0.25">
      <c r="A1040" s="123">
        <v>31</v>
      </c>
      <c r="B1040" s="123">
        <v>31</v>
      </c>
      <c r="C1040" s="123">
        <v>0</v>
      </c>
      <c r="D1040" s="123">
        <v>0</v>
      </c>
      <c r="E1040" s="123">
        <v>0</v>
      </c>
      <c r="F1040" s="123">
        <v>0</v>
      </c>
      <c r="G1040" s="123">
        <v>19</v>
      </c>
      <c r="H1040" s="123">
        <v>19</v>
      </c>
      <c r="I1040" s="123">
        <v>0</v>
      </c>
      <c r="J1040" s="123">
        <v>11</v>
      </c>
      <c r="K1040" s="123">
        <v>11</v>
      </c>
      <c r="L1040" s="123">
        <v>0</v>
      </c>
      <c r="M1040" s="123">
        <v>1</v>
      </c>
      <c r="N1040" s="123">
        <v>1</v>
      </c>
      <c r="O1040" s="123">
        <v>0</v>
      </c>
      <c r="P1040" s="7" t="s">
        <v>163</v>
      </c>
      <c r="Q1040" s="124"/>
      <c r="R1040" s="1"/>
    </row>
    <row r="1041" spans="1:18" ht="13.5" thickBot="1" x14ac:dyDescent="0.25">
      <c r="A1041" s="123">
        <v>24</v>
      </c>
      <c r="B1041" s="123">
        <v>19</v>
      </c>
      <c r="C1041" s="123">
        <v>5</v>
      </c>
      <c r="D1041" s="123">
        <v>0</v>
      </c>
      <c r="E1041" s="123">
        <v>0</v>
      </c>
      <c r="F1041" s="123">
        <v>0</v>
      </c>
      <c r="G1041" s="123">
        <v>0</v>
      </c>
      <c r="H1041" s="123">
        <v>0</v>
      </c>
      <c r="I1041" s="123">
        <v>0</v>
      </c>
      <c r="J1041" s="123">
        <v>3</v>
      </c>
      <c r="K1041" s="123">
        <v>3</v>
      </c>
      <c r="L1041" s="123">
        <v>0</v>
      </c>
      <c r="M1041" s="123">
        <v>21</v>
      </c>
      <c r="N1041" s="123">
        <v>16</v>
      </c>
      <c r="O1041" s="123">
        <v>5</v>
      </c>
      <c r="P1041" s="7" t="s">
        <v>162</v>
      </c>
      <c r="Q1041" s="124" t="s">
        <v>521</v>
      </c>
      <c r="R1041" s="1"/>
    </row>
    <row r="1042" spans="1:18" ht="13.5" thickBot="1" x14ac:dyDescent="0.25">
      <c r="A1042" s="123">
        <v>55</v>
      </c>
      <c r="B1042" s="123">
        <v>50</v>
      </c>
      <c r="C1042" s="123">
        <v>5</v>
      </c>
      <c r="D1042" s="123">
        <v>0</v>
      </c>
      <c r="E1042" s="123">
        <v>0</v>
      </c>
      <c r="F1042" s="123">
        <v>0</v>
      </c>
      <c r="G1042" s="123">
        <v>19</v>
      </c>
      <c r="H1042" s="123">
        <v>19</v>
      </c>
      <c r="I1042" s="123">
        <v>0</v>
      </c>
      <c r="J1042" s="123">
        <v>14</v>
      </c>
      <c r="K1042" s="123">
        <v>14</v>
      </c>
      <c r="L1042" s="123">
        <v>0</v>
      </c>
      <c r="M1042" s="123">
        <v>22</v>
      </c>
      <c r="N1042" s="123">
        <v>17</v>
      </c>
      <c r="O1042" s="123">
        <v>5</v>
      </c>
      <c r="P1042" s="7" t="s">
        <v>13</v>
      </c>
      <c r="Q1042" s="9"/>
      <c r="R1042" s="1"/>
    </row>
    <row r="1043" spans="1:18" ht="13.5" thickBot="1" x14ac:dyDescent="0.25">
      <c r="A1043" s="123">
        <v>3</v>
      </c>
      <c r="B1043" s="123">
        <v>3</v>
      </c>
      <c r="C1043" s="123">
        <v>0</v>
      </c>
      <c r="D1043" s="123">
        <v>0</v>
      </c>
      <c r="E1043" s="123">
        <v>0</v>
      </c>
      <c r="F1043" s="123">
        <v>0</v>
      </c>
      <c r="G1043" s="123">
        <v>3</v>
      </c>
      <c r="H1043" s="123">
        <v>3</v>
      </c>
      <c r="I1043" s="123">
        <v>0</v>
      </c>
      <c r="J1043" s="123">
        <v>0</v>
      </c>
      <c r="K1043" s="123">
        <v>0</v>
      </c>
      <c r="L1043" s="123">
        <v>0</v>
      </c>
      <c r="M1043" s="123">
        <v>0</v>
      </c>
      <c r="N1043" s="123">
        <v>0</v>
      </c>
      <c r="O1043" s="123">
        <v>0</v>
      </c>
      <c r="P1043" s="7" t="s">
        <v>163</v>
      </c>
      <c r="Q1043" s="124"/>
      <c r="R1043" s="1"/>
    </row>
    <row r="1044" spans="1:18" ht="13.5" thickBot="1" x14ac:dyDescent="0.25">
      <c r="A1044" s="123">
        <v>24</v>
      </c>
      <c r="B1044" s="123">
        <v>16</v>
      </c>
      <c r="C1044" s="123">
        <v>8</v>
      </c>
      <c r="D1044" s="123">
        <v>0</v>
      </c>
      <c r="E1044" s="123">
        <v>0</v>
      </c>
      <c r="F1044" s="123">
        <v>0</v>
      </c>
      <c r="G1044" s="123">
        <v>0</v>
      </c>
      <c r="H1044" s="123">
        <v>0</v>
      </c>
      <c r="I1044" s="123">
        <v>0</v>
      </c>
      <c r="J1044" s="123">
        <v>5</v>
      </c>
      <c r="K1044" s="123">
        <v>5</v>
      </c>
      <c r="L1044" s="123">
        <v>0</v>
      </c>
      <c r="M1044" s="123">
        <v>19</v>
      </c>
      <c r="N1044" s="123">
        <v>11</v>
      </c>
      <c r="O1044" s="123">
        <v>8</v>
      </c>
      <c r="P1044" s="7" t="s">
        <v>162</v>
      </c>
      <c r="Q1044" s="124" t="s">
        <v>522</v>
      </c>
      <c r="R1044" s="1"/>
    </row>
    <row r="1045" spans="1:18" ht="13.5" thickBot="1" x14ac:dyDescent="0.25">
      <c r="A1045" s="123">
        <v>27</v>
      </c>
      <c r="B1045" s="123">
        <v>19</v>
      </c>
      <c r="C1045" s="123">
        <v>8</v>
      </c>
      <c r="D1045" s="123">
        <v>0</v>
      </c>
      <c r="E1045" s="123">
        <v>0</v>
      </c>
      <c r="F1045" s="123">
        <v>0</v>
      </c>
      <c r="G1045" s="123">
        <v>3</v>
      </c>
      <c r="H1045" s="123">
        <v>3</v>
      </c>
      <c r="I1045" s="123">
        <v>0</v>
      </c>
      <c r="J1045" s="123">
        <v>5</v>
      </c>
      <c r="K1045" s="123">
        <v>5</v>
      </c>
      <c r="L1045" s="123">
        <v>0</v>
      </c>
      <c r="M1045" s="123">
        <v>19</v>
      </c>
      <c r="N1045" s="123">
        <v>11</v>
      </c>
      <c r="O1045" s="123">
        <v>8</v>
      </c>
      <c r="P1045" s="7" t="s">
        <v>13</v>
      </c>
      <c r="Q1045" s="9"/>
      <c r="R1045" s="1"/>
    </row>
    <row r="1046" spans="1:18" ht="13.5" thickBot="1" x14ac:dyDescent="0.25">
      <c r="A1046" s="123">
        <v>1</v>
      </c>
      <c r="B1046" s="123">
        <v>1</v>
      </c>
      <c r="C1046" s="123">
        <v>0</v>
      </c>
      <c r="D1046" s="123">
        <v>0</v>
      </c>
      <c r="E1046" s="123">
        <v>0</v>
      </c>
      <c r="F1046" s="123">
        <v>0</v>
      </c>
      <c r="G1046" s="123">
        <v>0</v>
      </c>
      <c r="H1046" s="123">
        <v>0</v>
      </c>
      <c r="I1046" s="123">
        <v>0</v>
      </c>
      <c r="J1046" s="123">
        <v>0</v>
      </c>
      <c r="K1046" s="123">
        <v>0</v>
      </c>
      <c r="L1046" s="123">
        <v>0</v>
      </c>
      <c r="M1046" s="123">
        <v>1</v>
      </c>
      <c r="N1046" s="123">
        <v>1</v>
      </c>
      <c r="O1046" s="123">
        <v>0</v>
      </c>
      <c r="P1046" s="7" t="s">
        <v>163</v>
      </c>
      <c r="Q1046" s="124"/>
      <c r="R1046" s="1"/>
    </row>
    <row r="1047" spans="1:18" ht="13.5" thickBot="1" x14ac:dyDescent="0.25">
      <c r="A1047" s="123">
        <v>0</v>
      </c>
      <c r="B1047" s="123">
        <v>0</v>
      </c>
      <c r="C1047" s="123">
        <v>0</v>
      </c>
      <c r="D1047" s="123">
        <v>0</v>
      </c>
      <c r="E1047" s="123">
        <v>0</v>
      </c>
      <c r="F1047" s="123">
        <v>0</v>
      </c>
      <c r="G1047" s="123">
        <v>0</v>
      </c>
      <c r="H1047" s="123">
        <v>0</v>
      </c>
      <c r="I1047" s="123">
        <v>0</v>
      </c>
      <c r="J1047" s="123">
        <v>0</v>
      </c>
      <c r="K1047" s="123">
        <v>0</v>
      </c>
      <c r="L1047" s="123">
        <v>0</v>
      </c>
      <c r="M1047" s="123">
        <v>0</v>
      </c>
      <c r="N1047" s="123">
        <v>0</v>
      </c>
      <c r="O1047" s="123">
        <v>0</v>
      </c>
      <c r="P1047" s="7" t="s">
        <v>162</v>
      </c>
      <c r="Q1047" s="124" t="s">
        <v>130</v>
      </c>
      <c r="R1047" s="1"/>
    </row>
    <row r="1048" spans="1:18" ht="13.5" thickBot="1" x14ac:dyDescent="0.25">
      <c r="A1048" s="123">
        <v>1</v>
      </c>
      <c r="B1048" s="123">
        <v>1</v>
      </c>
      <c r="C1048" s="123">
        <v>0</v>
      </c>
      <c r="D1048" s="123">
        <v>0</v>
      </c>
      <c r="E1048" s="123">
        <v>0</v>
      </c>
      <c r="F1048" s="123">
        <v>0</v>
      </c>
      <c r="G1048" s="123">
        <v>0</v>
      </c>
      <c r="H1048" s="123">
        <v>0</v>
      </c>
      <c r="I1048" s="123">
        <v>0</v>
      </c>
      <c r="J1048" s="123">
        <v>0</v>
      </c>
      <c r="K1048" s="123">
        <v>0</v>
      </c>
      <c r="L1048" s="123">
        <v>0</v>
      </c>
      <c r="M1048" s="123">
        <v>1</v>
      </c>
      <c r="N1048" s="123">
        <v>1</v>
      </c>
      <c r="O1048" s="123">
        <v>0</v>
      </c>
      <c r="P1048" s="7" t="s">
        <v>13</v>
      </c>
      <c r="Q1048" s="9"/>
      <c r="R1048" s="1"/>
    </row>
    <row r="1049" spans="1:18" ht="13.5" thickBot="1" x14ac:dyDescent="0.25">
      <c r="A1049" s="123">
        <v>29</v>
      </c>
      <c r="B1049" s="123">
        <v>29</v>
      </c>
      <c r="C1049" s="123">
        <v>0</v>
      </c>
      <c r="D1049" s="123">
        <v>0</v>
      </c>
      <c r="E1049" s="123">
        <v>0</v>
      </c>
      <c r="F1049" s="123">
        <v>0</v>
      </c>
      <c r="G1049" s="123">
        <v>18</v>
      </c>
      <c r="H1049" s="123">
        <v>18</v>
      </c>
      <c r="I1049" s="123">
        <v>0</v>
      </c>
      <c r="J1049" s="123">
        <v>11</v>
      </c>
      <c r="K1049" s="123">
        <v>11</v>
      </c>
      <c r="L1049" s="123">
        <v>0</v>
      </c>
      <c r="M1049" s="123">
        <v>0</v>
      </c>
      <c r="N1049" s="123">
        <v>0</v>
      </c>
      <c r="O1049" s="123">
        <v>0</v>
      </c>
      <c r="P1049" s="7" t="s">
        <v>163</v>
      </c>
      <c r="Q1049" s="124"/>
      <c r="R1049" s="1"/>
    </row>
    <row r="1050" spans="1:18" ht="13.5" thickBot="1" x14ac:dyDescent="0.25">
      <c r="A1050" s="123">
        <v>23</v>
      </c>
      <c r="B1050" s="123">
        <v>15</v>
      </c>
      <c r="C1050" s="123">
        <v>8</v>
      </c>
      <c r="D1050" s="123">
        <v>0</v>
      </c>
      <c r="E1050" s="123">
        <v>0</v>
      </c>
      <c r="F1050" s="123">
        <v>0</v>
      </c>
      <c r="G1050" s="123">
        <v>0</v>
      </c>
      <c r="H1050" s="123">
        <v>0</v>
      </c>
      <c r="I1050" s="123">
        <v>0</v>
      </c>
      <c r="J1050" s="123">
        <v>9</v>
      </c>
      <c r="K1050" s="123">
        <v>9</v>
      </c>
      <c r="L1050" s="123">
        <v>0</v>
      </c>
      <c r="M1050" s="123">
        <v>14</v>
      </c>
      <c r="N1050" s="123">
        <v>6</v>
      </c>
      <c r="O1050" s="123">
        <v>8</v>
      </c>
      <c r="P1050" s="7" t="s">
        <v>162</v>
      </c>
      <c r="Q1050" s="124" t="s">
        <v>523</v>
      </c>
      <c r="R1050" s="1"/>
    </row>
    <row r="1051" spans="1:18" ht="13.5" thickBot="1" x14ac:dyDescent="0.25">
      <c r="A1051" s="123">
        <v>52</v>
      </c>
      <c r="B1051" s="123">
        <v>44</v>
      </c>
      <c r="C1051" s="123">
        <v>8</v>
      </c>
      <c r="D1051" s="123">
        <v>0</v>
      </c>
      <c r="E1051" s="123">
        <v>0</v>
      </c>
      <c r="F1051" s="123">
        <v>0</v>
      </c>
      <c r="G1051" s="123">
        <v>18</v>
      </c>
      <c r="H1051" s="123">
        <v>18</v>
      </c>
      <c r="I1051" s="123">
        <v>0</v>
      </c>
      <c r="J1051" s="123">
        <v>20</v>
      </c>
      <c r="K1051" s="123">
        <v>20</v>
      </c>
      <c r="L1051" s="123">
        <v>0</v>
      </c>
      <c r="M1051" s="123">
        <v>14</v>
      </c>
      <c r="N1051" s="123">
        <v>6</v>
      </c>
      <c r="O1051" s="123">
        <v>8</v>
      </c>
      <c r="P1051" s="7" t="s">
        <v>13</v>
      </c>
      <c r="Q1051" s="9"/>
      <c r="R1051" s="1"/>
    </row>
    <row r="1052" spans="1:18" ht="13.5" thickBot="1" x14ac:dyDescent="0.25">
      <c r="A1052" s="123">
        <v>1070</v>
      </c>
      <c r="B1052" s="123">
        <v>1068</v>
      </c>
      <c r="C1052" s="123">
        <v>2</v>
      </c>
      <c r="D1052" s="123">
        <v>2</v>
      </c>
      <c r="E1052" s="123">
        <v>2</v>
      </c>
      <c r="F1052" s="123">
        <v>0</v>
      </c>
      <c r="G1052" s="123">
        <v>320</v>
      </c>
      <c r="H1052" s="123">
        <v>318</v>
      </c>
      <c r="I1052" s="123">
        <v>2</v>
      </c>
      <c r="J1052" s="123">
        <v>365</v>
      </c>
      <c r="K1052" s="123">
        <v>365</v>
      </c>
      <c r="L1052" s="123">
        <v>0</v>
      </c>
      <c r="M1052" s="123">
        <v>383</v>
      </c>
      <c r="N1052" s="123">
        <v>383</v>
      </c>
      <c r="O1052" s="123">
        <v>0</v>
      </c>
      <c r="P1052" s="7" t="s">
        <v>163</v>
      </c>
      <c r="Q1052" s="3"/>
      <c r="R1052" s="1"/>
    </row>
    <row r="1053" spans="1:18" ht="13.5" thickBot="1" x14ac:dyDescent="0.25">
      <c r="A1053" s="123">
        <v>665</v>
      </c>
      <c r="B1053" s="123">
        <v>492</v>
      </c>
      <c r="C1053" s="123">
        <v>173</v>
      </c>
      <c r="D1053" s="123">
        <v>1</v>
      </c>
      <c r="E1053" s="123">
        <v>1</v>
      </c>
      <c r="F1053" s="123">
        <v>0</v>
      </c>
      <c r="G1053" s="123">
        <v>0</v>
      </c>
      <c r="H1053" s="123">
        <v>0</v>
      </c>
      <c r="I1053" s="123">
        <v>0</v>
      </c>
      <c r="J1053" s="123">
        <v>244</v>
      </c>
      <c r="K1053" s="123">
        <v>229</v>
      </c>
      <c r="L1053" s="123">
        <v>15</v>
      </c>
      <c r="M1053" s="123">
        <v>420</v>
      </c>
      <c r="N1053" s="123">
        <v>262</v>
      </c>
      <c r="O1053" s="123">
        <v>158</v>
      </c>
      <c r="P1053" s="7" t="s">
        <v>162</v>
      </c>
      <c r="Q1053" s="11" t="s">
        <v>211</v>
      </c>
      <c r="R1053" s="1"/>
    </row>
    <row r="1054" spans="1:18" ht="13.5" thickBot="1" x14ac:dyDescent="0.25">
      <c r="A1054" s="123">
        <v>1735</v>
      </c>
      <c r="B1054" s="123">
        <v>1560</v>
      </c>
      <c r="C1054" s="123">
        <v>175</v>
      </c>
      <c r="D1054" s="123">
        <v>3</v>
      </c>
      <c r="E1054" s="123">
        <v>3</v>
      </c>
      <c r="F1054" s="123">
        <v>0</v>
      </c>
      <c r="G1054" s="123">
        <v>320</v>
      </c>
      <c r="H1054" s="123">
        <v>318</v>
      </c>
      <c r="I1054" s="123">
        <v>2</v>
      </c>
      <c r="J1054" s="123">
        <v>609</v>
      </c>
      <c r="K1054" s="123">
        <v>594</v>
      </c>
      <c r="L1054" s="123">
        <v>15</v>
      </c>
      <c r="M1054" s="123">
        <v>803</v>
      </c>
      <c r="N1054" s="123">
        <v>645</v>
      </c>
      <c r="O1054" s="123">
        <v>158</v>
      </c>
      <c r="P1054" s="7" t="s">
        <v>13</v>
      </c>
      <c r="Q1054" s="5"/>
      <c r="R1054" s="1"/>
    </row>
    <row r="1055" spans="1:18" ht="18" customHeight="1" x14ac:dyDescent="0.2">
      <c r="A1055" s="207"/>
      <c r="B1055" s="207"/>
      <c r="C1055" s="207"/>
      <c r="D1055" s="207"/>
      <c r="E1055" s="207"/>
      <c r="F1055" s="207"/>
      <c r="G1055" s="207"/>
      <c r="H1055" s="207"/>
      <c r="I1055" s="207"/>
      <c r="J1055" s="207"/>
      <c r="K1055" s="207"/>
      <c r="L1055" s="207"/>
      <c r="M1055" s="207"/>
      <c r="N1055" s="207"/>
      <c r="O1055" s="207"/>
      <c r="P1055" s="207"/>
      <c r="Q1055" s="207"/>
      <c r="R1055" s="1"/>
    </row>
    <row r="1056" spans="1:18" ht="18" customHeight="1" x14ac:dyDescent="0.2">
      <c r="A1056" s="159" t="s">
        <v>643</v>
      </c>
      <c r="B1056" s="159"/>
      <c r="C1056" s="159"/>
      <c r="D1056" s="159"/>
      <c r="E1056" s="159"/>
      <c r="F1056" s="159"/>
      <c r="G1056" s="159"/>
      <c r="H1056" s="159"/>
      <c r="I1056" s="159"/>
      <c r="J1056" s="159"/>
      <c r="K1056" s="159"/>
      <c r="L1056" s="159"/>
      <c r="M1056" s="159"/>
      <c r="N1056" s="159"/>
      <c r="O1056" s="159"/>
      <c r="P1056" s="159"/>
      <c r="Q1056" s="159"/>
      <c r="R1056" s="1"/>
    </row>
    <row r="1057" spans="1:18" ht="18" customHeight="1" thickBot="1" x14ac:dyDescent="0.25">
      <c r="A1057" s="160" t="s">
        <v>644</v>
      </c>
      <c r="B1057" s="160"/>
      <c r="C1057" s="160"/>
      <c r="D1057" s="160"/>
      <c r="E1057" s="160"/>
      <c r="F1057" s="160"/>
      <c r="G1057" s="160"/>
      <c r="H1057" s="160"/>
      <c r="I1057" s="160"/>
      <c r="J1057" s="160"/>
      <c r="K1057" s="160"/>
      <c r="L1057" s="160"/>
      <c r="M1057" s="160"/>
      <c r="N1057" s="160"/>
      <c r="O1057" s="160"/>
      <c r="P1057" s="160"/>
      <c r="Q1057" s="160"/>
      <c r="R1057" s="1"/>
    </row>
    <row r="1058" spans="1:18" ht="13.5" thickBot="1" x14ac:dyDescent="0.25">
      <c r="A1058" s="204" t="s">
        <v>5</v>
      </c>
      <c r="B1058" s="204"/>
      <c r="C1058" s="204"/>
      <c r="D1058" s="204" t="s">
        <v>57</v>
      </c>
      <c r="E1058" s="204"/>
      <c r="F1058" s="204"/>
      <c r="G1058" s="204" t="s">
        <v>65</v>
      </c>
      <c r="H1058" s="204"/>
      <c r="I1058" s="204"/>
      <c r="J1058" s="204" t="s">
        <v>62</v>
      </c>
      <c r="K1058" s="204"/>
      <c r="L1058" s="204"/>
      <c r="M1058" s="204" t="s">
        <v>61</v>
      </c>
      <c r="N1058" s="204"/>
      <c r="O1058" s="204"/>
      <c r="P1058" s="205" t="s">
        <v>645</v>
      </c>
      <c r="Q1058" s="47" t="s">
        <v>161</v>
      </c>
      <c r="R1058" s="1"/>
    </row>
    <row r="1059" spans="1:18" ht="13.5" thickBot="1" x14ac:dyDescent="0.25">
      <c r="A1059" s="47" t="s">
        <v>216</v>
      </c>
      <c r="B1059" s="47" t="s">
        <v>11</v>
      </c>
      <c r="C1059" s="47" t="s">
        <v>10</v>
      </c>
      <c r="D1059" s="47" t="s">
        <v>216</v>
      </c>
      <c r="E1059" s="47" t="s">
        <v>11</v>
      </c>
      <c r="F1059" s="47" t="s">
        <v>10</v>
      </c>
      <c r="G1059" s="47" t="s">
        <v>216</v>
      </c>
      <c r="H1059" s="47" t="s">
        <v>11</v>
      </c>
      <c r="I1059" s="47" t="s">
        <v>10</v>
      </c>
      <c r="J1059" s="47" t="s">
        <v>216</v>
      </c>
      <c r="K1059" s="47" t="s">
        <v>11</v>
      </c>
      <c r="L1059" s="47" t="s">
        <v>10</v>
      </c>
      <c r="M1059" s="47" t="s">
        <v>216</v>
      </c>
      <c r="N1059" s="47" t="s">
        <v>11</v>
      </c>
      <c r="O1059" s="47" t="s">
        <v>10</v>
      </c>
      <c r="P1059" s="206"/>
      <c r="Q1059" s="5" t="s">
        <v>133</v>
      </c>
      <c r="R1059" s="1"/>
    </row>
    <row r="1060" spans="1:18" ht="13.5" thickBot="1" x14ac:dyDescent="0.25">
      <c r="A1060" s="123">
        <v>0</v>
      </c>
      <c r="B1060" s="123">
        <v>0</v>
      </c>
      <c r="C1060" s="123">
        <v>0</v>
      </c>
      <c r="D1060" s="123">
        <v>0</v>
      </c>
      <c r="E1060" s="123">
        <v>0</v>
      </c>
      <c r="F1060" s="123">
        <v>0</v>
      </c>
      <c r="G1060" s="123">
        <v>0</v>
      </c>
      <c r="H1060" s="123">
        <v>0</v>
      </c>
      <c r="I1060" s="123">
        <v>0</v>
      </c>
      <c r="J1060" s="123">
        <v>0</v>
      </c>
      <c r="K1060" s="123">
        <v>0</v>
      </c>
      <c r="L1060" s="123">
        <v>0</v>
      </c>
      <c r="M1060" s="123">
        <v>0</v>
      </c>
      <c r="N1060" s="123">
        <v>0</v>
      </c>
      <c r="O1060" s="123">
        <v>0</v>
      </c>
      <c r="P1060" s="7" t="s">
        <v>163</v>
      </c>
      <c r="Q1060" s="124"/>
      <c r="R1060" s="1"/>
    </row>
    <row r="1061" spans="1:18" ht="13.5" thickBot="1" x14ac:dyDescent="0.25">
      <c r="A1061" s="123">
        <v>12</v>
      </c>
      <c r="B1061" s="123">
        <v>0</v>
      </c>
      <c r="C1061" s="123">
        <v>12</v>
      </c>
      <c r="D1061" s="123">
        <v>2</v>
      </c>
      <c r="E1061" s="123">
        <v>0</v>
      </c>
      <c r="F1061" s="123">
        <v>2</v>
      </c>
      <c r="G1061" s="123">
        <v>0</v>
      </c>
      <c r="H1061" s="123">
        <v>0</v>
      </c>
      <c r="I1061" s="123">
        <v>0</v>
      </c>
      <c r="J1061" s="123">
        <v>3</v>
      </c>
      <c r="K1061" s="123">
        <v>0</v>
      </c>
      <c r="L1061" s="123">
        <v>3</v>
      </c>
      <c r="M1061" s="123">
        <v>7</v>
      </c>
      <c r="N1061" s="123">
        <v>0</v>
      </c>
      <c r="O1061" s="123">
        <v>7</v>
      </c>
      <c r="P1061" s="7" t="s">
        <v>162</v>
      </c>
      <c r="Q1061" s="124" t="s">
        <v>524</v>
      </c>
      <c r="R1061" s="1"/>
    </row>
    <row r="1062" spans="1:18" ht="13.5" thickBot="1" x14ac:dyDescent="0.25">
      <c r="A1062" s="123">
        <v>12</v>
      </c>
      <c r="B1062" s="123">
        <v>0</v>
      </c>
      <c r="C1062" s="123">
        <v>12</v>
      </c>
      <c r="D1062" s="123">
        <v>2</v>
      </c>
      <c r="E1062" s="123">
        <v>0</v>
      </c>
      <c r="F1062" s="123">
        <v>2</v>
      </c>
      <c r="G1062" s="123">
        <v>0</v>
      </c>
      <c r="H1062" s="123">
        <v>0</v>
      </c>
      <c r="I1062" s="123">
        <v>0</v>
      </c>
      <c r="J1062" s="123">
        <v>3</v>
      </c>
      <c r="K1062" s="123">
        <v>0</v>
      </c>
      <c r="L1062" s="123">
        <v>3</v>
      </c>
      <c r="M1062" s="123">
        <v>7</v>
      </c>
      <c r="N1062" s="123">
        <v>0</v>
      </c>
      <c r="O1062" s="123">
        <v>7</v>
      </c>
      <c r="P1062" s="7" t="s">
        <v>13</v>
      </c>
      <c r="Q1062" s="9"/>
      <c r="R1062" s="1"/>
    </row>
    <row r="1063" spans="1:18" ht="13.5" thickBot="1" x14ac:dyDescent="0.25">
      <c r="A1063" s="123">
        <v>4</v>
      </c>
      <c r="B1063" s="123">
        <v>4</v>
      </c>
      <c r="C1063" s="123">
        <v>0</v>
      </c>
      <c r="D1063" s="123">
        <v>4</v>
      </c>
      <c r="E1063" s="123">
        <v>4</v>
      </c>
      <c r="F1063" s="123">
        <v>0</v>
      </c>
      <c r="G1063" s="123">
        <v>0</v>
      </c>
      <c r="H1063" s="123">
        <v>0</v>
      </c>
      <c r="I1063" s="123">
        <v>0</v>
      </c>
      <c r="J1063" s="123">
        <v>0</v>
      </c>
      <c r="K1063" s="123">
        <v>0</v>
      </c>
      <c r="L1063" s="123">
        <v>0</v>
      </c>
      <c r="M1063" s="123">
        <v>0</v>
      </c>
      <c r="N1063" s="123">
        <v>0</v>
      </c>
      <c r="O1063" s="123">
        <v>0</v>
      </c>
      <c r="P1063" s="7" t="s">
        <v>163</v>
      </c>
      <c r="Q1063" s="124"/>
      <c r="R1063" s="1"/>
    </row>
    <row r="1064" spans="1:18" ht="13.5" thickBot="1" x14ac:dyDescent="0.25">
      <c r="A1064" s="123">
        <v>8</v>
      </c>
      <c r="B1064" s="123">
        <v>8</v>
      </c>
      <c r="C1064" s="123">
        <v>0</v>
      </c>
      <c r="D1064" s="123">
        <v>4</v>
      </c>
      <c r="E1064" s="123">
        <v>4</v>
      </c>
      <c r="F1064" s="123">
        <v>0</v>
      </c>
      <c r="G1064" s="123">
        <v>0</v>
      </c>
      <c r="H1064" s="123">
        <v>0</v>
      </c>
      <c r="I1064" s="123">
        <v>0</v>
      </c>
      <c r="J1064" s="123">
        <v>3</v>
      </c>
      <c r="K1064" s="123">
        <v>3</v>
      </c>
      <c r="L1064" s="123">
        <v>0</v>
      </c>
      <c r="M1064" s="123">
        <v>1</v>
      </c>
      <c r="N1064" s="123">
        <v>1</v>
      </c>
      <c r="O1064" s="123">
        <v>0</v>
      </c>
      <c r="P1064" s="7" t="s">
        <v>162</v>
      </c>
      <c r="Q1064" s="124" t="s">
        <v>132</v>
      </c>
      <c r="R1064" s="1"/>
    </row>
    <row r="1065" spans="1:18" ht="13.5" thickBot="1" x14ac:dyDescent="0.25">
      <c r="A1065" s="123">
        <v>12</v>
      </c>
      <c r="B1065" s="123">
        <v>12</v>
      </c>
      <c r="C1065" s="123">
        <v>0</v>
      </c>
      <c r="D1065" s="123">
        <v>8</v>
      </c>
      <c r="E1065" s="123">
        <v>8</v>
      </c>
      <c r="F1065" s="123">
        <v>0</v>
      </c>
      <c r="G1065" s="123">
        <v>0</v>
      </c>
      <c r="H1065" s="123">
        <v>0</v>
      </c>
      <c r="I1065" s="123">
        <v>0</v>
      </c>
      <c r="J1065" s="123">
        <v>3</v>
      </c>
      <c r="K1065" s="123">
        <v>3</v>
      </c>
      <c r="L1065" s="123">
        <v>0</v>
      </c>
      <c r="M1065" s="123">
        <v>1</v>
      </c>
      <c r="N1065" s="123">
        <v>1</v>
      </c>
      <c r="O1065" s="123">
        <v>0</v>
      </c>
      <c r="P1065" s="7" t="s">
        <v>13</v>
      </c>
      <c r="Q1065" s="9"/>
      <c r="R1065" s="1"/>
    </row>
    <row r="1066" spans="1:18" ht="13.5" thickBot="1" x14ac:dyDescent="0.25">
      <c r="A1066" s="123">
        <v>68</v>
      </c>
      <c r="B1066" s="123">
        <v>0</v>
      </c>
      <c r="C1066" s="123">
        <v>68</v>
      </c>
      <c r="D1066" s="123">
        <v>0</v>
      </c>
      <c r="E1066" s="123">
        <v>0</v>
      </c>
      <c r="F1066" s="123">
        <v>0</v>
      </c>
      <c r="G1066" s="123">
        <v>39</v>
      </c>
      <c r="H1066" s="123">
        <v>0</v>
      </c>
      <c r="I1066" s="123">
        <v>39</v>
      </c>
      <c r="J1066" s="123">
        <v>23</v>
      </c>
      <c r="K1066" s="123">
        <v>0</v>
      </c>
      <c r="L1066" s="123">
        <v>23</v>
      </c>
      <c r="M1066" s="123">
        <v>6</v>
      </c>
      <c r="N1066" s="123">
        <v>0</v>
      </c>
      <c r="O1066" s="123">
        <v>6</v>
      </c>
      <c r="P1066" s="7" t="s">
        <v>163</v>
      </c>
      <c r="Q1066" s="124"/>
      <c r="R1066" s="1"/>
    </row>
    <row r="1067" spans="1:18" ht="13.5" thickBot="1" x14ac:dyDescent="0.25">
      <c r="A1067" s="123">
        <v>75</v>
      </c>
      <c r="B1067" s="123">
        <v>0</v>
      </c>
      <c r="C1067" s="123">
        <v>75</v>
      </c>
      <c r="D1067" s="123">
        <v>11</v>
      </c>
      <c r="E1067" s="123">
        <v>0</v>
      </c>
      <c r="F1067" s="123">
        <v>11</v>
      </c>
      <c r="G1067" s="123">
        <v>8</v>
      </c>
      <c r="H1067" s="123">
        <v>0</v>
      </c>
      <c r="I1067" s="123">
        <v>8</v>
      </c>
      <c r="J1067" s="123">
        <v>7</v>
      </c>
      <c r="K1067" s="123">
        <v>0</v>
      </c>
      <c r="L1067" s="123">
        <v>7</v>
      </c>
      <c r="M1067" s="123">
        <v>49</v>
      </c>
      <c r="N1067" s="123">
        <v>0</v>
      </c>
      <c r="O1067" s="123">
        <v>49</v>
      </c>
      <c r="P1067" s="7" t="s">
        <v>162</v>
      </c>
      <c r="Q1067" s="124" t="s">
        <v>278</v>
      </c>
      <c r="R1067" s="1"/>
    </row>
    <row r="1068" spans="1:18" ht="13.5" thickBot="1" x14ac:dyDescent="0.25">
      <c r="A1068" s="123">
        <v>143</v>
      </c>
      <c r="B1068" s="123">
        <v>0</v>
      </c>
      <c r="C1068" s="123">
        <v>143</v>
      </c>
      <c r="D1068" s="123">
        <v>11</v>
      </c>
      <c r="E1068" s="123">
        <v>0</v>
      </c>
      <c r="F1068" s="123">
        <v>11</v>
      </c>
      <c r="G1068" s="123">
        <v>47</v>
      </c>
      <c r="H1068" s="123">
        <v>0</v>
      </c>
      <c r="I1068" s="123">
        <v>47</v>
      </c>
      <c r="J1068" s="123">
        <v>30</v>
      </c>
      <c r="K1068" s="123">
        <v>0</v>
      </c>
      <c r="L1068" s="123">
        <v>30</v>
      </c>
      <c r="M1068" s="123">
        <v>55</v>
      </c>
      <c r="N1068" s="123">
        <v>0</v>
      </c>
      <c r="O1068" s="123">
        <v>55</v>
      </c>
      <c r="P1068" s="7" t="s">
        <v>13</v>
      </c>
      <c r="Q1068" s="9"/>
      <c r="R1068" s="1"/>
    </row>
    <row r="1069" spans="1:18" ht="13.5" thickBot="1" x14ac:dyDescent="0.25">
      <c r="A1069" s="123">
        <v>31</v>
      </c>
      <c r="B1069" s="123">
        <v>31</v>
      </c>
      <c r="C1069" s="123">
        <v>0</v>
      </c>
      <c r="D1069" s="123">
        <v>0</v>
      </c>
      <c r="E1069" s="123">
        <v>0</v>
      </c>
      <c r="F1069" s="123">
        <v>0</v>
      </c>
      <c r="G1069" s="123">
        <v>30</v>
      </c>
      <c r="H1069" s="123">
        <v>30</v>
      </c>
      <c r="I1069" s="123">
        <v>0</v>
      </c>
      <c r="J1069" s="123">
        <v>1</v>
      </c>
      <c r="K1069" s="123">
        <v>1</v>
      </c>
      <c r="L1069" s="123">
        <v>0</v>
      </c>
      <c r="M1069" s="123">
        <v>0</v>
      </c>
      <c r="N1069" s="123">
        <v>0</v>
      </c>
      <c r="O1069" s="123">
        <v>0</v>
      </c>
      <c r="P1069" s="7" t="s">
        <v>163</v>
      </c>
      <c r="Q1069" s="124"/>
      <c r="R1069" s="1"/>
    </row>
    <row r="1070" spans="1:18" ht="13.5" thickBot="1" x14ac:dyDescent="0.25">
      <c r="A1070" s="123">
        <v>52</v>
      </c>
      <c r="B1070" s="123">
        <v>47</v>
      </c>
      <c r="C1070" s="123">
        <v>5</v>
      </c>
      <c r="D1070" s="123">
        <v>0</v>
      </c>
      <c r="E1070" s="123">
        <v>0</v>
      </c>
      <c r="F1070" s="123">
        <v>0</v>
      </c>
      <c r="G1070" s="123">
        <v>0</v>
      </c>
      <c r="H1070" s="123">
        <v>0</v>
      </c>
      <c r="I1070" s="123">
        <v>0</v>
      </c>
      <c r="J1070" s="123">
        <v>35</v>
      </c>
      <c r="K1070" s="123">
        <v>35</v>
      </c>
      <c r="L1070" s="123">
        <v>0</v>
      </c>
      <c r="M1070" s="123">
        <v>17</v>
      </c>
      <c r="N1070" s="123">
        <v>12</v>
      </c>
      <c r="O1070" s="123">
        <v>5</v>
      </c>
      <c r="P1070" s="7" t="s">
        <v>162</v>
      </c>
      <c r="Q1070" s="124" t="s">
        <v>525</v>
      </c>
      <c r="R1070" s="1"/>
    </row>
    <row r="1071" spans="1:18" ht="13.5" thickBot="1" x14ac:dyDescent="0.25">
      <c r="A1071" s="123">
        <v>83</v>
      </c>
      <c r="B1071" s="123">
        <v>78</v>
      </c>
      <c r="C1071" s="123">
        <v>5</v>
      </c>
      <c r="D1071" s="123">
        <v>0</v>
      </c>
      <c r="E1071" s="123">
        <v>0</v>
      </c>
      <c r="F1071" s="123">
        <v>0</v>
      </c>
      <c r="G1071" s="123">
        <v>30</v>
      </c>
      <c r="H1071" s="123">
        <v>30</v>
      </c>
      <c r="I1071" s="123">
        <v>0</v>
      </c>
      <c r="J1071" s="123">
        <v>36</v>
      </c>
      <c r="K1071" s="123">
        <v>36</v>
      </c>
      <c r="L1071" s="123">
        <v>0</v>
      </c>
      <c r="M1071" s="123">
        <v>17</v>
      </c>
      <c r="N1071" s="123">
        <v>12</v>
      </c>
      <c r="O1071" s="123">
        <v>5</v>
      </c>
      <c r="P1071" s="7" t="s">
        <v>13</v>
      </c>
      <c r="Q1071" s="9"/>
      <c r="R1071" s="1"/>
    </row>
    <row r="1072" spans="1:18" ht="13.5" thickBot="1" x14ac:dyDescent="0.25">
      <c r="A1072" s="123">
        <v>4</v>
      </c>
      <c r="B1072" s="123">
        <v>4</v>
      </c>
      <c r="C1072" s="123">
        <v>0</v>
      </c>
      <c r="D1072" s="123">
        <v>0</v>
      </c>
      <c r="E1072" s="123">
        <v>0</v>
      </c>
      <c r="F1072" s="123">
        <v>0</v>
      </c>
      <c r="G1072" s="123">
        <v>4</v>
      </c>
      <c r="H1072" s="123">
        <v>4</v>
      </c>
      <c r="I1072" s="123">
        <v>0</v>
      </c>
      <c r="J1072" s="123">
        <v>0</v>
      </c>
      <c r="K1072" s="123">
        <v>0</v>
      </c>
      <c r="L1072" s="123">
        <v>0</v>
      </c>
      <c r="M1072" s="123">
        <v>0</v>
      </c>
      <c r="N1072" s="123">
        <v>0</v>
      </c>
      <c r="O1072" s="123">
        <v>0</v>
      </c>
      <c r="P1072" s="7" t="s">
        <v>163</v>
      </c>
      <c r="Q1072" s="124"/>
      <c r="R1072" s="1"/>
    </row>
    <row r="1073" spans="1:18" ht="13.5" thickBot="1" x14ac:dyDescent="0.25">
      <c r="A1073" s="123">
        <v>6</v>
      </c>
      <c r="B1073" s="123">
        <v>6</v>
      </c>
      <c r="C1073" s="123">
        <v>0</v>
      </c>
      <c r="D1073" s="123">
        <v>3</v>
      </c>
      <c r="E1073" s="123">
        <v>3</v>
      </c>
      <c r="F1073" s="123">
        <v>0</v>
      </c>
      <c r="G1073" s="123">
        <v>0</v>
      </c>
      <c r="H1073" s="123">
        <v>0</v>
      </c>
      <c r="I1073" s="123">
        <v>0</v>
      </c>
      <c r="J1073" s="123">
        <v>1</v>
      </c>
      <c r="K1073" s="123">
        <v>1</v>
      </c>
      <c r="L1073" s="123">
        <v>0</v>
      </c>
      <c r="M1073" s="123">
        <v>2</v>
      </c>
      <c r="N1073" s="123">
        <v>2</v>
      </c>
      <c r="O1073" s="123">
        <v>0</v>
      </c>
      <c r="P1073" s="7" t="s">
        <v>162</v>
      </c>
      <c r="Q1073" s="124" t="s">
        <v>279</v>
      </c>
      <c r="R1073" s="1"/>
    </row>
    <row r="1074" spans="1:18" ht="13.5" thickBot="1" x14ac:dyDescent="0.25">
      <c r="A1074" s="123">
        <v>10</v>
      </c>
      <c r="B1074" s="123">
        <v>10</v>
      </c>
      <c r="C1074" s="123">
        <v>0</v>
      </c>
      <c r="D1074" s="123">
        <v>3</v>
      </c>
      <c r="E1074" s="123">
        <v>3</v>
      </c>
      <c r="F1074" s="123">
        <v>0</v>
      </c>
      <c r="G1074" s="123">
        <v>4</v>
      </c>
      <c r="H1074" s="123">
        <v>4</v>
      </c>
      <c r="I1074" s="123">
        <v>0</v>
      </c>
      <c r="J1074" s="123">
        <v>1</v>
      </c>
      <c r="K1074" s="123">
        <v>1</v>
      </c>
      <c r="L1074" s="123">
        <v>0</v>
      </c>
      <c r="M1074" s="123">
        <v>2</v>
      </c>
      <c r="N1074" s="123">
        <v>2</v>
      </c>
      <c r="O1074" s="123">
        <v>0</v>
      </c>
      <c r="P1074" s="7" t="s">
        <v>13</v>
      </c>
      <c r="Q1074" s="9"/>
      <c r="R1074" s="1"/>
    </row>
    <row r="1075" spans="1:18" ht="13.5" thickBot="1" x14ac:dyDescent="0.25">
      <c r="A1075" s="123">
        <v>3</v>
      </c>
      <c r="B1075" s="123">
        <v>0</v>
      </c>
      <c r="C1075" s="123">
        <v>3</v>
      </c>
      <c r="D1075" s="123">
        <v>0</v>
      </c>
      <c r="E1075" s="123">
        <v>0</v>
      </c>
      <c r="F1075" s="123">
        <v>0</v>
      </c>
      <c r="G1075" s="123">
        <v>1</v>
      </c>
      <c r="H1075" s="123">
        <v>0</v>
      </c>
      <c r="I1075" s="123">
        <v>1</v>
      </c>
      <c r="J1075" s="123">
        <v>0</v>
      </c>
      <c r="K1075" s="123">
        <v>0</v>
      </c>
      <c r="L1075" s="123">
        <v>0</v>
      </c>
      <c r="M1075" s="123">
        <v>2</v>
      </c>
      <c r="N1075" s="123">
        <v>0</v>
      </c>
      <c r="O1075" s="123">
        <v>2</v>
      </c>
      <c r="P1075" s="7" t="s">
        <v>163</v>
      </c>
      <c r="Q1075" s="124"/>
      <c r="R1075" s="1"/>
    </row>
    <row r="1076" spans="1:18" ht="13.5" thickBot="1" x14ac:dyDescent="0.25">
      <c r="A1076" s="123">
        <v>10</v>
      </c>
      <c r="B1076" s="123">
        <v>0</v>
      </c>
      <c r="C1076" s="123">
        <v>10</v>
      </c>
      <c r="D1076" s="123">
        <v>2</v>
      </c>
      <c r="E1076" s="123">
        <v>0</v>
      </c>
      <c r="F1076" s="123">
        <v>2</v>
      </c>
      <c r="G1076" s="123">
        <v>0</v>
      </c>
      <c r="H1076" s="123">
        <v>0</v>
      </c>
      <c r="I1076" s="123">
        <v>0</v>
      </c>
      <c r="J1076" s="123">
        <v>3</v>
      </c>
      <c r="K1076" s="123">
        <v>0</v>
      </c>
      <c r="L1076" s="123">
        <v>3</v>
      </c>
      <c r="M1076" s="123">
        <v>5</v>
      </c>
      <c r="N1076" s="123">
        <v>0</v>
      </c>
      <c r="O1076" s="123">
        <v>5</v>
      </c>
      <c r="P1076" s="7" t="s">
        <v>162</v>
      </c>
      <c r="Q1076" s="124" t="s">
        <v>134</v>
      </c>
      <c r="R1076" s="1"/>
    </row>
    <row r="1077" spans="1:18" ht="13.5" thickBot="1" x14ac:dyDescent="0.25">
      <c r="A1077" s="123">
        <v>13</v>
      </c>
      <c r="B1077" s="123">
        <v>0</v>
      </c>
      <c r="C1077" s="123">
        <v>13</v>
      </c>
      <c r="D1077" s="123">
        <v>2</v>
      </c>
      <c r="E1077" s="123">
        <v>0</v>
      </c>
      <c r="F1077" s="123">
        <v>2</v>
      </c>
      <c r="G1077" s="123">
        <v>1</v>
      </c>
      <c r="H1077" s="123">
        <v>0</v>
      </c>
      <c r="I1077" s="123">
        <v>1</v>
      </c>
      <c r="J1077" s="123">
        <v>3</v>
      </c>
      <c r="K1077" s="123">
        <v>0</v>
      </c>
      <c r="L1077" s="123">
        <v>3</v>
      </c>
      <c r="M1077" s="123">
        <v>7</v>
      </c>
      <c r="N1077" s="123">
        <v>0</v>
      </c>
      <c r="O1077" s="123">
        <v>7</v>
      </c>
      <c r="P1077" s="7" t="s">
        <v>13</v>
      </c>
      <c r="Q1077" s="9"/>
      <c r="R1077" s="1"/>
    </row>
    <row r="1078" spans="1:18" ht="13.5" thickBot="1" x14ac:dyDescent="0.25">
      <c r="A1078" s="123">
        <v>110</v>
      </c>
      <c r="B1078" s="123">
        <v>39</v>
      </c>
      <c r="C1078" s="123">
        <v>71</v>
      </c>
      <c r="D1078" s="123">
        <v>4</v>
      </c>
      <c r="E1078" s="123">
        <v>4</v>
      </c>
      <c r="F1078" s="123">
        <v>0</v>
      </c>
      <c r="G1078" s="123">
        <v>74</v>
      </c>
      <c r="H1078" s="123">
        <v>34</v>
      </c>
      <c r="I1078" s="123">
        <v>40</v>
      </c>
      <c r="J1078" s="123">
        <v>24</v>
      </c>
      <c r="K1078" s="123">
        <v>1</v>
      </c>
      <c r="L1078" s="123">
        <v>23</v>
      </c>
      <c r="M1078" s="123">
        <v>8</v>
      </c>
      <c r="N1078" s="123">
        <v>0</v>
      </c>
      <c r="O1078" s="123">
        <v>8</v>
      </c>
      <c r="P1078" s="7" t="s">
        <v>163</v>
      </c>
      <c r="Q1078" s="3"/>
      <c r="R1078" s="1"/>
    </row>
    <row r="1079" spans="1:18" ht="13.5" thickBot="1" x14ac:dyDescent="0.25">
      <c r="A1079" s="123">
        <v>163</v>
      </c>
      <c r="B1079" s="123">
        <v>61</v>
      </c>
      <c r="C1079" s="123">
        <v>102</v>
      </c>
      <c r="D1079" s="123">
        <v>22</v>
      </c>
      <c r="E1079" s="123">
        <v>7</v>
      </c>
      <c r="F1079" s="123">
        <v>15</v>
      </c>
      <c r="G1079" s="123">
        <v>8</v>
      </c>
      <c r="H1079" s="123">
        <v>0</v>
      </c>
      <c r="I1079" s="123">
        <v>8</v>
      </c>
      <c r="J1079" s="123">
        <v>52</v>
      </c>
      <c r="K1079" s="123">
        <v>39</v>
      </c>
      <c r="L1079" s="123">
        <v>13</v>
      </c>
      <c r="M1079" s="123">
        <v>81</v>
      </c>
      <c r="N1079" s="123">
        <v>15</v>
      </c>
      <c r="O1079" s="123">
        <v>66</v>
      </c>
      <c r="P1079" s="7" t="s">
        <v>162</v>
      </c>
      <c r="Q1079" s="11" t="s">
        <v>211</v>
      </c>
      <c r="R1079" s="1"/>
    </row>
    <row r="1080" spans="1:18" ht="13.5" thickBot="1" x14ac:dyDescent="0.25">
      <c r="A1080" s="123">
        <v>273</v>
      </c>
      <c r="B1080" s="123">
        <v>100</v>
      </c>
      <c r="C1080" s="123">
        <v>173</v>
      </c>
      <c r="D1080" s="123">
        <v>26</v>
      </c>
      <c r="E1080" s="123">
        <v>11</v>
      </c>
      <c r="F1080" s="123">
        <v>15</v>
      </c>
      <c r="G1080" s="123">
        <v>82</v>
      </c>
      <c r="H1080" s="123">
        <v>34</v>
      </c>
      <c r="I1080" s="123">
        <v>48</v>
      </c>
      <c r="J1080" s="123">
        <v>76</v>
      </c>
      <c r="K1080" s="123">
        <v>40</v>
      </c>
      <c r="L1080" s="123">
        <v>36</v>
      </c>
      <c r="M1080" s="123">
        <v>89</v>
      </c>
      <c r="N1080" s="123">
        <v>15</v>
      </c>
      <c r="O1080" s="123">
        <v>74</v>
      </c>
      <c r="P1080" s="7" t="s">
        <v>13</v>
      </c>
      <c r="Q1080" s="5"/>
      <c r="R1080" s="1"/>
    </row>
    <row r="1081" spans="1:18" ht="18" customHeight="1" x14ac:dyDescent="0.2">
      <c r="A1081" s="207"/>
      <c r="B1081" s="207"/>
      <c r="C1081" s="207"/>
      <c r="D1081" s="207"/>
      <c r="E1081" s="207"/>
      <c r="F1081" s="207"/>
      <c r="G1081" s="207"/>
      <c r="H1081" s="207"/>
      <c r="I1081" s="207"/>
      <c r="J1081" s="207"/>
      <c r="K1081" s="207"/>
      <c r="L1081" s="207"/>
      <c r="M1081" s="207"/>
      <c r="N1081" s="207"/>
      <c r="O1081" s="207"/>
      <c r="P1081" s="207"/>
      <c r="Q1081" s="207"/>
      <c r="R1081" s="1"/>
    </row>
    <row r="1082" spans="1:18" ht="18" customHeight="1" x14ac:dyDescent="0.2">
      <c r="A1082" s="159" t="s">
        <v>643</v>
      </c>
      <c r="B1082" s="159"/>
      <c r="C1082" s="159"/>
      <c r="D1082" s="159"/>
      <c r="E1082" s="159"/>
      <c r="F1082" s="159"/>
      <c r="G1082" s="159"/>
      <c r="H1082" s="159"/>
      <c r="I1082" s="159"/>
      <c r="J1082" s="159"/>
      <c r="K1082" s="159"/>
      <c r="L1082" s="159"/>
      <c r="M1082" s="159"/>
      <c r="N1082" s="159"/>
      <c r="O1082" s="159"/>
      <c r="P1082" s="159"/>
      <c r="Q1082" s="159"/>
      <c r="R1082" s="1"/>
    </row>
    <row r="1083" spans="1:18" ht="18" customHeight="1" thickBot="1" x14ac:dyDescent="0.25">
      <c r="A1083" s="160" t="s">
        <v>644</v>
      </c>
      <c r="B1083" s="160"/>
      <c r="C1083" s="160"/>
      <c r="D1083" s="160"/>
      <c r="E1083" s="160"/>
      <c r="F1083" s="160"/>
      <c r="G1083" s="160"/>
      <c r="H1083" s="160"/>
      <c r="I1083" s="160"/>
      <c r="J1083" s="160"/>
      <c r="K1083" s="160"/>
      <c r="L1083" s="160"/>
      <c r="M1083" s="160"/>
      <c r="N1083" s="160"/>
      <c r="O1083" s="160"/>
      <c r="P1083" s="160"/>
      <c r="Q1083" s="160"/>
      <c r="R1083" s="1"/>
    </row>
    <row r="1084" spans="1:18" ht="13.5" thickBot="1" x14ac:dyDescent="0.25">
      <c r="A1084" s="204" t="s">
        <v>5</v>
      </c>
      <c r="B1084" s="204"/>
      <c r="C1084" s="204"/>
      <c r="D1084" s="204" t="s">
        <v>57</v>
      </c>
      <c r="E1084" s="204"/>
      <c r="F1084" s="204"/>
      <c r="G1084" s="204" t="s">
        <v>65</v>
      </c>
      <c r="H1084" s="204"/>
      <c r="I1084" s="204"/>
      <c r="J1084" s="204" t="s">
        <v>62</v>
      </c>
      <c r="K1084" s="204"/>
      <c r="L1084" s="204"/>
      <c r="M1084" s="204" t="s">
        <v>61</v>
      </c>
      <c r="N1084" s="204"/>
      <c r="O1084" s="204"/>
      <c r="P1084" s="205" t="s">
        <v>645</v>
      </c>
      <c r="Q1084" s="47" t="s">
        <v>161</v>
      </c>
      <c r="R1084" s="1"/>
    </row>
    <row r="1085" spans="1:18" ht="13.5" thickBot="1" x14ac:dyDescent="0.25">
      <c r="A1085" s="47" t="s">
        <v>216</v>
      </c>
      <c r="B1085" s="47" t="s">
        <v>11</v>
      </c>
      <c r="C1085" s="47" t="s">
        <v>10</v>
      </c>
      <c r="D1085" s="47" t="s">
        <v>216</v>
      </c>
      <c r="E1085" s="47" t="s">
        <v>11</v>
      </c>
      <c r="F1085" s="47" t="s">
        <v>10</v>
      </c>
      <c r="G1085" s="47" t="s">
        <v>216</v>
      </c>
      <c r="H1085" s="47" t="s">
        <v>11</v>
      </c>
      <c r="I1085" s="47" t="s">
        <v>10</v>
      </c>
      <c r="J1085" s="47" t="s">
        <v>216</v>
      </c>
      <c r="K1085" s="47" t="s">
        <v>11</v>
      </c>
      <c r="L1085" s="47" t="s">
        <v>10</v>
      </c>
      <c r="M1085" s="47" t="s">
        <v>216</v>
      </c>
      <c r="N1085" s="47" t="s">
        <v>11</v>
      </c>
      <c r="O1085" s="47" t="s">
        <v>10</v>
      </c>
      <c r="P1085" s="206"/>
      <c r="Q1085" s="5" t="s">
        <v>168</v>
      </c>
      <c r="R1085" s="1"/>
    </row>
    <row r="1086" spans="1:18" ht="13.5" thickBot="1" x14ac:dyDescent="0.25">
      <c r="A1086" s="123">
        <v>545</v>
      </c>
      <c r="B1086" s="123">
        <v>0</v>
      </c>
      <c r="C1086" s="123">
        <v>545</v>
      </c>
      <c r="D1086" s="123">
        <v>10</v>
      </c>
      <c r="E1086" s="123">
        <v>0</v>
      </c>
      <c r="F1086" s="123">
        <v>10</v>
      </c>
      <c r="G1086" s="123">
        <v>464</v>
      </c>
      <c r="H1086" s="123">
        <v>0</v>
      </c>
      <c r="I1086" s="123">
        <v>464</v>
      </c>
      <c r="J1086" s="123">
        <v>22</v>
      </c>
      <c r="K1086" s="123">
        <v>0</v>
      </c>
      <c r="L1086" s="123">
        <v>22</v>
      </c>
      <c r="M1086" s="123">
        <v>49</v>
      </c>
      <c r="N1086" s="123">
        <v>0</v>
      </c>
      <c r="O1086" s="123">
        <v>49</v>
      </c>
      <c r="P1086" s="7" t="s">
        <v>163</v>
      </c>
      <c r="Q1086" s="124"/>
      <c r="R1086" s="1"/>
    </row>
    <row r="1087" spans="1:18" ht="13.5" thickBot="1" x14ac:dyDescent="0.25">
      <c r="A1087" s="123">
        <v>67</v>
      </c>
      <c r="B1087" s="123">
        <v>0</v>
      </c>
      <c r="C1087" s="123">
        <v>67</v>
      </c>
      <c r="D1087" s="123">
        <v>0</v>
      </c>
      <c r="E1087" s="123">
        <v>0</v>
      </c>
      <c r="F1087" s="123">
        <v>0</v>
      </c>
      <c r="G1087" s="123">
        <v>33</v>
      </c>
      <c r="H1087" s="123">
        <v>0</v>
      </c>
      <c r="I1087" s="123">
        <v>33</v>
      </c>
      <c r="J1087" s="123">
        <v>18</v>
      </c>
      <c r="K1087" s="123">
        <v>0</v>
      </c>
      <c r="L1087" s="123">
        <v>18</v>
      </c>
      <c r="M1087" s="123">
        <v>16</v>
      </c>
      <c r="N1087" s="123">
        <v>0</v>
      </c>
      <c r="O1087" s="123">
        <v>16</v>
      </c>
      <c r="P1087" s="7" t="s">
        <v>162</v>
      </c>
      <c r="Q1087" s="124" t="s">
        <v>280</v>
      </c>
      <c r="R1087" s="1"/>
    </row>
    <row r="1088" spans="1:18" ht="13.5" thickBot="1" x14ac:dyDescent="0.25">
      <c r="A1088" s="123">
        <v>612</v>
      </c>
      <c r="B1088" s="123">
        <v>0</v>
      </c>
      <c r="C1088" s="123">
        <v>612</v>
      </c>
      <c r="D1088" s="123">
        <v>10</v>
      </c>
      <c r="E1088" s="123">
        <v>0</v>
      </c>
      <c r="F1088" s="123">
        <v>10</v>
      </c>
      <c r="G1088" s="123">
        <v>497</v>
      </c>
      <c r="H1088" s="123">
        <v>0</v>
      </c>
      <c r="I1088" s="123">
        <v>497</v>
      </c>
      <c r="J1088" s="123">
        <v>40</v>
      </c>
      <c r="K1088" s="123">
        <v>0</v>
      </c>
      <c r="L1088" s="123">
        <v>40</v>
      </c>
      <c r="M1088" s="123">
        <v>65</v>
      </c>
      <c r="N1088" s="123">
        <v>0</v>
      </c>
      <c r="O1088" s="123">
        <v>65</v>
      </c>
      <c r="P1088" s="7" t="s">
        <v>13</v>
      </c>
      <c r="Q1088" s="9"/>
      <c r="R1088" s="1"/>
    </row>
    <row r="1089" spans="1:18" ht="13.5" thickBot="1" x14ac:dyDescent="0.25">
      <c r="A1089" s="123">
        <v>150</v>
      </c>
      <c r="B1089" s="123">
        <v>0</v>
      </c>
      <c r="C1089" s="123">
        <v>150</v>
      </c>
      <c r="D1089" s="123">
        <v>6</v>
      </c>
      <c r="E1089" s="123">
        <v>0</v>
      </c>
      <c r="F1089" s="123">
        <v>6</v>
      </c>
      <c r="G1089" s="123">
        <v>130</v>
      </c>
      <c r="H1089" s="123">
        <v>0</v>
      </c>
      <c r="I1089" s="123">
        <v>130</v>
      </c>
      <c r="J1089" s="123">
        <v>8</v>
      </c>
      <c r="K1089" s="123">
        <v>0</v>
      </c>
      <c r="L1089" s="123">
        <v>8</v>
      </c>
      <c r="M1089" s="123">
        <v>6</v>
      </c>
      <c r="N1089" s="123">
        <v>0</v>
      </c>
      <c r="O1089" s="123">
        <v>6</v>
      </c>
      <c r="P1089" s="7" t="s">
        <v>163</v>
      </c>
      <c r="Q1089" s="124"/>
      <c r="R1089" s="1"/>
    </row>
    <row r="1090" spans="1:18" ht="13.5" thickBot="1" x14ac:dyDescent="0.25">
      <c r="A1090" s="123">
        <v>17</v>
      </c>
      <c r="B1090" s="123">
        <v>0</v>
      </c>
      <c r="C1090" s="123">
        <v>17</v>
      </c>
      <c r="D1090" s="123">
        <v>0</v>
      </c>
      <c r="E1090" s="123">
        <v>0</v>
      </c>
      <c r="F1090" s="123">
        <v>0</v>
      </c>
      <c r="G1090" s="123">
        <v>10</v>
      </c>
      <c r="H1090" s="123">
        <v>0</v>
      </c>
      <c r="I1090" s="123">
        <v>10</v>
      </c>
      <c r="J1090" s="123">
        <v>1</v>
      </c>
      <c r="K1090" s="123">
        <v>0</v>
      </c>
      <c r="L1090" s="123">
        <v>1</v>
      </c>
      <c r="M1090" s="123">
        <v>6</v>
      </c>
      <c r="N1090" s="123">
        <v>0</v>
      </c>
      <c r="O1090" s="123">
        <v>6</v>
      </c>
      <c r="P1090" s="7" t="s">
        <v>162</v>
      </c>
      <c r="Q1090" s="124" t="s">
        <v>281</v>
      </c>
      <c r="R1090" s="1"/>
    </row>
    <row r="1091" spans="1:18" ht="13.5" thickBot="1" x14ac:dyDescent="0.25">
      <c r="A1091" s="123">
        <v>167</v>
      </c>
      <c r="B1091" s="123">
        <v>0</v>
      </c>
      <c r="C1091" s="123">
        <v>167</v>
      </c>
      <c r="D1091" s="123">
        <v>6</v>
      </c>
      <c r="E1091" s="123">
        <v>0</v>
      </c>
      <c r="F1091" s="123">
        <v>6</v>
      </c>
      <c r="G1091" s="123">
        <v>140</v>
      </c>
      <c r="H1091" s="123">
        <v>0</v>
      </c>
      <c r="I1091" s="123">
        <v>140</v>
      </c>
      <c r="J1091" s="123">
        <v>9</v>
      </c>
      <c r="K1091" s="123">
        <v>0</v>
      </c>
      <c r="L1091" s="123">
        <v>9</v>
      </c>
      <c r="M1091" s="123">
        <v>12</v>
      </c>
      <c r="N1091" s="123">
        <v>0</v>
      </c>
      <c r="O1091" s="123">
        <v>12</v>
      </c>
      <c r="P1091" s="7" t="s">
        <v>13</v>
      </c>
      <c r="Q1091" s="9"/>
      <c r="R1091" s="1"/>
    </row>
    <row r="1092" spans="1:18" ht="13.5" thickBot="1" x14ac:dyDescent="0.25">
      <c r="A1092" s="123">
        <v>261</v>
      </c>
      <c r="B1092" s="123">
        <v>0</v>
      </c>
      <c r="C1092" s="123">
        <v>261</v>
      </c>
      <c r="D1092" s="123">
        <v>47</v>
      </c>
      <c r="E1092" s="123">
        <v>0</v>
      </c>
      <c r="F1092" s="123">
        <v>47</v>
      </c>
      <c r="G1092" s="123">
        <v>190</v>
      </c>
      <c r="H1092" s="123">
        <v>0</v>
      </c>
      <c r="I1092" s="123">
        <v>190</v>
      </c>
      <c r="J1092" s="123">
        <v>12</v>
      </c>
      <c r="K1092" s="123">
        <v>0</v>
      </c>
      <c r="L1092" s="123">
        <v>12</v>
      </c>
      <c r="M1092" s="123">
        <v>12</v>
      </c>
      <c r="N1092" s="123">
        <v>0</v>
      </c>
      <c r="O1092" s="123">
        <v>12</v>
      </c>
      <c r="P1092" s="7" t="s">
        <v>163</v>
      </c>
      <c r="Q1092" s="124"/>
      <c r="R1092" s="1"/>
    </row>
    <row r="1093" spans="1:18" ht="13.5" thickBot="1" x14ac:dyDescent="0.25">
      <c r="A1093" s="123">
        <v>19</v>
      </c>
      <c r="B1093" s="123">
        <v>0</v>
      </c>
      <c r="C1093" s="123">
        <v>19</v>
      </c>
      <c r="D1093" s="123">
        <v>0</v>
      </c>
      <c r="E1093" s="123">
        <v>0</v>
      </c>
      <c r="F1093" s="123">
        <v>0</v>
      </c>
      <c r="G1093" s="123">
        <v>7</v>
      </c>
      <c r="H1093" s="123">
        <v>0</v>
      </c>
      <c r="I1093" s="123">
        <v>7</v>
      </c>
      <c r="J1093" s="123">
        <v>4</v>
      </c>
      <c r="K1093" s="123">
        <v>0</v>
      </c>
      <c r="L1093" s="123">
        <v>4</v>
      </c>
      <c r="M1093" s="123">
        <v>8</v>
      </c>
      <c r="N1093" s="123">
        <v>0</v>
      </c>
      <c r="O1093" s="123">
        <v>8</v>
      </c>
      <c r="P1093" s="7" t="s">
        <v>162</v>
      </c>
      <c r="Q1093" s="124" t="s">
        <v>282</v>
      </c>
      <c r="R1093" s="1"/>
    </row>
    <row r="1094" spans="1:18" ht="13.5" thickBot="1" x14ac:dyDescent="0.25">
      <c r="A1094" s="123">
        <v>280</v>
      </c>
      <c r="B1094" s="123">
        <v>0</v>
      </c>
      <c r="C1094" s="123">
        <v>280</v>
      </c>
      <c r="D1094" s="123">
        <v>47</v>
      </c>
      <c r="E1094" s="123">
        <v>0</v>
      </c>
      <c r="F1094" s="123">
        <v>47</v>
      </c>
      <c r="G1094" s="123">
        <v>197</v>
      </c>
      <c r="H1094" s="123">
        <v>0</v>
      </c>
      <c r="I1094" s="123">
        <v>197</v>
      </c>
      <c r="J1094" s="123">
        <v>16</v>
      </c>
      <c r="K1094" s="123">
        <v>0</v>
      </c>
      <c r="L1094" s="123">
        <v>16</v>
      </c>
      <c r="M1094" s="123">
        <v>20</v>
      </c>
      <c r="N1094" s="123">
        <v>0</v>
      </c>
      <c r="O1094" s="123">
        <v>20</v>
      </c>
      <c r="P1094" s="7" t="s">
        <v>13</v>
      </c>
      <c r="Q1094" s="9"/>
      <c r="R1094" s="1"/>
    </row>
    <row r="1095" spans="1:18" ht="13.5" thickBot="1" x14ac:dyDescent="0.25">
      <c r="A1095" s="123">
        <v>76</v>
      </c>
      <c r="B1095" s="123">
        <v>0</v>
      </c>
      <c r="C1095" s="123">
        <v>76</v>
      </c>
      <c r="D1095" s="123">
        <v>8</v>
      </c>
      <c r="E1095" s="123">
        <v>0</v>
      </c>
      <c r="F1095" s="123">
        <v>8</v>
      </c>
      <c r="G1095" s="123">
        <v>63</v>
      </c>
      <c r="H1095" s="123">
        <v>0</v>
      </c>
      <c r="I1095" s="123">
        <v>63</v>
      </c>
      <c r="J1095" s="123">
        <v>2</v>
      </c>
      <c r="K1095" s="123">
        <v>0</v>
      </c>
      <c r="L1095" s="123">
        <v>2</v>
      </c>
      <c r="M1095" s="123">
        <v>3</v>
      </c>
      <c r="N1095" s="123">
        <v>0</v>
      </c>
      <c r="O1095" s="123">
        <v>3</v>
      </c>
      <c r="P1095" s="7" t="s">
        <v>163</v>
      </c>
      <c r="Q1095" s="124"/>
      <c r="R1095" s="1"/>
    </row>
    <row r="1096" spans="1:18" ht="13.5" thickBot="1" x14ac:dyDescent="0.25">
      <c r="A1096" s="123">
        <v>18</v>
      </c>
      <c r="B1096" s="123">
        <v>0</v>
      </c>
      <c r="C1096" s="123">
        <v>18</v>
      </c>
      <c r="D1096" s="123">
        <v>0</v>
      </c>
      <c r="E1096" s="123">
        <v>0</v>
      </c>
      <c r="F1096" s="123">
        <v>0</v>
      </c>
      <c r="G1096" s="123">
        <v>10</v>
      </c>
      <c r="H1096" s="123">
        <v>0</v>
      </c>
      <c r="I1096" s="123">
        <v>10</v>
      </c>
      <c r="J1096" s="123">
        <v>5</v>
      </c>
      <c r="K1096" s="123">
        <v>0</v>
      </c>
      <c r="L1096" s="123">
        <v>5</v>
      </c>
      <c r="M1096" s="123">
        <v>3</v>
      </c>
      <c r="N1096" s="123">
        <v>0</v>
      </c>
      <c r="O1096" s="123">
        <v>3</v>
      </c>
      <c r="P1096" s="7" t="s">
        <v>162</v>
      </c>
      <c r="Q1096" s="124" t="s">
        <v>283</v>
      </c>
      <c r="R1096" s="1"/>
    </row>
    <row r="1097" spans="1:18" ht="13.5" thickBot="1" x14ac:dyDescent="0.25">
      <c r="A1097" s="123">
        <v>94</v>
      </c>
      <c r="B1097" s="123">
        <v>0</v>
      </c>
      <c r="C1097" s="123">
        <v>94</v>
      </c>
      <c r="D1097" s="123">
        <v>8</v>
      </c>
      <c r="E1097" s="123">
        <v>0</v>
      </c>
      <c r="F1097" s="123">
        <v>8</v>
      </c>
      <c r="G1097" s="123">
        <v>73</v>
      </c>
      <c r="H1097" s="123">
        <v>0</v>
      </c>
      <c r="I1097" s="123">
        <v>73</v>
      </c>
      <c r="J1097" s="123">
        <v>7</v>
      </c>
      <c r="K1097" s="123">
        <v>0</v>
      </c>
      <c r="L1097" s="123">
        <v>7</v>
      </c>
      <c r="M1097" s="123">
        <v>6</v>
      </c>
      <c r="N1097" s="123">
        <v>0</v>
      </c>
      <c r="O1097" s="123">
        <v>6</v>
      </c>
      <c r="P1097" s="7" t="s">
        <v>13</v>
      </c>
      <c r="Q1097" s="9"/>
      <c r="R1097" s="1"/>
    </row>
    <row r="1098" spans="1:18" ht="13.5" thickBot="1" x14ac:dyDescent="0.25">
      <c r="A1098" s="123">
        <v>113</v>
      </c>
      <c r="B1098" s="123">
        <v>0</v>
      </c>
      <c r="C1098" s="123">
        <v>113</v>
      </c>
      <c r="D1098" s="123">
        <v>23</v>
      </c>
      <c r="E1098" s="123">
        <v>0</v>
      </c>
      <c r="F1098" s="123">
        <v>23</v>
      </c>
      <c r="G1098" s="123">
        <v>65</v>
      </c>
      <c r="H1098" s="123">
        <v>0</v>
      </c>
      <c r="I1098" s="123">
        <v>65</v>
      </c>
      <c r="J1098" s="123">
        <v>20</v>
      </c>
      <c r="K1098" s="123">
        <v>0</v>
      </c>
      <c r="L1098" s="123">
        <v>20</v>
      </c>
      <c r="M1098" s="123">
        <v>5</v>
      </c>
      <c r="N1098" s="123">
        <v>0</v>
      </c>
      <c r="O1098" s="123">
        <v>5</v>
      </c>
      <c r="P1098" s="7" t="s">
        <v>163</v>
      </c>
      <c r="Q1098" s="124"/>
      <c r="R1098" s="1"/>
    </row>
    <row r="1099" spans="1:18" ht="13.5" thickBot="1" x14ac:dyDescent="0.25">
      <c r="A1099" s="123">
        <v>20</v>
      </c>
      <c r="B1099" s="123">
        <v>0</v>
      </c>
      <c r="C1099" s="123">
        <v>20</v>
      </c>
      <c r="D1099" s="123">
        <v>0</v>
      </c>
      <c r="E1099" s="123">
        <v>0</v>
      </c>
      <c r="F1099" s="123">
        <v>0</v>
      </c>
      <c r="G1099" s="123">
        <v>9</v>
      </c>
      <c r="H1099" s="123">
        <v>0</v>
      </c>
      <c r="I1099" s="123">
        <v>9</v>
      </c>
      <c r="J1099" s="123">
        <v>5</v>
      </c>
      <c r="K1099" s="123">
        <v>0</v>
      </c>
      <c r="L1099" s="123">
        <v>5</v>
      </c>
      <c r="M1099" s="123">
        <v>6</v>
      </c>
      <c r="N1099" s="123">
        <v>0</v>
      </c>
      <c r="O1099" s="123">
        <v>6</v>
      </c>
      <c r="P1099" s="7" t="s">
        <v>162</v>
      </c>
      <c r="Q1099" s="124" t="s">
        <v>284</v>
      </c>
      <c r="R1099" s="1"/>
    </row>
    <row r="1100" spans="1:18" ht="13.5" thickBot="1" x14ac:dyDescent="0.25">
      <c r="A1100" s="123">
        <v>133</v>
      </c>
      <c r="B1100" s="123">
        <v>0</v>
      </c>
      <c r="C1100" s="123">
        <v>133</v>
      </c>
      <c r="D1100" s="123">
        <v>23</v>
      </c>
      <c r="E1100" s="123">
        <v>0</v>
      </c>
      <c r="F1100" s="123">
        <v>23</v>
      </c>
      <c r="G1100" s="123">
        <v>74</v>
      </c>
      <c r="H1100" s="123">
        <v>0</v>
      </c>
      <c r="I1100" s="123">
        <v>74</v>
      </c>
      <c r="J1100" s="123">
        <v>25</v>
      </c>
      <c r="K1100" s="123">
        <v>0</v>
      </c>
      <c r="L1100" s="123">
        <v>25</v>
      </c>
      <c r="M1100" s="123">
        <v>11</v>
      </c>
      <c r="N1100" s="123">
        <v>0</v>
      </c>
      <c r="O1100" s="123">
        <v>11</v>
      </c>
      <c r="P1100" s="7" t="s">
        <v>13</v>
      </c>
      <c r="Q1100" s="9"/>
      <c r="R1100" s="1"/>
    </row>
    <row r="1101" spans="1:18" ht="13.5" thickBot="1" x14ac:dyDescent="0.25">
      <c r="A1101" s="123">
        <v>187</v>
      </c>
      <c r="B1101" s="123">
        <v>0</v>
      </c>
      <c r="C1101" s="123">
        <v>187</v>
      </c>
      <c r="D1101" s="123">
        <v>21</v>
      </c>
      <c r="E1101" s="123">
        <v>0</v>
      </c>
      <c r="F1101" s="123">
        <v>21</v>
      </c>
      <c r="G1101" s="123">
        <v>149</v>
      </c>
      <c r="H1101" s="123">
        <v>0</v>
      </c>
      <c r="I1101" s="123">
        <v>149</v>
      </c>
      <c r="J1101" s="123">
        <v>9</v>
      </c>
      <c r="K1101" s="123">
        <v>0</v>
      </c>
      <c r="L1101" s="123">
        <v>9</v>
      </c>
      <c r="M1101" s="123">
        <v>8</v>
      </c>
      <c r="N1101" s="123">
        <v>0</v>
      </c>
      <c r="O1101" s="123">
        <v>8</v>
      </c>
      <c r="P1101" s="7" t="s">
        <v>163</v>
      </c>
      <c r="Q1101" s="124"/>
      <c r="R1101" s="1"/>
    </row>
    <row r="1102" spans="1:18" ht="13.5" thickBot="1" x14ac:dyDescent="0.25">
      <c r="A1102" s="123">
        <v>6</v>
      </c>
      <c r="B1102" s="123">
        <v>0</v>
      </c>
      <c r="C1102" s="123">
        <v>6</v>
      </c>
      <c r="D1102" s="123">
        <v>0</v>
      </c>
      <c r="E1102" s="123">
        <v>0</v>
      </c>
      <c r="F1102" s="123">
        <v>0</v>
      </c>
      <c r="G1102" s="123">
        <v>0</v>
      </c>
      <c r="H1102" s="123">
        <v>0</v>
      </c>
      <c r="I1102" s="123">
        <v>0</v>
      </c>
      <c r="J1102" s="123">
        <v>1</v>
      </c>
      <c r="K1102" s="123">
        <v>0</v>
      </c>
      <c r="L1102" s="123">
        <v>1</v>
      </c>
      <c r="M1102" s="123">
        <v>5</v>
      </c>
      <c r="N1102" s="123">
        <v>0</v>
      </c>
      <c r="O1102" s="123">
        <v>5</v>
      </c>
      <c r="P1102" s="7" t="s">
        <v>162</v>
      </c>
      <c r="Q1102" s="124" t="s">
        <v>285</v>
      </c>
      <c r="R1102" s="1"/>
    </row>
    <row r="1103" spans="1:18" ht="13.5" thickBot="1" x14ac:dyDescent="0.25">
      <c r="A1103" s="123">
        <v>193</v>
      </c>
      <c r="B1103" s="123">
        <v>0</v>
      </c>
      <c r="C1103" s="123">
        <v>193</v>
      </c>
      <c r="D1103" s="123">
        <v>21</v>
      </c>
      <c r="E1103" s="123">
        <v>0</v>
      </c>
      <c r="F1103" s="123">
        <v>21</v>
      </c>
      <c r="G1103" s="123">
        <v>149</v>
      </c>
      <c r="H1103" s="123">
        <v>0</v>
      </c>
      <c r="I1103" s="123">
        <v>149</v>
      </c>
      <c r="J1103" s="123">
        <v>10</v>
      </c>
      <c r="K1103" s="123">
        <v>0</v>
      </c>
      <c r="L1103" s="123">
        <v>10</v>
      </c>
      <c r="M1103" s="123">
        <v>13</v>
      </c>
      <c r="N1103" s="123">
        <v>0</v>
      </c>
      <c r="O1103" s="123">
        <v>13</v>
      </c>
      <c r="P1103" s="7" t="s">
        <v>13</v>
      </c>
      <c r="Q1103" s="9"/>
      <c r="R1103" s="1"/>
    </row>
    <row r="1104" spans="1:18" ht="13.5" thickBot="1" x14ac:dyDescent="0.25">
      <c r="A1104" s="123">
        <v>99</v>
      </c>
      <c r="B1104" s="123">
        <v>0</v>
      </c>
      <c r="C1104" s="123">
        <v>99</v>
      </c>
      <c r="D1104" s="123">
        <v>13</v>
      </c>
      <c r="E1104" s="123">
        <v>0</v>
      </c>
      <c r="F1104" s="123">
        <v>13</v>
      </c>
      <c r="G1104" s="123">
        <v>80</v>
      </c>
      <c r="H1104" s="123">
        <v>0</v>
      </c>
      <c r="I1104" s="123">
        <v>80</v>
      </c>
      <c r="J1104" s="123">
        <v>4</v>
      </c>
      <c r="K1104" s="123">
        <v>0</v>
      </c>
      <c r="L1104" s="123">
        <v>4</v>
      </c>
      <c r="M1104" s="123">
        <v>2</v>
      </c>
      <c r="N1104" s="123">
        <v>0</v>
      </c>
      <c r="O1104" s="123">
        <v>2</v>
      </c>
      <c r="P1104" s="7" t="s">
        <v>163</v>
      </c>
      <c r="Q1104" s="124"/>
      <c r="R1104" s="1"/>
    </row>
    <row r="1105" spans="1:18" ht="13.5" thickBot="1" x14ac:dyDescent="0.25">
      <c r="A1105" s="123">
        <v>15</v>
      </c>
      <c r="B1105" s="123">
        <v>0</v>
      </c>
      <c r="C1105" s="123">
        <v>15</v>
      </c>
      <c r="D1105" s="123">
        <v>0</v>
      </c>
      <c r="E1105" s="123">
        <v>0</v>
      </c>
      <c r="F1105" s="123">
        <v>0</v>
      </c>
      <c r="G1105" s="123">
        <v>2</v>
      </c>
      <c r="H1105" s="123">
        <v>0</v>
      </c>
      <c r="I1105" s="123">
        <v>2</v>
      </c>
      <c r="J1105" s="123">
        <v>7</v>
      </c>
      <c r="K1105" s="123">
        <v>0</v>
      </c>
      <c r="L1105" s="123">
        <v>7</v>
      </c>
      <c r="M1105" s="123">
        <v>6</v>
      </c>
      <c r="N1105" s="123">
        <v>0</v>
      </c>
      <c r="O1105" s="123">
        <v>6</v>
      </c>
      <c r="P1105" s="7" t="s">
        <v>162</v>
      </c>
      <c r="Q1105" s="124" t="s">
        <v>286</v>
      </c>
      <c r="R1105" s="1"/>
    </row>
    <row r="1106" spans="1:18" ht="13.5" thickBot="1" x14ac:dyDescent="0.25">
      <c r="A1106" s="123">
        <v>114</v>
      </c>
      <c r="B1106" s="123">
        <v>0</v>
      </c>
      <c r="C1106" s="123">
        <v>114</v>
      </c>
      <c r="D1106" s="123">
        <v>13</v>
      </c>
      <c r="E1106" s="123">
        <v>0</v>
      </c>
      <c r="F1106" s="123">
        <v>13</v>
      </c>
      <c r="G1106" s="123">
        <v>82</v>
      </c>
      <c r="H1106" s="123">
        <v>0</v>
      </c>
      <c r="I1106" s="123">
        <v>82</v>
      </c>
      <c r="J1106" s="123">
        <v>11</v>
      </c>
      <c r="K1106" s="123">
        <v>0</v>
      </c>
      <c r="L1106" s="123">
        <v>11</v>
      </c>
      <c r="M1106" s="123">
        <v>8</v>
      </c>
      <c r="N1106" s="123">
        <v>0</v>
      </c>
      <c r="O1106" s="123">
        <v>8</v>
      </c>
      <c r="P1106" s="7" t="s">
        <v>13</v>
      </c>
      <c r="Q1106" s="9"/>
      <c r="R1106" s="1"/>
    </row>
    <row r="1107" spans="1:18" ht="13.5" thickBot="1" x14ac:dyDescent="0.25">
      <c r="A1107" s="123">
        <v>147</v>
      </c>
      <c r="B1107" s="123">
        <v>0</v>
      </c>
      <c r="C1107" s="123">
        <v>147</v>
      </c>
      <c r="D1107" s="123">
        <v>28</v>
      </c>
      <c r="E1107" s="123">
        <v>0</v>
      </c>
      <c r="F1107" s="123">
        <v>28</v>
      </c>
      <c r="G1107" s="123">
        <v>95</v>
      </c>
      <c r="H1107" s="123">
        <v>0</v>
      </c>
      <c r="I1107" s="123">
        <v>95</v>
      </c>
      <c r="J1107" s="123">
        <v>12</v>
      </c>
      <c r="K1107" s="123">
        <v>0</v>
      </c>
      <c r="L1107" s="123">
        <v>12</v>
      </c>
      <c r="M1107" s="123">
        <v>12</v>
      </c>
      <c r="N1107" s="123">
        <v>0</v>
      </c>
      <c r="O1107" s="123">
        <v>12</v>
      </c>
      <c r="P1107" s="7" t="s">
        <v>163</v>
      </c>
      <c r="Q1107" s="124"/>
      <c r="R1107" s="1"/>
    </row>
    <row r="1108" spans="1:18" ht="13.5" thickBot="1" x14ac:dyDescent="0.25">
      <c r="A1108" s="123">
        <v>121</v>
      </c>
      <c r="B1108" s="123">
        <v>0</v>
      </c>
      <c r="C1108" s="123">
        <v>121</v>
      </c>
      <c r="D1108" s="123">
        <v>0</v>
      </c>
      <c r="E1108" s="123">
        <v>0</v>
      </c>
      <c r="F1108" s="123">
        <v>0</v>
      </c>
      <c r="G1108" s="123">
        <v>97</v>
      </c>
      <c r="H1108" s="123">
        <v>0</v>
      </c>
      <c r="I1108" s="123">
        <v>97</v>
      </c>
      <c r="J1108" s="123">
        <v>10</v>
      </c>
      <c r="K1108" s="123">
        <v>0</v>
      </c>
      <c r="L1108" s="123">
        <v>10</v>
      </c>
      <c r="M1108" s="123">
        <v>14</v>
      </c>
      <c r="N1108" s="123">
        <v>0</v>
      </c>
      <c r="O1108" s="123">
        <v>14</v>
      </c>
      <c r="P1108" s="7" t="s">
        <v>162</v>
      </c>
      <c r="Q1108" s="124" t="s">
        <v>287</v>
      </c>
      <c r="R1108" s="1"/>
    </row>
    <row r="1109" spans="1:18" ht="13.5" thickBot="1" x14ac:dyDescent="0.25">
      <c r="A1109" s="123">
        <v>268</v>
      </c>
      <c r="B1109" s="123">
        <v>0</v>
      </c>
      <c r="C1109" s="123">
        <v>268</v>
      </c>
      <c r="D1109" s="123">
        <v>28</v>
      </c>
      <c r="E1109" s="123">
        <v>0</v>
      </c>
      <c r="F1109" s="123">
        <v>28</v>
      </c>
      <c r="G1109" s="123">
        <v>192</v>
      </c>
      <c r="H1109" s="123">
        <v>0</v>
      </c>
      <c r="I1109" s="123">
        <v>192</v>
      </c>
      <c r="J1109" s="123">
        <v>22</v>
      </c>
      <c r="K1109" s="123">
        <v>0</v>
      </c>
      <c r="L1109" s="123">
        <v>22</v>
      </c>
      <c r="M1109" s="123">
        <v>26</v>
      </c>
      <c r="N1109" s="123">
        <v>0</v>
      </c>
      <c r="O1109" s="123">
        <v>26</v>
      </c>
      <c r="P1109" s="7" t="s">
        <v>13</v>
      </c>
      <c r="Q1109" s="9"/>
      <c r="R1109" s="1"/>
    </row>
    <row r="1110" spans="1:18" ht="13.5" thickBot="1" x14ac:dyDescent="0.25">
      <c r="A1110" s="123">
        <v>330</v>
      </c>
      <c r="B1110" s="123">
        <v>0</v>
      </c>
      <c r="C1110" s="123">
        <v>330</v>
      </c>
      <c r="D1110" s="123">
        <v>0</v>
      </c>
      <c r="E1110" s="123">
        <v>0</v>
      </c>
      <c r="F1110" s="123">
        <v>0</v>
      </c>
      <c r="G1110" s="123">
        <v>317</v>
      </c>
      <c r="H1110" s="123">
        <v>0</v>
      </c>
      <c r="I1110" s="123">
        <v>317</v>
      </c>
      <c r="J1110" s="123">
        <v>8</v>
      </c>
      <c r="K1110" s="123">
        <v>0</v>
      </c>
      <c r="L1110" s="123">
        <v>8</v>
      </c>
      <c r="M1110" s="123">
        <v>5</v>
      </c>
      <c r="N1110" s="123">
        <v>0</v>
      </c>
      <c r="O1110" s="123">
        <v>5</v>
      </c>
      <c r="P1110" s="7" t="s">
        <v>163</v>
      </c>
      <c r="Q1110" s="124"/>
      <c r="R1110" s="1"/>
    </row>
    <row r="1111" spans="1:18" ht="13.5" thickBot="1" x14ac:dyDescent="0.25">
      <c r="A1111" s="123">
        <v>10</v>
      </c>
      <c r="B1111" s="123">
        <v>0</v>
      </c>
      <c r="C1111" s="123">
        <v>10</v>
      </c>
      <c r="D1111" s="123">
        <v>0</v>
      </c>
      <c r="E1111" s="123">
        <v>0</v>
      </c>
      <c r="F1111" s="123">
        <v>0</v>
      </c>
      <c r="G1111" s="123">
        <v>0</v>
      </c>
      <c r="H1111" s="123">
        <v>0</v>
      </c>
      <c r="I1111" s="123">
        <v>0</v>
      </c>
      <c r="J1111" s="123">
        <v>4</v>
      </c>
      <c r="K1111" s="123">
        <v>0</v>
      </c>
      <c r="L1111" s="123">
        <v>4</v>
      </c>
      <c r="M1111" s="123">
        <v>6</v>
      </c>
      <c r="N1111" s="123">
        <v>0</v>
      </c>
      <c r="O1111" s="123">
        <v>6</v>
      </c>
      <c r="P1111" s="7" t="s">
        <v>162</v>
      </c>
      <c r="Q1111" s="124" t="s">
        <v>288</v>
      </c>
      <c r="R1111" s="1"/>
    </row>
    <row r="1112" spans="1:18" ht="13.5" thickBot="1" x14ac:dyDescent="0.25">
      <c r="A1112" s="123">
        <v>340</v>
      </c>
      <c r="B1112" s="123">
        <v>0</v>
      </c>
      <c r="C1112" s="123">
        <v>340</v>
      </c>
      <c r="D1112" s="123">
        <v>0</v>
      </c>
      <c r="E1112" s="123">
        <v>0</v>
      </c>
      <c r="F1112" s="123">
        <v>0</v>
      </c>
      <c r="G1112" s="123">
        <v>317</v>
      </c>
      <c r="H1112" s="123">
        <v>0</v>
      </c>
      <c r="I1112" s="123">
        <v>317</v>
      </c>
      <c r="J1112" s="123">
        <v>12</v>
      </c>
      <c r="K1112" s="123">
        <v>0</v>
      </c>
      <c r="L1112" s="123">
        <v>12</v>
      </c>
      <c r="M1112" s="123">
        <v>11</v>
      </c>
      <c r="N1112" s="123">
        <v>0</v>
      </c>
      <c r="O1112" s="123">
        <v>11</v>
      </c>
      <c r="P1112" s="7" t="s">
        <v>13</v>
      </c>
      <c r="Q1112" s="9"/>
      <c r="R1112" s="1"/>
    </row>
    <row r="1113" spans="1:18" ht="13.5" thickBot="1" x14ac:dyDescent="0.25">
      <c r="A1113" s="123">
        <v>131</v>
      </c>
      <c r="B1113" s="123">
        <v>0</v>
      </c>
      <c r="C1113" s="123">
        <v>131</v>
      </c>
      <c r="D1113" s="123">
        <v>17</v>
      </c>
      <c r="E1113" s="123">
        <v>0</v>
      </c>
      <c r="F1113" s="123">
        <v>17</v>
      </c>
      <c r="G1113" s="123">
        <v>100</v>
      </c>
      <c r="H1113" s="123">
        <v>0</v>
      </c>
      <c r="I1113" s="123">
        <v>100</v>
      </c>
      <c r="J1113" s="123">
        <v>6</v>
      </c>
      <c r="K1113" s="123">
        <v>0</v>
      </c>
      <c r="L1113" s="123">
        <v>6</v>
      </c>
      <c r="M1113" s="123">
        <v>8</v>
      </c>
      <c r="N1113" s="123">
        <v>0</v>
      </c>
      <c r="O1113" s="123">
        <v>8</v>
      </c>
      <c r="P1113" s="7" t="s">
        <v>163</v>
      </c>
      <c r="Q1113" s="124"/>
      <c r="R1113" s="1"/>
    </row>
    <row r="1114" spans="1:18" ht="13.5" thickBot="1" x14ac:dyDescent="0.25">
      <c r="A1114" s="123">
        <v>63</v>
      </c>
      <c r="B1114" s="123">
        <v>0</v>
      </c>
      <c r="C1114" s="123">
        <v>63</v>
      </c>
      <c r="D1114" s="123">
        <v>0</v>
      </c>
      <c r="E1114" s="123">
        <v>0</v>
      </c>
      <c r="F1114" s="123">
        <v>0</v>
      </c>
      <c r="G1114" s="123">
        <v>58</v>
      </c>
      <c r="H1114" s="123">
        <v>0</v>
      </c>
      <c r="I1114" s="123">
        <v>58</v>
      </c>
      <c r="J1114" s="123">
        <v>2</v>
      </c>
      <c r="K1114" s="123">
        <v>0</v>
      </c>
      <c r="L1114" s="123">
        <v>2</v>
      </c>
      <c r="M1114" s="123">
        <v>3</v>
      </c>
      <c r="N1114" s="123">
        <v>0</v>
      </c>
      <c r="O1114" s="123">
        <v>3</v>
      </c>
      <c r="P1114" s="7" t="s">
        <v>162</v>
      </c>
      <c r="Q1114" s="124" t="s">
        <v>289</v>
      </c>
      <c r="R1114" s="1"/>
    </row>
    <row r="1115" spans="1:18" ht="13.5" thickBot="1" x14ac:dyDescent="0.25">
      <c r="A1115" s="123">
        <v>194</v>
      </c>
      <c r="B1115" s="123">
        <v>0</v>
      </c>
      <c r="C1115" s="123">
        <v>194</v>
      </c>
      <c r="D1115" s="123">
        <v>17</v>
      </c>
      <c r="E1115" s="123">
        <v>0</v>
      </c>
      <c r="F1115" s="123">
        <v>17</v>
      </c>
      <c r="G1115" s="123">
        <v>158</v>
      </c>
      <c r="H1115" s="123">
        <v>0</v>
      </c>
      <c r="I1115" s="123">
        <v>158</v>
      </c>
      <c r="J1115" s="123">
        <v>8</v>
      </c>
      <c r="K1115" s="123">
        <v>0</v>
      </c>
      <c r="L1115" s="123">
        <v>8</v>
      </c>
      <c r="M1115" s="123">
        <v>11</v>
      </c>
      <c r="N1115" s="123">
        <v>0</v>
      </c>
      <c r="O1115" s="123">
        <v>11</v>
      </c>
      <c r="P1115" s="7" t="s">
        <v>13</v>
      </c>
      <c r="Q1115" s="9"/>
      <c r="R1115" s="1"/>
    </row>
    <row r="1116" spans="1:18" ht="13.5" thickBot="1" x14ac:dyDescent="0.25">
      <c r="A1116" s="123">
        <v>101</v>
      </c>
      <c r="B1116" s="123">
        <v>0</v>
      </c>
      <c r="C1116" s="123">
        <v>101</v>
      </c>
      <c r="D1116" s="123">
        <v>18</v>
      </c>
      <c r="E1116" s="123">
        <v>0</v>
      </c>
      <c r="F1116" s="123">
        <v>18</v>
      </c>
      <c r="G1116" s="123">
        <v>60</v>
      </c>
      <c r="H1116" s="123">
        <v>0</v>
      </c>
      <c r="I1116" s="123">
        <v>60</v>
      </c>
      <c r="J1116" s="123">
        <v>8</v>
      </c>
      <c r="K1116" s="123">
        <v>0</v>
      </c>
      <c r="L1116" s="123">
        <v>8</v>
      </c>
      <c r="M1116" s="123">
        <v>15</v>
      </c>
      <c r="N1116" s="123">
        <v>0</v>
      </c>
      <c r="O1116" s="123">
        <v>15</v>
      </c>
      <c r="P1116" s="7" t="s">
        <v>163</v>
      </c>
      <c r="Q1116" s="124"/>
      <c r="R1116" s="1"/>
    </row>
    <row r="1117" spans="1:18" ht="13.5" thickBot="1" x14ac:dyDescent="0.25">
      <c r="A1117" s="123">
        <v>29</v>
      </c>
      <c r="B1117" s="123">
        <v>0</v>
      </c>
      <c r="C1117" s="123">
        <v>29</v>
      </c>
      <c r="D1117" s="123">
        <v>2</v>
      </c>
      <c r="E1117" s="123">
        <v>0</v>
      </c>
      <c r="F1117" s="123">
        <v>2</v>
      </c>
      <c r="G1117" s="123">
        <v>10</v>
      </c>
      <c r="H1117" s="123">
        <v>0</v>
      </c>
      <c r="I1117" s="123">
        <v>10</v>
      </c>
      <c r="J1117" s="123">
        <v>11</v>
      </c>
      <c r="K1117" s="123">
        <v>0</v>
      </c>
      <c r="L1117" s="123">
        <v>11</v>
      </c>
      <c r="M1117" s="123">
        <v>6</v>
      </c>
      <c r="N1117" s="123">
        <v>0</v>
      </c>
      <c r="O1117" s="123">
        <v>6</v>
      </c>
      <c r="P1117" s="7" t="s">
        <v>162</v>
      </c>
      <c r="Q1117" s="124" t="s">
        <v>290</v>
      </c>
      <c r="R1117" s="1"/>
    </row>
    <row r="1118" spans="1:18" ht="13.5" thickBot="1" x14ac:dyDescent="0.25">
      <c r="A1118" s="123">
        <v>130</v>
      </c>
      <c r="B1118" s="123">
        <v>0</v>
      </c>
      <c r="C1118" s="123">
        <v>130</v>
      </c>
      <c r="D1118" s="123">
        <v>20</v>
      </c>
      <c r="E1118" s="123">
        <v>0</v>
      </c>
      <c r="F1118" s="123">
        <v>20</v>
      </c>
      <c r="G1118" s="123">
        <v>70</v>
      </c>
      <c r="H1118" s="123">
        <v>0</v>
      </c>
      <c r="I1118" s="123">
        <v>70</v>
      </c>
      <c r="J1118" s="123">
        <v>19</v>
      </c>
      <c r="K1118" s="123">
        <v>0</v>
      </c>
      <c r="L1118" s="123">
        <v>19</v>
      </c>
      <c r="M1118" s="123">
        <v>21</v>
      </c>
      <c r="N1118" s="123">
        <v>0</v>
      </c>
      <c r="O1118" s="123">
        <v>21</v>
      </c>
      <c r="P1118" s="7" t="s">
        <v>13</v>
      </c>
      <c r="Q1118" s="9"/>
      <c r="R1118" s="1"/>
    </row>
    <row r="1119" spans="1:18" ht="13.5" thickBot="1" x14ac:dyDescent="0.25">
      <c r="A1119" s="123">
        <v>102</v>
      </c>
      <c r="B1119" s="123">
        <v>0</v>
      </c>
      <c r="C1119" s="123">
        <v>102</v>
      </c>
      <c r="D1119" s="123">
        <v>24</v>
      </c>
      <c r="E1119" s="123">
        <v>0</v>
      </c>
      <c r="F1119" s="123">
        <v>24</v>
      </c>
      <c r="G1119" s="123">
        <v>63</v>
      </c>
      <c r="H1119" s="123">
        <v>0</v>
      </c>
      <c r="I1119" s="123">
        <v>63</v>
      </c>
      <c r="J1119" s="123">
        <v>5</v>
      </c>
      <c r="K1119" s="123">
        <v>0</v>
      </c>
      <c r="L1119" s="123">
        <v>5</v>
      </c>
      <c r="M1119" s="123">
        <v>10</v>
      </c>
      <c r="N1119" s="123">
        <v>0</v>
      </c>
      <c r="O1119" s="123">
        <v>10</v>
      </c>
      <c r="P1119" s="7" t="s">
        <v>163</v>
      </c>
      <c r="Q1119" s="124"/>
      <c r="R1119" s="1"/>
    </row>
    <row r="1120" spans="1:18" ht="13.5" thickBot="1" x14ac:dyDescent="0.25">
      <c r="A1120" s="123">
        <v>20</v>
      </c>
      <c r="B1120" s="123">
        <v>0</v>
      </c>
      <c r="C1120" s="123">
        <v>20</v>
      </c>
      <c r="D1120" s="123">
        <v>0</v>
      </c>
      <c r="E1120" s="123">
        <v>0</v>
      </c>
      <c r="F1120" s="123">
        <v>0</v>
      </c>
      <c r="G1120" s="123">
        <v>10</v>
      </c>
      <c r="H1120" s="123">
        <v>0</v>
      </c>
      <c r="I1120" s="123">
        <v>10</v>
      </c>
      <c r="J1120" s="123">
        <v>4</v>
      </c>
      <c r="K1120" s="123">
        <v>0</v>
      </c>
      <c r="L1120" s="123">
        <v>4</v>
      </c>
      <c r="M1120" s="123">
        <v>6</v>
      </c>
      <c r="N1120" s="123">
        <v>0</v>
      </c>
      <c r="O1120" s="123">
        <v>6</v>
      </c>
      <c r="P1120" s="7" t="s">
        <v>162</v>
      </c>
      <c r="Q1120" s="124" t="s">
        <v>291</v>
      </c>
      <c r="R1120" s="1"/>
    </row>
    <row r="1121" spans="1:18" ht="13.5" thickBot="1" x14ac:dyDescent="0.25">
      <c r="A1121" s="123">
        <v>122</v>
      </c>
      <c r="B1121" s="123">
        <v>0</v>
      </c>
      <c r="C1121" s="123">
        <v>122</v>
      </c>
      <c r="D1121" s="123">
        <v>24</v>
      </c>
      <c r="E1121" s="123">
        <v>0</v>
      </c>
      <c r="F1121" s="123">
        <v>24</v>
      </c>
      <c r="G1121" s="123">
        <v>73</v>
      </c>
      <c r="H1121" s="123">
        <v>0</v>
      </c>
      <c r="I1121" s="123">
        <v>73</v>
      </c>
      <c r="J1121" s="123">
        <v>9</v>
      </c>
      <c r="K1121" s="123">
        <v>0</v>
      </c>
      <c r="L1121" s="123">
        <v>9</v>
      </c>
      <c r="M1121" s="123">
        <v>16</v>
      </c>
      <c r="N1121" s="123">
        <v>0</v>
      </c>
      <c r="O1121" s="123">
        <v>16</v>
      </c>
      <c r="P1121" s="7" t="s">
        <v>13</v>
      </c>
      <c r="Q1121" s="9"/>
      <c r="R1121" s="1"/>
    </row>
    <row r="1122" spans="1:18" ht="13.5" thickBot="1" x14ac:dyDescent="0.25">
      <c r="A1122" s="123">
        <v>34</v>
      </c>
      <c r="B1122" s="123">
        <v>0</v>
      </c>
      <c r="C1122" s="123">
        <v>34</v>
      </c>
      <c r="D1122" s="123">
        <v>0</v>
      </c>
      <c r="E1122" s="123">
        <v>0</v>
      </c>
      <c r="F1122" s="123">
        <v>0</v>
      </c>
      <c r="G1122" s="123">
        <v>30</v>
      </c>
      <c r="H1122" s="123">
        <v>0</v>
      </c>
      <c r="I1122" s="123">
        <v>30</v>
      </c>
      <c r="J1122" s="123">
        <v>4</v>
      </c>
      <c r="K1122" s="123">
        <v>0</v>
      </c>
      <c r="L1122" s="123">
        <v>4</v>
      </c>
      <c r="M1122" s="123">
        <v>0</v>
      </c>
      <c r="N1122" s="123">
        <v>0</v>
      </c>
      <c r="O1122" s="123">
        <v>0</v>
      </c>
      <c r="P1122" s="7" t="s">
        <v>163</v>
      </c>
      <c r="Q1122" s="124"/>
      <c r="R1122" s="1"/>
    </row>
    <row r="1123" spans="1:18" ht="13.5" thickBot="1" x14ac:dyDescent="0.25">
      <c r="A1123" s="123">
        <v>30</v>
      </c>
      <c r="B1123" s="123">
        <v>0</v>
      </c>
      <c r="C1123" s="123">
        <v>30</v>
      </c>
      <c r="D1123" s="123">
        <v>0</v>
      </c>
      <c r="E1123" s="123">
        <v>0</v>
      </c>
      <c r="F1123" s="123">
        <v>0</v>
      </c>
      <c r="G1123" s="123">
        <v>25</v>
      </c>
      <c r="H1123" s="123">
        <v>0</v>
      </c>
      <c r="I1123" s="123">
        <v>25</v>
      </c>
      <c r="J1123" s="123">
        <v>5</v>
      </c>
      <c r="K1123" s="123">
        <v>0</v>
      </c>
      <c r="L1123" s="123">
        <v>5</v>
      </c>
      <c r="M1123" s="123">
        <v>0</v>
      </c>
      <c r="N1123" s="123">
        <v>0</v>
      </c>
      <c r="O1123" s="123">
        <v>0</v>
      </c>
      <c r="P1123" s="7" t="s">
        <v>162</v>
      </c>
      <c r="Q1123" s="124" t="s">
        <v>292</v>
      </c>
      <c r="R1123" s="1"/>
    </row>
    <row r="1124" spans="1:18" ht="13.5" thickBot="1" x14ac:dyDescent="0.25">
      <c r="A1124" s="123">
        <v>64</v>
      </c>
      <c r="B1124" s="123">
        <v>0</v>
      </c>
      <c r="C1124" s="123">
        <v>64</v>
      </c>
      <c r="D1124" s="123">
        <v>0</v>
      </c>
      <c r="E1124" s="123">
        <v>0</v>
      </c>
      <c r="F1124" s="123">
        <v>0</v>
      </c>
      <c r="G1124" s="123">
        <v>55</v>
      </c>
      <c r="H1124" s="123">
        <v>0</v>
      </c>
      <c r="I1124" s="123">
        <v>55</v>
      </c>
      <c r="J1124" s="123">
        <v>9</v>
      </c>
      <c r="K1124" s="123">
        <v>0</v>
      </c>
      <c r="L1124" s="123">
        <v>9</v>
      </c>
      <c r="M1124" s="123">
        <v>0</v>
      </c>
      <c r="N1124" s="123">
        <v>0</v>
      </c>
      <c r="O1124" s="123">
        <v>0</v>
      </c>
      <c r="P1124" s="7" t="s">
        <v>13</v>
      </c>
      <c r="Q1124" s="9"/>
      <c r="R1124" s="1"/>
    </row>
    <row r="1125" spans="1:18" ht="13.5" thickBot="1" x14ac:dyDescent="0.25">
      <c r="A1125" s="123">
        <v>89</v>
      </c>
      <c r="B1125" s="123">
        <v>0</v>
      </c>
      <c r="C1125" s="123">
        <v>89</v>
      </c>
      <c r="D1125" s="123">
        <v>5</v>
      </c>
      <c r="E1125" s="123">
        <v>0</v>
      </c>
      <c r="F1125" s="123">
        <v>5</v>
      </c>
      <c r="G1125" s="123">
        <v>68</v>
      </c>
      <c r="H1125" s="123">
        <v>0</v>
      </c>
      <c r="I1125" s="123">
        <v>68</v>
      </c>
      <c r="J1125" s="123">
        <v>15</v>
      </c>
      <c r="K1125" s="123">
        <v>0</v>
      </c>
      <c r="L1125" s="123">
        <v>15</v>
      </c>
      <c r="M1125" s="123">
        <v>1</v>
      </c>
      <c r="N1125" s="123">
        <v>0</v>
      </c>
      <c r="O1125" s="123">
        <v>1</v>
      </c>
      <c r="P1125" s="7" t="s">
        <v>163</v>
      </c>
      <c r="Q1125" s="124"/>
      <c r="R1125" s="1"/>
    </row>
    <row r="1126" spans="1:18" ht="13.5" thickBot="1" x14ac:dyDescent="0.25">
      <c r="A1126" s="123">
        <v>15</v>
      </c>
      <c r="B1126" s="123">
        <v>0</v>
      </c>
      <c r="C1126" s="123">
        <v>15</v>
      </c>
      <c r="D1126" s="123">
        <v>0</v>
      </c>
      <c r="E1126" s="123">
        <v>0</v>
      </c>
      <c r="F1126" s="123">
        <v>0</v>
      </c>
      <c r="G1126" s="123">
        <v>11</v>
      </c>
      <c r="H1126" s="123">
        <v>0</v>
      </c>
      <c r="I1126" s="123">
        <v>11</v>
      </c>
      <c r="J1126" s="123">
        <v>4</v>
      </c>
      <c r="K1126" s="123">
        <v>0</v>
      </c>
      <c r="L1126" s="123">
        <v>4</v>
      </c>
      <c r="M1126" s="123">
        <v>0</v>
      </c>
      <c r="N1126" s="123">
        <v>0</v>
      </c>
      <c r="O1126" s="123">
        <v>0</v>
      </c>
      <c r="P1126" s="7" t="s">
        <v>162</v>
      </c>
      <c r="Q1126" s="124" t="s">
        <v>293</v>
      </c>
      <c r="R1126" s="1"/>
    </row>
    <row r="1127" spans="1:18" ht="13.5" thickBot="1" x14ac:dyDescent="0.25">
      <c r="A1127" s="123">
        <v>104</v>
      </c>
      <c r="B1127" s="123">
        <v>0</v>
      </c>
      <c r="C1127" s="123">
        <v>104</v>
      </c>
      <c r="D1127" s="123">
        <v>5</v>
      </c>
      <c r="E1127" s="123">
        <v>0</v>
      </c>
      <c r="F1127" s="123">
        <v>5</v>
      </c>
      <c r="G1127" s="123">
        <v>79</v>
      </c>
      <c r="H1127" s="123">
        <v>0</v>
      </c>
      <c r="I1127" s="123">
        <v>79</v>
      </c>
      <c r="J1127" s="123">
        <v>19</v>
      </c>
      <c r="K1127" s="123">
        <v>0</v>
      </c>
      <c r="L1127" s="123">
        <v>19</v>
      </c>
      <c r="M1127" s="123">
        <v>1</v>
      </c>
      <c r="N1127" s="123">
        <v>0</v>
      </c>
      <c r="O1127" s="123">
        <v>1</v>
      </c>
      <c r="P1127" s="7" t="s">
        <v>13</v>
      </c>
      <c r="Q1127" s="9"/>
      <c r="R1127" s="1"/>
    </row>
    <row r="1128" spans="1:18" ht="13.5" thickBot="1" x14ac:dyDescent="0.25">
      <c r="A1128" s="123">
        <v>130</v>
      </c>
      <c r="B1128" s="123">
        <v>0</v>
      </c>
      <c r="C1128" s="123">
        <v>130</v>
      </c>
      <c r="D1128" s="123">
        <v>17</v>
      </c>
      <c r="E1128" s="123">
        <v>0</v>
      </c>
      <c r="F1128" s="123">
        <v>17</v>
      </c>
      <c r="G1128" s="123">
        <v>100</v>
      </c>
      <c r="H1128" s="123">
        <v>0</v>
      </c>
      <c r="I1128" s="123">
        <v>100</v>
      </c>
      <c r="J1128" s="123">
        <v>13</v>
      </c>
      <c r="K1128" s="123">
        <v>0</v>
      </c>
      <c r="L1128" s="123">
        <v>13</v>
      </c>
      <c r="M1128" s="123">
        <v>0</v>
      </c>
      <c r="N1128" s="123">
        <v>0</v>
      </c>
      <c r="O1128" s="123">
        <v>0</v>
      </c>
      <c r="P1128" s="7" t="s">
        <v>163</v>
      </c>
      <c r="Q1128" s="124"/>
      <c r="R1128" s="1"/>
    </row>
    <row r="1129" spans="1:18" ht="13.5" thickBot="1" x14ac:dyDescent="0.25">
      <c r="A1129" s="123">
        <v>21</v>
      </c>
      <c r="B1129" s="123">
        <v>0</v>
      </c>
      <c r="C1129" s="123">
        <v>21</v>
      </c>
      <c r="D1129" s="123">
        <v>0</v>
      </c>
      <c r="E1129" s="123">
        <v>0</v>
      </c>
      <c r="F1129" s="123">
        <v>0</v>
      </c>
      <c r="G1129" s="123">
        <v>11</v>
      </c>
      <c r="H1129" s="123">
        <v>0</v>
      </c>
      <c r="I1129" s="123">
        <v>11</v>
      </c>
      <c r="J1129" s="123">
        <v>8</v>
      </c>
      <c r="K1129" s="123">
        <v>0</v>
      </c>
      <c r="L1129" s="123">
        <v>8</v>
      </c>
      <c r="M1129" s="123">
        <v>2</v>
      </c>
      <c r="N1129" s="123">
        <v>0</v>
      </c>
      <c r="O1129" s="123">
        <v>2</v>
      </c>
      <c r="P1129" s="7" t="s">
        <v>162</v>
      </c>
      <c r="Q1129" s="124" t="s">
        <v>294</v>
      </c>
      <c r="R1129" s="1"/>
    </row>
    <row r="1130" spans="1:18" ht="13.5" thickBot="1" x14ac:dyDescent="0.25">
      <c r="A1130" s="123">
        <v>151</v>
      </c>
      <c r="B1130" s="123">
        <v>0</v>
      </c>
      <c r="C1130" s="123">
        <v>151</v>
      </c>
      <c r="D1130" s="123">
        <v>17</v>
      </c>
      <c r="E1130" s="123">
        <v>0</v>
      </c>
      <c r="F1130" s="123">
        <v>17</v>
      </c>
      <c r="G1130" s="123">
        <v>111</v>
      </c>
      <c r="H1130" s="123">
        <v>0</v>
      </c>
      <c r="I1130" s="123">
        <v>111</v>
      </c>
      <c r="J1130" s="123">
        <v>21</v>
      </c>
      <c r="K1130" s="123">
        <v>0</v>
      </c>
      <c r="L1130" s="123">
        <v>21</v>
      </c>
      <c r="M1130" s="123">
        <v>2</v>
      </c>
      <c r="N1130" s="123">
        <v>0</v>
      </c>
      <c r="O1130" s="123">
        <v>2</v>
      </c>
      <c r="P1130" s="7" t="s">
        <v>13</v>
      </c>
      <c r="Q1130" s="9"/>
      <c r="R1130" s="1"/>
    </row>
    <row r="1131" spans="1:18" ht="13.5" thickBot="1" x14ac:dyDescent="0.25">
      <c r="A1131" s="123">
        <v>71</v>
      </c>
      <c r="B1131" s="123">
        <v>0</v>
      </c>
      <c r="C1131" s="123">
        <v>71</v>
      </c>
      <c r="D1131" s="123">
        <v>3</v>
      </c>
      <c r="E1131" s="123">
        <v>0</v>
      </c>
      <c r="F1131" s="123">
        <v>3</v>
      </c>
      <c r="G1131" s="123">
        <v>60</v>
      </c>
      <c r="H1131" s="123">
        <v>0</v>
      </c>
      <c r="I1131" s="123">
        <v>60</v>
      </c>
      <c r="J1131" s="123">
        <v>6</v>
      </c>
      <c r="K1131" s="123">
        <v>0</v>
      </c>
      <c r="L1131" s="123">
        <v>6</v>
      </c>
      <c r="M1131" s="123">
        <v>2</v>
      </c>
      <c r="N1131" s="123">
        <v>0</v>
      </c>
      <c r="O1131" s="123">
        <v>2</v>
      </c>
      <c r="P1131" s="7" t="s">
        <v>163</v>
      </c>
      <c r="Q1131" s="124"/>
      <c r="R1131" s="1"/>
    </row>
    <row r="1132" spans="1:18" ht="13.5" thickBot="1" x14ac:dyDescent="0.25">
      <c r="A1132" s="123">
        <v>14</v>
      </c>
      <c r="B1132" s="123">
        <v>0</v>
      </c>
      <c r="C1132" s="123">
        <v>14</v>
      </c>
      <c r="D1132" s="123">
        <v>0</v>
      </c>
      <c r="E1132" s="123">
        <v>0</v>
      </c>
      <c r="F1132" s="123">
        <v>0</v>
      </c>
      <c r="G1132" s="123">
        <v>4</v>
      </c>
      <c r="H1132" s="123">
        <v>0</v>
      </c>
      <c r="I1132" s="123">
        <v>4</v>
      </c>
      <c r="J1132" s="123">
        <v>7</v>
      </c>
      <c r="K1132" s="123">
        <v>0</v>
      </c>
      <c r="L1132" s="123">
        <v>7</v>
      </c>
      <c r="M1132" s="123">
        <v>3</v>
      </c>
      <c r="N1132" s="123">
        <v>0</v>
      </c>
      <c r="O1132" s="123">
        <v>3</v>
      </c>
      <c r="P1132" s="7" t="s">
        <v>162</v>
      </c>
      <c r="Q1132" s="124" t="s">
        <v>295</v>
      </c>
      <c r="R1132" s="1"/>
    </row>
    <row r="1133" spans="1:18" ht="13.5" thickBot="1" x14ac:dyDescent="0.25">
      <c r="A1133" s="123">
        <v>85</v>
      </c>
      <c r="B1133" s="123">
        <v>0</v>
      </c>
      <c r="C1133" s="123">
        <v>85</v>
      </c>
      <c r="D1133" s="123">
        <v>3</v>
      </c>
      <c r="E1133" s="123">
        <v>0</v>
      </c>
      <c r="F1133" s="123">
        <v>3</v>
      </c>
      <c r="G1133" s="123">
        <v>64</v>
      </c>
      <c r="H1133" s="123">
        <v>0</v>
      </c>
      <c r="I1133" s="123">
        <v>64</v>
      </c>
      <c r="J1133" s="123">
        <v>13</v>
      </c>
      <c r="K1133" s="123">
        <v>0</v>
      </c>
      <c r="L1133" s="123">
        <v>13</v>
      </c>
      <c r="M1133" s="123">
        <v>5</v>
      </c>
      <c r="N1133" s="123">
        <v>0</v>
      </c>
      <c r="O1133" s="123">
        <v>5</v>
      </c>
      <c r="P1133" s="7" t="s">
        <v>13</v>
      </c>
      <c r="Q1133" s="9"/>
      <c r="R1133" s="1"/>
    </row>
    <row r="1134" spans="1:18" ht="13.5" thickBot="1" x14ac:dyDescent="0.25">
      <c r="A1134" s="123">
        <v>92</v>
      </c>
      <c r="B1134" s="123">
        <v>0</v>
      </c>
      <c r="C1134" s="123">
        <v>92</v>
      </c>
      <c r="D1134" s="123">
        <v>25</v>
      </c>
      <c r="E1134" s="123">
        <v>0</v>
      </c>
      <c r="F1134" s="123">
        <v>25</v>
      </c>
      <c r="G1134" s="123">
        <v>46</v>
      </c>
      <c r="H1134" s="123">
        <v>0</v>
      </c>
      <c r="I1134" s="123">
        <v>46</v>
      </c>
      <c r="J1134" s="123">
        <v>21</v>
      </c>
      <c r="K1134" s="123">
        <v>0</v>
      </c>
      <c r="L1134" s="123">
        <v>21</v>
      </c>
      <c r="M1134" s="123">
        <v>0</v>
      </c>
      <c r="N1134" s="123">
        <v>0</v>
      </c>
      <c r="O1134" s="123">
        <v>0</v>
      </c>
      <c r="P1134" s="7" t="s">
        <v>163</v>
      </c>
      <c r="Q1134" s="124"/>
      <c r="R1134" s="1"/>
    </row>
    <row r="1135" spans="1:18" ht="13.5" thickBot="1" x14ac:dyDescent="0.25">
      <c r="A1135" s="123">
        <v>5</v>
      </c>
      <c r="B1135" s="123">
        <v>0</v>
      </c>
      <c r="C1135" s="123">
        <v>5</v>
      </c>
      <c r="D1135" s="123">
        <v>0</v>
      </c>
      <c r="E1135" s="123">
        <v>0</v>
      </c>
      <c r="F1135" s="123">
        <v>0</v>
      </c>
      <c r="G1135" s="123">
        <v>0</v>
      </c>
      <c r="H1135" s="123">
        <v>0</v>
      </c>
      <c r="I1135" s="123">
        <v>0</v>
      </c>
      <c r="J1135" s="123">
        <v>0</v>
      </c>
      <c r="K1135" s="123">
        <v>0</v>
      </c>
      <c r="L1135" s="123">
        <v>0</v>
      </c>
      <c r="M1135" s="123">
        <v>5</v>
      </c>
      <c r="N1135" s="123">
        <v>0</v>
      </c>
      <c r="O1135" s="123">
        <v>5</v>
      </c>
      <c r="P1135" s="7" t="s">
        <v>162</v>
      </c>
      <c r="Q1135" s="124" t="s">
        <v>296</v>
      </c>
      <c r="R1135" s="1"/>
    </row>
    <row r="1136" spans="1:18" ht="13.5" thickBot="1" x14ac:dyDescent="0.25">
      <c r="A1136" s="123">
        <v>97</v>
      </c>
      <c r="B1136" s="123">
        <v>0</v>
      </c>
      <c r="C1136" s="123">
        <v>97</v>
      </c>
      <c r="D1136" s="123">
        <v>25</v>
      </c>
      <c r="E1136" s="123">
        <v>0</v>
      </c>
      <c r="F1136" s="123">
        <v>25</v>
      </c>
      <c r="G1136" s="123">
        <v>46</v>
      </c>
      <c r="H1136" s="123">
        <v>0</v>
      </c>
      <c r="I1136" s="123">
        <v>46</v>
      </c>
      <c r="J1136" s="123">
        <v>21</v>
      </c>
      <c r="K1136" s="123">
        <v>0</v>
      </c>
      <c r="L1136" s="123">
        <v>21</v>
      </c>
      <c r="M1136" s="123">
        <v>5</v>
      </c>
      <c r="N1136" s="123">
        <v>0</v>
      </c>
      <c r="O1136" s="123">
        <v>5</v>
      </c>
      <c r="P1136" s="7" t="s">
        <v>13</v>
      </c>
      <c r="Q1136" s="9"/>
      <c r="R1136" s="1"/>
    </row>
    <row r="1137" spans="1:18" ht="13.5" thickBot="1" x14ac:dyDescent="0.25">
      <c r="A1137" s="123">
        <v>45</v>
      </c>
      <c r="B1137" s="123">
        <v>0</v>
      </c>
      <c r="C1137" s="123">
        <v>45</v>
      </c>
      <c r="D1137" s="123">
        <v>0</v>
      </c>
      <c r="E1137" s="123">
        <v>0</v>
      </c>
      <c r="F1137" s="123">
        <v>0</v>
      </c>
      <c r="G1137" s="123">
        <v>45</v>
      </c>
      <c r="H1137" s="123">
        <v>0</v>
      </c>
      <c r="I1137" s="123">
        <v>45</v>
      </c>
      <c r="J1137" s="123">
        <v>0</v>
      </c>
      <c r="K1137" s="123">
        <v>0</v>
      </c>
      <c r="L1137" s="123">
        <v>0</v>
      </c>
      <c r="M1137" s="123">
        <v>0</v>
      </c>
      <c r="N1137" s="123">
        <v>0</v>
      </c>
      <c r="O1137" s="123">
        <v>0</v>
      </c>
      <c r="P1137" s="7" t="s">
        <v>163</v>
      </c>
      <c r="Q1137" s="124"/>
      <c r="R1137" s="1"/>
    </row>
    <row r="1138" spans="1:18" ht="13.5" thickBot="1" x14ac:dyDescent="0.25">
      <c r="A1138" s="123">
        <v>13</v>
      </c>
      <c r="B1138" s="123">
        <v>0</v>
      </c>
      <c r="C1138" s="123">
        <v>13</v>
      </c>
      <c r="D1138" s="123">
        <v>0</v>
      </c>
      <c r="E1138" s="123">
        <v>0</v>
      </c>
      <c r="F1138" s="123">
        <v>0</v>
      </c>
      <c r="G1138" s="123">
        <v>0</v>
      </c>
      <c r="H1138" s="123">
        <v>0</v>
      </c>
      <c r="I1138" s="123">
        <v>0</v>
      </c>
      <c r="J1138" s="123">
        <v>12</v>
      </c>
      <c r="K1138" s="123">
        <v>0</v>
      </c>
      <c r="L1138" s="123">
        <v>12</v>
      </c>
      <c r="M1138" s="123">
        <v>1</v>
      </c>
      <c r="N1138" s="123">
        <v>0</v>
      </c>
      <c r="O1138" s="123">
        <v>1</v>
      </c>
      <c r="P1138" s="7" t="s">
        <v>162</v>
      </c>
      <c r="Q1138" s="124" t="s">
        <v>297</v>
      </c>
      <c r="R1138" s="1"/>
    </row>
    <row r="1139" spans="1:18" ht="13.5" thickBot="1" x14ac:dyDescent="0.25">
      <c r="A1139" s="123">
        <v>58</v>
      </c>
      <c r="B1139" s="123">
        <v>0</v>
      </c>
      <c r="C1139" s="123">
        <v>58</v>
      </c>
      <c r="D1139" s="123">
        <v>0</v>
      </c>
      <c r="E1139" s="123">
        <v>0</v>
      </c>
      <c r="F1139" s="123">
        <v>0</v>
      </c>
      <c r="G1139" s="123">
        <v>45</v>
      </c>
      <c r="H1139" s="123">
        <v>0</v>
      </c>
      <c r="I1139" s="123">
        <v>45</v>
      </c>
      <c r="J1139" s="123">
        <v>12</v>
      </c>
      <c r="K1139" s="123">
        <v>0</v>
      </c>
      <c r="L1139" s="123">
        <v>12</v>
      </c>
      <c r="M1139" s="123">
        <v>1</v>
      </c>
      <c r="N1139" s="123">
        <v>0</v>
      </c>
      <c r="O1139" s="123">
        <v>1</v>
      </c>
      <c r="P1139" s="7" t="s">
        <v>13</v>
      </c>
      <c r="Q1139" s="9"/>
      <c r="R1139" s="1"/>
    </row>
    <row r="1140" spans="1:18" ht="13.5" thickBot="1" x14ac:dyDescent="0.25">
      <c r="A1140" s="123">
        <v>31</v>
      </c>
      <c r="B1140" s="123">
        <v>0</v>
      </c>
      <c r="C1140" s="123">
        <v>31</v>
      </c>
      <c r="D1140" s="123">
        <v>0</v>
      </c>
      <c r="E1140" s="123">
        <v>0</v>
      </c>
      <c r="F1140" s="123">
        <v>0</v>
      </c>
      <c r="G1140" s="123">
        <v>31</v>
      </c>
      <c r="H1140" s="123">
        <v>0</v>
      </c>
      <c r="I1140" s="123">
        <v>31</v>
      </c>
      <c r="J1140" s="123">
        <v>0</v>
      </c>
      <c r="K1140" s="123">
        <v>0</v>
      </c>
      <c r="L1140" s="123">
        <v>0</v>
      </c>
      <c r="M1140" s="123">
        <v>0</v>
      </c>
      <c r="N1140" s="123">
        <v>0</v>
      </c>
      <c r="O1140" s="123">
        <v>0</v>
      </c>
      <c r="P1140" s="7" t="s">
        <v>163</v>
      </c>
      <c r="Q1140" s="124"/>
      <c r="R1140" s="1"/>
    </row>
    <row r="1141" spans="1:18" ht="13.5" thickBot="1" x14ac:dyDescent="0.25">
      <c r="A1141" s="123">
        <v>14</v>
      </c>
      <c r="B1141" s="123">
        <v>0</v>
      </c>
      <c r="C1141" s="123">
        <v>14</v>
      </c>
      <c r="D1141" s="123">
        <v>0</v>
      </c>
      <c r="E1141" s="123">
        <v>0</v>
      </c>
      <c r="F1141" s="123">
        <v>0</v>
      </c>
      <c r="G1141" s="123">
        <v>0</v>
      </c>
      <c r="H1141" s="123">
        <v>0</v>
      </c>
      <c r="I1141" s="123">
        <v>0</v>
      </c>
      <c r="J1141" s="123">
        <v>12</v>
      </c>
      <c r="K1141" s="123">
        <v>0</v>
      </c>
      <c r="L1141" s="123">
        <v>12</v>
      </c>
      <c r="M1141" s="123">
        <v>2</v>
      </c>
      <c r="N1141" s="123">
        <v>0</v>
      </c>
      <c r="O1141" s="123">
        <v>2</v>
      </c>
      <c r="P1141" s="7" t="s">
        <v>162</v>
      </c>
      <c r="Q1141" s="124" t="s">
        <v>298</v>
      </c>
      <c r="R1141" s="1"/>
    </row>
    <row r="1142" spans="1:18" ht="13.5" thickBot="1" x14ac:dyDescent="0.25">
      <c r="A1142" s="123">
        <v>45</v>
      </c>
      <c r="B1142" s="123">
        <v>0</v>
      </c>
      <c r="C1142" s="123">
        <v>45</v>
      </c>
      <c r="D1142" s="123">
        <v>0</v>
      </c>
      <c r="E1142" s="123">
        <v>0</v>
      </c>
      <c r="F1142" s="123">
        <v>0</v>
      </c>
      <c r="G1142" s="123">
        <v>31</v>
      </c>
      <c r="H1142" s="123">
        <v>0</v>
      </c>
      <c r="I1142" s="123">
        <v>31</v>
      </c>
      <c r="J1142" s="123">
        <v>12</v>
      </c>
      <c r="K1142" s="123">
        <v>0</v>
      </c>
      <c r="L1142" s="123">
        <v>12</v>
      </c>
      <c r="M1142" s="123">
        <v>2</v>
      </c>
      <c r="N1142" s="123">
        <v>0</v>
      </c>
      <c r="O1142" s="123">
        <v>2</v>
      </c>
      <c r="P1142" s="7" t="s">
        <v>13</v>
      </c>
      <c r="Q1142" s="9"/>
      <c r="R1142" s="1"/>
    </row>
    <row r="1143" spans="1:18" ht="13.5" thickBot="1" x14ac:dyDescent="0.25">
      <c r="A1143" s="123">
        <v>80</v>
      </c>
      <c r="B1143" s="123">
        <v>0</v>
      </c>
      <c r="C1143" s="123">
        <v>80</v>
      </c>
      <c r="D1143" s="123">
        <v>2</v>
      </c>
      <c r="E1143" s="123">
        <v>0</v>
      </c>
      <c r="F1143" s="123">
        <v>2</v>
      </c>
      <c r="G1143" s="123">
        <v>70</v>
      </c>
      <c r="H1143" s="123">
        <v>0</v>
      </c>
      <c r="I1143" s="123">
        <v>70</v>
      </c>
      <c r="J1143" s="123">
        <v>8</v>
      </c>
      <c r="K1143" s="123">
        <v>0</v>
      </c>
      <c r="L1143" s="123">
        <v>8</v>
      </c>
      <c r="M1143" s="123">
        <v>0</v>
      </c>
      <c r="N1143" s="123">
        <v>0</v>
      </c>
      <c r="O1143" s="123">
        <v>0</v>
      </c>
      <c r="P1143" s="7" t="s">
        <v>163</v>
      </c>
      <c r="Q1143" s="124"/>
      <c r="R1143" s="1"/>
    </row>
    <row r="1144" spans="1:18" ht="13.5" thickBot="1" x14ac:dyDescent="0.25">
      <c r="A1144" s="123">
        <v>9</v>
      </c>
      <c r="B1144" s="123">
        <v>0</v>
      </c>
      <c r="C1144" s="123">
        <v>9</v>
      </c>
      <c r="D1144" s="123">
        <v>0</v>
      </c>
      <c r="E1144" s="123">
        <v>0</v>
      </c>
      <c r="F1144" s="123">
        <v>0</v>
      </c>
      <c r="G1144" s="123">
        <v>5</v>
      </c>
      <c r="H1144" s="123">
        <v>0</v>
      </c>
      <c r="I1144" s="123">
        <v>5</v>
      </c>
      <c r="J1144" s="123">
        <v>0</v>
      </c>
      <c r="K1144" s="123">
        <v>0</v>
      </c>
      <c r="L1144" s="123">
        <v>0</v>
      </c>
      <c r="M1144" s="123">
        <v>4</v>
      </c>
      <c r="N1144" s="123">
        <v>0</v>
      </c>
      <c r="O1144" s="123">
        <v>4</v>
      </c>
      <c r="P1144" s="7" t="s">
        <v>162</v>
      </c>
      <c r="Q1144" s="124" t="s">
        <v>299</v>
      </c>
      <c r="R1144" s="1"/>
    </row>
    <row r="1145" spans="1:18" ht="13.5" thickBot="1" x14ac:dyDescent="0.25">
      <c r="A1145" s="123">
        <v>89</v>
      </c>
      <c r="B1145" s="123">
        <v>0</v>
      </c>
      <c r="C1145" s="123">
        <v>89</v>
      </c>
      <c r="D1145" s="123">
        <v>2</v>
      </c>
      <c r="E1145" s="123">
        <v>0</v>
      </c>
      <c r="F1145" s="123">
        <v>2</v>
      </c>
      <c r="G1145" s="123">
        <v>75</v>
      </c>
      <c r="H1145" s="123">
        <v>0</v>
      </c>
      <c r="I1145" s="123">
        <v>75</v>
      </c>
      <c r="J1145" s="123">
        <v>8</v>
      </c>
      <c r="K1145" s="123">
        <v>0</v>
      </c>
      <c r="L1145" s="123">
        <v>8</v>
      </c>
      <c r="M1145" s="123">
        <v>4</v>
      </c>
      <c r="N1145" s="123">
        <v>0</v>
      </c>
      <c r="O1145" s="123">
        <v>4</v>
      </c>
      <c r="P1145" s="7" t="s">
        <v>13</v>
      </c>
      <c r="Q1145" s="9"/>
      <c r="R1145" s="1"/>
    </row>
    <row r="1146" spans="1:18" ht="13.5" thickBot="1" x14ac:dyDescent="0.25">
      <c r="A1146" s="123">
        <v>34</v>
      </c>
      <c r="B1146" s="123">
        <v>0</v>
      </c>
      <c r="C1146" s="123">
        <v>34</v>
      </c>
      <c r="D1146" s="123">
        <v>1</v>
      </c>
      <c r="E1146" s="123">
        <v>0</v>
      </c>
      <c r="F1146" s="123">
        <v>1</v>
      </c>
      <c r="G1146" s="123">
        <v>33</v>
      </c>
      <c r="H1146" s="123">
        <v>0</v>
      </c>
      <c r="I1146" s="123">
        <v>33</v>
      </c>
      <c r="J1146" s="123">
        <v>0</v>
      </c>
      <c r="K1146" s="123">
        <v>0</v>
      </c>
      <c r="L1146" s="123">
        <v>0</v>
      </c>
      <c r="M1146" s="123">
        <v>0</v>
      </c>
      <c r="N1146" s="123">
        <v>0</v>
      </c>
      <c r="O1146" s="123">
        <v>0</v>
      </c>
      <c r="P1146" s="7" t="s">
        <v>163</v>
      </c>
      <c r="Q1146" s="124"/>
      <c r="R1146" s="1"/>
    </row>
    <row r="1147" spans="1:18" ht="13.5" thickBot="1" x14ac:dyDescent="0.25">
      <c r="A1147" s="123">
        <v>3</v>
      </c>
      <c r="B1147" s="123">
        <v>0</v>
      </c>
      <c r="C1147" s="123">
        <v>3</v>
      </c>
      <c r="D1147" s="123">
        <v>0</v>
      </c>
      <c r="E1147" s="123">
        <v>0</v>
      </c>
      <c r="F1147" s="123">
        <v>0</v>
      </c>
      <c r="G1147" s="123">
        <v>0</v>
      </c>
      <c r="H1147" s="123">
        <v>0</v>
      </c>
      <c r="I1147" s="123">
        <v>0</v>
      </c>
      <c r="J1147" s="123">
        <v>3</v>
      </c>
      <c r="K1147" s="123">
        <v>0</v>
      </c>
      <c r="L1147" s="123">
        <v>3</v>
      </c>
      <c r="M1147" s="123">
        <v>0</v>
      </c>
      <c r="N1147" s="123">
        <v>0</v>
      </c>
      <c r="O1147" s="123">
        <v>0</v>
      </c>
      <c r="P1147" s="7" t="s">
        <v>162</v>
      </c>
      <c r="Q1147" s="124" t="s">
        <v>300</v>
      </c>
      <c r="R1147" s="1"/>
    </row>
    <row r="1148" spans="1:18" ht="13.5" thickBot="1" x14ac:dyDescent="0.25">
      <c r="A1148" s="123">
        <v>37</v>
      </c>
      <c r="B1148" s="123">
        <v>0</v>
      </c>
      <c r="C1148" s="123">
        <v>37</v>
      </c>
      <c r="D1148" s="123">
        <v>1</v>
      </c>
      <c r="E1148" s="123">
        <v>0</v>
      </c>
      <c r="F1148" s="123">
        <v>1</v>
      </c>
      <c r="G1148" s="123">
        <v>33</v>
      </c>
      <c r="H1148" s="123">
        <v>0</v>
      </c>
      <c r="I1148" s="123">
        <v>33</v>
      </c>
      <c r="J1148" s="123">
        <v>3</v>
      </c>
      <c r="K1148" s="123">
        <v>0</v>
      </c>
      <c r="L1148" s="123">
        <v>3</v>
      </c>
      <c r="M1148" s="123">
        <v>0</v>
      </c>
      <c r="N1148" s="123">
        <v>0</v>
      </c>
      <c r="O1148" s="123">
        <v>0</v>
      </c>
      <c r="P1148" s="7" t="s">
        <v>13</v>
      </c>
      <c r="Q1148" s="9"/>
      <c r="R1148" s="1"/>
    </row>
    <row r="1149" spans="1:18" ht="13.5" thickBot="1" x14ac:dyDescent="0.25">
      <c r="A1149" s="123">
        <v>217</v>
      </c>
      <c r="B1149" s="123">
        <v>0</v>
      </c>
      <c r="C1149" s="123">
        <v>217</v>
      </c>
      <c r="D1149" s="123">
        <v>90</v>
      </c>
      <c r="E1149" s="123">
        <v>0</v>
      </c>
      <c r="F1149" s="123">
        <v>90</v>
      </c>
      <c r="G1149" s="123">
        <v>120</v>
      </c>
      <c r="H1149" s="123">
        <v>0</v>
      </c>
      <c r="I1149" s="123">
        <v>120</v>
      </c>
      <c r="J1149" s="123">
        <v>7</v>
      </c>
      <c r="K1149" s="123">
        <v>0</v>
      </c>
      <c r="L1149" s="123">
        <v>7</v>
      </c>
      <c r="M1149" s="123">
        <v>0</v>
      </c>
      <c r="N1149" s="123">
        <v>0</v>
      </c>
      <c r="O1149" s="123">
        <v>0</v>
      </c>
      <c r="P1149" s="7" t="s">
        <v>163</v>
      </c>
      <c r="Q1149" s="124"/>
      <c r="R1149" s="1"/>
    </row>
    <row r="1150" spans="1:18" ht="13.5" thickBot="1" x14ac:dyDescent="0.25">
      <c r="A1150" s="123">
        <v>33</v>
      </c>
      <c r="B1150" s="123">
        <v>0</v>
      </c>
      <c r="C1150" s="123">
        <v>33</v>
      </c>
      <c r="D1150" s="123">
        <v>12</v>
      </c>
      <c r="E1150" s="123">
        <v>0</v>
      </c>
      <c r="F1150" s="123">
        <v>12</v>
      </c>
      <c r="G1150" s="123">
        <v>10</v>
      </c>
      <c r="H1150" s="123">
        <v>0</v>
      </c>
      <c r="I1150" s="123">
        <v>10</v>
      </c>
      <c r="J1150" s="123">
        <v>7</v>
      </c>
      <c r="K1150" s="123">
        <v>0</v>
      </c>
      <c r="L1150" s="123">
        <v>7</v>
      </c>
      <c r="M1150" s="123">
        <v>4</v>
      </c>
      <c r="N1150" s="123">
        <v>0</v>
      </c>
      <c r="O1150" s="123">
        <v>4</v>
      </c>
      <c r="P1150" s="7" t="s">
        <v>162</v>
      </c>
      <c r="Q1150" s="124" t="s">
        <v>301</v>
      </c>
      <c r="R1150" s="1"/>
    </row>
    <row r="1151" spans="1:18" ht="13.5" thickBot="1" x14ac:dyDescent="0.25">
      <c r="A1151" s="123">
        <v>250</v>
      </c>
      <c r="B1151" s="123">
        <v>0</v>
      </c>
      <c r="C1151" s="123">
        <v>250</v>
      </c>
      <c r="D1151" s="123">
        <v>102</v>
      </c>
      <c r="E1151" s="123">
        <v>0</v>
      </c>
      <c r="F1151" s="123">
        <v>102</v>
      </c>
      <c r="G1151" s="123">
        <v>130</v>
      </c>
      <c r="H1151" s="123">
        <v>0</v>
      </c>
      <c r="I1151" s="123">
        <v>130</v>
      </c>
      <c r="J1151" s="123">
        <v>14</v>
      </c>
      <c r="K1151" s="123">
        <v>0</v>
      </c>
      <c r="L1151" s="123">
        <v>14</v>
      </c>
      <c r="M1151" s="123">
        <v>4</v>
      </c>
      <c r="N1151" s="123">
        <v>0</v>
      </c>
      <c r="O1151" s="123">
        <v>4</v>
      </c>
      <c r="P1151" s="7" t="s">
        <v>13</v>
      </c>
      <c r="Q1151" s="9"/>
      <c r="R1151" s="1"/>
    </row>
    <row r="1152" spans="1:18" ht="13.5" thickBot="1" x14ac:dyDescent="0.25">
      <c r="A1152" s="123">
        <v>34</v>
      </c>
      <c r="B1152" s="123">
        <v>0</v>
      </c>
      <c r="C1152" s="123">
        <v>34</v>
      </c>
      <c r="D1152" s="123">
        <v>1</v>
      </c>
      <c r="E1152" s="123">
        <v>0</v>
      </c>
      <c r="F1152" s="123">
        <v>1</v>
      </c>
      <c r="G1152" s="123">
        <v>30</v>
      </c>
      <c r="H1152" s="123">
        <v>0</v>
      </c>
      <c r="I1152" s="123">
        <v>30</v>
      </c>
      <c r="J1152" s="123">
        <v>3</v>
      </c>
      <c r="K1152" s="123">
        <v>0</v>
      </c>
      <c r="L1152" s="123">
        <v>3</v>
      </c>
      <c r="M1152" s="123">
        <v>0</v>
      </c>
      <c r="N1152" s="123">
        <v>0</v>
      </c>
      <c r="O1152" s="123">
        <v>0</v>
      </c>
      <c r="P1152" s="7" t="s">
        <v>163</v>
      </c>
      <c r="Q1152" s="124"/>
      <c r="R1152" s="1"/>
    </row>
    <row r="1153" spans="1:18" ht="13.5" thickBot="1" x14ac:dyDescent="0.25">
      <c r="A1153" s="123">
        <v>20</v>
      </c>
      <c r="B1153" s="123">
        <v>0</v>
      </c>
      <c r="C1153" s="123">
        <v>20</v>
      </c>
      <c r="D1153" s="123">
        <v>0</v>
      </c>
      <c r="E1153" s="123">
        <v>0</v>
      </c>
      <c r="F1153" s="123">
        <v>0</v>
      </c>
      <c r="G1153" s="123">
        <v>14</v>
      </c>
      <c r="H1153" s="123">
        <v>0</v>
      </c>
      <c r="I1153" s="123">
        <v>14</v>
      </c>
      <c r="J1153" s="123">
        <v>6</v>
      </c>
      <c r="K1153" s="123">
        <v>0</v>
      </c>
      <c r="L1153" s="123">
        <v>6</v>
      </c>
      <c r="M1153" s="123">
        <v>0</v>
      </c>
      <c r="N1153" s="123">
        <v>0</v>
      </c>
      <c r="O1153" s="123">
        <v>0</v>
      </c>
      <c r="P1153" s="7" t="s">
        <v>162</v>
      </c>
      <c r="Q1153" s="124" t="s">
        <v>302</v>
      </c>
      <c r="R1153" s="1"/>
    </row>
    <row r="1154" spans="1:18" ht="13.5" thickBot="1" x14ac:dyDescent="0.25">
      <c r="A1154" s="123">
        <v>54</v>
      </c>
      <c r="B1154" s="123">
        <v>0</v>
      </c>
      <c r="C1154" s="123">
        <v>54</v>
      </c>
      <c r="D1154" s="123">
        <v>1</v>
      </c>
      <c r="E1154" s="123">
        <v>0</v>
      </c>
      <c r="F1154" s="123">
        <v>1</v>
      </c>
      <c r="G1154" s="123">
        <v>44</v>
      </c>
      <c r="H1154" s="123">
        <v>0</v>
      </c>
      <c r="I1154" s="123">
        <v>44</v>
      </c>
      <c r="J1154" s="123">
        <v>9</v>
      </c>
      <c r="K1154" s="123">
        <v>0</v>
      </c>
      <c r="L1154" s="123">
        <v>9</v>
      </c>
      <c r="M1154" s="123">
        <v>0</v>
      </c>
      <c r="N1154" s="123">
        <v>0</v>
      </c>
      <c r="O1154" s="123">
        <v>0</v>
      </c>
      <c r="P1154" s="7" t="s">
        <v>13</v>
      </c>
      <c r="Q1154" s="9"/>
      <c r="R1154" s="1"/>
    </row>
    <row r="1155" spans="1:18" ht="13.5" thickBot="1" x14ac:dyDescent="0.25">
      <c r="A1155" s="123">
        <v>40</v>
      </c>
      <c r="B1155" s="123">
        <v>0</v>
      </c>
      <c r="C1155" s="123">
        <v>40</v>
      </c>
      <c r="D1155" s="123">
        <v>6</v>
      </c>
      <c r="E1155" s="123">
        <v>0</v>
      </c>
      <c r="F1155" s="123">
        <v>6</v>
      </c>
      <c r="G1155" s="123">
        <v>30</v>
      </c>
      <c r="H1155" s="123">
        <v>0</v>
      </c>
      <c r="I1155" s="123">
        <v>30</v>
      </c>
      <c r="J1155" s="123">
        <v>4</v>
      </c>
      <c r="K1155" s="123">
        <v>0</v>
      </c>
      <c r="L1155" s="123">
        <v>4</v>
      </c>
      <c r="M1155" s="123">
        <v>0</v>
      </c>
      <c r="N1155" s="123">
        <v>0</v>
      </c>
      <c r="O1155" s="123">
        <v>0</v>
      </c>
      <c r="P1155" s="7" t="s">
        <v>163</v>
      </c>
      <c r="Q1155" s="124"/>
      <c r="R1155" s="1"/>
    </row>
    <row r="1156" spans="1:18" ht="13.5" thickBot="1" x14ac:dyDescent="0.25">
      <c r="A1156" s="123">
        <v>31</v>
      </c>
      <c r="B1156" s="123">
        <v>0</v>
      </c>
      <c r="C1156" s="123">
        <v>31</v>
      </c>
      <c r="D1156" s="123">
        <v>0</v>
      </c>
      <c r="E1156" s="123">
        <v>0</v>
      </c>
      <c r="F1156" s="123">
        <v>0</v>
      </c>
      <c r="G1156" s="123">
        <v>20</v>
      </c>
      <c r="H1156" s="123">
        <v>0</v>
      </c>
      <c r="I1156" s="123">
        <v>20</v>
      </c>
      <c r="J1156" s="123">
        <v>8</v>
      </c>
      <c r="K1156" s="123">
        <v>0</v>
      </c>
      <c r="L1156" s="123">
        <v>8</v>
      </c>
      <c r="M1156" s="123">
        <v>3</v>
      </c>
      <c r="N1156" s="123">
        <v>0</v>
      </c>
      <c r="O1156" s="123">
        <v>3</v>
      </c>
      <c r="P1156" s="7" t="s">
        <v>162</v>
      </c>
      <c r="Q1156" s="124" t="s">
        <v>303</v>
      </c>
      <c r="R1156" s="1"/>
    </row>
    <row r="1157" spans="1:18" ht="13.5" thickBot="1" x14ac:dyDescent="0.25">
      <c r="A1157" s="123">
        <v>71</v>
      </c>
      <c r="B1157" s="123">
        <v>0</v>
      </c>
      <c r="C1157" s="123">
        <v>71</v>
      </c>
      <c r="D1157" s="123">
        <v>6</v>
      </c>
      <c r="E1157" s="123">
        <v>0</v>
      </c>
      <c r="F1157" s="123">
        <v>6</v>
      </c>
      <c r="G1157" s="123">
        <v>50</v>
      </c>
      <c r="H1157" s="123">
        <v>0</v>
      </c>
      <c r="I1157" s="123">
        <v>50</v>
      </c>
      <c r="J1157" s="123">
        <v>12</v>
      </c>
      <c r="K1157" s="123">
        <v>0</v>
      </c>
      <c r="L1157" s="123">
        <v>12</v>
      </c>
      <c r="M1157" s="123">
        <v>3</v>
      </c>
      <c r="N1157" s="123">
        <v>0</v>
      </c>
      <c r="O1157" s="123">
        <v>3</v>
      </c>
      <c r="P1157" s="7" t="s">
        <v>13</v>
      </c>
      <c r="Q1157" s="9"/>
      <c r="R1157" s="1"/>
    </row>
    <row r="1158" spans="1:18" ht="13.5" thickBot="1" x14ac:dyDescent="0.25">
      <c r="A1158" s="123">
        <v>32</v>
      </c>
      <c r="B1158" s="123">
        <v>0</v>
      </c>
      <c r="C1158" s="123">
        <v>32</v>
      </c>
      <c r="D1158" s="123">
        <v>2</v>
      </c>
      <c r="E1158" s="123">
        <v>0</v>
      </c>
      <c r="F1158" s="123">
        <v>2</v>
      </c>
      <c r="G1158" s="123">
        <v>30</v>
      </c>
      <c r="H1158" s="123">
        <v>0</v>
      </c>
      <c r="I1158" s="123">
        <v>30</v>
      </c>
      <c r="J1158" s="123">
        <v>0</v>
      </c>
      <c r="K1158" s="123">
        <v>0</v>
      </c>
      <c r="L1158" s="123">
        <v>0</v>
      </c>
      <c r="M1158" s="123">
        <v>0</v>
      </c>
      <c r="N1158" s="123">
        <v>0</v>
      </c>
      <c r="O1158" s="123">
        <v>0</v>
      </c>
      <c r="P1158" s="7" t="s">
        <v>163</v>
      </c>
      <c r="Q1158" s="124"/>
      <c r="R1158" s="1"/>
    </row>
    <row r="1159" spans="1:18" ht="13.5" thickBot="1" x14ac:dyDescent="0.25">
      <c r="A1159" s="123">
        <v>13</v>
      </c>
      <c r="B1159" s="123">
        <v>0</v>
      </c>
      <c r="C1159" s="123">
        <v>13</v>
      </c>
      <c r="D1159" s="123">
        <v>0</v>
      </c>
      <c r="E1159" s="123">
        <v>0</v>
      </c>
      <c r="F1159" s="123">
        <v>0</v>
      </c>
      <c r="G1159" s="123">
        <v>9</v>
      </c>
      <c r="H1159" s="123">
        <v>0</v>
      </c>
      <c r="I1159" s="123">
        <v>9</v>
      </c>
      <c r="J1159" s="123">
        <v>3</v>
      </c>
      <c r="K1159" s="123">
        <v>0</v>
      </c>
      <c r="L1159" s="123">
        <v>3</v>
      </c>
      <c r="M1159" s="123">
        <v>1</v>
      </c>
      <c r="N1159" s="123">
        <v>0</v>
      </c>
      <c r="O1159" s="123">
        <v>1</v>
      </c>
      <c r="P1159" s="7" t="s">
        <v>162</v>
      </c>
      <c r="Q1159" s="124" t="s">
        <v>304</v>
      </c>
      <c r="R1159" s="1"/>
    </row>
    <row r="1160" spans="1:18" ht="13.5" thickBot="1" x14ac:dyDescent="0.25">
      <c r="A1160" s="123">
        <v>45</v>
      </c>
      <c r="B1160" s="123">
        <v>0</v>
      </c>
      <c r="C1160" s="123">
        <v>45</v>
      </c>
      <c r="D1160" s="123">
        <v>2</v>
      </c>
      <c r="E1160" s="123">
        <v>0</v>
      </c>
      <c r="F1160" s="123">
        <v>2</v>
      </c>
      <c r="G1160" s="123">
        <v>39</v>
      </c>
      <c r="H1160" s="123">
        <v>0</v>
      </c>
      <c r="I1160" s="123">
        <v>39</v>
      </c>
      <c r="J1160" s="123">
        <v>3</v>
      </c>
      <c r="K1160" s="123">
        <v>0</v>
      </c>
      <c r="L1160" s="123">
        <v>3</v>
      </c>
      <c r="M1160" s="123">
        <v>1</v>
      </c>
      <c r="N1160" s="123">
        <v>0</v>
      </c>
      <c r="O1160" s="123">
        <v>1</v>
      </c>
      <c r="P1160" s="7" t="s">
        <v>13</v>
      </c>
      <c r="Q1160" s="9"/>
      <c r="R1160" s="1"/>
    </row>
    <row r="1161" spans="1:18" ht="13.5" thickBot="1" x14ac:dyDescent="0.25">
      <c r="A1161" s="123">
        <v>29</v>
      </c>
      <c r="B1161" s="123">
        <v>0</v>
      </c>
      <c r="C1161" s="123">
        <v>29</v>
      </c>
      <c r="D1161" s="123">
        <v>5</v>
      </c>
      <c r="E1161" s="123">
        <v>0</v>
      </c>
      <c r="F1161" s="123">
        <v>5</v>
      </c>
      <c r="G1161" s="123">
        <v>24</v>
      </c>
      <c r="H1161" s="123">
        <v>0</v>
      </c>
      <c r="I1161" s="123">
        <v>24</v>
      </c>
      <c r="J1161" s="123">
        <v>0</v>
      </c>
      <c r="K1161" s="123">
        <v>0</v>
      </c>
      <c r="L1161" s="123">
        <v>0</v>
      </c>
      <c r="M1161" s="123">
        <v>0</v>
      </c>
      <c r="N1161" s="123">
        <v>0</v>
      </c>
      <c r="O1161" s="123">
        <v>0</v>
      </c>
      <c r="P1161" s="7" t="s">
        <v>163</v>
      </c>
      <c r="Q1161" s="124"/>
      <c r="R1161" s="1"/>
    </row>
    <row r="1162" spans="1:18" ht="13.5" thickBot="1" x14ac:dyDescent="0.25">
      <c r="A1162" s="123">
        <v>17</v>
      </c>
      <c r="B1162" s="123">
        <v>0</v>
      </c>
      <c r="C1162" s="123">
        <v>17</v>
      </c>
      <c r="D1162" s="123">
        <v>0</v>
      </c>
      <c r="E1162" s="123">
        <v>0</v>
      </c>
      <c r="F1162" s="123">
        <v>0</v>
      </c>
      <c r="G1162" s="123">
        <v>14</v>
      </c>
      <c r="H1162" s="123">
        <v>0</v>
      </c>
      <c r="I1162" s="123">
        <v>14</v>
      </c>
      <c r="J1162" s="123">
        <v>2</v>
      </c>
      <c r="K1162" s="123">
        <v>0</v>
      </c>
      <c r="L1162" s="123">
        <v>2</v>
      </c>
      <c r="M1162" s="123">
        <v>1</v>
      </c>
      <c r="N1162" s="123">
        <v>0</v>
      </c>
      <c r="O1162" s="123">
        <v>1</v>
      </c>
      <c r="P1162" s="7" t="s">
        <v>162</v>
      </c>
      <c r="Q1162" s="124" t="s">
        <v>305</v>
      </c>
      <c r="R1162" s="1"/>
    </row>
    <row r="1163" spans="1:18" ht="13.5" thickBot="1" x14ac:dyDescent="0.25">
      <c r="A1163" s="123">
        <v>46</v>
      </c>
      <c r="B1163" s="123">
        <v>0</v>
      </c>
      <c r="C1163" s="123">
        <v>46</v>
      </c>
      <c r="D1163" s="123">
        <v>5</v>
      </c>
      <c r="E1163" s="123">
        <v>0</v>
      </c>
      <c r="F1163" s="123">
        <v>5</v>
      </c>
      <c r="G1163" s="123">
        <v>38</v>
      </c>
      <c r="H1163" s="123">
        <v>0</v>
      </c>
      <c r="I1163" s="123">
        <v>38</v>
      </c>
      <c r="J1163" s="123">
        <v>2</v>
      </c>
      <c r="K1163" s="123">
        <v>0</v>
      </c>
      <c r="L1163" s="123">
        <v>2</v>
      </c>
      <c r="M1163" s="123">
        <v>1</v>
      </c>
      <c r="N1163" s="123">
        <v>0</v>
      </c>
      <c r="O1163" s="123">
        <v>1</v>
      </c>
      <c r="P1163" s="7" t="s">
        <v>13</v>
      </c>
      <c r="Q1163" s="9"/>
      <c r="R1163" s="1"/>
    </row>
    <row r="1164" spans="1:18" ht="13.5" thickBot="1" x14ac:dyDescent="0.25">
      <c r="A1164" s="123">
        <v>35</v>
      </c>
      <c r="B1164" s="123">
        <v>0</v>
      </c>
      <c r="C1164" s="123">
        <v>35</v>
      </c>
      <c r="D1164" s="123">
        <v>0</v>
      </c>
      <c r="E1164" s="123">
        <v>0</v>
      </c>
      <c r="F1164" s="123">
        <v>0</v>
      </c>
      <c r="G1164" s="123">
        <v>30</v>
      </c>
      <c r="H1164" s="123">
        <v>0</v>
      </c>
      <c r="I1164" s="123">
        <v>30</v>
      </c>
      <c r="J1164" s="123">
        <v>5</v>
      </c>
      <c r="K1164" s="123">
        <v>0</v>
      </c>
      <c r="L1164" s="123">
        <v>5</v>
      </c>
      <c r="M1164" s="123">
        <v>0</v>
      </c>
      <c r="N1164" s="123">
        <v>0</v>
      </c>
      <c r="O1164" s="123">
        <v>0</v>
      </c>
      <c r="P1164" s="7" t="s">
        <v>163</v>
      </c>
      <c r="Q1164" s="124"/>
      <c r="R1164" s="1"/>
    </row>
    <row r="1165" spans="1:18" ht="13.5" thickBot="1" x14ac:dyDescent="0.25">
      <c r="A1165" s="123">
        <v>17</v>
      </c>
      <c r="B1165" s="123">
        <v>0</v>
      </c>
      <c r="C1165" s="123">
        <v>17</v>
      </c>
      <c r="D1165" s="123">
        <v>0</v>
      </c>
      <c r="E1165" s="123">
        <v>0</v>
      </c>
      <c r="F1165" s="123">
        <v>0</v>
      </c>
      <c r="G1165" s="123">
        <v>14</v>
      </c>
      <c r="H1165" s="123">
        <v>0</v>
      </c>
      <c r="I1165" s="123">
        <v>14</v>
      </c>
      <c r="J1165" s="123">
        <v>3</v>
      </c>
      <c r="K1165" s="123">
        <v>0</v>
      </c>
      <c r="L1165" s="123">
        <v>3</v>
      </c>
      <c r="M1165" s="123">
        <v>0</v>
      </c>
      <c r="N1165" s="123">
        <v>0</v>
      </c>
      <c r="O1165" s="123">
        <v>0</v>
      </c>
      <c r="P1165" s="7" t="s">
        <v>162</v>
      </c>
      <c r="Q1165" s="124" t="s">
        <v>306</v>
      </c>
      <c r="R1165" s="1"/>
    </row>
    <row r="1166" spans="1:18" ht="13.5" thickBot="1" x14ac:dyDescent="0.25">
      <c r="A1166" s="123">
        <v>52</v>
      </c>
      <c r="B1166" s="123">
        <v>0</v>
      </c>
      <c r="C1166" s="123">
        <v>52</v>
      </c>
      <c r="D1166" s="123">
        <v>0</v>
      </c>
      <c r="E1166" s="123">
        <v>0</v>
      </c>
      <c r="F1166" s="123">
        <v>0</v>
      </c>
      <c r="G1166" s="123">
        <v>44</v>
      </c>
      <c r="H1166" s="123">
        <v>0</v>
      </c>
      <c r="I1166" s="123">
        <v>44</v>
      </c>
      <c r="J1166" s="123">
        <v>8</v>
      </c>
      <c r="K1166" s="123">
        <v>0</v>
      </c>
      <c r="L1166" s="123">
        <v>8</v>
      </c>
      <c r="M1166" s="123">
        <v>0</v>
      </c>
      <c r="N1166" s="123">
        <v>0</v>
      </c>
      <c r="O1166" s="123">
        <v>0</v>
      </c>
      <c r="P1166" s="7" t="s">
        <v>13</v>
      </c>
      <c r="Q1166" s="9"/>
      <c r="R1166" s="1"/>
    </row>
    <row r="1167" spans="1:18" ht="13.5" thickBot="1" x14ac:dyDescent="0.25">
      <c r="A1167" s="123">
        <v>28</v>
      </c>
      <c r="B1167" s="123">
        <v>0</v>
      </c>
      <c r="C1167" s="123">
        <v>28</v>
      </c>
      <c r="D1167" s="123">
        <v>1</v>
      </c>
      <c r="E1167" s="123">
        <v>0</v>
      </c>
      <c r="F1167" s="123">
        <v>1</v>
      </c>
      <c r="G1167" s="123">
        <v>27</v>
      </c>
      <c r="H1167" s="123">
        <v>0</v>
      </c>
      <c r="I1167" s="123">
        <v>27</v>
      </c>
      <c r="J1167" s="123">
        <v>0</v>
      </c>
      <c r="K1167" s="123">
        <v>0</v>
      </c>
      <c r="L1167" s="123">
        <v>0</v>
      </c>
      <c r="M1167" s="123">
        <v>0</v>
      </c>
      <c r="N1167" s="123">
        <v>0</v>
      </c>
      <c r="O1167" s="123">
        <v>0</v>
      </c>
      <c r="P1167" s="7" t="s">
        <v>163</v>
      </c>
      <c r="Q1167" s="124"/>
      <c r="R1167" s="1"/>
    </row>
    <row r="1168" spans="1:18" ht="13.5" thickBot="1" x14ac:dyDescent="0.25">
      <c r="A1168" s="123">
        <v>25</v>
      </c>
      <c r="B1168" s="123">
        <v>0</v>
      </c>
      <c r="C1168" s="123">
        <v>25</v>
      </c>
      <c r="D1168" s="123">
        <v>0</v>
      </c>
      <c r="E1168" s="123">
        <v>0</v>
      </c>
      <c r="F1168" s="123">
        <v>0</v>
      </c>
      <c r="G1168" s="123">
        <v>20</v>
      </c>
      <c r="H1168" s="123">
        <v>0</v>
      </c>
      <c r="I1168" s="123">
        <v>20</v>
      </c>
      <c r="J1168" s="123">
        <v>4</v>
      </c>
      <c r="K1168" s="123">
        <v>0</v>
      </c>
      <c r="L1168" s="123">
        <v>4</v>
      </c>
      <c r="M1168" s="123">
        <v>1</v>
      </c>
      <c r="N1168" s="123">
        <v>0</v>
      </c>
      <c r="O1168" s="123">
        <v>1</v>
      </c>
      <c r="P1168" s="7" t="s">
        <v>162</v>
      </c>
      <c r="Q1168" s="124" t="s">
        <v>307</v>
      </c>
      <c r="R1168" s="1"/>
    </row>
    <row r="1169" spans="1:18" ht="13.5" thickBot="1" x14ac:dyDescent="0.25">
      <c r="A1169" s="123">
        <v>53</v>
      </c>
      <c r="B1169" s="123">
        <v>0</v>
      </c>
      <c r="C1169" s="123">
        <v>53</v>
      </c>
      <c r="D1169" s="123">
        <v>1</v>
      </c>
      <c r="E1169" s="123">
        <v>0</v>
      </c>
      <c r="F1169" s="123">
        <v>1</v>
      </c>
      <c r="G1169" s="123">
        <v>47</v>
      </c>
      <c r="H1169" s="123">
        <v>0</v>
      </c>
      <c r="I1169" s="123">
        <v>47</v>
      </c>
      <c r="J1169" s="123">
        <v>4</v>
      </c>
      <c r="K1169" s="123">
        <v>0</v>
      </c>
      <c r="L1169" s="123">
        <v>4</v>
      </c>
      <c r="M1169" s="123">
        <v>1</v>
      </c>
      <c r="N1169" s="123">
        <v>0</v>
      </c>
      <c r="O1169" s="123">
        <v>1</v>
      </c>
      <c r="P1169" s="7" t="s">
        <v>13</v>
      </c>
      <c r="Q1169" s="9"/>
      <c r="R1169" s="1"/>
    </row>
    <row r="1170" spans="1:18" ht="13.5" thickBot="1" x14ac:dyDescent="0.25">
      <c r="A1170" s="123">
        <v>38</v>
      </c>
      <c r="B1170" s="123">
        <v>0</v>
      </c>
      <c r="C1170" s="123">
        <v>38</v>
      </c>
      <c r="D1170" s="123">
        <v>8</v>
      </c>
      <c r="E1170" s="123">
        <v>0</v>
      </c>
      <c r="F1170" s="123">
        <v>8</v>
      </c>
      <c r="G1170" s="123">
        <v>30</v>
      </c>
      <c r="H1170" s="123">
        <v>0</v>
      </c>
      <c r="I1170" s="123">
        <v>30</v>
      </c>
      <c r="J1170" s="123">
        <v>0</v>
      </c>
      <c r="K1170" s="123">
        <v>0</v>
      </c>
      <c r="L1170" s="123">
        <v>0</v>
      </c>
      <c r="M1170" s="123">
        <v>0</v>
      </c>
      <c r="N1170" s="123">
        <v>0</v>
      </c>
      <c r="O1170" s="123">
        <v>0</v>
      </c>
      <c r="P1170" s="7" t="s">
        <v>163</v>
      </c>
      <c r="Q1170" s="124"/>
      <c r="R1170" s="1"/>
    </row>
    <row r="1171" spans="1:18" ht="13.5" thickBot="1" x14ac:dyDescent="0.25">
      <c r="A1171" s="123">
        <v>18</v>
      </c>
      <c r="B1171" s="123">
        <v>0</v>
      </c>
      <c r="C1171" s="123">
        <v>18</v>
      </c>
      <c r="D1171" s="123">
        <v>0</v>
      </c>
      <c r="E1171" s="123">
        <v>0</v>
      </c>
      <c r="F1171" s="123">
        <v>0</v>
      </c>
      <c r="G1171" s="123">
        <v>14</v>
      </c>
      <c r="H1171" s="123">
        <v>0</v>
      </c>
      <c r="I1171" s="123">
        <v>14</v>
      </c>
      <c r="J1171" s="123">
        <v>3</v>
      </c>
      <c r="K1171" s="123">
        <v>0</v>
      </c>
      <c r="L1171" s="123">
        <v>3</v>
      </c>
      <c r="M1171" s="123">
        <v>1</v>
      </c>
      <c r="N1171" s="123">
        <v>0</v>
      </c>
      <c r="O1171" s="123">
        <v>1</v>
      </c>
      <c r="P1171" s="7" t="s">
        <v>162</v>
      </c>
      <c r="Q1171" s="124" t="s">
        <v>308</v>
      </c>
      <c r="R1171" s="1"/>
    </row>
    <row r="1172" spans="1:18" ht="13.5" thickBot="1" x14ac:dyDescent="0.25">
      <c r="A1172" s="123">
        <v>56</v>
      </c>
      <c r="B1172" s="123">
        <v>0</v>
      </c>
      <c r="C1172" s="123">
        <v>56</v>
      </c>
      <c r="D1172" s="123">
        <v>8</v>
      </c>
      <c r="E1172" s="123">
        <v>0</v>
      </c>
      <c r="F1172" s="123">
        <v>8</v>
      </c>
      <c r="G1172" s="123">
        <v>44</v>
      </c>
      <c r="H1172" s="123">
        <v>0</v>
      </c>
      <c r="I1172" s="123">
        <v>44</v>
      </c>
      <c r="J1172" s="123">
        <v>3</v>
      </c>
      <c r="K1172" s="123">
        <v>0</v>
      </c>
      <c r="L1172" s="123">
        <v>3</v>
      </c>
      <c r="M1172" s="123">
        <v>1</v>
      </c>
      <c r="N1172" s="123">
        <v>0</v>
      </c>
      <c r="O1172" s="123">
        <v>1</v>
      </c>
      <c r="P1172" s="7" t="s">
        <v>13</v>
      </c>
      <c r="Q1172" s="9"/>
      <c r="R1172" s="1"/>
    </row>
    <row r="1173" spans="1:18" ht="13.5" thickBot="1" x14ac:dyDescent="0.25">
      <c r="A1173" s="123">
        <v>19</v>
      </c>
      <c r="B1173" s="123">
        <v>0</v>
      </c>
      <c r="C1173" s="123">
        <v>19</v>
      </c>
      <c r="D1173" s="123">
        <v>1</v>
      </c>
      <c r="E1173" s="123">
        <v>0</v>
      </c>
      <c r="F1173" s="123">
        <v>1</v>
      </c>
      <c r="G1173" s="123">
        <v>15</v>
      </c>
      <c r="H1173" s="123">
        <v>0</v>
      </c>
      <c r="I1173" s="123">
        <v>15</v>
      </c>
      <c r="J1173" s="123">
        <v>3</v>
      </c>
      <c r="K1173" s="123">
        <v>0</v>
      </c>
      <c r="L1173" s="123">
        <v>3</v>
      </c>
      <c r="M1173" s="123">
        <v>0</v>
      </c>
      <c r="N1173" s="123">
        <v>0</v>
      </c>
      <c r="O1173" s="123">
        <v>0</v>
      </c>
      <c r="P1173" s="7" t="s">
        <v>163</v>
      </c>
      <c r="Q1173" s="124"/>
      <c r="R1173" s="1"/>
    </row>
    <row r="1174" spans="1:18" ht="13.5" thickBot="1" x14ac:dyDescent="0.25">
      <c r="A1174" s="123">
        <v>12</v>
      </c>
      <c r="B1174" s="123">
        <v>0</v>
      </c>
      <c r="C1174" s="123">
        <v>12</v>
      </c>
      <c r="D1174" s="123">
        <v>0</v>
      </c>
      <c r="E1174" s="123">
        <v>0</v>
      </c>
      <c r="F1174" s="123">
        <v>0</v>
      </c>
      <c r="G1174" s="123">
        <v>8</v>
      </c>
      <c r="H1174" s="123">
        <v>0</v>
      </c>
      <c r="I1174" s="123">
        <v>8</v>
      </c>
      <c r="J1174" s="123">
        <v>4</v>
      </c>
      <c r="K1174" s="123">
        <v>0</v>
      </c>
      <c r="L1174" s="123">
        <v>4</v>
      </c>
      <c r="M1174" s="123">
        <v>0</v>
      </c>
      <c r="N1174" s="123">
        <v>0</v>
      </c>
      <c r="O1174" s="123">
        <v>0</v>
      </c>
      <c r="P1174" s="7" t="s">
        <v>162</v>
      </c>
      <c r="Q1174" s="124" t="s">
        <v>309</v>
      </c>
      <c r="R1174" s="1"/>
    </row>
    <row r="1175" spans="1:18" ht="13.5" thickBot="1" x14ac:dyDescent="0.25">
      <c r="A1175" s="123">
        <v>31</v>
      </c>
      <c r="B1175" s="123">
        <v>0</v>
      </c>
      <c r="C1175" s="123">
        <v>31</v>
      </c>
      <c r="D1175" s="123">
        <v>1</v>
      </c>
      <c r="E1175" s="123">
        <v>0</v>
      </c>
      <c r="F1175" s="123">
        <v>1</v>
      </c>
      <c r="G1175" s="123">
        <v>23</v>
      </c>
      <c r="H1175" s="123">
        <v>0</v>
      </c>
      <c r="I1175" s="123">
        <v>23</v>
      </c>
      <c r="J1175" s="123">
        <v>7</v>
      </c>
      <c r="K1175" s="123">
        <v>0</v>
      </c>
      <c r="L1175" s="123">
        <v>7</v>
      </c>
      <c r="M1175" s="123">
        <v>0</v>
      </c>
      <c r="N1175" s="123">
        <v>0</v>
      </c>
      <c r="O1175" s="123">
        <v>0</v>
      </c>
      <c r="P1175" s="7" t="s">
        <v>13</v>
      </c>
      <c r="Q1175" s="9"/>
      <c r="R1175" s="1"/>
    </row>
    <row r="1176" spans="1:18" ht="13.5" thickBot="1" x14ac:dyDescent="0.25">
      <c r="A1176" s="123">
        <v>61</v>
      </c>
      <c r="B1176" s="123">
        <v>0</v>
      </c>
      <c r="C1176" s="123">
        <v>61</v>
      </c>
      <c r="D1176" s="123">
        <v>17</v>
      </c>
      <c r="E1176" s="123">
        <v>0</v>
      </c>
      <c r="F1176" s="123">
        <v>17</v>
      </c>
      <c r="G1176" s="123">
        <v>40</v>
      </c>
      <c r="H1176" s="123">
        <v>0</v>
      </c>
      <c r="I1176" s="123">
        <v>40</v>
      </c>
      <c r="J1176" s="123">
        <v>4</v>
      </c>
      <c r="K1176" s="123">
        <v>0</v>
      </c>
      <c r="L1176" s="123">
        <v>4</v>
      </c>
      <c r="M1176" s="123">
        <v>0</v>
      </c>
      <c r="N1176" s="123">
        <v>0</v>
      </c>
      <c r="O1176" s="123">
        <v>0</v>
      </c>
      <c r="P1176" s="7" t="s">
        <v>163</v>
      </c>
      <c r="Q1176" s="124"/>
      <c r="R1176" s="1"/>
    </row>
    <row r="1177" spans="1:18" ht="13.5" thickBot="1" x14ac:dyDescent="0.25">
      <c r="A1177" s="123">
        <v>23</v>
      </c>
      <c r="B1177" s="123">
        <v>0</v>
      </c>
      <c r="C1177" s="123">
        <v>23</v>
      </c>
      <c r="D1177" s="123">
        <v>0</v>
      </c>
      <c r="E1177" s="123">
        <v>0</v>
      </c>
      <c r="F1177" s="123">
        <v>0</v>
      </c>
      <c r="G1177" s="123">
        <v>23</v>
      </c>
      <c r="H1177" s="123">
        <v>0</v>
      </c>
      <c r="I1177" s="123">
        <v>23</v>
      </c>
      <c r="J1177" s="123">
        <v>0</v>
      </c>
      <c r="K1177" s="123">
        <v>0</v>
      </c>
      <c r="L1177" s="123">
        <v>0</v>
      </c>
      <c r="M1177" s="123">
        <v>0</v>
      </c>
      <c r="N1177" s="123">
        <v>0</v>
      </c>
      <c r="O1177" s="123">
        <v>0</v>
      </c>
      <c r="P1177" s="7" t="s">
        <v>162</v>
      </c>
      <c r="Q1177" s="124" t="s">
        <v>310</v>
      </c>
      <c r="R1177" s="1"/>
    </row>
    <row r="1178" spans="1:18" ht="13.5" thickBot="1" x14ac:dyDescent="0.25">
      <c r="A1178" s="123">
        <v>84</v>
      </c>
      <c r="B1178" s="123">
        <v>0</v>
      </c>
      <c r="C1178" s="123">
        <v>84</v>
      </c>
      <c r="D1178" s="123">
        <v>17</v>
      </c>
      <c r="E1178" s="123">
        <v>0</v>
      </c>
      <c r="F1178" s="123">
        <v>17</v>
      </c>
      <c r="G1178" s="123">
        <v>63</v>
      </c>
      <c r="H1178" s="123">
        <v>0</v>
      </c>
      <c r="I1178" s="123">
        <v>63</v>
      </c>
      <c r="J1178" s="123">
        <v>4</v>
      </c>
      <c r="K1178" s="123">
        <v>0</v>
      </c>
      <c r="L1178" s="123">
        <v>4</v>
      </c>
      <c r="M1178" s="123">
        <v>0</v>
      </c>
      <c r="N1178" s="123">
        <v>0</v>
      </c>
      <c r="O1178" s="123">
        <v>0</v>
      </c>
      <c r="P1178" s="7" t="s">
        <v>13</v>
      </c>
      <c r="Q1178" s="9"/>
      <c r="R1178" s="1"/>
    </row>
    <row r="1179" spans="1:18" ht="13.5" thickBot="1" x14ac:dyDescent="0.25">
      <c r="A1179" s="123">
        <v>35</v>
      </c>
      <c r="B1179" s="123">
        <v>0</v>
      </c>
      <c r="C1179" s="123">
        <v>35</v>
      </c>
      <c r="D1179" s="123">
        <v>0</v>
      </c>
      <c r="E1179" s="123">
        <v>0</v>
      </c>
      <c r="F1179" s="123">
        <v>0</v>
      </c>
      <c r="G1179" s="123">
        <v>30</v>
      </c>
      <c r="H1179" s="123">
        <v>0</v>
      </c>
      <c r="I1179" s="123">
        <v>30</v>
      </c>
      <c r="J1179" s="123">
        <v>5</v>
      </c>
      <c r="K1179" s="123">
        <v>0</v>
      </c>
      <c r="L1179" s="123">
        <v>5</v>
      </c>
      <c r="M1179" s="123">
        <v>0</v>
      </c>
      <c r="N1179" s="123">
        <v>0</v>
      </c>
      <c r="O1179" s="123">
        <v>0</v>
      </c>
      <c r="P1179" s="7" t="s">
        <v>163</v>
      </c>
      <c r="Q1179" s="124"/>
      <c r="R1179" s="1"/>
    </row>
    <row r="1180" spans="1:18" ht="13.5" thickBot="1" x14ac:dyDescent="0.25">
      <c r="A1180" s="123">
        <v>5</v>
      </c>
      <c r="B1180" s="123">
        <v>0</v>
      </c>
      <c r="C1180" s="123">
        <v>5</v>
      </c>
      <c r="D1180" s="123">
        <v>0</v>
      </c>
      <c r="E1180" s="123">
        <v>0</v>
      </c>
      <c r="F1180" s="123">
        <v>0</v>
      </c>
      <c r="G1180" s="123">
        <v>5</v>
      </c>
      <c r="H1180" s="123">
        <v>0</v>
      </c>
      <c r="I1180" s="123">
        <v>5</v>
      </c>
      <c r="J1180" s="123">
        <v>0</v>
      </c>
      <c r="K1180" s="123">
        <v>0</v>
      </c>
      <c r="L1180" s="123">
        <v>0</v>
      </c>
      <c r="M1180" s="123">
        <v>0</v>
      </c>
      <c r="N1180" s="123">
        <v>0</v>
      </c>
      <c r="O1180" s="123">
        <v>0</v>
      </c>
      <c r="P1180" s="7" t="s">
        <v>162</v>
      </c>
      <c r="Q1180" s="124" t="s">
        <v>311</v>
      </c>
      <c r="R1180" s="1"/>
    </row>
    <row r="1181" spans="1:18" ht="13.5" thickBot="1" x14ac:dyDescent="0.25">
      <c r="A1181" s="123">
        <v>40</v>
      </c>
      <c r="B1181" s="123">
        <v>0</v>
      </c>
      <c r="C1181" s="123">
        <v>40</v>
      </c>
      <c r="D1181" s="123">
        <v>0</v>
      </c>
      <c r="E1181" s="123">
        <v>0</v>
      </c>
      <c r="F1181" s="123">
        <v>0</v>
      </c>
      <c r="G1181" s="123">
        <v>35</v>
      </c>
      <c r="H1181" s="123">
        <v>0</v>
      </c>
      <c r="I1181" s="123">
        <v>35</v>
      </c>
      <c r="J1181" s="123">
        <v>5</v>
      </c>
      <c r="K1181" s="123">
        <v>0</v>
      </c>
      <c r="L1181" s="123">
        <v>5</v>
      </c>
      <c r="M1181" s="123">
        <v>0</v>
      </c>
      <c r="N1181" s="123">
        <v>0</v>
      </c>
      <c r="O1181" s="123">
        <v>0</v>
      </c>
      <c r="P1181" s="7" t="s">
        <v>13</v>
      </c>
      <c r="Q1181" s="9"/>
      <c r="R1181" s="1"/>
    </row>
    <row r="1182" spans="1:18" ht="13.5" thickBot="1" x14ac:dyDescent="0.25">
      <c r="A1182" s="123">
        <v>62</v>
      </c>
      <c r="B1182" s="123">
        <v>0</v>
      </c>
      <c r="C1182" s="123">
        <v>62</v>
      </c>
      <c r="D1182" s="123">
        <v>4</v>
      </c>
      <c r="E1182" s="123">
        <v>0</v>
      </c>
      <c r="F1182" s="123">
        <v>4</v>
      </c>
      <c r="G1182" s="123">
        <v>50</v>
      </c>
      <c r="H1182" s="123">
        <v>0</v>
      </c>
      <c r="I1182" s="123">
        <v>50</v>
      </c>
      <c r="J1182" s="123">
        <v>8</v>
      </c>
      <c r="K1182" s="123">
        <v>0</v>
      </c>
      <c r="L1182" s="123">
        <v>8</v>
      </c>
      <c r="M1182" s="123">
        <v>0</v>
      </c>
      <c r="N1182" s="123">
        <v>0</v>
      </c>
      <c r="O1182" s="123">
        <v>0</v>
      </c>
      <c r="P1182" s="7" t="s">
        <v>163</v>
      </c>
      <c r="Q1182" s="124"/>
      <c r="R1182" s="1"/>
    </row>
    <row r="1183" spans="1:18" ht="13.5" thickBot="1" x14ac:dyDescent="0.25">
      <c r="A1183" s="123">
        <v>10</v>
      </c>
      <c r="B1183" s="123">
        <v>0</v>
      </c>
      <c r="C1183" s="123">
        <v>10</v>
      </c>
      <c r="D1183" s="123">
        <v>0</v>
      </c>
      <c r="E1183" s="123">
        <v>0</v>
      </c>
      <c r="F1183" s="123">
        <v>0</v>
      </c>
      <c r="G1183" s="123">
        <v>5</v>
      </c>
      <c r="H1183" s="123">
        <v>0</v>
      </c>
      <c r="I1183" s="123">
        <v>5</v>
      </c>
      <c r="J1183" s="123">
        <v>2</v>
      </c>
      <c r="K1183" s="123">
        <v>0</v>
      </c>
      <c r="L1183" s="123">
        <v>2</v>
      </c>
      <c r="M1183" s="123">
        <v>3</v>
      </c>
      <c r="N1183" s="123">
        <v>0</v>
      </c>
      <c r="O1183" s="123">
        <v>3</v>
      </c>
      <c r="P1183" s="7" t="s">
        <v>162</v>
      </c>
      <c r="Q1183" s="124" t="s">
        <v>312</v>
      </c>
      <c r="R1183" s="1"/>
    </row>
    <row r="1184" spans="1:18" ht="13.5" thickBot="1" x14ac:dyDescent="0.25">
      <c r="A1184" s="123">
        <v>72</v>
      </c>
      <c r="B1184" s="123">
        <v>0</v>
      </c>
      <c r="C1184" s="123">
        <v>72</v>
      </c>
      <c r="D1184" s="123">
        <v>4</v>
      </c>
      <c r="E1184" s="123">
        <v>0</v>
      </c>
      <c r="F1184" s="123">
        <v>4</v>
      </c>
      <c r="G1184" s="123">
        <v>55</v>
      </c>
      <c r="H1184" s="123">
        <v>0</v>
      </c>
      <c r="I1184" s="123">
        <v>55</v>
      </c>
      <c r="J1184" s="123">
        <v>10</v>
      </c>
      <c r="K1184" s="123">
        <v>0</v>
      </c>
      <c r="L1184" s="123">
        <v>10</v>
      </c>
      <c r="M1184" s="123">
        <v>3</v>
      </c>
      <c r="N1184" s="123">
        <v>0</v>
      </c>
      <c r="O1184" s="123">
        <v>3</v>
      </c>
      <c r="P1184" s="7" t="s">
        <v>13</v>
      </c>
      <c r="Q1184" s="9"/>
      <c r="R1184" s="1"/>
    </row>
    <row r="1185" spans="1:18" ht="13.5" thickBot="1" x14ac:dyDescent="0.25">
      <c r="A1185" s="123">
        <v>7</v>
      </c>
      <c r="B1185" s="123">
        <v>0</v>
      </c>
      <c r="C1185" s="123">
        <v>7</v>
      </c>
      <c r="D1185" s="123">
        <v>1</v>
      </c>
      <c r="E1185" s="123">
        <v>0</v>
      </c>
      <c r="F1185" s="123">
        <v>1</v>
      </c>
      <c r="G1185" s="123">
        <v>6</v>
      </c>
      <c r="H1185" s="123">
        <v>0</v>
      </c>
      <c r="I1185" s="123">
        <v>6</v>
      </c>
      <c r="J1185" s="123">
        <v>0</v>
      </c>
      <c r="K1185" s="123">
        <v>0</v>
      </c>
      <c r="L1185" s="123">
        <v>0</v>
      </c>
      <c r="M1185" s="123">
        <v>0</v>
      </c>
      <c r="N1185" s="123">
        <v>0</v>
      </c>
      <c r="O1185" s="123">
        <v>0</v>
      </c>
      <c r="P1185" s="7" t="s">
        <v>163</v>
      </c>
      <c r="Q1185" s="124"/>
      <c r="R1185" s="1"/>
    </row>
    <row r="1186" spans="1:18" ht="13.5" thickBot="1" x14ac:dyDescent="0.25">
      <c r="A1186" s="123">
        <v>15</v>
      </c>
      <c r="B1186" s="123">
        <v>0</v>
      </c>
      <c r="C1186" s="123">
        <v>15</v>
      </c>
      <c r="D1186" s="123">
        <v>0</v>
      </c>
      <c r="E1186" s="123">
        <v>0</v>
      </c>
      <c r="F1186" s="123">
        <v>0</v>
      </c>
      <c r="G1186" s="123">
        <v>15</v>
      </c>
      <c r="H1186" s="123">
        <v>0</v>
      </c>
      <c r="I1186" s="123">
        <v>15</v>
      </c>
      <c r="J1186" s="123">
        <v>0</v>
      </c>
      <c r="K1186" s="123">
        <v>0</v>
      </c>
      <c r="L1186" s="123">
        <v>0</v>
      </c>
      <c r="M1186" s="123">
        <v>0</v>
      </c>
      <c r="N1186" s="123">
        <v>0</v>
      </c>
      <c r="O1186" s="123">
        <v>0</v>
      </c>
      <c r="P1186" s="7" t="s">
        <v>162</v>
      </c>
      <c r="Q1186" s="124" t="s">
        <v>313</v>
      </c>
      <c r="R1186" s="1"/>
    </row>
    <row r="1187" spans="1:18" ht="13.5" thickBot="1" x14ac:dyDescent="0.25">
      <c r="A1187" s="123">
        <v>22</v>
      </c>
      <c r="B1187" s="123">
        <v>0</v>
      </c>
      <c r="C1187" s="123">
        <v>22</v>
      </c>
      <c r="D1187" s="123">
        <v>1</v>
      </c>
      <c r="E1187" s="123">
        <v>0</v>
      </c>
      <c r="F1187" s="123">
        <v>1</v>
      </c>
      <c r="G1187" s="123">
        <v>21</v>
      </c>
      <c r="H1187" s="123">
        <v>0</v>
      </c>
      <c r="I1187" s="123">
        <v>21</v>
      </c>
      <c r="J1187" s="123">
        <v>0</v>
      </c>
      <c r="K1187" s="123">
        <v>0</v>
      </c>
      <c r="L1187" s="123">
        <v>0</v>
      </c>
      <c r="M1187" s="123">
        <v>0</v>
      </c>
      <c r="N1187" s="123">
        <v>0</v>
      </c>
      <c r="O1187" s="123">
        <v>0</v>
      </c>
      <c r="P1187" s="7" t="s">
        <v>13</v>
      </c>
      <c r="Q1187" s="9"/>
      <c r="R1187" s="1"/>
    </row>
    <row r="1188" spans="1:18" ht="13.5" thickBot="1" x14ac:dyDescent="0.25">
      <c r="A1188" s="123">
        <v>15</v>
      </c>
      <c r="B1188" s="123">
        <v>0</v>
      </c>
      <c r="C1188" s="123">
        <v>15</v>
      </c>
      <c r="D1188" s="123">
        <v>0</v>
      </c>
      <c r="E1188" s="123">
        <v>0</v>
      </c>
      <c r="F1188" s="123">
        <v>0</v>
      </c>
      <c r="G1188" s="123">
        <v>10</v>
      </c>
      <c r="H1188" s="123">
        <v>0</v>
      </c>
      <c r="I1188" s="123">
        <v>10</v>
      </c>
      <c r="J1188" s="123">
        <v>5</v>
      </c>
      <c r="K1188" s="123">
        <v>0</v>
      </c>
      <c r="L1188" s="123">
        <v>5</v>
      </c>
      <c r="M1188" s="123">
        <v>0</v>
      </c>
      <c r="N1188" s="123">
        <v>0</v>
      </c>
      <c r="O1188" s="123">
        <v>0</v>
      </c>
      <c r="P1188" s="7" t="s">
        <v>163</v>
      </c>
      <c r="Q1188" s="124"/>
      <c r="R1188" s="1"/>
    </row>
    <row r="1189" spans="1:18" ht="13.5" thickBot="1" x14ac:dyDescent="0.25">
      <c r="A1189" s="123">
        <v>9</v>
      </c>
      <c r="B1189" s="123">
        <v>0</v>
      </c>
      <c r="C1189" s="123">
        <v>9</v>
      </c>
      <c r="D1189" s="123">
        <v>0</v>
      </c>
      <c r="E1189" s="123">
        <v>0</v>
      </c>
      <c r="F1189" s="123">
        <v>0</v>
      </c>
      <c r="G1189" s="123">
        <v>9</v>
      </c>
      <c r="H1189" s="123">
        <v>0</v>
      </c>
      <c r="I1189" s="123">
        <v>9</v>
      </c>
      <c r="J1189" s="123">
        <v>0</v>
      </c>
      <c r="K1189" s="123">
        <v>0</v>
      </c>
      <c r="L1189" s="123">
        <v>0</v>
      </c>
      <c r="M1189" s="123">
        <v>0</v>
      </c>
      <c r="N1189" s="123">
        <v>0</v>
      </c>
      <c r="O1189" s="123">
        <v>0</v>
      </c>
      <c r="P1189" s="7" t="s">
        <v>162</v>
      </c>
      <c r="Q1189" s="124" t="s">
        <v>314</v>
      </c>
      <c r="R1189" s="1"/>
    </row>
    <row r="1190" spans="1:18" ht="13.5" thickBot="1" x14ac:dyDescent="0.25">
      <c r="A1190" s="123">
        <v>24</v>
      </c>
      <c r="B1190" s="123">
        <v>0</v>
      </c>
      <c r="C1190" s="123">
        <v>24</v>
      </c>
      <c r="D1190" s="123">
        <v>0</v>
      </c>
      <c r="E1190" s="123">
        <v>0</v>
      </c>
      <c r="F1190" s="123">
        <v>0</v>
      </c>
      <c r="G1190" s="123">
        <v>19</v>
      </c>
      <c r="H1190" s="123">
        <v>0</v>
      </c>
      <c r="I1190" s="123">
        <v>19</v>
      </c>
      <c r="J1190" s="123">
        <v>5</v>
      </c>
      <c r="K1190" s="123">
        <v>0</v>
      </c>
      <c r="L1190" s="123">
        <v>5</v>
      </c>
      <c r="M1190" s="123">
        <v>0</v>
      </c>
      <c r="N1190" s="123">
        <v>0</v>
      </c>
      <c r="O1190" s="123">
        <v>0</v>
      </c>
      <c r="P1190" s="7" t="s">
        <v>13</v>
      </c>
      <c r="Q1190" s="9"/>
      <c r="R1190" s="1"/>
    </row>
    <row r="1191" spans="1:18" ht="13.5" thickBot="1" x14ac:dyDescent="0.25">
      <c r="A1191" s="123">
        <v>18</v>
      </c>
      <c r="B1191" s="123">
        <v>18</v>
      </c>
      <c r="C1191" s="123">
        <v>0</v>
      </c>
      <c r="D1191" s="123">
        <v>0</v>
      </c>
      <c r="E1191" s="123">
        <v>0</v>
      </c>
      <c r="F1191" s="123">
        <v>0</v>
      </c>
      <c r="G1191" s="123">
        <v>18</v>
      </c>
      <c r="H1191" s="123">
        <v>18</v>
      </c>
      <c r="I1191" s="123">
        <v>0</v>
      </c>
      <c r="J1191" s="123">
        <v>0</v>
      </c>
      <c r="K1191" s="123">
        <v>0</v>
      </c>
      <c r="L1191" s="123">
        <v>0</v>
      </c>
      <c r="M1191" s="123">
        <v>0</v>
      </c>
      <c r="N1191" s="123">
        <v>0</v>
      </c>
      <c r="O1191" s="123">
        <v>0</v>
      </c>
      <c r="P1191" s="7" t="s">
        <v>163</v>
      </c>
      <c r="Q1191" s="124"/>
      <c r="R1191" s="1"/>
    </row>
    <row r="1192" spans="1:18" ht="13.5" thickBot="1" x14ac:dyDescent="0.25">
      <c r="A1192" s="123">
        <v>0</v>
      </c>
      <c r="B1192" s="123">
        <v>0</v>
      </c>
      <c r="C1192" s="123">
        <v>0</v>
      </c>
      <c r="D1192" s="123">
        <v>0</v>
      </c>
      <c r="E1192" s="123">
        <v>0</v>
      </c>
      <c r="F1192" s="123">
        <v>0</v>
      </c>
      <c r="G1192" s="123">
        <v>0</v>
      </c>
      <c r="H1192" s="123">
        <v>0</v>
      </c>
      <c r="I1192" s="123">
        <v>0</v>
      </c>
      <c r="J1192" s="123">
        <v>0</v>
      </c>
      <c r="K1192" s="123">
        <v>0</v>
      </c>
      <c r="L1192" s="123">
        <v>0</v>
      </c>
      <c r="M1192" s="123">
        <v>0</v>
      </c>
      <c r="N1192" s="123">
        <v>0</v>
      </c>
      <c r="O1192" s="123">
        <v>0</v>
      </c>
      <c r="P1192" s="7" t="s">
        <v>162</v>
      </c>
      <c r="Q1192" s="124" t="s">
        <v>315</v>
      </c>
      <c r="R1192" s="1"/>
    </row>
    <row r="1193" spans="1:18" ht="13.5" thickBot="1" x14ac:dyDescent="0.25">
      <c r="A1193" s="123">
        <v>18</v>
      </c>
      <c r="B1193" s="123">
        <v>18</v>
      </c>
      <c r="C1193" s="123">
        <v>0</v>
      </c>
      <c r="D1193" s="123">
        <v>0</v>
      </c>
      <c r="E1193" s="123">
        <v>0</v>
      </c>
      <c r="F1193" s="123">
        <v>0</v>
      </c>
      <c r="G1193" s="123">
        <v>18</v>
      </c>
      <c r="H1193" s="123">
        <v>18</v>
      </c>
      <c r="I1193" s="123">
        <v>0</v>
      </c>
      <c r="J1193" s="123">
        <v>0</v>
      </c>
      <c r="K1193" s="123">
        <v>0</v>
      </c>
      <c r="L1193" s="123">
        <v>0</v>
      </c>
      <c r="M1193" s="123">
        <v>0</v>
      </c>
      <c r="N1193" s="123">
        <v>0</v>
      </c>
      <c r="O1193" s="123">
        <v>0</v>
      </c>
      <c r="P1193" s="7" t="s">
        <v>13</v>
      </c>
      <c r="Q1193" s="9"/>
      <c r="R1193" s="1"/>
    </row>
    <row r="1194" spans="1:18" ht="13.5" thickBot="1" x14ac:dyDescent="0.25">
      <c r="A1194" s="123">
        <v>19</v>
      </c>
      <c r="B1194" s="123">
        <v>19</v>
      </c>
      <c r="C1194" s="123">
        <v>0</v>
      </c>
      <c r="D1194" s="123">
        <v>0</v>
      </c>
      <c r="E1194" s="123">
        <v>0</v>
      </c>
      <c r="F1194" s="123">
        <v>0</v>
      </c>
      <c r="G1194" s="123">
        <v>19</v>
      </c>
      <c r="H1194" s="123">
        <v>19</v>
      </c>
      <c r="I1194" s="123">
        <v>0</v>
      </c>
      <c r="J1194" s="123">
        <v>0</v>
      </c>
      <c r="K1194" s="123">
        <v>0</v>
      </c>
      <c r="L1194" s="123">
        <v>0</v>
      </c>
      <c r="M1194" s="123">
        <v>0</v>
      </c>
      <c r="N1194" s="123">
        <v>0</v>
      </c>
      <c r="O1194" s="123">
        <v>0</v>
      </c>
      <c r="P1194" s="7" t="s">
        <v>163</v>
      </c>
      <c r="Q1194" s="124"/>
      <c r="R1194" s="1"/>
    </row>
    <row r="1195" spans="1:18" ht="13.5" thickBot="1" x14ac:dyDescent="0.25">
      <c r="A1195" s="123">
        <v>0</v>
      </c>
      <c r="B1195" s="123">
        <v>0</v>
      </c>
      <c r="C1195" s="123">
        <v>0</v>
      </c>
      <c r="D1195" s="123">
        <v>0</v>
      </c>
      <c r="E1195" s="123">
        <v>0</v>
      </c>
      <c r="F1195" s="123">
        <v>0</v>
      </c>
      <c r="G1195" s="123">
        <v>0</v>
      </c>
      <c r="H1195" s="123">
        <v>0</v>
      </c>
      <c r="I1195" s="123">
        <v>0</v>
      </c>
      <c r="J1195" s="123">
        <v>0</v>
      </c>
      <c r="K1195" s="123">
        <v>0</v>
      </c>
      <c r="L1195" s="123">
        <v>0</v>
      </c>
      <c r="M1195" s="123">
        <v>0</v>
      </c>
      <c r="N1195" s="123">
        <v>0</v>
      </c>
      <c r="O1195" s="123">
        <v>0</v>
      </c>
      <c r="P1195" s="7" t="s">
        <v>162</v>
      </c>
      <c r="Q1195" s="124" t="s">
        <v>316</v>
      </c>
      <c r="R1195" s="1"/>
    </row>
    <row r="1196" spans="1:18" ht="13.5" thickBot="1" x14ac:dyDescent="0.25">
      <c r="A1196" s="123">
        <v>19</v>
      </c>
      <c r="B1196" s="123">
        <v>19</v>
      </c>
      <c r="C1196" s="123">
        <v>0</v>
      </c>
      <c r="D1196" s="123">
        <v>0</v>
      </c>
      <c r="E1196" s="123">
        <v>0</v>
      </c>
      <c r="F1196" s="123">
        <v>0</v>
      </c>
      <c r="G1196" s="123">
        <v>19</v>
      </c>
      <c r="H1196" s="123">
        <v>19</v>
      </c>
      <c r="I1196" s="123">
        <v>0</v>
      </c>
      <c r="J1196" s="123">
        <v>0</v>
      </c>
      <c r="K1196" s="123">
        <v>0</v>
      </c>
      <c r="L1196" s="123">
        <v>0</v>
      </c>
      <c r="M1196" s="123">
        <v>0</v>
      </c>
      <c r="N1196" s="123">
        <v>0</v>
      </c>
      <c r="O1196" s="123">
        <v>0</v>
      </c>
      <c r="P1196" s="7" t="s">
        <v>13</v>
      </c>
      <c r="Q1196" s="9"/>
      <c r="R1196" s="1"/>
    </row>
    <row r="1197" spans="1:18" ht="13.5" thickBot="1" x14ac:dyDescent="0.25">
      <c r="A1197" s="123">
        <v>8</v>
      </c>
      <c r="B1197" s="123">
        <v>8</v>
      </c>
      <c r="C1197" s="123">
        <v>0</v>
      </c>
      <c r="D1197" s="123">
        <v>1</v>
      </c>
      <c r="E1197" s="123">
        <v>1</v>
      </c>
      <c r="F1197" s="123">
        <v>0</v>
      </c>
      <c r="G1197" s="123">
        <v>1</v>
      </c>
      <c r="H1197" s="123">
        <v>1</v>
      </c>
      <c r="I1197" s="123">
        <v>0</v>
      </c>
      <c r="J1197" s="123">
        <v>6</v>
      </c>
      <c r="K1197" s="123">
        <v>6</v>
      </c>
      <c r="L1197" s="123">
        <v>0</v>
      </c>
      <c r="M1197" s="123">
        <v>0</v>
      </c>
      <c r="N1197" s="123">
        <v>0</v>
      </c>
      <c r="O1197" s="123">
        <v>0</v>
      </c>
      <c r="P1197" s="7" t="s">
        <v>163</v>
      </c>
      <c r="Q1197" s="124"/>
      <c r="R1197" s="1"/>
    </row>
    <row r="1198" spans="1:18" ht="13.5" thickBot="1" x14ac:dyDescent="0.25">
      <c r="A1198" s="123">
        <v>0</v>
      </c>
      <c r="B1198" s="123">
        <v>0</v>
      </c>
      <c r="C1198" s="123">
        <v>0</v>
      </c>
      <c r="D1198" s="123">
        <v>0</v>
      </c>
      <c r="E1198" s="123">
        <v>0</v>
      </c>
      <c r="F1198" s="123">
        <v>0</v>
      </c>
      <c r="G1198" s="123">
        <v>0</v>
      </c>
      <c r="H1198" s="123">
        <v>0</v>
      </c>
      <c r="I1198" s="123">
        <v>0</v>
      </c>
      <c r="J1198" s="123">
        <v>0</v>
      </c>
      <c r="K1198" s="123">
        <v>0</v>
      </c>
      <c r="L1198" s="123">
        <v>0</v>
      </c>
      <c r="M1198" s="123">
        <v>0</v>
      </c>
      <c r="N1198" s="123">
        <v>0</v>
      </c>
      <c r="O1198" s="123">
        <v>0</v>
      </c>
      <c r="P1198" s="7" t="s">
        <v>162</v>
      </c>
      <c r="Q1198" s="124" t="s">
        <v>317</v>
      </c>
      <c r="R1198" s="1"/>
    </row>
    <row r="1199" spans="1:18" ht="13.5" thickBot="1" x14ac:dyDescent="0.25">
      <c r="A1199" s="123">
        <v>8</v>
      </c>
      <c r="B1199" s="123">
        <v>8</v>
      </c>
      <c r="C1199" s="123">
        <v>0</v>
      </c>
      <c r="D1199" s="123">
        <v>1</v>
      </c>
      <c r="E1199" s="123">
        <v>1</v>
      </c>
      <c r="F1199" s="123">
        <v>0</v>
      </c>
      <c r="G1199" s="123">
        <v>1</v>
      </c>
      <c r="H1199" s="123">
        <v>1</v>
      </c>
      <c r="I1199" s="123">
        <v>0</v>
      </c>
      <c r="J1199" s="123">
        <v>6</v>
      </c>
      <c r="K1199" s="123">
        <v>6</v>
      </c>
      <c r="L1199" s="123">
        <v>0</v>
      </c>
      <c r="M1199" s="123">
        <v>0</v>
      </c>
      <c r="N1199" s="123">
        <v>0</v>
      </c>
      <c r="O1199" s="123">
        <v>0</v>
      </c>
      <c r="P1199" s="7" t="s">
        <v>13</v>
      </c>
      <c r="Q1199" s="9"/>
      <c r="R1199" s="1"/>
    </row>
    <row r="1200" spans="1:18" ht="13.5" thickBot="1" x14ac:dyDescent="0.25">
      <c r="A1200" s="123">
        <v>24</v>
      </c>
      <c r="B1200" s="123">
        <v>24</v>
      </c>
      <c r="C1200" s="123">
        <v>0</v>
      </c>
      <c r="D1200" s="123">
        <v>0</v>
      </c>
      <c r="E1200" s="123">
        <v>0</v>
      </c>
      <c r="F1200" s="123">
        <v>0</v>
      </c>
      <c r="G1200" s="123">
        <v>20</v>
      </c>
      <c r="H1200" s="123">
        <v>20</v>
      </c>
      <c r="I1200" s="123">
        <v>0</v>
      </c>
      <c r="J1200" s="123">
        <v>4</v>
      </c>
      <c r="K1200" s="123">
        <v>4</v>
      </c>
      <c r="L1200" s="123">
        <v>0</v>
      </c>
      <c r="M1200" s="123">
        <v>0</v>
      </c>
      <c r="N1200" s="123">
        <v>0</v>
      </c>
      <c r="O1200" s="123">
        <v>0</v>
      </c>
      <c r="P1200" s="7" t="s">
        <v>163</v>
      </c>
      <c r="Q1200" s="124"/>
      <c r="R1200" s="1"/>
    </row>
    <row r="1201" spans="1:18" ht="13.5" thickBot="1" x14ac:dyDescent="0.25">
      <c r="A1201" s="123">
        <v>0</v>
      </c>
      <c r="B1201" s="123">
        <v>0</v>
      </c>
      <c r="C1201" s="123">
        <v>0</v>
      </c>
      <c r="D1201" s="123">
        <v>0</v>
      </c>
      <c r="E1201" s="123">
        <v>0</v>
      </c>
      <c r="F1201" s="123">
        <v>0</v>
      </c>
      <c r="G1201" s="123">
        <v>0</v>
      </c>
      <c r="H1201" s="123">
        <v>0</v>
      </c>
      <c r="I1201" s="123">
        <v>0</v>
      </c>
      <c r="J1201" s="123">
        <v>0</v>
      </c>
      <c r="K1201" s="123">
        <v>0</v>
      </c>
      <c r="L1201" s="123">
        <v>0</v>
      </c>
      <c r="M1201" s="123">
        <v>0</v>
      </c>
      <c r="N1201" s="123">
        <v>0</v>
      </c>
      <c r="O1201" s="123">
        <v>0</v>
      </c>
      <c r="P1201" s="7" t="s">
        <v>162</v>
      </c>
      <c r="Q1201" s="124" t="s">
        <v>318</v>
      </c>
      <c r="R1201" s="1"/>
    </row>
    <row r="1202" spans="1:18" ht="13.5" thickBot="1" x14ac:dyDescent="0.25">
      <c r="A1202" s="123">
        <v>24</v>
      </c>
      <c r="B1202" s="123">
        <v>24</v>
      </c>
      <c r="C1202" s="123">
        <v>0</v>
      </c>
      <c r="D1202" s="123">
        <v>0</v>
      </c>
      <c r="E1202" s="123">
        <v>0</v>
      </c>
      <c r="F1202" s="123">
        <v>0</v>
      </c>
      <c r="G1202" s="123">
        <v>20</v>
      </c>
      <c r="H1202" s="123">
        <v>20</v>
      </c>
      <c r="I1202" s="123">
        <v>0</v>
      </c>
      <c r="J1202" s="123">
        <v>4</v>
      </c>
      <c r="K1202" s="123">
        <v>4</v>
      </c>
      <c r="L1202" s="123">
        <v>0</v>
      </c>
      <c r="M1202" s="123">
        <v>0</v>
      </c>
      <c r="N1202" s="123">
        <v>0</v>
      </c>
      <c r="O1202" s="123">
        <v>0</v>
      </c>
      <c r="P1202" s="7" t="s">
        <v>13</v>
      </c>
      <c r="Q1202" s="9"/>
      <c r="R1202" s="1"/>
    </row>
    <row r="1203" spans="1:18" ht="13.5" thickBot="1" x14ac:dyDescent="0.25">
      <c r="A1203" s="123">
        <v>9</v>
      </c>
      <c r="B1203" s="123">
        <v>9</v>
      </c>
      <c r="C1203" s="123">
        <v>0</v>
      </c>
      <c r="D1203" s="123">
        <v>0</v>
      </c>
      <c r="E1203" s="123">
        <v>0</v>
      </c>
      <c r="F1203" s="123">
        <v>0</v>
      </c>
      <c r="G1203" s="123">
        <v>7</v>
      </c>
      <c r="H1203" s="123">
        <v>7</v>
      </c>
      <c r="I1203" s="123">
        <v>0</v>
      </c>
      <c r="J1203" s="123">
        <v>2</v>
      </c>
      <c r="K1203" s="123">
        <v>2</v>
      </c>
      <c r="L1203" s="123">
        <v>0</v>
      </c>
      <c r="M1203" s="123">
        <v>0</v>
      </c>
      <c r="N1203" s="123">
        <v>0</v>
      </c>
      <c r="O1203" s="123">
        <v>0</v>
      </c>
      <c r="P1203" s="7" t="s">
        <v>163</v>
      </c>
      <c r="Q1203" s="124"/>
      <c r="R1203" s="1"/>
    </row>
    <row r="1204" spans="1:18" ht="13.5" thickBot="1" x14ac:dyDescent="0.25">
      <c r="A1204" s="123">
        <v>0</v>
      </c>
      <c r="B1204" s="123">
        <v>0</v>
      </c>
      <c r="C1204" s="123">
        <v>0</v>
      </c>
      <c r="D1204" s="123">
        <v>0</v>
      </c>
      <c r="E1204" s="123">
        <v>0</v>
      </c>
      <c r="F1204" s="123">
        <v>0</v>
      </c>
      <c r="G1204" s="123">
        <v>0</v>
      </c>
      <c r="H1204" s="123">
        <v>0</v>
      </c>
      <c r="I1204" s="123">
        <v>0</v>
      </c>
      <c r="J1204" s="123">
        <v>0</v>
      </c>
      <c r="K1204" s="123">
        <v>0</v>
      </c>
      <c r="L1204" s="123">
        <v>0</v>
      </c>
      <c r="M1204" s="123">
        <v>0</v>
      </c>
      <c r="N1204" s="123">
        <v>0</v>
      </c>
      <c r="O1204" s="123">
        <v>0</v>
      </c>
      <c r="P1204" s="7" t="s">
        <v>162</v>
      </c>
      <c r="Q1204" s="124" t="s">
        <v>319</v>
      </c>
      <c r="R1204" s="1"/>
    </row>
    <row r="1205" spans="1:18" ht="13.5" thickBot="1" x14ac:dyDescent="0.25">
      <c r="A1205" s="123">
        <v>9</v>
      </c>
      <c r="B1205" s="123">
        <v>9</v>
      </c>
      <c r="C1205" s="123">
        <v>0</v>
      </c>
      <c r="D1205" s="123">
        <v>0</v>
      </c>
      <c r="E1205" s="123">
        <v>0</v>
      </c>
      <c r="F1205" s="123">
        <v>0</v>
      </c>
      <c r="G1205" s="123">
        <v>7</v>
      </c>
      <c r="H1205" s="123">
        <v>7</v>
      </c>
      <c r="I1205" s="123">
        <v>0</v>
      </c>
      <c r="J1205" s="123">
        <v>2</v>
      </c>
      <c r="K1205" s="123">
        <v>2</v>
      </c>
      <c r="L1205" s="123">
        <v>0</v>
      </c>
      <c r="M1205" s="123">
        <v>0</v>
      </c>
      <c r="N1205" s="123">
        <v>0</v>
      </c>
      <c r="O1205" s="123">
        <v>0</v>
      </c>
      <c r="P1205" s="7" t="s">
        <v>13</v>
      </c>
      <c r="Q1205" s="9"/>
      <c r="R1205" s="1"/>
    </row>
    <row r="1206" spans="1:18" ht="13.5" thickBot="1" x14ac:dyDescent="0.25">
      <c r="A1206" s="123">
        <v>22</v>
      </c>
      <c r="B1206" s="123">
        <v>22</v>
      </c>
      <c r="C1206" s="123">
        <v>0</v>
      </c>
      <c r="D1206" s="123">
        <v>0</v>
      </c>
      <c r="E1206" s="123">
        <v>0</v>
      </c>
      <c r="F1206" s="123">
        <v>0</v>
      </c>
      <c r="G1206" s="123">
        <v>21</v>
      </c>
      <c r="H1206" s="123">
        <v>21</v>
      </c>
      <c r="I1206" s="123">
        <v>0</v>
      </c>
      <c r="J1206" s="123">
        <v>1</v>
      </c>
      <c r="K1206" s="123">
        <v>1</v>
      </c>
      <c r="L1206" s="123">
        <v>0</v>
      </c>
      <c r="M1206" s="123">
        <v>0</v>
      </c>
      <c r="N1206" s="123">
        <v>0</v>
      </c>
      <c r="O1206" s="123">
        <v>0</v>
      </c>
      <c r="P1206" s="7" t="s">
        <v>163</v>
      </c>
      <c r="Q1206" s="124"/>
      <c r="R1206" s="1"/>
    </row>
    <row r="1207" spans="1:18" ht="13.5" thickBot="1" x14ac:dyDescent="0.25">
      <c r="A1207" s="123">
        <v>0</v>
      </c>
      <c r="B1207" s="123">
        <v>0</v>
      </c>
      <c r="C1207" s="123">
        <v>0</v>
      </c>
      <c r="D1207" s="123">
        <v>0</v>
      </c>
      <c r="E1207" s="123">
        <v>0</v>
      </c>
      <c r="F1207" s="123">
        <v>0</v>
      </c>
      <c r="G1207" s="123">
        <v>0</v>
      </c>
      <c r="H1207" s="123">
        <v>0</v>
      </c>
      <c r="I1207" s="123">
        <v>0</v>
      </c>
      <c r="J1207" s="123">
        <v>0</v>
      </c>
      <c r="K1207" s="123">
        <v>0</v>
      </c>
      <c r="L1207" s="123">
        <v>0</v>
      </c>
      <c r="M1207" s="123">
        <v>0</v>
      </c>
      <c r="N1207" s="123">
        <v>0</v>
      </c>
      <c r="O1207" s="123">
        <v>0</v>
      </c>
      <c r="P1207" s="7" t="s">
        <v>162</v>
      </c>
      <c r="Q1207" s="124" t="s">
        <v>320</v>
      </c>
      <c r="R1207" s="1"/>
    </row>
    <row r="1208" spans="1:18" ht="13.5" thickBot="1" x14ac:dyDescent="0.25">
      <c r="A1208" s="123">
        <v>22</v>
      </c>
      <c r="B1208" s="123">
        <v>22</v>
      </c>
      <c r="C1208" s="123">
        <v>0</v>
      </c>
      <c r="D1208" s="123">
        <v>0</v>
      </c>
      <c r="E1208" s="123">
        <v>0</v>
      </c>
      <c r="F1208" s="123">
        <v>0</v>
      </c>
      <c r="G1208" s="123">
        <v>21</v>
      </c>
      <c r="H1208" s="123">
        <v>21</v>
      </c>
      <c r="I1208" s="123">
        <v>0</v>
      </c>
      <c r="J1208" s="123">
        <v>1</v>
      </c>
      <c r="K1208" s="123">
        <v>1</v>
      </c>
      <c r="L1208" s="123">
        <v>0</v>
      </c>
      <c r="M1208" s="123">
        <v>0</v>
      </c>
      <c r="N1208" s="123">
        <v>0</v>
      </c>
      <c r="O1208" s="123">
        <v>0</v>
      </c>
      <c r="P1208" s="7" t="s">
        <v>13</v>
      </c>
      <c r="Q1208" s="9"/>
      <c r="R1208" s="1"/>
    </row>
    <row r="1209" spans="1:18" ht="13.5" thickBot="1" x14ac:dyDescent="0.25">
      <c r="A1209" s="123">
        <v>9</v>
      </c>
      <c r="B1209" s="123">
        <v>9</v>
      </c>
      <c r="C1209" s="123">
        <v>0</v>
      </c>
      <c r="D1209" s="123">
        <v>0</v>
      </c>
      <c r="E1209" s="123">
        <v>0</v>
      </c>
      <c r="F1209" s="123">
        <v>0</v>
      </c>
      <c r="G1209" s="123">
        <v>6</v>
      </c>
      <c r="H1209" s="123">
        <v>6</v>
      </c>
      <c r="I1209" s="123">
        <v>0</v>
      </c>
      <c r="J1209" s="123">
        <v>3</v>
      </c>
      <c r="K1209" s="123">
        <v>3</v>
      </c>
      <c r="L1209" s="123">
        <v>0</v>
      </c>
      <c r="M1209" s="123">
        <v>0</v>
      </c>
      <c r="N1209" s="123">
        <v>0</v>
      </c>
      <c r="O1209" s="123">
        <v>0</v>
      </c>
      <c r="P1209" s="7" t="s">
        <v>163</v>
      </c>
      <c r="Q1209" s="124"/>
      <c r="R1209" s="1"/>
    </row>
    <row r="1210" spans="1:18" ht="13.5" thickBot="1" x14ac:dyDescent="0.25">
      <c r="A1210" s="123">
        <v>0</v>
      </c>
      <c r="B1210" s="123">
        <v>0</v>
      </c>
      <c r="C1210" s="123">
        <v>0</v>
      </c>
      <c r="D1210" s="123">
        <v>0</v>
      </c>
      <c r="E1210" s="123">
        <v>0</v>
      </c>
      <c r="F1210" s="123">
        <v>0</v>
      </c>
      <c r="G1210" s="123">
        <v>0</v>
      </c>
      <c r="H1210" s="123">
        <v>0</v>
      </c>
      <c r="I1210" s="123">
        <v>0</v>
      </c>
      <c r="J1210" s="123">
        <v>0</v>
      </c>
      <c r="K1210" s="123">
        <v>0</v>
      </c>
      <c r="L1210" s="123">
        <v>0</v>
      </c>
      <c r="M1210" s="123">
        <v>0</v>
      </c>
      <c r="N1210" s="123">
        <v>0</v>
      </c>
      <c r="O1210" s="123">
        <v>0</v>
      </c>
      <c r="P1210" s="7" t="s">
        <v>162</v>
      </c>
      <c r="Q1210" s="124" t="s">
        <v>321</v>
      </c>
      <c r="R1210" s="1"/>
    </row>
    <row r="1211" spans="1:18" ht="13.5" thickBot="1" x14ac:dyDescent="0.25">
      <c r="A1211" s="123">
        <v>9</v>
      </c>
      <c r="B1211" s="123">
        <v>9</v>
      </c>
      <c r="C1211" s="123">
        <v>0</v>
      </c>
      <c r="D1211" s="123">
        <v>0</v>
      </c>
      <c r="E1211" s="123">
        <v>0</v>
      </c>
      <c r="F1211" s="123">
        <v>0</v>
      </c>
      <c r="G1211" s="123">
        <v>6</v>
      </c>
      <c r="H1211" s="123">
        <v>6</v>
      </c>
      <c r="I1211" s="123">
        <v>0</v>
      </c>
      <c r="J1211" s="123">
        <v>3</v>
      </c>
      <c r="K1211" s="123">
        <v>3</v>
      </c>
      <c r="L1211" s="123">
        <v>0</v>
      </c>
      <c r="M1211" s="123">
        <v>0</v>
      </c>
      <c r="N1211" s="123">
        <v>0</v>
      </c>
      <c r="O1211" s="123">
        <v>0</v>
      </c>
      <c r="P1211" s="7" t="s">
        <v>13</v>
      </c>
      <c r="Q1211" s="9"/>
      <c r="R1211" s="1"/>
    </row>
    <row r="1212" spans="1:18" ht="13.5" thickBot="1" x14ac:dyDescent="0.25">
      <c r="A1212" s="123">
        <v>6</v>
      </c>
      <c r="B1212" s="123">
        <v>6</v>
      </c>
      <c r="C1212" s="123">
        <v>0</v>
      </c>
      <c r="D1212" s="123">
        <v>0</v>
      </c>
      <c r="E1212" s="123">
        <v>0</v>
      </c>
      <c r="F1212" s="123">
        <v>0</v>
      </c>
      <c r="G1212" s="123">
        <v>5</v>
      </c>
      <c r="H1212" s="123">
        <v>5</v>
      </c>
      <c r="I1212" s="123">
        <v>0</v>
      </c>
      <c r="J1212" s="123">
        <v>1</v>
      </c>
      <c r="K1212" s="123">
        <v>1</v>
      </c>
      <c r="L1212" s="123">
        <v>0</v>
      </c>
      <c r="M1212" s="123">
        <v>0</v>
      </c>
      <c r="N1212" s="123">
        <v>0</v>
      </c>
      <c r="O1212" s="123">
        <v>0</v>
      </c>
      <c r="P1212" s="7" t="s">
        <v>163</v>
      </c>
      <c r="Q1212" s="124"/>
      <c r="R1212" s="1"/>
    </row>
    <row r="1213" spans="1:18" ht="13.5" thickBot="1" x14ac:dyDescent="0.25">
      <c r="A1213" s="123">
        <v>0</v>
      </c>
      <c r="B1213" s="123">
        <v>0</v>
      </c>
      <c r="C1213" s="123">
        <v>0</v>
      </c>
      <c r="D1213" s="123">
        <v>0</v>
      </c>
      <c r="E1213" s="123">
        <v>0</v>
      </c>
      <c r="F1213" s="123">
        <v>0</v>
      </c>
      <c r="G1213" s="123">
        <v>0</v>
      </c>
      <c r="H1213" s="123">
        <v>0</v>
      </c>
      <c r="I1213" s="123">
        <v>0</v>
      </c>
      <c r="J1213" s="123">
        <v>0</v>
      </c>
      <c r="K1213" s="123">
        <v>0</v>
      </c>
      <c r="L1213" s="123">
        <v>0</v>
      </c>
      <c r="M1213" s="123">
        <v>0</v>
      </c>
      <c r="N1213" s="123">
        <v>0</v>
      </c>
      <c r="O1213" s="123">
        <v>0</v>
      </c>
      <c r="P1213" s="7" t="s">
        <v>162</v>
      </c>
      <c r="Q1213" s="124" t="s">
        <v>322</v>
      </c>
      <c r="R1213" s="1"/>
    </row>
    <row r="1214" spans="1:18" ht="13.5" thickBot="1" x14ac:dyDescent="0.25">
      <c r="A1214" s="123">
        <v>6</v>
      </c>
      <c r="B1214" s="123">
        <v>6</v>
      </c>
      <c r="C1214" s="123">
        <v>0</v>
      </c>
      <c r="D1214" s="123">
        <v>0</v>
      </c>
      <c r="E1214" s="123">
        <v>0</v>
      </c>
      <c r="F1214" s="123">
        <v>0</v>
      </c>
      <c r="G1214" s="123">
        <v>5</v>
      </c>
      <c r="H1214" s="123">
        <v>5</v>
      </c>
      <c r="I1214" s="123">
        <v>0</v>
      </c>
      <c r="J1214" s="123">
        <v>1</v>
      </c>
      <c r="K1214" s="123">
        <v>1</v>
      </c>
      <c r="L1214" s="123">
        <v>0</v>
      </c>
      <c r="M1214" s="123">
        <v>0</v>
      </c>
      <c r="N1214" s="123">
        <v>0</v>
      </c>
      <c r="O1214" s="123">
        <v>0</v>
      </c>
      <c r="P1214" s="7" t="s">
        <v>13</v>
      </c>
      <c r="Q1214" s="9"/>
      <c r="R1214" s="1"/>
    </row>
    <row r="1215" spans="1:18" ht="13.5" thickBot="1" x14ac:dyDescent="0.25">
      <c r="A1215" s="123">
        <v>3</v>
      </c>
      <c r="B1215" s="123">
        <v>3</v>
      </c>
      <c r="C1215" s="123">
        <v>0</v>
      </c>
      <c r="D1215" s="123">
        <v>0</v>
      </c>
      <c r="E1215" s="123">
        <v>0</v>
      </c>
      <c r="F1215" s="123">
        <v>0</v>
      </c>
      <c r="G1215" s="123">
        <v>3</v>
      </c>
      <c r="H1215" s="123">
        <v>3</v>
      </c>
      <c r="I1215" s="123">
        <v>0</v>
      </c>
      <c r="J1215" s="123">
        <v>0</v>
      </c>
      <c r="K1215" s="123">
        <v>0</v>
      </c>
      <c r="L1215" s="123">
        <v>0</v>
      </c>
      <c r="M1215" s="123">
        <v>0</v>
      </c>
      <c r="N1215" s="123">
        <v>0</v>
      </c>
      <c r="O1215" s="123">
        <v>0</v>
      </c>
      <c r="P1215" s="7" t="s">
        <v>163</v>
      </c>
      <c r="Q1215" s="124"/>
      <c r="R1215" s="1"/>
    </row>
    <row r="1216" spans="1:18" ht="13.5" thickBot="1" x14ac:dyDescent="0.25">
      <c r="A1216" s="123">
        <v>0</v>
      </c>
      <c r="B1216" s="123">
        <v>0</v>
      </c>
      <c r="C1216" s="123">
        <v>0</v>
      </c>
      <c r="D1216" s="123">
        <v>0</v>
      </c>
      <c r="E1216" s="123">
        <v>0</v>
      </c>
      <c r="F1216" s="123">
        <v>0</v>
      </c>
      <c r="G1216" s="123">
        <v>0</v>
      </c>
      <c r="H1216" s="123">
        <v>0</v>
      </c>
      <c r="I1216" s="123">
        <v>0</v>
      </c>
      <c r="J1216" s="123">
        <v>0</v>
      </c>
      <c r="K1216" s="123">
        <v>0</v>
      </c>
      <c r="L1216" s="123">
        <v>0</v>
      </c>
      <c r="M1216" s="123">
        <v>0</v>
      </c>
      <c r="N1216" s="123">
        <v>0</v>
      </c>
      <c r="O1216" s="123">
        <v>0</v>
      </c>
      <c r="P1216" s="7" t="s">
        <v>162</v>
      </c>
      <c r="Q1216" s="124" t="s">
        <v>323</v>
      </c>
      <c r="R1216" s="1"/>
    </row>
    <row r="1217" spans="1:18" ht="13.5" thickBot="1" x14ac:dyDescent="0.25">
      <c r="A1217" s="123">
        <v>3</v>
      </c>
      <c r="B1217" s="123">
        <v>3</v>
      </c>
      <c r="C1217" s="123">
        <v>0</v>
      </c>
      <c r="D1217" s="123">
        <v>0</v>
      </c>
      <c r="E1217" s="123">
        <v>0</v>
      </c>
      <c r="F1217" s="123">
        <v>0</v>
      </c>
      <c r="G1217" s="123">
        <v>3</v>
      </c>
      <c r="H1217" s="123">
        <v>3</v>
      </c>
      <c r="I1217" s="123">
        <v>0</v>
      </c>
      <c r="J1217" s="123">
        <v>0</v>
      </c>
      <c r="K1217" s="123">
        <v>0</v>
      </c>
      <c r="L1217" s="123">
        <v>0</v>
      </c>
      <c r="M1217" s="123">
        <v>0</v>
      </c>
      <c r="N1217" s="123">
        <v>0</v>
      </c>
      <c r="O1217" s="123">
        <v>0</v>
      </c>
      <c r="P1217" s="7" t="s">
        <v>13</v>
      </c>
      <c r="Q1217" s="9"/>
      <c r="R1217" s="1"/>
    </row>
    <row r="1218" spans="1:18" ht="13.5" thickBot="1" x14ac:dyDescent="0.25">
      <c r="A1218" s="123">
        <v>3618</v>
      </c>
      <c r="B1218" s="123">
        <v>118</v>
      </c>
      <c r="C1218" s="123">
        <v>3500</v>
      </c>
      <c r="D1218" s="123">
        <v>405</v>
      </c>
      <c r="E1218" s="123">
        <v>1</v>
      </c>
      <c r="F1218" s="123">
        <v>404</v>
      </c>
      <c r="G1218" s="123">
        <v>2831</v>
      </c>
      <c r="H1218" s="123">
        <v>100</v>
      </c>
      <c r="I1218" s="123">
        <v>2731</v>
      </c>
      <c r="J1218" s="123">
        <v>244</v>
      </c>
      <c r="K1218" s="123">
        <v>17</v>
      </c>
      <c r="L1218" s="123">
        <v>227</v>
      </c>
      <c r="M1218" s="123">
        <v>138</v>
      </c>
      <c r="N1218" s="123">
        <v>0</v>
      </c>
      <c r="O1218" s="123">
        <v>138</v>
      </c>
      <c r="P1218" s="7" t="s">
        <v>163</v>
      </c>
      <c r="Q1218" s="3"/>
      <c r="R1218" s="1"/>
    </row>
    <row r="1219" spans="1:18" ht="13.5" thickBot="1" x14ac:dyDescent="0.25">
      <c r="A1219" s="123">
        <v>777</v>
      </c>
      <c r="B1219" s="123">
        <v>0</v>
      </c>
      <c r="C1219" s="123">
        <v>777</v>
      </c>
      <c r="D1219" s="123">
        <v>14</v>
      </c>
      <c r="E1219" s="123">
        <v>0</v>
      </c>
      <c r="F1219" s="123">
        <v>14</v>
      </c>
      <c r="G1219" s="123">
        <v>482</v>
      </c>
      <c r="H1219" s="123">
        <v>0</v>
      </c>
      <c r="I1219" s="123">
        <v>482</v>
      </c>
      <c r="J1219" s="123">
        <v>165</v>
      </c>
      <c r="K1219" s="123">
        <v>0</v>
      </c>
      <c r="L1219" s="123">
        <v>165</v>
      </c>
      <c r="M1219" s="123">
        <v>116</v>
      </c>
      <c r="N1219" s="123">
        <v>0</v>
      </c>
      <c r="O1219" s="123">
        <v>116</v>
      </c>
      <c r="P1219" s="7" t="s">
        <v>162</v>
      </c>
      <c r="Q1219" s="11" t="s">
        <v>211</v>
      </c>
      <c r="R1219" s="1"/>
    </row>
    <row r="1220" spans="1:18" ht="13.5" thickBot="1" x14ac:dyDescent="0.25">
      <c r="A1220" s="123">
        <v>4395</v>
      </c>
      <c r="B1220" s="123">
        <v>118</v>
      </c>
      <c r="C1220" s="123">
        <v>4277</v>
      </c>
      <c r="D1220" s="123">
        <v>419</v>
      </c>
      <c r="E1220" s="123">
        <v>1</v>
      </c>
      <c r="F1220" s="123">
        <v>418</v>
      </c>
      <c r="G1220" s="123">
        <v>3313</v>
      </c>
      <c r="H1220" s="123">
        <v>100</v>
      </c>
      <c r="I1220" s="123">
        <v>3213</v>
      </c>
      <c r="J1220" s="123">
        <v>409</v>
      </c>
      <c r="K1220" s="123">
        <v>17</v>
      </c>
      <c r="L1220" s="123">
        <v>392</v>
      </c>
      <c r="M1220" s="123">
        <v>254</v>
      </c>
      <c r="N1220" s="123">
        <v>0</v>
      </c>
      <c r="O1220" s="123">
        <v>254</v>
      </c>
      <c r="P1220" s="7" t="s">
        <v>13</v>
      </c>
      <c r="Q1220" s="5"/>
      <c r="R1220" s="1"/>
    </row>
    <row r="1221" spans="1:18" ht="18" customHeight="1" x14ac:dyDescent="0.2">
      <c r="A1221" s="207"/>
      <c r="B1221" s="207"/>
      <c r="C1221" s="207"/>
      <c r="D1221" s="207"/>
      <c r="E1221" s="207"/>
      <c r="F1221" s="207"/>
      <c r="G1221" s="207"/>
      <c r="H1221" s="207"/>
      <c r="I1221" s="207"/>
      <c r="J1221" s="207"/>
      <c r="K1221" s="207"/>
      <c r="L1221" s="207"/>
      <c r="M1221" s="207"/>
      <c r="N1221" s="207"/>
      <c r="O1221" s="207"/>
      <c r="P1221" s="207"/>
      <c r="Q1221" s="207"/>
      <c r="R1221" s="1"/>
    </row>
    <row r="1222" spans="1:18" ht="18" customHeight="1" x14ac:dyDescent="0.2">
      <c r="A1222" s="159" t="s">
        <v>643</v>
      </c>
      <c r="B1222" s="159"/>
      <c r="C1222" s="159"/>
      <c r="D1222" s="159"/>
      <c r="E1222" s="159"/>
      <c r="F1222" s="159"/>
      <c r="G1222" s="159"/>
      <c r="H1222" s="159"/>
      <c r="I1222" s="159"/>
      <c r="J1222" s="159"/>
      <c r="K1222" s="159"/>
      <c r="L1222" s="159"/>
      <c r="M1222" s="159"/>
      <c r="N1222" s="159"/>
      <c r="O1222" s="159"/>
      <c r="P1222" s="159"/>
      <c r="Q1222" s="159"/>
      <c r="R1222" s="1"/>
    </row>
    <row r="1223" spans="1:18" ht="18" customHeight="1" thickBot="1" x14ac:dyDescent="0.25">
      <c r="A1223" s="160" t="s">
        <v>644</v>
      </c>
      <c r="B1223" s="160"/>
      <c r="C1223" s="160"/>
      <c r="D1223" s="160"/>
      <c r="E1223" s="160"/>
      <c r="F1223" s="160"/>
      <c r="G1223" s="160"/>
      <c r="H1223" s="160"/>
      <c r="I1223" s="160"/>
      <c r="J1223" s="160"/>
      <c r="K1223" s="160"/>
      <c r="L1223" s="160"/>
      <c r="M1223" s="160"/>
      <c r="N1223" s="160"/>
      <c r="O1223" s="160"/>
      <c r="P1223" s="160"/>
      <c r="Q1223" s="160"/>
      <c r="R1223" s="1"/>
    </row>
    <row r="1224" spans="1:18" ht="13.5" thickBot="1" x14ac:dyDescent="0.25">
      <c r="A1224" s="204" t="s">
        <v>5</v>
      </c>
      <c r="B1224" s="204"/>
      <c r="C1224" s="204"/>
      <c r="D1224" s="204" t="s">
        <v>57</v>
      </c>
      <c r="E1224" s="204"/>
      <c r="F1224" s="204"/>
      <c r="G1224" s="204" t="s">
        <v>65</v>
      </c>
      <c r="H1224" s="204"/>
      <c r="I1224" s="204"/>
      <c r="J1224" s="204" t="s">
        <v>62</v>
      </c>
      <c r="K1224" s="204"/>
      <c r="L1224" s="204"/>
      <c r="M1224" s="204" t="s">
        <v>61</v>
      </c>
      <c r="N1224" s="204"/>
      <c r="O1224" s="204"/>
      <c r="P1224" s="205" t="s">
        <v>645</v>
      </c>
      <c r="Q1224" s="47" t="s">
        <v>161</v>
      </c>
      <c r="R1224" s="1"/>
    </row>
    <row r="1225" spans="1:18" ht="13.5" thickBot="1" x14ac:dyDescent="0.25">
      <c r="A1225" s="47" t="s">
        <v>216</v>
      </c>
      <c r="B1225" s="47" t="s">
        <v>11</v>
      </c>
      <c r="C1225" s="47" t="s">
        <v>10</v>
      </c>
      <c r="D1225" s="47" t="s">
        <v>216</v>
      </c>
      <c r="E1225" s="47" t="s">
        <v>11</v>
      </c>
      <c r="F1225" s="47" t="s">
        <v>10</v>
      </c>
      <c r="G1225" s="47" t="s">
        <v>216</v>
      </c>
      <c r="H1225" s="47" t="s">
        <v>11</v>
      </c>
      <c r="I1225" s="47" t="s">
        <v>10</v>
      </c>
      <c r="J1225" s="47" t="s">
        <v>216</v>
      </c>
      <c r="K1225" s="47" t="s">
        <v>11</v>
      </c>
      <c r="L1225" s="47" t="s">
        <v>10</v>
      </c>
      <c r="M1225" s="47" t="s">
        <v>216</v>
      </c>
      <c r="N1225" s="47" t="s">
        <v>11</v>
      </c>
      <c r="O1225" s="47" t="s">
        <v>10</v>
      </c>
      <c r="P1225" s="206"/>
      <c r="Q1225" s="5" t="s">
        <v>169</v>
      </c>
      <c r="R1225" s="1"/>
    </row>
    <row r="1226" spans="1:18" ht="13.5" thickBot="1" x14ac:dyDescent="0.25">
      <c r="A1226" s="123">
        <v>10</v>
      </c>
      <c r="B1226" s="123">
        <v>6</v>
      </c>
      <c r="C1226" s="123">
        <v>4</v>
      </c>
      <c r="D1226" s="123">
        <v>3</v>
      </c>
      <c r="E1226" s="123">
        <v>3</v>
      </c>
      <c r="F1226" s="123">
        <v>0</v>
      </c>
      <c r="G1226" s="123">
        <v>0</v>
      </c>
      <c r="H1226" s="123">
        <v>0</v>
      </c>
      <c r="I1226" s="123">
        <v>0</v>
      </c>
      <c r="J1226" s="123">
        <v>7</v>
      </c>
      <c r="K1226" s="123">
        <v>3</v>
      </c>
      <c r="L1226" s="123">
        <v>4</v>
      </c>
      <c r="M1226" s="123">
        <v>0</v>
      </c>
      <c r="N1226" s="123">
        <v>0</v>
      </c>
      <c r="O1226" s="123">
        <v>0</v>
      </c>
      <c r="P1226" s="7" t="s">
        <v>163</v>
      </c>
      <c r="Q1226" s="124"/>
      <c r="R1226" s="1"/>
    </row>
    <row r="1227" spans="1:18" ht="13.5" thickBot="1" x14ac:dyDescent="0.25">
      <c r="A1227" s="123">
        <v>45</v>
      </c>
      <c r="B1227" s="123">
        <v>2</v>
      </c>
      <c r="C1227" s="123">
        <v>43</v>
      </c>
      <c r="D1227" s="123">
        <v>13</v>
      </c>
      <c r="E1227" s="123">
        <v>0</v>
      </c>
      <c r="F1227" s="123">
        <v>13</v>
      </c>
      <c r="G1227" s="123">
        <v>0</v>
      </c>
      <c r="H1227" s="123">
        <v>0</v>
      </c>
      <c r="I1227" s="123">
        <v>0</v>
      </c>
      <c r="J1227" s="123">
        <v>23</v>
      </c>
      <c r="K1227" s="123">
        <v>2</v>
      </c>
      <c r="L1227" s="123">
        <v>21</v>
      </c>
      <c r="M1227" s="123">
        <v>9</v>
      </c>
      <c r="N1227" s="123">
        <v>0</v>
      </c>
      <c r="O1227" s="123">
        <v>9</v>
      </c>
      <c r="P1227" s="7" t="s">
        <v>162</v>
      </c>
      <c r="Q1227" s="124" t="s">
        <v>324</v>
      </c>
      <c r="R1227" s="1"/>
    </row>
    <row r="1228" spans="1:18" ht="13.5" thickBot="1" x14ac:dyDescent="0.25">
      <c r="A1228" s="123">
        <v>55</v>
      </c>
      <c r="B1228" s="123">
        <v>8</v>
      </c>
      <c r="C1228" s="123">
        <v>47</v>
      </c>
      <c r="D1228" s="123">
        <v>16</v>
      </c>
      <c r="E1228" s="123">
        <v>3</v>
      </c>
      <c r="F1228" s="123">
        <v>13</v>
      </c>
      <c r="G1228" s="123">
        <v>0</v>
      </c>
      <c r="H1228" s="123">
        <v>0</v>
      </c>
      <c r="I1228" s="123">
        <v>0</v>
      </c>
      <c r="J1228" s="123">
        <v>30</v>
      </c>
      <c r="K1228" s="123">
        <v>5</v>
      </c>
      <c r="L1228" s="123">
        <v>25</v>
      </c>
      <c r="M1228" s="123">
        <v>9</v>
      </c>
      <c r="N1228" s="123">
        <v>0</v>
      </c>
      <c r="O1228" s="123">
        <v>9</v>
      </c>
      <c r="P1228" s="7" t="s">
        <v>13</v>
      </c>
      <c r="Q1228" s="9"/>
      <c r="R1228" s="1"/>
    </row>
    <row r="1229" spans="1:18" ht="13.5" thickBot="1" x14ac:dyDescent="0.25">
      <c r="A1229" s="123">
        <v>10</v>
      </c>
      <c r="B1229" s="123">
        <v>6</v>
      </c>
      <c r="C1229" s="123">
        <v>4</v>
      </c>
      <c r="D1229" s="123">
        <v>3</v>
      </c>
      <c r="E1229" s="123">
        <v>3</v>
      </c>
      <c r="F1229" s="123">
        <v>0</v>
      </c>
      <c r="G1229" s="123">
        <v>0</v>
      </c>
      <c r="H1229" s="123">
        <v>0</v>
      </c>
      <c r="I1229" s="123">
        <v>0</v>
      </c>
      <c r="J1229" s="123">
        <v>7</v>
      </c>
      <c r="K1229" s="123">
        <v>3</v>
      </c>
      <c r="L1229" s="123">
        <v>4</v>
      </c>
      <c r="M1229" s="123">
        <v>0</v>
      </c>
      <c r="N1229" s="123">
        <v>0</v>
      </c>
      <c r="O1229" s="123">
        <v>0</v>
      </c>
      <c r="P1229" s="7" t="s">
        <v>163</v>
      </c>
      <c r="Q1229" s="3"/>
      <c r="R1229" s="1"/>
    </row>
    <row r="1230" spans="1:18" ht="13.5" thickBot="1" x14ac:dyDescent="0.25">
      <c r="A1230" s="123">
        <v>45</v>
      </c>
      <c r="B1230" s="123">
        <v>2</v>
      </c>
      <c r="C1230" s="123">
        <v>43</v>
      </c>
      <c r="D1230" s="123">
        <v>13</v>
      </c>
      <c r="E1230" s="123">
        <v>0</v>
      </c>
      <c r="F1230" s="123">
        <v>13</v>
      </c>
      <c r="G1230" s="123">
        <v>0</v>
      </c>
      <c r="H1230" s="123">
        <v>0</v>
      </c>
      <c r="I1230" s="123">
        <v>0</v>
      </c>
      <c r="J1230" s="123">
        <v>23</v>
      </c>
      <c r="K1230" s="123">
        <v>2</v>
      </c>
      <c r="L1230" s="123">
        <v>21</v>
      </c>
      <c r="M1230" s="123">
        <v>9</v>
      </c>
      <c r="N1230" s="123">
        <v>0</v>
      </c>
      <c r="O1230" s="123">
        <v>9</v>
      </c>
      <c r="P1230" s="7" t="s">
        <v>162</v>
      </c>
      <c r="Q1230" s="11" t="s">
        <v>211</v>
      </c>
      <c r="R1230" s="1"/>
    </row>
    <row r="1231" spans="1:18" ht="13.5" thickBot="1" x14ac:dyDescent="0.25">
      <c r="A1231" s="123">
        <v>55</v>
      </c>
      <c r="B1231" s="123">
        <v>8</v>
      </c>
      <c r="C1231" s="123">
        <v>47</v>
      </c>
      <c r="D1231" s="123">
        <v>16</v>
      </c>
      <c r="E1231" s="123">
        <v>3</v>
      </c>
      <c r="F1231" s="123">
        <v>13</v>
      </c>
      <c r="G1231" s="123">
        <v>0</v>
      </c>
      <c r="H1231" s="123">
        <v>0</v>
      </c>
      <c r="I1231" s="123">
        <v>0</v>
      </c>
      <c r="J1231" s="123">
        <v>30</v>
      </c>
      <c r="K1231" s="123">
        <v>5</v>
      </c>
      <c r="L1231" s="123">
        <v>25</v>
      </c>
      <c r="M1231" s="123">
        <v>9</v>
      </c>
      <c r="N1231" s="123">
        <v>0</v>
      </c>
      <c r="O1231" s="123">
        <v>9</v>
      </c>
      <c r="P1231" s="7" t="s">
        <v>13</v>
      </c>
      <c r="Q1231" s="5"/>
      <c r="R1231" s="1"/>
    </row>
    <row r="1232" spans="1:18" ht="18" customHeight="1" x14ac:dyDescent="0.2">
      <c r="A1232" s="207"/>
      <c r="B1232" s="207"/>
      <c r="C1232" s="207"/>
      <c r="D1232" s="207"/>
      <c r="E1232" s="207"/>
      <c r="F1232" s="207"/>
      <c r="G1232" s="207"/>
      <c r="H1232" s="207"/>
      <c r="I1232" s="207"/>
      <c r="J1232" s="207"/>
      <c r="K1232" s="207"/>
      <c r="L1232" s="207"/>
      <c r="M1232" s="207"/>
      <c r="N1232" s="207"/>
      <c r="O1232" s="207"/>
      <c r="P1232" s="207"/>
      <c r="Q1232" s="207"/>
      <c r="R1232" s="1"/>
    </row>
    <row r="1233" spans="1:18" ht="18" customHeight="1" x14ac:dyDescent="0.2">
      <c r="A1233" s="159" t="s">
        <v>643</v>
      </c>
      <c r="B1233" s="159"/>
      <c r="C1233" s="159"/>
      <c r="D1233" s="159"/>
      <c r="E1233" s="159"/>
      <c r="F1233" s="159"/>
      <c r="G1233" s="159"/>
      <c r="H1233" s="159"/>
      <c r="I1233" s="159"/>
      <c r="J1233" s="159"/>
      <c r="K1233" s="159"/>
      <c r="L1233" s="159"/>
      <c r="M1233" s="159"/>
      <c r="N1233" s="159"/>
      <c r="O1233" s="159"/>
      <c r="P1233" s="159"/>
      <c r="Q1233" s="159"/>
      <c r="R1233" s="1"/>
    </row>
    <row r="1234" spans="1:18" ht="18" customHeight="1" thickBot="1" x14ac:dyDescent="0.25">
      <c r="A1234" s="160" t="s">
        <v>644</v>
      </c>
      <c r="B1234" s="160"/>
      <c r="C1234" s="160"/>
      <c r="D1234" s="160"/>
      <c r="E1234" s="160"/>
      <c r="F1234" s="160"/>
      <c r="G1234" s="160"/>
      <c r="H1234" s="160"/>
      <c r="I1234" s="160"/>
      <c r="J1234" s="160"/>
      <c r="K1234" s="160"/>
      <c r="L1234" s="160"/>
      <c r="M1234" s="160"/>
      <c r="N1234" s="160"/>
      <c r="O1234" s="160"/>
      <c r="P1234" s="160"/>
      <c r="Q1234" s="160"/>
      <c r="R1234" s="1"/>
    </row>
    <row r="1235" spans="1:18" ht="13.5" thickBot="1" x14ac:dyDescent="0.25">
      <c r="A1235" s="204" t="s">
        <v>5</v>
      </c>
      <c r="B1235" s="204"/>
      <c r="C1235" s="204"/>
      <c r="D1235" s="204" t="s">
        <v>57</v>
      </c>
      <c r="E1235" s="204"/>
      <c r="F1235" s="204"/>
      <c r="G1235" s="204" t="s">
        <v>65</v>
      </c>
      <c r="H1235" s="204"/>
      <c r="I1235" s="204"/>
      <c r="J1235" s="204" t="s">
        <v>62</v>
      </c>
      <c r="K1235" s="204"/>
      <c r="L1235" s="204"/>
      <c r="M1235" s="204" t="s">
        <v>61</v>
      </c>
      <c r="N1235" s="204"/>
      <c r="O1235" s="204"/>
      <c r="P1235" s="3" t="s">
        <v>646</v>
      </c>
      <c r="Q1235" s="47" t="s">
        <v>161</v>
      </c>
      <c r="R1235" s="1"/>
    </row>
    <row r="1236" spans="1:18" ht="13.5" thickBot="1" x14ac:dyDescent="0.25">
      <c r="A1236" s="47" t="s">
        <v>216</v>
      </c>
      <c r="B1236" s="47" t="s">
        <v>11</v>
      </c>
      <c r="C1236" s="47" t="s">
        <v>10</v>
      </c>
      <c r="D1236" s="47" t="s">
        <v>216</v>
      </c>
      <c r="E1236" s="47" t="s">
        <v>11</v>
      </c>
      <c r="F1236" s="47" t="s">
        <v>10</v>
      </c>
      <c r="G1236" s="47" t="s">
        <v>216</v>
      </c>
      <c r="H1236" s="47" t="s">
        <v>11</v>
      </c>
      <c r="I1236" s="47" t="s">
        <v>10</v>
      </c>
      <c r="J1236" s="47" t="s">
        <v>216</v>
      </c>
      <c r="K1236" s="47" t="s">
        <v>11</v>
      </c>
      <c r="L1236" s="47" t="s">
        <v>10</v>
      </c>
      <c r="M1236" s="47" t="s">
        <v>216</v>
      </c>
      <c r="N1236" s="47" t="s">
        <v>11</v>
      </c>
      <c r="O1236" s="47" t="s">
        <v>10</v>
      </c>
      <c r="P1236" s="5" t="s">
        <v>162</v>
      </c>
      <c r="Q1236" s="5" t="s">
        <v>170</v>
      </c>
      <c r="R1236" s="1"/>
    </row>
    <row r="1237" spans="1:18" ht="13.5" thickBot="1" x14ac:dyDescent="0.25">
      <c r="A1237" s="123">
        <v>54</v>
      </c>
      <c r="B1237" s="123">
        <v>0</v>
      </c>
      <c r="C1237" s="123">
        <v>54</v>
      </c>
      <c r="D1237" s="123">
        <v>6</v>
      </c>
      <c r="E1237" s="123">
        <v>0</v>
      </c>
      <c r="F1237" s="123">
        <v>6</v>
      </c>
      <c r="G1237" s="123">
        <v>19</v>
      </c>
      <c r="H1237" s="123">
        <v>0</v>
      </c>
      <c r="I1237" s="123">
        <v>19</v>
      </c>
      <c r="J1237" s="123">
        <v>28</v>
      </c>
      <c r="K1237" s="123">
        <v>0</v>
      </c>
      <c r="L1237" s="123">
        <v>28</v>
      </c>
      <c r="M1237" s="123">
        <v>1</v>
      </c>
      <c r="N1237" s="123">
        <v>0</v>
      </c>
      <c r="O1237" s="123">
        <v>1</v>
      </c>
      <c r="P1237" s="7" t="s">
        <v>163</v>
      </c>
      <c r="Q1237" s="124"/>
      <c r="R1237" s="1"/>
    </row>
    <row r="1238" spans="1:18" ht="13.5" thickBot="1" x14ac:dyDescent="0.25">
      <c r="A1238" s="123">
        <v>196</v>
      </c>
      <c r="B1238" s="123">
        <v>0</v>
      </c>
      <c r="C1238" s="123">
        <v>196</v>
      </c>
      <c r="D1238" s="123">
        <v>0</v>
      </c>
      <c r="E1238" s="123">
        <v>0</v>
      </c>
      <c r="F1238" s="123">
        <v>0</v>
      </c>
      <c r="G1238" s="123">
        <v>85</v>
      </c>
      <c r="H1238" s="123">
        <v>0</v>
      </c>
      <c r="I1238" s="123">
        <v>85</v>
      </c>
      <c r="J1238" s="123">
        <v>110</v>
      </c>
      <c r="K1238" s="123">
        <v>0</v>
      </c>
      <c r="L1238" s="123">
        <v>110</v>
      </c>
      <c r="M1238" s="123">
        <v>1</v>
      </c>
      <c r="N1238" s="123">
        <v>0</v>
      </c>
      <c r="O1238" s="123">
        <v>1</v>
      </c>
      <c r="P1238" s="7" t="s">
        <v>162</v>
      </c>
      <c r="Q1238" s="124" t="s">
        <v>325</v>
      </c>
      <c r="R1238" s="1"/>
    </row>
    <row r="1239" spans="1:18" ht="13.5" thickBot="1" x14ac:dyDescent="0.25">
      <c r="A1239" s="123">
        <v>250</v>
      </c>
      <c r="B1239" s="123">
        <v>0</v>
      </c>
      <c r="C1239" s="123">
        <v>250</v>
      </c>
      <c r="D1239" s="123">
        <v>6</v>
      </c>
      <c r="E1239" s="123">
        <v>0</v>
      </c>
      <c r="F1239" s="123">
        <v>6</v>
      </c>
      <c r="G1239" s="123">
        <v>104</v>
      </c>
      <c r="H1239" s="123">
        <v>0</v>
      </c>
      <c r="I1239" s="123">
        <v>104</v>
      </c>
      <c r="J1239" s="123">
        <v>138</v>
      </c>
      <c r="K1239" s="123">
        <v>0</v>
      </c>
      <c r="L1239" s="123">
        <v>138</v>
      </c>
      <c r="M1239" s="123">
        <v>2</v>
      </c>
      <c r="N1239" s="123">
        <v>0</v>
      </c>
      <c r="O1239" s="123">
        <v>2</v>
      </c>
      <c r="P1239" s="7" t="s">
        <v>13</v>
      </c>
      <c r="Q1239" s="9"/>
      <c r="R1239" s="1"/>
    </row>
    <row r="1240" spans="1:18" ht="13.5" thickBot="1" x14ac:dyDescent="0.25">
      <c r="A1240" s="123">
        <v>22</v>
      </c>
      <c r="B1240" s="123">
        <v>0</v>
      </c>
      <c r="C1240" s="123">
        <v>22</v>
      </c>
      <c r="D1240" s="123">
        <v>0</v>
      </c>
      <c r="E1240" s="123">
        <v>0</v>
      </c>
      <c r="F1240" s="123">
        <v>0</v>
      </c>
      <c r="G1240" s="123">
        <v>10</v>
      </c>
      <c r="H1240" s="123">
        <v>0</v>
      </c>
      <c r="I1240" s="123">
        <v>10</v>
      </c>
      <c r="J1240" s="123">
        <v>8</v>
      </c>
      <c r="K1240" s="123">
        <v>0</v>
      </c>
      <c r="L1240" s="123">
        <v>8</v>
      </c>
      <c r="M1240" s="123">
        <v>4</v>
      </c>
      <c r="N1240" s="123">
        <v>0</v>
      </c>
      <c r="O1240" s="123">
        <v>4</v>
      </c>
      <c r="P1240" s="7" t="s">
        <v>163</v>
      </c>
      <c r="Q1240" s="124"/>
      <c r="R1240" s="1"/>
    </row>
    <row r="1241" spans="1:18" ht="13.5" thickBot="1" x14ac:dyDescent="0.25">
      <c r="A1241" s="123">
        <v>206</v>
      </c>
      <c r="B1241" s="123">
        <v>0</v>
      </c>
      <c r="C1241" s="123">
        <v>206</v>
      </c>
      <c r="D1241" s="123">
        <v>2</v>
      </c>
      <c r="E1241" s="123">
        <v>0</v>
      </c>
      <c r="F1241" s="123">
        <v>2</v>
      </c>
      <c r="G1241" s="123">
        <v>41</v>
      </c>
      <c r="H1241" s="123">
        <v>0</v>
      </c>
      <c r="I1241" s="123">
        <v>41</v>
      </c>
      <c r="J1241" s="123">
        <v>92</v>
      </c>
      <c r="K1241" s="123">
        <v>0</v>
      </c>
      <c r="L1241" s="123">
        <v>92</v>
      </c>
      <c r="M1241" s="123">
        <v>71</v>
      </c>
      <c r="N1241" s="123">
        <v>0</v>
      </c>
      <c r="O1241" s="123">
        <v>71</v>
      </c>
      <c r="P1241" s="7" t="s">
        <v>162</v>
      </c>
      <c r="Q1241" s="124" t="s">
        <v>326</v>
      </c>
      <c r="R1241" s="1"/>
    </row>
    <row r="1242" spans="1:18" ht="13.5" thickBot="1" x14ac:dyDescent="0.25">
      <c r="A1242" s="123">
        <v>228</v>
      </c>
      <c r="B1242" s="123">
        <v>0</v>
      </c>
      <c r="C1242" s="123">
        <v>228</v>
      </c>
      <c r="D1242" s="123">
        <v>2</v>
      </c>
      <c r="E1242" s="123">
        <v>0</v>
      </c>
      <c r="F1242" s="123">
        <v>2</v>
      </c>
      <c r="G1242" s="123">
        <v>51</v>
      </c>
      <c r="H1242" s="123">
        <v>0</v>
      </c>
      <c r="I1242" s="123">
        <v>51</v>
      </c>
      <c r="J1242" s="123">
        <v>100</v>
      </c>
      <c r="K1242" s="123">
        <v>0</v>
      </c>
      <c r="L1242" s="123">
        <v>100</v>
      </c>
      <c r="M1242" s="123">
        <v>75</v>
      </c>
      <c r="N1242" s="123">
        <v>0</v>
      </c>
      <c r="O1242" s="123">
        <v>75</v>
      </c>
      <c r="P1242" s="7" t="s">
        <v>13</v>
      </c>
      <c r="Q1242" s="9"/>
      <c r="R1242" s="1"/>
    </row>
    <row r="1243" spans="1:18" ht="13.5" thickBot="1" x14ac:dyDescent="0.25">
      <c r="A1243" s="123">
        <v>15</v>
      </c>
      <c r="B1243" s="123">
        <v>7</v>
      </c>
      <c r="C1243" s="123">
        <v>8</v>
      </c>
      <c r="D1243" s="123">
        <v>0</v>
      </c>
      <c r="E1243" s="123">
        <v>0</v>
      </c>
      <c r="F1243" s="123">
        <v>0</v>
      </c>
      <c r="G1243" s="123">
        <v>7</v>
      </c>
      <c r="H1243" s="123">
        <v>4</v>
      </c>
      <c r="I1243" s="123">
        <v>3</v>
      </c>
      <c r="J1243" s="123">
        <v>6</v>
      </c>
      <c r="K1243" s="123">
        <v>2</v>
      </c>
      <c r="L1243" s="123">
        <v>4</v>
      </c>
      <c r="M1243" s="123">
        <v>2</v>
      </c>
      <c r="N1243" s="123">
        <v>1</v>
      </c>
      <c r="O1243" s="123">
        <v>1</v>
      </c>
      <c r="P1243" s="7" t="s">
        <v>163</v>
      </c>
      <c r="Q1243" s="124"/>
      <c r="R1243" s="1"/>
    </row>
    <row r="1244" spans="1:18" ht="13.5" thickBot="1" x14ac:dyDescent="0.25">
      <c r="A1244" s="123">
        <v>101</v>
      </c>
      <c r="B1244" s="123">
        <v>55</v>
      </c>
      <c r="C1244" s="123">
        <v>46</v>
      </c>
      <c r="D1244" s="123">
        <v>0</v>
      </c>
      <c r="E1244" s="123">
        <v>0</v>
      </c>
      <c r="F1244" s="123">
        <v>0</v>
      </c>
      <c r="G1244" s="123">
        <v>33</v>
      </c>
      <c r="H1244" s="123">
        <v>24</v>
      </c>
      <c r="I1244" s="123">
        <v>9</v>
      </c>
      <c r="J1244" s="123">
        <v>54</v>
      </c>
      <c r="K1244" s="123">
        <v>27</v>
      </c>
      <c r="L1244" s="123">
        <v>27</v>
      </c>
      <c r="M1244" s="123">
        <v>14</v>
      </c>
      <c r="N1244" s="123">
        <v>4</v>
      </c>
      <c r="O1244" s="123">
        <v>10</v>
      </c>
      <c r="P1244" s="7" t="s">
        <v>162</v>
      </c>
      <c r="Q1244" s="124" t="s">
        <v>528</v>
      </c>
      <c r="R1244" s="1"/>
    </row>
    <row r="1245" spans="1:18" ht="13.5" thickBot="1" x14ac:dyDescent="0.25">
      <c r="A1245" s="123">
        <v>116</v>
      </c>
      <c r="B1245" s="123">
        <v>62</v>
      </c>
      <c r="C1245" s="123">
        <v>54</v>
      </c>
      <c r="D1245" s="123">
        <v>0</v>
      </c>
      <c r="E1245" s="123">
        <v>0</v>
      </c>
      <c r="F1245" s="123">
        <v>0</v>
      </c>
      <c r="G1245" s="123">
        <v>40</v>
      </c>
      <c r="H1245" s="123">
        <v>28</v>
      </c>
      <c r="I1245" s="123">
        <v>12</v>
      </c>
      <c r="J1245" s="123">
        <v>60</v>
      </c>
      <c r="K1245" s="123">
        <v>29</v>
      </c>
      <c r="L1245" s="123">
        <v>31</v>
      </c>
      <c r="M1245" s="123">
        <v>16</v>
      </c>
      <c r="N1245" s="123">
        <v>5</v>
      </c>
      <c r="O1245" s="123">
        <v>11</v>
      </c>
      <c r="P1245" s="7" t="s">
        <v>13</v>
      </c>
      <c r="Q1245" s="9"/>
      <c r="R1245" s="1"/>
    </row>
    <row r="1246" spans="1:18" ht="13.5" thickBot="1" x14ac:dyDescent="0.25">
      <c r="A1246" s="123">
        <v>91</v>
      </c>
      <c r="B1246" s="123">
        <v>7</v>
      </c>
      <c r="C1246" s="123">
        <v>84</v>
      </c>
      <c r="D1246" s="123">
        <v>6</v>
      </c>
      <c r="E1246" s="123">
        <v>0</v>
      </c>
      <c r="F1246" s="123">
        <v>6</v>
      </c>
      <c r="G1246" s="123">
        <v>36</v>
      </c>
      <c r="H1246" s="123">
        <v>4</v>
      </c>
      <c r="I1246" s="123">
        <v>32</v>
      </c>
      <c r="J1246" s="123">
        <v>42</v>
      </c>
      <c r="K1246" s="123">
        <v>2</v>
      </c>
      <c r="L1246" s="123">
        <v>40</v>
      </c>
      <c r="M1246" s="123">
        <v>7</v>
      </c>
      <c r="N1246" s="123">
        <v>1</v>
      </c>
      <c r="O1246" s="123">
        <v>6</v>
      </c>
      <c r="P1246" s="7" t="s">
        <v>163</v>
      </c>
      <c r="Q1246" s="3"/>
      <c r="R1246" s="1"/>
    </row>
    <row r="1247" spans="1:18" ht="13.5" thickBot="1" x14ac:dyDescent="0.25">
      <c r="A1247" s="123">
        <v>503</v>
      </c>
      <c r="B1247" s="123">
        <v>55</v>
      </c>
      <c r="C1247" s="123">
        <v>448</v>
      </c>
      <c r="D1247" s="123">
        <v>2</v>
      </c>
      <c r="E1247" s="123">
        <v>0</v>
      </c>
      <c r="F1247" s="123">
        <v>2</v>
      </c>
      <c r="G1247" s="123">
        <v>159</v>
      </c>
      <c r="H1247" s="123">
        <v>24</v>
      </c>
      <c r="I1247" s="123">
        <v>135</v>
      </c>
      <c r="J1247" s="123">
        <v>256</v>
      </c>
      <c r="K1247" s="123">
        <v>27</v>
      </c>
      <c r="L1247" s="123">
        <v>229</v>
      </c>
      <c r="M1247" s="123">
        <v>86</v>
      </c>
      <c r="N1247" s="123">
        <v>4</v>
      </c>
      <c r="O1247" s="123">
        <v>82</v>
      </c>
      <c r="P1247" s="7" t="s">
        <v>162</v>
      </c>
      <c r="Q1247" s="11" t="s">
        <v>211</v>
      </c>
      <c r="R1247" s="1"/>
    </row>
    <row r="1248" spans="1:18" ht="13.5" thickBot="1" x14ac:dyDescent="0.25">
      <c r="A1248" s="123">
        <v>594</v>
      </c>
      <c r="B1248" s="123">
        <v>62</v>
      </c>
      <c r="C1248" s="123">
        <v>532</v>
      </c>
      <c r="D1248" s="123">
        <v>8</v>
      </c>
      <c r="E1248" s="123">
        <v>0</v>
      </c>
      <c r="F1248" s="123">
        <v>8</v>
      </c>
      <c r="G1248" s="123">
        <v>195</v>
      </c>
      <c r="H1248" s="123">
        <v>28</v>
      </c>
      <c r="I1248" s="123">
        <v>167</v>
      </c>
      <c r="J1248" s="123">
        <v>298</v>
      </c>
      <c r="K1248" s="123">
        <v>29</v>
      </c>
      <c r="L1248" s="123">
        <v>269</v>
      </c>
      <c r="M1248" s="123">
        <v>93</v>
      </c>
      <c r="N1248" s="123">
        <v>5</v>
      </c>
      <c r="O1248" s="123">
        <v>88</v>
      </c>
      <c r="P1248" s="7" t="s">
        <v>13</v>
      </c>
      <c r="Q1248" s="5"/>
      <c r="R1248" s="1"/>
    </row>
    <row r="1249" spans="1:18" ht="18" customHeight="1" x14ac:dyDescent="0.2">
      <c r="A1249" s="207"/>
      <c r="B1249" s="207"/>
      <c r="C1249" s="207"/>
      <c r="D1249" s="207"/>
      <c r="E1249" s="207"/>
      <c r="F1249" s="207"/>
      <c r="G1249" s="207"/>
      <c r="H1249" s="207"/>
      <c r="I1249" s="207"/>
      <c r="J1249" s="207"/>
      <c r="K1249" s="207"/>
      <c r="L1249" s="207"/>
      <c r="M1249" s="207"/>
      <c r="N1249" s="207"/>
      <c r="O1249" s="207"/>
      <c r="P1249" s="207"/>
      <c r="Q1249" s="207"/>
      <c r="R1249" s="1"/>
    </row>
    <row r="1250" spans="1:18" ht="18" customHeight="1" x14ac:dyDescent="0.2">
      <c r="A1250" s="159" t="s">
        <v>643</v>
      </c>
      <c r="B1250" s="159"/>
      <c r="C1250" s="159"/>
      <c r="D1250" s="159"/>
      <c r="E1250" s="159"/>
      <c r="F1250" s="159"/>
      <c r="G1250" s="159"/>
      <c r="H1250" s="159"/>
      <c r="I1250" s="159"/>
      <c r="J1250" s="159"/>
      <c r="K1250" s="159"/>
      <c r="L1250" s="159"/>
      <c r="M1250" s="159"/>
      <c r="N1250" s="159"/>
      <c r="O1250" s="159"/>
      <c r="P1250" s="159"/>
      <c r="Q1250" s="159"/>
      <c r="R1250" s="1"/>
    </row>
    <row r="1251" spans="1:18" ht="18" customHeight="1" thickBot="1" x14ac:dyDescent="0.25">
      <c r="A1251" s="160" t="s">
        <v>644</v>
      </c>
      <c r="B1251" s="160"/>
      <c r="C1251" s="160"/>
      <c r="D1251" s="160"/>
      <c r="E1251" s="160"/>
      <c r="F1251" s="160"/>
      <c r="G1251" s="160"/>
      <c r="H1251" s="160"/>
      <c r="I1251" s="160"/>
      <c r="J1251" s="160"/>
      <c r="K1251" s="160"/>
      <c r="L1251" s="160"/>
      <c r="M1251" s="160"/>
      <c r="N1251" s="160"/>
      <c r="O1251" s="160"/>
      <c r="P1251" s="160"/>
      <c r="Q1251" s="160"/>
      <c r="R1251" s="1"/>
    </row>
    <row r="1252" spans="1:18" ht="13.5" thickBot="1" x14ac:dyDescent="0.25">
      <c r="A1252" s="204" t="s">
        <v>5</v>
      </c>
      <c r="B1252" s="204"/>
      <c r="C1252" s="204"/>
      <c r="D1252" s="204" t="s">
        <v>57</v>
      </c>
      <c r="E1252" s="204"/>
      <c r="F1252" s="204"/>
      <c r="G1252" s="204" t="s">
        <v>65</v>
      </c>
      <c r="H1252" s="204"/>
      <c r="I1252" s="204"/>
      <c r="J1252" s="204" t="s">
        <v>62</v>
      </c>
      <c r="K1252" s="204"/>
      <c r="L1252" s="204"/>
      <c r="M1252" s="204" t="s">
        <v>61</v>
      </c>
      <c r="N1252" s="204"/>
      <c r="O1252" s="204"/>
      <c r="P1252" s="205" t="s">
        <v>645</v>
      </c>
      <c r="Q1252" s="47" t="s">
        <v>161</v>
      </c>
      <c r="R1252" s="1"/>
    </row>
    <row r="1253" spans="1:18" ht="13.5" thickBot="1" x14ac:dyDescent="0.25">
      <c r="A1253" s="47" t="s">
        <v>216</v>
      </c>
      <c r="B1253" s="47" t="s">
        <v>11</v>
      </c>
      <c r="C1253" s="47" t="s">
        <v>10</v>
      </c>
      <c r="D1253" s="47" t="s">
        <v>216</v>
      </c>
      <c r="E1253" s="47" t="s">
        <v>11</v>
      </c>
      <c r="F1253" s="47" t="s">
        <v>10</v>
      </c>
      <c r="G1253" s="47" t="s">
        <v>216</v>
      </c>
      <c r="H1253" s="47" t="s">
        <v>11</v>
      </c>
      <c r="I1253" s="47" t="s">
        <v>10</v>
      </c>
      <c r="J1253" s="47" t="s">
        <v>216</v>
      </c>
      <c r="K1253" s="47" t="s">
        <v>11</v>
      </c>
      <c r="L1253" s="47" t="s">
        <v>10</v>
      </c>
      <c r="M1253" s="47" t="s">
        <v>216</v>
      </c>
      <c r="N1253" s="47" t="s">
        <v>11</v>
      </c>
      <c r="O1253" s="47" t="s">
        <v>10</v>
      </c>
      <c r="P1253" s="206"/>
      <c r="Q1253" s="5" t="s">
        <v>171</v>
      </c>
      <c r="R1253" s="1"/>
    </row>
    <row r="1254" spans="1:18" ht="13.5" thickBot="1" x14ac:dyDescent="0.25">
      <c r="A1254" s="123">
        <v>395</v>
      </c>
      <c r="B1254" s="123">
        <v>53</v>
      </c>
      <c r="C1254" s="123">
        <v>342</v>
      </c>
      <c r="D1254" s="123">
        <v>0</v>
      </c>
      <c r="E1254" s="123">
        <v>0</v>
      </c>
      <c r="F1254" s="123">
        <v>0</v>
      </c>
      <c r="G1254" s="123">
        <v>45</v>
      </c>
      <c r="H1254" s="123">
        <v>7</v>
      </c>
      <c r="I1254" s="123">
        <v>38</v>
      </c>
      <c r="J1254" s="123">
        <v>292</v>
      </c>
      <c r="K1254" s="123">
        <v>40</v>
      </c>
      <c r="L1254" s="123">
        <v>252</v>
      </c>
      <c r="M1254" s="123">
        <v>58</v>
      </c>
      <c r="N1254" s="123">
        <v>6</v>
      </c>
      <c r="O1254" s="123">
        <v>52</v>
      </c>
      <c r="P1254" s="7" t="s">
        <v>163</v>
      </c>
      <c r="Q1254" s="124"/>
      <c r="R1254" s="1"/>
    </row>
    <row r="1255" spans="1:18" ht="13.5" thickBot="1" x14ac:dyDescent="0.25">
      <c r="A1255" s="123">
        <v>119</v>
      </c>
      <c r="B1255" s="123">
        <v>6</v>
      </c>
      <c r="C1255" s="123">
        <v>113</v>
      </c>
      <c r="D1255" s="123">
        <v>0</v>
      </c>
      <c r="E1255" s="123">
        <v>0</v>
      </c>
      <c r="F1255" s="123">
        <v>0</v>
      </c>
      <c r="G1255" s="123">
        <v>0</v>
      </c>
      <c r="H1255" s="123">
        <v>0</v>
      </c>
      <c r="I1255" s="123">
        <v>0</v>
      </c>
      <c r="J1255" s="123">
        <v>86</v>
      </c>
      <c r="K1255" s="123">
        <v>3</v>
      </c>
      <c r="L1255" s="123">
        <v>83</v>
      </c>
      <c r="M1255" s="123">
        <v>33</v>
      </c>
      <c r="N1255" s="123">
        <v>3</v>
      </c>
      <c r="O1255" s="123">
        <v>30</v>
      </c>
      <c r="P1255" s="7" t="s">
        <v>162</v>
      </c>
      <c r="Q1255" s="124" t="s">
        <v>171</v>
      </c>
      <c r="R1255" s="1"/>
    </row>
    <row r="1256" spans="1:18" ht="13.5" thickBot="1" x14ac:dyDescent="0.25">
      <c r="A1256" s="123">
        <v>514</v>
      </c>
      <c r="B1256" s="123">
        <v>59</v>
      </c>
      <c r="C1256" s="123">
        <v>455</v>
      </c>
      <c r="D1256" s="123">
        <v>0</v>
      </c>
      <c r="E1256" s="123">
        <v>0</v>
      </c>
      <c r="F1256" s="123">
        <v>0</v>
      </c>
      <c r="G1256" s="123">
        <v>45</v>
      </c>
      <c r="H1256" s="123">
        <v>7</v>
      </c>
      <c r="I1256" s="123">
        <v>38</v>
      </c>
      <c r="J1256" s="123">
        <v>378</v>
      </c>
      <c r="K1256" s="123">
        <v>43</v>
      </c>
      <c r="L1256" s="123">
        <v>335</v>
      </c>
      <c r="M1256" s="123">
        <v>91</v>
      </c>
      <c r="N1256" s="123">
        <v>9</v>
      </c>
      <c r="O1256" s="123">
        <v>82</v>
      </c>
      <c r="P1256" s="7" t="s">
        <v>13</v>
      </c>
      <c r="Q1256" s="9"/>
      <c r="R1256" s="1"/>
    </row>
    <row r="1257" spans="1:18" ht="13.5" thickBot="1" x14ac:dyDescent="0.25">
      <c r="A1257" s="123">
        <v>395</v>
      </c>
      <c r="B1257" s="123">
        <v>53</v>
      </c>
      <c r="C1257" s="123">
        <v>342</v>
      </c>
      <c r="D1257" s="123">
        <v>0</v>
      </c>
      <c r="E1257" s="123">
        <v>0</v>
      </c>
      <c r="F1257" s="123">
        <v>0</v>
      </c>
      <c r="G1257" s="123">
        <v>45</v>
      </c>
      <c r="H1257" s="123">
        <v>7</v>
      </c>
      <c r="I1257" s="123">
        <v>38</v>
      </c>
      <c r="J1257" s="123">
        <v>292</v>
      </c>
      <c r="K1257" s="123">
        <v>40</v>
      </c>
      <c r="L1257" s="123">
        <v>252</v>
      </c>
      <c r="M1257" s="123">
        <v>58</v>
      </c>
      <c r="N1257" s="123">
        <v>6</v>
      </c>
      <c r="O1257" s="123">
        <v>52</v>
      </c>
      <c r="P1257" s="7" t="s">
        <v>163</v>
      </c>
      <c r="Q1257" s="3"/>
      <c r="R1257" s="1"/>
    </row>
    <row r="1258" spans="1:18" ht="13.5" thickBot="1" x14ac:dyDescent="0.25">
      <c r="A1258" s="123">
        <v>119</v>
      </c>
      <c r="B1258" s="123">
        <v>6</v>
      </c>
      <c r="C1258" s="123">
        <v>113</v>
      </c>
      <c r="D1258" s="123">
        <v>0</v>
      </c>
      <c r="E1258" s="123">
        <v>0</v>
      </c>
      <c r="F1258" s="123">
        <v>0</v>
      </c>
      <c r="G1258" s="123">
        <v>0</v>
      </c>
      <c r="H1258" s="123">
        <v>0</v>
      </c>
      <c r="I1258" s="123">
        <v>0</v>
      </c>
      <c r="J1258" s="123">
        <v>86</v>
      </c>
      <c r="K1258" s="123">
        <v>3</v>
      </c>
      <c r="L1258" s="123">
        <v>83</v>
      </c>
      <c r="M1258" s="123">
        <v>33</v>
      </c>
      <c r="N1258" s="123">
        <v>3</v>
      </c>
      <c r="O1258" s="123">
        <v>30</v>
      </c>
      <c r="P1258" s="7" t="s">
        <v>162</v>
      </c>
      <c r="Q1258" s="11" t="s">
        <v>211</v>
      </c>
      <c r="R1258" s="1"/>
    </row>
    <row r="1259" spans="1:18" ht="13.5" thickBot="1" x14ac:dyDescent="0.25">
      <c r="A1259" s="123">
        <v>514</v>
      </c>
      <c r="B1259" s="123">
        <v>59</v>
      </c>
      <c r="C1259" s="123">
        <v>455</v>
      </c>
      <c r="D1259" s="123">
        <v>0</v>
      </c>
      <c r="E1259" s="123">
        <v>0</v>
      </c>
      <c r="F1259" s="123">
        <v>0</v>
      </c>
      <c r="G1259" s="123">
        <v>45</v>
      </c>
      <c r="H1259" s="123">
        <v>7</v>
      </c>
      <c r="I1259" s="123">
        <v>38</v>
      </c>
      <c r="J1259" s="123">
        <v>378</v>
      </c>
      <c r="K1259" s="123">
        <v>43</v>
      </c>
      <c r="L1259" s="123">
        <v>335</v>
      </c>
      <c r="M1259" s="123">
        <v>91</v>
      </c>
      <c r="N1259" s="123">
        <v>9</v>
      </c>
      <c r="O1259" s="123">
        <v>82</v>
      </c>
      <c r="P1259" s="7" t="s">
        <v>13</v>
      </c>
      <c r="Q1259" s="5"/>
      <c r="R1259" s="1"/>
    </row>
    <row r="1260" spans="1:18" ht="18" customHeight="1" x14ac:dyDescent="0.2">
      <c r="A1260" s="207"/>
      <c r="B1260" s="207"/>
      <c r="C1260" s="207"/>
      <c r="D1260" s="207"/>
      <c r="E1260" s="207"/>
      <c r="F1260" s="207"/>
      <c r="G1260" s="207"/>
      <c r="H1260" s="207"/>
      <c r="I1260" s="207"/>
      <c r="J1260" s="207"/>
      <c r="K1260" s="207"/>
      <c r="L1260" s="207"/>
      <c r="M1260" s="207"/>
      <c r="N1260" s="207"/>
      <c r="O1260" s="207"/>
      <c r="P1260" s="207"/>
      <c r="Q1260" s="207"/>
      <c r="R1260" s="1"/>
    </row>
    <row r="1261" spans="1:18" ht="18" customHeight="1" x14ac:dyDescent="0.2">
      <c r="A1261" s="159" t="s">
        <v>643</v>
      </c>
      <c r="B1261" s="159"/>
      <c r="C1261" s="159"/>
      <c r="D1261" s="159"/>
      <c r="E1261" s="159"/>
      <c r="F1261" s="159"/>
      <c r="G1261" s="159"/>
      <c r="H1261" s="159"/>
      <c r="I1261" s="159"/>
      <c r="J1261" s="159"/>
      <c r="K1261" s="159"/>
      <c r="L1261" s="159"/>
      <c r="M1261" s="159"/>
      <c r="N1261" s="159"/>
      <c r="O1261" s="159"/>
      <c r="P1261" s="159"/>
      <c r="Q1261" s="159"/>
      <c r="R1261" s="1"/>
    </row>
    <row r="1262" spans="1:18" ht="18" customHeight="1" thickBot="1" x14ac:dyDescent="0.25">
      <c r="A1262" s="160" t="s">
        <v>644</v>
      </c>
      <c r="B1262" s="160"/>
      <c r="C1262" s="160"/>
      <c r="D1262" s="160"/>
      <c r="E1262" s="160"/>
      <c r="F1262" s="160"/>
      <c r="G1262" s="160"/>
      <c r="H1262" s="160"/>
      <c r="I1262" s="160"/>
      <c r="J1262" s="160"/>
      <c r="K1262" s="160"/>
      <c r="L1262" s="160"/>
      <c r="M1262" s="160"/>
      <c r="N1262" s="160"/>
      <c r="O1262" s="160"/>
      <c r="P1262" s="160"/>
      <c r="Q1262" s="160"/>
      <c r="R1262" s="1"/>
    </row>
    <row r="1263" spans="1:18" ht="13.5" thickBot="1" x14ac:dyDescent="0.25">
      <c r="A1263" s="204" t="s">
        <v>5</v>
      </c>
      <c r="B1263" s="204"/>
      <c r="C1263" s="204"/>
      <c r="D1263" s="204" t="s">
        <v>57</v>
      </c>
      <c r="E1263" s="204"/>
      <c r="F1263" s="204"/>
      <c r="G1263" s="204" t="s">
        <v>65</v>
      </c>
      <c r="H1263" s="204"/>
      <c r="I1263" s="204"/>
      <c r="J1263" s="204" t="s">
        <v>62</v>
      </c>
      <c r="K1263" s="204"/>
      <c r="L1263" s="204"/>
      <c r="M1263" s="204" t="s">
        <v>61</v>
      </c>
      <c r="N1263" s="204"/>
      <c r="O1263" s="204"/>
      <c r="P1263" s="205" t="s">
        <v>645</v>
      </c>
      <c r="Q1263" s="47" t="s">
        <v>161</v>
      </c>
      <c r="R1263" s="1"/>
    </row>
    <row r="1264" spans="1:18" ht="13.5" thickBot="1" x14ac:dyDescent="0.25">
      <c r="A1264" s="47" t="s">
        <v>216</v>
      </c>
      <c r="B1264" s="47" t="s">
        <v>11</v>
      </c>
      <c r="C1264" s="47" t="s">
        <v>10</v>
      </c>
      <c r="D1264" s="47" t="s">
        <v>216</v>
      </c>
      <c r="E1264" s="47" t="s">
        <v>11</v>
      </c>
      <c r="F1264" s="47" t="s">
        <v>10</v>
      </c>
      <c r="G1264" s="47" t="s">
        <v>216</v>
      </c>
      <c r="H1264" s="47" t="s">
        <v>11</v>
      </c>
      <c r="I1264" s="47" t="s">
        <v>10</v>
      </c>
      <c r="J1264" s="47" t="s">
        <v>216</v>
      </c>
      <c r="K1264" s="47" t="s">
        <v>11</v>
      </c>
      <c r="L1264" s="47" t="s">
        <v>10</v>
      </c>
      <c r="M1264" s="47" t="s">
        <v>216</v>
      </c>
      <c r="N1264" s="47" t="s">
        <v>11</v>
      </c>
      <c r="O1264" s="47" t="s">
        <v>10</v>
      </c>
      <c r="P1264" s="206"/>
      <c r="Q1264" s="5" t="s">
        <v>173</v>
      </c>
      <c r="R1264" s="1"/>
    </row>
    <row r="1265" spans="1:18" ht="13.5" thickBot="1" x14ac:dyDescent="0.25">
      <c r="A1265" s="123">
        <v>34</v>
      </c>
      <c r="B1265" s="123">
        <v>29</v>
      </c>
      <c r="C1265" s="123">
        <v>5</v>
      </c>
      <c r="D1265" s="123">
        <v>0</v>
      </c>
      <c r="E1265" s="123">
        <v>0</v>
      </c>
      <c r="F1265" s="123">
        <v>0</v>
      </c>
      <c r="G1265" s="123">
        <v>8</v>
      </c>
      <c r="H1265" s="123">
        <v>8</v>
      </c>
      <c r="I1265" s="123">
        <v>0</v>
      </c>
      <c r="J1265" s="123">
        <v>17</v>
      </c>
      <c r="K1265" s="123">
        <v>15</v>
      </c>
      <c r="L1265" s="123">
        <v>2</v>
      </c>
      <c r="M1265" s="123">
        <v>9</v>
      </c>
      <c r="N1265" s="123">
        <v>6</v>
      </c>
      <c r="O1265" s="123">
        <v>3</v>
      </c>
      <c r="P1265" s="7" t="s">
        <v>163</v>
      </c>
      <c r="Q1265" s="124"/>
      <c r="R1265" s="1"/>
    </row>
    <row r="1266" spans="1:18" ht="13.5" thickBot="1" x14ac:dyDescent="0.25">
      <c r="A1266" s="123">
        <v>149</v>
      </c>
      <c r="B1266" s="123">
        <v>96</v>
      </c>
      <c r="C1266" s="123">
        <v>53</v>
      </c>
      <c r="D1266" s="123">
        <v>4</v>
      </c>
      <c r="E1266" s="123">
        <v>4</v>
      </c>
      <c r="F1266" s="123">
        <v>0</v>
      </c>
      <c r="G1266" s="123">
        <v>4</v>
      </c>
      <c r="H1266" s="123">
        <v>4</v>
      </c>
      <c r="I1266" s="123">
        <v>0</v>
      </c>
      <c r="J1266" s="123">
        <v>104</v>
      </c>
      <c r="K1266" s="123">
        <v>71</v>
      </c>
      <c r="L1266" s="123">
        <v>33</v>
      </c>
      <c r="M1266" s="123">
        <v>37</v>
      </c>
      <c r="N1266" s="123">
        <v>17</v>
      </c>
      <c r="O1266" s="123">
        <v>20</v>
      </c>
      <c r="P1266" s="7" t="s">
        <v>162</v>
      </c>
      <c r="Q1266" s="124" t="s">
        <v>138</v>
      </c>
      <c r="R1266" s="1"/>
    </row>
    <row r="1267" spans="1:18" ht="13.5" thickBot="1" x14ac:dyDescent="0.25">
      <c r="A1267" s="123">
        <v>183</v>
      </c>
      <c r="B1267" s="123">
        <v>125</v>
      </c>
      <c r="C1267" s="123">
        <v>58</v>
      </c>
      <c r="D1267" s="123">
        <v>4</v>
      </c>
      <c r="E1267" s="123">
        <v>4</v>
      </c>
      <c r="F1267" s="123">
        <v>0</v>
      </c>
      <c r="G1267" s="123">
        <v>12</v>
      </c>
      <c r="H1267" s="123">
        <v>12</v>
      </c>
      <c r="I1267" s="123">
        <v>0</v>
      </c>
      <c r="J1267" s="123">
        <v>121</v>
      </c>
      <c r="K1267" s="123">
        <v>86</v>
      </c>
      <c r="L1267" s="123">
        <v>35</v>
      </c>
      <c r="M1267" s="123">
        <v>46</v>
      </c>
      <c r="N1267" s="123">
        <v>23</v>
      </c>
      <c r="O1267" s="123">
        <v>23</v>
      </c>
      <c r="P1267" s="7" t="s">
        <v>13</v>
      </c>
      <c r="Q1267" s="9"/>
      <c r="R1267" s="1"/>
    </row>
    <row r="1268" spans="1:18" ht="13.5" thickBot="1" x14ac:dyDescent="0.25">
      <c r="A1268" s="123">
        <v>159</v>
      </c>
      <c r="B1268" s="123">
        <v>54</v>
      </c>
      <c r="C1268" s="123">
        <v>105</v>
      </c>
      <c r="D1268" s="123">
        <v>0</v>
      </c>
      <c r="E1268" s="123">
        <v>0</v>
      </c>
      <c r="F1268" s="123">
        <v>0</v>
      </c>
      <c r="G1268" s="123">
        <v>24</v>
      </c>
      <c r="H1268" s="123">
        <v>19</v>
      </c>
      <c r="I1268" s="123">
        <v>5</v>
      </c>
      <c r="J1268" s="123">
        <v>66</v>
      </c>
      <c r="K1268" s="123">
        <v>24</v>
      </c>
      <c r="L1268" s="123">
        <v>42</v>
      </c>
      <c r="M1268" s="123">
        <v>69</v>
      </c>
      <c r="N1268" s="123">
        <v>11</v>
      </c>
      <c r="O1268" s="123">
        <v>58</v>
      </c>
      <c r="P1268" s="7" t="s">
        <v>163</v>
      </c>
      <c r="Q1268" s="124"/>
      <c r="R1268" s="1"/>
    </row>
    <row r="1269" spans="1:18" ht="13.5" thickBot="1" x14ac:dyDescent="0.25">
      <c r="A1269" s="123">
        <v>251</v>
      </c>
      <c r="B1269" s="123">
        <v>105</v>
      </c>
      <c r="C1269" s="123">
        <v>146</v>
      </c>
      <c r="D1269" s="123">
        <v>0</v>
      </c>
      <c r="E1269" s="123">
        <v>0</v>
      </c>
      <c r="F1269" s="123">
        <v>0</v>
      </c>
      <c r="G1269" s="123">
        <v>49</v>
      </c>
      <c r="H1269" s="123">
        <v>34</v>
      </c>
      <c r="I1269" s="123">
        <v>15</v>
      </c>
      <c r="J1269" s="123">
        <v>111</v>
      </c>
      <c r="K1269" s="123">
        <v>46</v>
      </c>
      <c r="L1269" s="123">
        <v>65</v>
      </c>
      <c r="M1269" s="123">
        <v>91</v>
      </c>
      <c r="N1269" s="123">
        <v>25</v>
      </c>
      <c r="O1269" s="123">
        <v>66</v>
      </c>
      <c r="P1269" s="7" t="s">
        <v>162</v>
      </c>
      <c r="Q1269" s="124" t="s">
        <v>139</v>
      </c>
      <c r="R1269" s="1"/>
    </row>
    <row r="1270" spans="1:18" ht="13.5" thickBot="1" x14ac:dyDescent="0.25">
      <c r="A1270" s="123">
        <v>410</v>
      </c>
      <c r="B1270" s="123">
        <v>159</v>
      </c>
      <c r="C1270" s="123">
        <v>251</v>
      </c>
      <c r="D1270" s="123">
        <v>0</v>
      </c>
      <c r="E1270" s="123">
        <v>0</v>
      </c>
      <c r="F1270" s="123">
        <v>0</v>
      </c>
      <c r="G1270" s="123">
        <v>73</v>
      </c>
      <c r="H1270" s="123">
        <v>53</v>
      </c>
      <c r="I1270" s="123">
        <v>20</v>
      </c>
      <c r="J1270" s="123">
        <v>177</v>
      </c>
      <c r="K1270" s="123">
        <v>70</v>
      </c>
      <c r="L1270" s="123">
        <v>107</v>
      </c>
      <c r="M1270" s="123">
        <v>160</v>
      </c>
      <c r="N1270" s="123">
        <v>36</v>
      </c>
      <c r="O1270" s="123">
        <v>124</v>
      </c>
      <c r="P1270" s="7" t="s">
        <v>13</v>
      </c>
      <c r="Q1270" s="9"/>
      <c r="R1270" s="1"/>
    </row>
    <row r="1271" spans="1:18" ht="13.5" thickBot="1" x14ac:dyDescent="0.25">
      <c r="A1271" s="123">
        <v>10</v>
      </c>
      <c r="B1271" s="123">
        <v>9</v>
      </c>
      <c r="C1271" s="123">
        <v>1</v>
      </c>
      <c r="D1271" s="123">
        <v>0</v>
      </c>
      <c r="E1271" s="123">
        <v>0</v>
      </c>
      <c r="F1271" s="123">
        <v>0</v>
      </c>
      <c r="G1271" s="123">
        <v>4</v>
      </c>
      <c r="H1271" s="123">
        <v>4</v>
      </c>
      <c r="I1271" s="123">
        <v>0</v>
      </c>
      <c r="J1271" s="123">
        <v>0</v>
      </c>
      <c r="K1271" s="123">
        <v>0</v>
      </c>
      <c r="L1271" s="123">
        <v>0</v>
      </c>
      <c r="M1271" s="123">
        <v>6</v>
      </c>
      <c r="N1271" s="123">
        <v>5</v>
      </c>
      <c r="O1271" s="123">
        <v>1</v>
      </c>
      <c r="P1271" s="7" t="s">
        <v>163</v>
      </c>
      <c r="Q1271" s="124"/>
      <c r="R1271" s="1"/>
    </row>
    <row r="1272" spans="1:18" ht="13.5" thickBot="1" x14ac:dyDescent="0.25">
      <c r="A1272" s="123">
        <v>99</v>
      </c>
      <c r="B1272" s="123">
        <v>45</v>
      </c>
      <c r="C1272" s="123">
        <v>54</v>
      </c>
      <c r="D1272" s="123">
        <v>58</v>
      </c>
      <c r="E1272" s="123">
        <v>28</v>
      </c>
      <c r="F1272" s="123">
        <v>30</v>
      </c>
      <c r="G1272" s="123">
        <v>8</v>
      </c>
      <c r="H1272" s="123">
        <v>5</v>
      </c>
      <c r="I1272" s="123">
        <v>3</v>
      </c>
      <c r="J1272" s="123">
        <v>0</v>
      </c>
      <c r="K1272" s="123">
        <v>0</v>
      </c>
      <c r="L1272" s="123">
        <v>0</v>
      </c>
      <c r="M1272" s="123">
        <v>33</v>
      </c>
      <c r="N1272" s="123">
        <v>12</v>
      </c>
      <c r="O1272" s="123">
        <v>21</v>
      </c>
      <c r="P1272" s="7" t="s">
        <v>162</v>
      </c>
      <c r="Q1272" s="124" t="s">
        <v>140</v>
      </c>
      <c r="R1272" s="1"/>
    </row>
    <row r="1273" spans="1:18" ht="13.5" thickBot="1" x14ac:dyDescent="0.25">
      <c r="A1273" s="123">
        <v>109</v>
      </c>
      <c r="B1273" s="123">
        <v>54</v>
      </c>
      <c r="C1273" s="123">
        <v>55</v>
      </c>
      <c r="D1273" s="123">
        <v>58</v>
      </c>
      <c r="E1273" s="123">
        <v>28</v>
      </c>
      <c r="F1273" s="123">
        <v>30</v>
      </c>
      <c r="G1273" s="123">
        <v>12</v>
      </c>
      <c r="H1273" s="123">
        <v>9</v>
      </c>
      <c r="I1273" s="123">
        <v>3</v>
      </c>
      <c r="J1273" s="123">
        <v>0</v>
      </c>
      <c r="K1273" s="123">
        <v>0</v>
      </c>
      <c r="L1273" s="123">
        <v>0</v>
      </c>
      <c r="M1273" s="123">
        <v>39</v>
      </c>
      <c r="N1273" s="123">
        <v>17</v>
      </c>
      <c r="O1273" s="123">
        <v>22</v>
      </c>
      <c r="P1273" s="7" t="s">
        <v>13</v>
      </c>
      <c r="Q1273" s="9"/>
      <c r="R1273" s="1"/>
    </row>
    <row r="1274" spans="1:18" ht="13.5" thickBot="1" x14ac:dyDescent="0.25">
      <c r="A1274" s="123">
        <v>16</v>
      </c>
      <c r="B1274" s="123">
        <v>14</v>
      </c>
      <c r="C1274" s="123">
        <v>2</v>
      </c>
      <c r="D1274" s="123">
        <v>0</v>
      </c>
      <c r="E1274" s="123">
        <v>0</v>
      </c>
      <c r="F1274" s="123">
        <v>0</v>
      </c>
      <c r="G1274" s="123">
        <v>0</v>
      </c>
      <c r="H1274" s="123">
        <v>0</v>
      </c>
      <c r="I1274" s="123">
        <v>0</v>
      </c>
      <c r="J1274" s="123">
        <v>9</v>
      </c>
      <c r="K1274" s="123">
        <v>8</v>
      </c>
      <c r="L1274" s="123">
        <v>1</v>
      </c>
      <c r="M1274" s="123">
        <v>7</v>
      </c>
      <c r="N1274" s="123">
        <v>6</v>
      </c>
      <c r="O1274" s="123">
        <v>1</v>
      </c>
      <c r="P1274" s="7" t="s">
        <v>163</v>
      </c>
      <c r="Q1274" s="124"/>
      <c r="R1274" s="1"/>
    </row>
    <row r="1275" spans="1:18" ht="13.5" thickBot="1" x14ac:dyDescent="0.25">
      <c r="A1275" s="123">
        <v>47</v>
      </c>
      <c r="B1275" s="123">
        <v>40</v>
      </c>
      <c r="C1275" s="123">
        <v>7</v>
      </c>
      <c r="D1275" s="123">
        <v>0</v>
      </c>
      <c r="E1275" s="123">
        <v>0</v>
      </c>
      <c r="F1275" s="123">
        <v>0</v>
      </c>
      <c r="G1275" s="123">
        <v>1</v>
      </c>
      <c r="H1275" s="123">
        <v>1</v>
      </c>
      <c r="I1275" s="123">
        <v>0</v>
      </c>
      <c r="J1275" s="123">
        <v>24</v>
      </c>
      <c r="K1275" s="123">
        <v>21</v>
      </c>
      <c r="L1275" s="123">
        <v>3</v>
      </c>
      <c r="M1275" s="123">
        <v>22</v>
      </c>
      <c r="N1275" s="123">
        <v>18</v>
      </c>
      <c r="O1275" s="123">
        <v>4</v>
      </c>
      <c r="P1275" s="7" t="s">
        <v>162</v>
      </c>
      <c r="Q1275" s="124" t="s">
        <v>141</v>
      </c>
      <c r="R1275" s="1"/>
    </row>
    <row r="1276" spans="1:18" ht="13.5" thickBot="1" x14ac:dyDescent="0.25">
      <c r="A1276" s="123">
        <v>63</v>
      </c>
      <c r="B1276" s="123">
        <v>54</v>
      </c>
      <c r="C1276" s="123">
        <v>9</v>
      </c>
      <c r="D1276" s="123">
        <v>0</v>
      </c>
      <c r="E1276" s="123">
        <v>0</v>
      </c>
      <c r="F1276" s="123">
        <v>0</v>
      </c>
      <c r="G1276" s="123">
        <v>1</v>
      </c>
      <c r="H1276" s="123">
        <v>1</v>
      </c>
      <c r="I1276" s="123">
        <v>0</v>
      </c>
      <c r="J1276" s="123">
        <v>33</v>
      </c>
      <c r="K1276" s="123">
        <v>29</v>
      </c>
      <c r="L1276" s="123">
        <v>4</v>
      </c>
      <c r="M1276" s="123">
        <v>29</v>
      </c>
      <c r="N1276" s="123">
        <v>24</v>
      </c>
      <c r="O1276" s="123">
        <v>5</v>
      </c>
      <c r="P1276" s="7" t="s">
        <v>13</v>
      </c>
      <c r="Q1276" s="9"/>
      <c r="R1276" s="1"/>
    </row>
    <row r="1277" spans="1:18" ht="13.5" thickBot="1" x14ac:dyDescent="0.25">
      <c r="A1277" s="123">
        <v>0</v>
      </c>
      <c r="B1277" s="123">
        <v>0</v>
      </c>
      <c r="C1277" s="123">
        <v>0</v>
      </c>
      <c r="D1277" s="123">
        <v>0</v>
      </c>
      <c r="E1277" s="123">
        <v>0</v>
      </c>
      <c r="F1277" s="123">
        <v>0</v>
      </c>
      <c r="G1277" s="123">
        <v>0</v>
      </c>
      <c r="H1277" s="123">
        <v>0</v>
      </c>
      <c r="I1277" s="123">
        <v>0</v>
      </c>
      <c r="J1277" s="123">
        <v>0</v>
      </c>
      <c r="K1277" s="123">
        <v>0</v>
      </c>
      <c r="L1277" s="123">
        <v>0</v>
      </c>
      <c r="M1277" s="123">
        <v>0</v>
      </c>
      <c r="N1277" s="123">
        <v>0</v>
      </c>
      <c r="O1277" s="123">
        <v>0</v>
      </c>
      <c r="P1277" s="7" t="s">
        <v>163</v>
      </c>
      <c r="Q1277" s="124"/>
      <c r="R1277" s="1"/>
    </row>
    <row r="1278" spans="1:18" ht="13.5" thickBot="1" x14ac:dyDescent="0.25">
      <c r="A1278" s="123">
        <v>116</v>
      </c>
      <c r="B1278" s="123">
        <v>38</v>
      </c>
      <c r="C1278" s="123">
        <v>78</v>
      </c>
      <c r="D1278" s="123">
        <v>54</v>
      </c>
      <c r="E1278" s="123">
        <v>25</v>
      </c>
      <c r="F1278" s="123">
        <v>29</v>
      </c>
      <c r="G1278" s="123">
        <v>1</v>
      </c>
      <c r="H1278" s="123">
        <v>1</v>
      </c>
      <c r="I1278" s="123">
        <v>0</v>
      </c>
      <c r="J1278" s="123">
        <v>54</v>
      </c>
      <c r="K1278" s="123">
        <v>10</v>
      </c>
      <c r="L1278" s="123">
        <v>44</v>
      </c>
      <c r="M1278" s="123">
        <v>7</v>
      </c>
      <c r="N1278" s="123">
        <v>2</v>
      </c>
      <c r="O1278" s="123">
        <v>5</v>
      </c>
      <c r="P1278" s="7" t="s">
        <v>162</v>
      </c>
      <c r="Q1278" s="124" t="s">
        <v>142</v>
      </c>
      <c r="R1278" s="1"/>
    </row>
    <row r="1279" spans="1:18" ht="13.5" thickBot="1" x14ac:dyDescent="0.25">
      <c r="A1279" s="123">
        <v>116</v>
      </c>
      <c r="B1279" s="123">
        <v>38</v>
      </c>
      <c r="C1279" s="123">
        <v>78</v>
      </c>
      <c r="D1279" s="123">
        <v>54</v>
      </c>
      <c r="E1279" s="123">
        <v>25</v>
      </c>
      <c r="F1279" s="123">
        <v>29</v>
      </c>
      <c r="G1279" s="123">
        <v>1</v>
      </c>
      <c r="H1279" s="123">
        <v>1</v>
      </c>
      <c r="I1279" s="123">
        <v>0</v>
      </c>
      <c r="J1279" s="123">
        <v>54</v>
      </c>
      <c r="K1279" s="123">
        <v>10</v>
      </c>
      <c r="L1279" s="123">
        <v>44</v>
      </c>
      <c r="M1279" s="123">
        <v>7</v>
      </c>
      <c r="N1279" s="123">
        <v>2</v>
      </c>
      <c r="O1279" s="123">
        <v>5</v>
      </c>
      <c r="P1279" s="7" t="s">
        <v>13</v>
      </c>
      <c r="Q1279" s="9"/>
      <c r="R1279" s="1"/>
    </row>
    <row r="1280" spans="1:18" ht="13.5" thickBot="1" x14ac:dyDescent="0.25">
      <c r="A1280" s="123">
        <v>0</v>
      </c>
      <c r="B1280" s="123">
        <v>0</v>
      </c>
      <c r="C1280" s="123">
        <v>0</v>
      </c>
      <c r="D1280" s="123">
        <v>0</v>
      </c>
      <c r="E1280" s="123">
        <v>0</v>
      </c>
      <c r="F1280" s="123">
        <v>0</v>
      </c>
      <c r="G1280" s="123">
        <v>0</v>
      </c>
      <c r="H1280" s="123">
        <v>0</v>
      </c>
      <c r="I1280" s="123">
        <v>0</v>
      </c>
      <c r="J1280" s="123">
        <v>0</v>
      </c>
      <c r="K1280" s="123">
        <v>0</v>
      </c>
      <c r="L1280" s="123">
        <v>0</v>
      </c>
      <c r="M1280" s="123">
        <v>0</v>
      </c>
      <c r="N1280" s="123">
        <v>0</v>
      </c>
      <c r="O1280" s="123">
        <v>0</v>
      </c>
      <c r="P1280" s="7" t="s">
        <v>163</v>
      </c>
      <c r="Q1280" s="124"/>
      <c r="R1280" s="1"/>
    </row>
    <row r="1281" spans="1:18" ht="13.5" thickBot="1" x14ac:dyDescent="0.25">
      <c r="A1281" s="123">
        <v>30</v>
      </c>
      <c r="B1281" s="123">
        <v>10</v>
      </c>
      <c r="C1281" s="123">
        <v>20</v>
      </c>
      <c r="D1281" s="123">
        <v>0</v>
      </c>
      <c r="E1281" s="123">
        <v>0</v>
      </c>
      <c r="F1281" s="123">
        <v>0</v>
      </c>
      <c r="G1281" s="123">
        <v>0</v>
      </c>
      <c r="H1281" s="123">
        <v>0</v>
      </c>
      <c r="I1281" s="123">
        <v>0</v>
      </c>
      <c r="J1281" s="123">
        <v>24</v>
      </c>
      <c r="K1281" s="123">
        <v>10</v>
      </c>
      <c r="L1281" s="123">
        <v>14</v>
      </c>
      <c r="M1281" s="123">
        <v>6</v>
      </c>
      <c r="N1281" s="123">
        <v>0</v>
      </c>
      <c r="O1281" s="123">
        <v>6</v>
      </c>
      <c r="P1281" s="7" t="s">
        <v>162</v>
      </c>
      <c r="Q1281" s="124" t="s">
        <v>143</v>
      </c>
      <c r="R1281" s="1"/>
    </row>
    <row r="1282" spans="1:18" ht="13.5" thickBot="1" x14ac:dyDescent="0.25">
      <c r="A1282" s="123">
        <v>30</v>
      </c>
      <c r="B1282" s="123">
        <v>10</v>
      </c>
      <c r="C1282" s="123">
        <v>20</v>
      </c>
      <c r="D1282" s="123">
        <v>0</v>
      </c>
      <c r="E1282" s="123">
        <v>0</v>
      </c>
      <c r="F1282" s="123">
        <v>0</v>
      </c>
      <c r="G1282" s="123">
        <v>0</v>
      </c>
      <c r="H1282" s="123">
        <v>0</v>
      </c>
      <c r="I1282" s="123">
        <v>0</v>
      </c>
      <c r="J1282" s="123">
        <v>24</v>
      </c>
      <c r="K1282" s="123">
        <v>10</v>
      </c>
      <c r="L1282" s="123">
        <v>14</v>
      </c>
      <c r="M1282" s="123">
        <v>6</v>
      </c>
      <c r="N1282" s="123">
        <v>0</v>
      </c>
      <c r="O1282" s="123">
        <v>6</v>
      </c>
      <c r="P1282" s="7" t="s">
        <v>13</v>
      </c>
      <c r="Q1282" s="9"/>
      <c r="R1282" s="1"/>
    </row>
    <row r="1283" spans="1:18" ht="13.5" thickBot="1" x14ac:dyDescent="0.25">
      <c r="A1283" s="123">
        <v>33</v>
      </c>
      <c r="B1283" s="123">
        <v>27</v>
      </c>
      <c r="C1283" s="123">
        <v>6</v>
      </c>
      <c r="D1283" s="123">
        <v>0</v>
      </c>
      <c r="E1283" s="123">
        <v>0</v>
      </c>
      <c r="F1283" s="123">
        <v>0</v>
      </c>
      <c r="G1283" s="123">
        <v>4</v>
      </c>
      <c r="H1283" s="123">
        <v>4</v>
      </c>
      <c r="I1283" s="123">
        <v>0</v>
      </c>
      <c r="J1283" s="123">
        <v>19</v>
      </c>
      <c r="K1283" s="123">
        <v>18</v>
      </c>
      <c r="L1283" s="123">
        <v>1</v>
      </c>
      <c r="M1283" s="123">
        <v>10</v>
      </c>
      <c r="N1283" s="123">
        <v>5</v>
      </c>
      <c r="O1283" s="123">
        <v>5</v>
      </c>
      <c r="P1283" s="7" t="s">
        <v>163</v>
      </c>
      <c r="Q1283" s="124"/>
      <c r="R1283" s="1"/>
    </row>
    <row r="1284" spans="1:18" ht="13.5" thickBot="1" x14ac:dyDescent="0.25">
      <c r="A1284" s="123">
        <v>59</v>
      </c>
      <c r="B1284" s="123">
        <v>53</v>
      </c>
      <c r="C1284" s="123">
        <v>6</v>
      </c>
      <c r="D1284" s="123">
        <v>0</v>
      </c>
      <c r="E1284" s="123">
        <v>0</v>
      </c>
      <c r="F1284" s="123">
        <v>0</v>
      </c>
      <c r="G1284" s="123">
        <v>4</v>
      </c>
      <c r="H1284" s="123">
        <v>4</v>
      </c>
      <c r="I1284" s="123">
        <v>0</v>
      </c>
      <c r="J1284" s="123">
        <v>35</v>
      </c>
      <c r="K1284" s="123">
        <v>31</v>
      </c>
      <c r="L1284" s="123">
        <v>4</v>
      </c>
      <c r="M1284" s="123">
        <v>20</v>
      </c>
      <c r="N1284" s="123">
        <v>18</v>
      </c>
      <c r="O1284" s="123">
        <v>2</v>
      </c>
      <c r="P1284" s="7" t="s">
        <v>162</v>
      </c>
      <c r="Q1284" s="124" t="s">
        <v>144</v>
      </c>
      <c r="R1284" s="1"/>
    </row>
    <row r="1285" spans="1:18" ht="13.5" thickBot="1" x14ac:dyDescent="0.25">
      <c r="A1285" s="123">
        <v>92</v>
      </c>
      <c r="B1285" s="123">
        <v>80</v>
      </c>
      <c r="C1285" s="123">
        <v>12</v>
      </c>
      <c r="D1285" s="123">
        <v>0</v>
      </c>
      <c r="E1285" s="123">
        <v>0</v>
      </c>
      <c r="F1285" s="123">
        <v>0</v>
      </c>
      <c r="G1285" s="123">
        <v>8</v>
      </c>
      <c r="H1285" s="123">
        <v>8</v>
      </c>
      <c r="I1285" s="123">
        <v>0</v>
      </c>
      <c r="J1285" s="123">
        <v>54</v>
      </c>
      <c r="K1285" s="123">
        <v>49</v>
      </c>
      <c r="L1285" s="123">
        <v>5</v>
      </c>
      <c r="M1285" s="123">
        <v>30</v>
      </c>
      <c r="N1285" s="123">
        <v>23</v>
      </c>
      <c r="O1285" s="123">
        <v>7</v>
      </c>
      <c r="P1285" s="7" t="s">
        <v>13</v>
      </c>
      <c r="Q1285" s="9"/>
      <c r="R1285" s="1"/>
    </row>
    <row r="1286" spans="1:18" ht="13.5" thickBot="1" x14ac:dyDescent="0.25">
      <c r="A1286" s="123">
        <v>6</v>
      </c>
      <c r="B1286" s="123">
        <v>0</v>
      </c>
      <c r="C1286" s="123">
        <v>6</v>
      </c>
      <c r="D1286" s="123">
        <v>0</v>
      </c>
      <c r="E1286" s="123">
        <v>0</v>
      </c>
      <c r="F1286" s="123">
        <v>0</v>
      </c>
      <c r="G1286" s="123">
        <v>4</v>
      </c>
      <c r="H1286" s="123">
        <v>0</v>
      </c>
      <c r="I1286" s="123">
        <v>4</v>
      </c>
      <c r="J1286" s="123">
        <v>0</v>
      </c>
      <c r="K1286" s="123">
        <v>0</v>
      </c>
      <c r="L1286" s="123">
        <v>0</v>
      </c>
      <c r="M1286" s="123">
        <v>2</v>
      </c>
      <c r="N1286" s="123">
        <v>0</v>
      </c>
      <c r="O1286" s="123">
        <v>2</v>
      </c>
      <c r="P1286" s="7" t="s">
        <v>163</v>
      </c>
      <c r="Q1286" s="124"/>
      <c r="R1286" s="1"/>
    </row>
    <row r="1287" spans="1:18" ht="13.5" thickBot="1" x14ac:dyDescent="0.25">
      <c r="A1287" s="123">
        <v>7</v>
      </c>
      <c r="B1287" s="123">
        <v>0</v>
      </c>
      <c r="C1287" s="123">
        <v>7</v>
      </c>
      <c r="D1287" s="123">
        <v>1</v>
      </c>
      <c r="E1287" s="123">
        <v>0</v>
      </c>
      <c r="F1287" s="123">
        <v>1</v>
      </c>
      <c r="G1287" s="123">
        <v>1</v>
      </c>
      <c r="H1287" s="123">
        <v>0</v>
      </c>
      <c r="I1287" s="123">
        <v>1</v>
      </c>
      <c r="J1287" s="123">
        <v>1</v>
      </c>
      <c r="K1287" s="123">
        <v>0</v>
      </c>
      <c r="L1287" s="123">
        <v>1</v>
      </c>
      <c r="M1287" s="123">
        <v>4</v>
      </c>
      <c r="N1287" s="123">
        <v>0</v>
      </c>
      <c r="O1287" s="123">
        <v>4</v>
      </c>
      <c r="P1287" s="7" t="s">
        <v>162</v>
      </c>
      <c r="Q1287" s="124" t="s">
        <v>145</v>
      </c>
      <c r="R1287" s="1"/>
    </row>
    <row r="1288" spans="1:18" ht="13.5" thickBot="1" x14ac:dyDescent="0.25">
      <c r="A1288" s="123">
        <v>13</v>
      </c>
      <c r="B1288" s="123">
        <v>0</v>
      </c>
      <c r="C1288" s="123">
        <v>13</v>
      </c>
      <c r="D1288" s="123">
        <v>1</v>
      </c>
      <c r="E1288" s="123">
        <v>0</v>
      </c>
      <c r="F1288" s="123">
        <v>1</v>
      </c>
      <c r="G1288" s="123">
        <v>5</v>
      </c>
      <c r="H1288" s="123">
        <v>0</v>
      </c>
      <c r="I1288" s="123">
        <v>5</v>
      </c>
      <c r="J1288" s="123">
        <v>1</v>
      </c>
      <c r="K1288" s="123">
        <v>0</v>
      </c>
      <c r="L1288" s="123">
        <v>1</v>
      </c>
      <c r="M1288" s="123">
        <v>6</v>
      </c>
      <c r="N1288" s="123">
        <v>0</v>
      </c>
      <c r="O1288" s="123">
        <v>6</v>
      </c>
      <c r="P1288" s="7" t="s">
        <v>13</v>
      </c>
      <c r="Q1288" s="9"/>
      <c r="R1288" s="1"/>
    </row>
    <row r="1289" spans="1:18" ht="13.5" thickBot="1" x14ac:dyDescent="0.25">
      <c r="A1289" s="123">
        <v>1</v>
      </c>
      <c r="B1289" s="123">
        <v>0</v>
      </c>
      <c r="C1289" s="123">
        <v>1</v>
      </c>
      <c r="D1289" s="123">
        <v>0</v>
      </c>
      <c r="E1289" s="123">
        <v>0</v>
      </c>
      <c r="F1289" s="123">
        <v>0</v>
      </c>
      <c r="G1289" s="123">
        <v>0</v>
      </c>
      <c r="H1289" s="123">
        <v>0</v>
      </c>
      <c r="I1289" s="123">
        <v>0</v>
      </c>
      <c r="J1289" s="123">
        <v>0</v>
      </c>
      <c r="K1289" s="123">
        <v>0</v>
      </c>
      <c r="L1289" s="123">
        <v>0</v>
      </c>
      <c r="M1289" s="123">
        <v>1</v>
      </c>
      <c r="N1289" s="123">
        <v>0</v>
      </c>
      <c r="O1289" s="123">
        <v>1</v>
      </c>
      <c r="P1289" s="7" t="s">
        <v>163</v>
      </c>
      <c r="Q1289" s="124"/>
      <c r="R1289" s="1"/>
    </row>
    <row r="1290" spans="1:18" ht="13.5" thickBot="1" x14ac:dyDescent="0.25">
      <c r="A1290" s="123">
        <v>15</v>
      </c>
      <c r="B1290" s="123">
        <v>1</v>
      </c>
      <c r="C1290" s="123">
        <v>14</v>
      </c>
      <c r="D1290" s="123">
        <v>2</v>
      </c>
      <c r="E1290" s="123">
        <v>0</v>
      </c>
      <c r="F1290" s="123">
        <v>2</v>
      </c>
      <c r="G1290" s="123">
        <v>1</v>
      </c>
      <c r="H1290" s="123">
        <v>0</v>
      </c>
      <c r="I1290" s="123">
        <v>1</v>
      </c>
      <c r="J1290" s="123">
        <v>7</v>
      </c>
      <c r="K1290" s="123">
        <v>1</v>
      </c>
      <c r="L1290" s="123">
        <v>6</v>
      </c>
      <c r="M1290" s="123">
        <v>5</v>
      </c>
      <c r="N1290" s="123">
        <v>0</v>
      </c>
      <c r="O1290" s="123">
        <v>5</v>
      </c>
      <c r="P1290" s="7" t="s">
        <v>162</v>
      </c>
      <c r="Q1290" s="124" t="s">
        <v>146</v>
      </c>
      <c r="R1290" s="1"/>
    </row>
    <row r="1291" spans="1:18" ht="13.5" thickBot="1" x14ac:dyDescent="0.25">
      <c r="A1291" s="123">
        <v>16</v>
      </c>
      <c r="B1291" s="123">
        <v>1</v>
      </c>
      <c r="C1291" s="123">
        <v>15</v>
      </c>
      <c r="D1291" s="123">
        <v>2</v>
      </c>
      <c r="E1291" s="123">
        <v>0</v>
      </c>
      <c r="F1291" s="123">
        <v>2</v>
      </c>
      <c r="G1291" s="123">
        <v>1</v>
      </c>
      <c r="H1291" s="123">
        <v>0</v>
      </c>
      <c r="I1291" s="123">
        <v>1</v>
      </c>
      <c r="J1291" s="123">
        <v>7</v>
      </c>
      <c r="K1291" s="123">
        <v>1</v>
      </c>
      <c r="L1291" s="123">
        <v>6</v>
      </c>
      <c r="M1291" s="123">
        <v>6</v>
      </c>
      <c r="N1291" s="123">
        <v>0</v>
      </c>
      <c r="O1291" s="123">
        <v>6</v>
      </c>
      <c r="P1291" s="7" t="s">
        <v>13</v>
      </c>
      <c r="Q1291" s="9"/>
      <c r="R1291" s="1"/>
    </row>
    <row r="1292" spans="1:18" ht="13.5" thickBot="1" x14ac:dyDescent="0.25">
      <c r="A1292" s="123">
        <v>12</v>
      </c>
      <c r="B1292" s="123">
        <v>0</v>
      </c>
      <c r="C1292" s="123">
        <v>12</v>
      </c>
      <c r="D1292" s="123">
        <v>0</v>
      </c>
      <c r="E1292" s="123">
        <v>0</v>
      </c>
      <c r="F1292" s="123">
        <v>0</v>
      </c>
      <c r="G1292" s="123">
        <v>0</v>
      </c>
      <c r="H1292" s="123">
        <v>0</v>
      </c>
      <c r="I1292" s="123">
        <v>0</v>
      </c>
      <c r="J1292" s="123">
        <v>1</v>
      </c>
      <c r="K1292" s="123">
        <v>0</v>
      </c>
      <c r="L1292" s="123">
        <v>1</v>
      </c>
      <c r="M1292" s="123">
        <v>11</v>
      </c>
      <c r="N1292" s="123">
        <v>0</v>
      </c>
      <c r="O1292" s="123">
        <v>11</v>
      </c>
      <c r="P1292" s="7" t="s">
        <v>163</v>
      </c>
      <c r="Q1292" s="124"/>
      <c r="R1292" s="1"/>
    </row>
    <row r="1293" spans="1:18" ht="13.5" thickBot="1" x14ac:dyDescent="0.25">
      <c r="A1293" s="123">
        <v>31</v>
      </c>
      <c r="B1293" s="123">
        <v>0</v>
      </c>
      <c r="C1293" s="123">
        <v>31</v>
      </c>
      <c r="D1293" s="123">
        <v>0</v>
      </c>
      <c r="E1293" s="123">
        <v>0</v>
      </c>
      <c r="F1293" s="123">
        <v>0</v>
      </c>
      <c r="G1293" s="123">
        <v>0</v>
      </c>
      <c r="H1293" s="123">
        <v>0</v>
      </c>
      <c r="I1293" s="123">
        <v>0</v>
      </c>
      <c r="J1293" s="123">
        <v>12</v>
      </c>
      <c r="K1293" s="123">
        <v>0</v>
      </c>
      <c r="L1293" s="123">
        <v>12</v>
      </c>
      <c r="M1293" s="123">
        <v>19</v>
      </c>
      <c r="N1293" s="123">
        <v>0</v>
      </c>
      <c r="O1293" s="123">
        <v>19</v>
      </c>
      <c r="P1293" s="7" t="s">
        <v>162</v>
      </c>
      <c r="Q1293" s="124" t="s">
        <v>147</v>
      </c>
      <c r="R1293" s="1"/>
    </row>
    <row r="1294" spans="1:18" ht="13.5" thickBot="1" x14ac:dyDescent="0.25">
      <c r="A1294" s="123">
        <v>43</v>
      </c>
      <c r="B1294" s="123">
        <v>0</v>
      </c>
      <c r="C1294" s="123">
        <v>43</v>
      </c>
      <c r="D1294" s="123">
        <v>0</v>
      </c>
      <c r="E1294" s="123">
        <v>0</v>
      </c>
      <c r="F1294" s="123">
        <v>0</v>
      </c>
      <c r="G1294" s="123">
        <v>0</v>
      </c>
      <c r="H1294" s="123">
        <v>0</v>
      </c>
      <c r="I1294" s="123">
        <v>0</v>
      </c>
      <c r="J1294" s="123">
        <v>13</v>
      </c>
      <c r="K1294" s="123">
        <v>0</v>
      </c>
      <c r="L1294" s="123">
        <v>13</v>
      </c>
      <c r="M1294" s="123">
        <v>30</v>
      </c>
      <c r="N1294" s="123">
        <v>0</v>
      </c>
      <c r="O1294" s="123">
        <v>30</v>
      </c>
      <c r="P1294" s="7" t="s">
        <v>13</v>
      </c>
      <c r="Q1294" s="9"/>
      <c r="R1294" s="1"/>
    </row>
    <row r="1295" spans="1:18" ht="13.5" thickBot="1" x14ac:dyDescent="0.25">
      <c r="A1295" s="123">
        <v>6</v>
      </c>
      <c r="B1295" s="123">
        <v>6</v>
      </c>
      <c r="C1295" s="123">
        <v>0</v>
      </c>
      <c r="D1295" s="123">
        <v>0</v>
      </c>
      <c r="E1295" s="123">
        <v>0</v>
      </c>
      <c r="F1295" s="123">
        <v>0</v>
      </c>
      <c r="G1295" s="123">
        <v>1</v>
      </c>
      <c r="H1295" s="123">
        <v>1</v>
      </c>
      <c r="I1295" s="123">
        <v>0</v>
      </c>
      <c r="J1295" s="123">
        <v>1</v>
      </c>
      <c r="K1295" s="123">
        <v>1</v>
      </c>
      <c r="L1295" s="123">
        <v>0</v>
      </c>
      <c r="M1295" s="123">
        <v>4</v>
      </c>
      <c r="N1295" s="123">
        <v>4</v>
      </c>
      <c r="O1295" s="123">
        <v>0</v>
      </c>
      <c r="P1295" s="7" t="s">
        <v>163</v>
      </c>
      <c r="Q1295" s="124"/>
      <c r="R1295" s="1"/>
    </row>
    <row r="1296" spans="1:18" ht="13.5" thickBot="1" x14ac:dyDescent="0.25">
      <c r="A1296" s="123">
        <v>14</v>
      </c>
      <c r="B1296" s="123">
        <v>14</v>
      </c>
      <c r="C1296" s="123">
        <v>0</v>
      </c>
      <c r="D1296" s="123">
        <v>1</v>
      </c>
      <c r="E1296" s="123">
        <v>1</v>
      </c>
      <c r="F1296" s="123">
        <v>0</v>
      </c>
      <c r="G1296" s="123">
        <v>6</v>
      </c>
      <c r="H1296" s="123">
        <v>6</v>
      </c>
      <c r="I1296" s="123">
        <v>0</v>
      </c>
      <c r="J1296" s="123">
        <v>5</v>
      </c>
      <c r="K1296" s="123">
        <v>5</v>
      </c>
      <c r="L1296" s="123">
        <v>0</v>
      </c>
      <c r="M1296" s="123">
        <v>2</v>
      </c>
      <c r="N1296" s="123">
        <v>2</v>
      </c>
      <c r="O1296" s="123">
        <v>0</v>
      </c>
      <c r="P1296" s="7" t="s">
        <v>162</v>
      </c>
      <c r="Q1296" s="124" t="s">
        <v>148</v>
      </c>
      <c r="R1296" s="1"/>
    </row>
    <row r="1297" spans="1:18" ht="13.5" thickBot="1" x14ac:dyDescent="0.25">
      <c r="A1297" s="123">
        <v>20</v>
      </c>
      <c r="B1297" s="123">
        <v>20</v>
      </c>
      <c r="C1297" s="123">
        <v>0</v>
      </c>
      <c r="D1297" s="123">
        <v>1</v>
      </c>
      <c r="E1297" s="123">
        <v>1</v>
      </c>
      <c r="F1297" s="123">
        <v>0</v>
      </c>
      <c r="G1297" s="123">
        <v>7</v>
      </c>
      <c r="H1297" s="123">
        <v>7</v>
      </c>
      <c r="I1297" s="123">
        <v>0</v>
      </c>
      <c r="J1297" s="123">
        <v>6</v>
      </c>
      <c r="K1297" s="123">
        <v>6</v>
      </c>
      <c r="L1297" s="123">
        <v>0</v>
      </c>
      <c r="M1297" s="123">
        <v>6</v>
      </c>
      <c r="N1297" s="123">
        <v>6</v>
      </c>
      <c r="O1297" s="123">
        <v>0</v>
      </c>
      <c r="P1297" s="7" t="s">
        <v>13</v>
      </c>
      <c r="Q1297" s="9"/>
      <c r="R1297" s="1"/>
    </row>
    <row r="1298" spans="1:18" ht="13.5" thickBot="1" x14ac:dyDescent="0.25">
      <c r="A1298" s="123">
        <v>11</v>
      </c>
      <c r="B1298" s="123">
        <v>5</v>
      </c>
      <c r="C1298" s="123">
        <v>6</v>
      </c>
      <c r="D1298" s="123">
        <v>1</v>
      </c>
      <c r="E1298" s="123">
        <v>1</v>
      </c>
      <c r="F1298" s="123">
        <v>0</v>
      </c>
      <c r="G1298" s="123">
        <v>0</v>
      </c>
      <c r="H1298" s="123">
        <v>0</v>
      </c>
      <c r="I1298" s="123">
        <v>0</v>
      </c>
      <c r="J1298" s="123">
        <v>4</v>
      </c>
      <c r="K1298" s="123">
        <v>3</v>
      </c>
      <c r="L1298" s="123">
        <v>1</v>
      </c>
      <c r="M1298" s="123">
        <v>6</v>
      </c>
      <c r="N1298" s="123">
        <v>1</v>
      </c>
      <c r="O1298" s="123">
        <v>5</v>
      </c>
      <c r="P1298" s="7" t="s">
        <v>163</v>
      </c>
      <c r="Q1298" s="124"/>
      <c r="R1298" s="1"/>
    </row>
    <row r="1299" spans="1:18" ht="13.5" thickBot="1" x14ac:dyDescent="0.25">
      <c r="A1299" s="123">
        <v>64</v>
      </c>
      <c r="B1299" s="123">
        <v>22</v>
      </c>
      <c r="C1299" s="123">
        <v>42</v>
      </c>
      <c r="D1299" s="123">
        <v>5</v>
      </c>
      <c r="E1299" s="123">
        <v>2</v>
      </c>
      <c r="F1299" s="123">
        <v>3</v>
      </c>
      <c r="G1299" s="123">
        <v>0</v>
      </c>
      <c r="H1299" s="123">
        <v>0</v>
      </c>
      <c r="I1299" s="123">
        <v>0</v>
      </c>
      <c r="J1299" s="123">
        <v>22</v>
      </c>
      <c r="K1299" s="123">
        <v>9</v>
      </c>
      <c r="L1299" s="123">
        <v>13</v>
      </c>
      <c r="M1299" s="123">
        <v>37</v>
      </c>
      <c r="N1299" s="123">
        <v>11</v>
      </c>
      <c r="O1299" s="123">
        <v>26</v>
      </c>
      <c r="P1299" s="7" t="s">
        <v>162</v>
      </c>
      <c r="Q1299" s="124" t="s">
        <v>149</v>
      </c>
      <c r="R1299" s="1"/>
    </row>
    <row r="1300" spans="1:18" ht="13.5" thickBot="1" x14ac:dyDescent="0.25">
      <c r="A1300" s="123">
        <v>75</v>
      </c>
      <c r="B1300" s="123">
        <v>27</v>
      </c>
      <c r="C1300" s="123">
        <v>48</v>
      </c>
      <c r="D1300" s="123">
        <v>6</v>
      </c>
      <c r="E1300" s="123">
        <v>3</v>
      </c>
      <c r="F1300" s="123">
        <v>3</v>
      </c>
      <c r="G1300" s="123">
        <v>0</v>
      </c>
      <c r="H1300" s="123">
        <v>0</v>
      </c>
      <c r="I1300" s="123">
        <v>0</v>
      </c>
      <c r="J1300" s="123">
        <v>26</v>
      </c>
      <c r="K1300" s="123">
        <v>12</v>
      </c>
      <c r="L1300" s="123">
        <v>14</v>
      </c>
      <c r="M1300" s="123">
        <v>43</v>
      </c>
      <c r="N1300" s="123">
        <v>12</v>
      </c>
      <c r="O1300" s="123">
        <v>31</v>
      </c>
      <c r="P1300" s="7" t="s">
        <v>13</v>
      </c>
      <c r="Q1300" s="9"/>
      <c r="R1300" s="1"/>
    </row>
    <row r="1301" spans="1:18" ht="13.5" thickBot="1" x14ac:dyDescent="0.25">
      <c r="A1301" s="123">
        <v>10</v>
      </c>
      <c r="B1301" s="123">
        <v>6</v>
      </c>
      <c r="C1301" s="123">
        <v>4</v>
      </c>
      <c r="D1301" s="123">
        <v>4</v>
      </c>
      <c r="E1301" s="123">
        <v>4</v>
      </c>
      <c r="F1301" s="123">
        <v>0</v>
      </c>
      <c r="G1301" s="123">
        <v>0</v>
      </c>
      <c r="H1301" s="123">
        <v>0</v>
      </c>
      <c r="I1301" s="123">
        <v>0</v>
      </c>
      <c r="J1301" s="123">
        <v>2</v>
      </c>
      <c r="K1301" s="123">
        <v>1</v>
      </c>
      <c r="L1301" s="123">
        <v>1</v>
      </c>
      <c r="M1301" s="123">
        <v>4</v>
      </c>
      <c r="N1301" s="123">
        <v>1</v>
      </c>
      <c r="O1301" s="123">
        <v>3</v>
      </c>
      <c r="P1301" s="7" t="s">
        <v>163</v>
      </c>
      <c r="Q1301" s="124"/>
      <c r="R1301" s="1"/>
    </row>
    <row r="1302" spans="1:18" ht="13.5" thickBot="1" x14ac:dyDescent="0.25">
      <c r="A1302" s="123">
        <v>31</v>
      </c>
      <c r="B1302" s="123">
        <v>14</v>
      </c>
      <c r="C1302" s="123">
        <v>17</v>
      </c>
      <c r="D1302" s="123">
        <v>6</v>
      </c>
      <c r="E1302" s="123">
        <v>3</v>
      </c>
      <c r="F1302" s="123">
        <v>3</v>
      </c>
      <c r="G1302" s="123">
        <v>0</v>
      </c>
      <c r="H1302" s="123">
        <v>0</v>
      </c>
      <c r="I1302" s="123">
        <v>0</v>
      </c>
      <c r="J1302" s="123">
        <v>6</v>
      </c>
      <c r="K1302" s="123">
        <v>2</v>
      </c>
      <c r="L1302" s="123">
        <v>4</v>
      </c>
      <c r="M1302" s="123">
        <v>19</v>
      </c>
      <c r="N1302" s="123">
        <v>9</v>
      </c>
      <c r="O1302" s="123">
        <v>10</v>
      </c>
      <c r="P1302" s="7" t="s">
        <v>162</v>
      </c>
      <c r="Q1302" s="124" t="s">
        <v>150</v>
      </c>
      <c r="R1302" s="1"/>
    </row>
    <row r="1303" spans="1:18" ht="13.5" thickBot="1" x14ac:dyDescent="0.25">
      <c r="A1303" s="123">
        <v>41</v>
      </c>
      <c r="B1303" s="123">
        <v>20</v>
      </c>
      <c r="C1303" s="123">
        <v>21</v>
      </c>
      <c r="D1303" s="123">
        <v>10</v>
      </c>
      <c r="E1303" s="123">
        <v>7</v>
      </c>
      <c r="F1303" s="123">
        <v>3</v>
      </c>
      <c r="G1303" s="123">
        <v>0</v>
      </c>
      <c r="H1303" s="123">
        <v>0</v>
      </c>
      <c r="I1303" s="123">
        <v>0</v>
      </c>
      <c r="J1303" s="123">
        <v>8</v>
      </c>
      <c r="K1303" s="123">
        <v>3</v>
      </c>
      <c r="L1303" s="123">
        <v>5</v>
      </c>
      <c r="M1303" s="123">
        <v>23</v>
      </c>
      <c r="N1303" s="123">
        <v>10</v>
      </c>
      <c r="O1303" s="123">
        <v>13</v>
      </c>
      <c r="P1303" s="7" t="s">
        <v>13</v>
      </c>
      <c r="Q1303" s="9"/>
      <c r="R1303" s="1"/>
    </row>
    <row r="1304" spans="1:18" ht="13.5" thickBot="1" x14ac:dyDescent="0.25">
      <c r="A1304" s="123">
        <v>6</v>
      </c>
      <c r="B1304" s="123">
        <v>0</v>
      </c>
      <c r="C1304" s="123">
        <v>6</v>
      </c>
      <c r="D1304" s="123">
        <v>0</v>
      </c>
      <c r="E1304" s="123">
        <v>0</v>
      </c>
      <c r="F1304" s="123">
        <v>0</v>
      </c>
      <c r="G1304" s="123">
        <v>0</v>
      </c>
      <c r="H1304" s="123">
        <v>0</v>
      </c>
      <c r="I1304" s="123">
        <v>0</v>
      </c>
      <c r="J1304" s="123">
        <v>1</v>
      </c>
      <c r="K1304" s="123">
        <v>0</v>
      </c>
      <c r="L1304" s="123">
        <v>1</v>
      </c>
      <c r="M1304" s="123">
        <v>5</v>
      </c>
      <c r="N1304" s="123">
        <v>0</v>
      </c>
      <c r="O1304" s="123">
        <v>5</v>
      </c>
      <c r="P1304" s="7" t="s">
        <v>163</v>
      </c>
      <c r="Q1304" s="124"/>
      <c r="R1304" s="1"/>
    </row>
    <row r="1305" spans="1:18" ht="13.5" thickBot="1" x14ac:dyDescent="0.25">
      <c r="A1305" s="123">
        <v>6</v>
      </c>
      <c r="B1305" s="123">
        <v>0</v>
      </c>
      <c r="C1305" s="123">
        <v>6</v>
      </c>
      <c r="D1305" s="123">
        <v>0</v>
      </c>
      <c r="E1305" s="123">
        <v>0</v>
      </c>
      <c r="F1305" s="123">
        <v>0</v>
      </c>
      <c r="G1305" s="123">
        <v>0</v>
      </c>
      <c r="H1305" s="123">
        <v>0</v>
      </c>
      <c r="I1305" s="123">
        <v>0</v>
      </c>
      <c r="J1305" s="123">
        <v>6</v>
      </c>
      <c r="K1305" s="123">
        <v>0</v>
      </c>
      <c r="L1305" s="123">
        <v>6</v>
      </c>
      <c r="M1305" s="123">
        <v>0</v>
      </c>
      <c r="N1305" s="123">
        <v>0</v>
      </c>
      <c r="O1305" s="123">
        <v>0</v>
      </c>
      <c r="P1305" s="7" t="s">
        <v>162</v>
      </c>
      <c r="Q1305" s="124" t="s">
        <v>151</v>
      </c>
      <c r="R1305" s="1"/>
    </row>
    <row r="1306" spans="1:18" ht="13.5" thickBot="1" x14ac:dyDescent="0.25">
      <c r="A1306" s="123">
        <v>12</v>
      </c>
      <c r="B1306" s="123">
        <v>0</v>
      </c>
      <c r="C1306" s="123">
        <v>12</v>
      </c>
      <c r="D1306" s="123">
        <v>0</v>
      </c>
      <c r="E1306" s="123">
        <v>0</v>
      </c>
      <c r="F1306" s="123">
        <v>0</v>
      </c>
      <c r="G1306" s="123">
        <v>0</v>
      </c>
      <c r="H1306" s="123">
        <v>0</v>
      </c>
      <c r="I1306" s="123">
        <v>0</v>
      </c>
      <c r="J1306" s="123">
        <v>7</v>
      </c>
      <c r="K1306" s="123">
        <v>0</v>
      </c>
      <c r="L1306" s="123">
        <v>7</v>
      </c>
      <c r="M1306" s="123">
        <v>5</v>
      </c>
      <c r="N1306" s="123">
        <v>0</v>
      </c>
      <c r="O1306" s="123">
        <v>5</v>
      </c>
      <c r="P1306" s="7" t="s">
        <v>13</v>
      </c>
      <c r="Q1306" s="9"/>
      <c r="R1306" s="1"/>
    </row>
    <row r="1307" spans="1:18" ht="13.5" thickBot="1" x14ac:dyDescent="0.25">
      <c r="A1307" s="123">
        <v>2</v>
      </c>
      <c r="B1307" s="123">
        <v>1</v>
      </c>
      <c r="C1307" s="123">
        <v>1</v>
      </c>
      <c r="D1307" s="123">
        <v>0</v>
      </c>
      <c r="E1307" s="123">
        <v>0</v>
      </c>
      <c r="F1307" s="123">
        <v>0</v>
      </c>
      <c r="G1307" s="123">
        <v>0</v>
      </c>
      <c r="H1307" s="123">
        <v>0</v>
      </c>
      <c r="I1307" s="123">
        <v>0</v>
      </c>
      <c r="J1307" s="123">
        <v>1</v>
      </c>
      <c r="K1307" s="123">
        <v>0</v>
      </c>
      <c r="L1307" s="123">
        <v>1</v>
      </c>
      <c r="M1307" s="123">
        <v>1</v>
      </c>
      <c r="N1307" s="123">
        <v>1</v>
      </c>
      <c r="O1307" s="123">
        <v>0</v>
      </c>
      <c r="P1307" s="7" t="s">
        <v>163</v>
      </c>
      <c r="Q1307" s="124"/>
      <c r="R1307" s="1"/>
    </row>
    <row r="1308" spans="1:18" ht="13.5" thickBot="1" x14ac:dyDescent="0.25">
      <c r="A1308" s="123">
        <v>21</v>
      </c>
      <c r="B1308" s="123">
        <v>3</v>
      </c>
      <c r="C1308" s="123">
        <v>18</v>
      </c>
      <c r="D1308" s="123">
        <v>2</v>
      </c>
      <c r="E1308" s="123">
        <v>0</v>
      </c>
      <c r="F1308" s="123">
        <v>2</v>
      </c>
      <c r="G1308" s="123">
        <v>0</v>
      </c>
      <c r="H1308" s="123">
        <v>0</v>
      </c>
      <c r="I1308" s="123">
        <v>0</v>
      </c>
      <c r="J1308" s="123">
        <v>7</v>
      </c>
      <c r="K1308" s="123">
        <v>3</v>
      </c>
      <c r="L1308" s="123">
        <v>4</v>
      </c>
      <c r="M1308" s="123">
        <v>12</v>
      </c>
      <c r="N1308" s="123">
        <v>0</v>
      </c>
      <c r="O1308" s="123">
        <v>12</v>
      </c>
      <c r="P1308" s="7" t="s">
        <v>162</v>
      </c>
      <c r="Q1308" s="124" t="s">
        <v>152</v>
      </c>
      <c r="R1308" s="1"/>
    </row>
    <row r="1309" spans="1:18" ht="13.5" thickBot="1" x14ac:dyDescent="0.25">
      <c r="A1309" s="123">
        <v>23</v>
      </c>
      <c r="B1309" s="123">
        <v>4</v>
      </c>
      <c r="C1309" s="123">
        <v>19</v>
      </c>
      <c r="D1309" s="123">
        <v>2</v>
      </c>
      <c r="E1309" s="123">
        <v>0</v>
      </c>
      <c r="F1309" s="123">
        <v>2</v>
      </c>
      <c r="G1309" s="123">
        <v>0</v>
      </c>
      <c r="H1309" s="123">
        <v>0</v>
      </c>
      <c r="I1309" s="123">
        <v>0</v>
      </c>
      <c r="J1309" s="123">
        <v>8</v>
      </c>
      <c r="K1309" s="123">
        <v>3</v>
      </c>
      <c r="L1309" s="123">
        <v>5</v>
      </c>
      <c r="M1309" s="123">
        <v>13</v>
      </c>
      <c r="N1309" s="123">
        <v>1</v>
      </c>
      <c r="O1309" s="123">
        <v>12</v>
      </c>
      <c r="P1309" s="7" t="s">
        <v>13</v>
      </c>
      <c r="Q1309" s="9"/>
      <c r="R1309" s="1"/>
    </row>
    <row r="1310" spans="1:18" ht="13.5" thickBot="1" x14ac:dyDescent="0.25">
      <c r="A1310" s="123">
        <v>3</v>
      </c>
      <c r="B1310" s="123">
        <v>0</v>
      </c>
      <c r="C1310" s="123">
        <v>3</v>
      </c>
      <c r="D1310" s="123">
        <v>0</v>
      </c>
      <c r="E1310" s="123">
        <v>0</v>
      </c>
      <c r="F1310" s="123">
        <v>0</v>
      </c>
      <c r="G1310" s="123">
        <v>0</v>
      </c>
      <c r="H1310" s="123">
        <v>0</v>
      </c>
      <c r="I1310" s="123">
        <v>0</v>
      </c>
      <c r="J1310" s="123">
        <v>0</v>
      </c>
      <c r="K1310" s="123">
        <v>0</v>
      </c>
      <c r="L1310" s="123">
        <v>0</v>
      </c>
      <c r="M1310" s="123">
        <v>3</v>
      </c>
      <c r="N1310" s="123">
        <v>0</v>
      </c>
      <c r="O1310" s="123">
        <v>3</v>
      </c>
      <c r="P1310" s="7" t="s">
        <v>163</v>
      </c>
      <c r="Q1310" s="124"/>
      <c r="R1310" s="1"/>
    </row>
    <row r="1311" spans="1:18" ht="13.5" thickBot="1" x14ac:dyDescent="0.25">
      <c r="A1311" s="123">
        <v>12</v>
      </c>
      <c r="B1311" s="123">
        <v>0</v>
      </c>
      <c r="C1311" s="123">
        <v>12</v>
      </c>
      <c r="D1311" s="123">
        <v>0</v>
      </c>
      <c r="E1311" s="123">
        <v>0</v>
      </c>
      <c r="F1311" s="123">
        <v>0</v>
      </c>
      <c r="G1311" s="123">
        <v>0</v>
      </c>
      <c r="H1311" s="123">
        <v>0</v>
      </c>
      <c r="I1311" s="123">
        <v>0</v>
      </c>
      <c r="J1311" s="123">
        <v>4</v>
      </c>
      <c r="K1311" s="123">
        <v>0</v>
      </c>
      <c r="L1311" s="123">
        <v>4</v>
      </c>
      <c r="M1311" s="123">
        <v>8</v>
      </c>
      <c r="N1311" s="123">
        <v>0</v>
      </c>
      <c r="O1311" s="123">
        <v>8</v>
      </c>
      <c r="P1311" s="7" t="s">
        <v>162</v>
      </c>
      <c r="Q1311" s="124" t="s">
        <v>153</v>
      </c>
      <c r="R1311" s="1"/>
    </row>
    <row r="1312" spans="1:18" ht="13.5" thickBot="1" x14ac:dyDescent="0.25">
      <c r="A1312" s="123">
        <v>15</v>
      </c>
      <c r="B1312" s="123">
        <v>0</v>
      </c>
      <c r="C1312" s="123">
        <v>15</v>
      </c>
      <c r="D1312" s="123">
        <v>0</v>
      </c>
      <c r="E1312" s="123">
        <v>0</v>
      </c>
      <c r="F1312" s="123">
        <v>0</v>
      </c>
      <c r="G1312" s="123">
        <v>0</v>
      </c>
      <c r="H1312" s="123">
        <v>0</v>
      </c>
      <c r="I1312" s="123">
        <v>0</v>
      </c>
      <c r="J1312" s="123">
        <v>4</v>
      </c>
      <c r="K1312" s="123">
        <v>0</v>
      </c>
      <c r="L1312" s="123">
        <v>4</v>
      </c>
      <c r="M1312" s="123">
        <v>11</v>
      </c>
      <c r="N1312" s="123">
        <v>0</v>
      </c>
      <c r="O1312" s="123">
        <v>11</v>
      </c>
      <c r="P1312" s="7" t="s">
        <v>13</v>
      </c>
      <c r="Q1312" s="9"/>
      <c r="R1312" s="1"/>
    </row>
    <row r="1313" spans="1:18" ht="13.5" thickBot="1" x14ac:dyDescent="0.25">
      <c r="A1313" s="123">
        <v>2</v>
      </c>
      <c r="B1313" s="123">
        <v>2</v>
      </c>
      <c r="C1313" s="123">
        <v>0</v>
      </c>
      <c r="D1313" s="123">
        <v>0</v>
      </c>
      <c r="E1313" s="123">
        <v>0</v>
      </c>
      <c r="F1313" s="123">
        <v>0</v>
      </c>
      <c r="G1313" s="123">
        <v>0</v>
      </c>
      <c r="H1313" s="123">
        <v>0</v>
      </c>
      <c r="I1313" s="123">
        <v>0</v>
      </c>
      <c r="J1313" s="123">
        <v>2</v>
      </c>
      <c r="K1313" s="123">
        <v>2</v>
      </c>
      <c r="L1313" s="123">
        <v>0</v>
      </c>
      <c r="M1313" s="123">
        <v>0</v>
      </c>
      <c r="N1313" s="123">
        <v>0</v>
      </c>
      <c r="O1313" s="123">
        <v>0</v>
      </c>
      <c r="P1313" s="7" t="s">
        <v>163</v>
      </c>
      <c r="Q1313" s="124"/>
      <c r="R1313" s="1"/>
    </row>
    <row r="1314" spans="1:18" ht="13.5" thickBot="1" x14ac:dyDescent="0.25">
      <c r="A1314" s="123">
        <v>26</v>
      </c>
      <c r="B1314" s="123">
        <v>15</v>
      </c>
      <c r="C1314" s="123">
        <v>11</v>
      </c>
      <c r="D1314" s="123">
        <v>6</v>
      </c>
      <c r="E1314" s="123">
        <v>4</v>
      </c>
      <c r="F1314" s="123">
        <v>2</v>
      </c>
      <c r="G1314" s="123">
        <v>3</v>
      </c>
      <c r="H1314" s="123">
        <v>3</v>
      </c>
      <c r="I1314" s="123">
        <v>0</v>
      </c>
      <c r="J1314" s="123">
        <v>9</v>
      </c>
      <c r="K1314" s="123">
        <v>7</v>
      </c>
      <c r="L1314" s="123">
        <v>2</v>
      </c>
      <c r="M1314" s="123">
        <v>8</v>
      </c>
      <c r="N1314" s="123">
        <v>1</v>
      </c>
      <c r="O1314" s="123">
        <v>7</v>
      </c>
      <c r="P1314" s="7" t="s">
        <v>162</v>
      </c>
      <c r="Q1314" s="124" t="s">
        <v>154</v>
      </c>
      <c r="R1314" s="1"/>
    </row>
    <row r="1315" spans="1:18" ht="13.5" thickBot="1" x14ac:dyDescent="0.25">
      <c r="A1315" s="123">
        <v>28</v>
      </c>
      <c r="B1315" s="123">
        <v>17</v>
      </c>
      <c r="C1315" s="123">
        <v>11</v>
      </c>
      <c r="D1315" s="123">
        <v>6</v>
      </c>
      <c r="E1315" s="123">
        <v>4</v>
      </c>
      <c r="F1315" s="123">
        <v>2</v>
      </c>
      <c r="G1315" s="123">
        <v>3</v>
      </c>
      <c r="H1315" s="123">
        <v>3</v>
      </c>
      <c r="I1315" s="123">
        <v>0</v>
      </c>
      <c r="J1315" s="123">
        <v>11</v>
      </c>
      <c r="K1315" s="123">
        <v>9</v>
      </c>
      <c r="L1315" s="123">
        <v>2</v>
      </c>
      <c r="M1315" s="123">
        <v>8</v>
      </c>
      <c r="N1315" s="123">
        <v>1</v>
      </c>
      <c r="O1315" s="123">
        <v>7</v>
      </c>
      <c r="P1315" s="7" t="s">
        <v>13</v>
      </c>
      <c r="Q1315" s="9"/>
      <c r="R1315" s="1"/>
    </row>
    <row r="1316" spans="1:18" ht="13.5" thickBot="1" x14ac:dyDescent="0.25">
      <c r="A1316" s="123">
        <v>8</v>
      </c>
      <c r="B1316" s="123">
        <v>8</v>
      </c>
      <c r="C1316" s="123">
        <v>0</v>
      </c>
      <c r="D1316" s="123">
        <v>0</v>
      </c>
      <c r="E1316" s="123">
        <v>0</v>
      </c>
      <c r="F1316" s="123">
        <v>0</v>
      </c>
      <c r="G1316" s="123">
        <v>8</v>
      </c>
      <c r="H1316" s="123">
        <v>8</v>
      </c>
      <c r="I1316" s="123">
        <v>0</v>
      </c>
      <c r="J1316" s="123">
        <v>0</v>
      </c>
      <c r="K1316" s="123">
        <v>0</v>
      </c>
      <c r="L1316" s="123">
        <v>0</v>
      </c>
      <c r="M1316" s="123">
        <v>0</v>
      </c>
      <c r="N1316" s="123">
        <v>0</v>
      </c>
      <c r="O1316" s="123">
        <v>0</v>
      </c>
      <c r="P1316" s="7" t="s">
        <v>163</v>
      </c>
      <c r="Q1316" s="124"/>
      <c r="R1316" s="1"/>
    </row>
    <row r="1317" spans="1:18" ht="13.5" thickBot="1" x14ac:dyDescent="0.25">
      <c r="A1317" s="123">
        <v>19</v>
      </c>
      <c r="B1317" s="123">
        <v>19</v>
      </c>
      <c r="C1317" s="123">
        <v>0</v>
      </c>
      <c r="D1317" s="123">
        <v>0</v>
      </c>
      <c r="E1317" s="123">
        <v>0</v>
      </c>
      <c r="F1317" s="123">
        <v>0</v>
      </c>
      <c r="G1317" s="123">
        <v>6</v>
      </c>
      <c r="H1317" s="123">
        <v>6</v>
      </c>
      <c r="I1317" s="123">
        <v>0</v>
      </c>
      <c r="J1317" s="123">
        <v>10</v>
      </c>
      <c r="K1317" s="123">
        <v>10</v>
      </c>
      <c r="L1317" s="123">
        <v>0</v>
      </c>
      <c r="M1317" s="123">
        <v>3</v>
      </c>
      <c r="N1317" s="123">
        <v>3</v>
      </c>
      <c r="O1317" s="123">
        <v>0</v>
      </c>
      <c r="P1317" s="7" t="s">
        <v>162</v>
      </c>
      <c r="Q1317" s="124" t="s">
        <v>155</v>
      </c>
      <c r="R1317" s="1"/>
    </row>
    <row r="1318" spans="1:18" ht="13.5" thickBot="1" x14ac:dyDescent="0.25">
      <c r="A1318" s="123">
        <v>27</v>
      </c>
      <c r="B1318" s="123">
        <v>27</v>
      </c>
      <c r="C1318" s="123">
        <v>0</v>
      </c>
      <c r="D1318" s="123">
        <v>0</v>
      </c>
      <c r="E1318" s="123">
        <v>0</v>
      </c>
      <c r="F1318" s="123">
        <v>0</v>
      </c>
      <c r="G1318" s="123">
        <v>14</v>
      </c>
      <c r="H1318" s="123">
        <v>14</v>
      </c>
      <c r="I1318" s="123">
        <v>0</v>
      </c>
      <c r="J1318" s="123">
        <v>10</v>
      </c>
      <c r="K1318" s="123">
        <v>10</v>
      </c>
      <c r="L1318" s="123">
        <v>0</v>
      </c>
      <c r="M1318" s="123">
        <v>3</v>
      </c>
      <c r="N1318" s="123">
        <v>3</v>
      </c>
      <c r="O1318" s="123">
        <v>0</v>
      </c>
      <c r="P1318" s="7" t="s">
        <v>13</v>
      </c>
      <c r="Q1318" s="9"/>
      <c r="R1318" s="1"/>
    </row>
    <row r="1319" spans="1:18" ht="13.5" thickBot="1" x14ac:dyDescent="0.25">
      <c r="A1319" s="123">
        <v>6</v>
      </c>
      <c r="B1319" s="123">
        <v>6</v>
      </c>
      <c r="C1319" s="123">
        <v>0</v>
      </c>
      <c r="D1319" s="123">
        <v>0</v>
      </c>
      <c r="E1319" s="123">
        <v>0</v>
      </c>
      <c r="F1319" s="123">
        <v>0</v>
      </c>
      <c r="G1319" s="123">
        <v>0</v>
      </c>
      <c r="H1319" s="123">
        <v>0</v>
      </c>
      <c r="I1319" s="123">
        <v>0</v>
      </c>
      <c r="J1319" s="123">
        <v>5</v>
      </c>
      <c r="K1319" s="123">
        <v>5</v>
      </c>
      <c r="L1319" s="123">
        <v>0</v>
      </c>
      <c r="M1319" s="123">
        <v>1</v>
      </c>
      <c r="N1319" s="123">
        <v>1</v>
      </c>
      <c r="O1319" s="123">
        <v>0</v>
      </c>
      <c r="P1319" s="7" t="s">
        <v>163</v>
      </c>
      <c r="Q1319" s="124"/>
      <c r="R1319" s="1"/>
    </row>
    <row r="1320" spans="1:18" ht="13.5" thickBot="1" x14ac:dyDescent="0.25">
      <c r="A1320" s="123">
        <v>12</v>
      </c>
      <c r="B1320" s="123">
        <v>12</v>
      </c>
      <c r="C1320" s="123">
        <v>0</v>
      </c>
      <c r="D1320" s="123">
        <v>2</v>
      </c>
      <c r="E1320" s="123">
        <v>2</v>
      </c>
      <c r="F1320" s="123">
        <v>0</v>
      </c>
      <c r="G1320" s="123">
        <v>4</v>
      </c>
      <c r="H1320" s="123">
        <v>4</v>
      </c>
      <c r="I1320" s="123">
        <v>0</v>
      </c>
      <c r="J1320" s="123">
        <v>2</v>
      </c>
      <c r="K1320" s="123">
        <v>2</v>
      </c>
      <c r="L1320" s="123">
        <v>0</v>
      </c>
      <c r="M1320" s="123">
        <v>4</v>
      </c>
      <c r="N1320" s="123">
        <v>4</v>
      </c>
      <c r="O1320" s="123">
        <v>0</v>
      </c>
      <c r="P1320" s="7" t="s">
        <v>162</v>
      </c>
      <c r="Q1320" s="124" t="s">
        <v>156</v>
      </c>
      <c r="R1320" s="1"/>
    </row>
    <row r="1321" spans="1:18" ht="13.5" thickBot="1" x14ac:dyDescent="0.25">
      <c r="A1321" s="123">
        <v>18</v>
      </c>
      <c r="B1321" s="123">
        <v>18</v>
      </c>
      <c r="C1321" s="123">
        <v>0</v>
      </c>
      <c r="D1321" s="123">
        <v>2</v>
      </c>
      <c r="E1321" s="123">
        <v>2</v>
      </c>
      <c r="F1321" s="123">
        <v>0</v>
      </c>
      <c r="G1321" s="123">
        <v>4</v>
      </c>
      <c r="H1321" s="123">
        <v>4</v>
      </c>
      <c r="I1321" s="123">
        <v>0</v>
      </c>
      <c r="J1321" s="123">
        <v>7</v>
      </c>
      <c r="K1321" s="123">
        <v>7</v>
      </c>
      <c r="L1321" s="123">
        <v>0</v>
      </c>
      <c r="M1321" s="123">
        <v>5</v>
      </c>
      <c r="N1321" s="123">
        <v>5</v>
      </c>
      <c r="O1321" s="123">
        <v>0</v>
      </c>
      <c r="P1321" s="7" t="s">
        <v>13</v>
      </c>
      <c r="Q1321" s="9"/>
      <c r="R1321" s="1"/>
    </row>
    <row r="1322" spans="1:18" ht="13.5" thickBot="1" x14ac:dyDescent="0.25">
      <c r="A1322" s="123">
        <v>1</v>
      </c>
      <c r="B1322" s="123">
        <v>1</v>
      </c>
      <c r="C1322" s="123">
        <v>0</v>
      </c>
      <c r="D1322" s="123">
        <v>0</v>
      </c>
      <c r="E1322" s="123">
        <v>0</v>
      </c>
      <c r="F1322" s="123">
        <v>0</v>
      </c>
      <c r="G1322" s="123">
        <v>0</v>
      </c>
      <c r="H1322" s="123">
        <v>0</v>
      </c>
      <c r="I1322" s="123">
        <v>0</v>
      </c>
      <c r="J1322" s="123">
        <v>1</v>
      </c>
      <c r="K1322" s="123">
        <v>1</v>
      </c>
      <c r="L1322" s="123">
        <v>0</v>
      </c>
      <c r="M1322" s="123">
        <v>0</v>
      </c>
      <c r="N1322" s="123">
        <v>0</v>
      </c>
      <c r="O1322" s="123">
        <v>0</v>
      </c>
      <c r="P1322" s="7" t="s">
        <v>163</v>
      </c>
      <c r="Q1322" s="124"/>
      <c r="R1322" s="1"/>
    </row>
    <row r="1323" spans="1:18" ht="13.5" thickBot="1" x14ac:dyDescent="0.25">
      <c r="A1323" s="123">
        <v>27</v>
      </c>
      <c r="B1323" s="123">
        <v>21</v>
      </c>
      <c r="C1323" s="123">
        <v>6</v>
      </c>
      <c r="D1323" s="123">
        <v>10</v>
      </c>
      <c r="E1323" s="123">
        <v>8</v>
      </c>
      <c r="F1323" s="123">
        <v>2</v>
      </c>
      <c r="G1323" s="123">
        <v>2</v>
      </c>
      <c r="H1323" s="123">
        <v>2</v>
      </c>
      <c r="I1323" s="123">
        <v>0</v>
      </c>
      <c r="J1323" s="123">
        <v>13</v>
      </c>
      <c r="K1323" s="123">
        <v>9</v>
      </c>
      <c r="L1323" s="123">
        <v>4</v>
      </c>
      <c r="M1323" s="123">
        <v>2</v>
      </c>
      <c r="N1323" s="123">
        <v>2</v>
      </c>
      <c r="O1323" s="123">
        <v>0</v>
      </c>
      <c r="P1323" s="7" t="s">
        <v>162</v>
      </c>
      <c r="Q1323" s="124" t="s">
        <v>157</v>
      </c>
      <c r="R1323" s="1"/>
    </row>
    <row r="1324" spans="1:18" ht="13.5" thickBot="1" x14ac:dyDescent="0.25">
      <c r="A1324" s="123">
        <v>28</v>
      </c>
      <c r="B1324" s="123">
        <v>22</v>
      </c>
      <c r="C1324" s="123">
        <v>6</v>
      </c>
      <c r="D1324" s="123">
        <v>10</v>
      </c>
      <c r="E1324" s="123">
        <v>8</v>
      </c>
      <c r="F1324" s="123">
        <v>2</v>
      </c>
      <c r="G1324" s="123">
        <v>2</v>
      </c>
      <c r="H1324" s="123">
        <v>2</v>
      </c>
      <c r="I1324" s="123">
        <v>0</v>
      </c>
      <c r="J1324" s="123">
        <v>14</v>
      </c>
      <c r="K1324" s="123">
        <v>10</v>
      </c>
      <c r="L1324" s="123">
        <v>4</v>
      </c>
      <c r="M1324" s="123">
        <v>2</v>
      </c>
      <c r="N1324" s="123">
        <v>2</v>
      </c>
      <c r="O1324" s="123">
        <v>0</v>
      </c>
      <c r="P1324" s="7" t="s">
        <v>13</v>
      </c>
      <c r="Q1324" s="9"/>
      <c r="R1324" s="1"/>
    </row>
    <row r="1325" spans="1:18" ht="13.5" thickBot="1" x14ac:dyDescent="0.25">
      <c r="A1325" s="123">
        <v>326</v>
      </c>
      <c r="B1325" s="123">
        <v>168</v>
      </c>
      <c r="C1325" s="123">
        <v>158</v>
      </c>
      <c r="D1325" s="123">
        <v>5</v>
      </c>
      <c r="E1325" s="123">
        <v>5</v>
      </c>
      <c r="F1325" s="123">
        <v>0</v>
      </c>
      <c r="G1325" s="123">
        <v>53</v>
      </c>
      <c r="H1325" s="123">
        <v>44</v>
      </c>
      <c r="I1325" s="123">
        <v>9</v>
      </c>
      <c r="J1325" s="123">
        <v>129</v>
      </c>
      <c r="K1325" s="123">
        <v>78</v>
      </c>
      <c r="L1325" s="123">
        <v>51</v>
      </c>
      <c r="M1325" s="123">
        <v>139</v>
      </c>
      <c r="N1325" s="123">
        <v>41</v>
      </c>
      <c r="O1325" s="123">
        <v>98</v>
      </c>
      <c r="P1325" s="7" t="s">
        <v>163</v>
      </c>
      <c r="Q1325" s="3"/>
      <c r="R1325" s="1"/>
    </row>
    <row r="1326" spans="1:18" ht="13.5" thickBot="1" x14ac:dyDescent="0.25">
      <c r="A1326" s="123">
        <v>1036</v>
      </c>
      <c r="B1326" s="123">
        <v>508</v>
      </c>
      <c r="C1326" s="123">
        <v>528</v>
      </c>
      <c r="D1326" s="123">
        <v>151</v>
      </c>
      <c r="E1326" s="123">
        <v>77</v>
      </c>
      <c r="F1326" s="123">
        <v>74</v>
      </c>
      <c r="G1326" s="123">
        <v>90</v>
      </c>
      <c r="H1326" s="123">
        <v>70</v>
      </c>
      <c r="I1326" s="123">
        <v>20</v>
      </c>
      <c r="J1326" s="123">
        <v>456</v>
      </c>
      <c r="K1326" s="123">
        <v>237</v>
      </c>
      <c r="L1326" s="123">
        <v>219</v>
      </c>
      <c r="M1326" s="123">
        <v>339</v>
      </c>
      <c r="N1326" s="123">
        <v>124</v>
      </c>
      <c r="O1326" s="123">
        <v>215</v>
      </c>
      <c r="P1326" s="7" t="s">
        <v>162</v>
      </c>
      <c r="Q1326" s="11" t="s">
        <v>211</v>
      </c>
      <c r="R1326" s="1"/>
    </row>
    <row r="1327" spans="1:18" ht="13.5" thickBot="1" x14ac:dyDescent="0.25">
      <c r="A1327" s="123">
        <v>1362</v>
      </c>
      <c r="B1327" s="123">
        <v>676</v>
      </c>
      <c r="C1327" s="123">
        <v>686</v>
      </c>
      <c r="D1327" s="123">
        <v>156</v>
      </c>
      <c r="E1327" s="123">
        <v>82</v>
      </c>
      <c r="F1327" s="123">
        <v>74</v>
      </c>
      <c r="G1327" s="123">
        <v>143</v>
      </c>
      <c r="H1327" s="123">
        <v>114</v>
      </c>
      <c r="I1327" s="123">
        <v>29</v>
      </c>
      <c r="J1327" s="123">
        <v>585</v>
      </c>
      <c r="K1327" s="123">
        <v>315</v>
      </c>
      <c r="L1327" s="123">
        <v>270</v>
      </c>
      <c r="M1327" s="123">
        <v>478</v>
      </c>
      <c r="N1327" s="123">
        <v>165</v>
      </c>
      <c r="O1327" s="123">
        <v>313</v>
      </c>
      <c r="P1327" s="7" t="s">
        <v>13</v>
      </c>
      <c r="Q1327" s="5"/>
      <c r="R1327" s="1"/>
    </row>
    <row r="1328" spans="1:18" ht="18" customHeight="1" x14ac:dyDescent="0.2">
      <c r="A1328" s="207"/>
      <c r="B1328" s="207"/>
      <c r="C1328" s="207"/>
      <c r="D1328" s="207"/>
      <c r="E1328" s="207"/>
      <c r="F1328" s="207"/>
      <c r="G1328" s="207"/>
      <c r="H1328" s="207"/>
      <c r="I1328" s="207"/>
      <c r="J1328" s="207"/>
      <c r="K1328" s="207"/>
      <c r="L1328" s="207"/>
      <c r="M1328" s="207"/>
      <c r="N1328" s="207"/>
      <c r="O1328" s="207"/>
      <c r="P1328" s="207"/>
      <c r="Q1328" s="207"/>
      <c r="R1328" s="1"/>
    </row>
  </sheetData>
  <mergeCells count="224">
    <mergeCell ref="A1:Q1"/>
    <mergeCell ref="A2:Q2"/>
    <mergeCell ref="A3:C3"/>
    <mergeCell ref="D3:F3"/>
    <mergeCell ref="G3:I3"/>
    <mergeCell ref="J3:L3"/>
    <mergeCell ref="M3:O3"/>
    <mergeCell ref="P3:P4"/>
    <mergeCell ref="A89:Q89"/>
    <mergeCell ref="A90:Q90"/>
    <mergeCell ref="A91:Q91"/>
    <mergeCell ref="A92:C92"/>
    <mergeCell ref="D92:F92"/>
    <mergeCell ref="G92:I92"/>
    <mergeCell ref="J92:L92"/>
    <mergeCell ref="M92:O92"/>
    <mergeCell ref="P92:P93"/>
    <mergeCell ref="A115:Q115"/>
    <mergeCell ref="A116:Q116"/>
    <mergeCell ref="A117:Q117"/>
    <mergeCell ref="A118:C118"/>
    <mergeCell ref="D118:F118"/>
    <mergeCell ref="G118:I118"/>
    <mergeCell ref="J118:L118"/>
    <mergeCell ref="M118:O118"/>
    <mergeCell ref="P118:P119"/>
    <mergeCell ref="A165:Q165"/>
    <mergeCell ref="A166:Q166"/>
    <mergeCell ref="A167:Q167"/>
    <mergeCell ref="A168:C168"/>
    <mergeCell ref="D168:F168"/>
    <mergeCell ref="G168:I168"/>
    <mergeCell ref="J168:L168"/>
    <mergeCell ref="M168:O168"/>
    <mergeCell ref="P168:P169"/>
    <mergeCell ref="A260:Q260"/>
    <mergeCell ref="A261:Q261"/>
    <mergeCell ref="A262:Q262"/>
    <mergeCell ref="A263:C263"/>
    <mergeCell ref="D263:F263"/>
    <mergeCell ref="G263:I263"/>
    <mergeCell ref="J263:L263"/>
    <mergeCell ref="M263:O263"/>
    <mergeCell ref="P263:P264"/>
    <mergeCell ref="A334:Q334"/>
    <mergeCell ref="A335:Q335"/>
    <mergeCell ref="A336:Q336"/>
    <mergeCell ref="A337:C337"/>
    <mergeCell ref="D337:F337"/>
    <mergeCell ref="G337:I337"/>
    <mergeCell ref="J337:L337"/>
    <mergeCell ref="M337:O337"/>
    <mergeCell ref="P337:P338"/>
    <mergeCell ref="A372:Q372"/>
    <mergeCell ref="A373:Q373"/>
    <mergeCell ref="A374:Q374"/>
    <mergeCell ref="A375:C375"/>
    <mergeCell ref="D375:F375"/>
    <mergeCell ref="G375:I375"/>
    <mergeCell ref="J375:L375"/>
    <mergeCell ref="M375:O375"/>
    <mergeCell ref="P375:P376"/>
    <mergeCell ref="A476:Q476"/>
    <mergeCell ref="A477:Q477"/>
    <mergeCell ref="A478:Q478"/>
    <mergeCell ref="A479:C479"/>
    <mergeCell ref="D479:F479"/>
    <mergeCell ref="G479:I479"/>
    <mergeCell ref="J479:L479"/>
    <mergeCell ref="M479:O479"/>
    <mergeCell ref="P479:P480"/>
    <mergeCell ref="A586:Q586"/>
    <mergeCell ref="A587:Q587"/>
    <mergeCell ref="A588:Q588"/>
    <mergeCell ref="A589:C589"/>
    <mergeCell ref="D589:F589"/>
    <mergeCell ref="G589:I589"/>
    <mergeCell ref="J589:L589"/>
    <mergeCell ref="M589:O589"/>
    <mergeCell ref="P589:P590"/>
    <mergeCell ref="A657:Q657"/>
    <mergeCell ref="A658:Q658"/>
    <mergeCell ref="A659:Q659"/>
    <mergeCell ref="A660:C660"/>
    <mergeCell ref="D660:F660"/>
    <mergeCell ref="G660:I660"/>
    <mergeCell ref="J660:L660"/>
    <mergeCell ref="M660:O660"/>
    <mergeCell ref="P660:P661"/>
    <mergeCell ref="A686:Q686"/>
    <mergeCell ref="A687:Q687"/>
    <mergeCell ref="A688:Q688"/>
    <mergeCell ref="A689:C689"/>
    <mergeCell ref="D689:F689"/>
    <mergeCell ref="G689:I689"/>
    <mergeCell ref="J689:L689"/>
    <mergeCell ref="M689:O689"/>
    <mergeCell ref="P689:P690"/>
    <mergeCell ref="A727:Q727"/>
    <mergeCell ref="A728:Q728"/>
    <mergeCell ref="A729:Q729"/>
    <mergeCell ref="A730:C730"/>
    <mergeCell ref="D730:F730"/>
    <mergeCell ref="G730:I730"/>
    <mergeCell ref="J730:L730"/>
    <mergeCell ref="M730:O730"/>
    <mergeCell ref="P730:P731"/>
    <mergeCell ref="A747:Q747"/>
    <mergeCell ref="A748:Q748"/>
    <mergeCell ref="A749:Q749"/>
    <mergeCell ref="A750:C750"/>
    <mergeCell ref="D750:F750"/>
    <mergeCell ref="G750:I750"/>
    <mergeCell ref="J750:L750"/>
    <mergeCell ref="M750:O750"/>
    <mergeCell ref="P750:P751"/>
    <mergeCell ref="A800:Q800"/>
    <mergeCell ref="A801:Q801"/>
    <mergeCell ref="A802:Q802"/>
    <mergeCell ref="A803:C803"/>
    <mergeCell ref="D803:F803"/>
    <mergeCell ref="G803:I803"/>
    <mergeCell ref="J803:L803"/>
    <mergeCell ref="M803:O803"/>
    <mergeCell ref="P803:P804"/>
    <mergeCell ref="A832:Q832"/>
    <mergeCell ref="A833:Q833"/>
    <mergeCell ref="A834:Q834"/>
    <mergeCell ref="A835:C835"/>
    <mergeCell ref="D835:F835"/>
    <mergeCell ref="G835:I835"/>
    <mergeCell ref="J835:L835"/>
    <mergeCell ref="M835:O835"/>
    <mergeCell ref="P835:P836"/>
    <mergeCell ref="A882:Q882"/>
    <mergeCell ref="A883:Q883"/>
    <mergeCell ref="A884:Q884"/>
    <mergeCell ref="A885:C885"/>
    <mergeCell ref="D885:F885"/>
    <mergeCell ref="G885:I885"/>
    <mergeCell ref="J885:L885"/>
    <mergeCell ref="M885:O885"/>
    <mergeCell ref="P885:P886"/>
    <mergeCell ref="A920:Q920"/>
    <mergeCell ref="A921:Q921"/>
    <mergeCell ref="A922:Q922"/>
    <mergeCell ref="A923:C923"/>
    <mergeCell ref="D923:F923"/>
    <mergeCell ref="G923:I923"/>
    <mergeCell ref="J923:L923"/>
    <mergeCell ref="M923:O923"/>
    <mergeCell ref="P923:P924"/>
    <mergeCell ref="A958:Q958"/>
    <mergeCell ref="A959:Q959"/>
    <mergeCell ref="A960:Q960"/>
    <mergeCell ref="A961:C961"/>
    <mergeCell ref="D961:F961"/>
    <mergeCell ref="G961:I961"/>
    <mergeCell ref="J961:L961"/>
    <mergeCell ref="M961:O961"/>
    <mergeCell ref="P961:P962"/>
    <mergeCell ref="A978:Q978"/>
    <mergeCell ref="A979:Q979"/>
    <mergeCell ref="A980:Q980"/>
    <mergeCell ref="A981:C981"/>
    <mergeCell ref="D981:F981"/>
    <mergeCell ref="G981:I981"/>
    <mergeCell ref="J981:L981"/>
    <mergeCell ref="M981:O981"/>
    <mergeCell ref="P981:P982"/>
    <mergeCell ref="A1055:Q1055"/>
    <mergeCell ref="A1056:Q1056"/>
    <mergeCell ref="A1057:Q1057"/>
    <mergeCell ref="A1058:C1058"/>
    <mergeCell ref="D1058:F1058"/>
    <mergeCell ref="G1058:I1058"/>
    <mergeCell ref="J1058:L1058"/>
    <mergeCell ref="M1058:O1058"/>
    <mergeCell ref="P1058:P1059"/>
    <mergeCell ref="A1081:Q1081"/>
    <mergeCell ref="A1082:Q1082"/>
    <mergeCell ref="A1083:Q1083"/>
    <mergeCell ref="A1084:C1084"/>
    <mergeCell ref="D1084:F1084"/>
    <mergeCell ref="G1084:I1084"/>
    <mergeCell ref="J1084:L1084"/>
    <mergeCell ref="M1084:O1084"/>
    <mergeCell ref="P1084:P1085"/>
    <mergeCell ref="A1232:Q1232"/>
    <mergeCell ref="A1233:Q1233"/>
    <mergeCell ref="A1234:Q1234"/>
    <mergeCell ref="A1235:C1235"/>
    <mergeCell ref="D1235:F1235"/>
    <mergeCell ref="G1235:I1235"/>
    <mergeCell ref="J1235:L1235"/>
    <mergeCell ref="M1235:O1235"/>
    <mergeCell ref="A1221:Q1221"/>
    <mergeCell ref="A1222:Q1222"/>
    <mergeCell ref="A1223:Q1223"/>
    <mergeCell ref="A1224:C1224"/>
    <mergeCell ref="D1224:F1224"/>
    <mergeCell ref="G1224:I1224"/>
    <mergeCell ref="J1224:L1224"/>
    <mergeCell ref="M1224:O1224"/>
    <mergeCell ref="P1224:P1225"/>
    <mergeCell ref="A1249:Q1249"/>
    <mergeCell ref="A1250:Q1250"/>
    <mergeCell ref="A1251:Q1251"/>
    <mergeCell ref="A1252:C1252"/>
    <mergeCell ref="D1252:F1252"/>
    <mergeCell ref="G1252:I1252"/>
    <mergeCell ref="J1252:L1252"/>
    <mergeCell ref="M1252:O1252"/>
    <mergeCell ref="P1252:P1253"/>
    <mergeCell ref="A1328:Q1328"/>
    <mergeCell ref="A1260:Q1260"/>
    <mergeCell ref="A1261:Q1261"/>
    <mergeCell ref="A1262:Q1262"/>
    <mergeCell ref="A1263:C1263"/>
    <mergeCell ref="D1263:F1263"/>
    <mergeCell ref="G1263:I1263"/>
    <mergeCell ref="J1263:L1263"/>
    <mergeCell ref="M1263:O1263"/>
    <mergeCell ref="P1263:P1264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0"/>
  <sheetViews>
    <sheetView showGridLines="0" zoomScale="90" zoomScaleNormal="90" workbookViewId="0">
      <selection activeCell="C5" sqref="C5"/>
    </sheetView>
  </sheetViews>
  <sheetFormatPr defaultRowHeight="12.75" x14ac:dyDescent="0.2"/>
  <cols>
    <col min="1" max="9" width="9.625" style="2" customWidth="1"/>
    <col min="10" max="10" width="35.75" style="2" customWidth="1"/>
    <col min="11" max="11" width="8.25" style="2" customWidth="1"/>
    <col min="12" max="256" width="9" style="2"/>
    <col min="257" max="265" width="9.625" style="2" customWidth="1"/>
    <col min="266" max="266" width="35.75" style="2" customWidth="1"/>
    <col min="267" max="267" width="8.25" style="2" customWidth="1"/>
    <col min="268" max="512" width="9" style="2"/>
    <col min="513" max="521" width="9.625" style="2" customWidth="1"/>
    <col min="522" max="522" width="35.75" style="2" customWidth="1"/>
    <col min="523" max="523" width="8.25" style="2" customWidth="1"/>
    <col min="524" max="768" width="9" style="2"/>
    <col min="769" max="777" width="9.625" style="2" customWidth="1"/>
    <col min="778" max="778" width="35.75" style="2" customWidth="1"/>
    <col min="779" max="779" width="8.25" style="2" customWidth="1"/>
    <col min="780" max="1024" width="9" style="2"/>
    <col min="1025" max="1033" width="9.625" style="2" customWidth="1"/>
    <col min="1034" max="1034" width="35.75" style="2" customWidth="1"/>
    <col min="1035" max="1035" width="8.25" style="2" customWidth="1"/>
    <col min="1036" max="1280" width="9" style="2"/>
    <col min="1281" max="1289" width="9.625" style="2" customWidth="1"/>
    <col min="1290" max="1290" width="35.75" style="2" customWidth="1"/>
    <col min="1291" max="1291" width="8.25" style="2" customWidth="1"/>
    <col min="1292" max="1536" width="9" style="2"/>
    <col min="1537" max="1545" width="9.625" style="2" customWidth="1"/>
    <col min="1546" max="1546" width="35.75" style="2" customWidth="1"/>
    <col min="1547" max="1547" width="8.25" style="2" customWidth="1"/>
    <col min="1548" max="1792" width="9" style="2"/>
    <col min="1793" max="1801" width="9.625" style="2" customWidth="1"/>
    <col min="1802" max="1802" width="35.75" style="2" customWidth="1"/>
    <col min="1803" max="1803" width="8.25" style="2" customWidth="1"/>
    <col min="1804" max="2048" width="9" style="2"/>
    <col min="2049" max="2057" width="9.625" style="2" customWidth="1"/>
    <col min="2058" max="2058" width="35.75" style="2" customWidth="1"/>
    <col min="2059" max="2059" width="8.25" style="2" customWidth="1"/>
    <col min="2060" max="2304" width="9" style="2"/>
    <col min="2305" max="2313" width="9.625" style="2" customWidth="1"/>
    <col min="2314" max="2314" width="35.75" style="2" customWidth="1"/>
    <col min="2315" max="2315" width="8.25" style="2" customWidth="1"/>
    <col min="2316" max="2560" width="9" style="2"/>
    <col min="2561" max="2569" width="9.625" style="2" customWidth="1"/>
    <col min="2570" max="2570" width="35.75" style="2" customWidth="1"/>
    <col min="2571" max="2571" width="8.25" style="2" customWidth="1"/>
    <col min="2572" max="2816" width="9" style="2"/>
    <col min="2817" max="2825" width="9.625" style="2" customWidth="1"/>
    <col min="2826" max="2826" width="35.75" style="2" customWidth="1"/>
    <col min="2827" max="2827" width="8.25" style="2" customWidth="1"/>
    <col min="2828" max="3072" width="9" style="2"/>
    <col min="3073" max="3081" width="9.625" style="2" customWidth="1"/>
    <col min="3082" max="3082" width="35.75" style="2" customWidth="1"/>
    <col min="3083" max="3083" width="8.25" style="2" customWidth="1"/>
    <col min="3084" max="3328" width="9" style="2"/>
    <col min="3329" max="3337" width="9.625" style="2" customWidth="1"/>
    <col min="3338" max="3338" width="35.75" style="2" customWidth="1"/>
    <col min="3339" max="3339" width="8.25" style="2" customWidth="1"/>
    <col min="3340" max="3584" width="9" style="2"/>
    <col min="3585" max="3593" width="9.625" style="2" customWidth="1"/>
    <col min="3594" max="3594" width="35.75" style="2" customWidth="1"/>
    <col min="3595" max="3595" width="8.25" style="2" customWidth="1"/>
    <col min="3596" max="3840" width="9" style="2"/>
    <col min="3841" max="3849" width="9.625" style="2" customWidth="1"/>
    <col min="3850" max="3850" width="35.75" style="2" customWidth="1"/>
    <col min="3851" max="3851" width="8.25" style="2" customWidth="1"/>
    <col min="3852" max="4096" width="9" style="2"/>
    <col min="4097" max="4105" width="9.625" style="2" customWidth="1"/>
    <col min="4106" max="4106" width="35.75" style="2" customWidth="1"/>
    <col min="4107" max="4107" width="8.25" style="2" customWidth="1"/>
    <col min="4108" max="4352" width="9" style="2"/>
    <col min="4353" max="4361" width="9.625" style="2" customWidth="1"/>
    <col min="4362" max="4362" width="35.75" style="2" customWidth="1"/>
    <col min="4363" max="4363" width="8.25" style="2" customWidth="1"/>
    <col min="4364" max="4608" width="9" style="2"/>
    <col min="4609" max="4617" width="9.625" style="2" customWidth="1"/>
    <col min="4618" max="4618" width="35.75" style="2" customWidth="1"/>
    <col min="4619" max="4619" width="8.25" style="2" customWidth="1"/>
    <col min="4620" max="4864" width="9" style="2"/>
    <col min="4865" max="4873" width="9.625" style="2" customWidth="1"/>
    <col min="4874" max="4874" width="35.75" style="2" customWidth="1"/>
    <col min="4875" max="4875" width="8.25" style="2" customWidth="1"/>
    <col min="4876" max="5120" width="9" style="2"/>
    <col min="5121" max="5129" width="9.625" style="2" customWidth="1"/>
    <col min="5130" max="5130" width="35.75" style="2" customWidth="1"/>
    <col min="5131" max="5131" width="8.25" style="2" customWidth="1"/>
    <col min="5132" max="5376" width="9" style="2"/>
    <col min="5377" max="5385" width="9.625" style="2" customWidth="1"/>
    <col min="5386" max="5386" width="35.75" style="2" customWidth="1"/>
    <col min="5387" max="5387" width="8.25" style="2" customWidth="1"/>
    <col min="5388" max="5632" width="9" style="2"/>
    <col min="5633" max="5641" width="9.625" style="2" customWidth="1"/>
    <col min="5642" max="5642" width="35.75" style="2" customWidth="1"/>
    <col min="5643" max="5643" width="8.25" style="2" customWidth="1"/>
    <col min="5644" max="5888" width="9" style="2"/>
    <col min="5889" max="5897" width="9.625" style="2" customWidth="1"/>
    <col min="5898" max="5898" width="35.75" style="2" customWidth="1"/>
    <col min="5899" max="5899" width="8.25" style="2" customWidth="1"/>
    <col min="5900" max="6144" width="9" style="2"/>
    <col min="6145" max="6153" width="9.625" style="2" customWidth="1"/>
    <col min="6154" max="6154" width="35.75" style="2" customWidth="1"/>
    <col min="6155" max="6155" width="8.25" style="2" customWidth="1"/>
    <col min="6156" max="6400" width="9" style="2"/>
    <col min="6401" max="6409" width="9.625" style="2" customWidth="1"/>
    <col min="6410" max="6410" width="35.75" style="2" customWidth="1"/>
    <col min="6411" max="6411" width="8.25" style="2" customWidth="1"/>
    <col min="6412" max="6656" width="9" style="2"/>
    <col min="6657" max="6665" width="9.625" style="2" customWidth="1"/>
    <col min="6666" max="6666" width="35.75" style="2" customWidth="1"/>
    <col min="6667" max="6667" width="8.25" style="2" customWidth="1"/>
    <col min="6668" max="6912" width="9" style="2"/>
    <col min="6913" max="6921" width="9.625" style="2" customWidth="1"/>
    <col min="6922" max="6922" width="35.75" style="2" customWidth="1"/>
    <col min="6923" max="6923" width="8.25" style="2" customWidth="1"/>
    <col min="6924" max="7168" width="9" style="2"/>
    <col min="7169" max="7177" width="9.625" style="2" customWidth="1"/>
    <col min="7178" max="7178" width="35.75" style="2" customWidth="1"/>
    <col min="7179" max="7179" width="8.25" style="2" customWidth="1"/>
    <col min="7180" max="7424" width="9" style="2"/>
    <col min="7425" max="7433" width="9.625" style="2" customWidth="1"/>
    <col min="7434" max="7434" width="35.75" style="2" customWidth="1"/>
    <col min="7435" max="7435" width="8.25" style="2" customWidth="1"/>
    <col min="7436" max="7680" width="9" style="2"/>
    <col min="7681" max="7689" width="9.625" style="2" customWidth="1"/>
    <col min="7690" max="7690" width="35.75" style="2" customWidth="1"/>
    <col min="7691" max="7691" width="8.25" style="2" customWidth="1"/>
    <col min="7692" max="7936" width="9" style="2"/>
    <col min="7937" max="7945" width="9.625" style="2" customWidth="1"/>
    <col min="7946" max="7946" width="35.75" style="2" customWidth="1"/>
    <col min="7947" max="7947" width="8.25" style="2" customWidth="1"/>
    <col min="7948" max="8192" width="9" style="2"/>
    <col min="8193" max="8201" width="9.625" style="2" customWidth="1"/>
    <col min="8202" max="8202" width="35.75" style="2" customWidth="1"/>
    <col min="8203" max="8203" width="8.25" style="2" customWidth="1"/>
    <col min="8204" max="8448" width="9" style="2"/>
    <col min="8449" max="8457" width="9.625" style="2" customWidth="1"/>
    <col min="8458" max="8458" width="35.75" style="2" customWidth="1"/>
    <col min="8459" max="8459" width="8.25" style="2" customWidth="1"/>
    <col min="8460" max="8704" width="9" style="2"/>
    <col min="8705" max="8713" width="9.625" style="2" customWidth="1"/>
    <col min="8714" max="8714" width="35.75" style="2" customWidth="1"/>
    <col min="8715" max="8715" width="8.25" style="2" customWidth="1"/>
    <col min="8716" max="8960" width="9" style="2"/>
    <col min="8961" max="8969" width="9.625" style="2" customWidth="1"/>
    <col min="8970" max="8970" width="35.75" style="2" customWidth="1"/>
    <col min="8971" max="8971" width="8.25" style="2" customWidth="1"/>
    <col min="8972" max="9216" width="9" style="2"/>
    <col min="9217" max="9225" width="9.625" style="2" customWidth="1"/>
    <col min="9226" max="9226" width="35.75" style="2" customWidth="1"/>
    <col min="9227" max="9227" width="8.25" style="2" customWidth="1"/>
    <col min="9228" max="9472" width="9" style="2"/>
    <col min="9473" max="9481" width="9.625" style="2" customWidth="1"/>
    <col min="9482" max="9482" width="35.75" style="2" customWidth="1"/>
    <col min="9483" max="9483" width="8.25" style="2" customWidth="1"/>
    <col min="9484" max="9728" width="9" style="2"/>
    <col min="9729" max="9737" width="9.625" style="2" customWidth="1"/>
    <col min="9738" max="9738" width="35.75" style="2" customWidth="1"/>
    <col min="9739" max="9739" width="8.25" style="2" customWidth="1"/>
    <col min="9740" max="9984" width="9" style="2"/>
    <col min="9985" max="9993" width="9.625" style="2" customWidth="1"/>
    <col min="9994" max="9994" width="35.75" style="2" customWidth="1"/>
    <col min="9995" max="9995" width="8.25" style="2" customWidth="1"/>
    <col min="9996" max="10240" width="9" style="2"/>
    <col min="10241" max="10249" width="9.625" style="2" customWidth="1"/>
    <col min="10250" max="10250" width="35.75" style="2" customWidth="1"/>
    <col min="10251" max="10251" width="8.25" style="2" customWidth="1"/>
    <col min="10252" max="10496" width="9" style="2"/>
    <col min="10497" max="10505" width="9.625" style="2" customWidth="1"/>
    <col min="10506" max="10506" width="35.75" style="2" customWidth="1"/>
    <col min="10507" max="10507" width="8.25" style="2" customWidth="1"/>
    <col min="10508" max="10752" width="9" style="2"/>
    <col min="10753" max="10761" width="9.625" style="2" customWidth="1"/>
    <col min="10762" max="10762" width="35.75" style="2" customWidth="1"/>
    <col min="10763" max="10763" width="8.25" style="2" customWidth="1"/>
    <col min="10764" max="11008" width="9" style="2"/>
    <col min="11009" max="11017" width="9.625" style="2" customWidth="1"/>
    <col min="11018" max="11018" width="35.75" style="2" customWidth="1"/>
    <col min="11019" max="11019" width="8.25" style="2" customWidth="1"/>
    <col min="11020" max="11264" width="9" style="2"/>
    <col min="11265" max="11273" width="9.625" style="2" customWidth="1"/>
    <col min="11274" max="11274" width="35.75" style="2" customWidth="1"/>
    <col min="11275" max="11275" width="8.25" style="2" customWidth="1"/>
    <col min="11276" max="11520" width="9" style="2"/>
    <col min="11521" max="11529" width="9.625" style="2" customWidth="1"/>
    <col min="11530" max="11530" width="35.75" style="2" customWidth="1"/>
    <col min="11531" max="11531" width="8.25" style="2" customWidth="1"/>
    <col min="11532" max="11776" width="9" style="2"/>
    <col min="11777" max="11785" width="9.625" style="2" customWidth="1"/>
    <col min="11786" max="11786" width="35.75" style="2" customWidth="1"/>
    <col min="11787" max="11787" width="8.25" style="2" customWidth="1"/>
    <col min="11788" max="12032" width="9" style="2"/>
    <col min="12033" max="12041" width="9.625" style="2" customWidth="1"/>
    <col min="12042" max="12042" width="35.75" style="2" customWidth="1"/>
    <col min="12043" max="12043" width="8.25" style="2" customWidth="1"/>
    <col min="12044" max="12288" width="9" style="2"/>
    <col min="12289" max="12297" width="9.625" style="2" customWidth="1"/>
    <col min="12298" max="12298" width="35.75" style="2" customWidth="1"/>
    <col min="12299" max="12299" width="8.25" style="2" customWidth="1"/>
    <col min="12300" max="12544" width="9" style="2"/>
    <col min="12545" max="12553" width="9.625" style="2" customWidth="1"/>
    <col min="12554" max="12554" width="35.75" style="2" customWidth="1"/>
    <col min="12555" max="12555" width="8.25" style="2" customWidth="1"/>
    <col min="12556" max="12800" width="9" style="2"/>
    <col min="12801" max="12809" width="9.625" style="2" customWidth="1"/>
    <col min="12810" max="12810" width="35.75" style="2" customWidth="1"/>
    <col min="12811" max="12811" width="8.25" style="2" customWidth="1"/>
    <col min="12812" max="13056" width="9" style="2"/>
    <col min="13057" max="13065" width="9.625" style="2" customWidth="1"/>
    <col min="13066" max="13066" width="35.75" style="2" customWidth="1"/>
    <col min="13067" max="13067" width="8.25" style="2" customWidth="1"/>
    <col min="13068" max="13312" width="9" style="2"/>
    <col min="13313" max="13321" width="9.625" style="2" customWidth="1"/>
    <col min="13322" max="13322" width="35.75" style="2" customWidth="1"/>
    <col min="13323" max="13323" width="8.25" style="2" customWidth="1"/>
    <col min="13324" max="13568" width="9" style="2"/>
    <col min="13569" max="13577" width="9.625" style="2" customWidth="1"/>
    <col min="13578" max="13578" width="35.75" style="2" customWidth="1"/>
    <col min="13579" max="13579" width="8.25" style="2" customWidth="1"/>
    <col min="13580" max="13824" width="9" style="2"/>
    <col min="13825" max="13833" width="9.625" style="2" customWidth="1"/>
    <col min="13834" max="13834" width="35.75" style="2" customWidth="1"/>
    <col min="13835" max="13835" width="8.25" style="2" customWidth="1"/>
    <col min="13836" max="14080" width="9" style="2"/>
    <col min="14081" max="14089" width="9.625" style="2" customWidth="1"/>
    <col min="14090" max="14090" width="35.75" style="2" customWidth="1"/>
    <col min="14091" max="14091" width="8.25" style="2" customWidth="1"/>
    <col min="14092" max="14336" width="9" style="2"/>
    <col min="14337" max="14345" width="9.625" style="2" customWidth="1"/>
    <col min="14346" max="14346" width="35.75" style="2" customWidth="1"/>
    <col min="14347" max="14347" width="8.25" style="2" customWidth="1"/>
    <col min="14348" max="14592" width="9" style="2"/>
    <col min="14593" max="14601" width="9.625" style="2" customWidth="1"/>
    <col min="14602" max="14602" width="35.75" style="2" customWidth="1"/>
    <col min="14603" max="14603" width="8.25" style="2" customWidth="1"/>
    <col min="14604" max="14848" width="9" style="2"/>
    <col min="14849" max="14857" width="9.625" style="2" customWidth="1"/>
    <col min="14858" max="14858" width="35.75" style="2" customWidth="1"/>
    <col min="14859" max="14859" width="8.25" style="2" customWidth="1"/>
    <col min="14860" max="15104" width="9" style="2"/>
    <col min="15105" max="15113" width="9.625" style="2" customWidth="1"/>
    <col min="15114" max="15114" width="35.75" style="2" customWidth="1"/>
    <col min="15115" max="15115" width="8.25" style="2" customWidth="1"/>
    <col min="15116" max="15360" width="9" style="2"/>
    <col min="15361" max="15369" width="9.625" style="2" customWidth="1"/>
    <col min="15370" max="15370" width="35.75" style="2" customWidth="1"/>
    <col min="15371" max="15371" width="8.25" style="2" customWidth="1"/>
    <col min="15372" max="15616" width="9" style="2"/>
    <col min="15617" max="15625" width="9.625" style="2" customWidth="1"/>
    <col min="15626" max="15626" width="35.75" style="2" customWidth="1"/>
    <col min="15627" max="15627" width="8.25" style="2" customWidth="1"/>
    <col min="15628" max="15872" width="9" style="2"/>
    <col min="15873" max="15881" width="9.625" style="2" customWidth="1"/>
    <col min="15882" max="15882" width="35.75" style="2" customWidth="1"/>
    <col min="15883" max="15883" width="8.25" style="2" customWidth="1"/>
    <col min="15884" max="16128" width="9" style="2"/>
    <col min="16129" max="16137" width="9.625" style="2" customWidth="1"/>
    <col min="16138" max="16138" width="35.75" style="2" customWidth="1"/>
    <col min="16139" max="16139" width="8.25" style="2" customWidth="1"/>
    <col min="16140" max="16384" width="9" style="2"/>
  </cols>
  <sheetData>
    <row r="1" spans="1:11" ht="20.100000000000001" customHeight="1" x14ac:dyDescent="0.2">
      <c r="A1" s="159" t="s">
        <v>647</v>
      </c>
      <c r="B1" s="159"/>
      <c r="C1" s="159"/>
      <c r="D1" s="159"/>
      <c r="E1" s="159"/>
      <c r="F1" s="159"/>
      <c r="G1" s="159"/>
      <c r="H1" s="159"/>
      <c r="I1" s="159"/>
      <c r="J1" s="159"/>
      <c r="K1" s="1"/>
    </row>
    <row r="2" spans="1:11" ht="20.100000000000001" customHeight="1" thickBot="1" x14ac:dyDescent="0.25">
      <c r="A2" s="160" t="s">
        <v>648</v>
      </c>
      <c r="B2" s="160"/>
      <c r="C2" s="160"/>
      <c r="D2" s="160"/>
      <c r="E2" s="160"/>
      <c r="F2" s="160"/>
      <c r="G2" s="160"/>
      <c r="H2" s="160"/>
      <c r="I2" s="160"/>
      <c r="J2" s="160"/>
      <c r="K2" s="1"/>
    </row>
    <row r="3" spans="1:11" ht="13.5" thickBot="1" x14ac:dyDescent="0.25">
      <c r="A3" s="161" t="s">
        <v>5</v>
      </c>
      <c r="B3" s="161"/>
      <c r="C3" s="161"/>
      <c r="D3" s="161" t="s">
        <v>162</v>
      </c>
      <c r="E3" s="161"/>
      <c r="F3" s="161"/>
      <c r="G3" s="161" t="s">
        <v>163</v>
      </c>
      <c r="H3" s="161"/>
      <c r="I3" s="161"/>
      <c r="J3" s="3"/>
      <c r="K3" s="1"/>
    </row>
    <row r="4" spans="1:11" ht="13.5" thickBot="1" x14ac:dyDescent="0.25">
      <c r="A4" s="47" t="s">
        <v>216</v>
      </c>
      <c r="B4" s="47" t="s">
        <v>11</v>
      </c>
      <c r="C4" s="47" t="s">
        <v>10</v>
      </c>
      <c r="D4" s="47" t="s">
        <v>216</v>
      </c>
      <c r="E4" s="47" t="s">
        <v>11</v>
      </c>
      <c r="F4" s="47" t="s">
        <v>10</v>
      </c>
      <c r="G4" s="47" t="s">
        <v>216</v>
      </c>
      <c r="H4" s="47" t="s">
        <v>11</v>
      </c>
      <c r="I4" s="47" t="s">
        <v>10</v>
      </c>
      <c r="J4" s="5" t="s">
        <v>72</v>
      </c>
      <c r="K4" s="1"/>
    </row>
    <row r="5" spans="1:11" ht="13.5" thickBot="1" x14ac:dyDescent="0.25">
      <c r="A5" s="6">
        <f>SUM(B5:C5)</f>
        <v>758</v>
      </c>
      <c r="B5" s="6">
        <f>H5+E5</f>
        <v>123</v>
      </c>
      <c r="C5" s="6">
        <f>I5+F5</f>
        <v>635</v>
      </c>
      <c r="D5" s="6">
        <v>26</v>
      </c>
      <c r="E5" s="6">
        <v>0</v>
      </c>
      <c r="F5" s="6">
        <v>26</v>
      </c>
      <c r="G5" s="6">
        <v>732</v>
      </c>
      <c r="H5" s="6">
        <v>123</v>
      </c>
      <c r="I5" s="6">
        <v>609</v>
      </c>
      <c r="J5" s="125" t="s">
        <v>74</v>
      </c>
      <c r="K5" s="1"/>
    </row>
    <row r="6" spans="1:11" ht="13.5" thickBot="1" x14ac:dyDescent="0.25">
      <c r="A6" s="6">
        <f t="shared" ref="A6:A29" si="0">SUM(B6:C6)</f>
        <v>572</v>
      </c>
      <c r="B6" s="6">
        <f t="shared" ref="B6:C29" si="1">H6+E6</f>
        <v>2</v>
      </c>
      <c r="C6" s="6">
        <f t="shared" si="1"/>
        <v>570</v>
      </c>
      <c r="D6" s="6">
        <v>2</v>
      </c>
      <c r="E6" s="6">
        <v>0</v>
      </c>
      <c r="F6" s="6">
        <v>2</v>
      </c>
      <c r="G6" s="6">
        <v>570</v>
      </c>
      <c r="H6" s="6">
        <v>2</v>
      </c>
      <c r="I6" s="6">
        <v>568</v>
      </c>
      <c r="J6" s="125" t="s">
        <v>164</v>
      </c>
      <c r="K6" s="1"/>
    </row>
    <row r="7" spans="1:11" ht="13.5" thickBot="1" x14ac:dyDescent="0.25">
      <c r="A7" s="6">
        <f t="shared" si="0"/>
        <v>2278</v>
      </c>
      <c r="B7" s="6">
        <f t="shared" si="1"/>
        <v>412</v>
      </c>
      <c r="C7" s="6">
        <f t="shared" si="1"/>
        <v>1866</v>
      </c>
      <c r="D7" s="6">
        <v>280</v>
      </c>
      <c r="E7" s="6">
        <v>2</v>
      </c>
      <c r="F7" s="6">
        <v>278</v>
      </c>
      <c r="G7" s="6">
        <v>1998</v>
      </c>
      <c r="H7" s="6">
        <v>410</v>
      </c>
      <c r="I7" s="6">
        <v>1588</v>
      </c>
      <c r="J7" s="125" t="s">
        <v>76</v>
      </c>
      <c r="K7" s="1"/>
    </row>
    <row r="8" spans="1:11" ht="13.5" thickBot="1" x14ac:dyDescent="0.25">
      <c r="A8" s="6">
        <f t="shared" si="0"/>
        <v>6752</v>
      </c>
      <c r="B8" s="6">
        <f t="shared" si="1"/>
        <v>2785</v>
      </c>
      <c r="C8" s="6">
        <f t="shared" si="1"/>
        <v>3967</v>
      </c>
      <c r="D8" s="6">
        <v>2813</v>
      </c>
      <c r="E8" s="6">
        <v>1750</v>
      </c>
      <c r="F8" s="6">
        <v>1063</v>
      </c>
      <c r="G8" s="6">
        <v>3939</v>
      </c>
      <c r="H8" s="6">
        <v>1035</v>
      </c>
      <c r="I8" s="6">
        <v>2904</v>
      </c>
      <c r="J8" s="125" t="s">
        <v>78</v>
      </c>
      <c r="K8" s="1"/>
    </row>
    <row r="9" spans="1:11" ht="13.5" thickBot="1" x14ac:dyDescent="0.25">
      <c r="A9" s="6">
        <f t="shared" si="0"/>
        <v>1564</v>
      </c>
      <c r="B9" s="6">
        <f t="shared" si="1"/>
        <v>434</v>
      </c>
      <c r="C9" s="6">
        <f t="shared" si="1"/>
        <v>1130</v>
      </c>
      <c r="D9" s="6">
        <v>199</v>
      </c>
      <c r="E9" s="6">
        <v>30</v>
      </c>
      <c r="F9" s="6">
        <v>169</v>
      </c>
      <c r="G9" s="6">
        <v>1365</v>
      </c>
      <c r="H9" s="6">
        <v>404</v>
      </c>
      <c r="I9" s="6">
        <v>961</v>
      </c>
      <c r="J9" s="125" t="s">
        <v>79</v>
      </c>
      <c r="K9" s="1"/>
    </row>
    <row r="10" spans="1:11" ht="13.5" thickBot="1" x14ac:dyDescent="0.25">
      <c r="A10" s="6">
        <f t="shared" si="0"/>
        <v>1188</v>
      </c>
      <c r="B10" s="6">
        <f t="shared" si="1"/>
        <v>3</v>
      </c>
      <c r="C10" s="6">
        <f t="shared" si="1"/>
        <v>1185</v>
      </c>
      <c r="D10" s="6">
        <v>261</v>
      </c>
      <c r="E10" s="6">
        <v>3</v>
      </c>
      <c r="F10" s="6">
        <v>258</v>
      </c>
      <c r="G10" s="6">
        <v>927</v>
      </c>
      <c r="H10" s="6">
        <v>0</v>
      </c>
      <c r="I10" s="6">
        <v>927</v>
      </c>
      <c r="J10" s="125" t="s">
        <v>98</v>
      </c>
      <c r="K10" s="1"/>
    </row>
    <row r="11" spans="1:11" ht="13.5" thickBot="1" x14ac:dyDescent="0.25">
      <c r="A11" s="6">
        <f t="shared" si="0"/>
        <v>1692</v>
      </c>
      <c r="B11" s="6">
        <f t="shared" si="1"/>
        <v>512</v>
      </c>
      <c r="C11" s="6">
        <f t="shared" si="1"/>
        <v>1180</v>
      </c>
      <c r="D11" s="6">
        <v>42</v>
      </c>
      <c r="E11" s="6">
        <v>7</v>
      </c>
      <c r="F11" s="6">
        <v>35</v>
      </c>
      <c r="G11" s="6">
        <v>1650</v>
      </c>
      <c r="H11" s="6">
        <v>505</v>
      </c>
      <c r="I11" s="6">
        <v>1145</v>
      </c>
      <c r="J11" s="125" t="s">
        <v>80</v>
      </c>
      <c r="K11" s="1"/>
    </row>
    <row r="12" spans="1:11" ht="13.5" thickBot="1" x14ac:dyDescent="0.25">
      <c r="A12" s="6">
        <f t="shared" si="0"/>
        <v>2426</v>
      </c>
      <c r="B12" s="6">
        <f t="shared" si="1"/>
        <v>614</v>
      </c>
      <c r="C12" s="6">
        <f t="shared" si="1"/>
        <v>1812</v>
      </c>
      <c r="D12" s="6">
        <v>45</v>
      </c>
      <c r="E12" s="6">
        <v>23</v>
      </c>
      <c r="F12" s="6">
        <v>22</v>
      </c>
      <c r="G12" s="6">
        <v>2381</v>
      </c>
      <c r="H12" s="6">
        <v>591</v>
      </c>
      <c r="I12" s="6">
        <v>1790</v>
      </c>
      <c r="J12" s="125" t="s">
        <v>81</v>
      </c>
      <c r="K12" s="1"/>
    </row>
    <row r="13" spans="1:11" ht="13.5" thickBot="1" x14ac:dyDescent="0.25">
      <c r="A13" s="6">
        <f t="shared" si="0"/>
        <v>926</v>
      </c>
      <c r="B13" s="6">
        <f t="shared" si="1"/>
        <v>126</v>
      </c>
      <c r="C13" s="6">
        <f t="shared" si="1"/>
        <v>800</v>
      </c>
      <c r="D13" s="6">
        <v>97</v>
      </c>
      <c r="E13" s="6">
        <v>38</v>
      </c>
      <c r="F13" s="6">
        <v>59</v>
      </c>
      <c r="G13" s="6">
        <v>829</v>
      </c>
      <c r="H13" s="6">
        <v>88</v>
      </c>
      <c r="I13" s="6">
        <v>741</v>
      </c>
      <c r="J13" s="125" t="s">
        <v>108</v>
      </c>
      <c r="K13" s="1"/>
    </row>
    <row r="14" spans="1:11" ht="13.5" thickBot="1" x14ac:dyDescent="0.25">
      <c r="A14" s="6">
        <f t="shared" si="0"/>
        <v>540</v>
      </c>
      <c r="B14" s="6">
        <f t="shared" si="1"/>
        <v>114</v>
      </c>
      <c r="C14" s="6">
        <f t="shared" si="1"/>
        <v>426</v>
      </c>
      <c r="D14" s="6">
        <v>14</v>
      </c>
      <c r="E14" s="6">
        <v>0</v>
      </c>
      <c r="F14" s="6">
        <v>14</v>
      </c>
      <c r="G14" s="6">
        <v>526</v>
      </c>
      <c r="H14" s="6">
        <v>114</v>
      </c>
      <c r="I14" s="6">
        <v>412</v>
      </c>
      <c r="J14" s="125" t="s">
        <v>82</v>
      </c>
      <c r="K14" s="1"/>
    </row>
    <row r="15" spans="1:11" ht="13.5" thickBot="1" x14ac:dyDescent="0.25">
      <c r="A15" s="6">
        <f t="shared" si="0"/>
        <v>479</v>
      </c>
      <c r="B15" s="6">
        <f t="shared" si="1"/>
        <v>174</v>
      </c>
      <c r="C15" s="6">
        <f t="shared" si="1"/>
        <v>305</v>
      </c>
      <c r="D15" s="6">
        <v>6</v>
      </c>
      <c r="E15" s="6">
        <v>0</v>
      </c>
      <c r="F15" s="6">
        <v>6</v>
      </c>
      <c r="G15" s="6">
        <v>473</v>
      </c>
      <c r="H15" s="6">
        <v>174</v>
      </c>
      <c r="I15" s="6">
        <v>299</v>
      </c>
      <c r="J15" s="125" t="s">
        <v>83</v>
      </c>
      <c r="K15" s="1"/>
    </row>
    <row r="16" spans="1:11" ht="13.5" thickBot="1" x14ac:dyDescent="0.25">
      <c r="A16" s="6">
        <f t="shared" si="0"/>
        <v>81</v>
      </c>
      <c r="B16" s="6">
        <f t="shared" si="1"/>
        <v>74</v>
      </c>
      <c r="C16" s="6">
        <f t="shared" si="1"/>
        <v>7</v>
      </c>
      <c r="D16" s="6">
        <v>20</v>
      </c>
      <c r="E16" s="6">
        <v>18</v>
      </c>
      <c r="F16" s="6">
        <v>2</v>
      </c>
      <c r="G16" s="6">
        <v>61</v>
      </c>
      <c r="H16" s="6">
        <v>56</v>
      </c>
      <c r="I16" s="6">
        <v>5</v>
      </c>
      <c r="J16" s="125" t="s">
        <v>165</v>
      </c>
      <c r="K16" s="1"/>
    </row>
    <row r="17" spans="1:11" ht="13.5" thickBot="1" x14ac:dyDescent="0.25">
      <c r="A17" s="6">
        <f t="shared" si="0"/>
        <v>1157</v>
      </c>
      <c r="B17" s="6">
        <f t="shared" si="1"/>
        <v>422</v>
      </c>
      <c r="C17" s="6">
        <f t="shared" si="1"/>
        <v>735</v>
      </c>
      <c r="D17" s="6">
        <v>524</v>
      </c>
      <c r="E17" s="6">
        <v>173</v>
      </c>
      <c r="F17" s="6">
        <v>351</v>
      </c>
      <c r="G17" s="6">
        <v>633</v>
      </c>
      <c r="H17" s="6">
        <v>249</v>
      </c>
      <c r="I17" s="6">
        <v>384</v>
      </c>
      <c r="J17" s="125" t="s">
        <v>115</v>
      </c>
      <c r="K17" s="1"/>
    </row>
    <row r="18" spans="1:11" ht="13.5" thickBot="1" x14ac:dyDescent="0.25">
      <c r="A18" s="6">
        <f t="shared" si="0"/>
        <v>74</v>
      </c>
      <c r="B18" s="6">
        <f t="shared" si="1"/>
        <v>29</v>
      </c>
      <c r="C18" s="6">
        <f t="shared" si="1"/>
        <v>45</v>
      </c>
      <c r="D18" s="6">
        <v>1</v>
      </c>
      <c r="E18" s="6">
        <v>0</v>
      </c>
      <c r="F18" s="6">
        <v>1</v>
      </c>
      <c r="G18" s="6">
        <v>73</v>
      </c>
      <c r="H18" s="6">
        <v>29</v>
      </c>
      <c r="I18" s="6">
        <v>44</v>
      </c>
      <c r="J18" s="125" t="s">
        <v>118</v>
      </c>
      <c r="K18" s="1"/>
    </row>
    <row r="19" spans="1:11" ht="13.5" thickBot="1" x14ac:dyDescent="0.25">
      <c r="A19" s="6">
        <f t="shared" si="0"/>
        <v>171</v>
      </c>
      <c r="B19" s="6">
        <f t="shared" si="1"/>
        <v>115</v>
      </c>
      <c r="C19" s="6">
        <f t="shared" si="1"/>
        <v>56</v>
      </c>
      <c r="D19" s="6">
        <v>5</v>
      </c>
      <c r="E19" s="6">
        <v>1</v>
      </c>
      <c r="F19" s="6">
        <v>4</v>
      </c>
      <c r="G19" s="6">
        <v>166</v>
      </c>
      <c r="H19" s="6">
        <v>114</v>
      </c>
      <c r="I19" s="6">
        <v>52</v>
      </c>
      <c r="J19" s="125" t="s">
        <v>120</v>
      </c>
      <c r="K19" s="1"/>
    </row>
    <row r="20" spans="1:11" ht="13.5" thickBot="1" x14ac:dyDescent="0.25">
      <c r="A20" s="6">
        <f t="shared" si="0"/>
        <v>88</v>
      </c>
      <c r="B20" s="6">
        <f t="shared" si="1"/>
        <v>37</v>
      </c>
      <c r="C20" s="6">
        <f t="shared" si="1"/>
        <v>51</v>
      </c>
      <c r="D20" s="6">
        <v>0</v>
      </c>
      <c r="E20" s="6">
        <v>0</v>
      </c>
      <c r="F20" s="6">
        <v>0</v>
      </c>
      <c r="G20" s="6">
        <v>88</v>
      </c>
      <c r="H20" s="6">
        <v>37</v>
      </c>
      <c r="I20" s="6">
        <v>51</v>
      </c>
      <c r="J20" s="125" t="s">
        <v>124</v>
      </c>
      <c r="K20" s="1"/>
    </row>
    <row r="21" spans="1:11" ht="13.5" thickBot="1" x14ac:dyDescent="0.25">
      <c r="A21" s="6">
        <f t="shared" si="0"/>
        <v>57</v>
      </c>
      <c r="B21" s="6">
        <f t="shared" si="1"/>
        <v>16</v>
      </c>
      <c r="C21" s="6">
        <f t="shared" si="1"/>
        <v>41</v>
      </c>
      <c r="D21" s="6">
        <v>0</v>
      </c>
      <c r="E21" s="6">
        <v>0</v>
      </c>
      <c r="F21" s="6">
        <v>0</v>
      </c>
      <c r="G21" s="6">
        <v>57</v>
      </c>
      <c r="H21" s="6">
        <v>16</v>
      </c>
      <c r="I21" s="6">
        <v>41</v>
      </c>
      <c r="J21" s="125" t="s">
        <v>126</v>
      </c>
      <c r="K21" s="1"/>
    </row>
    <row r="22" spans="1:11" ht="13.5" thickBot="1" x14ac:dyDescent="0.25">
      <c r="A22" s="6">
        <f t="shared" si="0"/>
        <v>37</v>
      </c>
      <c r="B22" s="6">
        <f t="shared" si="1"/>
        <v>36</v>
      </c>
      <c r="C22" s="6">
        <f t="shared" si="1"/>
        <v>1</v>
      </c>
      <c r="D22" s="6">
        <v>6</v>
      </c>
      <c r="E22" s="6">
        <v>5</v>
      </c>
      <c r="F22" s="6">
        <v>1</v>
      </c>
      <c r="G22" s="6">
        <v>31</v>
      </c>
      <c r="H22" s="6">
        <v>31</v>
      </c>
      <c r="I22" s="6">
        <v>0</v>
      </c>
      <c r="J22" s="125" t="s">
        <v>129</v>
      </c>
      <c r="K22" s="1"/>
    </row>
    <row r="23" spans="1:11" ht="13.5" thickBot="1" x14ac:dyDescent="0.25">
      <c r="A23" s="6">
        <f t="shared" si="0"/>
        <v>479</v>
      </c>
      <c r="B23" s="6">
        <f t="shared" si="1"/>
        <v>478</v>
      </c>
      <c r="C23" s="6">
        <f t="shared" si="1"/>
        <v>1</v>
      </c>
      <c r="D23" s="6">
        <v>0</v>
      </c>
      <c r="E23" s="6">
        <v>0</v>
      </c>
      <c r="F23" s="6">
        <v>0</v>
      </c>
      <c r="G23" s="6">
        <v>479</v>
      </c>
      <c r="H23" s="6">
        <v>478</v>
      </c>
      <c r="I23" s="6">
        <v>1</v>
      </c>
      <c r="J23" s="125" t="s">
        <v>131</v>
      </c>
      <c r="K23" s="1"/>
    </row>
    <row r="24" spans="1:11" ht="13.5" thickBot="1" x14ac:dyDescent="0.25">
      <c r="A24" s="6">
        <f t="shared" si="0"/>
        <v>60</v>
      </c>
      <c r="B24" s="6">
        <f t="shared" si="1"/>
        <v>15</v>
      </c>
      <c r="C24" s="6">
        <f t="shared" si="1"/>
        <v>45</v>
      </c>
      <c r="D24" s="6">
        <v>0</v>
      </c>
      <c r="E24" s="6">
        <v>0</v>
      </c>
      <c r="F24" s="6">
        <v>0</v>
      </c>
      <c r="G24" s="6">
        <v>60</v>
      </c>
      <c r="H24" s="6">
        <v>15</v>
      </c>
      <c r="I24" s="6">
        <v>45</v>
      </c>
      <c r="J24" s="125" t="s">
        <v>133</v>
      </c>
      <c r="K24" s="1"/>
    </row>
    <row r="25" spans="1:11" ht="13.5" thickBot="1" x14ac:dyDescent="0.25">
      <c r="A25" s="6">
        <f t="shared" si="0"/>
        <v>725</v>
      </c>
      <c r="B25" s="6">
        <f t="shared" si="1"/>
        <v>54</v>
      </c>
      <c r="C25" s="6">
        <f t="shared" si="1"/>
        <v>671</v>
      </c>
      <c r="D25" s="6">
        <v>0</v>
      </c>
      <c r="E25" s="6">
        <v>0</v>
      </c>
      <c r="F25" s="6">
        <v>0</v>
      </c>
      <c r="G25" s="6">
        <v>725</v>
      </c>
      <c r="H25" s="6">
        <v>54</v>
      </c>
      <c r="I25" s="6">
        <v>671</v>
      </c>
      <c r="J25" s="125" t="s">
        <v>168</v>
      </c>
      <c r="K25" s="1"/>
    </row>
    <row r="26" spans="1:11" ht="13.5" thickBot="1" x14ac:dyDescent="0.25">
      <c r="A26" s="6">
        <f t="shared" si="0"/>
        <v>131</v>
      </c>
      <c r="B26" s="6">
        <f t="shared" si="1"/>
        <v>50</v>
      </c>
      <c r="C26" s="6">
        <f t="shared" si="1"/>
        <v>81</v>
      </c>
      <c r="D26" s="6">
        <v>91</v>
      </c>
      <c r="E26" s="6">
        <v>32</v>
      </c>
      <c r="F26" s="6">
        <v>59</v>
      </c>
      <c r="G26" s="6">
        <v>40</v>
      </c>
      <c r="H26" s="6">
        <v>18</v>
      </c>
      <c r="I26" s="6">
        <v>22</v>
      </c>
      <c r="J26" s="125" t="s">
        <v>169</v>
      </c>
      <c r="K26" s="1"/>
    </row>
    <row r="27" spans="1:11" ht="13.5" thickBot="1" x14ac:dyDescent="0.25">
      <c r="A27" s="6">
        <f t="shared" si="0"/>
        <v>276</v>
      </c>
      <c r="B27" s="6">
        <f t="shared" si="1"/>
        <v>20</v>
      </c>
      <c r="C27" s="6">
        <f t="shared" si="1"/>
        <v>256</v>
      </c>
      <c r="D27" s="6">
        <v>19</v>
      </c>
      <c r="E27" s="6">
        <v>2</v>
      </c>
      <c r="F27" s="6">
        <v>17</v>
      </c>
      <c r="G27" s="6">
        <v>257</v>
      </c>
      <c r="H27" s="6">
        <v>18</v>
      </c>
      <c r="I27" s="6">
        <v>239</v>
      </c>
      <c r="J27" s="125" t="s">
        <v>170</v>
      </c>
      <c r="K27" s="1"/>
    </row>
    <row r="28" spans="1:11" ht="13.5" thickBot="1" x14ac:dyDescent="0.25">
      <c r="A28" s="6">
        <f t="shared" si="0"/>
        <v>370</v>
      </c>
      <c r="B28" s="6">
        <f t="shared" si="1"/>
        <v>41</v>
      </c>
      <c r="C28" s="6">
        <f t="shared" si="1"/>
        <v>329</v>
      </c>
      <c r="D28" s="6">
        <v>14</v>
      </c>
      <c r="E28" s="6">
        <v>0</v>
      </c>
      <c r="F28" s="6">
        <v>14</v>
      </c>
      <c r="G28" s="6">
        <v>356</v>
      </c>
      <c r="H28" s="6">
        <v>41</v>
      </c>
      <c r="I28" s="6">
        <v>315</v>
      </c>
      <c r="J28" s="125" t="s">
        <v>171</v>
      </c>
      <c r="K28" s="1"/>
    </row>
    <row r="29" spans="1:11" ht="13.5" thickBot="1" x14ac:dyDescent="0.25">
      <c r="A29" s="6">
        <f t="shared" si="0"/>
        <v>1035</v>
      </c>
      <c r="B29" s="6">
        <f t="shared" si="1"/>
        <v>567</v>
      </c>
      <c r="C29" s="6">
        <f t="shared" si="1"/>
        <v>468</v>
      </c>
      <c r="D29" s="6">
        <v>543</v>
      </c>
      <c r="E29" s="6">
        <v>264</v>
      </c>
      <c r="F29" s="6">
        <v>279</v>
      </c>
      <c r="G29" s="6">
        <v>492</v>
      </c>
      <c r="H29" s="6">
        <v>303</v>
      </c>
      <c r="I29" s="6">
        <v>189</v>
      </c>
      <c r="J29" s="125" t="s">
        <v>173</v>
      </c>
      <c r="K29" s="1"/>
    </row>
    <row r="30" spans="1:11" ht="13.5" thickBot="1" x14ac:dyDescent="0.25">
      <c r="A30" s="6">
        <f t="shared" ref="A30:I30" si="2">SUM(A5:A29)</f>
        <v>23916</v>
      </c>
      <c r="B30" s="6">
        <f t="shared" si="2"/>
        <v>7253</v>
      </c>
      <c r="C30" s="6">
        <f t="shared" si="2"/>
        <v>16663</v>
      </c>
      <c r="D30" s="6">
        <f t="shared" si="2"/>
        <v>5008</v>
      </c>
      <c r="E30" s="6">
        <f t="shared" si="2"/>
        <v>2348</v>
      </c>
      <c r="F30" s="6">
        <f t="shared" si="2"/>
        <v>2660</v>
      </c>
      <c r="G30" s="6">
        <f t="shared" si="2"/>
        <v>18908</v>
      </c>
      <c r="H30" s="6">
        <f t="shared" si="2"/>
        <v>4905</v>
      </c>
      <c r="I30" s="6">
        <f t="shared" si="2"/>
        <v>14003</v>
      </c>
      <c r="J30" s="5" t="s">
        <v>211</v>
      </c>
      <c r="K30" s="1"/>
    </row>
  </sheetData>
  <mergeCells count="5">
    <mergeCell ref="A1:J1"/>
    <mergeCell ref="A2:J2"/>
    <mergeCell ref="A3:C3"/>
    <mergeCell ref="D3:F3"/>
    <mergeCell ref="G3:I3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448"/>
  <sheetViews>
    <sheetView showGridLines="0" topLeftCell="A442" workbookViewId="0">
      <selection activeCell="C5" sqref="C5"/>
    </sheetView>
  </sheetViews>
  <sheetFormatPr defaultRowHeight="12.75" x14ac:dyDescent="0.2"/>
  <cols>
    <col min="1" max="9" width="9.625" style="2" customWidth="1"/>
    <col min="10" max="10" width="35.75" style="2" customWidth="1"/>
    <col min="11" max="11" width="8.25" style="2" customWidth="1"/>
    <col min="12" max="256" width="9" style="2"/>
    <col min="257" max="265" width="9.625" style="2" customWidth="1"/>
    <col min="266" max="266" width="35.75" style="2" customWidth="1"/>
    <col min="267" max="267" width="8.25" style="2" customWidth="1"/>
    <col min="268" max="512" width="9" style="2"/>
    <col min="513" max="521" width="9.625" style="2" customWidth="1"/>
    <col min="522" max="522" width="35.75" style="2" customWidth="1"/>
    <col min="523" max="523" width="8.25" style="2" customWidth="1"/>
    <col min="524" max="768" width="9" style="2"/>
    <col min="769" max="777" width="9.625" style="2" customWidth="1"/>
    <col min="778" max="778" width="35.75" style="2" customWidth="1"/>
    <col min="779" max="779" width="8.25" style="2" customWidth="1"/>
    <col min="780" max="1024" width="9" style="2"/>
    <col min="1025" max="1033" width="9.625" style="2" customWidth="1"/>
    <col min="1034" max="1034" width="35.75" style="2" customWidth="1"/>
    <col min="1035" max="1035" width="8.25" style="2" customWidth="1"/>
    <col min="1036" max="1280" width="9" style="2"/>
    <col min="1281" max="1289" width="9.625" style="2" customWidth="1"/>
    <col min="1290" max="1290" width="35.75" style="2" customWidth="1"/>
    <col min="1291" max="1291" width="8.25" style="2" customWidth="1"/>
    <col min="1292" max="1536" width="9" style="2"/>
    <col min="1537" max="1545" width="9.625" style="2" customWidth="1"/>
    <col min="1546" max="1546" width="35.75" style="2" customWidth="1"/>
    <col min="1547" max="1547" width="8.25" style="2" customWidth="1"/>
    <col min="1548" max="1792" width="9" style="2"/>
    <col min="1793" max="1801" width="9.625" style="2" customWidth="1"/>
    <col min="1802" max="1802" width="35.75" style="2" customWidth="1"/>
    <col min="1803" max="1803" width="8.25" style="2" customWidth="1"/>
    <col min="1804" max="2048" width="9" style="2"/>
    <col min="2049" max="2057" width="9.625" style="2" customWidth="1"/>
    <col min="2058" max="2058" width="35.75" style="2" customWidth="1"/>
    <col min="2059" max="2059" width="8.25" style="2" customWidth="1"/>
    <col min="2060" max="2304" width="9" style="2"/>
    <col min="2305" max="2313" width="9.625" style="2" customWidth="1"/>
    <col min="2314" max="2314" width="35.75" style="2" customWidth="1"/>
    <col min="2315" max="2315" width="8.25" style="2" customWidth="1"/>
    <col min="2316" max="2560" width="9" style="2"/>
    <col min="2561" max="2569" width="9.625" style="2" customWidth="1"/>
    <col min="2570" max="2570" width="35.75" style="2" customWidth="1"/>
    <col min="2571" max="2571" width="8.25" style="2" customWidth="1"/>
    <col min="2572" max="2816" width="9" style="2"/>
    <col min="2817" max="2825" width="9.625" style="2" customWidth="1"/>
    <col min="2826" max="2826" width="35.75" style="2" customWidth="1"/>
    <col min="2827" max="2827" width="8.25" style="2" customWidth="1"/>
    <col min="2828" max="3072" width="9" style="2"/>
    <col min="3073" max="3081" width="9.625" style="2" customWidth="1"/>
    <col min="3082" max="3082" width="35.75" style="2" customWidth="1"/>
    <col min="3083" max="3083" width="8.25" style="2" customWidth="1"/>
    <col min="3084" max="3328" width="9" style="2"/>
    <col min="3329" max="3337" width="9.625" style="2" customWidth="1"/>
    <col min="3338" max="3338" width="35.75" style="2" customWidth="1"/>
    <col min="3339" max="3339" width="8.25" style="2" customWidth="1"/>
    <col min="3340" max="3584" width="9" style="2"/>
    <col min="3585" max="3593" width="9.625" style="2" customWidth="1"/>
    <col min="3594" max="3594" width="35.75" style="2" customWidth="1"/>
    <col min="3595" max="3595" width="8.25" style="2" customWidth="1"/>
    <col min="3596" max="3840" width="9" style="2"/>
    <col min="3841" max="3849" width="9.625" style="2" customWidth="1"/>
    <col min="3850" max="3850" width="35.75" style="2" customWidth="1"/>
    <col min="3851" max="3851" width="8.25" style="2" customWidth="1"/>
    <col min="3852" max="4096" width="9" style="2"/>
    <col min="4097" max="4105" width="9.625" style="2" customWidth="1"/>
    <col min="4106" max="4106" width="35.75" style="2" customWidth="1"/>
    <col min="4107" max="4107" width="8.25" style="2" customWidth="1"/>
    <col min="4108" max="4352" width="9" style="2"/>
    <col min="4353" max="4361" width="9.625" style="2" customWidth="1"/>
    <col min="4362" max="4362" width="35.75" style="2" customWidth="1"/>
    <col min="4363" max="4363" width="8.25" style="2" customWidth="1"/>
    <col min="4364" max="4608" width="9" style="2"/>
    <col min="4609" max="4617" width="9.625" style="2" customWidth="1"/>
    <col min="4618" max="4618" width="35.75" style="2" customWidth="1"/>
    <col min="4619" max="4619" width="8.25" style="2" customWidth="1"/>
    <col min="4620" max="4864" width="9" style="2"/>
    <col min="4865" max="4873" width="9.625" style="2" customWidth="1"/>
    <col min="4874" max="4874" width="35.75" style="2" customWidth="1"/>
    <col min="4875" max="4875" width="8.25" style="2" customWidth="1"/>
    <col min="4876" max="5120" width="9" style="2"/>
    <col min="5121" max="5129" width="9.625" style="2" customWidth="1"/>
    <col min="5130" max="5130" width="35.75" style="2" customWidth="1"/>
    <col min="5131" max="5131" width="8.25" style="2" customWidth="1"/>
    <col min="5132" max="5376" width="9" style="2"/>
    <col min="5377" max="5385" width="9.625" style="2" customWidth="1"/>
    <col min="5386" max="5386" width="35.75" style="2" customWidth="1"/>
    <col min="5387" max="5387" width="8.25" style="2" customWidth="1"/>
    <col min="5388" max="5632" width="9" style="2"/>
    <col min="5633" max="5641" width="9.625" style="2" customWidth="1"/>
    <col min="5642" max="5642" width="35.75" style="2" customWidth="1"/>
    <col min="5643" max="5643" width="8.25" style="2" customWidth="1"/>
    <col min="5644" max="5888" width="9" style="2"/>
    <col min="5889" max="5897" width="9.625" style="2" customWidth="1"/>
    <col min="5898" max="5898" width="35.75" style="2" customWidth="1"/>
    <col min="5899" max="5899" width="8.25" style="2" customWidth="1"/>
    <col min="5900" max="6144" width="9" style="2"/>
    <col min="6145" max="6153" width="9.625" style="2" customWidth="1"/>
    <col min="6154" max="6154" width="35.75" style="2" customWidth="1"/>
    <col min="6155" max="6155" width="8.25" style="2" customWidth="1"/>
    <col min="6156" max="6400" width="9" style="2"/>
    <col min="6401" max="6409" width="9.625" style="2" customWidth="1"/>
    <col min="6410" max="6410" width="35.75" style="2" customWidth="1"/>
    <col min="6411" max="6411" width="8.25" style="2" customWidth="1"/>
    <col min="6412" max="6656" width="9" style="2"/>
    <col min="6657" max="6665" width="9.625" style="2" customWidth="1"/>
    <col min="6666" max="6666" width="35.75" style="2" customWidth="1"/>
    <col min="6667" max="6667" width="8.25" style="2" customWidth="1"/>
    <col min="6668" max="6912" width="9" style="2"/>
    <col min="6913" max="6921" width="9.625" style="2" customWidth="1"/>
    <col min="6922" max="6922" width="35.75" style="2" customWidth="1"/>
    <col min="6923" max="6923" width="8.25" style="2" customWidth="1"/>
    <col min="6924" max="7168" width="9" style="2"/>
    <col min="7169" max="7177" width="9.625" style="2" customWidth="1"/>
    <col min="7178" max="7178" width="35.75" style="2" customWidth="1"/>
    <col min="7179" max="7179" width="8.25" style="2" customWidth="1"/>
    <col min="7180" max="7424" width="9" style="2"/>
    <col min="7425" max="7433" width="9.625" style="2" customWidth="1"/>
    <col min="7434" max="7434" width="35.75" style="2" customWidth="1"/>
    <col min="7435" max="7435" width="8.25" style="2" customWidth="1"/>
    <col min="7436" max="7680" width="9" style="2"/>
    <col min="7681" max="7689" width="9.625" style="2" customWidth="1"/>
    <col min="7690" max="7690" width="35.75" style="2" customWidth="1"/>
    <col min="7691" max="7691" width="8.25" style="2" customWidth="1"/>
    <col min="7692" max="7936" width="9" style="2"/>
    <col min="7937" max="7945" width="9.625" style="2" customWidth="1"/>
    <col min="7946" max="7946" width="35.75" style="2" customWidth="1"/>
    <col min="7947" max="7947" width="8.25" style="2" customWidth="1"/>
    <col min="7948" max="8192" width="9" style="2"/>
    <col min="8193" max="8201" width="9.625" style="2" customWidth="1"/>
    <col min="8202" max="8202" width="35.75" style="2" customWidth="1"/>
    <col min="8203" max="8203" width="8.25" style="2" customWidth="1"/>
    <col min="8204" max="8448" width="9" style="2"/>
    <col min="8449" max="8457" width="9.625" style="2" customWidth="1"/>
    <col min="8458" max="8458" width="35.75" style="2" customWidth="1"/>
    <col min="8459" max="8459" width="8.25" style="2" customWidth="1"/>
    <col min="8460" max="8704" width="9" style="2"/>
    <col min="8705" max="8713" width="9.625" style="2" customWidth="1"/>
    <col min="8714" max="8714" width="35.75" style="2" customWidth="1"/>
    <col min="8715" max="8715" width="8.25" style="2" customWidth="1"/>
    <col min="8716" max="8960" width="9" style="2"/>
    <col min="8961" max="8969" width="9.625" style="2" customWidth="1"/>
    <col min="8970" max="8970" width="35.75" style="2" customWidth="1"/>
    <col min="8971" max="8971" width="8.25" style="2" customWidth="1"/>
    <col min="8972" max="9216" width="9" style="2"/>
    <col min="9217" max="9225" width="9.625" style="2" customWidth="1"/>
    <col min="9226" max="9226" width="35.75" style="2" customWidth="1"/>
    <col min="9227" max="9227" width="8.25" style="2" customWidth="1"/>
    <col min="9228" max="9472" width="9" style="2"/>
    <col min="9473" max="9481" width="9.625" style="2" customWidth="1"/>
    <col min="9482" max="9482" width="35.75" style="2" customWidth="1"/>
    <col min="9483" max="9483" width="8.25" style="2" customWidth="1"/>
    <col min="9484" max="9728" width="9" style="2"/>
    <col min="9729" max="9737" width="9.625" style="2" customWidth="1"/>
    <col min="9738" max="9738" width="35.75" style="2" customWidth="1"/>
    <col min="9739" max="9739" width="8.25" style="2" customWidth="1"/>
    <col min="9740" max="9984" width="9" style="2"/>
    <col min="9985" max="9993" width="9.625" style="2" customWidth="1"/>
    <col min="9994" max="9994" width="35.75" style="2" customWidth="1"/>
    <col min="9995" max="9995" width="8.25" style="2" customWidth="1"/>
    <col min="9996" max="10240" width="9" style="2"/>
    <col min="10241" max="10249" width="9.625" style="2" customWidth="1"/>
    <col min="10250" max="10250" width="35.75" style="2" customWidth="1"/>
    <col min="10251" max="10251" width="8.25" style="2" customWidth="1"/>
    <col min="10252" max="10496" width="9" style="2"/>
    <col min="10497" max="10505" width="9.625" style="2" customWidth="1"/>
    <col min="10506" max="10506" width="35.75" style="2" customWidth="1"/>
    <col min="10507" max="10507" width="8.25" style="2" customWidth="1"/>
    <col min="10508" max="10752" width="9" style="2"/>
    <col min="10753" max="10761" width="9.625" style="2" customWidth="1"/>
    <col min="10762" max="10762" width="35.75" style="2" customWidth="1"/>
    <col min="10763" max="10763" width="8.25" style="2" customWidth="1"/>
    <col min="10764" max="11008" width="9" style="2"/>
    <col min="11009" max="11017" width="9.625" style="2" customWidth="1"/>
    <col min="11018" max="11018" width="35.75" style="2" customWidth="1"/>
    <col min="11019" max="11019" width="8.25" style="2" customWidth="1"/>
    <col min="11020" max="11264" width="9" style="2"/>
    <col min="11265" max="11273" width="9.625" style="2" customWidth="1"/>
    <col min="11274" max="11274" width="35.75" style="2" customWidth="1"/>
    <col min="11275" max="11275" width="8.25" style="2" customWidth="1"/>
    <col min="11276" max="11520" width="9" style="2"/>
    <col min="11521" max="11529" width="9.625" style="2" customWidth="1"/>
    <col min="11530" max="11530" width="35.75" style="2" customWidth="1"/>
    <col min="11531" max="11531" width="8.25" style="2" customWidth="1"/>
    <col min="11532" max="11776" width="9" style="2"/>
    <col min="11777" max="11785" width="9.625" style="2" customWidth="1"/>
    <col min="11786" max="11786" width="35.75" style="2" customWidth="1"/>
    <col min="11787" max="11787" width="8.25" style="2" customWidth="1"/>
    <col min="11788" max="12032" width="9" style="2"/>
    <col min="12033" max="12041" width="9.625" style="2" customWidth="1"/>
    <col min="12042" max="12042" width="35.75" style="2" customWidth="1"/>
    <col min="12043" max="12043" width="8.25" style="2" customWidth="1"/>
    <col min="12044" max="12288" width="9" style="2"/>
    <col min="12289" max="12297" width="9.625" style="2" customWidth="1"/>
    <col min="12298" max="12298" width="35.75" style="2" customWidth="1"/>
    <col min="12299" max="12299" width="8.25" style="2" customWidth="1"/>
    <col min="12300" max="12544" width="9" style="2"/>
    <col min="12545" max="12553" width="9.625" style="2" customWidth="1"/>
    <col min="12554" max="12554" width="35.75" style="2" customWidth="1"/>
    <col min="12555" max="12555" width="8.25" style="2" customWidth="1"/>
    <col min="12556" max="12800" width="9" style="2"/>
    <col min="12801" max="12809" width="9.625" style="2" customWidth="1"/>
    <col min="12810" max="12810" width="35.75" style="2" customWidth="1"/>
    <col min="12811" max="12811" width="8.25" style="2" customWidth="1"/>
    <col min="12812" max="13056" width="9" style="2"/>
    <col min="13057" max="13065" width="9.625" style="2" customWidth="1"/>
    <col min="13066" max="13066" width="35.75" style="2" customWidth="1"/>
    <col min="13067" max="13067" width="8.25" style="2" customWidth="1"/>
    <col min="13068" max="13312" width="9" style="2"/>
    <col min="13313" max="13321" width="9.625" style="2" customWidth="1"/>
    <col min="13322" max="13322" width="35.75" style="2" customWidth="1"/>
    <col min="13323" max="13323" width="8.25" style="2" customWidth="1"/>
    <col min="13324" max="13568" width="9" style="2"/>
    <col min="13569" max="13577" width="9.625" style="2" customWidth="1"/>
    <col min="13578" max="13578" width="35.75" style="2" customWidth="1"/>
    <col min="13579" max="13579" width="8.25" style="2" customWidth="1"/>
    <col min="13580" max="13824" width="9" style="2"/>
    <col min="13825" max="13833" width="9.625" style="2" customWidth="1"/>
    <col min="13834" max="13834" width="35.75" style="2" customWidth="1"/>
    <col min="13835" max="13835" width="8.25" style="2" customWidth="1"/>
    <col min="13836" max="14080" width="9" style="2"/>
    <col min="14081" max="14089" width="9.625" style="2" customWidth="1"/>
    <col min="14090" max="14090" width="35.75" style="2" customWidth="1"/>
    <col min="14091" max="14091" width="8.25" style="2" customWidth="1"/>
    <col min="14092" max="14336" width="9" style="2"/>
    <col min="14337" max="14345" width="9.625" style="2" customWidth="1"/>
    <col min="14346" max="14346" width="35.75" style="2" customWidth="1"/>
    <col min="14347" max="14347" width="8.25" style="2" customWidth="1"/>
    <col min="14348" max="14592" width="9" style="2"/>
    <col min="14593" max="14601" width="9.625" style="2" customWidth="1"/>
    <col min="14602" max="14602" width="35.75" style="2" customWidth="1"/>
    <col min="14603" max="14603" width="8.25" style="2" customWidth="1"/>
    <col min="14604" max="14848" width="9" style="2"/>
    <col min="14849" max="14857" width="9.625" style="2" customWidth="1"/>
    <col min="14858" max="14858" width="35.75" style="2" customWidth="1"/>
    <col min="14859" max="14859" width="8.25" style="2" customWidth="1"/>
    <col min="14860" max="15104" width="9" style="2"/>
    <col min="15105" max="15113" width="9.625" style="2" customWidth="1"/>
    <col min="15114" max="15114" width="35.75" style="2" customWidth="1"/>
    <col min="15115" max="15115" width="8.25" style="2" customWidth="1"/>
    <col min="15116" max="15360" width="9" style="2"/>
    <col min="15361" max="15369" width="9.625" style="2" customWidth="1"/>
    <col min="15370" max="15370" width="35.75" style="2" customWidth="1"/>
    <col min="15371" max="15371" width="8.25" style="2" customWidth="1"/>
    <col min="15372" max="15616" width="9" style="2"/>
    <col min="15617" max="15625" width="9.625" style="2" customWidth="1"/>
    <col min="15626" max="15626" width="35.75" style="2" customWidth="1"/>
    <col min="15627" max="15627" width="8.25" style="2" customWidth="1"/>
    <col min="15628" max="15872" width="9" style="2"/>
    <col min="15873" max="15881" width="9.625" style="2" customWidth="1"/>
    <col min="15882" max="15882" width="35.75" style="2" customWidth="1"/>
    <col min="15883" max="15883" width="8.25" style="2" customWidth="1"/>
    <col min="15884" max="16128" width="9" style="2"/>
    <col min="16129" max="16137" width="9.625" style="2" customWidth="1"/>
    <col min="16138" max="16138" width="35.75" style="2" customWidth="1"/>
    <col min="16139" max="16139" width="8.25" style="2" customWidth="1"/>
    <col min="16140" max="16384" width="9" style="2"/>
  </cols>
  <sheetData>
    <row r="1" spans="1:11" ht="18" customHeight="1" x14ac:dyDescent="0.2">
      <c r="A1" s="159" t="s">
        <v>649</v>
      </c>
      <c r="B1" s="159"/>
      <c r="C1" s="159"/>
      <c r="D1" s="159"/>
      <c r="E1" s="159"/>
      <c r="F1" s="159"/>
      <c r="G1" s="159"/>
      <c r="H1" s="159"/>
      <c r="I1" s="159"/>
      <c r="J1" s="159"/>
      <c r="K1" s="1"/>
    </row>
    <row r="2" spans="1:11" ht="18" customHeight="1" thickBot="1" x14ac:dyDescent="0.25">
      <c r="A2" s="160" t="s">
        <v>650</v>
      </c>
      <c r="B2" s="160"/>
      <c r="C2" s="160"/>
      <c r="D2" s="160"/>
      <c r="E2" s="160"/>
      <c r="F2" s="160"/>
      <c r="G2" s="160"/>
      <c r="H2" s="160"/>
      <c r="I2" s="160"/>
      <c r="J2" s="160"/>
      <c r="K2" s="1"/>
    </row>
    <row r="3" spans="1:11" ht="13.5" thickBot="1" x14ac:dyDescent="0.25">
      <c r="A3" s="161" t="s">
        <v>5</v>
      </c>
      <c r="B3" s="161"/>
      <c r="C3" s="161"/>
      <c r="D3" s="161" t="s">
        <v>162</v>
      </c>
      <c r="E3" s="161"/>
      <c r="F3" s="161"/>
      <c r="G3" s="161" t="s">
        <v>163</v>
      </c>
      <c r="H3" s="161"/>
      <c r="I3" s="161"/>
      <c r="J3" s="47" t="s">
        <v>72</v>
      </c>
      <c r="K3" s="1"/>
    </row>
    <row r="4" spans="1:11" ht="13.5" thickBot="1" x14ac:dyDescent="0.25">
      <c r="A4" s="47" t="s">
        <v>216</v>
      </c>
      <c r="B4" s="47" t="s">
        <v>11</v>
      </c>
      <c r="C4" s="47" t="s">
        <v>10</v>
      </c>
      <c r="D4" s="47" t="s">
        <v>216</v>
      </c>
      <c r="E4" s="47" t="s">
        <v>11</v>
      </c>
      <c r="F4" s="47" t="s">
        <v>10</v>
      </c>
      <c r="G4" s="47" t="s">
        <v>216</v>
      </c>
      <c r="H4" s="47" t="s">
        <v>11</v>
      </c>
      <c r="I4" s="47" t="s">
        <v>10</v>
      </c>
      <c r="J4" s="33" t="s">
        <v>74</v>
      </c>
      <c r="K4" s="1"/>
    </row>
    <row r="5" spans="1:11" ht="13.5" thickBot="1" x14ac:dyDescent="0.25">
      <c r="A5" s="6">
        <v>758</v>
      </c>
      <c r="B5" s="6">
        <v>123</v>
      </c>
      <c r="C5" s="6">
        <v>635</v>
      </c>
      <c r="D5" s="6">
        <v>26</v>
      </c>
      <c r="E5" s="6">
        <v>0</v>
      </c>
      <c r="F5" s="6">
        <v>26</v>
      </c>
      <c r="G5" s="6">
        <v>732</v>
      </c>
      <c r="H5" s="6">
        <v>123</v>
      </c>
      <c r="I5" s="6">
        <v>609</v>
      </c>
      <c r="J5" s="125" t="s">
        <v>618</v>
      </c>
      <c r="K5" s="1"/>
    </row>
    <row r="6" spans="1:11" ht="13.5" thickBot="1" x14ac:dyDescent="0.25">
      <c r="A6" s="6">
        <v>758</v>
      </c>
      <c r="B6" s="6">
        <v>123</v>
      </c>
      <c r="C6" s="6">
        <v>635</v>
      </c>
      <c r="D6" s="6">
        <v>26</v>
      </c>
      <c r="E6" s="6">
        <v>0</v>
      </c>
      <c r="F6" s="6">
        <v>26</v>
      </c>
      <c r="G6" s="6">
        <v>732</v>
      </c>
      <c r="H6" s="6">
        <v>123</v>
      </c>
      <c r="I6" s="6">
        <v>609</v>
      </c>
      <c r="J6" s="7" t="s">
        <v>232</v>
      </c>
      <c r="K6" s="1"/>
    </row>
    <row r="7" spans="1:11" ht="18" customHeight="1" x14ac:dyDescent="0.2">
      <c r="A7" s="159"/>
      <c r="B7" s="159"/>
      <c r="C7" s="159"/>
      <c r="D7" s="159"/>
      <c r="E7" s="159"/>
      <c r="F7" s="159"/>
      <c r="G7" s="159"/>
      <c r="H7" s="159"/>
      <c r="I7" s="159"/>
      <c r="J7" s="159"/>
      <c r="K7" s="1"/>
    </row>
    <row r="8" spans="1:11" ht="18" customHeight="1" x14ac:dyDescent="0.2">
      <c r="A8" s="159" t="s">
        <v>649</v>
      </c>
      <c r="B8" s="159"/>
      <c r="C8" s="159"/>
      <c r="D8" s="159"/>
      <c r="E8" s="159"/>
      <c r="F8" s="159"/>
      <c r="G8" s="159"/>
      <c r="H8" s="159"/>
      <c r="I8" s="159"/>
      <c r="J8" s="159"/>
      <c r="K8" s="1"/>
    </row>
    <row r="9" spans="1:11" ht="18" customHeight="1" thickBot="1" x14ac:dyDescent="0.25">
      <c r="A9" s="160" t="s">
        <v>650</v>
      </c>
      <c r="B9" s="160"/>
      <c r="C9" s="160"/>
      <c r="D9" s="160"/>
      <c r="E9" s="160"/>
      <c r="F9" s="160"/>
      <c r="G9" s="160"/>
      <c r="H9" s="160"/>
      <c r="I9" s="160"/>
      <c r="J9" s="160"/>
      <c r="K9" s="1"/>
    </row>
    <row r="10" spans="1:11" ht="13.5" thickBot="1" x14ac:dyDescent="0.25">
      <c r="A10" s="161" t="s">
        <v>5</v>
      </c>
      <c r="B10" s="161"/>
      <c r="C10" s="161"/>
      <c r="D10" s="161" t="s">
        <v>162</v>
      </c>
      <c r="E10" s="161"/>
      <c r="F10" s="161"/>
      <c r="G10" s="161" t="s">
        <v>163</v>
      </c>
      <c r="H10" s="161"/>
      <c r="I10" s="161"/>
      <c r="J10" s="47" t="s">
        <v>72</v>
      </c>
      <c r="K10" s="1"/>
    </row>
    <row r="11" spans="1:11" ht="13.5" thickBot="1" x14ac:dyDescent="0.25">
      <c r="A11" s="47" t="s">
        <v>216</v>
      </c>
      <c r="B11" s="47" t="s">
        <v>11</v>
      </c>
      <c r="C11" s="47" t="s">
        <v>10</v>
      </c>
      <c r="D11" s="47" t="s">
        <v>216</v>
      </c>
      <c r="E11" s="47" t="s">
        <v>11</v>
      </c>
      <c r="F11" s="47" t="s">
        <v>10</v>
      </c>
      <c r="G11" s="47" t="s">
        <v>216</v>
      </c>
      <c r="H11" s="47" t="s">
        <v>11</v>
      </c>
      <c r="I11" s="47" t="s">
        <v>10</v>
      </c>
      <c r="J11" s="33" t="s">
        <v>164</v>
      </c>
      <c r="K11" s="1"/>
    </row>
    <row r="12" spans="1:11" ht="13.5" thickBot="1" x14ac:dyDescent="0.25">
      <c r="A12" s="6">
        <v>572</v>
      </c>
      <c r="B12" s="6">
        <v>2</v>
      </c>
      <c r="C12" s="6">
        <v>570</v>
      </c>
      <c r="D12" s="6">
        <v>2</v>
      </c>
      <c r="E12" s="6">
        <v>0</v>
      </c>
      <c r="F12" s="6">
        <v>2</v>
      </c>
      <c r="G12" s="6">
        <v>570</v>
      </c>
      <c r="H12" s="6">
        <v>2</v>
      </c>
      <c r="I12" s="6">
        <v>568</v>
      </c>
      <c r="J12" s="125" t="s">
        <v>634</v>
      </c>
      <c r="K12" s="1"/>
    </row>
    <row r="13" spans="1:11" ht="13.5" thickBot="1" x14ac:dyDescent="0.25">
      <c r="A13" s="6">
        <v>572</v>
      </c>
      <c r="B13" s="6">
        <v>2</v>
      </c>
      <c r="C13" s="6">
        <v>570</v>
      </c>
      <c r="D13" s="6">
        <v>2</v>
      </c>
      <c r="E13" s="6">
        <v>0</v>
      </c>
      <c r="F13" s="6">
        <v>2</v>
      </c>
      <c r="G13" s="6">
        <v>570</v>
      </c>
      <c r="H13" s="6">
        <v>2</v>
      </c>
      <c r="I13" s="6">
        <v>568</v>
      </c>
      <c r="J13" s="7" t="s">
        <v>232</v>
      </c>
      <c r="K13" s="1"/>
    </row>
    <row r="14" spans="1:11" ht="18" customHeight="1" x14ac:dyDescent="0.2">
      <c r="A14" s="159"/>
      <c r="B14" s="159"/>
      <c r="C14" s="159"/>
      <c r="D14" s="159"/>
      <c r="E14" s="159"/>
      <c r="F14" s="159"/>
      <c r="G14" s="159"/>
      <c r="H14" s="159"/>
      <c r="I14" s="159"/>
      <c r="J14" s="159"/>
      <c r="K14" s="1"/>
    </row>
    <row r="15" spans="1:11" ht="18" customHeight="1" x14ac:dyDescent="0.2">
      <c r="A15" s="159" t="s">
        <v>649</v>
      </c>
      <c r="B15" s="159"/>
      <c r="C15" s="159"/>
      <c r="D15" s="159"/>
      <c r="E15" s="159"/>
      <c r="F15" s="159"/>
      <c r="G15" s="159"/>
      <c r="H15" s="159"/>
      <c r="I15" s="159"/>
      <c r="J15" s="159"/>
      <c r="K15" s="1"/>
    </row>
    <row r="16" spans="1:11" ht="18" customHeight="1" thickBot="1" x14ac:dyDescent="0.25">
      <c r="A16" s="160" t="s">
        <v>650</v>
      </c>
      <c r="B16" s="160"/>
      <c r="C16" s="160"/>
      <c r="D16" s="160"/>
      <c r="E16" s="160"/>
      <c r="F16" s="160"/>
      <c r="G16" s="160"/>
      <c r="H16" s="160"/>
      <c r="I16" s="160"/>
      <c r="J16" s="160"/>
      <c r="K16" s="1"/>
    </row>
    <row r="17" spans="1:11" ht="13.5" thickBot="1" x14ac:dyDescent="0.25">
      <c r="A17" s="161" t="s">
        <v>5</v>
      </c>
      <c r="B17" s="161"/>
      <c r="C17" s="161"/>
      <c r="D17" s="161" t="s">
        <v>162</v>
      </c>
      <c r="E17" s="161"/>
      <c r="F17" s="161"/>
      <c r="G17" s="161" t="s">
        <v>163</v>
      </c>
      <c r="H17" s="161"/>
      <c r="I17" s="161"/>
      <c r="J17" s="47" t="s">
        <v>72</v>
      </c>
      <c r="K17" s="1"/>
    </row>
    <row r="18" spans="1:11" ht="13.5" thickBot="1" x14ac:dyDescent="0.25">
      <c r="A18" s="47" t="s">
        <v>216</v>
      </c>
      <c r="B18" s="47" t="s">
        <v>11</v>
      </c>
      <c r="C18" s="47" t="s">
        <v>10</v>
      </c>
      <c r="D18" s="47" t="s">
        <v>216</v>
      </c>
      <c r="E18" s="47" t="s">
        <v>11</v>
      </c>
      <c r="F18" s="47" t="s">
        <v>10</v>
      </c>
      <c r="G18" s="47" t="s">
        <v>216</v>
      </c>
      <c r="H18" s="47" t="s">
        <v>11</v>
      </c>
      <c r="I18" s="47" t="s">
        <v>10</v>
      </c>
      <c r="J18" s="33" t="s">
        <v>76</v>
      </c>
      <c r="K18" s="1"/>
    </row>
    <row r="19" spans="1:11" ht="13.5" thickBot="1" x14ac:dyDescent="0.25">
      <c r="A19" s="6">
        <v>30</v>
      </c>
      <c r="B19" s="6">
        <v>7</v>
      </c>
      <c r="C19" s="6">
        <v>23</v>
      </c>
      <c r="D19" s="6">
        <v>0</v>
      </c>
      <c r="E19" s="6">
        <v>0</v>
      </c>
      <c r="F19" s="6">
        <v>0</v>
      </c>
      <c r="G19" s="6">
        <v>30</v>
      </c>
      <c r="H19" s="6">
        <v>7</v>
      </c>
      <c r="I19" s="6">
        <v>23</v>
      </c>
      <c r="J19" s="125" t="s">
        <v>351</v>
      </c>
      <c r="K19" s="1"/>
    </row>
    <row r="20" spans="1:11" ht="13.5" thickBot="1" x14ac:dyDescent="0.25">
      <c r="A20" s="6">
        <v>18</v>
      </c>
      <c r="B20" s="6">
        <v>0</v>
      </c>
      <c r="C20" s="6">
        <v>18</v>
      </c>
      <c r="D20" s="6">
        <v>0</v>
      </c>
      <c r="E20" s="6">
        <v>0</v>
      </c>
      <c r="F20" s="6">
        <v>0</v>
      </c>
      <c r="G20" s="6">
        <v>18</v>
      </c>
      <c r="H20" s="6">
        <v>0</v>
      </c>
      <c r="I20" s="6">
        <v>18</v>
      </c>
      <c r="J20" s="125" t="s">
        <v>352</v>
      </c>
      <c r="K20" s="1"/>
    </row>
    <row r="21" spans="1:11" ht="13.5" thickBot="1" x14ac:dyDescent="0.25">
      <c r="A21" s="6">
        <v>23</v>
      </c>
      <c r="B21" s="6">
        <v>0</v>
      </c>
      <c r="C21" s="6">
        <v>23</v>
      </c>
      <c r="D21" s="6">
        <v>0</v>
      </c>
      <c r="E21" s="6">
        <v>0</v>
      </c>
      <c r="F21" s="6">
        <v>0</v>
      </c>
      <c r="G21" s="6">
        <v>23</v>
      </c>
      <c r="H21" s="6">
        <v>0</v>
      </c>
      <c r="I21" s="6">
        <v>23</v>
      </c>
      <c r="J21" s="125" t="s">
        <v>353</v>
      </c>
      <c r="K21" s="1"/>
    </row>
    <row r="22" spans="1:11" ht="13.5" thickBot="1" x14ac:dyDescent="0.25">
      <c r="A22" s="6">
        <v>21</v>
      </c>
      <c r="B22" s="6">
        <v>0</v>
      </c>
      <c r="C22" s="6">
        <v>21</v>
      </c>
      <c r="D22" s="6">
        <v>0</v>
      </c>
      <c r="E22" s="6">
        <v>0</v>
      </c>
      <c r="F22" s="6">
        <v>0</v>
      </c>
      <c r="G22" s="6">
        <v>21</v>
      </c>
      <c r="H22" s="6">
        <v>0</v>
      </c>
      <c r="I22" s="6">
        <v>21</v>
      </c>
      <c r="J22" s="125" t="s">
        <v>534</v>
      </c>
      <c r="K22" s="1"/>
    </row>
    <row r="23" spans="1:11" ht="13.5" thickBot="1" x14ac:dyDescent="0.25">
      <c r="A23" s="6">
        <v>19</v>
      </c>
      <c r="B23" s="6">
        <v>0</v>
      </c>
      <c r="C23" s="6">
        <v>19</v>
      </c>
      <c r="D23" s="6">
        <v>0</v>
      </c>
      <c r="E23" s="6">
        <v>0</v>
      </c>
      <c r="F23" s="6">
        <v>0</v>
      </c>
      <c r="G23" s="6">
        <v>19</v>
      </c>
      <c r="H23" s="6">
        <v>0</v>
      </c>
      <c r="I23" s="6">
        <v>19</v>
      </c>
      <c r="J23" s="125" t="s">
        <v>354</v>
      </c>
      <c r="K23" s="1"/>
    </row>
    <row r="24" spans="1:11" ht="13.5" thickBot="1" x14ac:dyDescent="0.25">
      <c r="A24" s="6">
        <v>30</v>
      </c>
      <c r="B24" s="6">
        <v>9</v>
      </c>
      <c r="C24" s="6">
        <v>21</v>
      </c>
      <c r="D24" s="6">
        <v>0</v>
      </c>
      <c r="E24" s="6">
        <v>0</v>
      </c>
      <c r="F24" s="6">
        <v>0</v>
      </c>
      <c r="G24" s="6">
        <v>30</v>
      </c>
      <c r="H24" s="6">
        <v>9</v>
      </c>
      <c r="I24" s="6">
        <v>21</v>
      </c>
      <c r="J24" s="125" t="s">
        <v>355</v>
      </c>
      <c r="K24" s="1"/>
    </row>
    <row r="25" spans="1:11" ht="13.5" thickBot="1" x14ac:dyDescent="0.25">
      <c r="A25" s="6">
        <v>18</v>
      </c>
      <c r="B25" s="6">
        <v>0</v>
      </c>
      <c r="C25" s="6">
        <v>18</v>
      </c>
      <c r="D25" s="6">
        <v>0</v>
      </c>
      <c r="E25" s="6">
        <v>0</v>
      </c>
      <c r="F25" s="6">
        <v>0</v>
      </c>
      <c r="G25" s="6">
        <v>18</v>
      </c>
      <c r="H25" s="6">
        <v>0</v>
      </c>
      <c r="I25" s="6">
        <v>18</v>
      </c>
      <c r="J25" s="125" t="s">
        <v>88</v>
      </c>
      <c r="K25" s="1"/>
    </row>
    <row r="26" spans="1:11" ht="13.5" thickBot="1" x14ac:dyDescent="0.25">
      <c r="A26" s="6">
        <v>7</v>
      </c>
      <c r="B26" s="6">
        <v>0</v>
      </c>
      <c r="C26" s="6">
        <v>7</v>
      </c>
      <c r="D26" s="6">
        <v>0</v>
      </c>
      <c r="E26" s="6">
        <v>0</v>
      </c>
      <c r="F26" s="6">
        <v>0</v>
      </c>
      <c r="G26" s="6">
        <v>7</v>
      </c>
      <c r="H26" s="6">
        <v>0</v>
      </c>
      <c r="I26" s="6">
        <v>7</v>
      </c>
      <c r="J26" s="125" t="s">
        <v>242</v>
      </c>
      <c r="K26" s="1"/>
    </row>
    <row r="27" spans="1:11" ht="13.5" thickBot="1" x14ac:dyDescent="0.25">
      <c r="A27" s="6">
        <v>17</v>
      </c>
      <c r="B27" s="6">
        <v>0</v>
      </c>
      <c r="C27" s="6">
        <v>17</v>
      </c>
      <c r="D27" s="6">
        <v>0</v>
      </c>
      <c r="E27" s="6">
        <v>0</v>
      </c>
      <c r="F27" s="6">
        <v>0</v>
      </c>
      <c r="G27" s="6">
        <v>17</v>
      </c>
      <c r="H27" s="6">
        <v>0</v>
      </c>
      <c r="I27" s="6">
        <v>17</v>
      </c>
      <c r="J27" s="125" t="s">
        <v>356</v>
      </c>
      <c r="K27" s="1"/>
    </row>
    <row r="28" spans="1:11" ht="13.5" thickBot="1" x14ac:dyDescent="0.25">
      <c r="A28" s="6">
        <v>393</v>
      </c>
      <c r="B28" s="6">
        <v>365</v>
      </c>
      <c r="C28" s="6">
        <v>28</v>
      </c>
      <c r="D28" s="6">
        <v>2</v>
      </c>
      <c r="E28" s="6">
        <v>2</v>
      </c>
      <c r="F28" s="6">
        <v>0</v>
      </c>
      <c r="G28" s="6">
        <v>391</v>
      </c>
      <c r="H28" s="6">
        <v>363</v>
      </c>
      <c r="I28" s="6">
        <v>28</v>
      </c>
      <c r="J28" s="125" t="s">
        <v>348</v>
      </c>
      <c r="K28" s="1"/>
    </row>
    <row r="29" spans="1:11" ht="13.5" thickBot="1" x14ac:dyDescent="0.25">
      <c r="A29" s="6">
        <v>20</v>
      </c>
      <c r="B29" s="6">
        <v>0</v>
      </c>
      <c r="C29" s="6">
        <v>20</v>
      </c>
      <c r="D29" s="6">
        <v>0</v>
      </c>
      <c r="E29" s="6">
        <v>0</v>
      </c>
      <c r="F29" s="6">
        <v>0</v>
      </c>
      <c r="G29" s="6">
        <v>20</v>
      </c>
      <c r="H29" s="6">
        <v>0</v>
      </c>
      <c r="I29" s="6">
        <v>20</v>
      </c>
      <c r="J29" s="125" t="s">
        <v>357</v>
      </c>
      <c r="K29" s="1"/>
    </row>
    <row r="30" spans="1:11" ht="13.5" thickBot="1" x14ac:dyDescent="0.25">
      <c r="A30" s="6">
        <v>12</v>
      </c>
      <c r="B30" s="6">
        <v>0</v>
      </c>
      <c r="C30" s="6">
        <v>12</v>
      </c>
      <c r="D30" s="6">
        <v>0</v>
      </c>
      <c r="E30" s="6">
        <v>0</v>
      </c>
      <c r="F30" s="6">
        <v>0</v>
      </c>
      <c r="G30" s="6">
        <v>12</v>
      </c>
      <c r="H30" s="6">
        <v>0</v>
      </c>
      <c r="I30" s="6">
        <v>12</v>
      </c>
      <c r="J30" s="125" t="s">
        <v>89</v>
      </c>
      <c r="K30" s="1"/>
    </row>
    <row r="31" spans="1:11" ht="13.5" thickBot="1" x14ac:dyDescent="0.25">
      <c r="A31" s="6">
        <v>18</v>
      </c>
      <c r="B31" s="6">
        <v>0</v>
      </c>
      <c r="C31" s="6">
        <v>18</v>
      </c>
      <c r="D31" s="6">
        <v>0</v>
      </c>
      <c r="E31" s="6">
        <v>0</v>
      </c>
      <c r="F31" s="6">
        <v>0</v>
      </c>
      <c r="G31" s="6">
        <v>18</v>
      </c>
      <c r="H31" s="6">
        <v>0</v>
      </c>
      <c r="I31" s="6">
        <v>18</v>
      </c>
      <c r="J31" s="125" t="s">
        <v>358</v>
      </c>
      <c r="K31" s="1"/>
    </row>
    <row r="32" spans="1:11" ht="13.5" thickBot="1" x14ac:dyDescent="0.25">
      <c r="A32" s="6">
        <v>17</v>
      </c>
      <c r="B32" s="6">
        <v>3</v>
      </c>
      <c r="C32" s="6">
        <v>14</v>
      </c>
      <c r="D32" s="6">
        <v>0</v>
      </c>
      <c r="E32" s="6">
        <v>0</v>
      </c>
      <c r="F32" s="6">
        <v>0</v>
      </c>
      <c r="G32" s="6">
        <v>17</v>
      </c>
      <c r="H32" s="6">
        <v>3</v>
      </c>
      <c r="I32" s="6">
        <v>14</v>
      </c>
      <c r="J32" s="125" t="s">
        <v>359</v>
      </c>
      <c r="K32" s="1"/>
    </row>
    <row r="33" spans="1:11" ht="13.5" thickBot="1" x14ac:dyDescent="0.25">
      <c r="A33" s="6">
        <f>G33+D33</f>
        <v>1635</v>
      </c>
      <c r="B33" s="6">
        <f>H33+E33</f>
        <v>28</v>
      </c>
      <c r="C33" s="6">
        <f>I33+F33</f>
        <v>1607</v>
      </c>
      <c r="D33" s="6">
        <v>278</v>
      </c>
      <c r="E33" s="6">
        <v>0</v>
      </c>
      <c r="F33" s="6">
        <v>278</v>
      </c>
      <c r="G33" s="6">
        <f>I33+H33</f>
        <v>1357</v>
      </c>
      <c r="H33" s="6">
        <v>28</v>
      </c>
      <c r="I33" s="6">
        <v>1329</v>
      </c>
      <c r="J33" s="125" t="s">
        <v>626</v>
      </c>
      <c r="K33" s="1"/>
    </row>
    <row r="34" spans="1:11" ht="13.5" thickBot="1" x14ac:dyDescent="0.25">
      <c r="A34" s="6">
        <f t="shared" ref="A34:I34" si="0">SUM(A19:A33)</f>
        <v>2278</v>
      </c>
      <c r="B34" s="6">
        <f t="shared" si="0"/>
        <v>412</v>
      </c>
      <c r="C34" s="6">
        <f t="shared" si="0"/>
        <v>1866</v>
      </c>
      <c r="D34" s="6">
        <f t="shared" si="0"/>
        <v>280</v>
      </c>
      <c r="E34" s="6">
        <f t="shared" si="0"/>
        <v>2</v>
      </c>
      <c r="F34" s="6">
        <f t="shared" si="0"/>
        <v>278</v>
      </c>
      <c r="G34" s="6">
        <f t="shared" si="0"/>
        <v>1998</v>
      </c>
      <c r="H34" s="6">
        <f t="shared" si="0"/>
        <v>410</v>
      </c>
      <c r="I34" s="6">
        <f t="shared" si="0"/>
        <v>1588</v>
      </c>
      <c r="J34" s="7" t="s">
        <v>232</v>
      </c>
      <c r="K34" s="1"/>
    </row>
    <row r="35" spans="1:11" ht="18" customHeight="1" x14ac:dyDescent="0.2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"/>
    </row>
    <row r="36" spans="1:11" ht="18" customHeight="1" x14ac:dyDescent="0.2">
      <c r="A36" s="159" t="s">
        <v>649</v>
      </c>
      <c r="B36" s="159"/>
      <c r="C36" s="159"/>
      <c r="D36" s="159"/>
      <c r="E36" s="159"/>
      <c r="F36" s="159"/>
      <c r="G36" s="159"/>
      <c r="H36" s="159"/>
      <c r="I36" s="159"/>
      <c r="J36" s="159"/>
      <c r="K36" s="1"/>
    </row>
    <row r="37" spans="1:11" ht="18" customHeight="1" thickBot="1" x14ac:dyDescent="0.25">
      <c r="A37" s="160" t="s">
        <v>650</v>
      </c>
      <c r="B37" s="160"/>
      <c r="C37" s="160"/>
      <c r="D37" s="160"/>
      <c r="E37" s="160"/>
      <c r="F37" s="160"/>
      <c r="G37" s="160"/>
      <c r="H37" s="160"/>
      <c r="I37" s="160"/>
      <c r="J37" s="160"/>
      <c r="K37" s="1"/>
    </row>
    <row r="38" spans="1:11" ht="13.5" thickBot="1" x14ac:dyDescent="0.25">
      <c r="A38" s="161" t="s">
        <v>5</v>
      </c>
      <c r="B38" s="161"/>
      <c r="C38" s="161"/>
      <c r="D38" s="161" t="s">
        <v>162</v>
      </c>
      <c r="E38" s="161"/>
      <c r="F38" s="161"/>
      <c r="G38" s="161" t="s">
        <v>163</v>
      </c>
      <c r="H38" s="161"/>
      <c r="I38" s="161"/>
      <c r="J38" s="47" t="s">
        <v>72</v>
      </c>
      <c r="K38" s="1"/>
    </row>
    <row r="39" spans="1:11" ht="13.5" thickBot="1" x14ac:dyDescent="0.25">
      <c r="A39" s="47" t="s">
        <v>216</v>
      </c>
      <c r="B39" s="47" t="s">
        <v>11</v>
      </c>
      <c r="C39" s="47" t="s">
        <v>10</v>
      </c>
      <c r="D39" s="47" t="s">
        <v>216</v>
      </c>
      <c r="E39" s="47" t="s">
        <v>11</v>
      </c>
      <c r="F39" s="47" t="s">
        <v>10</v>
      </c>
      <c r="G39" s="47" t="s">
        <v>216</v>
      </c>
      <c r="H39" s="47" t="s">
        <v>11</v>
      </c>
      <c r="I39" s="47" t="s">
        <v>10</v>
      </c>
      <c r="J39" s="33" t="s">
        <v>78</v>
      </c>
      <c r="K39" s="1"/>
    </row>
    <row r="40" spans="1:11" ht="13.5" thickBot="1" x14ac:dyDescent="0.25">
      <c r="A40" s="6">
        <v>188</v>
      </c>
      <c r="B40" s="6">
        <v>1</v>
      </c>
      <c r="C40" s="6">
        <v>187</v>
      </c>
      <c r="D40" s="6">
        <v>6</v>
      </c>
      <c r="E40" s="6">
        <v>0</v>
      </c>
      <c r="F40" s="6">
        <v>6</v>
      </c>
      <c r="G40" s="6">
        <v>182</v>
      </c>
      <c r="H40" s="6">
        <v>1</v>
      </c>
      <c r="I40" s="6">
        <v>181</v>
      </c>
      <c r="J40" s="125" t="s">
        <v>360</v>
      </c>
      <c r="K40" s="1"/>
    </row>
    <row r="41" spans="1:11" ht="13.5" thickBot="1" x14ac:dyDescent="0.25">
      <c r="A41" s="6">
        <v>84</v>
      </c>
      <c r="B41" s="6">
        <v>10</v>
      </c>
      <c r="C41" s="6">
        <v>74</v>
      </c>
      <c r="D41" s="6">
        <v>19</v>
      </c>
      <c r="E41" s="6">
        <v>0</v>
      </c>
      <c r="F41" s="6">
        <v>19</v>
      </c>
      <c r="G41" s="6">
        <v>65</v>
      </c>
      <c r="H41" s="6">
        <v>10</v>
      </c>
      <c r="I41" s="6">
        <v>55</v>
      </c>
      <c r="J41" s="125" t="s">
        <v>337</v>
      </c>
      <c r="K41" s="1"/>
    </row>
    <row r="42" spans="1:11" ht="13.5" thickBot="1" x14ac:dyDescent="0.25">
      <c r="A42" s="6">
        <v>21</v>
      </c>
      <c r="B42" s="6">
        <v>0</v>
      </c>
      <c r="C42" s="6">
        <v>21</v>
      </c>
      <c r="D42" s="6">
        <v>0</v>
      </c>
      <c r="E42" s="6">
        <v>0</v>
      </c>
      <c r="F42" s="6">
        <v>0</v>
      </c>
      <c r="G42" s="6">
        <v>21</v>
      </c>
      <c r="H42" s="6">
        <v>0</v>
      </c>
      <c r="I42" s="6">
        <v>21</v>
      </c>
      <c r="J42" s="125" t="s">
        <v>354</v>
      </c>
      <c r="K42" s="1"/>
    </row>
    <row r="43" spans="1:11" ht="13.5" thickBot="1" x14ac:dyDescent="0.25">
      <c r="A43" s="6">
        <v>65</v>
      </c>
      <c r="B43" s="6">
        <v>0</v>
      </c>
      <c r="C43" s="6">
        <v>65</v>
      </c>
      <c r="D43" s="6">
        <v>1</v>
      </c>
      <c r="E43" s="6">
        <v>0</v>
      </c>
      <c r="F43" s="6">
        <v>1</v>
      </c>
      <c r="G43" s="6">
        <v>64</v>
      </c>
      <c r="H43" s="6">
        <v>0</v>
      </c>
      <c r="I43" s="6">
        <v>64</v>
      </c>
      <c r="J43" s="125" t="s">
        <v>363</v>
      </c>
      <c r="K43" s="1"/>
    </row>
    <row r="44" spans="1:11" ht="13.5" thickBot="1" x14ac:dyDescent="0.25">
      <c r="A44" s="6">
        <v>56</v>
      </c>
      <c r="B44" s="6">
        <v>1</v>
      </c>
      <c r="C44" s="6">
        <v>55</v>
      </c>
      <c r="D44" s="6">
        <v>3</v>
      </c>
      <c r="E44" s="6">
        <v>0</v>
      </c>
      <c r="F44" s="6">
        <v>3</v>
      </c>
      <c r="G44" s="6">
        <v>53</v>
      </c>
      <c r="H44" s="6">
        <v>1</v>
      </c>
      <c r="I44" s="6">
        <v>52</v>
      </c>
      <c r="J44" s="125" t="s">
        <v>364</v>
      </c>
      <c r="K44" s="1"/>
    </row>
    <row r="45" spans="1:11" ht="13.5" thickBot="1" x14ac:dyDescent="0.25">
      <c r="A45" s="6">
        <v>19</v>
      </c>
      <c r="B45" s="6">
        <v>5</v>
      </c>
      <c r="C45" s="6">
        <v>14</v>
      </c>
      <c r="D45" s="6">
        <v>13</v>
      </c>
      <c r="E45" s="6">
        <v>3</v>
      </c>
      <c r="F45" s="6">
        <v>10</v>
      </c>
      <c r="G45" s="6">
        <v>6</v>
      </c>
      <c r="H45" s="6">
        <v>2</v>
      </c>
      <c r="I45" s="6">
        <v>4</v>
      </c>
      <c r="J45" s="125" t="s">
        <v>263</v>
      </c>
      <c r="K45" s="1"/>
    </row>
    <row r="46" spans="1:11" ht="13.5" thickBot="1" x14ac:dyDescent="0.25">
      <c r="A46" s="6">
        <v>351</v>
      </c>
      <c r="B46" s="6">
        <v>177</v>
      </c>
      <c r="C46" s="6">
        <v>174</v>
      </c>
      <c r="D46" s="6">
        <v>224</v>
      </c>
      <c r="E46" s="6">
        <v>102</v>
      </c>
      <c r="F46" s="6">
        <v>122</v>
      </c>
      <c r="G46" s="6">
        <v>127</v>
      </c>
      <c r="H46" s="6">
        <v>75</v>
      </c>
      <c r="I46" s="6">
        <v>52</v>
      </c>
      <c r="J46" s="125" t="s">
        <v>244</v>
      </c>
      <c r="K46" s="1"/>
    </row>
    <row r="47" spans="1:11" ht="13.5" thickBot="1" x14ac:dyDescent="0.25">
      <c r="A47" s="6">
        <v>176</v>
      </c>
      <c r="B47" s="6">
        <v>0</v>
      </c>
      <c r="C47" s="6">
        <v>176</v>
      </c>
      <c r="D47" s="6">
        <v>21</v>
      </c>
      <c r="E47" s="6">
        <v>0</v>
      </c>
      <c r="F47" s="6">
        <v>21</v>
      </c>
      <c r="G47" s="6">
        <v>155</v>
      </c>
      <c r="H47" s="6">
        <v>0</v>
      </c>
      <c r="I47" s="6">
        <v>155</v>
      </c>
      <c r="J47" s="125" t="s">
        <v>365</v>
      </c>
      <c r="K47" s="1"/>
    </row>
    <row r="48" spans="1:11" ht="13.5" thickBot="1" x14ac:dyDescent="0.25">
      <c r="A48" s="6">
        <v>26</v>
      </c>
      <c r="B48" s="6">
        <v>0</v>
      </c>
      <c r="C48" s="6">
        <v>26</v>
      </c>
      <c r="D48" s="6">
        <v>1</v>
      </c>
      <c r="E48" s="6">
        <v>0</v>
      </c>
      <c r="F48" s="6">
        <v>1</v>
      </c>
      <c r="G48" s="6">
        <v>25</v>
      </c>
      <c r="H48" s="6">
        <v>0</v>
      </c>
      <c r="I48" s="6">
        <v>25</v>
      </c>
      <c r="J48" s="125" t="s">
        <v>366</v>
      </c>
      <c r="K48" s="1"/>
    </row>
    <row r="49" spans="1:11" ht="13.5" thickBot="1" x14ac:dyDescent="0.25">
      <c r="A49" s="6">
        <v>18</v>
      </c>
      <c r="B49" s="6">
        <v>2</v>
      </c>
      <c r="C49" s="6">
        <v>16</v>
      </c>
      <c r="D49" s="6">
        <v>1</v>
      </c>
      <c r="E49" s="6">
        <v>0</v>
      </c>
      <c r="F49" s="6">
        <v>1</v>
      </c>
      <c r="G49" s="6">
        <v>17</v>
      </c>
      <c r="H49" s="6">
        <v>2</v>
      </c>
      <c r="I49" s="6">
        <v>15</v>
      </c>
      <c r="J49" s="125" t="s">
        <v>355</v>
      </c>
      <c r="K49" s="1"/>
    </row>
    <row r="50" spans="1:11" ht="13.5" thickBot="1" x14ac:dyDescent="0.25">
      <c r="A50" s="6">
        <v>37</v>
      </c>
      <c r="B50" s="6">
        <v>0</v>
      </c>
      <c r="C50" s="6">
        <v>37</v>
      </c>
      <c r="D50" s="6">
        <v>3</v>
      </c>
      <c r="E50" s="6">
        <v>0</v>
      </c>
      <c r="F50" s="6">
        <v>3</v>
      </c>
      <c r="G50" s="6">
        <v>34</v>
      </c>
      <c r="H50" s="6">
        <v>0</v>
      </c>
      <c r="I50" s="6">
        <v>34</v>
      </c>
      <c r="J50" s="125" t="s">
        <v>535</v>
      </c>
      <c r="K50" s="1"/>
    </row>
    <row r="51" spans="1:11" ht="13.5" thickBot="1" x14ac:dyDescent="0.25">
      <c r="A51" s="6">
        <v>117</v>
      </c>
      <c r="B51" s="6">
        <v>0</v>
      </c>
      <c r="C51" s="6">
        <v>117</v>
      </c>
      <c r="D51" s="6">
        <v>30</v>
      </c>
      <c r="E51" s="6">
        <v>0</v>
      </c>
      <c r="F51" s="6">
        <v>30</v>
      </c>
      <c r="G51" s="6">
        <v>87</v>
      </c>
      <c r="H51" s="6">
        <v>0</v>
      </c>
      <c r="I51" s="6">
        <v>87</v>
      </c>
      <c r="J51" s="125" t="s">
        <v>377</v>
      </c>
      <c r="K51" s="1"/>
    </row>
    <row r="52" spans="1:11" ht="13.5" thickBot="1" x14ac:dyDescent="0.25">
      <c r="A52" s="6">
        <v>97</v>
      </c>
      <c r="B52" s="6">
        <v>40</v>
      </c>
      <c r="C52" s="6">
        <v>57</v>
      </c>
      <c r="D52" s="6">
        <v>24</v>
      </c>
      <c r="E52" s="6">
        <v>9</v>
      </c>
      <c r="F52" s="6">
        <v>15</v>
      </c>
      <c r="G52" s="6">
        <v>73</v>
      </c>
      <c r="H52" s="6">
        <v>31</v>
      </c>
      <c r="I52" s="6">
        <v>42</v>
      </c>
      <c r="J52" s="125" t="s">
        <v>536</v>
      </c>
      <c r="K52" s="1"/>
    </row>
    <row r="53" spans="1:11" ht="13.5" thickBot="1" x14ac:dyDescent="0.25">
      <c r="A53" s="6">
        <v>13</v>
      </c>
      <c r="B53" s="6">
        <v>0</v>
      </c>
      <c r="C53" s="6">
        <v>13</v>
      </c>
      <c r="D53" s="6">
        <v>0</v>
      </c>
      <c r="E53" s="6">
        <v>0</v>
      </c>
      <c r="F53" s="6">
        <v>0</v>
      </c>
      <c r="G53" s="6">
        <v>13</v>
      </c>
      <c r="H53" s="6">
        <v>0</v>
      </c>
      <c r="I53" s="6">
        <v>13</v>
      </c>
      <c r="J53" s="125" t="s">
        <v>245</v>
      </c>
      <c r="K53" s="1"/>
    </row>
    <row r="54" spans="1:11" ht="13.5" thickBot="1" x14ac:dyDescent="0.25">
      <c r="A54" s="6">
        <v>31</v>
      </c>
      <c r="B54" s="6">
        <v>14</v>
      </c>
      <c r="C54" s="6">
        <v>17</v>
      </c>
      <c r="D54" s="6">
        <v>0</v>
      </c>
      <c r="E54" s="6">
        <v>0</v>
      </c>
      <c r="F54" s="6">
        <v>0</v>
      </c>
      <c r="G54" s="6">
        <v>31</v>
      </c>
      <c r="H54" s="6">
        <v>14</v>
      </c>
      <c r="I54" s="6">
        <v>17</v>
      </c>
      <c r="J54" s="125" t="s">
        <v>77</v>
      </c>
      <c r="K54" s="1"/>
    </row>
    <row r="55" spans="1:11" ht="13.5" thickBot="1" x14ac:dyDescent="0.25">
      <c r="A55" s="6">
        <v>18</v>
      </c>
      <c r="B55" s="6">
        <v>0</v>
      </c>
      <c r="C55" s="6">
        <v>18</v>
      </c>
      <c r="D55" s="6">
        <v>0</v>
      </c>
      <c r="E55" s="6">
        <v>0</v>
      </c>
      <c r="F55" s="6">
        <v>0</v>
      </c>
      <c r="G55" s="6">
        <v>18</v>
      </c>
      <c r="H55" s="6">
        <v>0</v>
      </c>
      <c r="I55" s="6">
        <v>18</v>
      </c>
      <c r="J55" s="125" t="s">
        <v>90</v>
      </c>
      <c r="K55" s="1"/>
    </row>
    <row r="56" spans="1:11" ht="13.5" thickBot="1" x14ac:dyDescent="0.25">
      <c r="A56" s="6">
        <v>1736</v>
      </c>
      <c r="B56" s="6">
        <v>484</v>
      </c>
      <c r="C56" s="6">
        <v>1252</v>
      </c>
      <c r="D56" s="6">
        <v>78</v>
      </c>
      <c r="E56" s="6">
        <v>5</v>
      </c>
      <c r="F56" s="6">
        <v>73</v>
      </c>
      <c r="G56" s="6">
        <v>1658</v>
      </c>
      <c r="H56" s="6">
        <v>479</v>
      </c>
      <c r="I56" s="6">
        <v>1179</v>
      </c>
      <c r="J56" s="125" t="s">
        <v>626</v>
      </c>
      <c r="K56" s="1"/>
    </row>
    <row r="57" spans="1:11" ht="13.5" thickBot="1" x14ac:dyDescent="0.25">
      <c r="A57" s="6">
        <v>2829</v>
      </c>
      <c r="B57" s="6">
        <v>1637</v>
      </c>
      <c r="C57" s="6">
        <v>1192</v>
      </c>
      <c r="D57" s="6">
        <v>1943</v>
      </c>
      <c r="E57" s="6">
        <v>1324</v>
      </c>
      <c r="F57" s="6">
        <v>619</v>
      </c>
      <c r="G57" s="6">
        <v>886</v>
      </c>
      <c r="H57" s="6">
        <v>313</v>
      </c>
      <c r="I57" s="6">
        <v>573</v>
      </c>
      <c r="J57" s="125" t="s">
        <v>627</v>
      </c>
      <c r="K57" s="1"/>
    </row>
    <row r="58" spans="1:11" ht="13.5" thickBot="1" x14ac:dyDescent="0.25">
      <c r="A58" s="6">
        <v>737</v>
      </c>
      <c r="B58" s="6">
        <v>395</v>
      </c>
      <c r="C58" s="6">
        <v>342</v>
      </c>
      <c r="D58" s="6">
        <v>444</v>
      </c>
      <c r="E58" s="6">
        <v>305</v>
      </c>
      <c r="F58" s="6">
        <v>139</v>
      </c>
      <c r="G58" s="6">
        <v>293</v>
      </c>
      <c r="H58" s="6">
        <v>90</v>
      </c>
      <c r="I58" s="6">
        <v>203</v>
      </c>
      <c r="J58" s="125" t="s">
        <v>651</v>
      </c>
      <c r="K58" s="1"/>
    </row>
    <row r="59" spans="1:11" ht="13.5" thickBot="1" x14ac:dyDescent="0.25">
      <c r="A59" s="6">
        <v>27</v>
      </c>
      <c r="B59" s="6">
        <v>19</v>
      </c>
      <c r="C59" s="6">
        <v>8</v>
      </c>
      <c r="D59" s="6">
        <v>2</v>
      </c>
      <c r="E59" s="6">
        <v>2</v>
      </c>
      <c r="F59" s="6">
        <v>0</v>
      </c>
      <c r="G59" s="6">
        <v>25</v>
      </c>
      <c r="H59" s="6">
        <v>17</v>
      </c>
      <c r="I59" s="6">
        <v>8</v>
      </c>
      <c r="J59" s="125" t="s">
        <v>367</v>
      </c>
      <c r="K59" s="1"/>
    </row>
    <row r="60" spans="1:11" ht="13.5" thickBot="1" x14ac:dyDescent="0.25">
      <c r="A60" s="6">
        <v>14</v>
      </c>
      <c r="B60" s="6">
        <v>0</v>
      </c>
      <c r="C60" s="6">
        <v>14</v>
      </c>
      <c r="D60" s="6">
        <v>0</v>
      </c>
      <c r="E60" s="6">
        <v>0</v>
      </c>
      <c r="F60" s="6">
        <v>0</v>
      </c>
      <c r="G60" s="6">
        <v>14</v>
      </c>
      <c r="H60" s="6">
        <v>0</v>
      </c>
      <c r="I60" s="6">
        <v>14</v>
      </c>
      <c r="J60" s="125" t="s">
        <v>91</v>
      </c>
      <c r="K60" s="1"/>
    </row>
    <row r="61" spans="1:11" ht="13.5" thickBot="1" x14ac:dyDescent="0.25">
      <c r="A61" s="6">
        <v>19</v>
      </c>
      <c r="B61" s="6">
        <v>0</v>
      </c>
      <c r="C61" s="6">
        <v>19</v>
      </c>
      <c r="D61" s="6">
        <v>0</v>
      </c>
      <c r="E61" s="6">
        <v>0</v>
      </c>
      <c r="F61" s="6">
        <v>0</v>
      </c>
      <c r="G61" s="6">
        <v>19</v>
      </c>
      <c r="H61" s="6">
        <v>0</v>
      </c>
      <c r="I61" s="6">
        <v>19</v>
      </c>
      <c r="J61" s="125" t="s">
        <v>92</v>
      </c>
      <c r="K61" s="1"/>
    </row>
    <row r="62" spans="1:11" ht="13.5" thickBot="1" x14ac:dyDescent="0.25">
      <c r="A62" s="6">
        <v>27</v>
      </c>
      <c r="B62" s="6">
        <v>0</v>
      </c>
      <c r="C62" s="6">
        <v>27</v>
      </c>
      <c r="D62" s="6">
        <v>0</v>
      </c>
      <c r="E62" s="6">
        <v>0</v>
      </c>
      <c r="F62" s="6">
        <v>0</v>
      </c>
      <c r="G62" s="6">
        <v>27</v>
      </c>
      <c r="H62" s="6">
        <v>0</v>
      </c>
      <c r="I62" s="6">
        <v>27</v>
      </c>
      <c r="J62" s="125" t="s">
        <v>368</v>
      </c>
      <c r="K62" s="1"/>
    </row>
    <row r="63" spans="1:11" ht="13.5" thickBot="1" x14ac:dyDescent="0.25">
      <c r="A63" s="6">
        <v>13</v>
      </c>
      <c r="B63" s="6">
        <v>0</v>
      </c>
      <c r="C63" s="6">
        <v>13</v>
      </c>
      <c r="D63" s="6">
        <v>0</v>
      </c>
      <c r="E63" s="6">
        <v>0</v>
      </c>
      <c r="F63" s="6">
        <v>0</v>
      </c>
      <c r="G63" s="6">
        <v>13</v>
      </c>
      <c r="H63" s="6">
        <v>0</v>
      </c>
      <c r="I63" s="6">
        <v>13</v>
      </c>
      <c r="J63" s="125" t="s">
        <v>93</v>
      </c>
      <c r="K63" s="1"/>
    </row>
    <row r="64" spans="1:11" ht="13.5" thickBot="1" x14ac:dyDescent="0.25">
      <c r="A64" s="6">
        <v>11</v>
      </c>
      <c r="B64" s="6">
        <v>0</v>
      </c>
      <c r="C64" s="6">
        <v>11</v>
      </c>
      <c r="D64" s="6">
        <v>0</v>
      </c>
      <c r="E64" s="6">
        <v>0</v>
      </c>
      <c r="F64" s="6">
        <v>0</v>
      </c>
      <c r="G64" s="6">
        <v>11</v>
      </c>
      <c r="H64" s="6">
        <v>0</v>
      </c>
      <c r="I64" s="6">
        <v>11</v>
      </c>
      <c r="J64" s="125" t="s">
        <v>369</v>
      </c>
      <c r="K64" s="1"/>
    </row>
    <row r="65" spans="1:11" ht="13.5" thickBot="1" x14ac:dyDescent="0.25">
      <c r="A65" s="6">
        <v>8</v>
      </c>
      <c r="B65" s="6">
        <v>0</v>
      </c>
      <c r="C65" s="6">
        <v>8</v>
      </c>
      <c r="D65" s="6">
        <v>0</v>
      </c>
      <c r="E65" s="6">
        <v>0</v>
      </c>
      <c r="F65" s="6">
        <v>0</v>
      </c>
      <c r="G65" s="6">
        <v>8</v>
      </c>
      <c r="H65" s="6">
        <v>0</v>
      </c>
      <c r="I65" s="6">
        <v>8</v>
      </c>
      <c r="J65" s="125" t="s">
        <v>370</v>
      </c>
      <c r="K65" s="1"/>
    </row>
    <row r="66" spans="1:11" ht="13.5" thickBot="1" x14ac:dyDescent="0.25">
      <c r="A66" s="6">
        <v>14</v>
      </c>
      <c r="B66" s="6">
        <v>0</v>
      </c>
      <c r="C66" s="6">
        <v>14</v>
      </c>
      <c r="D66" s="6">
        <v>0</v>
      </c>
      <c r="E66" s="6">
        <v>0</v>
      </c>
      <c r="F66" s="6">
        <v>0</v>
      </c>
      <c r="G66" s="6">
        <v>14</v>
      </c>
      <c r="H66" s="6">
        <v>0</v>
      </c>
      <c r="I66" s="6">
        <v>14</v>
      </c>
      <c r="J66" s="125" t="s">
        <v>371</v>
      </c>
      <c r="K66" s="1"/>
    </row>
    <row r="67" spans="1:11" ht="13.5" thickBot="1" x14ac:dyDescent="0.25">
      <c r="A67" s="6">
        <v>6752</v>
      </c>
      <c r="B67" s="6">
        <v>2785</v>
      </c>
      <c r="C67" s="6">
        <v>3967</v>
      </c>
      <c r="D67" s="6">
        <v>2813</v>
      </c>
      <c r="E67" s="6">
        <v>1750</v>
      </c>
      <c r="F67" s="6">
        <v>1063</v>
      </c>
      <c r="G67" s="6">
        <v>3939</v>
      </c>
      <c r="H67" s="6">
        <v>1035</v>
      </c>
      <c r="I67" s="6">
        <v>2904</v>
      </c>
      <c r="J67" s="7" t="s">
        <v>232</v>
      </c>
      <c r="K67" s="1"/>
    </row>
    <row r="68" spans="1:11" ht="18" customHeight="1" x14ac:dyDescent="0.2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"/>
    </row>
    <row r="69" spans="1:11" ht="18" customHeight="1" x14ac:dyDescent="0.2">
      <c r="A69" s="159" t="s">
        <v>649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"/>
    </row>
    <row r="70" spans="1:11" ht="18" customHeight="1" thickBot="1" x14ac:dyDescent="0.25">
      <c r="A70" s="160" t="s">
        <v>650</v>
      </c>
      <c r="B70" s="160"/>
      <c r="C70" s="160"/>
      <c r="D70" s="160"/>
      <c r="E70" s="160"/>
      <c r="F70" s="160"/>
      <c r="G70" s="160"/>
      <c r="H70" s="160"/>
      <c r="I70" s="160"/>
      <c r="J70" s="160"/>
      <c r="K70" s="1"/>
    </row>
    <row r="71" spans="1:11" ht="13.5" thickBot="1" x14ac:dyDescent="0.25">
      <c r="A71" s="161" t="s">
        <v>5</v>
      </c>
      <c r="B71" s="161"/>
      <c r="C71" s="161"/>
      <c r="D71" s="161" t="s">
        <v>162</v>
      </c>
      <c r="E71" s="161"/>
      <c r="F71" s="161"/>
      <c r="G71" s="161" t="s">
        <v>163</v>
      </c>
      <c r="H71" s="161"/>
      <c r="I71" s="161"/>
      <c r="J71" s="47" t="s">
        <v>72</v>
      </c>
      <c r="K71" s="1"/>
    </row>
    <row r="72" spans="1:11" ht="13.5" thickBot="1" x14ac:dyDescent="0.25">
      <c r="A72" s="47" t="s">
        <v>216</v>
      </c>
      <c r="B72" s="47" t="s">
        <v>11</v>
      </c>
      <c r="C72" s="47" t="s">
        <v>10</v>
      </c>
      <c r="D72" s="47" t="s">
        <v>216</v>
      </c>
      <c r="E72" s="47" t="s">
        <v>11</v>
      </c>
      <c r="F72" s="47" t="s">
        <v>10</v>
      </c>
      <c r="G72" s="47" t="s">
        <v>216</v>
      </c>
      <c r="H72" s="47" t="s">
        <v>11</v>
      </c>
      <c r="I72" s="47" t="s">
        <v>10</v>
      </c>
      <c r="J72" s="33" t="s">
        <v>79</v>
      </c>
      <c r="K72" s="1"/>
    </row>
    <row r="73" spans="1:11" ht="13.5" thickBot="1" x14ac:dyDescent="0.25">
      <c r="A73" s="6">
        <v>45</v>
      </c>
      <c r="B73" s="6">
        <v>14</v>
      </c>
      <c r="C73" s="6">
        <v>31</v>
      </c>
      <c r="D73" s="6">
        <v>5</v>
      </c>
      <c r="E73" s="6">
        <v>1</v>
      </c>
      <c r="F73" s="6">
        <v>4</v>
      </c>
      <c r="G73" s="6">
        <v>40</v>
      </c>
      <c r="H73" s="6">
        <v>13</v>
      </c>
      <c r="I73" s="6">
        <v>27</v>
      </c>
      <c r="J73" s="125" t="s">
        <v>375</v>
      </c>
      <c r="K73" s="1"/>
    </row>
    <row r="74" spans="1:11" ht="13.5" thickBot="1" x14ac:dyDescent="0.25">
      <c r="A74" s="6">
        <v>53</v>
      </c>
      <c r="B74" s="6">
        <v>21</v>
      </c>
      <c r="C74" s="6">
        <v>32</v>
      </c>
      <c r="D74" s="6">
        <v>8</v>
      </c>
      <c r="E74" s="6">
        <v>0</v>
      </c>
      <c r="F74" s="6">
        <v>8</v>
      </c>
      <c r="G74" s="6">
        <v>45</v>
      </c>
      <c r="H74" s="6">
        <v>21</v>
      </c>
      <c r="I74" s="6">
        <v>24</v>
      </c>
      <c r="J74" s="125" t="s">
        <v>263</v>
      </c>
      <c r="K74" s="1"/>
    </row>
    <row r="75" spans="1:11" ht="13.5" thickBot="1" x14ac:dyDescent="0.25">
      <c r="A75" s="6">
        <v>4</v>
      </c>
      <c r="B75" s="6">
        <v>1</v>
      </c>
      <c r="C75" s="6">
        <v>3</v>
      </c>
      <c r="D75" s="6">
        <v>0</v>
      </c>
      <c r="E75" s="6">
        <v>0</v>
      </c>
      <c r="F75" s="6">
        <v>0</v>
      </c>
      <c r="G75" s="6">
        <v>4</v>
      </c>
      <c r="H75" s="6">
        <v>1</v>
      </c>
      <c r="I75" s="6">
        <v>3</v>
      </c>
      <c r="J75" s="125" t="s">
        <v>376</v>
      </c>
      <c r="K75" s="1"/>
    </row>
    <row r="76" spans="1:11" ht="13.5" thickBot="1" x14ac:dyDescent="0.25">
      <c r="A76" s="6">
        <v>118</v>
      </c>
      <c r="B76" s="6">
        <v>39</v>
      </c>
      <c r="C76" s="6">
        <v>79</v>
      </c>
      <c r="D76" s="6">
        <v>12</v>
      </c>
      <c r="E76" s="6">
        <v>1</v>
      </c>
      <c r="F76" s="6">
        <v>11</v>
      </c>
      <c r="G76" s="6">
        <v>106</v>
      </c>
      <c r="H76" s="6">
        <v>38</v>
      </c>
      <c r="I76" s="6">
        <v>68</v>
      </c>
      <c r="J76" s="125" t="s">
        <v>359</v>
      </c>
      <c r="K76" s="1"/>
    </row>
    <row r="77" spans="1:11" ht="13.5" thickBot="1" x14ac:dyDescent="0.25">
      <c r="A77" s="6">
        <v>96</v>
      </c>
      <c r="B77" s="6">
        <v>0</v>
      </c>
      <c r="C77" s="6">
        <v>96</v>
      </c>
      <c r="D77" s="6">
        <v>33</v>
      </c>
      <c r="E77" s="6">
        <v>0</v>
      </c>
      <c r="F77" s="6">
        <v>33</v>
      </c>
      <c r="G77" s="6">
        <v>63</v>
      </c>
      <c r="H77" s="6">
        <v>0</v>
      </c>
      <c r="I77" s="6">
        <v>63</v>
      </c>
      <c r="J77" s="125" t="s">
        <v>377</v>
      </c>
      <c r="K77" s="1"/>
    </row>
    <row r="78" spans="1:11" ht="13.5" thickBot="1" x14ac:dyDescent="0.25">
      <c r="A78" s="6">
        <v>36</v>
      </c>
      <c r="B78" s="6">
        <v>2</v>
      </c>
      <c r="C78" s="6">
        <v>34</v>
      </c>
      <c r="D78" s="6">
        <v>0</v>
      </c>
      <c r="E78" s="6">
        <v>0</v>
      </c>
      <c r="F78" s="6">
        <v>0</v>
      </c>
      <c r="G78" s="6">
        <v>36</v>
      </c>
      <c r="H78" s="6">
        <v>2</v>
      </c>
      <c r="I78" s="6">
        <v>34</v>
      </c>
      <c r="J78" s="125" t="s">
        <v>378</v>
      </c>
      <c r="K78" s="1"/>
    </row>
    <row r="79" spans="1:11" ht="13.5" thickBot="1" x14ac:dyDescent="0.25">
      <c r="A79" s="6">
        <v>774</v>
      </c>
      <c r="B79" s="6">
        <v>178</v>
      </c>
      <c r="C79" s="6">
        <v>596</v>
      </c>
      <c r="D79" s="6">
        <v>98</v>
      </c>
      <c r="E79" s="6">
        <v>15</v>
      </c>
      <c r="F79" s="6">
        <v>83</v>
      </c>
      <c r="G79" s="6">
        <v>676</v>
      </c>
      <c r="H79" s="6">
        <v>163</v>
      </c>
      <c r="I79" s="6">
        <v>513</v>
      </c>
      <c r="J79" s="125" t="s">
        <v>652</v>
      </c>
      <c r="K79" s="1"/>
    </row>
    <row r="80" spans="1:11" ht="13.5" thickBot="1" x14ac:dyDescent="0.25">
      <c r="A80" s="6">
        <v>12</v>
      </c>
      <c r="B80" s="6">
        <v>0</v>
      </c>
      <c r="C80" s="6">
        <v>12</v>
      </c>
      <c r="D80" s="6">
        <v>0</v>
      </c>
      <c r="E80" s="6">
        <v>0</v>
      </c>
      <c r="F80" s="6">
        <v>0</v>
      </c>
      <c r="G80" s="6">
        <v>12</v>
      </c>
      <c r="H80" s="6">
        <v>0</v>
      </c>
      <c r="I80" s="6">
        <v>12</v>
      </c>
      <c r="J80" s="125" t="s">
        <v>539</v>
      </c>
      <c r="K80" s="1"/>
    </row>
    <row r="81" spans="1:11" ht="13.5" thickBot="1" x14ac:dyDescent="0.25">
      <c r="A81" s="6">
        <v>29</v>
      </c>
      <c r="B81" s="6">
        <v>0</v>
      </c>
      <c r="C81" s="6">
        <v>29</v>
      </c>
      <c r="D81" s="6">
        <v>5</v>
      </c>
      <c r="E81" s="6">
        <v>0</v>
      </c>
      <c r="F81" s="6">
        <v>5</v>
      </c>
      <c r="G81" s="6">
        <v>24</v>
      </c>
      <c r="H81" s="6">
        <v>0</v>
      </c>
      <c r="I81" s="6">
        <v>24</v>
      </c>
      <c r="J81" s="125" t="s">
        <v>379</v>
      </c>
      <c r="K81" s="1"/>
    </row>
    <row r="82" spans="1:11" ht="13.5" thickBot="1" x14ac:dyDescent="0.25">
      <c r="A82" s="6">
        <v>71</v>
      </c>
      <c r="B82" s="6">
        <v>0</v>
      </c>
      <c r="C82" s="6">
        <v>71</v>
      </c>
      <c r="D82" s="6">
        <v>7</v>
      </c>
      <c r="E82" s="6">
        <v>0</v>
      </c>
      <c r="F82" s="6">
        <v>7</v>
      </c>
      <c r="G82" s="6">
        <v>64</v>
      </c>
      <c r="H82" s="6">
        <v>0</v>
      </c>
      <c r="I82" s="6">
        <v>64</v>
      </c>
      <c r="J82" s="125" t="s">
        <v>566</v>
      </c>
      <c r="K82" s="1"/>
    </row>
    <row r="83" spans="1:11" ht="13.5" thickBot="1" x14ac:dyDescent="0.25">
      <c r="A83" s="6">
        <v>32</v>
      </c>
      <c r="B83" s="6">
        <v>0</v>
      </c>
      <c r="C83" s="6">
        <v>32</v>
      </c>
      <c r="D83" s="6">
        <v>4</v>
      </c>
      <c r="E83" s="6">
        <v>0</v>
      </c>
      <c r="F83" s="6">
        <v>4</v>
      </c>
      <c r="G83" s="6">
        <v>28</v>
      </c>
      <c r="H83" s="6">
        <v>0</v>
      </c>
      <c r="I83" s="6">
        <v>28</v>
      </c>
      <c r="J83" s="125" t="s">
        <v>538</v>
      </c>
      <c r="K83" s="1"/>
    </row>
    <row r="84" spans="1:11" ht="13.5" thickBot="1" x14ac:dyDescent="0.25">
      <c r="A84" s="6">
        <v>79</v>
      </c>
      <c r="B84" s="6">
        <v>26</v>
      </c>
      <c r="C84" s="6">
        <v>53</v>
      </c>
      <c r="D84" s="6">
        <v>18</v>
      </c>
      <c r="E84" s="6">
        <v>8</v>
      </c>
      <c r="F84" s="6">
        <v>10</v>
      </c>
      <c r="G84" s="6">
        <v>61</v>
      </c>
      <c r="H84" s="6">
        <v>18</v>
      </c>
      <c r="I84" s="6">
        <v>43</v>
      </c>
      <c r="J84" s="125" t="s">
        <v>653</v>
      </c>
      <c r="K84" s="1"/>
    </row>
    <row r="85" spans="1:11" ht="13.5" thickBot="1" x14ac:dyDescent="0.25">
      <c r="A85" s="6">
        <v>8</v>
      </c>
      <c r="B85" s="6">
        <v>8</v>
      </c>
      <c r="C85" s="6">
        <v>0</v>
      </c>
      <c r="D85" s="6">
        <v>0</v>
      </c>
      <c r="E85" s="6">
        <v>0</v>
      </c>
      <c r="F85" s="6">
        <v>0</v>
      </c>
      <c r="G85" s="6">
        <v>8</v>
      </c>
      <c r="H85" s="6">
        <v>8</v>
      </c>
      <c r="I85" s="6">
        <v>0</v>
      </c>
      <c r="J85" s="125" t="s">
        <v>380</v>
      </c>
      <c r="K85" s="1"/>
    </row>
    <row r="86" spans="1:11" ht="13.5" thickBot="1" x14ac:dyDescent="0.25">
      <c r="A86" s="6">
        <v>7</v>
      </c>
      <c r="B86" s="6">
        <v>3</v>
      </c>
      <c r="C86" s="6">
        <v>4</v>
      </c>
      <c r="D86" s="6">
        <v>1</v>
      </c>
      <c r="E86" s="6">
        <v>0</v>
      </c>
      <c r="F86" s="6">
        <v>1</v>
      </c>
      <c r="G86" s="6">
        <v>6</v>
      </c>
      <c r="H86" s="6">
        <v>3</v>
      </c>
      <c r="I86" s="6">
        <v>3</v>
      </c>
      <c r="J86" s="125" t="s">
        <v>264</v>
      </c>
      <c r="K86" s="1"/>
    </row>
    <row r="87" spans="1:11" ht="13.5" thickBot="1" x14ac:dyDescent="0.25">
      <c r="A87" s="6">
        <v>11</v>
      </c>
      <c r="B87" s="6">
        <v>3</v>
      </c>
      <c r="C87" s="6">
        <v>8</v>
      </c>
      <c r="D87" s="6">
        <v>6</v>
      </c>
      <c r="E87" s="6">
        <v>3</v>
      </c>
      <c r="F87" s="6">
        <v>3</v>
      </c>
      <c r="G87" s="6">
        <v>5</v>
      </c>
      <c r="H87" s="6">
        <v>0</v>
      </c>
      <c r="I87" s="6">
        <v>5</v>
      </c>
      <c r="J87" s="125" t="s">
        <v>337</v>
      </c>
      <c r="K87" s="1"/>
    </row>
    <row r="88" spans="1:11" ht="13.5" thickBot="1" x14ac:dyDescent="0.25">
      <c r="A88" s="6">
        <v>15</v>
      </c>
      <c r="B88" s="6">
        <v>0</v>
      </c>
      <c r="C88" s="6">
        <v>15</v>
      </c>
      <c r="D88" s="6">
        <v>0</v>
      </c>
      <c r="E88" s="6">
        <v>0</v>
      </c>
      <c r="F88" s="6">
        <v>0</v>
      </c>
      <c r="G88" s="6">
        <v>15</v>
      </c>
      <c r="H88" s="6">
        <v>0</v>
      </c>
      <c r="I88" s="6">
        <v>15</v>
      </c>
      <c r="J88" s="125" t="s">
        <v>95</v>
      </c>
      <c r="K88" s="1"/>
    </row>
    <row r="89" spans="1:11" ht="13.5" thickBot="1" x14ac:dyDescent="0.25">
      <c r="A89" s="6">
        <v>15</v>
      </c>
      <c r="B89" s="6">
        <v>2</v>
      </c>
      <c r="C89" s="6">
        <v>13</v>
      </c>
      <c r="D89" s="6">
        <v>0</v>
      </c>
      <c r="E89" s="6">
        <v>0</v>
      </c>
      <c r="F89" s="6">
        <v>0</v>
      </c>
      <c r="G89" s="6">
        <v>15</v>
      </c>
      <c r="H89" s="6">
        <v>2</v>
      </c>
      <c r="I89" s="6">
        <v>13</v>
      </c>
      <c r="J89" s="125" t="s">
        <v>381</v>
      </c>
      <c r="K89" s="1"/>
    </row>
    <row r="90" spans="1:11" ht="13.5" thickBot="1" x14ac:dyDescent="0.25">
      <c r="A90" s="6">
        <v>15</v>
      </c>
      <c r="B90" s="6">
        <v>15</v>
      </c>
      <c r="C90" s="6">
        <v>0</v>
      </c>
      <c r="D90" s="6">
        <v>0</v>
      </c>
      <c r="E90" s="6">
        <v>0</v>
      </c>
      <c r="F90" s="6">
        <v>0</v>
      </c>
      <c r="G90" s="6">
        <v>15</v>
      </c>
      <c r="H90" s="6">
        <v>15</v>
      </c>
      <c r="I90" s="6">
        <v>0</v>
      </c>
      <c r="J90" s="125" t="s">
        <v>383</v>
      </c>
      <c r="K90" s="1"/>
    </row>
    <row r="91" spans="1:11" ht="13.5" thickBot="1" x14ac:dyDescent="0.25">
      <c r="A91" s="6">
        <v>55</v>
      </c>
      <c r="B91" s="6">
        <v>55</v>
      </c>
      <c r="C91" s="6">
        <v>0</v>
      </c>
      <c r="D91" s="6">
        <v>0</v>
      </c>
      <c r="E91" s="6">
        <v>0</v>
      </c>
      <c r="F91" s="6">
        <v>0</v>
      </c>
      <c r="G91" s="6">
        <v>55</v>
      </c>
      <c r="H91" s="6">
        <v>55</v>
      </c>
      <c r="I91" s="6">
        <v>0</v>
      </c>
      <c r="J91" s="125" t="s">
        <v>384</v>
      </c>
      <c r="K91" s="1"/>
    </row>
    <row r="92" spans="1:11" ht="13.5" thickBot="1" x14ac:dyDescent="0.25">
      <c r="A92" s="6">
        <v>11</v>
      </c>
      <c r="B92" s="6">
        <v>11</v>
      </c>
      <c r="C92" s="6">
        <v>0</v>
      </c>
      <c r="D92" s="6">
        <v>0</v>
      </c>
      <c r="E92" s="6">
        <v>0</v>
      </c>
      <c r="F92" s="6">
        <v>0</v>
      </c>
      <c r="G92" s="6">
        <v>11</v>
      </c>
      <c r="H92" s="6">
        <v>11</v>
      </c>
      <c r="I92" s="6">
        <v>0</v>
      </c>
      <c r="J92" s="125" t="s">
        <v>629</v>
      </c>
      <c r="K92" s="1"/>
    </row>
    <row r="93" spans="1:11" ht="13.5" thickBot="1" x14ac:dyDescent="0.25">
      <c r="A93" s="6">
        <v>30</v>
      </c>
      <c r="B93" s="6">
        <v>30</v>
      </c>
      <c r="C93" s="6">
        <v>0</v>
      </c>
      <c r="D93" s="6">
        <v>0</v>
      </c>
      <c r="E93" s="6">
        <v>0</v>
      </c>
      <c r="F93" s="6">
        <v>0</v>
      </c>
      <c r="G93" s="6">
        <v>30</v>
      </c>
      <c r="H93" s="6">
        <v>30</v>
      </c>
      <c r="I93" s="6">
        <v>0</v>
      </c>
      <c r="J93" s="125" t="s">
        <v>386</v>
      </c>
      <c r="K93" s="1"/>
    </row>
    <row r="94" spans="1:11" ht="13.5" thickBot="1" x14ac:dyDescent="0.25">
      <c r="A94" s="6">
        <v>2</v>
      </c>
      <c r="B94" s="6">
        <v>2</v>
      </c>
      <c r="C94" s="6">
        <v>0</v>
      </c>
      <c r="D94" s="6">
        <v>0</v>
      </c>
      <c r="E94" s="6">
        <v>0</v>
      </c>
      <c r="F94" s="6">
        <v>0</v>
      </c>
      <c r="G94" s="6">
        <v>2</v>
      </c>
      <c r="H94" s="6">
        <v>2</v>
      </c>
      <c r="I94" s="6">
        <v>0</v>
      </c>
      <c r="J94" s="125" t="s">
        <v>96</v>
      </c>
      <c r="K94" s="1"/>
    </row>
    <row r="95" spans="1:11" ht="13.5" thickBot="1" x14ac:dyDescent="0.25">
      <c r="A95" s="6">
        <v>17</v>
      </c>
      <c r="B95" s="6">
        <v>0</v>
      </c>
      <c r="C95" s="6">
        <v>17</v>
      </c>
      <c r="D95" s="6">
        <v>0</v>
      </c>
      <c r="E95" s="6">
        <v>0</v>
      </c>
      <c r="F95" s="6">
        <v>0</v>
      </c>
      <c r="G95" s="6">
        <v>17</v>
      </c>
      <c r="H95" s="6">
        <v>0</v>
      </c>
      <c r="I95" s="6">
        <v>17</v>
      </c>
      <c r="J95" s="125" t="s">
        <v>248</v>
      </c>
      <c r="K95" s="1"/>
    </row>
    <row r="96" spans="1:11" ht="13.5" thickBot="1" x14ac:dyDescent="0.25">
      <c r="A96" s="6">
        <v>29</v>
      </c>
      <c r="B96" s="6">
        <v>24</v>
      </c>
      <c r="C96" s="6">
        <v>5</v>
      </c>
      <c r="D96" s="6">
        <v>2</v>
      </c>
      <c r="E96" s="6">
        <v>2</v>
      </c>
      <c r="F96" s="6">
        <v>0</v>
      </c>
      <c r="G96" s="6">
        <v>27</v>
      </c>
      <c r="H96" s="6">
        <v>22</v>
      </c>
      <c r="I96" s="6">
        <v>5</v>
      </c>
      <c r="J96" s="125" t="s">
        <v>249</v>
      </c>
      <c r="K96" s="1"/>
    </row>
    <row r="97" spans="1:11" ht="13.5" thickBot="1" x14ac:dyDescent="0.25">
      <c r="A97" s="6">
        <v>1564</v>
      </c>
      <c r="B97" s="6">
        <v>434</v>
      </c>
      <c r="C97" s="6">
        <v>1130</v>
      </c>
      <c r="D97" s="6">
        <v>199</v>
      </c>
      <c r="E97" s="6">
        <v>30</v>
      </c>
      <c r="F97" s="6">
        <v>169</v>
      </c>
      <c r="G97" s="6">
        <v>1365</v>
      </c>
      <c r="H97" s="6">
        <v>404</v>
      </c>
      <c r="I97" s="6">
        <v>961</v>
      </c>
      <c r="J97" s="7" t="s">
        <v>232</v>
      </c>
      <c r="K97" s="1"/>
    </row>
    <row r="98" spans="1:11" ht="18" customHeight="1" x14ac:dyDescent="0.2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"/>
    </row>
    <row r="99" spans="1:11" ht="18" customHeight="1" x14ac:dyDescent="0.2">
      <c r="A99" s="159" t="s">
        <v>649</v>
      </c>
      <c r="B99" s="159"/>
      <c r="C99" s="159"/>
      <c r="D99" s="159"/>
      <c r="E99" s="159"/>
      <c r="F99" s="159"/>
      <c r="G99" s="159"/>
      <c r="H99" s="159"/>
      <c r="I99" s="159"/>
      <c r="J99" s="159"/>
      <c r="K99" s="1"/>
    </row>
    <row r="100" spans="1:11" ht="18" customHeight="1" thickBot="1" x14ac:dyDescent="0.25">
      <c r="A100" s="160" t="s">
        <v>650</v>
      </c>
      <c r="B100" s="160"/>
      <c r="C100" s="160"/>
      <c r="D100" s="160"/>
      <c r="E100" s="160"/>
      <c r="F100" s="160"/>
      <c r="G100" s="160"/>
      <c r="H100" s="160"/>
      <c r="I100" s="160"/>
      <c r="J100" s="160"/>
      <c r="K100" s="1"/>
    </row>
    <row r="101" spans="1:11" ht="13.5" thickBot="1" x14ac:dyDescent="0.25">
      <c r="A101" s="161" t="s">
        <v>5</v>
      </c>
      <c r="B101" s="161"/>
      <c r="C101" s="161"/>
      <c r="D101" s="161" t="s">
        <v>162</v>
      </c>
      <c r="E101" s="161"/>
      <c r="F101" s="161"/>
      <c r="G101" s="161" t="s">
        <v>163</v>
      </c>
      <c r="H101" s="161"/>
      <c r="I101" s="161"/>
      <c r="J101" s="47" t="s">
        <v>72</v>
      </c>
      <c r="K101" s="1"/>
    </row>
    <row r="102" spans="1:11" ht="13.5" thickBot="1" x14ac:dyDescent="0.25">
      <c r="A102" s="47" t="s">
        <v>216</v>
      </c>
      <c r="B102" s="47" t="s">
        <v>11</v>
      </c>
      <c r="C102" s="47" t="s">
        <v>10</v>
      </c>
      <c r="D102" s="47" t="s">
        <v>216</v>
      </c>
      <c r="E102" s="47" t="s">
        <v>11</v>
      </c>
      <c r="F102" s="47" t="s">
        <v>10</v>
      </c>
      <c r="G102" s="47" t="s">
        <v>216</v>
      </c>
      <c r="H102" s="47" t="s">
        <v>11</v>
      </c>
      <c r="I102" s="47" t="s">
        <v>10</v>
      </c>
      <c r="J102" s="33" t="s">
        <v>98</v>
      </c>
      <c r="K102" s="1"/>
    </row>
    <row r="103" spans="1:11" ht="13.5" thickBot="1" x14ac:dyDescent="0.25">
      <c r="A103" s="6">
        <v>69</v>
      </c>
      <c r="B103" s="6">
        <v>0</v>
      </c>
      <c r="C103" s="6">
        <v>69</v>
      </c>
      <c r="D103" s="6">
        <v>42</v>
      </c>
      <c r="E103" s="6">
        <v>0</v>
      </c>
      <c r="F103" s="6">
        <v>42</v>
      </c>
      <c r="G103" s="6">
        <v>27</v>
      </c>
      <c r="H103" s="6">
        <v>0</v>
      </c>
      <c r="I103" s="6">
        <v>27</v>
      </c>
      <c r="J103" s="125" t="s">
        <v>388</v>
      </c>
      <c r="K103" s="1"/>
    </row>
    <row r="104" spans="1:11" ht="13.5" thickBot="1" x14ac:dyDescent="0.25">
      <c r="A104" s="6">
        <v>16</v>
      </c>
      <c r="B104" s="6">
        <v>0</v>
      </c>
      <c r="C104" s="6">
        <v>16</v>
      </c>
      <c r="D104" s="6">
        <v>5</v>
      </c>
      <c r="E104" s="6">
        <v>0</v>
      </c>
      <c r="F104" s="6">
        <v>5</v>
      </c>
      <c r="G104" s="6">
        <v>11</v>
      </c>
      <c r="H104" s="6">
        <v>0</v>
      </c>
      <c r="I104" s="6">
        <v>11</v>
      </c>
      <c r="J104" s="125" t="s">
        <v>390</v>
      </c>
      <c r="K104" s="1"/>
    </row>
    <row r="105" spans="1:11" ht="13.5" thickBot="1" x14ac:dyDescent="0.25">
      <c r="A105" s="6">
        <v>23</v>
      </c>
      <c r="B105" s="6">
        <v>0</v>
      </c>
      <c r="C105" s="6">
        <v>23</v>
      </c>
      <c r="D105" s="6">
        <v>12</v>
      </c>
      <c r="E105" s="6">
        <v>0</v>
      </c>
      <c r="F105" s="6">
        <v>12</v>
      </c>
      <c r="G105" s="6">
        <v>11</v>
      </c>
      <c r="H105" s="6">
        <v>0</v>
      </c>
      <c r="I105" s="6">
        <v>11</v>
      </c>
      <c r="J105" s="125" t="s">
        <v>391</v>
      </c>
      <c r="K105" s="1"/>
    </row>
    <row r="106" spans="1:11" ht="13.5" thickBot="1" x14ac:dyDescent="0.25">
      <c r="A106" s="6">
        <v>34</v>
      </c>
      <c r="B106" s="6">
        <v>0</v>
      </c>
      <c r="C106" s="6">
        <v>34</v>
      </c>
      <c r="D106" s="6">
        <v>2</v>
      </c>
      <c r="E106" s="6">
        <v>0</v>
      </c>
      <c r="F106" s="6">
        <v>2</v>
      </c>
      <c r="G106" s="6">
        <v>32</v>
      </c>
      <c r="H106" s="6">
        <v>0</v>
      </c>
      <c r="I106" s="6">
        <v>32</v>
      </c>
      <c r="J106" s="125" t="s">
        <v>97</v>
      </c>
      <c r="K106" s="1"/>
    </row>
    <row r="107" spans="1:11" ht="13.5" thickBot="1" x14ac:dyDescent="0.25">
      <c r="A107" s="6">
        <v>48</v>
      </c>
      <c r="B107" s="6">
        <v>0</v>
      </c>
      <c r="C107" s="6">
        <v>48</v>
      </c>
      <c r="D107" s="6">
        <v>34</v>
      </c>
      <c r="E107" s="6">
        <v>0</v>
      </c>
      <c r="F107" s="6">
        <v>34</v>
      </c>
      <c r="G107" s="6">
        <v>14</v>
      </c>
      <c r="H107" s="6">
        <v>0</v>
      </c>
      <c r="I107" s="6">
        <v>14</v>
      </c>
      <c r="J107" s="125" t="s">
        <v>359</v>
      </c>
      <c r="K107" s="1"/>
    </row>
    <row r="108" spans="1:11" ht="13.5" thickBot="1" x14ac:dyDescent="0.25">
      <c r="A108" s="6">
        <v>15</v>
      </c>
      <c r="B108" s="6">
        <v>0</v>
      </c>
      <c r="C108" s="6">
        <v>15</v>
      </c>
      <c r="D108" s="6">
        <v>9</v>
      </c>
      <c r="E108" s="6">
        <v>0</v>
      </c>
      <c r="F108" s="6">
        <v>9</v>
      </c>
      <c r="G108" s="6">
        <v>6</v>
      </c>
      <c r="H108" s="6">
        <v>0</v>
      </c>
      <c r="I108" s="6">
        <v>6</v>
      </c>
      <c r="J108" s="125" t="s">
        <v>539</v>
      </c>
      <c r="K108" s="1"/>
    </row>
    <row r="109" spans="1:11" ht="13.5" thickBot="1" x14ac:dyDescent="0.25">
      <c r="A109" s="6">
        <v>10</v>
      </c>
      <c r="B109" s="6">
        <v>0</v>
      </c>
      <c r="C109" s="6">
        <v>10</v>
      </c>
      <c r="D109" s="6">
        <v>0</v>
      </c>
      <c r="E109" s="6">
        <v>0</v>
      </c>
      <c r="F109" s="6">
        <v>0</v>
      </c>
      <c r="G109" s="6">
        <v>10</v>
      </c>
      <c r="H109" s="6">
        <v>0</v>
      </c>
      <c r="I109" s="6">
        <v>10</v>
      </c>
      <c r="J109" s="125" t="s">
        <v>99</v>
      </c>
      <c r="K109" s="1"/>
    </row>
    <row r="110" spans="1:11" ht="13.5" thickBot="1" x14ac:dyDescent="0.25">
      <c r="A110" s="6">
        <v>946</v>
      </c>
      <c r="B110" s="6">
        <v>3</v>
      </c>
      <c r="C110" s="6">
        <v>943</v>
      </c>
      <c r="D110" s="6">
        <v>151</v>
      </c>
      <c r="E110" s="6">
        <v>3</v>
      </c>
      <c r="F110" s="6">
        <v>148</v>
      </c>
      <c r="G110" s="6">
        <v>795</v>
      </c>
      <c r="H110" s="6">
        <v>0</v>
      </c>
      <c r="I110" s="6">
        <v>795</v>
      </c>
      <c r="J110" s="125" t="s">
        <v>630</v>
      </c>
      <c r="K110" s="1"/>
    </row>
    <row r="111" spans="1:11" ht="13.5" thickBot="1" x14ac:dyDescent="0.25">
      <c r="A111" s="6">
        <v>2</v>
      </c>
      <c r="B111" s="6">
        <v>0</v>
      </c>
      <c r="C111" s="6">
        <v>2</v>
      </c>
      <c r="D111" s="6">
        <v>0</v>
      </c>
      <c r="E111" s="6">
        <v>0</v>
      </c>
      <c r="F111" s="6">
        <v>0</v>
      </c>
      <c r="G111" s="6">
        <v>2</v>
      </c>
      <c r="H111" s="6">
        <v>0</v>
      </c>
      <c r="I111" s="6">
        <v>2</v>
      </c>
      <c r="J111" s="125" t="s">
        <v>631</v>
      </c>
      <c r="K111" s="1"/>
    </row>
    <row r="112" spans="1:11" ht="13.5" thickBot="1" x14ac:dyDescent="0.25">
      <c r="A112" s="6">
        <v>25</v>
      </c>
      <c r="B112" s="6">
        <v>0</v>
      </c>
      <c r="C112" s="6">
        <v>25</v>
      </c>
      <c r="D112" s="6">
        <v>6</v>
      </c>
      <c r="E112" s="6">
        <v>0</v>
      </c>
      <c r="F112" s="6">
        <v>6</v>
      </c>
      <c r="G112" s="6">
        <v>19</v>
      </c>
      <c r="H112" s="6">
        <v>0</v>
      </c>
      <c r="I112" s="6">
        <v>19</v>
      </c>
      <c r="J112" s="125" t="s">
        <v>632</v>
      </c>
      <c r="K112" s="1"/>
    </row>
    <row r="113" spans="1:11" ht="13.5" thickBot="1" x14ac:dyDescent="0.25">
      <c r="A113" s="6">
        <v>1188</v>
      </c>
      <c r="B113" s="6">
        <v>3</v>
      </c>
      <c r="C113" s="6">
        <v>1185</v>
      </c>
      <c r="D113" s="6">
        <v>261</v>
      </c>
      <c r="E113" s="6">
        <v>3</v>
      </c>
      <c r="F113" s="6">
        <v>258</v>
      </c>
      <c r="G113" s="6">
        <v>927</v>
      </c>
      <c r="H113" s="6">
        <v>0</v>
      </c>
      <c r="I113" s="6">
        <v>927</v>
      </c>
      <c r="J113" s="7" t="s">
        <v>232</v>
      </c>
      <c r="K113" s="1"/>
    </row>
    <row r="114" spans="1:11" ht="18" customHeight="1" x14ac:dyDescent="0.2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"/>
    </row>
    <row r="115" spans="1:11" ht="18" customHeight="1" x14ac:dyDescent="0.2">
      <c r="A115" s="159" t="s">
        <v>649</v>
      </c>
      <c r="B115" s="159"/>
      <c r="C115" s="159"/>
      <c r="D115" s="159"/>
      <c r="E115" s="159"/>
      <c r="F115" s="159"/>
      <c r="G115" s="159"/>
      <c r="H115" s="159"/>
      <c r="I115" s="159"/>
      <c r="J115" s="159"/>
      <c r="K115" s="1"/>
    </row>
    <row r="116" spans="1:11" ht="18" customHeight="1" thickBot="1" x14ac:dyDescent="0.25">
      <c r="A116" s="160" t="s">
        <v>650</v>
      </c>
      <c r="B116" s="160"/>
      <c r="C116" s="160"/>
      <c r="D116" s="160"/>
      <c r="E116" s="160"/>
      <c r="F116" s="160"/>
      <c r="G116" s="160"/>
      <c r="H116" s="160"/>
      <c r="I116" s="160"/>
      <c r="J116" s="160"/>
      <c r="K116" s="1"/>
    </row>
    <row r="117" spans="1:11" ht="13.5" thickBot="1" x14ac:dyDescent="0.25">
      <c r="A117" s="161" t="s">
        <v>5</v>
      </c>
      <c r="B117" s="161"/>
      <c r="C117" s="161"/>
      <c r="D117" s="161" t="s">
        <v>162</v>
      </c>
      <c r="E117" s="161"/>
      <c r="F117" s="161"/>
      <c r="G117" s="161" t="s">
        <v>163</v>
      </c>
      <c r="H117" s="161"/>
      <c r="I117" s="161"/>
      <c r="J117" s="47" t="s">
        <v>72</v>
      </c>
      <c r="K117" s="1"/>
    </row>
    <row r="118" spans="1:11" ht="13.5" thickBot="1" x14ac:dyDescent="0.25">
      <c r="A118" s="47" t="s">
        <v>216</v>
      </c>
      <c r="B118" s="47" t="s">
        <v>11</v>
      </c>
      <c r="C118" s="47" t="s">
        <v>10</v>
      </c>
      <c r="D118" s="47" t="s">
        <v>216</v>
      </c>
      <c r="E118" s="47" t="s">
        <v>11</v>
      </c>
      <c r="F118" s="47" t="s">
        <v>10</v>
      </c>
      <c r="G118" s="47" t="s">
        <v>216</v>
      </c>
      <c r="H118" s="47" t="s">
        <v>11</v>
      </c>
      <c r="I118" s="47" t="s">
        <v>10</v>
      </c>
      <c r="J118" s="33" t="s">
        <v>80</v>
      </c>
      <c r="K118" s="1"/>
    </row>
    <row r="119" spans="1:11" ht="13.5" thickBot="1" x14ac:dyDescent="0.25">
      <c r="A119" s="6">
        <v>30</v>
      </c>
      <c r="B119" s="6">
        <v>0</v>
      </c>
      <c r="C119" s="6">
        <v>30</v>
      </c>
      <c r="D119" s="6">
        <v>0</v>
      </c>
      <c r="E119" s="6">
        <v>0</v>
      </c>
      <c r="F119" s="6">
        <v>0</v>
      </c>
      <c r="G119" s="6">
        <v>30</v>
      </c>
      <c r="H119" s="6">
        <v>0</v>
      </c>
      <c r="I119" s="6">
        <v>30</v>
      </c>
      <c r="J119" s="125" t="s">
        <v>250</v>
      </c>
      <c r="K119" s="1"/>
    </row>
    <row r="120" spans="1:11" ht="13.5" thickBot="1" x14ac:dyDescent="0.25">
      <c r="A120" s="6">
        <v>27</v>
      </c>
      <c r="B120" s="6">
        <v>0</v>
      </c>
      <c r="C120" s="6">
        <v>27</v>
      </c>
      <c r="D120" s="6">
        <v>0</v>
      </c>
      <c r="E120" s="6">
        <v>0</v>
      </c>
      <c r="F120" s="6">
        <v>0</v>
      </c>
      <c r="G120" s="6">
        <v>27</v>
      </c>
      <c r="H120" s="6">
        <v>0</v>
      </c>
      <c r="I120" s="6">
        <v>27</v>
      </c>
      <c r="J120" s="125" t="s">
        <v>393</v>
      </c>
      <c r="K120" s="1"/>
    </row>
    <row r="121" spans="1:11" ht="13.5" thickBot="1" x14ac:dyDescent="0.25">
      <c r="A121" s="6">
        <v>35</v>
      </c>
      <c r="B121" s="6">
        <v>8</v>
      </c>
      <c r="C121" s="6">
        <v>27</v>
      </c>
      <c r="D121" s="6">
        <v>0</v>
      </c>
      <c r="E121" s="6">
        <v>0</v>
      </c>
      <c r="F121" s="6">
        <v>0</v>
      </c>
      <c r="G121" s="6">
        <v>35</v>
      </c>
      <c r="H121" s="6">
        <v>8</v>
      </c>
      <c r="I121" s="6">
        <v>27</v>
      </c>
      <c r="J121" s="125" t="s">
        <v>394</v>
      </c>
      <c r="K121" s="1"/>
    </row>
    <row r="122" spans="1:11" ht="13.5" thickBot="1" x14ac:dyDescent="0.25">
      <c r="A122" s="6">
        <v>25</v>
      </c>
      <c r="B122" s="6">
        <v>11</v>
      </c>
      <c r="C122" s="6">
        <v>14</v>
      </c>
      <c r="D122" s="6">
        <v>0</v>
      </c>
      <c r="E122" s="6">
        <v>0</v>
      </c>
      <c r="F122" s="6">
        <v>0</v>
      </c>
      <c r="G122" s="6">
        <v>25</v>
      </c>
      <c r="H122" s="6">
        <v>11</v>
      </c>
      <c r="I122" s="6">
        <v>14</v>
      </c>
      <c r="J122" s="125" t="s">
        <v>396</v>
      </c>
      <c r="K122" s="1"/>
    </row>
    <row r="123" spans="1:11" ht="13.5" thickBot="1" x14ac:dyDescent="0.25">
      <c r="A123" s="6">
        <v>8</v>
      </c>
      <c r="B123" s="6">
        <v>0</v>
      </c>
      <c r="C123" s="6">
        <v>8</v>
      </c>
      <c r="D123" s="6">
        <v>0</v>
      </c>
      <c r="E123" s="6">
        <v>0</v>
      </c>
      <c r="F123" s="6">
        <v>0</v>
      </c>
      <c r="G123" s="6">
        <v>8</v>
      </c>
      <c r="H123" s="6">
        <v>0</v>
      </c>
      <c r="I123" s="6">
        <v>8</v>
      </c>
      <c r="J123" s="125" t="s">
        <v>397</v>
      </c>
      <c r="K123" s="1"/>
    </row>
    <row r="124" spans="1:11" ht="13.5" thickBot="1" x14ac:dyDescent="0.25">
      <c r="A124" s="6">
        <v>41</v>
      </c>
      <c r="B124" s="6">
        <v>14</v>
      </c>
      <c r="C124" s="6">
        <v>27</v>
      </c>
      <c r="D124" s="6">
        <v>0</v>
      </c>
      <c r="E124" s="6">
        <v>0</v>
      </c>
      <c r="F124" s="6">
        <v>0</v>
      </c>
      <c r="G124" s="6">
        <v>41</v>
      </c>
      <c r="H124" s="6">
        <v>14</v>
      </c>
      <c r="I124" s="6">
        <v>27</v>
      </c>
      <c r="J124" s="125" t="s">
        <v>398</v>
      </c>
      <c r="K124" s="1"/>
    </row>
    <row r="125" spans="1:11" ht="13.5" thickBot="1" x14ac:dyDescent="0.25">
      <c r="A125" s="6">
        <v>35</v>
      </c>
      <c r="B125" s="6">
        <v>17</v>
      </c>
      <c r="C125" s="6">
        <v>18</v>
      </c>
      <c r="D125" s="6">
        <v>0</v>
      </c>
      <c r="E125" s="6">
        <v>0</v>
      </c>
      <c r="F125" s="6">
        <v>0</v>
      </c>
      <c r="G125" s="6">
        <v>35</v>
      </c>
      <c r="H125" s="6">
        <v>17</v>
      </c>
      <c r="I125" s="6">
        <v>18</v>
      </c>
      <c r="J125" s="125" t="s">
        <v>399</v>
      </c>
      <c r="K125" s="1"/>
    </row>
    <row r="126" spans="1:11" ht="13.5" thickBot="1" x14ac:dyDescent="0.25">
      <c r="A126" s="6">
        <v>4</v>
      </c>
      <c r="B126" s="6">
        <v>0</v>
      </c>
      <c r="C126" s="6">
        <v>4</v>
      </c>
      <c r="D126" s="6">
        <v>0</v>
      </c>
      <c r="E126" s="6">
        <v>0</v>
      </c>
      <c r="F126" s="6">
        <v>0</v>
      </c>
      <c r="G126" s="6">
        <v>4</v>
      </c>
      <c r="H126" s="6">
        <v>0</v>
      </c>
      <c r="I126" s="6">
        <v>4</v>
      </c>
      <c r="J126" s="125" t="s">
        <v>400</v>
      </c>
      <c r="K126" s="1"/>
    </row>
    <row r="127" spans="1:11" ht="13.5" thickBot="1" x14ac:dyDescent="0.25">
      <c r="A127" s="6">
        <v>22</v>
      </c>
      <c r="B127" s="6">
        <v>4</v>
      </c>
      <c r="C127" s="6">
        <v>18</v>
      </c>
      <c r="D127" s="6">
        <v>4</v>
      </c>
      <c r="E127" s="6">
        <v>0</v>
      </c>
      <c r="F127" s="6">
        <v>4</v>
      </c>
      <c r="G127" s="6">
        <v>18</v>
      </c>
      <c r="H127" s="6">
        <v>4</v>
      </c>
      <c r="I127" s="6">
        <v>14</v>
      </c>
      <c r="J127" s="125" t="s">
        <v>401</v>
      </c>
      <c r="K127" s="1"/>
    </row>
    <row r="128" spans="1:11" ht="13.5" thickBot="1" x14ac:dyDescent="0.25">
      <c r="A128" s="6">
        <v>93</v>
      </c>
      <c r="B128" s="6">
        <v>46</v>
      </c>
      <c r="C128" s="6">
        <v>47</v>
      </c>
      <c r="D128" s="6">
        <v>19</v>
      </c>
      <c r="E128" s="6">
        <v>7</v>
      </c>
      <c r="F128" s="6">
        <v>12</v>
      </c>
      <c r="G128" s="6">
        <v>74</v>
      </c>
      <c r="H128" s="6">
        <v>39</v>
      </c>
      <c r="I128" s="6">
        <v>35</v>
      </c>
      <c r="J128" s="125" t="s">
        <v>402</v>
      </c>
      <c r="K128" s="1"/>
    </row>
    <row r="129" spans="1:11" ht="13.5" thickBot="1" x14ac:dyDescent="0.25">
      <c r="A129" s="6">
        <v>9</v>
      </c>
      <c r="B129" s="6">
        <v>0</v>
      </c>
      <c r="C129" s="6">
        <v>9</v>
      </c>
      <c r="D129" s="6">
        <v>4</v>
      </c>
      <c r="E129" s="6">
        <v>0</v>
      </c>
      <c r="F129" s="6">
        <v>4</v>
      </c>
      <c r="G129" s="6">
        <v>5</v>
      </c>
      <c r="H129" s="6">
        <v>0</v>
      </c>
      <c r="I129" s="6">
        <v>5</v>
      </c>
      <c r="J129" s="125" t="s">
        <v>403</v>
      </c>
      <c r="K129" s="1"/>
    </row>
    <row r="130" spans="1:11" ht="13.5" thickBot="1" x14ac:dyDescent="0.25">
      <c r="A130" s="6">
        <v>15</v>
      </c>
      <c r="B130" s="6">
        <v>7</v>
      </c>
      <c r="C130" s="6">
        <v>8</v>
      </c>
      <c r="D130" s="6">
        <v>0</v>
      </c>
      <c r="E130" s="6">
        <v>0</v>
      </c>
      <c r="F130" s="6">
        <v>0</v>
      </c>
      <c r="G130" s="6">
        <v>15</v>
      </c>
      <c r="H130" s="6">
        <v>7</v>
      </c>
      <c r="I130" s="6">
        <v>8</v>
      </c>
      <c r="J130" s="125" t="s">
        <v>404</v>
      </c>
      <c r="K130" s="1"/>
    </row>
    <row r="131" spans="1:11" ht="13.5" thickBot="1" x14ac:dyDescent="0.25">
      <c r="A131" s="6">
        <v>99</v>
      </c>
      <c r="B131" s="6">
        <v>62</v>
      </c>
      <c r="C131" s="6">
        <v>37</v>
      </c>
      <c r="D131" s="6">
        <v>0</v>
      </c>
      <c r="E131" s="6">
        <v>0</v>
      </c>
      <c r="F131" s="6">
        <v>0</v>
      </c>
      <c r="G131" s="6">
        <v>99</v>
      </c>
      <c r="H131" s="6">
        <v>62</v>
      </c>
      <c r="I131" s="6">
        <v>37</v>
      </c>
      <c r="J131" s="125" t="s">
        <v>77</v>
      </c>
      <c r="K131" s="1"/>
    </row>
    <row r="132" spans="1:11" ht="13.5" thickBot="1" x14ac:dyDescent="0.25">
      <c r="A132" s="6">
        <v>673</v>
      </c>
      <c r="B132" s="6">
        <v>41</v>
      </c>
      <c r="C132" s="6">
        <v>632</v>
      </c>
      <c r="D132" s="6">
        <v>5</v>
      </c>
      <c r="E132" s="6">
        <v>0</v>
      </c>
      <c r="F132" s="6">
        <v>5</v>
      </c>
      <c r="G132" s="6">
        <v>668</v>
      </c>
      <c r="H132" s="6">
        <v>41</v>
      </c>
      <c r="I132" s="6">
        <v>627</v>
      </c>
      <c r="J132" s="125" t="s">
        <v>654</v>
      </c>
      <c r="K132" s="1"/>
    </row>
    <row r="133" spans="1:11" ht="26.25" thickBot="1" x14ac:dyDescent="0.25">
      <c r="A133" s="6">
        <v>53</v>
      </c>
      <c r="B133" s="6">
        <v>0</v>
      </c>
      <c r="C133" s="6">
        <v>53</v>
      </c>
      <c r="D133" s="6">
        <v>0</v>
      </c>
      <c r="E133" s="6">
        <v>0</v>
      </c>
      <c r="F133" s="6">
        <v>0</v>
      </c>
      <c r="G133" s="6">
        <v>53</v>
      </c>
      <c r="H133" s="6">
        <v>0</v>
      </c>
      <c r="I133" s="6">
        <v>53</v>
      </c>
      <c r="J133" s="125" t="s">
        <v>655</v>
      </c>
      <c r="K133" s="1"/>
    </row>
    <row r="134" spans="1:11" ht="13.5" thickBot="1" x14ac:dyDescent="0.25">
      <c r="A134" s="6">
        <v>208</v>
      </c>
      <c r="B134" s="6">
        <v>33</v>
      </c>
      <c r="C134" s="6">
        <v>175</v>
      </c>
      <c r="D134" s="6">
        <v>10</v>
      </c>
      <c r="E134" s="6">
        <v>0</v>
      </c>
      <c r="F134" s="6">
        <v>10</v>
      </c>
      <c r="G134" s="6">
        <v>198</v>
      </c>
      <c r="H134" s="6">
        <v>33</v>
      </c>
      <c r="I134" s="6">
        <v>165</v>
      </c>
      <c r="J134" s="125" t="s">
        <v>656</v>
      </c>
      <c r="K134" s="1"/>
    </row>
    <row r="135" spans="1:11" ht="13.5" thickBot="1" x14ac:dyDescent="0.25">
      <c r="A135" s="6">
        <v>10</v>
      </c>
      <c r="B135" s="6">
        <v>1</v>
      </c>
      <c r="C135" s="6">
        <v>9</v>
      </c>
      <c r="D135" s="6">
        <v>0</v>
      </c>
      <c r="E135" s="6">
        <v>0</v>
      </c>
      <c r="F135" s="6">
        <v>0</v>
      </c>
      <c r="G135" s="6">
        <v>10</v>
      </c>
      <c r="H135" s="6">
        <v>1</v>
      </c>
      <c r="I135" s="6">
        <v>9</v>
      </c>
      <c r="J135" s="125" t="s">
        <v>633</v>
      </c>
      <c r="K135" s="1"/>
    </row>
    <row r="136" spans="1:11" ht="13.5" thickBot="1" x14ac:dyDescent="0.25">
      <c r="A136" s="6">
        <v>27</v>
      </c>
      <c r="B136" s="6">
        <v>27</v>
      </c>
      <c r="C136" s="6">
        <v>0</v>
      </c>
      <c r="D136" s="6">
        <v>0</v>
      </c>
      <c r="E136" s="6">
        <v>0</v>
      </c>
      <c r="F136" s="6">
        <v>0</v>
      </c>
      <c r="G136" s="6">
        <v>27</v>
      </c>
      <c r="H136" s="6">
        <v>27</v>
      </c>
      <c r="I136" s="6">
        <v>0</v>
      </c>
      <c r="J136" s="125" t="s">
        <v>407</v>
      </c>
      <c r="K136" s="1"/>
    </row>
    <row r="137" spans="1:11" ht="13.5" thickBot="1" x14ac:dyDescent="0.25">
      <c r="A137" s="6">
        <v>10</v>
      </c>
      <c r="B137" s="6">
        <v>9</v>
      </c>
      <c r="C137" s="6">
        <v>1</v>
      </c>
      <c r="D137" s="6">
        <v>0</v>
      </c>
      <c r="E137" s="6">
        <v>0</v>
      </c>
      <c r="F137" s="6">
        <v>0</v>
      </c>
      <c r="G137" s="6">
        <v>10</v>
      </c>
      <c r="H137" s="6">
        <v>9</v>
      </c>
      <c r="I137" s="6">
        <v>1</v>
      </c>
      <c r="J137" s="125" t="s">
        <v>408</v>
      </c>
      <c r="K137" s="1"/>
    </row>
    <row r="138" spans="1:11" ht="13.5" thickBot="1" x14ac:dyDescent="0.25">
      <c r="A138" s="6">
        <v>4</v>
      </c>
      <c r="B138" s="6">
        <v>4</v>
      </c>
      <c r="C138" s="6">
        <v>0</v>
      </c>
      <c r="D138" s="6">
        <v>0</v>
      </c>
      <c r="E138" s="6">
        <v>0</v>
      </c>
      <c r="F138" s="6">
        <v>0</v>
      </c>
      <c r="G138" s="6">
        <v>4</v>
      </c>
      <c r="H138" s="6">
        <v>4</v>
      </c>
      <c r="I138" s="6">
        <v>0</v>
      </c>
      <c r="J138" s="125" t="s">
        <v>409</v>
      </c>
      <c r="K138" s="1"/>
    </row>
    <row r="139" spans="1:11" ht="13.5" thickBot="1" x14ac:dyDescent="0.25">
      <c r="A139" s="6">
        <v>12</v>
      </c>
      <c r="B139" s="6">
        <v>12</v>
      </c>
      <c r="C139" s="6">
        <v>0</v>
      </c>
      <c r="D139" s="6">
        <v>0</v>
      </c>
      <c r="E139" s="6">
        <v>0</v>
      </c>
      <c r="F139" s="6">
        <v>0</v>
      </c>
      <c r="G139" s="6">
        <v>12</v>
      </c>
      <c r="H139" s="6">
        <v>12</v>
      </c>
      <c r="I139" s="6">
        <v>0</v>
      </c>
      <c r="J139" s="125" t="s">
        <v>410</v>
      </c>
      <c r="K139" s="1"/>
    </row>
    <row r="140" spans="1:11" ht="13.5" thickBot="1" x14ac:dyDescent="0.25">
      <c r="A140" s="6">
        <v>79</v>
      </c>
      <c r="B140" s="6">
        <v>79</v>
      </c>
      <c r="C140" s="6">
        <v>0</v>
      </c>
      <c r="D140" s="6">
        <v>0</v>
      </c>
      <c r="E140" s="6">
        <v>0</v>
      </c>
      <c r="F140" s="6">
        <v>0</v>
      </c>
      <c r="G140" s="6">
        <v>79</v>
      </c>
      <c r="H140" s="6">
        <v>79</v>
      </c>
      <c r="I140" s="6">
        <v>0</v>
      </c>
      <c r="J140" s="125" t="s">
        <v>411</v>
      </c>
      <c r="K140" s="1"/>
    </row>
    <row r="141" spans="1:11" ht="13.5" thickBot="1" x14ac:dyDescent="0.25">
      <c r="A141" s="6">
        <v>4</v>
      </c>
      <c r="B141" s="6">
        <v>4</v>
      </c>
      <c r="C141" s="6">
        <v>0</v>
      </c>
      <c r="D141" s="6">
        <v>0</v>
      </c>
      <c r="E141" s="6">
        <v>0</v>
      </c>
      <c r="F141" s="6">
        <v>0</v>
      </c>
      <c r="G141" s="6">
        <v>4</v>
      </c>
      <c r="H141" s="6">
        <v>4</v>
      </c>
      <c r="I141" s="6">
        <v>0</v>
      </c>
      <c r="J141" s="125" t="s">
        <v>100</v>
      </c>
      <c r="K141" s="1"/>
    </row>
    <row r="142" spans="1:11" ht="13.5" thickBot="1" x14ac:dyDescent="0.25">
      <c r="A142" s="6">
        <v>22</v>
      </c>
      <c r="B142" s="6">
        <v>22</v>
      </c>
      <c r="C142" s="6">
        <v>0</v>
      </c>
      <c r="D142" s="6">
        <v>0</v>
      </c>
      <c r="E142" s="6">
        <v>0</v>
      </c>
      <c r="F142" s="6">
        <v>0</v>
      </c>
      <c r="G142" s="6">
        <v>22</v>
      </c>
      <c r="H142" s="6">
        <v>22</v>
      </c>
      <c r="I142" s="6">
        <v>0</v>
      </c>
      <c r="J142" s="125" t="s">
        <v>412</v>
      </c>
      <c r="K142" s="1"/>
    </row>
    <row r="143" spans="1:11" ht="13.5" thickBot="1" x14ac:dyDescent="0.25">
      <c r="A143" s="6">
        <v>33</v>
      </c>
      <c r="B143" s="6">
        <v>33</v>
      </c>
      <c r="C143" s="6">
        <v>0</v>
      </c>
      <c r="D143" s="6">
        <v>0</v>
      </c>
      <c r="E143" s="6">
        <v>0</v>
      </c>
      <c r="F143" s="6">
        <v>0</v>
      </c>
      <c r="G143" s="6">
        <v>33</v>
      </c>
      <c r="H143" s="6">
        <v>33</v>
      </c>
      <c r="I143" s="6">
        <v>0</v>
      </c>
      <c r="J143" s="125" t="s">
        <v>413</v>
      </c>
      <c r="K143" s="1"/>
    </row>
    <row r="144" spans="1:11" ht="13.5" thickBot="1" x14ac:dyDescent="0.25">
      <c r="A144" s="6">
        <v>16</v>
      </c>
      <c r="B144" s="6">
        <v>16</v>
      </c>
      <c r="C144" s="6">
        <v>0</v>
      </c>
      <c r="D144" s="6">
        <v>0</v>
      </c>
      <c r="E144" s="6">
        <v>0</v>
      </c>
      <c r="F144" s="6">
        <v>0</v>
      </c>
      <c r="G144" s="6">
        <v>16</v>
      </c>
      <c r="H144" s="6">
        <v>16</v>
      </c>
      <c r="I144" s="6">
        <v>0</v>
      </c>
      <c r="J144" s="125" t="s">
        <v>414</v>
      </c>
      <c r="K144" s="1"/>
    </row>
    <row r="145" spans="1:11" ht="13.5" thickBot="1" x14ac:dyDescent="0.25">
      <c r="A145" s="6">
        <v>31</v>
      </c>
      <c r="B145" s="6">
        <v>31</v>
      </c>
      <c r="C145" s="6">
        <v>0</v>
      </c>
      <c r="D145" s="6">
        <v>0</v>
      </c>
      <c r="E145" s="6">
        <v>0</v>
      </c>
      <c r="F145" s="6">
        <v>0</v>
      </c>
      <c r="G145" s="6">
        <v>31</v>
      </c>
      <c r="H145" s="6">
        <v>31</v>
      </c>
      <c r="I145" s="6">
        <v>0</v>
      </c>
      <c r="J145" s="125" t="s">
        <v>415</v>
      </c>
      <c r="K145" s="1"/>
    </row>
    <row r="146" spans="1:11" ht="13.5" thickBot="1" x14ac:dyDescent="0.25">
      <c r="A146" s="6">
        <v>16</v>
      </c>
      <c r="B146" s="6">
        <v>16</v>
      </c>
      <c r="C146" s="6">
        <v>0</v>
      </c>
      <c r="D146" s="6">
        <v>0</v>
      </c>
      <c r="E146" s="6">
        <v>0</v>
      </c>
      <c r="F146" s="6">
        <v>0</v>
      </c>
      <c r="G146" s="6">
        <v>16</v>
      </c>
      <c r="H146" s="6">
        <v>16</v>
      </c>
      <c r="I146" s="6">
        <v>0</v>
      </c>
      <c r="J146" s="125" t="s">
        <v>251</v>
      </c>
      <c r="K146" s="1"/>
    </row>
    <row r="147" spans="1:11" ht="13.5" thickBot="1" x14ac:dyDescent="0.25">
      <c r="A147" s="6">
        <v>6</v>
      </c>
      <c r="B147" s="6">
        <v>6</v>
      </c>
      <c r="C147" s="6">
        <v>0</v>
      </c>
      <c r="D147" s="6">
        <v>0</v>
      </c>
      <c r="E147" s="6">
        <v>0</v>
      </c>
      <c r="F147" s="6">
        <v>0</v>
      </c>
      <c r="G147" s="6">
        <v>6</v>
      </c>
      <c r="H147" s="6">
        <v>6</v>
      </c>
      <c r="I147" s="6">
        <v>0</v>
      </c>
      <c r="J147" s="125" t="s">
        <v>252</v>
      </c>
      <c r="K147" s="1"/>
    </row>
    <row r="148" spans="1:11" ht="13.5" thickBot="1" x14ac:dyDescent="0.25">
      <c r="A148" s="6">
        <v>7</v>
      </c>
      <c r="B148" s="6">
        <v>7</v>
      </c>
      <c r="C148" s="6">
        <v>0</v>
      </c>
      <c r="D148" s="6">
        <v>0</v>
      </c>
      <c r="E148" s="6">
        <v>0</v>
      </c>
      <c r="F148" s="6">
        <v>0</v>
      </c>
      <c r="G148" s="6">
        <v>7</v>
      </c>
      <c r="H148" s="6">
        <v>7</v>
      </c>
      <c r="I148" s="6">
        <v>0</v>
      </c>
      <c r="J148" s="125" t="s">
        <v>253</v>
      </c>
      <c r="K148" s="1"/>
    </row>
    <row r="149" spans="1:11" ht="13.5" thickBot="1" x14ac:dyDescent="0.25">
      <c r="A149" s="6">
        <v>2</v>
      </c>
      <c r="B149" s="6">
        <v>2</v>
      </c>
      <c r="C149" s="6">
        <v>0</v>
      </c>
      <c r="D149" s="6">
        <v>0</v>
      </c>
      <c r="E149" s="6">
        <v>0</v>
      </c>
      <c r="F149" s="6">
        <v>0</v>
      </c>
      <c r="G149" s="6">
        <v>2</v>
      </c>
      <c r="H149" s="6">
        <v>2</v>
      </c>
      <c r="I149" s="6">
        <v>0</v>
      </c>
      <c r="J149" s="125" t="s">
        <v>254</v>
      </c>
      <c r="K149" s="1"/>
    </row>
    <row r="150" spans="1:11" ht="13.5" thickBot="1" x14ac:dyDescent="0.25">
      <c r="A150" s="6">
        <v>16</v>
      </c>
      <c r="B150" s="6">
        <v>0</v>
      </c>
      <c r="C150" s="6">
        <v>16</v>
      </c>
      <c r="D150" s="6">
        <v>0</v>
      </c>
      <c r="E150" s="6">
        <v>0</v>
      </c>
      <c r="F150" s="6">
        <v>0</v>
      </c>
      <c r="G150" s="6">
        <v>16</v>
      </c>
      <c r="H150" s="6">
        <v>0</v>
      </c>
      <c r="I150" s="6">
        <v>16</v>
      </c>
      <c r="J150" s="125" t="s">
        <v>255</v>
      </c>
      <c r="K150" s="1"/>
    </row>
    <row r="151" spans="1:11" ht="13.5" thickBot="1" x14ac:dyDescent="0.25">
      <c r="A151" s="6">
        <v>20</v>
      </c>
      <c r="B151" s="6">
        <v>0</v>
      </c>
      <c r="C151" s="6">
        <v>20</v>
      </c>
      <c r="D151" s="6">
        <v>0</v>
      </c>
      <c r="E151" s="6">
        <v>0</v>
      </c>
      <c r="F151" s="6">
        <v>0</v>
      </c>
      <c r="G151" s="6">
        <v>20</v>
      </c>
      <c r="H151" s="6">
        <v>0</v>
      </c>
      <c r="I151" s="6">
        <v>20</v>
      </c>
      <c r="J151" s="125" t="s">
        <v>256</v>
      </c>
      <c r="K151" s="1"/>
    </row>
    <row r="152" spans="1:11" ht="13.5" thickBot="1" x14ac:dyDescent="0.25">
      <c r="A152" s="6">
        <v>1692</v>
      </c>
      <c r="B152" s="6">
        <v>512</v>
      </c>
      <c r="C152" s="6">
        <v>1180</v>
      </c>
      <c r="D152" s="6">
        <v>42</v>
      </c>
      <c r="E152" s="6">
        <v>7</v>
      </c>
      <c r="F152" s="6">
        <v>35</v>
      </c>
      <c r="G152" s="6">
        <v>1650</v>
      </c>
      <c r="H152" s="6">
        <v>505</v>
      </c>
      <c r="I152" s="6">
        <v>1145</v>
      </c>
      <c r="J152" s="7" t="s">
        <v>232</v>
      </c>
      <c r="K152" s="1"/>
    </row>
    <row r="153" spans="1:11" ht="18" customHeight="1" x14ac:dyDescent="0.2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"/>
    </row>
    <row r="154" spans="1:11" ht="18" customHeight="1" x14ac:dyDescent="0.2">
      <c r="A154" s="159" t="s">
        <v>649</v>
      </c>
      <c r="B154" s="159"/>
      <c r="C154" s="159"/>
      <c r="D154" s="159"/>
      <c r="E154" s="159"/>
      <c r="F154" s="159"/>
      <c r="G154" s="159"/>
      <c r="H154" s="159"/>
      <c r="I154" s="159"/>
      <c r="J154" s="159"/>
      <c r="K154" s="1"/>
    </row>
    <row r="155" spans="1:11" ht="18" customHeight="1" thickBot="1" x14ac:dyDescent="0.25">
      <c r="A155" s="160" t="s">
        <v>650</v>
      </c>
      <c r="B155" s="160"/>
      <c r="C155" s="160"/>
      <c r="D155" s="160"/>
      <c r="E155" s="160"/>
      <c r="F155" s="160"/>
      <c r="G155" s="160"/>
      <c r="H155" s="160"/>
      <c r="I155" s="160"/>
      <c r="J155" s="160"/>
      <c r="K155" s="1"/>
    </row>
    <row r="156" spans="1:11" ht="13.5" thickBot="1" x14ac:dyDescent="0.25">
      <c r="A156" s="161" t="s">
        <v>5</v>
      </c>
      <c r="B156" s="161"/>
      <c r="C156" s="161"/>
      <c r="D156" s="161" t="s">
        <v>162</v>
      </c>
      <c r="E156" s="161"/>
      <c r="F156" s="161"/>
      <c r="G156" s="161" t="s">
        <v>163</v>
      </c>
      <c r="H156" s="161"/>
      <c r="I156" s="161"/>
      <c r="J156" s="47" t="s">
        <v>72</v>
      </c>
      <c r="K156" s="1"/>
    </row>
    <row r="157" spans="1:11" ht="13.5" thickBot="1" x14ac:dyDescent="0.25">
      <c r="A157" s="47" t="s">
        <v>216</v>
      </c>
      <c r="B157" s="47" t="s">
        <v>11</v>
      </c>
      <c r="C157" s="47" t="s">
        <v>10</v>
      </c>
      <c r="D157" s="47" t="s">
        <v>216</v>
      </c>
      <c r="E157" s="47" t="s">
        <v>11</v>
      </c>
      <c r="F157" s="47" t="s">
        <v>10</v>
      </c>
      <c r="G157" s="47" t="s">
        <v>216</v>
      </c>
      <c r="H157" s="47" t="s">
        <v>11</v>
      </c>
      <c r="I157" s="47" t="s">
        <v>10</v>
      </c>
      <c r="J157" s="33" t="s">
        <v>81</v>
      </c>
      <c r="K157" s="1"/>
    </row>
    <row r="158" spans="1:11" ht="13.5" thickBot="1" x14ac:dyDescent="0.25">
      <c r="A158" s="6">
        <v>25</v>
      </c>
      <c r="B158" s="6">
        <v>0</v>
      </c>
      <c r="C158" s="6">
        <v>25</v>
      </c>
      <c r="D158" s="6">
        <v>0</v>
      </c>
      <c r="E158" s="6">
        <v>0</v>
      </c>
      <c r="F158" s="6">
        <v>0</v>
      </c>
      <c r="G158" s="6">
        <v>25</v>
      </c>
      <c r="H158" s="6">
        <v>0</v>
      </c>
      <c r="I158" s="6">
        <v>25</v>
      </c>
      <c r="J158" s="125" t="s">
        <v>417</v>
      </c>
      <c r="K158" s="1"/>
    </row>
    <row r="159" spans="1:11" ht="13.5" thickBot="1" x14ac:dyDescent="0.25">
      <c r="A159" s="6">
        <v>7</v>
      </c>
      <c r="B159" s="6">
        <v>0</v>
      </c>
      <c r="C159" s="6">
        <v>7</v>
      </c>
      <c r="D159" s="6">
        <v>0</v>
      </c>
      <c r="E159" s="6">
        <v>0</v>
      </c>
      <c r="F159" s="6">
        <v>0</v>
      </c>
      <c r="G159" s="6">
        <v>7</v>
      </c>
      <c r="H159" s="6">
        <v>0</v>
      </c>
      <c r="I159" s="6">
        <v>7</v>
      </c>
      <c r="J159" s="125" t="s">
        <v>257</v>
      </c>
      <c r="K159" s="1"/>
    </row>
    <row r="160" spans="1:11" ht="13.5" thickBot="1" x14ac:dyDescent="0.25">
      <c r="A160" s="6">
        <v>9</v>
      </c>
      <c r="B160" s="6">
        <v>0</v>
      </c>
      <c r="C160" s="6">
        <v>9</v>
      </c>
      <c r="D160" s="6">
        <v>0</v>
      </c>
      <c r="E160" s="6">
        <v>0</v>
      </c>
      <c r="F160" s="6">
        <v>0</v>
      </c>
      <c r="G160" s="6">
        <v>9</v>
      </c>
      <c r="H160" s="6">
        <v>0</v>
      </c>
      <c r="I160" s="6">
        <v>9</v>
      </c>
      <c r="J160" s="125" t="s">
        <v>419</v>
      </c>
      <c r="K160" s="1"/>
    </row>
    <row r="161" spans="1:11" ht="13.5" thickBot="1" x14ac:dyDescent="0.25">
      <c r="A161" s="6">
        <v>9</v>
      </c>
      <c r="B161" s="6">
        <v>0</v>
      </c>
      <c r="C161" s="6">
        <v>9</v>
      </c>
      <c r="D161" s="6">
        <v>0</v>
      </c>
      <c r="E161" s="6">
        <v>0</v>
      </c>
      <c r="F161" s="6">
        <v>0</v>
      </c>
      <c r="G161" s="6">
        <v>9</v>
      </c>
      <c r="H161" s="6">
        <v>0</v>
      </c>
      <c r="I161" s="6">
        <v>9</v>
      </c>
      <c r="J161" s="125" t="s">
        <v>244</v>
      </c>
      <c r="K161" s="1"/>
    </row>
    <row r="162" spans="1:11" ht="13.5" thickBot="1" x14ac:dyDescent="0.25">
      <c r="A162" s="6">
        <v>13</v>
      </c>
      <c r="B162" s="6">
        <v>0</v>
      </c>
      <c r="C162" s="6">
        <v>13</v>
      </c>
      <c r="D162" s="6">
        <v>1</v>
      </c>
      <c r="E162" s="6">
        <v>0</v>
      </c>
      <c r="F162" s="6">
        <v>1</v>
      </c>
      <c r="G162" s="6">
        <v>12</v>
      </c>
      <c r="H162" s="6">
        <v>0</v>
      </c>
      <c r="I162" s="6">
        <v>12</v>
      </c>
      <c r="J162" s="125" t="s">
        <v>337</v>
      </c>
      <c r="K162" s="1"/>
    </row>
    <row r="163" spans="1:11" ht="13.5" thickBot="1" x14ac:dyDescent="0.25">
      <c r="A163" s="6">
        <v>5</v>
      </c>
      <c r="B163" s="6">
        <v>0</v>
      </c>
      <c r="C163" s="6">
        <v>5</v>
      </c>
      <c r="D163" s="6">
        <v>4</v>
      </c>
      <c r="E163" s="6">
        <v>0</v>
      </c>
      <c r="F163" s="6">
        <v>4</v>
      </c>
      <c r="G163" s="6">
        <v>1</v>
      </c>
      <c r="H163" s="6">
        <v>0</v>
      </c>
      <c r="I163" s="6">
        <v>1</v>
      </c>
      <c r="J163" s="125" t="s">
        <v>264</v>
      </c>
      <c r="K163" s="1"/>
    </row>
    <row r="164" spans="1:11" ht="13.5" thickBot="1" x14ac:dyDescent="0.25">
      <c r="A164" s="6">
        <v>10</v>
      </c>
      <c r="B164" s="6">
        <v>0</v>
      </c>
      <c r="C164" s="6">
        <v>10</v>
      </c>
      <c r="D164" s="6">
        <v>0</v>
      </c>
      <c r="E164" s="6">
        <v>0</v>
      </c>
      <c r="F164" s="6">
        <v>0</v>
      </c>
      <c r="G164" s="6">
        <v>10</v>
      </c>
      <c r="H164" s="6">
        <v>0</v>
      </c>
      <c r="I164" s="6">
        <v>10</v>
      </c>
      <c r="J164" s="125" t="s">
        <v>377</v>
      </c>
      <c r="K164" s="1"/>
    </row>
    <row r="165" spans="1:11" ht="13.5" thickBot="1" x14ac:dyDescent="0.25">
      <c r="A165" s="6">
        <v>29</v>
      </c>
      <c r="B165" s="6">
        <v>29</v>
      </c>
      <c r="C165" s="6">
        <v>0</v>
      </c>
      <c r="D165" s="6">
        <v>22</v>
      </c>
      <c r="E165" s="6">
        <v>22</v>
      </c>
      <c r="F165" s="6">
        <v>0</v>
      </c>
      <c r="G165" s="6">
        <v>7</v>
      </c>
      <c r="H165" s="6">
        <v>7</v>
      </c>
      <c r="I165" s="6">
        <v>0</v>
      </c>
      <c r="J165" s="125" t="s">
        <v>354</v>
      </c>
      <c r="K165" s="1"/>
    </row>
    <row r="166" spans="1:11" ht="13.5" thickBot="1" x14ac:dyDescent="0.25">
      <c r="A166" s="6">
        <v>7</v>
      </c>
      <c r="B166" s="6">
        <v>0</v>
      </c>
      <c r="C166" s="6">
        <v>7</v>
      </c>
      <c r="D166" s="6">
        <v>2</v>
      </c>
      <c r="E166" s="6">
        <v>0</v>
      </c>
      <c r="F166" s="6">
        <v>2</v>
      </c>
      <c r="G166" s="6">
        <v>5</v>
      </c>
      <c r="H166" s="6">
        <v>0</v>
      </c>
      <c r="I166" s="6">
        <v>5</v>
      </c>
      <c r="J166" s="125" t="s">
        <v>102</v>
      </c>
      <c r="K166" s="1"/>
    </row>
    <row r="167" spans="1:11" ht="13.5" thickBot="1" x14ac:dyDescent="0.25">
      <c r="A167" s="6">
        <v>1</v>
      </c>
      <c r="B167" s="6">
        <v>1</v>
      </c>
      <c r="C167" s="6">
        <v>0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125" t="s">
        <v>263</v>
      </c>
      <c r="K167" s="1"/>
    </row>
    <row r="168" spans="1:11" ht="13.5" thickBot="1" x14ac:dyDescent="0.25">
      <c r="A168" s="6">
        <v>5</v>
      </c>
      <c r="B168" s="6">
        <v>0</v>
      </c>
      <c r="C168" s="6">
        <v>5</v>
      </c>
      <c r="D168" s="6">
        <v>0</v>
      </c>
      <c r="E168" s="6">
        <v>0</v>
      </c>
      <c r="F168" s="6">
        <v>0</v>
      </c>
      <c r="G168" s="6">
        <v>5</v>
      </c>
      <c r="H168" s="6">
        <v>0</v>
      </c>
      <c r="I168" s="6">
        <v>5</v>
      </c>
      <c r="J168" s="125" t="s">
        <v>103</v>
      </c>
      <c r="K168" s="1"/>
    </row>
    <row r="169" spans="1:11" ht="13.5" thickBot="1" x14ac:dyDescent="0.25">
      <c r="A169" s="6">
        <v>24</v>
      </c>
      <c r="B169" s="6">
        <v>0</v>
      </c>
      <c r="C169" s="6">
        <v>24</v>
      </c>
      <c r="D169" s="6">
        <v>15</v>
      </c>
      <c r="E169" s="6">
        <v>0</v>
      </c>
      <c r="F169" s="6">
        <v>15</v>
      </c>
      <c r="G169" s="6">
        <v>9</v>
      </c>
      <c r="H169" s="6">
        <v>0</v>
      </c>
      <c r="I169" s="6">
        <v>9</v>
      </c>
      <c r="J169" s="125" t="s">
        <v>259</v>
      </c>
      <c r="K169" s="1"/>
    </row>
    <row r="170" spans="1:11" ht="13.5" thickBot="1" x14ac:dyDescent="0.25">
      <c r="A170" s="6">
        <v>13</v>
      </c>
      <c r="B170" s="6">
        <v>0</v>
      </c>
      <c r="C170" s="6">
        <v>13</v>
      </c>
      <c r="D170" s="6">
        <v>0</v>
      </c>
      <c r="E170" s="6">
        <v>0</v>
      </c>
      <c r="F170" s="6">
        <v>0</v>
      </c>
      <c r="G170" s="6">
        <v>13</v>
      </c>
      <c r="H170" s="6">
        <v>0</v>
      </c>
      <c r="I170" s="6">
        <v>13</v>
      </c>
      <c r="J170" s="125" t="s">
        <v>433</v>
      </c>
      <c r="K170" s="1"/>
    </row>
    <row r="171" spans="1:11" ht="13.5" thickBot="1" x14ac:dyDescent="0.25">
      <c r="A171" s="6">
        <v>3</v>
      </c>
      <c r="B171" s="6">
        <v>0</v>
      </c>
      <c r="C171" s="6">
        <v>3</v>
      </c>
      <c r="D171" s="6">
        <v>0</v>
      </c>
      <c r="E171" s="6">
        <v>0</v>
      </c>
      <c r="F171" s="6">
        <v>0</v>
      </c>
      <c r="G171" s="6">
        <v>3</v>
      </c>
      <c r="H171" s="6">
        <v>0</v>
      </c>
      <c r="I171" s="6">
        <v>3</v>
      </c>
      <c r="J171" s="125" t="s">
        <v>260</v>
      </c>
      <c r="K171" s="1"/>
    </row>
    <row r="172" spans="1:11" ht="13.5" thickBot="1" x14ac:dyDescent="0.25">
      <c r="A172" s="6">
        <f>C172+B172</f>
        <v>2266</v>
      </c>
      <c r="B172" s="6">
        <v>584</v>
      </c>
      <c r="C172" s="6">
        <v>1682</v>
      </c>
      <c r="D172" s="6">
        <v>0</v>
      </c>
      <c r="E172" s="6">
        <v>0</v>
      </c>
      <c r="F172" s="6">
        <v>0</v>
      </c>
      <c r="G172" s="6">
        <f>I172+H172</f>
        <v>2266</v>
      </c>
      <c r="H172" s="6">
        <v>584</v>
      </c>
      <c r="I172" s="6">
        <v>1682</v>
      </c>
      <c r="J172" s="125" t="s">
        <v>634</v>
      </c>
      <c r="K172" s="1"/>
    </row>
    <row r="173" spans="1:11" ht="13.5" thickBot="1" x14ac:dyDescent="0.25">
      <c r="A173" s="6">
        <f t="shared" ref="A173:I173" si="1">SUM(A158:A172)</f>
        <v>2426</v>
      </c>
      <c r="B173" s="6">
        <f t="shared" si="1"/>
        <v>614</v>
      </c>
      <c r="C173" s="6">
        <f t="shared" si="1"/>
        <v>1812</v>
      </c>
      <c r="D173" s="6">
        <f t="shared" si="1"/>
        <v>45</v>
      </c>
      <c r="E173" s="6">
        <f t="shared" si="1"/>
        <v>23</v>
      </c>
      <c r="F173" s="6">
        <f t="shared" si="1"/>
        <v>22</v>
      </c>
      <c r="G173" s="6">
        <f t="shared" si="1"/>
        <v>2381</v>
      </c>
      <c r="H173" s="6">
        <f t="shared" si="1"/>
        <v>591</v>
      </c>
      <c r="I173" s="6">
        <f t="shared" si="1"/>
        <v>1790</v>
      </c>
      <c r="J173" s="7" t="s">
        <v>232</v>
      </c>
      <c r="K173" s="1"/>
    </row>
    <row r="174" spans="1:11" ht="18" customHeight="1" x14ac:dyDescent="0.2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"/>
    </row>
    <row r="175" spans="1:11" ht="18" customHeight="1" x14ac:dyDescent="0.2">
      <c r="A175" s="159" t="s">
        <v>649</v>
      </c>
      <c r="B175" s="159"/>
      <c r="C175" s="159"/>
      <c r="D175" s="159"/>
      <c r="E175" s="159"/>
      <c r="F175" s="159"/>
      <c r="G175" s="159"/>
      <c r="H175" s="159"/>
      <c r="I175" s="159"/>
      <c r="J175" s="159"/>
      <c r="K175" s="1"/>
    </row>
    <row r="176" spans="1:11" ht="18" customHeight="1" thickBot="1" x14ac:dyDescent="0.25">
      <c r="A176" s="160" t="s">
        <v>650</v>
      </c>
      <c r="B176" s="160"/>
      <c r="C176" s="160"/>
      <c r="D176" s="160"/>
      <c r="E176" s="160"/>
      <c r="F176" s="160"/>
      <c r="G176" s="160"/>
      <c r="H176" s="160"/>
      <c r="I176" s="160"/>
      <c r="J176" s="160"/>
      <c r="K176" s="1"/>
    </row>
    <row r="177" spans="1:11" ht="13.5" thickBot="1" x14ac:dyDescent="0.25">
      <c r="A177" s="161" t="s">
        <v>5</v>
      </c>
      <c r="B177" s="161"/>
      <c r="C177" s="161"/>
      <c r="D177" s="161" t="s">
        <v>162</v>
      </c>
      <c r="E177" s="161"/>
      <c r="F177" s="161"/>
      <c r="G177" s="161" t="s">
        <v>163</v>
      </c>
      <c r="H177" s="161"/>
      <c r="I177" s="161"/>
      <c r="J177" s="47" t="s">
        <v>72</v>
      </c>
      <c r="K177" s="1"/>
    </row>
    <row r="178" spans="1:11" ht="13.5" thickBot="1" x14ac:dyDescent="0.25">
      <c r="A178" s="47" t="s">
        <v>216</v>
      </c>
      <c r="B178" s="47" t="s">
        <v>11</v>
      </c>
      <c r="C178" s="47" t="s">
        <v>10</v>
      </c>
      <c r="D178" s="47" t="s">
        <v>216</v>
      </c>
      <c r="E178" s="47" t="s">
        <v>11</v>
      </c>
      <c r="F178" s="47" t="s">
        <v>10</v>
      </c>
      <c r="G178" s="47" t="s">
        <v>216</v>
      </c>
      <c r="H178" s="47" t="s">
        <v>11</v>
      </c>
      <c r="I178" s="47" t="s">
        <v>10</v>
      </c>
      <c r="J178" s="33" t="s">
        <v>108</v>
      </c>
      <c r="K178" s="1"/>
    </row>
    <row r="179" spans="1:11" ht="13.5" thickBot="1" x14ac:dyDescent="0.25">
      <c r="A179" s="6">
        <v>3</v>
      </c>
      <c r="B179" s="6">
        <v>0</v>
      </c>
      <c r="C179" s="6">
        <v>3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3</v>
      </c>
      <c r="J179" s="125" t="s">
        <v>419</v>
      </c>
      <c r="K179" s="1"/>
    </row>
    <row r="180" spans="1:11" ht="13.5" thickBot="1" x14ac:dyDescent="0.25">
      <c r="A180" s="6">
        <v>19</v>
      </c>
      <c r="B180" s="6">
        <v>0</v>
      </c>
      <c r="C180" s="6">
        <v>19</v>
      </c>
      <c r="D180" s="6">
        <v>0</v>
      </c>
      <c r="E180" s="6">
        <v>0</v>
      </c>
      <c r="F180" s="6">
        <v>0</v>
      </c>
      <c r="G180" s="6">
        <v>19</v>
      </c>
      <c r="H180" s="6">
        <v>0</v>
      </c>
      <c r="I180" s="6">
        <v>19</v>
      </c>
      <c r="J180" s="125" t="s">
        <v>438</v>
      </c>
      <c r="K180" s="1"/>
    </row>
    <row r="181" spans="1:11" ht="13.5" thickBot="1" x14ac:dyDescent="0.25">
      <c r="A181" s="6">
        <v>33</v>
      </c>
      <c r="B181" s="6">
        <v>1</v>
      </c>
      <c r="C181" s="6">
        <v>32</v>
      </c>
      <c r="D181" s="6">
        <v>0</v>
      </c>
      <c r="E181" s="6">
        <v>0</v>
      </c>
      <c r="F181" s="6">
        <v>0</v>
      </c>
      <c r="G181" s="6">
        <v>33</v>
      </c>
      <c r="H181" s="6">
        <v>1</v>
      </c>
      <c r="I181" s="6">
        <v>32</v>
      </c>
      <c r="J181" s="125" t="s">
        <v>439</v>
      </c>
      <c r="K181" s="1"/>
    </row>
    <row r="182" spans="1:11" ht="13.5" thickBot="1" x14ac:dyDescent="0.25">
      <c r="A182" s="6">
        <v>68</v>
      </c>
      <c r="B182" s="6">
        <v>0</v>
      </c>
      <c r="C182" s="6">
        <v>68</v>
      </c>
      <c r="D182" s="6">
        <v>8</v>
      </c>
      <c r="E182" s="6">
        <v>0</v>
      </c>
      <c r="F182" s="6">
        <v>8</v>
      </c>
      <c r="G182" s="6">
        <v>60</v>
      </c>
      <c r="H182" s="6">
        <v>0</v>
      </c>
      <c r="I182" s="6">
        <v>60</v>
      </c>
      <c r="J182" s="125" t="s">
        <v>440</v>
      </c>
      <c r="K182" s="1"/>
    </row>
    <row r="183" spans="1:11" ht="13.5" thickBot="1" x14ac:dyDescent="0.25">
      <c r="A183" s="6">
        <v>34</v>
      </c>
      <c r="B183" s="6">
        <v>9</v>
      </c>
      <c r="C183" s="6">
        <v>25</v>
      </c>
      <c r="D183" s="6">
        <v>23</v>
      </c>
      <c r="E183" s="6">
        <v>8</v>
      </c>
      <c r="F183" s="6">
        <v>15</v>
      </c>
      <c r="G183" s="6">
        <v>11</v>
      </c>
      <c r="H183" s="6">
        <v>1</v>
      </c>
      <c r="I183" s="6">
        <v>10</v>
      </c>
      <c r="J183" s="125" t="s">
        <v>441</v>
      </c>
      <c r="K183" s="1"/>
    </row>
    <row r="184" spans="1:11" ht="13.5" thickBot="1" x14ac:dyDescent="0.25">
      <c r="A184" s="6">
        <v>6</v>
      </c>
      <c r="B184" s="6">
        <v>0</v>
      </c>
      <c r="C184" s="6">
        <v>6</v>
      </c>
      <c r="D184" s="6">
        <v>1</v>
      </c>
      <c r="E184" s="6">
        <v>0</v>
      </c>
      <c r="F184" s="6">
        <v>1</v>
      </c>
      <c r="G184" s="6">
        <v>5</v>
      </c>
      <c r="H184" s="6">
        <v>0</v>
      </c>
      <c r="I184" s="6">
        <v>5</v>
      </c>
      <c r="J184" s="125" t="s">
        <v>377</v>
      </c>
      <c r="K184" s="1"/>
    </row>
    <row r="185" spans="1:11" ht="13.5" thickBot="1" x14ac:dyDescent="0.25">
      <c r="A185" s="6">
        <v>8</v>
      </c>
      <c r="B185" s="6">
        <v>0</v>
      </c>
      <c r="C185" s="6">
        <v>8</v>
      </c>
      <c r="D185" s="6">
        <v>0</v>
      </c>
      <c r="E185" s="6">
        <v>0</v>
      </c>
      <c r="F185" s="6">
        <v>0</v>
      </c>
      <c r="G185" s="6">
        <v>8</v>
      </c>
      <c r="H185" s="6">
        <v>0</v>
      </c>
      <c r="I185" s="6">
        <v>8</v>
      </c>
      <c r="J185" s="125" t="s">
        <v>359</v>
      </c>
      <c r="K185" s="1"/>
    </row>
    <row r="186" spans="1:11" ht="13.5" thickBot="1" x14ac:dyDescent="0.25">
      <c r="A186" s="6">
        <v>535</v>
      </c>
      <c r="B186" s="6">
        <v>20</v>
      </c>
      <c r="C186" s="6">
        <v>515</v>
      </c>
      <c r="D186" s="6">
        <v>4</v>
      </c>
      <c r="E186" s="6">
        <v>0</v>
      </c>
      <c r="F186" s="6">
        <v>4</v>
      </c>
      <c r="G186" s="6">
        <v>531</v>
      </c>
      <c r="H186" s="6">
        <v>20</v>
      </c>
      <c r="I186" s="6">
        <v>511</v>
      </c>
      <c r="J186" s="125" t="s">
        <v>626</v>
      </c>
      <c r="K186" s="1"/>
    </row>
    <row r="187" spans="1:11" ht="13.5" thickBot="1" x14ac:dyDescent="0.25">
      <c r="A187" s="6">
        <v>17</v>
      </c>
      <c r="B187" s="6">
        <v>0</v>
      </c>
      <c r="C187" s="6">
        <v>17</v>
      </c>
      <c r="D187" s="6">
        <v>0</v>
      </c>
      <c r="E187" s="6">
        <v>0</v>
      </c>
      <c r="F187" s="6">
        <v>0</v>
      </c>
      <c r="G187" s="6">
        <v>17</v>
      </c>
      <c r="H187" s="6">
        <v>0</v>
      </c>
      <c r="I187" s="6">
        <v>17</v>
      </c>
      <c r="J187" s="125" t="s">
        <v>443</v>
      </c>
      <c r="K187" s="1"/>
    </row>
    <row r="188" spans="1:11" ht="13.5" thickBot="1" x14ac:dyDescent="0.25">
      <c r="A188" s="6">
        <v>19</v>
      </c>
      <c r="B188" s="6">
        <v>0</v>
      </c>
      <c r="C188" s="6">
        <v>19</v>
      </c>
      <c r="D188" s="6">
        <v>0</v>
      </c>
      <c r="E188" s="6">
        <v>0</v>
      </c>
      <c r="F188" s="6">
        <v>0</v>
      </c>
      <c r="G188" s="6">
        <v>19</v>
      </c>
      <c r="H188" s="6">
        <v>0</v>
      </c>
      <c r="I188" s="6">
        <v>19</v>
      </c>
      <c r="J188" s="125" t="s">
        <v>569</v>
      </c>
      <c r="K188" s="1"/>
    </row>
    <row r="189" spans="1:11" ht="13.5" thickBot="1" x14ac:dyDescent="0.25">
      <c r="A189" s="6">
        <v>30</v>
      </c>
      <c r="B189" s="6">
        <v>1</v>
      </c>
      <c r="C189" s="6">
        <v>29</v>
      </c>
      <c r="D189" s="6">
        <v>28</v>
      </c>
      <c r="E189" s="6">
        <v>0</v>
      </c>
      <c r="F189" s="6">
        <v>28</v>
      </c>
      <c r="G189" s="6">
        <v>2</v>
      </c>
      <c r="H189" s="6">
        <v>1</v>
      </c>
      <c r="I189" s="6">
        <v>1</v>
      </c>
      <c r="J189" s="125" t="s">
        <v>570</v>
      </c>
      <c r="K189" s="1"/>
    </row>
    <row r="190" spans="1:11" ht="13.5" thickBot="1" x14ac:dyDescent="0.25">
      <c r="A190" s="6">
        <v>32</v>
      </c>
      <c r="B190" s="6">
        <v>28</v>
      </c>
      <c r="C190" s="6">
        <v>4</v>
      </c>
      <c r="D190" s="6">
        <v>29</v>
      </c>
      <c r="E190" s="6">
        <v>28</v>
      </c>
      <c r="F190" s="6">
        <v>1</v>
      </c>
      <c r="G190" s="6">
        <v>3</v>
      </c>
      <c r="H190" s="6">
        <v>0</v>
      </c>
      <c r="I190" s="6">
        <v>3</v>
      </c>
      <c r="J190" s="125" t="s">
        <v>444</v>
      </c>
      <c r="K190" s="1"/>
    </row>
    <row r="191" spans="1:11" ht="13.5" thickBot="1" x14ac:dyDescent="0.25">
      <c r="A191" s="6">
        <v>27</v>
      </c>
      <c r="B191" s="6">
        <v>25</v>
      </c>
      <c r="C191" s="6">
        <v>2</v>
      </c>
      <c r="D191" s="6">
        <v>0</v>
      </c>
      <c r="E191" s="6">
        <v>0</v>
      </c>
      <c r="F191" s="6">
        <v>0</v>
      </c>
      <c r="G191" s="6">
        <v>27</v>
      </c>
      <c r="H191" s="6">
        <v>25</v>
      </c>
      <c r="I191" s="6">
        <v>2</v>
      </c>
      <c r="J191" s="125" t="s">
        <v>449</v>
      </c>
      <c r="K191" s="1"/>
    </row>
    <row r="192" spans="1:11" ht="13.5" thickBot="1" x14ac:dyDescent="0.25">
      <c r="A192" s="6">
        <v>7</v>
      </c>
      <c r="B192" s="6">
        <v>0</v>
      </c>
      <c r="C192" s="6">
        <v>7</v>
      </c>
      <c r="D192" s="6">
        <v>0</v>
      </c>
      <c r="E192" s="6">
        <v>0</v>
      </c>
      <c r="F192" s="6">
        <v>0</v>
      </c>
      <c r="G192" s="6">
        <v>7</v>
      </c>
      <c r="H192" s="6">
        <v>0</v>
      </c>
      <c r="I192" s="6">
        <v>7</v>
      </c>
      <c r="J192" s="125" t="s">
        <v>376</v>
      </c>
      <c r="K192" s="1"/>
    </row>
    <row r="193" spans="1:11" ht="13.5" thickBot="1" x14ac:dyDescent="0.25">
      <c r="A193" s="6">
        <v>12</v>
      </c>
      <c r="B193" s="6">
        <v>0</v>
      </c>
      <c r="C193" s="6">
        <v>12</v>
      </c>
      <c r="D193" s="6">
        <v>1</v>
      </c>
      <c r="E193" s="6">
        <v>0</v>
      </c>
      <c r="F193" s="6">
        <v>1</v>
      </c>
      <c r="G193" s="6">
        <v>11</v>
      </c>
      <c r="H193" s="6">
        <v>0</v>
      </c>
      <c r="I193" s="6">
        <v>11</v>
      </c>
      <c r="J193" s="125" t="s">
        <v>337</v>
      </c>
      <c r="K193" s="1"/>
    </row>
    <row r="194" spans="1:11" ht="13.5" thickBot="1" x14ac:dyDescent="0.25">
      <c r="A194" s="6">
        <v>16</v>
      </c>
      <c r="B194" s="6">
        <v>16</v>
      </c>
      <c r="C194" s="6">
        <v>0</v>
      </c>
      <c r="D194" s="6">
        <v>0</v>
      </c>
      <c r="E194" s="6">
        <v>0</v>
      </c>
      <c r="F194" s="6">
        <v>0</v>
      </c>
      <c r="G194" s="6">
        <v>16</v>
      </c>
      <c r="H194" s="6">
        <v>16</v>
      </c>
      <c r="I194" s="6">
        <v>0</v>
      </c>
      <c r="J194" s="125" t="s">
        <v>451</v>
      </c>
      <c r="K194" s="1"/>
    </row>
    <row r="195" spans="1:11" ht="13.5" thickBot="1" x14ac:dyDescent="0.25">
      <c r="A195" s="6">
        <v>7</v>
      </c>
      <c r="B195" s="6">
        <v>7</v>
      </c>
      <c r="C195" s="6">
        <v>0</v>
      </c>
      <c r="D195" s="6">
        <v>0</v>
      </c>
      <c r="E195" s="6">
        <v>0</v>
      </c>
      <c r="F195" s="6">
        <v>0</v>
      </c>
      <c r="G195" s="6">
        <v>7</v>
      </c>
      <c r="H195" s="6">
        <v>7</v>
      </c>
      <c r="I195" s="6">
        <v>0</v>
      </c>
      <c r="J195" s="125" t="s">
        <v>452</v>
      </c>
      <c r="K195" s="1"/>
    </row>
    <row r="196" spans="1:11" ht="13.5" thickBot="1" x14ac:dyDescent="0.25">
      <c r="A196" s="6">
        <v>1</v>
      </c>
      <c r="B196" s="6">
        <v>0</v>
      </c>
      <c r="C196" s="6">
        <v>1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1</v>
      </c>
      <c r="J196" s="125" t="s">
        <v>453</v>
      </c>
      <c r="K196" s="1"/>
    </row>
    <row r="197" spans="1:11" ht="13.5" thickBot="1" x14ac:dyDescent="0.25">
      <c r="A197" s="6">
        <v>18</v>
      </c>
      <c r="B197" s="6">
        <v>0</v>
      </c>
      <c r="C197" s="6">
        <v>18</v>
      </c>
      <c r="D197" s="6">
        <v>0</v>
      </c>
      <c r="E197" s="6">
        <v>0</v>
      </c>
      <c r="F197" s="6">
        <v>0</v>
      </c>
      <c r="G197" s="6">
        <v>18</v>
      </c>
      <c r="H197" s="6">
        <v>0</v>
      </c>
      <c r="I197" s="6">
        <v>18</v>
      </c>
      <c r="J197" s="125" t="s">
        <v>657</v>
      </c>
      <c r="K197" s="1"/>
    </row>
    <row r="198" spans="1:11" ht="13.5" thickBot="1" x14ac:dyDescent="0.25">
      <c r="A198" s="6">
        <v>16</v>
      </c>
      <c r="B198" s="6">
        <v>15</v>
      </c>
      <c r="C198" s="6">
        <v>1</v>
      </c>
      <c r="D198" s="6">
        <v>0</v>
      </c>
      <c r="E198" s="6">
        <v>0</v>
      </c>
      <c r="F198" s="6">
        <v>0</v>
      </c>
      <c r="G198" s="6">
        <v>16</v>
      </c>
      <c r="H198" s="6">
        <v>15</v>
      </c>
      <c r="I198" s="6">
        <v>1</v>
      </c>
      <c r="J198" s="125" t="s">
        <v>658</v>
      </c>
      <c r="K198" s="1"/>
    </row>
    <row r="199" spans="1:11" ht="13.5" thickBot="1" x14ac:dyDescent="0.25">
      <c r="A199" s="6">
        <v>1</v>
      </c>
      <c r="B199" s="6">
        <v>0</v>
      </c>
      <c r="C199" s="6">
        <v>1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1</v>
      </c>
      <c r="J199" s="125" t="s">
        <v>367</v>
      </c>
      <c r="K199" s="1"/>
    </row>
    <row r="200" spans="1:11" ht="13.5" thickBot="1" x14ac:dyDescent="0.25">
      <c r="A200" s="6">
        <v>2</v>
      </c>
      <c r="B200" s="6">
        <v>2</v>
      </c>
      <c r="C200" s="6">
        <v>0</v>
      </c>
      <c r="D200" s="6">
        <v>1</v>
      </c>
      <c r="E200" s="6">
        <v>1</v>
      </c>
      <c r="F200" s="6">
        <v>0</v>
      </c>
      <c r="G200" s="6">
        <v>1</v>
      </c>
      <c r="H200" s="6">
        <v>1</v>
      </c>
      <c r="I200" s="6">
        <v>0</v>
      </c>
      <c r="J200" s="125" t="s">
        <v>659</v>
      </c>
      <c r="K200" s="1"/>
    </row>
    <row r="201" spans="1:11" ht="13.5" thickBot="1" x14ac:dyDescent="0.25">
      <c r="A201" s="6">
        <v>2</v>
      </c>
      <c r="B201" s="6">
        <v>2</v>
      </c>
      <c r="C201" s="6">
        <v>0</v>
      </c>
      <c r="D201" s="6">
        <v>1</v>
      </c>
      <c r="E201" s="6">
        <v>1</v>
      </c>
      <c r="F201" s="6">
        <v>0</v>
      </c>
      <c r="G201" s="6">
        <v>1</v>
      </c>
      <c r="H201" s="6">
        <v>1</v>
      </c>
      <c r="I201" s="6">
        <v>0</v>
      </c>
      <c r="J201" s="125" t="s">
        <v>660</v>
      </c>
      <c r="K201" s="1"/>
    </row>
    <row r="202" spans="1:11" ht="13.5" thickBot="1" x14ac:dyDescent="0.25">
      <c r="A202" s="6">
        <v>4</v>
      </c>
      <c r="B202" s="6">
        <v>0</v>
      </c>
      <c r="C202" s="6">
        <v>4</v>
      </c>
      <c r="D202" s="6">
        <v>0</v>
      </c>
      <c r="E202" s="6">
        <v>0</v>
      </c>
      <c r="F202" s="6">
        <v>0</v>
      </c>
      <c r="G202" s="6">
        <v>4</v>
      </c>
      <c r="H202" s="6">
        <v>0</v>
      </c>
      <c r="I202" s="6">
        <v>4</v>
      </c>
      <c r="J202" s="125" t="s">
        <v>661</v>
      </c>
      <c r="K202" s="1"/>
    </row>
    <row r="203" spans="1:11" ht="13.5" thickBot="1" x14ac:dyDescent="0.25">
      <c r="A203" s="6">
        <v>8</v>
      </c>
      <c r="B203" s="6">
        <v>0</v>
      </c>
      <c r="C203" s="6">
        <v>8</v>
      </c>
      <c r="D203" s="6">
        <v>1</v>
      </c>
      <c r="E203" s="6">
        <v>0</v>
      </c>
      <c r="F203" s="6">
        <v>1</v>
      </c>
      <c r="G203" s="6">
        <v>7</v>
      </c>
      <c r="H203" s="6">
        <v>0</v>
      </c>
      <c r="I203" s="6">
        <v>7</v>
      </c>
      <c r="J203" s="125" t="s">
        <v>662</v>
      </c>
      <c r="K203" s="1"/>
    </row>
    <row r="204" spans="1:11" ht="13.5" thickBot="1" x14ac:dyDescent="0.25">
      <c r="A204" s="6">
        <v>1</v>
      </c>
      <c r="B204" s="6">
        <v>0</v>
      </c>
      <c r="C204" s="6">
        <v>1</v>
      </c>
      <c r="D204" s="6">
        <v>0</v>
      </c>
      <c r="E204" s="6">
        <v>0</v>
      </c>
      <c r="F204" s="6">
        <v>0</v>
      </c>
      <c r="G204" s="6">
        <v>1</v>
      </c>
      <c r="H204" s="6">
        <v>0</v>
      </c>
      <c r="I204" s="6">
        <v>1</v>
      </c>
      <c r="J204" s="125" t="s">
        <v>663</v>
      </c>
      <c r="K204" s="1"/>
    </row>
    <row r="205" spans="1:11" ht="13.5" thickBot="1" x14ac:dyDescent="0.25">
      <c r="A205" s="6">
        <v>926</v>
      </c>
      <c r="B205" s="6">
        <v>126</v>
      </c>
      <c r="C205" s="6">
        <v>800</v>
      </c>
      <c r="D205" s="6">
        <v>97</v>
      </c>
      <c r="E205" s="6">
        <v>38</v>
      </c>
      <c r="F205" s="6">
        <v>59</v>
      </c>
      <c r="G205" s="6">
        <v>829</v>
      </c>
      <c r="H205" s="6">
        <v>88</v>
      </c>
      <c r="I205" s="6">
        <v>741</v>
      </c>
      <c r="J205" s="7" t="s">
        <v>232</v>
      </c>
      <c r="K205" s="1"/>
    </row>
    <row r="206" spans="1:11" ht="18" customHeight="1" x14ac:dyDescent="0.2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"/>
    </row>
    <row r="207" spans="1:11" ht="18" customHeight="1" x14ac:dyDescent="0.2">
      <c r="A207" s="159" t="s">
        <v>649</v>
      </c>
      <c r="B207" s="159"/>
      <c r="C207" s="159"/>
      <c r="D207" s="159"/>
      <c r="E207" s="159"/>
      <c r="F207" s="159"/>
      <c r="G207" s="159"/>
      <c r="H207" s="159"/>
      <c r="I207" s="159"/>
      <c r="J207" s="159"/>
      <c r="K207" s="1"/>
    </row>
    <row r="208" spans="1:11" ht="18" customHeight="1" thickBot="1" x14ac:dyDescent="0.25">
      <c r="A208" s="160" t="s">
        <v>650</v>
      </c>
      <c r="B208" s="160"/>
      <c r="C208" s="160"/>
      <c r="D208" s="160"/>
      <c r="E208" s="160"/>
      <c r="F208" s="160"/>
      <c r="G208" s="160"/>
      <c r="H208" s="160"/>
      <c r="I208" s="160"/>
      <c r="J208" s="160"/>
      <c r="K208" s="1"/>
    </row>
    <row r="209" spans="1:11" ht="13.5" thickBot="1" x14ac:dyDescent="0.25">
      <c r="A209" s="161" t="s">
        <v>5</v>
      </c>
      <c r="B209" s="161"/>
      <c r="C209" s="161"/>
      <c r="D209" s="161" t="s">
        <v>162</v>
      </c>
      <c r="E209" s="161"/>
      <c r="F209" s="161"/>
      <c r="G209" s="161" t="s">
        <v>163</v>
      </c>
      <c r="H209" s="161"/>
      <c r="I209" s="161"/>
      <c r="J209" s="47" t="s">
        <v>72</v>
      </c>
      <c r="K209" s="1"/>
    </row>
    <row r="210" spans="1:11" ht="13.5" thickBot="1" x14ac:dyDescent="0.25">
      <c r="A210" s="47" t="s">
        <v>216</v>
      </c>
      <c r="B210" s="47" t="s">
        <v>11</v>
      </c>
      <c r="C210" s="47" t="s">
        <v>10</v>
      </c>
      <c r="D210" s="47" t="s">
        <v>216</v>
      </c>
      <c r="E210" s="47" t="s">
        <v>11</v>
      </c>
      <c r="F210" s="47" t="s">
        <v>10</v>
      </c>
      <c r="G210" s="47" t="s">
        <v>216</v>
      </c>
      <c r="H210" s="47" t="s">
        <v>11</v>
      </c>
      <c r="I210" s="47" t="s">
        <v>10</v>
      </c>
      <c r="J210" s="33" t="s">
        <v>82</v>
      </c>
      <c r="K210" s="1"/>
    </row>
    <row r="211" spans="1:11" ht="13.5" thickBot="1" x14ac:dyDescent="0.25">
      <c r="A211" s="6">
        <v>490</v>
      </c>
      <c r="B211" s="6">
        <v>65</v>
      </c>
      <c r="C211" s="6">
        <v>425</v>
      </c>
      <c r="D211" s="6">
        <v>14</v>
      </c>
      <c r="E211" s="6">
        <v>0</v>
      </c>
      <c r="F211" s="6">
        <v>14</v>
      </c>
      <c r="G211" s="6">
        <v>476</v>
      </c>
      <c r="H211" s="6">
        <v>65</v>
      </c>
      <c r="I211" s="6">
        <v>411</v>
      </c>
      <c r="J211" s="125" t="s">
        <v>634</v>
      </c>
      <c r="K211" s="1"/>
    </row>
    <row r="212" spans="1:11" ht="13.5" thickBot="1" x14ac:dyDescent="0.25">
      <c r="A212" s="6">
        <v>3</v>
      </c>
      <c r="B212" s="6">
        <v>3</v>
      </c>
      <c r="C212" s="6">
        <v>0</v>
      </c>
      <c r="D212" s="6">
        <v>0</v>
      </c>
      <c r="E212" s="6">
        <v>0</v>
      </c>
      <c r="F212" s="6">
        <v>0</v>
      </c>
      <c r="G212" s="6">
        <v>3</v>
      </c>
      <c r="H212" s="6">
        <v>3</v>
      </c>
      <c r="I212" s="6">
        <v>0</v>
      </c>
      <c r="J212" s="125" t="s">
        <v>111</v>
      </c>
      <c r="K212" s="1"/>
    </row>
    <row r="213" spans="1:11" ht="13.5" thickBot="1" x14ac:dyDescent="0.25">
      <c r="A213" s="6">
        <v>3</v>
      </c>
      <c r="B213" s="6">
        <v>3</v>
      </c>
      <c r="C213" s="6">
        <v>0</v>
      </c>
      <c r="D213" s="6">
        <v>0</v>
      </c>
      <c r="E213" s="6">
        <v>0</v>
      </c>
      <c r="F213" s="6">
        <v>0</v>
      </c>
      <c r="G213" s="6">
        <v>3</v>
      </c>
      <c r="H213" s="6">
        <v>3</v>
      </c>
      <c r="I213" s="6">
        <v>0</v>
      </c>
      <c r="J213" s="125" t="s">
        <v>457</v>
      </c>
      <c r="K213" s="1"/>
    </row>
    <row r="214" spans="1:11" ht="13.5" thickBot="1" x14ac:dyDescent="0.25">
      <c r="A214" s="6">
        <v>12</v>
      </c>
      <c r="B214" s="6">
        <v>11</v>
      </c>
      <c r="C214" s="6">
        <v>1</v>
      </c>
      <c r="D214" s="6">
        <v>0</v>
      </c>
      <c r="E214" s="6">
        <v>0</v>
      </c>
      <c r="F214" s="6">
        <v>0</v>
      </c>
      <c r="G214" s="6">
        <v>12</v>
      </c>
      <c r="H214" s="6">
        <v>11</v>
      </c>
      <c r="I214" s="6">
        <v>1</v>
      </c>
      <c r="J214" s="125" t="s">
        <v>458</v>
      </c>
      <c r="K214" s="1"/>
    </row>
    <row r="215" spans="1:11" ht="13.5" thickBot="1" x14ac:dyDescent="0.25">
      <c r="A215" s="6">
        <v>18</v>
      </c>
      <c r="B215" s="6">
        <v>18</v>
      </c>
      <c r="C215" s="6">
        <v>0</v>
      </c>
      <c r="D215" s="6">
        <v>0</v>
      </c>
      <c r="E215" s="6">
        <v>0</v>
      </c>
      <c r="F215" s="6">
        <v>0</v>
      </c>
      <c r="G215" s="6">
        <v>18</v>
      </c>
      <c r="H215" s="6">
        <v>18</v>
      </c>
      <c r="I215" s="6">
        <v>0</v>
      </c>
      <c r="J215" s="125" t="s">
        <v>459</v>
      </c>
      <c r="K215" s="1"/>
    </row>
    <row r="216" spans="1:11" ht="13.5" thickBot="1" x14ac:dyDescent="0.25">
      <c r="A216" s="6">
        <v>7</v>
      </c>
      <c r="B216" s="6">
        <v>7</v>
      </c>
      <c r="C216" s="6">
        <v>0</v>
      </c>
      <c r="D216" s="6">
        <v>0</v>
      </c>
      <c r="E216" s="6">
        <v>0</v>
      </c>
      <c r="F216" s="6">
        <v>0</v>
      </c>
      <c r="G216" s="6">
        <v>7</v>
      </c>
      <c r="H216" s="6">
        <v>7</v>
      </c>
      <c r="I216" s="6">
        <v>0</v>
      </c>
      <c r="J216" s="125" t="s">
        <v>460</v>
      </c>
      <c r="K216" s="1"/>
    </row>
    <row r="217" spans="1:11" ht="13.5" thickBot="1" x14ac:dyDescent="0.25">
      <c r="A217" s="6">
        <v>7</v>
      </c>
      <c r="B217" s="6">
        <v>7</v>
      </c>
      <c r="C217" s="6">
        <v>0</v>
      </c>
      <c r="D217" s="6">
        <v>0</v>
      </c>
      <c r="E217" s="6">
        <v>0</v>
      </c>
      <c r="F217" s="6">
        <v>0</v>
      </c>
      <c r="G217" s="6">
        <v>7</v>
      </c>
      <c r="H217" s="6">
        <v>7</v>
      </c>
      <c r="I217" s="6">
        <v>0</v>
      </c>
      <c r="J217" s="125" t="s">
        <v>461</v>
      </c>
      <c r="K217" s="1"/>
    </row>
    <row r="218" spans="1:11" ht="13.5" thickBot="1" x14ac:dyDescent="0.25">
      <c r="A218" s="6">
        <v>540</v>
      </c>
      <c r="B218" s="6">
        <v>114</v>
      </c>
      <c r="C218" s="6">
        <v>426</v>
      </c>
      <c r="D218" s="6">
        <v>14</v>
      </c>
      <c r="E218" s="6">
        <v>0</v>
      </c>
      <c r="F218" s="6">
        <v>14</v>
      </c>
      <c r="G218" s="6">
        <v>526</v>
      </c>
      <c r="H218" s="6">
        <v>114</v>
      </c>
      <c r="I218" s="6">
        <v>412</v>
      </c>
      <c r="J218" s="7" t="s">
        <v>232</v>
      </c>
      <c r="K218" s="1"/>
    </row>
    <row r="219" spans="1:11" ht="18" customHeight="1" x14ac:dyDescent="0.2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"/>
    </row>
    <row r="220" spans="1:11" ht="18" customHeight="1" x14ac:dyDescent="0.2">
      <c r="A220" s="159" t="s">
        <v>649</v>
      </c>
      <c r="B220" s="159"/>
      <c r="C220" s="159"/>
      <c r="D220" s="159"/>
      <c r="E220" s="159"/>
      <c r="F220" s="159"/>
      <c r="G220" s="159"/>
      <c r="H220" s="159"/>
      <c r="I220" s="159"/>
      <c r="J220" s="159"/>
      <c r="K220" s="1"/>
    </row>
    <row r="221" spans="1:11" ht="18" customHeight="1" thickBot="1" x14ac:dyDescent="0.25">
      <c r="A221" s="160" t="s">
        <v>650</v>
      </c>
      <c r="B221" s="160"/>
      <c r="C221" s="160"/>
      <c r="D221" s="160"/>
      <c r="E221" s="160"/>
      <c r="F221" s="160"/>
      <c r="G221" s="160"/>
      <c r="H221" s="160"/>
      <c r="I221" s="160"/>
      <c r="J221" s="160"/>
      <c r="K221" s="1"/>
    </row>
    <row r="222" spans="1:11" ht="13.5" thickBot="1" x14ac:dyDescent="0.25">
      <c r="A222" s="161" t="s">
        <v>5</v>
      </c>
      <c r="B222" s="161"/>
      <c r="C222" s="161"/>
      <c r="D222" s="161" t="s">
        <v>162</v>
      </c>
      <c r="E222" s="161"/>
      <c r="F222" s="161"/>
      <c r="G222" s="161" t="s">
        <v>163</v>
      </c>
      <c r="H222" s="161"/>
      <c r="I222" s="161"/>
      <c r="J222" s="47" t="s">
        <v>72</v>
      </c>
      <c r="K222" s="1"/>
    </row>
    <row r="223" spans="1:11" ht="13.5" thickBot="1" x14ac:dyDescent="0.25">
      <c r="A223" s="47" t="s">
        <v>216</v>
      </c>
      <c r="B223" s="47" t="s">
        <v>11</v>
      </c>
      <c r="C223" s="47" t="s">
        <v>10</v>
      </c>
      <c r="D223" s="47" t="s">
        <v>216</v>
      </c>
      <c r="E223" s="47" t="s">
        <v>11</v>
      </c>
      <c r="F223" s="47" t="s">
        <v>10</v>
      </c>
      <c r="G223" s="47" t="s">
        <v>216</v>
      </c>
      <c r="H223" s="47" t="s">
        <v>11</v>
      </c>
      <c r="I223" s="47" t="s">
        <v>10</v>
      </c>
      <c r="J223" s="33" t="s">
        <v>83</v>
      </c>
      <c r="K223" s="1"/>
    </row>
    <row r="224" spans="1:11" ht="13.5" thickBot="1" x14ac:dyDescent="0.25">
      <c r="A224" s="6">
        <v>479</v>
      </c>
      <c r="B224" s="6">
        <v>174</v>
      </c>
      <c r="C224" s="6">
        <v>305</v>
      </c>
      <c r="D224" s="6">
        <v>6</v>
      </c>
      <c r="E224" s="6">
        <v>0</v>
      </c>
      <c r="F224" s="6">
        <v>6</v>
      </c>
      <c r="G224" s="6">
        <v>473</v>
      </c>
      <c r="H224" s="6">
        <v>174</v>
      </c>
      <c r="I224" s="6">
        <v>299</v>
      </c>
      <c r="J224" s="125" t="s">
        <v>664</v>
      </c>
      <c r="K224" s="1"/>
    </row>
    <row r="225" spans="1:11" ht="13.5" thickBot="1" x14ac:dyDescent="0.25">
      <c r="A225" s="6">
        <v>479</v>
      </c>
      <c r="B225" s="6">
        <v>174</v>
      </c>
      <c r="C225" s="6">
        <v>305</v>
      </c>
      <c r="D225" s="6">
        <v>6</v>
      </c>
      <c r="E225" s="6">
        <v>0</v>
      </c>
      <c r="F225" s="6">
        <v>6</v>
      </c>
      <c r="G225" s="6">
        <v>473</v>
      </c>
      <c r="H225" s="6">
        <v>174</v>
      </c>
      <c r="I225" s="6">
        <v>299</v>
      </c>
      <c r="J225" s="7" t="s">
        <v>232</v>
      </c>
      <c r="K225" s="1"/>
    </row>
    <row r="226" spans="1:11" ht="18" customHeight="1" x14ac:dyDescent="0.2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"/>
    </row>
    <row r="227" spans="1:11" ht="18" customHeight="1" x14ac:dyDescent="0.2">
      <c r="A227" s="159" t="s">
        <v>649</v>
      </c>
      <c r="B227" s="159"/>
      <c r="C227" s="159"/>
      <c r="D227" s="159"/>
      <c r="E227" s="159"/>
      <c r="F227" s="159"/>
      <c r="G227" s="159"/>
      <c r="H227" s="159"/>
      <c r="I227" s="159"/>
      <c r="J227" s="159"/>
      <c r="K227" s="1"/>
    </row>
    <row r="228" spans="1:11" ht="18" customHeight="1" thickBot="1" x14ac:dyDescent="0.25">
      <c r="A228" s="160" t="s">
        <v>650</v>
      </c>
      <c r="B228" s="160"/>
      <c r="C228" s="160"/>
      <c r="D228" s="160"/>
      <c r="E228" s="160"/>
      <c r="F228" s="160"/>
      <c r="G228" s="160"/>
      <c r="H228" s="160"/>
      <c r="I228" s="160"/>
      <c r="J228" s="160"/>
      <c r="K228" s="1"/>
    </row>
    <row r="229" spans="1:11" ht="13.5" thickBot="1" x14ac:dyDescent="0.25">
      <c r="A229" s="161" t="s">
        <v>5</v>
      </c>
      <c r="B229" s="161"/>
      <c r="C229" s="161"/>
      <c r="D229" s="161" t="s">
        <v>162</v>
      </c>
      <c r="E229" s="161"/>
      <c r="F229" s="161"/>
      <c r="G229" s="161" t="s">
        <v>163</v>
      </c>
      <c r="H229" s="161"/>
      <c r="I229" s="161"/>
      <c r="J229" s="47" t="s">
        <v>72</v>
      </c>
      <c r="K229" s="1"/>
    </row>
    <row r="230" spans="1:11" ht="13.5" thickBot="1" x14ac:dyDescent="0.25">
      <c r="A230" s="47" t="s">
        <v>216</v>
      </c>
      <c r="B230" s="47" t="s">
        <v>11</v>
      </c>
      <c r="C230" s="47" t="s">
        <v>10</v>
      </c>
      <c r="D230" s="47" t="s">
        <v>216</v>
      </c>
      <c r="E230" s="47" t="s">
        <v>11</v>
      </c>
      <c r="F230" s="47" t="s">
        <v>10</v>
      </c>
      <c r="G230" s="47" t="s">
        <v>216</v>
      </c>
      <c r="H230" s="47" t="s">
        <v>11</v>
      </c>
      <c r="I230" s="47" t="s">
        <v>10</v>
      </c>
      <c r="J230" s="33" t="s">
        <v>165</v>
      </c>
      <c r="K230" s="1"/>
    </row>
    <row r="231" spans="1:11" ht="13.5" thickBot="1" x14ac:dyDescent="0.25">
      <c r="A231" s="6">
        <v>7</v>
      </c>
      <c r="B231" s="6">
        <v>4</v>
      </c>
      <c r="C231" s="6">
        <v>3</v>
      </c>
      <c r="D231" s="6">
        <v>2</v>
      </c>
      <c r="E231" s="6">
        <v>1</v>
      </c>
      <c r="F231" s="6">
        <v>1</v>
      </c>
      <c r="G231" s="6">
        <v>5</v>
      </c>
      <c r="H231" s="6">
        <v>3</v>
      </c>
      <c r="I231" s="6">
        <v>2</v>
      </c>
      <c r="J231" s="125" t="s">
        <v>542</v>
      </c>
      <c r="K231" s="1"/>
    </row>
    <row r="232" spans="1:11" ht="13.5" thickBot="1" x14ac:dyDescent="0.25">
      <c r="A232" s="6">
        <v>6</v>
      </c>
      <c r="B232" s="6">
        <v>3</v>
      </c>
      <c r="C232" s="6">
        <v>3</v>
      </c>
      <c r="D232" s="6">
        <v>1</v>
      </c>
      <c r="E232" s="6">
        <v>1</v>
      </c>
      <c r="F232" s="6">
        <v>0</v>
      </c>
      <c r="G232" s="6">
        <v>5</v>
      </c>
      <c r="H232" s="6">
        <v>2</v>
      </c>
      <c r="I232" s="6">
        <v>3</v>
      </c>
      <c r="J232" s="125" t="s">
        <v>543</v>
      </c>
      <c r="K232" s="1"/>
    </row>
    <row r="233" spans="1:11" ht="13.5" thickBot="1" x14ac:dyDescent="0.25">
      <c r="A233" s="6">
        <v>51</v>
      </c>
      <c r="B233" s="6">
        <v>51</v>
      </c>
      <c r="C233" s="6">
        <v>0</v>
      </c>
      <c r="D233" s="6">
        <v>13</v>
      </c>
      <c r="E233" s="6">
        <v>13</v>
      </c>
      <c r="F233" s="6">
        <v>0</v>
      </c>
      <c r="G233" s="6">
        <v>38</v>
      </c>
      <c r="H233" s="6">
        <v>38</v>
      </c>
      <c r="I233" s="6">
        <v>0</v>
      </c>
      <c r="J233" s="125" t="s">
        <v>477</v>
      </c>
      <c r="K233" s="1"/>
    </row>
    <row r="234" spans="1:11" ht="13.5" thickBot="1" x14ac:dyDescent="0.25">
      <c r="A234" s="6">
        <v>17</v>
      </c>
      <c r="B234" s="6">
        <v>16</v>
      </c>
      <c r="C234" s="6">
        <v>1</v>
      </c>
      <c r="D234" s="6">
        <v>4</v>
      </c>
      <c r="E234" s="6">
        <v>3</v>
      </c>
      <c r="F234" s="6">
        <v>1</v>
      </c>
      <c r="G234" s="6">
        <v>13</v>
      </c>
      <c r="H234" s="6">
        <v>13</v>
      </c>
      <c r="I234" s="6">
        <v>0</v>
      </c>
      <c r="J234" s="125" t="s">
        <v>478</v>
      </c>
      <c r="K234" s="1"/>
    </row>
    <row r="235" spans="1:11" ht="13.5" thickBot="1" x14ac:dyDescent="0.25">
      <c r="A235" s="6">
        <v>81</v>
      </c>
      <c r="B235" s="6">
        <v>74</v>
      </c>
      <c r="C235" s="6">
        <v>7</v>
      </c>
      <c r="D235" s="6">
        <v>20</v>
      </c>
      <c r="E235" s="6">
        <v>18</v>
      </c>
      <c r="F235" s="6">
        <v>2</v>
      </c>
      <c r="G235" s="6">
        <v>61</v>
      </c>
      <c r="H235" s="6">
        <v>56</v>
      </c>
      <c r="I235" s="6">
        <v>5</v>
      </c>
      <c r="J235" s="7" t="s">
        <v>232</v>
      </c>
      <c r="K235" s="1"/>
    </row>
    <row r="236" spans="1:11" ht="18" customHeight="1" x14ac:dyDescent="0.2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"/>
    </row>
    <row r="237" spans="1:11" ht="18" customHeight="1" x14ac:dyDescent="0.2">
      <c r="A237" s="159" t="s">
        <v>649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"/>
    </row>
    <row r="238" spans="1:11" ht="18" customHeight="1" thickBot="1" x14ac:dyDescent="0.25">
      <c r="A238" s="160" t="s">
        <v>650</v>
      </c>
      <c r="B238" s="160"/>
      <c r="C238" s="160"/>
      <c r="D238" s="160"/>
      <c r="E238" s="160"/>
      <c r="F238" s="160"/>
      <c r="G238" s="160"/>
      <c r="H238" s="160"/>
      <c r="I238" s="160"/>
      <c r="J238" s="160"/>
      <c r="K238" s="1"/>
    </row>
    <row r="239" spans="1:11" ht="13.5" thickBot="1" x14ac:dyDescent="0.25">
      <c r="A239" s="161" t="s">
        <v>5</v>
      </c>
      <c r="B239" s="161"/>
      <c r="C239" s="161"/>
      <c r="D239" s="161" t="s">
        <v>162</v>
      </c>
      <c r="E239" s="161"/>
      <c r="F239" s="161"/>
      <c r="G239" s="161" t="s">
        <v>163</v>
      </c>
      <c r="H239" s="161"/>
      <c r="I239" s="161"/>
      <c r="J239" s="47" t="s">
        <v>72</v>
      </c>
      <c r="K239" s="1"/>
    </row>
    <row r="240" spans="1:11" ht="13.5" thickBot="1" x14ac:dyDescent="0.25">
      <c r="A240" s="47" t="s">
        <v>216</v>
      </c>
      <c r="B240" s="47" t="s">
        <v>11</v>
      </c>
      <c r="C240" s="47" t="s">
        <v>10</v>
      </c>
      <c r="D240" s="47" t="s">
        <v>216</v>
      </c>
      <c r="E240" s="47" t="s">
        <v>11</v>
      </c>
      <c r="F240" s="47" t="s">
        <v>10</v>
      </c>
      <c r="G240" s="47" t="s">
        <v>216</v>
      </c>
      <c r="H240" s="47" t="s">
        <v>11</v>
      </c>
      <c r="I240" s="47" t="s">
        <v>10</v>
      </c>
      <c r="J240" s="33" t="s">
        <v>115</v>
      </c>
      <c r="K240" s="1"/>
    </row>
    <row r="241" spans="1:11" ht="13.5" thickBot="1" x14ac:dyDescent="0.25">
      <c r="A241" s="6">
        <v>107</v>
      </c>
      <c r="B241" s="6">
        <v>0</v>
      </c>
      <c r="C241" s="6">
        <v>107</v>
      </c>
      <c r="D241" s="6">
        <v>50</v>
      </c>
      <c r="E241" s="6">
        <v>0</v>
      </c>
      <c r="F241" s="6">
        <v>50</v>
      </c>
      <c r="G241" s="6">
        <v>57</v>
      </c>
      <c r="H241" s="6">
        <v>0</v>
      </c>
      <c r="I241" s="6">
        <v>57</v>
      </c>
      <c r="J241" s="125" t="s">
        <v>265</v>
      </c>
      <c r="K241" s="1"/>
    </row>
    <row r="242" spans="1:11" ht="13.5" thickBot="1" x14ac:dyDescent="0.25">
      <c r="A242" s="6">
        <v>269</v>
      </c>
      <c r="B242" s="6">
        <v>56</v>
      </c>
      <c r="C242" s="6">
        <v>213</v>
      </c>
      <c r="D242" s="6">
        <v>76</v>
      </c>
      <c r="E242" s="6">
        <v>18</v>
      </c>
      <c r="F242" s="6">
        <v>58</v>
      </c>
      <c r="G242" s="6">
        <v>193</v>
      </c>
      <c r="H242" s="6">
        <v>38</v>
      </c>
      <c r="I242" s="6">
        <v>155</v>
      </c>
      <c r="J242" s="125" t="s">
        <v>634</v>
      </c>
      <c r="K242" s="1"/>
    </row>
    <row r="243" spans="1:11" ht="13.5" thickBot="1" x14ac:dyDescent="0.25">
      <c r="A243" s="6">
        <v>71</v>
      </c>
      <c r="B243" s="6">
        <v>0</v>
      </c>
      <c r="C243" s="6">
        <v>71</v>
      </c>
      <c r="D243" s="6">
        <v>53</v>
      </c>
      <c r="E243" s="6">
        <v>0</v>
      </c>
      <c r="F243" s="6">
        <v>53</v>
      </c>
      <c r="G243" s="6">
        <v>18</v>
      </c>
      <c r="H243" s="6">
        <v>0</v>
      </c>
      <c r="I243" s="6">
        <v>18</v>
      </c>
      <c r="J243" s="125" t="s">
        <v>416</v>
      </c>
      <c r="K243" s="1"/>
    </row>
    <row r="244" spans="1:11" ht="13.5" thickBot="1" x14ac:dyDescent="0.25">
      <c r="A244" s="6">
        <v>56</v>
      </c>
      <c r="B244" s="6">
        <v>0</v>
      </c>
      <c r="C244" s="6">
        <v>56</v>
      </c>
      <c r="D244" s="6">
        <v>36</v>
      </c>
      <c r="E244" s="6">
        <v>0</v>
      </c>
      <c r="F244" s="6">
        <v>36</v>
      </c>
      <c r="G244" s="6">
        <v>20</v>
      </c>
      <c r="H244" s="6">
        <v>0</v>
      </c>
      <c r="I244" s="6">
        <v>20</v>
      </c>
      <c r="J244" s="125" t="s">
        <v>377</v>
      </c>
      <c r="K244" s="1"/>
    </row>
    <row r="245" spans="1:11" ht="13.5" thickBot="1" x14ac:dyDescent="0.25">
      <c r="A245" s="6">
        <v>100</v>
      </c>
      <c r="B245" s="6">
        <v>30</v>
      </c>
      <c r="C245" s="6">
        <v>70</v>
      </c>
      <c r="D245" s="6">
        <v>65</v>
      </c>
      <c r="E245" s="6">
        <v>25</v>
      </c>
      <c r="F245" s="6">
        <v>40</v>
      </c>
      <c r="G245" s="6">
        <v>35</v>
      </c>
      <c r="H245" s="6">
        <v>5</v>
      </c>
      <c r="I245" s="6">
        <v>30</v>
      </c>
      <c r="J245" s="125" t="s">
        <v>263</v>
      </c>
      <c r="K245" s="1"/>
    </row>
    <row r="246" spans="1:11" ht="13.5" thickBot="1" x14ac:dyDescent="0.25">
      <c r="A246" s="6">
        <v>56</v>
      </c>
      <c r="B246" s="6">
        <v>0</v>
      </c>
      <c r="C246" s="6">
        <v>56</v>
      </c>
      <c r="D246" s="6">
        <v>36</v>
      </c>
      <c r="E246" s="6">
        <v>0</v>
      </c>
      <c r="F246" s="6">
        <v>36</v>
      </c>
      <c r="G246" s="6">
        <v>20</v>
      </c>
      <c r="H246" s="6">
        <v>0</v>
      </c>
      <c r="I246" s="6">
        <v>20</v>
      </c>
      <c r="J246" s="125" t="s">
        <v>114</v>
      </c>
      <c r="K246" s="1"/>
    </row>
    <row r="247" spans="1:11" ht="13.5" thickBot="1" x14ac:dyDescent="0.25">
      <c r="A247" s="6">
        <v>62</v>
      </c>
      <c r="B247" s="6">
        <v>19</v>
      </c>
      <c r="C247" s="6">
        <v>43</v>
      </c>
      <c r="D247" s="6">
        <v>35</v>
      </c>
      <c r="E247" s="6">
        <v>12</v>
      </c>
      <c r="F247" s="6">
        <v>23</v>
      </c>
      <c r="G247" s="6">
        <v>27</v>
      </c>
      <c r="H247" s="6">
        <v>7</v>
      </c>
      <c r="I247" s="6">
        <v>20</v>
      </c>
      <c r="J247" s="125" t="s">
        <v>359</v>
      </c>
      <c r="K247" s="1"/>
    </row>
    <row r="248" spans="1:11" ht="13.5" thickBot="1" x14ac:dyDescent="0.25">
      <c r="A248" s="6">
        <v>105</v>
      </c>
      <c r="B248" s="6">
        <v>30</v>
      </c>
      <c r="C248" s="6">
        <v>75</v>
      </c>
      <c r="D248" s="6">
        <v>65</v>
      </c>
      <c r="E248" s="6">
        <v>25</v>
      </c>
      <c r="F248" s="6">
        <v>40</v>
      </c>
      <c r="G248" s="6">
        <v>40</v>
      </c>
      <c r="H248" s="6">
        <v>5</v>
      </c>
      <c r="I248" s="6">
        <v>35</v>
      </c>
      <c r="J248" s="125" t="s">
        <v>264</v>
      </c>
      <c r="K248" s="1"/>
    </row>
    <row r="249" spans="1:11" ht="13.5" thickBot="1" x14ac:dyDescent="0.25">
      <c r="A249" s="6">
        <v>41</v>
      </c>
      <c r="B249" s="6">
        <v>0</v>
      </c>
      <c r="C249" s="6">
        <v>41</v>
      </c>
      <c r="D249" s="6">
        <v>15</v>
      </c>
      <c r="E249" s="6">
        <v>0</v>
      </c>
      <c r="F249" s="6">
        <v>15</v>
      </c>
      <c r="G249" s="6">
        <v>26</v>
      </c>
      <c r="H249" s="6">
        <v>0</v>
      </c>
      <c r="I249" s="6">
        <v>26</v>
      </c>
      <c r="J249" s="125" t="s">
        <v>266</v>
      </c>
      <c r="K249" s="1"/>
    </row>
    <row r="250" spans="1:11" ht="13.5" thickBot="1" x14ac:dyDescent="0.25">
      <c r="A250" s="6">
        <v>24</v>
      </c>
      <c r="B250" s="6">
        <v>24</v>
      </c>
      <c r="C250" s="6">
        <v>0</v>
      </c>
      <c r="D250" s="6">
        <v>11</v>
      </c>
      <c r="E250" s="6">
        <v>11</v>
      </c>
      <c r="F250" s="6">
        <v>0</v>
      </c>
      <c r="G250" s="6">
        <v>13</v>
      </c>
      <c r="H250" s="6">
        <v>13</v>
      </c>
      <c r="I250" s="6">
        <v>0</v>
      </c>
      <c r="J250" s="125" t="s">
        <v>267</v>
      </c>
      <c r="K250" s="1"/>
    </row>
    <row r="251" spans="1:11" ht="13.5" thickBot="1" x14ac:dyDescent="0.25">
      <c r="A251" s="6">
        <v>70</v>
      </c>
      <c r="B251" s="6">
        <v>70</v>
      </c>
      <c r="C251" s="6">
        <v>0</v>
      </c>
      <c r="D251" s="6">
        <v>33</v>
      </c>
      <c r="E251" s="6">
        <v>33</v>
      </c>
      <c r="F251" s="6">
        <v>0</v>
      </c>
      <c r="G251" s="6">
        <v>37</v>
      </c>
      <c r="H251" s="6">
        <v>37</v>
      </c>
      <c r="I251" s="6">
        <v>0</v>
      </c>
      <c r="J251" s="125" t="s">
        <v>479</v>
      </c>
      <c r="K251" s="1"/>
    </row>
    <row r="252" spans="1:11" ht="13.5" thickBot="1" x14ac:dyDescent="0.25">
      <c r="A252" s="6">
        <v>3</v>
      </c>
      <c r="B252" s="6">
        <v>3</v>
      </c>
      <c r="C252" s="6">
        <v>0</v>
      </c>
      <c r="D252" s="6">
        <v>1</v>
      </c>
      <c r="E252" s="6">
        <v>1</v>
      </c>
      <c r="F252" s="6">
        <v>0</v>
      </c>
      <c r="G252" s="6">
        <v>2</v>
      </c>
      <c r="H252" s="6">
        <v>2</v>
      </c>
      <c r="I252" s="6">
        <v>0</v>
      </c>
      <c r="J252" s="125" t="s">
        <v>116</v>
      </c>
      <c r="K252" s="1"/>
    </row>
    <row r="253" spans="1:11" ht="13.5" thickBot="1" x14ac:dyDescent="0.25">
      <c r="A253" s="6">
        <v>8</v>
      </c>
      <c r="B253" s="6">
        <v>8</v>
      </c>
      <c r="C253" s="6">
        <v>0</v>
      </c>
      <c r="D253" s="6">
        <v>5</v>
      </c>
      <c r="E253" s="6">
        <v>5</v>
      </c>
      <c r="F253" s="6">
        <v>0</v>
      </c>
      <c r="G253" s="6">
        <v>3</v>
      </c>
      <c r="H253" s="6">
        <v>3</v>
      </c>
      <c r="I253" s="6">
        <v>0</v>
      </c>
      <c r="J253" s="125" t="s">
        <v>480</v>
      </c>
      <c r="K253" s="1"/>
    </row>
    <row r="254" spans="1:11" ht="13.5" thickBot="1" x14ac:dyDescent="0.25">
      <c r="A254" s="6">
        <v>70</v>
      </c>
      <c r="B254" s="6">
        <v>70</v>
      </c>
      <c r="C254" s="6">
        <v>0</v>
      </c>
      <c r="D254" s="6">
        <v>33</v>
      </c>
      <c r="E254" s="6">
        <v>33</v>
      </c>
      <c r="F254" s="6">
        <v>0</v>
      </c>
      <c r="G254" s="6">
        <v>37</v>
      </c>
      <c r="H254" s="6">
        <v>37</v>
      </c>
      <c r="I254" s="6">
        <v>0</v>
      </c>
      <c r="J254" s="125" t="s">
        <v>481</v>
      </c>
      <c r="K254" s="1"/>
    </row>
    <row r="255" spans="1:11" ht="13.5" thickBot="1" x14ac:dyDescent="0.25">
      <c r="A255" s="6">
        <v>36</v>
      </c>
      <c r="B255" s="6">
        <v>36</v>
      </c>
      <c r="C255" s="6">
        <v>0</v>
      </c>
      <c r="D255" s="6">
        <v>10</v>
      </c>
      <c r="E255" s="6">
        <v>10</v>
      </c>
      <c r="F255" s="6">
        <v>0</v>
      </c>
      <c r="G255" s="6">
        <v>26</v>
      </c>
      <c r="H255" s="6">
        <v>26</v>
      </c>
      <c r="I255" s="6">
        <v>0</v>
      </c>
      <c r="J255" s="125" t="s">
        <v>482</v>
      </c>
      <c r="K255" s="1"/>
    </row>
    <row r="256" spans="1:11" ht="13.5" thickBot="1" x14ac:dyDescent="0.25">
      <c r="A256" s="6">
        <v>79</v>
      </c>
      <c r="B256" s="6">
        <v>76</v>
      </c>
      <c r="C256" s="6">
        <v>3</v>
      </c>
      <c r="D256" s="6">
        <v>0</v>
      </c>
      <c r="E256" s="6">
        <v>0</v>
      </c>
      <c r="F256" s="6">
        <v>0</v>
      </c>
      <c r="G256" s="6">
        <v>79</v>
      </c>
      <c r="H256" s="6">
        <v>76</v>
      </c>
      <c r="I256" s="6">
        <v>3</v>
      </c>
      <c r="J256" s="125" t="s">
        <v>483</v>
      </c>
      <c r="K256" s="1"/>
    </row>
    <row r="257" spans="1:11" ht="13.5" thickBot="1" x14ac:dyDescent="0.25">
      <c r="A257" s="6">
        <v>1157</v>
      </c>
      <c r="B257" s="6">
        <v>422</v>
      </c>
      <c r="C257" s="6">
        <v>735</v>
      </c>
      <c r="D257" s="6">
        <v>524</v>
      </c>
      <c r="E257" s="6">
        <v>173</v>
      </c>
      <c r="F257" s="6">
        <v>351</v>
      </c>
      <c r="G257" s="6">
        <v>633</v>
      </c>
      <c r="H257" s="6">
        <v>249</v>
      </c>
      <c r="I257" s="6">
        <v>384</v>
      </c>
      <c r="J257" s="7" t="s">
        <v>232</v>
      </c>
      <c r="K257" s="1"/>
    </row>
    <row r="258" spans="1:11" ht="18" customHeight="1" x14ac:dyDescent="0.2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"/>
    </row>
    <row r="259" spans="1:11" ht="18" customHeight="1" x14ac:dyDescent="0.2">
      <c r="A259" s="159" t="s">
        <v>649</v>
      </c>
      <c r="B259" s="159"/>
      <c r="C259" s="159"/>
      <c r="D259" s="159"/>
      <c r="E259" s="159"/>
      <c r="F259" s="159"/>
      <c r="G259" s="159"/>
      <c r="H259" s="159"/>
      <c r="I259" s="159"/>
      <c r="J259" s="159"/>
      <c r="K259" s="1"/>
    </row>
    <row r="260" spans="1:11" ht="18" customHeight="1" thickBot="1" x14ac:dyDescent="0.25">
      <c r="A260" s="160" t="s">
        <v>650</v>
      </c>
      <c r="B260" s="160"/>
      <c r="C260" s="160"/>
      <c r="D260" s="160"/>
      <c r="E260" s="160"/>
      <c r="F260" s="160"/>
      <c r="G260" s="160"/>
      <c r="H260" s="160"/>
      <c r="I260" s="160"/>
      <c r="J260" s="160"/>
      <c r="K260" s="1"/>
    </row>
    <row r="261" spans="1:11" ht="13.5" thickBot="1" x14ac:dyDescent="0.25">
      <c r="A261" s="161" t="s">
        <v>5</v>
      </c>
      <c r="B261" s="161"/>
      <c r="C261" s="161"/>
      <c r="D261" s="161" t="s">
        <v>162</v>
      </c>
      <c r="E261" s="161"/>
      <c r="F261" s="161"/>
      <c r="G261" s="161" t="s">
        <v>163</v>
      </c>
      <c r="H261" s="161"/>
      <c r="I261" s="161"/>
      <c r="J261" s="47" t="s">
        <v>72</v>
      </c>
      <c r="K261" s="1"/>
    </row>
    <row r="262" spans="1:11" ht="13.5" thickBot="1" x14ac:dyDescent="0.25">
      <c r="A262" s="47" t="s">
        <v>216</v>
      </c>
      <c r="B262" s="47" t="s">
        <v>11</v>
      </c>
      <c r="C262" s="47" t="s">
        <v>10</v>
      </c>
      <c r="D262" s="47" t="s">
        <v>216</v>
      </c>
      <c r="E262" s="47" t="s">
        <v>11</v>
      </c>
      <c r="F262" s="47" t="s">
        <v>10</v>
      </c>
      <c r="G262" s="47" t="s">
        <v>216</v>
      </c>
      <c r="H262" s="47" t="s">
        <v>11</v>
      </c>
      <c r="I262" s="47" t="s">
        <v>10</v>
      </c>
      <c r="J262" s="33" t="s">
        <v>118</v>
      </c>
      <c r="K262" s="1"/>
    </row>
    <row r="263" spans="1:11" ht="13.5" thickBot="1" x14ac:dyDescent="0.25">
      <c r="A263" s="6">
        <v>1</v>
      </c>
      <c r="B263" s="6">
        <v>0</v>
      </c>
      <c r="C263" s="6">
        <v>1</v>
      </c>
      <c r="D263" s="6">
        <v>0</v>
      </c>
      <c r="E263" s="6">
        <v>0</v>
      </c>
      <c r="F263" s="6">
        <v>0</v>
      </c>
      <c r="G263" s="6">
        <v>1</v>
      </c>
      <c r="H263" s="6">
        <v>0</v>
      </c>
      <c r="I263" s="6">
        <v>1</v>
      </c>
      <c r="J263" s="125" t="s">
        <v>377</v>
      </c>
      <c r="K263" s="1"/>
    </row>
    <row r="264" spans="1:11" ht="13.5" thickBot="1" x14ac:dyDescent="0.25">
      <c r="A264" s="6">
        <v>13</v>
      </c>
      <c r="B264" s="6">
        <v>6</v>
      </c>
      <c r="C264" s="6">
        <v>7</v>
      </c>
      <c r="D264" s="6">
        <v>0</v>
      </c>
      <c r="E264" s="6">
        <v>0</v>
      </c>
      <c r="F264" s="6">
        <v>0</v>
      </c>
      <c r="G264" s="6">
        <v>13</v>
      </c>
      <c r="H264" s="6">
        <v>6</v>
      </c>
      <c r="I264" s="6">
        <v>7</v>
      </c>
      <c r="J264" s="125" t="s">
        <v>268</v>
      </c>
      <c r="K264" s="1"/>
    </row>
    <row r="265" spans="1:11" ht="13.5" thickBot="1" x14ac:dyDescent="0.25">
      <c r="A265" s="6">
        <v>17</v>
      </c>
      <c r="B265" s="6">
        <v>17</v>
      </c>
      <c r="C265" s="6">
        <v>0</v>
      </c>
      <c r="D265" s="6">
        <v>0</v>
      </c>
      <c r="E265" s="6">
        <v>0</v>
      </c>
      <c r="F265" s="6">
        <v>0</v>
      </c>
      <c r="G265" s="6">
        <v>17</v>
      </c>
      <c r="H265" s="6">
        <v>17</v>
      </c>
      <c r="I265" s="6">
        <v>0</v>
      </c>
      <c r="J265" s="125" t="s">
        <v>484</v>
      </c>
      <c r="K265" s="1"/>
    </row>
    <row r="266" spans="1:11" ht="13.5" thickBot="1" x14ac:dyDescent="0.25">
      <c r="A266" s="6">
        <v>3</v>
      </c>
      <c r="B266" s="6">
        <v>0</v>
      </c>
      <c r="C266" s="6">
        <v>3</v>
      </c>
      <c r="D266" s="6">
        <v>0</v>
      </c>
      <c r="E266" s="6">
        <v>0</v>
      </c>
      <c r="F266" s="6">
        <v>0</v>
      </c>
      <c r="G266" s="6">
        <v>3</v>
      </c>
      <c r="H266" s="6">
        <v>0</v>
      </c>
      <c r="I266" s="6">
        <v>3</v>
      </c>
      <c r="J266" s="125" t="s">
        <v>117</v>
      </c>
      <c r="K266" s="1"/>
    </row>
    <row r="267" spans="1:11" ht="13.5" thickBot="1" x14ac:dyDescent="0.25">
      <c r="A267" s="6">
        <v>13</v>
      </c>
      <c r="B267" s="6">
        <v>6</v>
      </c>
      <c r="C267" s="6">
        <v>7</v>
      </c>
      <c r="D267" s="6">
        <v>0</v>
      </c>
      <c r="E267" s="6">
        <v>0</v>
      </c>
      <c r="F267" s="6">
        <v>0</v>
      </c>
      <c r="G267" s="6">
        <v>13</v>
      </c>
      <c r="H267" s="6">
        <v>6</v>
      </c>
      <c r="I267" s="6">
        <v>7</v>
      </c>
      <c r="J267" s="125" t="s">
        <v>269</v>
      </c>
      <c r="K267" s="1"/>
    </row>
    <row r="268" spans="1:11" ht="13.5" thickBot="1" x14ac:dyDescent="0.25">
      <c r="A268" s="6">
        <v>22</v>
      </c>
      <c r="B268" s="6">
        <v>0</v>
      </c>
      <c r="C268" s="6">
        <v>22</v>
      </c>
      <c r="D268" s="6">
        <v>0</v>
      </c>
      <c r="E268" s="6">
        <v>0</v>
      </c>
      <c r="F268" s="6">
        <v>0</v>
      </c>
      <c r="G268" s="6">
        <v>22</v>
      </c>
      <c r="H268" s="6">
        <v>0</v>
      </c>
      <c r="I268" s="6">
        <v>22</v>
      </c>
      <c r="J268" s="125" t="s">
        <v>486</v>
      </c>
      <c r="K268" s="1"/>
    </row>
    <row r="269" spans="1:11" ht="13.5" thickBot="1" x14ac:dyDescent="0.25">
      <c r="A269" s="6">
        <v>5</v>
      </c>
      <c r="B269" s="6">
        <v>0</v>
      </c>
      <c r="C269" s="6">
        <v>5</v>
      </c>
      <c r="D269" s="6">
        <v>1</v>
      </c>
      <c r="E269" s="6">
        <v>0</v>
      </c>
      <c r="F269" s="6">
        <v>1</v>
      </c>
      <c r="G269" s="6">
        <v>4</v>
      </c>
      <c r="H269" s="6">
        <v>0</v>
      </c>
      <c r="I269" s="6">
        <v>4</v>
      </c>
      <c r="J269" s="125" t="s">
        <v>365</v>
      </c>
      <c r="K269" s="1"/>
    </row>
    <row r="270" spans="1:11" ht="13.5" thickBot="1" x14ac:dyDescent="0.25">
      <c r="A270" s="6">
        <v>74</v>
      </c>
      <c r="B270" s="6">
        <v>29</v>
      </c>
      <c r="C270" s="6">
        <v>45</v>
      </c>
      <c r="D270" s="6">
        <v>1</v>
      </c>
      <c r="E270" s="6">
        <v>0</v>
      </c>
      <c r="F270" s="6">
        <v>1</v>
      </c>
      <c r="G270" s="6">
        <v>73</v>
      </c>
      <c r="H270" s="6">
        <v>29</v>
      </c>
      <c r="I270" s="6">
        <v>44</v>
      </c>
      <c r="J270" s="7" t="s">
        <v>232</v>
      </c>
      <c r="K270" s="1"/>
    </row>
    <row r="271" spans="1:11" ht="18" customHeight="1" x14ac:dyDescent="0.2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"/>
    </row>
    <row r="272" spans="1:11" ht="18" customHeight="1" x14ac:dyDescent="0.2">
      <c r="A272" s="159" t="s">
        <v>649</v>
      </c>
      <c r="B272" s="159"/>
      <c r="C272" s="159"/>
      <c r="D272" s="159"/>
      <c r="E272" s="159"/>
      <c r="F272" s="159"/>
      <c r="G272" s="159"/>
      <c r="H272" s="159"/>
      <c r="I272" s="159"/>
      <c r="J272" s="159"/>
      <c r="K272" s="1"/>
    </row>
    <row r="273" spans="1:11" ht="18" customHeight="1" thickBot="1" x14ac:dyDescent="0.25">
      <c r="A273" s="160" t="s">
        <v>650</v>
      </c>
      <c r="B273" s="160"/>
      <c r="C273" s="160"/>
      <c r="D273" s="160"/>
      <c r="E273" s="160"/>
      <c r="F273" s="160"/>
      <c r="G273" s="160"/>
      <c r="H273" s="160"/>
      <c r="I273" s="160"/>
      <c r="J273" s="160"/>
      <c r="K273" s="1"/>
    </row>
    <row r="274" spans="1:11" ht="13.5" thickBot="1" x14ac:dyDescent="0.25">
      <c r="A274" s="161" t="s">
        <v>5</v>
      </c>
      <c r="B274" s="161"/>
      <c r="C274" s="161"/>
      <c r="D274" s="161" t="s">
        <v>162</v>
      </c>
      <c r="E274" s="161"/>
      <c r="F274" s="161"/>
      <c r="G274" s="161" t="s">
        <v>163</v>
      </c>
      <c r="H274" s="161"/>
      <c r="I274" s="161"/>
      <c r="J274" s="47" t="s">
        <v>72</v>
      </c>
      <c r="K274" s="1"/>
    </row>
    <row r="275" spans="1:11" ht="13.5" thickBot="1" x14ac:dyDescent="0.25">
      <c r="A275" s="47" t="s">
        <v>216</v>
      </c>
      <c r="B275" s="47" t="s">
        <v>11</v>
      </c>
      <c r="C275" s="47" t="s">
        <v>10</v>
      </c>
      <c r="D275" s="47" t="s">
        <v>216</v>
      </c>
      <c r="E275" s="47" t="s">
        <v>11</v>
      </c>
      <c r="F275" s="47" t="s">
        <v>10</v>
      </c>
      <c r="G275" s="47" t="s">
        <v>216</v>
      </c>
      <c r="H275" s="47" t="s">
        <v>11</v>
      </c>
      <c r="I275" s="47" t="s">
        <v>10</v>
      </c>
      <c r="J275" s="33" t="s">
        <v>120</v>
      </c>
      <c r="K275" s="1"/>
    </row>
    <row r="276" spans="1:11" ht="13.5" thickBot="1" x14ac:dyDescent="0.25">
      <c r="A276" s="6">
        <v>2</v>
      </c>
      <c r="B276" s="6">
        <v>0</v>
      </c>
      <c r="C276" s="6">
        <v>2</v>
      </c>
      <c r="D276" s="6">
        <v>1</v>
      </c>
      <c r="E276" s="6">
        <v>0</v>
      </c>
      <c r="F276" s="6">
        <v>1</v>
      </c>
      <c r="G276" s="6">
        <v>1</v>
      </c>
      <c r="H276" s="6">
        <v>0</v>
      </c>
      <c r="I276" s="6">
        <v>1</v>
      </c>
      <c r="J276" s="125" t="s">
        <v>359</v>
      </c>
      <c r="K276" s="1"/>
    </row>
    <row r="277" spans="1:11" ht="13.5" thickBot="1" x14ac:dyDescent="0.25">
      <c r="A277" s="6">
        <v>4</v>
      </c>
      <c r="B277" s="6">
        <v>0</v>
      </c>
      <c r="C277" s="6">
        <v>4</v>
      </c>
      <c r="D277" s="6">
        <v>0</v>
      </c>
      <c r="E277" s="6">
        <v>0</v>
      </c>
      <c r="F277" s="6">
        <v>0</v>
      </c>
      <c r="G277" s="6">
        <v>4</v>
      </c>
      <c r="H277" s="6">
        <v>0</v>
      </c>
      <c r="I277" s="6">
        <v>4</v>
      </c>
      <c r="J277" s="125" t="s">
        <v>264</v>
      </c>
      <c r="K277" s="1"/>
    </row>
    <row r="278" spans="1:11" ht="13.5" thickBot="1" x14ac:dyDescent="0.25">
      <c r="A278" s="6">
        <v>5</v>
      </c>
      <c r="B278" s="6">
        <v>0</v>
      </c>
      <c r="C278" s="6">
        <v>5</v>
      </c>
      <c r="D278" s="6">
        <v>0</v>
      </c>
      <c r="E278" s="6">
        <v>0</v>
      </c>
      <c r="F278" s="6">
        <v>0</v>
      </c>
      <c r="G278" s="6">
        <v>5</v>
      </c>
      <c r="H278" s="6">
        <v>0</v>
      </c>
      <c r="I278" s="6">
        <v>5</v>
      </c>
      <c r="J278" s="125" t="s">
        <v>377</v>
      </c>
      <c r="K278" s="1"/>
    </row>
    <row r="279" spans="1:11" ht="13.5" thickBot="1" x14ac:dyDescent="0.25">
      <c r="A279" s="6">
        <v>11</v>
      </c>
      <c r="B279" s="6">
        <v>0</v>
      </c>
      <c r="C279" s="6">
        <v>11</v>
      </c>
      <c r="D279" s="6">
        <v>0</v>
      </c>
      <c r="E279" s="6">
        <v>0</v>
      </c>
      <c r="F279" s="6">
        <v>0</v>
      </c>
      <c r="G279" s="6">
        <v>11</v>
      </c>
      <c r="H279" s="6">
        <v>0</v>
      </c>
      <c r="I279" s="6">
        <v>11</v>
      </c>
      <c r="J279" s="125" t="s">
        <v>119</v>
      </c>
      <c r="K279" s="1"/>
    </row>
    <row r="280" spans="1:11" ht="13.5" thickBot="1" x14ac:dyDescent="0.25">
      <c r="A280" s="6">
        <v>73</v>
      </c>
      <c r="B280" s="6">
        <v>72</v>
      </c>
      <c r="C280" s="6">
        <v>1</v>
      </c>
      <c r="D280" s="6">
        <v>0</v>
      </c>
      <c r="E280" s="6">
        <v>0</v>
      </c>
      <c r="F280" s="6">
        <v>0</v>
      </c>
      <c r="G280" s="6">
        <v>73</v>
      </c>
      <c r="H280" s="6">
        <v>72</v>
      </c>
      <c r="I280" s="6">
        <v>1</v>
      </c>
      <c r="J280" s="125" t="s">
        <v>488</v>
      </c>
      <c r="K280" s="1"/>
    </row>
    <row r="281" spans="1:11" ht="13.5" thickBot="1" x14ac:dyDescent="0.25">
      <c r="A281" s="6">
        <v>12</v>
      </c>
      <c r="B281" s="6">
        <v>0</v>
      </c>
      <c r="C281" s="6">
        <v>12</v>
      </c>
      <c r="D281" s="6">
        <v>0</v>
      </c>
      <c r="E281" s="6">
        <v>0</v>
      </c>
      <c r="F281" s="6">
        <v>0</v>
      </c>
      <c r="G281" s="6">
        <v>12</v>
      </c>
      <c r="H281" s="6">
        <v>0</v>
      </c>
      <c r="I281" s="6">
        <v>12</v>
      </c>
      <c r="J281" s="125" t="s">
        <v>270</v>
      </c>
      <c r="K281" s="1"/>
    </row>
    <row r="282" spans="1:11" ht="13.5" thickBot="1" x14ac:dyDescent="0.25">
      <c r="A282" s="6">
        <v>20</v>
      </c>
      <c r="B282" s="6">
        <v>20</v>
      </c>
      <c r="C282" s="6">
        <v>0</v>
      </c>
      <c r="D282" s="6">
        <v>0</v>
      </c>
      <c r="E282" s="6">
        <v>0</v>
      </c>
      <c r="F282" s="6">
        <v>0</v>
      </c>
      <c r="G282" s="6">
        <v>20</v>
      </c>
      <c r="H282" s="6">
        <v>20</v>
      </c>
      <c r="I282" s="6">
        <v>0</v>
      </c>
      <c r="J282" s="125" t="s">
        <v>489</v>
      </c>
      <c r="K282" s="1"/>
    </row>
    <row r="283" spans="1:11" ht="13.5" thickBot="1" x14ac:dyDescent="0.25">
      <c r="A283" s="6">
        <v>8</v>
      </c>
      <c r="B283" s="6">
        <v>8</v>
      </c>
      <c r="C283" s="6">
        <v>0</v>
      </c>
      <c r="D283" s="6">
        <v>0</v>
      </c>
      <c r="E283" s="6">
        <v>0</v>
      </c>
      <c r="F283" s="6">
        <v>0</v>
      </c>
      <c r="G283" s="6">
        <v>8</v>
      </c>
      <c r="H283" s="6">
        <v>8</v>
      </c>
      <c r="I283" s="6">
        <v>0</v>
      </c>
      <c r="J283" s="125" t="s">
        <v>271</v>
      </c>
      <c r="K283" s="1"/>
    </row>
    <row r="284" spans="1:11" ht="13.5" thickBot="1" x14ac:dyDescent="0.25">
      <c r="A284" s="6">
        <v>12</v>
      </c>
      <c r="B284" s="6">
        <v>0</v>
      </c>
      <c r="C284" s="6">
        <v>12</v>
      </c>
      <c r="D284" s="6">
        <v>0</v>
      </c>
      <c r="E284" s="6">
        <v>0</v>
      </c>
      <c r="F284" s="6">
        <v>0</v>
      </c>
      <c r="G284" s="6">
        <v>12</v>
      </c>
      <c r="H284" s="6">
        <v>0</v>
      </c>
      <c r="I284" s="6">
        <v>12</v>
      </c>
      <c r="J284" s="125" t="s">
        <v>596</v>
      </c>
      <c r="K284" s="1"/>
    </row>
    <row r="285" spans="1:11" ht="13.5" thickBot="1" x14ac:dyDescent="0.25">
      <c r="A285" s="6">
        <v>24</v>
      </c>
      <c r="B285" s="6">
        <v>15</v>
      </c>
      <c r="C285" s="6">
        <v>9</v>
      </c>
      <c r="D285" s="6">
        <v>4</v>
      </c>
      <c r="E285" s="6">
        <v>1</v>
      </c>
      <c r="F285" s="6">
        <v>3</v>
      </c>
      <c r="G285" s="6">
        <v>20</v>
      </c>
      <c r="H285" s="6">
        <v>14</v>
      </c>
      <c r="I285" s="6">
        <v>6</v>
      </c>
      <c r="J285" s="125" t="s">
        <v>273</v>
      </c>
      <c r="K285" s="1"/>
    </row>
    <row r="286" spans="1:11" ht="13.5" thickBot="1" x14ac:dyDescent="0.25">
      <c r="A286" s="6">
        <v>171</v>
      </c>
      <c r="B286" s="6">
        <v>115</v>
      </c>
      <c r="C286" s="6">
        <v>56</v>
      </c>
      <c r="D286" s="6">
        <v>5</v>
      </c>
      <c r="E286" s="6">
        <v>1</v>
      </c>
      <c r="F286" s="6">
        <v>4</v>
      </c>
      <c r="G286" s="6">
        <v>166</v>
      </c>
      <c r="H286" s="6">
        <v>114</v>
      </c>
      <c r="I286" s="6">
        <v>52</v>
      </c>
      <c r="J286" s="7" t="s">
        <v>232</v>
      </c>
      <c r="K286" s="1"/>
    </row>
    <row r="287" spans="1:11" ht="18" customHeight="1" x14ac:dyDescent="0.2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"/>
    </row>
    <row r="288" spans="1:11" ht="18" customHeight="1" x14ac:dyDescent="0.2">
      <c r="A288" s="159" t="s">
        <v>649</v>
      </c>
      <c r="B288" s="159"/>
      <c r="C288" s="159"/>
      <c r="D288" s="159"/>
      <c r="E288" s="159"/>
      <c r="F288" s="159"/>
      <c r="G288" s="159"/>
      <c r="H288" s="159"/>
      <c r="I288" s="159"/>
      <c r="J288" s="159"/>
      <c r="K288" s="1"/>
    </row>
    <row r="289" spans="1:11" ht="18" customHeight="1" thickBot="1" x14ac:dyDescent="0.25">
      <c r="A289" s="160" t="s">
        <v>650</v>
      </c>
      <c r="B289" s="160"/>
      <c r="C289" s="160"/>
      <c r="D289" s="160"/>
      <c r="E289" s="160"/>
      <c r="F289" s="160"/>
      <c r="G289" s="160"/>
      <c r="H289" s="160"/>
      <c r="I289" s="160"/>
      <c r="J289" s="160"/>
      <c r="K289" s="1"/>
    </row>
    <row r="290" spans="1:11" ht="13.5" thickBot="1" x14ac:dyDescent="0.25">
      <c r="A290" s="161" t="s">
        <v>5</v>
      </c>
      <c r="B290" s="161"/>
      <c r="C290" s="161"/>
      <c r="D290" s="161" t="s">
        <v>162</v>
      </c>
      <c r="E290" s="161"/>
      <c r="F290" s="161"/>
      <c r="G290" s="161" t="s">
        <v>163</v>
      </c>
      <c r="H290" s="161"/>
      <c r="I290" s="161"/>
      <c r="J290" s="47" t="s">
        <v>72</v>
      </c>
      <c r="K290" s="1"/>
    </row>
    <row r="291" spans="1:11" ht="13.5" thickBot="1" x14ac:dyDescent="0.25">
      <c r="A291" s="47" t="s">
        <v>216</v>
      </c>
      <c r="B291" s="47" t="s">
        <v>11</v>
      </c>
      <c r="C291" s="47" t="s">
        <v>10</v>
      </c>
      <c r="D291" s="47" t="s">
        <v>216</v>
      </c>
      <c r="E291" s="47" t="s">
        <v>11</v>
      </c>
      <c r="F291" s="47" t="s">
        <v>10</v>
      </c>
      <c r="G291" s="47" t="s">
        <v>216</v>
      </c>
      <c r="H291" s="47" t="s">
        <v>11</v>
      </c>
      <c r="I291" s="47" t="s">
        <v>10</v>
      </c>
      <c r="J291" s="33" t="s">
        <v>124</v>
      </c>
      <c r="K291" s="1"/>
    </row>
    <row r="292" spans="1:11" ht="13.5" thickBot="1" x14ac:dyDescent="0.25">
      <c r="A292" s="6">
        <v>6</v>
      </c>
      <c r="B292" s="6">
        <v>0</v>
      </c>
      <c r="C292" s="6">
        <v>6</v>
      </c>
      <c r="D292" s="6">
        <v>0</v>
      </c>
      <c r="E292" s="6">
        <v>0</v>
      </c>
      <c r="F292" s="6">
        <v>0</v>
      </c>
      <c r="G292" s="6">
        <v>6</v>
      </c>
      <c r="H292" s="6">
        <v>0</v>
      </c>
      <c r="I292" s="6">
        <v>6</v>
      </c>
      <c r="J292" s="125" t="s">
        <v>359</v>
      </c>
      <c r="K292" s="1"/>
    </row>
    <row r="293" spans="1:11" ht="13.5" thickBot="1" x14ac:dyDescent="0.25">
      <c r="A293" s="6">
        <v>4</v>
      </c>
      <c r="B293" s="6">
        <v>2</v>
      </c>
      <c r="C293" s="6">
        <v>2</v>
      </c>
      <c r="D293" s="6">
        <v>0</v>
      </c>
      <c r="E293" s="6">
        <v>0</v>
      </c>
      <c r="F293" s="6">
        <v>0</v>
      </c>
      <c r="G293" s="6">
        <v>4</v>
      </c>
      <c r="H293" s="6">
        <v>2</v>
      </c>
      <c r="I293" s="6">
        <v>2</v>
      </c>
      <c r="J293" s="125" t="s">
        <v>264</v>
      </c>
      <c r="K293" s="1"/>
    </row>
    <row r="294" spans="1:11" ht="13.5" thickBot="1" x14ac:dyDescent="0.25">
      <c r="A294" s="6">
        <v>9</v>
      </c>
      <c r="B294" s="6">
        <v>7</v>
      </c>
      <c r="C294" s="6">
        <v>2</v>
      </c>
      <c r="D294" s="6">
        <v>0</v>
      </c>
      <c r="E294" s="6">
        <v>0</v>
      </c>
      <c r="F294" s="6">
        <v>0</v>
      </c>
      <c r="G294" s="6">
        <v>9</v>
      </c>
      <c r="H294" s="6">
        <v>7</v>
      </c>
      <c r="I294" s="6">
        <v>2</v>
      </c>
      <c r="J294" s="125" t="s">
        <v>123</v>
      </c>
      <c r="K294" s="1"/>
    </row>
    <row r="295" spans="1:11" ht="13.5" thickBot="1" x14ac:dyDescent="0.25">
      <c r="A295" s="6">
        <v>9</v>
      </c>
      <c r="B295" s="6">
        <v>9</v>
      </c>
      <c r="C295" s="6">
        <v>0</v>
      </c>
      <c r="D295" s="6">
        <v>0</v>
      </c>
      <c r="E295" s="6">
        <v>0</v>
      </c>
      <c r="F295" s="6">
        <v>0</v>
      </c>
      <c r="G295" s="6">
        <v>9</v>
      </c>
      <c r="H295" s="6">
        <v>9</v>
      </c>
      <c r="I295" s="6">
        <v>0</v>
      </c>
      <c r="J295" s="125" t="s">
        <v>491</v>
      </c>
      <c r="K295" s="1"/>
    </row>
    <row r="296" spans="1:11" ht="13.5" thickBot="1" x14ac:dyDescent="0.25">
      <c r="A296" s="6">
        <v>9</v>
      </c>
      <c r="B296" s="6">
        <v>9</v>
      </c>
      <c r="C296" s="6">
        <v>0</v>
      </c>
      <c r="D296" s="6">
        <v>0</v>
      </c>
      <c r="E296" s="6">
        <v>0</v>
      </c>
      <c r="F296" s="6">
        <v>0</v>
      </c>
      <c r="G296" s="6">
        <v>9</v>
      </c>
      <c r="H296" s="6">
        <v>9</v>
      </c>
      <c r="I296" s="6">
        <v>0</v>
      </c>
      <c r="J296" s="125" t="s">
        <v>492</v>
      </c>
      <c r="K296" s="1"/>
    </row>
    <row r="297" spans="1:11" ht="13.5" thickBot="1" x14ac:dyDescent="0.25">
      <c r="A297" s="6">
        <v>30</v>
      </c>
      <c r="B297" s="6">
        <v>0</v>
      </c>
      <c r="C297" s="6">
        <v>30</v>
      </c>
      <c r="D297" s="6">
        <v>0</v>
      </c>
      <c r="E297" s="6">
        <v>0</v>
      </c>
      <c r="F297" s="6">
        <v>0</v>
      </c>
      <c r="G297" s="6">
        <v>30</v>
      </c>
      <c r="H297" s="6">
        <v>0</v>
      </c>
      <c r="I297" s="6">
        <v>30</v>
      </c>
      <c r="J297" s="125" t="s">
        <v>247</v>
      </c>
      <c r="K297" s="1"/>
    </row>
    <row r="298" spans="1:11" ht="13.5" thickBot="1" x14ac:dyDescent="0.25">
      <c r="A298" s="6">
        <v>11</v>
      </c>
      <c r="B298" s="6">
        <v>0</v>
      </c>
      <c r="C298" s="6">
        <v>11</v>
      </c>
      <c r="D298" s="6">
        <v>0</v>
      </c>
      <c r="E298" s="6">
        <v>0</v>
      </c>
      <c r="F298" s="6">
        <v>0</v>
      </c>
      <c r="G298" s="6">
        <v>11</v>
      </c>
      <c r="H298" s="6">
        <v>0</v>
      </c>
      <c r="I298" s="6">
        <v>11</v>
      </c>
      <c r="J298" s="125" t="s">
        <v>274</v>
      </c>
      <c r="K298" s="1"/>
    </row>
    <row r="299" spans="1:11" ht="13.5" thickBot="1" x14ac:dyDescent="0.25">
      <c r="A299" s="6">
        <v>1</v>
      </c>
      <c r="B299" s="6">
        <v>1</v>
      </c>
      <c r="C299" s="6">
        <v>0</v>
      </c>
      <c r="D299" s="6">
        <v>0</v>
      </c>
      <c r="E299" s="6">
        <v>0</v>
      </c>
      <c r="F299" s="6">
        <v>0</v>
      </c>
      <c r="G299" s="6">
        <v>1</v>
      </c>
      <c r="H299" s="6">
        <v>1</v>
      </c>
      <c r="I299" s="6">
        <v>0</v>
      </c>
      <c r="J299" s="125" t="s">
        <v>275</v>
      </c>
      <c r="K299" s="1"/>
    </row>
    <row r="300" spans="1:11" ht="13.5" thickBot="1" x14ac:dyDescent="0.25">
      <c r="A300" s="6">
        <v>2</v>
      </c>
      <c r="B300" s="6">
        <v>2</v>
      </c>
      <c r="C300" s="6">
        <v>0</v>
      </c>
      <c r="D300" s="6">
        <v>0</v>
      </c>
      <c r="E300" s="6">
        <v>0</v>
      </c>
      <c r="F300" s="6">
        <v>0</v>
      </c>
      <c r="G300" s="6">
        <v>2</v>
      </c>
      <c r="H300" s="6">
        <v>2</v>
      </c>
      <c r="I300" s="6">
        <v>0</v>
      </c>
      <c r="J300" s="125" t="s">
        <v>276</v>
      </c>
      <c r="K300" s="1"/>
    </row>
    <row r="301" spans="1:11" ht="13.5" thickBot="1" x14ac:dyDescent="0.25">
      <c r="A301" s="6">
        <v>7</v>
      </c>
      <c r="B301" s="6">
        <v>7</v>
      </c>
      <c r="C301" s="6">
        <v>0</v>
      </c>
      <c r="D301" s="6">
        <v>0</v>
      </c>
      <c r="E301" s="6">
        <v>0</v>
      </c>
      <c r="F301" s="6">
        <v>0</v>
      </c>
      <c r="G301" s="6">
        <v>7</v>
      </c>
      <c r="H301" s="6">
        <v>7</v>
      </c>
      <c r="I301" s="6">
        <v>0</v>
      </c>
      <c r="J301" s="125" t="s">
        <v>493</v>
      </c>
      <c r="K301" s="1"/>
    </row>
    <row r="302" spans="1:11" ht="13.5" thickBot="1" x14ac:dyDescent="0.25">
      <c r="A302" s="6">
        <v>88</v>
      </c>
      <c r="B302" s="6">
        <v>37</v>
      </c>
      <c r="C302" s="6">
        <v>51</v>
      </c>
      <c r="D302" s="6">
        <v>0</v>
      </c>
      <c r="E302" s="6">
        <v>0</v>
      </c>
      <c r="F302" s="6">
        <v>0</v>
      </c>
      <c r="G302" s="6">
        <v>88</v>
      </c>
      <c r="H302" s="6">
        <v>37</v>
      </c>
      <c r="I302" s="6">
        <v>51</v>
      </c>
      <c r="J302" s="7" t="s">
        <v>232</v>
      </c>
      <c r="K302" s="1"/>
    </row>
    <row r="303" spans="1:11" ht="18" customHeight="1" x14ac:dyDescent="0.2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"/>
    </row>
    <row r="304" spans="1:11" ht="18" customHeight="1" x14ac:dyDescent="0.2">
      <c r="A304" s="159" t="s">
        <v>649</v>
      </c>
      <c r="B304" s="159"/>
      <c r="C304" s="159"/>
      <c r="D304" s="159"/>
      <c r="E304" s="159"/>
      <c r="F304" s="159"/>
      <c r="G304" s="159"/>
      <c r="H304" s="159"/>
      <c r="I304" s="159"/>
      <c r="J304" s="159"/>
      <c r="K304" s="1"/>
    </row>
    <row r="305" spans="1:11" ht="18" customHeight="1" thickBot="1" x14ac:dyDescent="0.25">
      <c r="A305" s="160" t="s">
        <v>650</v>
      </c>
      <c r="B305" s="160"/>
      <c r="C305" s="160"/>
      <c r="D305" s="160"/>
      <c r="E305" s="160"/>
      <c r="F305" s="160"/>
      <c r="G305" s="160"/>
      <c r="H305" s="160"/>
      <c r="I305" s="160"/>
      <c r="J305" s="160"/>
      <c r="K305" s="1"/>
    </row>
    <row r="306" spans="1:11" ht="13.5" thickBot="1" x14ac:dyDescent="0.25">
      <c r="A306" s="161" t="s">
        <v>5</v>
      </c>
      <c r="B306" s="161"/>
      <c r="C306" s="161"/>
      <c r="D306" s="161" t="s">
        <v>162</v>
      </c>
      <c r="E306" s="161"/>
      <c r="F306" s="161"/>
      <c r="G306" s="161" t="s">
        <v>163</v>
      </c>
      <c r="H306" s="161"/>
      <c r="I306" s="161"/>
      <c r="J306" s="47" t="s">
        <v>72</v>
      </c>
      <c r="K306" s="1"/>
    </row>
    <row r="307" spans="1:11" ht="13.5" thickBot="1" x14ac:dyDescent="0.25">
      <c r="A307" s="47" t="s">
        <v>216</v>
      </c>
      <c r="B307" s="47" t="s">
        <v>11</v>
      </c>
      <c r="C307" s="47" t="s">
        <v>10</v>
      </c>
      <c r="D307" s="47" t="s">
        <v>216</v>
      </c>
      <c r="E307" s="47" t="s">
        <v>11</v>
      </c>
      <c r="F307" s="47" t="s">
        <v>10</v>
      </c>
      <c r="G307" s="47" t="s">
        <v>216</v>
      </c>
      <c r="H307" s="47" t="s">
        <v>11</v>
      </c>
      <c r="I307" s="47" t="s">
        <v>10</v>
      </c>
      <c r="J307" s="33" t="s">
        <v>126</v>
      </c>
      <c r="K307" s="1"/>
    </row>
    <row r="308" spans="1:11" ht="13.5" thickBot="1" x14ac:dyDescent="0.25">
      <c r="A308" s="6">
        <v>10</v>
      </c>
      <c r="B308" s="6">
        <v>1</v>
      </c>
      <c r="C308" s="6">
        <v>9</v>
      </c>
      <c r="D308" s="6">
        <v>0</v>
      </c>
      <c r="E308" s="6">
        <v>0</v>
      </c>
      <c r="F308" s="6">
        <v>0</v>
      </c>
      <c r="G308" s="6">
        <v>10</v>
      </c>
      <c r="H308" s="6">
        <v>1</v>
      </c>
      <c r="I308" s="6">
        <v>9</v>
      </c>
      <c r="J308" s="125" t="s">
        <v>359</v>
      </c>
      <c r="K308" s="1"/>
    </row>
    <row r="309" spans="1:11" ht="13.5" thickBot="1" x14ac:dyDescent="0.25">
      <c r="A309" s="6">
        <v>14</v>
      </c>
      <c r="B309" s="6">
        <v>0</v>
      </c>
      <c r="C309" s="6">
        <v>14</v>
      </c>
      <c r="D309" s="6">
        <v>0</v>
      </c>
      <c r="E309" s="6">
        <v>0</v>
      </c>
      <c r="F309" s="6">
        <v>0</v>
      </c>
      <c r="G309" s="6">
        <v>14</v>
      </c>
      <c r="H309" s="6">
        <v>0</v>
      </c>
      <c r="I309" s="6">
        <v>14</v>
      </c>
      <c r="J309" s="125" t="s">
        <v>377</v>
      </c>
      <c r="K309" s="1"/>
    </row>
    <row r="310" spans="1:11" ht="13.5" thickBot="1" x14ac:dyDescent="0.25">
      <c r="A310" s="6">
        <v>12</v>
      </c>
      <c r="B310" s="6">
        <v>3</v>
      </c>
      <c r="C310" s="6">
        <v>9</v>
      </c>
      <c r="D310" s="6">
        <v>0</v>
      </c>
      <c r="E310" s="6">
        <v>0</v>
      </c>
      <c r="F310" s="6">
        <v>0</v>
      </c>
      <c r="G310" s="6">
        <v>12</v>
      </c>
      <c r="H310" s="6">
        <v>3</v>
      </c>
      <c r="I310" s="6">
        <v>9</v>
      </c>
      <c r="J310" s="125" t="s">
        <v>264</v>
      </c>
      <c r="K310" s="1"/>
    </row>
    <row r="311" spans="1:11" ht="13.5" thickBot="1" x14ac:dyDescent="0.25">
      <c r="A311" s="6">
        <v>8</v>
      </c>
      <c r="B311" s="6">
        <v>0</v>
      </c>
      <c r="C311" s="6">
        <v>8</v>
      </c>
      <c r="D311" s="6">
        <v>0</v>
      </c>
      <c r="E311" s="6">
        <v>0</v>
      </c>
      <c r="F311" s="6">
        <v>0</v>
      </c>
      <c r="G311" s="6">
        <v>8</v>
      </c>
      <c r="H311" s="6">
        <v>0</v>
      </c>
      <c r="I311" s="6">
        <v>8</v>
      </c>
      <c r="J311" s="125" t="s">
        <v>125</v>
      </c>
      <c r="K311" s="1"/>
    </row>
    <row r="312" spans="1:11" ht="13.5" thickBot="1" x14ac:dyDescent="0.25">
      <c r="A312" s="6">
        <v>1</v>
      </c>
      <c r="B312" s="6">
        <v>1</v>
      </c>
      <c r="C312" s="6">
        <v>0</v>
      </c>
      <c r="D312" s="6">
        <v>0</v>
      </c>
      <c r="E312" s="6">
        <v>0</v>
      </c>
      <c r="F312" s="6">
        <v>0</v>
      </c>
      <c r="G312" s="6">
        <v>1</v>
      </c>
      <c r="H312" s="6">
        <v>1</v>
      </c>
      <c r="I312" s="6">
        <v>0</v>
      </c>
      <c r="J312" s="125" t="s">
        <v>495</v>
      </c>
      <c r="K312" s="1"/>
    </row>
    <row r="313" spans="1:11" ht="13.5" thickBot="1" x14ac:dyDescent="0.25">
      <c r="A313" s="6">
        <v>7</v>
      </c>
      <c r="B313" s="6">
        <v>7</v>
      </c>
      <c r="C313" s="6">
        <v>0</v>
      </c>
      <c r="D313" s="6">
        <v>0</v>
      </c>
      <c r="E313" s="6">
        <v>0</v>
      </c>
      <c r="F313" s="6">
        <v>0</v>
      </c>
      <c r="G313" s="6">
        <v>7</v>
      </c>
      <c r="H313" s="6">
        <v>7</v>
      </c>
      <c r="I313" s="6">
        <v>0</v>
      </c>
      <c r="J313" s="125" t="s">
        <v>497</v>
      </c>
      <c r="K313" s="1"/>
    </row>
    <row r="314" spans="1:11" ht="13.5" thickBot="1" x14ac:dyDescent="0.25">
      <c r="A314" s="6">
        <v>5</v>
      </c>
      <c r="B314" s="6">
        <v>4</v>
      </c>
      <c r="C314" s="6">
        <v>1</v>
      </c>
      <c r="D314" s="6">
        <v>0</v>
      </c>
      <c r="E314" s="6">
        <v>0</v>
      </c>
      <c r="F314" s="6">
        <v>0</v>
      </c>
      <c r="G314" s="6">
        <v>5</v>
      </c>
      <c r="H314" s="6">
        <v>4</v>
      </c>
      <c r="I314" s="6">
        <v>1</v>
      </c>
      <c r="J314" s="125" t="s">
        <v>498</v>
      </c>
      <c r="K314" s="1"/>
    </row>
    <row r="315" spans="1:11" ht="13.5" thickBot="1" x14ac:dyDescent="0.25">
      <c r="A315" s="6">
        <v>57</v>
      </c>
      <c r="B315" s="6">
        <v>16</v>
      </c>
      <c r="C315" s="6">
        <v>41</v>
      </c>
      <c r="D315" s="6">
        <v>0</v>
      </c>
      <c r="E315" s="6">
        <v>0</v>
      </c>
      <c r="F315" s="6">
        <v>0</v>
      </c>
      <c r="G315" s="6">
        <v>57</v>
      </c>
      <c r="H315" s="6">
        <v>16</v>
      </c>
      <c r="I315" s="6">
        <v>41</v>
      </c>
      <c r="J315" s="7" t="s">
        <v>232</v>
      </c>
      <c r="K315" s="1"/>
    </row>
    <row r="316" spans="1:11" ht="18" customHeight="1" x14ac:dyDescent="0.2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"/>
    </row>
    <row r="317" spans="1:11" ht="18" customHeight="1" x14ac:dyDescent="0.2">
      <c r="A317" s="159" t="s">
        <v>649</v>
      </c>
      <c r="B317" s="159"/>
      <c r="C317" s="159"/>
      <c r="D317" s="159"/>
      <c r="E317" s="159"/>
      <c r="F317" s="159"/>
      <c r="G317" s="159"/>
      <c r="H317" s="159"/>
      <c r="I317" s="159"/>
      <c r="J317" s="159"/>
      <c r="K317" s="1"/>
    </row>
    <row r="318" spans="1:11" ht="18" customHeight="1" thickBot="1" x14ac:dyDescent="0.25">
      <c r="A318" s="160" t="s">
        <v>650</v>
      </c>
      <c r="B318" s="160"/>
      <c r="C318" s="160"/>
      <c r="D318" s="160"/>
      <c r="E318" s="160"/>
      <c r="F318" s="160"/>
      <c r="G318" s="160"/>
      <c r="H318" s="160"/>
      <c r="I318" s="160"/>
      <c r="J318" s="160"/>
      <c r="K318" s="1"/>
    </row>
    <row r="319" spans="1:11" ht="13.5" thickBot="1" x14ac:dyDescent="0.25">
      <c r="A319" s="161" t="s">
        <v>5</v>
      </c>
      <c r="B319" s="161"/>
      <c r="C319" s="161"/>
      <c r="D319" s="161" t="s">
        <v>162</v>
      </c>
      <c r="E319" s="161"/>
      <c r="F319" s="161"/>
      <c r="G319" s="161" t="s">
        <v>163</v>
      </c>
      <c r="H319" s="161"/>
      <c r="I319" s="161"/>
      <c r="J319" s="47" t="s">
        <v>72</v>
      </c>
      <c r="K319" s="1"/>
    </row>
    <row r="320" spans="1:11" ht="13.5" thickBot="1" x14ac:dyDescent="0.25">
      <c r="A320" s="47" t="s">
        <v>216</v>
      </c>
      <c r="B320" s="47" t="s">
        <v>11</v>
      </c>
      <c r="C320" s="47" t="s">
        <v>10</v>
      </c>
      <c r="D320" s="47" t="s">
        <v>216</v>
      </c>
      <c r="E320" s="47" t="s">
        <v>11</v>
      </c>
      <c r="F320" s="47" t="s">
        <v>10</v>
      </c>
      <c r="G320" s="47" t="s">
        <v>216</v>
      </c>
      <c r="H320" s="47" t="s">
        <v>11</v>
      </c>
      <c r="I320" s="47" t="s">
        <v>10</v>
      </c>
      <c r="J320" s="33" t="s">
        <v>129</v>
      </c>
      <c r="K320" s="1"/>
    </row>
    <row r="321" spans="1:11" ht="13.5" thickBot="1" x14ac:dyDescent="0.25">
      <c r="A321" s="6">
        <v>14</v>
      </c>
      <c r="B321" s="6">
        <v>14</v>
      </c>
      <c r="C321" s="6">
        <v>0</v>
      </c>
      <c r="D321" s="6">
        <v>0</v>
      </c>
      <c r="E321" s="6">
        <v>0</v>
      </c>
      <c r="F321" s="6">
        <v>0</v>
      </c>
      <c r="G321" s="6">
        <v>14</v>
      </c>
      <c r="H321" s="6">
        <v>14</v>
      </c>
      <c r="I321" s="6">
        <v>0</v>
      </c>
      <c r="J321" s="125" t="s">
        <v>499</v>
      </c>
      <c r="K321" s="1"/>
    </row>
    <row r="322" spans="1:11" ht="13.5" thickBot="1" x14ac:dyDescent="0.25">
      <c r="A322" s="6">
        <v>8</v>
      </c>
      <c r="B322" s="6">
        <v>8</v>
      </c>
      <c r="C322" s="6">
        <v>0</v>
      </c>
      <c r="D322" s="6">
        <v>5</v>
      </c>
      <c r="E322" s="6">
        <v>5</v>
      </c>
      <c r="F322" s="6">
        <v>0</v>
      </c>
      <c r="G322" s="6">
        <v>3</v>
      </c>
      <c r="H322" s="6">
        <v>3</v>
      </c>
      <c r="I322" s="6">
        <v>0</v>
      </c>
      <c r="J322" s="125" t="s">
        <v>500</v>
      </c>
      <c r="K322" s="1"/>
    </row>
    <row r="323" spans="1:11" ht="13.5" thickBot="1" x14ac:dyDescent="0.25">
      <c r="A323" s="6">
        <v>14</v>
      </c>
      <c r="B323" s="6">
        <v>14</v>
      </c>
      <c r="C323" s="6">
        <v>0</v>
      </c>
      <c r="D323" s="6">
        <v>0</v>
      </c>
      <c r="E323" s="6">
        <v>0</v>
      </c>
      <c r="F323" s="6">
        <v>0</v>
      </c>
      <c r="G323" s="6">
        <v>14</v>
      </c>
      <c r="H323" s="6">
        <v>14</v>
      </c>
      <c r="I323" s="6">
        <v>0</v>
      </c>
      <c r="J323" s="125" t="s">
        <v>128</v>
      </c>
      <c r="K323" s="1"/>
    </row>
    <row r="324" spans="1:11" ht="13.5" thickBot="1" x14ac:dyDescent="0.25">
      <c r="A324" s="6">
        <v>1</v>
      </c>
      <c r="B324" s="6">
        <v>0</v>
      </c>
      <c r="C324" s="6">
        <v>1</v>
      </c>
      <c r="D324" s="6">
        <v>1</v>
      </c>
      <c r="E324" s="6">
        <v>0</v>
      </c>
      <c r="F324" s="6">
        <v>1</v>
      </c>
      <c r="G324" s="6">
        <v>0</v>
      </c>
      <c r="H324" s="6">
        <v>0</v>
      </c>
      <c r="I324" s="6">
        <v>0</v>
      </c>
      <c r="J324" s="125" t="s">
        <v>277</v>
      </c>
      <c r="K324" s="1"/>
    </row>
    <row r="325" spans="1:11" ht="13.5" thickBot="1" x14ac:dyDescent="0.25">
      <c r="A325" s="6">
        <v>37</v>
      </c>
      <c r="B325" s="6">
        <v>36</v>
      </c>
      <c r="C325" s="6">
        <v>1</v>
      </c>
      <c r="D325" s="6">
        <v>6</v>
      </c>
      <c r="E325" s="6">
        <v>5</v>
      </c>
      <c r="F325" s="6">
        <v>1</v>
      </c>
      <c r="G325" s="6">
        <v>31</v>
      </c>
      <c r="H325" s="6">
        <v>31</v>
      </c>
      <c r="I325" s="6">
        <v>0</v>
      </c>
      <c r="J325" s="7" t="s">
        <v>232</v>
      </c>
      <c r="K325" s="1"/>
    </row>
    <row r="326" spans="1:11" ht="18" customHeight="1" x14ac:dyDescent="0.2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"/>
    </row>
    <row r="327" spans="1:11" ht="18" customHeight="1" x14ac:dyDescent="0.2">
      <c r="A327" s="159" t="s">
        <v>649</v>
      </c>
      <c r="B327" s="159"/>
      <c r="C327" s="159"/>
      <c r="D327" s="159"/>
      <c r="E327" s="159"/>
      <c r="F327" s="159"/>
      <c r="G327" s="159"/>
      <c r="H327" s="159"/>
      <c r="I327" s="159"/>
      <c r="J327" s="159"/>
      <c r="K327" s="1"/>
    </row>
    <row r="328" spans="1:11" ht="18" customHeight="1" thickBot="1" x14ac:dyDescent="0.25">
      <c r="A328" s="160" t="s">
        <v>650</v>
      </c>
      <c r="B328" s="160"/>
      <c r="C328" s="160"/>
      <c r="D328" s="160"/>
      <c r="E328" s="160"/>
      <c r="F328" s="160"/>
      <c r="G328" s="160"/>
      <c r="H328" s="160"/>
      <c r="I328" s="160"/>
      <c r="J328" s="160"/>
      <c r="K328" s="1"/>
    </row>
    <row r="329" spans="1:11" ht="13.5" thickBot="1" x14ac:dyDescent="0.25">
      <c r="A329" s="161" t="s">
        <v>5</v>
      </c>
      <c r="B329" s="161"/>
      <c r="C329" s="161"/>
      <c r="D329" s="161" t="s">
        <v>162</v>
      </c>
      <c r="E329" s="161"/>
      <c r="F329" s="161"/>
      <c r="G329" s="161" t="s">
        <v>163</v>
      </c>
      <c r="H329" s="161"/>
      <c r="I329" s="161"/>
      <c r="J329" s="47" t="s">
        <v>72</v>
      </c>
      <c r="K329" s="1"/>
    </row>
    <row r="330" spans="1:11" ht="13.5" thickBot="1" x14ac:dyDescent="0.25">
      <c r="A330" s="47" t="s">
        <v>216</v>
      </c>
      <c r="B330" s="47" t="s">
        <v>11</v>
      </c>
      <c r="C330" s="47" t="s">
        <v>10</v>
      </c>
      <c r="D330" s="47" t="s">
        <v>216</v>
      </c>
      <c r="E330" s="47" t="s">
        <v>11</v>
      </c>
      <c r="F330" s="47" t="s">
        <v>10</v>
      </c>
      <c r="G330" s="47" t="s">
        <v>216</v>
      </c>
      <c r="H330" s="47" t="s">
        <v>11</v>
      </c>
      <c r="I330" s="47" t="s">
        <v>10</v>
      </c>
      <c r="J330" s="33" t="s">
        <v>131</v>
      </c>
      <c r="K330" s="1"/>
    </row>
    <row r="331" spans="1:11" ht="13.5" thickBot="1" x14ac:dyDescent="0.25">
      <c r="A331" s="6">
        <v>73</v>
      </c>
      <c r="B331" s="6">
        <v>72</v>
      </c>
      <c r="C331" s="6">
        <v>1</v>
      </c>
      <c r="D331" s="6">
        <v>0</v>
      </c>
      <c r="E331" s="6">
        <v>0</v>
      </c>
      <c r="F331" s="6">
        <v>0</v>
      </c>
      <c r="G331" s="6">
        <v>73</v>
      </c>
      <c r="H331" s="6">
        <v>72</v>
      </c>
      <c r="I331" s="6">
        <v>1</v>
      </c>
      <c r="J331" s="125" t="s">
        <v>502</v>
      </c>
      <c r="K331" s="1"/>
    </row>
    <row r="332" spans="1:11" ht="13.5" thickBot="1" x14ac:dyDescent="0.25">
      <c r="A332" s="6">
        <v>41</v>
      </c>
      <c r="B332" s="6">
        <v>41</v>
      </c>
      <c r="C332" s="6">
        <v>0</v>
      </c>
      <c r="D332" s="6">
        <v>0</v>
      </c>
      <c r="E332" s="6">
        <v>0</v>
      </c>
      <c r="F332" s="6">
        <v>0</v>
      </c>
      <c r="G332" s="6">
        <v>41</v>
      </c>
      <c r="H332" s="6">
        <v>41</v>
      </c>
      <c r="I332" s="6">
        <v>0</v>
      </c>
      <c r="J332" s="125" t="s">
        <v>503</v>
      </c>
      <c r="K332" s="1"/>
    </row>
    <row r="333" spans="1:11" ht="13.5" thickBot="1" x14ac:dyDescent="0.25">
      <c r="A333" s="6">
        <v>44</v>
      </c>
      <c r="B333" s="6">
        <v>44</v>
      </c>
      <c r="C333" s="6">
        <v>0</v>
      </c>
      <c r="D333" s="6">
        <v>0</v>
      </c>
      <c r="E333" s="6">
        <v>0</v>
      </c>
      <c r="F333" s="6">
        <v>0</v>
      </c>
      <c r="G333" s="6">
        <v>44</v>
      </c>
      <c r="H333" s="6">
        <v>44</v>
      </c>
      <c r="I333" s="6">
        <v>0</v>
      </c>
      <c r="J333" s="125" t="s">
        <v>504</v>
      </c>
      <c r="K333" s="1"/>
    </row>
    <row r="334" spans="1:11" ht="13.5" thickBot="1" x14ac:dyDescent="0.25">
      <c r="A334" s="6">
        <v>235</v>
      </c>
      <c r="B334" s="6">
        <v>235</v>
      </c>
      <c r="C334" s="6">
        <v>0</v>
      </c>
      <c r="D334" s="6">
        <v>0</v>
      </c>
      <c r="E334" s="6">
        <v>0</v>
      </c>
      <c r="F334" s="6">
        <v>0</v>
      </c>
      <c r="G334" s="6">
        <v>235</v>
      </c>
      <c r="H334" s="6">
        <v>235</v>
      </c>
      <c r="I334" s="6">
        <v>0</v>
      </c>
      <c r="J334" s="125" t="s">
        <v>506</v>
      </c>
      <c r="K334" s="1"/>
    </row>
    <row r="335" spans="1:11" ht="13.5" thickBot="1" x14ac:dyDescent="0.25">
      <c r="A335" s="6">
        <v>1</v>
      </c>
      <c r="B335" s="6">
        <v>1</v>
      </c>
      <c r="C335" s="6">
        <v>0</v>
      </c>
      <c r="D335" s="6">
        <v>0</v>
      </c>
      <c r="E335" s="6">
        <v>0</v>
      </c>
      <c r="F335" s="6">
        <v>0</v>
      </c>
      <c r="G335" s="6">
        <v>1</v>
      </c>
      <c r="H335" s="6">
        <v>1</v>
      </c>
      <c r="I335" s="6">
        <v>0</v>
      </c>
      <c r="J335" s="125" t="s">
        <v>509</v>
      </c>
      <c r="K335" s="1"/>
    </row>
    <row r="336" spans="1:11" ht="13.5" thickBot="1" x14ac:dyDescent="0.25">
      <c r="A336" s="6">
        <v>79</v>
      </c>
      <c r="B336" s="6">
        <v>79</v>
      </c>
      <c r="C336" s="6">
        <v>0</v>
      </c>
      <c r="D336" s="6">
        <v>0</v>
      </c>
      <c r="E336" s="6">
        <v>0</v>
      </c>
      <c r="F336" s="6">
        <v>0</v>
      </c>
      <c r="G336" s="6">
        <v>79</v>
      </c>
      <c r="H336" s="6">
        <v>79</v>
      </c>
      <c r="I336" s="6">
        <v>0</v>
      </c>
      <c r="J336" s="125" t="s">
        <v>520</v>
      </c>
      <c r="K336" s="1"/>
    </row>
    <row r="337" spans="1:11" ht="13.5" thickBot="1" x14ac:dyDescent="0.25">
      <c r="A337" s="6">
        <v>6</v>
      </c>
      <c r="B337" s="6">
        <v>6</v>
      </c>
      <c r="C337" s="6">
        <v>0</v>
      </c>
      <c r="D337" s="6">
        <v>0</v>
      </c>
      <c r="E337" s="6">
        <v>0</v>
      </c>
      <c r="F337" s="6">
        <v>0</v>
      </c>
      <c r="G337" s="6">
        <v>6</v>
      </c>
      <c r="H337" s="6">
        <v>6</v>
      </c>
      <c r="I337" s="6">
        <v>0</v>
      </c>
      <c r="J337" s="125" t="s">
        <v>521</v>
      </c>
      <c r="K337" s="1"/>
    </row>
    <row r="338" spans="1:11" ht="13.5" thickBot="1" x14ac:dyDescent="0.25">
      <c r="A338" s="6">
        <v>479</v>
      </c>
      <c r="B338" s="6">
        <v>478</v>
      </c>
      <c r="C338" s="6">
        <v>1</v>
      </c>
      <c r="D338" s="6">
        <v>0</v>
      </c>
      <c r="E338" s="6">
        <v>0</v>
      </c>
      <c r="F338" s="6">
        <v>0</v>
      </c>
      <c r="G338" s="6">
        <v>479</v>
      </c>
      <c r="H338" s="6">
        <v>478</v>
      </c>
      <c r="I338" s="6">
        <v>1</v>
      </c>
      <c r="J338" s="7" t="s">
        <v>232</v>
      </c>
      <c r="K338" s="1"/>
    </row>
    <row r="339" spans="1:11" ht="18" customHeight="1" x14ac:dyDescent="0.2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"/>
    </row>
    <row r="340" spans="1:11" ht="18" customHeight="1" x14ac:dyDescent="0.2">
      <c r="A340" s="159" t="s">
        <v>649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"/>
    </row>
    <row r="341" spans="1:11" ht="18" customHeight="1" thickBot="1" x14ac:dyDescent="0.25">
      <c r="A341" s="160" t="s">
        <v>650</v>
      </c>
      <c r="B341" s="160"/>
      <c r="C341" s="160"/>
      <c r="D341" s="160"/>
      <c r="E341" s="160"/>
      <c r="F341" s="160"/>
      <c r="G341" s="160"/>
      <c r="H341" s="160"/>
      <c r="I341" s="160"/>
      <c r="J341" s="160"/>
      <c r="K341" s="1"/>
    </row>
    <row r="342" spans="1:11" ht="13.5" thickBot="1" x14ac:dyDescent="0.25">
      <c r="A342" s="161" t="s">
        <v>5</v>
      </c>
      <c r="B342" s="161"/>
      <c r="C342" s="161"/>
      <c r="D342" s="161" t="s">
        <v>162</v>
      </c>
      <c r="E342" s="161"/>
      <c r="F342" s="161"/>
      <c r="G342" s="161" t="s">
        <v>163</v>
      </c>
      <c r="H342" s="161"/>
      <c r="I342" s="161"/>
      <c r="J342" s="47" t="s">
        <v>72</v>
      </c>
      <c r="K342" s="1"/>
    </row>
    <row r="343" spans="1:11" ht="13.5" thickBot="1" x14ac:dyDescent="0.25">
      <c r="A343" s="47" t="s">
        <v>216</v>
      </c>
      <c r="B343" s="47" t="s">
        <v>11</v>
      </c>
      <c r="C343" s="47" t="s">
        <v>10</v>
      </c>
      <c r="D343" s="47" t="s">
        <v>216</v>
      </c>
      <c r="E343" s="47" t="s">
        <v>11</v>
      </c>
      <c r="F343" s="47" t="s">
        <v>10</v>
      </c>
      <c r="G343" s="47" t="s">
        <v>216</v>
      </c>
      <c r="H343" s="47" t="s">
        <v>11</v>
      </c>
      <c r="I343" s="47" t="s">
        <v>10</v>
      </c>
      <c r="J343" s="33" t="s">
        <v>133</v>
      </c>
      <c r="K343" s="1"/>
    </row>
    <row r="344" spans="1:11" ht="13.5" thickBot="1" x14ac:dyDescent="0.25">
      <c r="A344" s="6">
        <v>13</v>
      </c>
      <c r="B344" s="6">
        <v>0</v>
      </c>
      <c r="C344" s="6">
        <v>13</v>
      </c>
      <c r="D344" s="6">
        <v>0</v>
      </c>
      <c r="E344" s="6">
        <v>0</v>
      </c>
      <c r="F344" s="6">
        <v>0</v>
      </c>
      <c r="G344" s="6">
        <v>13</v>
      </c>
      <c r="H344" s="6">
        <v>0</v>
      </c>
      <c r="I344" s="6">
        <v>13</v>
      </c>
      <c r="J344" s="125" t="s">
        <v>524</v>
      </c>
      <c r="K344" s="1"/>
    </row>
    <row r="345" spans="1:11" ht="13.5" thickBot="1" x14ac:dyDescent="0.25">
      <c r="A345" s="6">
        <v>6</v>
      </c>
      <c r="B345" s="6">
        <v>6</v>
      </c>
      <c r="C345" s="6">
        <v>0</v>
      </c>
      <c r="D345" s="6">
        <v>0</v>
      </c>
      <c r="E345" s="6">
        <v>0</v>
      </c>
      <c r="F345" s="6">
        <v>0</v>
      </c>
      <c r="G345" s="6">
        <v>6</v>
      </c>
      <c r="H345" s="6">
        <v>6</v>
      </c>
      <c r="I345" s="6">
        <v>0</v>
      </c>
      <c r="J345" s="125" t="s">
        <v>132</v>
      </c>
      <c r="K345" s="1"/>
    </row>
    <row r="346" spans="1:11" ht="13.5" thickBot="1" x14ac:dyDescent="0.25">
      <c r="A346" s="6">
        <v>15</v>
      </c>
      <c r="B346" s="6">
        <v>0</v>
      </c>
      <c r="C346" s="6">
        <v>15</v>
      </c>
      <c r="D346" s="6">
        <v>0</v>
      </c>
      <c r="E346" s="6">
        <v>0</v>
      </c>
      <c r="F346" s="6">
        <v>0</v>
      </c>
      <c r="G346" s="6">
        <v>15</v>
      </c>
      <c r="H346" s="6">
        <v>0</v>
      </c>
      <c r="I346" s="6">
        <v>15</v>
      </c>
      <c r="J346" s="125" t="s">
        <v>638</v>
      </c>
      <c r="K346" s="1"/>
    </row>
    <row r="347" spans="1:11" ht="13.5" thickBot="1" x14ac:dyDescent="0.25">
      <c r="A347" s="6">
        <v>9</v>
      </c>
      <c r="B347" s="6">
        <v>9</v>
      </c>
      <c r="C347" s="6">
        <v>0</v>
      </c>
      <c r="D347" s="6">
        <v>0</v>
      </c>
      <c r="E347" s="6">
        <v>0</v>
      </c>
      <c r="F347" s="6">
        <v>0</v>
      </c>
      <c r="G347" s="6">
        <v>9</v>
      </c>
      <c r="H347" s="6">
        <v>9</v>
      </c>
      <c r="I347" s="6">
        <v>0</v>
      </c>
      <c r="J347" s="125" t="s">
        <v>525</v>
      </c>
      <c r="K347" s="1"/>
    </row>
    <row r="348" spans="1:11" ht="13.5" thickBot="1" x14ac:dyDescent="0.25">
      <c r="A348" s="6">
        <v>17</v>
      </c>
      <c r="B348" s="6">
        <v>0</v>
      </c>
      <c r="C348" s="6">
        <v>17</v>
      </c>
      <c r="D348" s="6">
        <v>0</v>
      </c>
      <c r="E348" s="6">
        <v>0</v>
      </c>
      <c r="F348" s="6">
        <v>0</v>
      </c>
      <c r="G348" s="6">
        <v>17</v>
      </c>
      <c r="H348" s="6">
        <v>0</v>
      </c>
      <c r="I348" s="6">
        <v>17</v>
      </c>
      <c r="J348" s="125" t="s">
        <v>134</v>
      </c>
      <c r="K348" s="1"/>
    </row>
    <row r="349" spans="1:11" ht="13.5" thickBot="1" x14ac:dyDescent="0.25">
      <c r="A349" s="6">
        <v>60</v>
      </c>
      <c r="B349" s="6">
        <v>15</v>
      </c>
      <c r="C349" s="6">
        <v>45</v>
      </c>
      <c r="D349" s="6">
        <v>0</v>
      </c>
      <c r="E349" s="6">
        <v>0</v>
      </c>
      <c r="F349" s="6">
        <v>0</v>
      </c>
      <c r="G349" s="6">
        <v>60</v>
      </c>
      <c r="H349" s="6">
        <v>15</v>
      </c>
      <c r="I349" s="6">
        <v>45</v>
      </c>
      <c r="J349" s="7" t="s">
        <v>232</v>
      </c>
      <c r="K349" s="1"/>
    </row>
    <row r="350" spans="1:11" ht="18" customHeight="1" x14ac:dyDescent="0.2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"/>
    </row>
    <row r="351" spans="1:11" ht="18" customHeight="1" x14ac:dyDescent="0.2">
      <c r="A351" s="159" t="s">
        <v>649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"/>
    </row>
    <row r="352" spans="1:11" ht="18" customHeight="1" thickBot="1" x14ac:dyDescent="0.25">
      <c r="A352" s="160" t="s">
        <v>650</v>
      </c>
      <c r="B352" s="160"/>
      <c r="C352" s="160"/>
      <c r="D352" s="160"/>
      <c r="E352" s="160"/>
      <c r="F352" s="160"/>
      <c r="G352" s="160"/>
      <c r="H352" s="160"/>
      <c r="I352" s="160"/>
      <c r="J352" s="160"/>
      <c r="K352" s="1"/>
    </row>
    <row r="353" spans="1:11" ht="13.5" thickBot="1" x14ac:dyDescent="0.25">
      <c r="A353" s="161" t="s">
        <v>5</v>
      </c>
      <c r="B353" s="161"/>
      <c r="C353" s="161"/>
      <c r="D353" s="161" t="s">
        <v>162</v>
      </c>
      <c r="E353" s="161"/>
      <c r="F353" s="161"/>
      <c r="G353" s="161" t="s">
        <v>163</v>
      </c>
      <c r="H353" s="161"/>
      <c r="I353" s="161"/>
      <c r="J353" s="47" t="s">
        <v>72</v>
      </c>
      <c r="K353" s="1"/>
    </row>
    <row r="354" spans="1:11" ht="13.5" thickBot="1" x14ac:dyDescent="0.25">
      <c r="A354" s="47" t="s">
        <v>216</v>
      </c>
      <c r="B354" s="47" t="s">
        <v>11</v>
      </c>
      <c r="C354" s="47" t="s">
        <v>10</v>
      </c>
      <c r="D354" s="47" t="s">
        <v>216</v>
      </c>
      <c r="E354" s="47" t="s">
        <v>11</v>
      </c>
      <c r="F354" s="47" t="s">
        <v>10</v>
      </c>
      <c r="G354" s="47" t="s">
        <v>216</v>
      </c>
      <c r="H354" s="47" t="s">
        <v>11</v>
      </c>
      <c r="I354" s="47" t="s">
        <v>10</v>
      </c>
      <c r="J354" s="33" t="s">
        <v>168</v>
      </c>
      <c r="K354" s="1"/>
    </row>
    <row r="355" spans="1:11" ht="13.5" thickBot="1" x14ac:dyDescent="0.25">
      <c r="A355" s="6">
        <v>47</v>
      </c>
      <c r="B355" s="6">
        <v>0</v>
      </c>
      <c r="C355" s="6">
        <v>47</v>
      </c>
      <c r="D355" s="6">
        <v>0</v>
      </c>
      <c r="E355" s="6">
        <v>0</v>
      </c>
      <c r="F355" s="6">
        <v>0</v>
      </c>
      <c r="G355" s="6">
        <v>47</v>
      </c>
      <c r="H355" s="6">
        <v>0</v>
      </c>
      <c r="I355" s="6">
        <v>47</v>
      </c>
      <c r="J355" s="125" t="s">
        <v>280</v>
      </c>
      <c r="K355" s="1"/>
    </row>
    <row r="356" spans="1:11" ht="13.5" thickBot="1" x14ac:dyDescent="0.25">
      <c r="A356" s="6">
        <v>28</v>
      </c>
      <c r="B356" s="6">
        <v>0</v>
      </c>
      <c r="C356" s="6">
        <v>28</v>
      </c>
      <c r="D356" s="6">
        <v>0</v>
      </c>
      <c r="E356" s="6">
        <v>0</v>
      </c>
      <c r="F356" s="6">
        <v>0</v>
      </c>
      <c r="G356" s="6">
        <v>28</v>
      </c>
      <c r="H356" s="6">
        <v>0</v>
      </c>
      <c r="I356" s="6">
        <v>28</v>
      </c>
      <c r="J356" s="125" t="s">
        <v>639</v>
      </c>
      <c r="K356" s="1"/>
    </row>
    <row r="357" spans="1:11" ht="13.5" thickBot="1" x14ac:dyDescent="0.25">
      <c r="A357" s="6">
        <v>34</v>
      </c>
      <c r="B357" s="6">
        <v>0</v>
      </c>
      <c r="C357" s="6">
        <v>34</v>
      </c>
      <c r="D357" s="6">
        <v>0</v>
      </c>
      <c r="E357" s="6">
        <v>0</v>
      </c>
      <c r="F357" s="6">
        <v>0</v>
      </c>
      <c r="G357" s="6">
        <v>34</v>
      </c>
      <c r="H357" s="6">
        <v>0</v>
      </c>
      <c r="I357" s="6">
        <v>34</v>
      </c>
      <c r="J357" s="125" t="s">
        <v>282</v>
      </c>
      <c r="K357" s="1"/>
    </row>
    <row r="358" spans="1:11" ht="13.5" thickBot="1" x14ac:dyDescent="0.25">
      <c r="A358" s="6">
        <v>20</v>
      </c>
      <c r="B358" s="6">
        <v>0</v>
      </c>
      <c r="C358" s="6">
        <v>20</v>
      </c>
      <c r="D358" s="6">
        <v>0</v>
      </c>
      <c r="E358" s="6">
        <v>0</v>
      </c>
      <c r="F358" s="6">
        <v>0</v>
      </c>
      <c r="G358" s="6">
        <v>20</v>
      </c>
      <c r="H358" s="6">
        <v>0</v>
      </c>
      <c r="I358" s="6">
        <v>20</v>
      </c>
      <c r="J358" s="125" t="s">
        <v>283</v>
      </c>
      <c r="K358" s="1"/>
    </row>
    <row r="359" spans="1:11" ht="13.5" thickBot="1" x14ac:dyDescent="0.25">
      <c r="A359" s="6">
        <v>28</v>
      </c>
      <c r="B359" s="6">
        <v>0</v>
      </c>
      <c r="C359" s="6">
        <v>28</v>
      </c>
      <c r="D359" s="6">
        <v>0</v>
      </c>
      <c r="E359" s="6">
        <v>0</v>
      </c>
      <c r="F359" s="6">
        <v>0</v>
      </c>
      <c r="G359" s="6">
        <v>28</v>
      </c>
      <c r="H359" s="6">
        <v>0</v>
      </c>
      <c r="I359" s="6">
        <v>28</v>
      </c>
      <c r="J359" s="125" t="s">
        <v>284</v>
      </c>
      <c r="K359" s="1"/>
    </row>
    <row r="360" spans="1:11" ht="13.5" thickBot="1" x14ac:dyDescent="0.25">
      <c r="A360" s="6">
        <v>26</v>
      </c>
      <c r="B360" s="6">
        <v>0</v>
      </c>
      <c r="C360" s="6">
        <v>26</v>
      </c>
      <c r="D360" s="6">
        <v>0</v>
      </c>
      <c r="E360" s="6">
        <v>0</v>
      </c>
      <c r="F360" s="6">
        <v>0</v>
      </c>
      <c r="G360" s="6">
        <v>26</v>
      </c>
      <c r="H360" s="6">
        <v>0</v>
      </c>
      <c r="I360" s="6">
        <v>26</v>
      </c>
      <c r="J360" s="125" t="s">
        <v>285</v>
      </c>
      <c r="K360" s="1"/>
    </row>
    <row r="361" spans="1:11" ht="13.5" thickBot="1" x14ac:dyDescent="0.25">
      <c r="A361" s="6">
        <v>31</v>
      </c>
      <c r="B361" s="6">
        <v>0</v>
      </c>
      <c r="C361" s="6">
        <v>31</v>
      </c>
      <c r="D361" s="6">
        <v>0</v>
      </c>
      <c r="E361" s="6">
        <v>0</v>
      </c>
      <c r="F361" s="6">
        <v>0</v>
      </c>
      <c r="G361" s="6">
        <v>31</v>
      </c>
      <c r="H361" s="6">
        <v>0</v>
      </c>
      <c r="I361" s="6">
        <v>31</v>
      </c>
      <c r="J361" s="125" t="s">
        <v>286</v>
      </c>
      <c r="K361" s="1"/>
    </row>
    <row r="362" spans="1:11" ht="13.5" thickBot="1" x14ac:dyDescent="0.25">
      <c r="A362" s="6">
        <v>28</v>
      </c>
      <c r="B362" s="6">
        <v>0</v>
      </c>
      <c r="C362" s="6">
        <v>28</v>
      </c>
      <c r="D362" s="6">
        <v>0</v>
      </c>
      <c r="E362" s="6">
        <v>0</v>
      </c>
      <c r="F362" s="6">
        <v>0</v>
      </c>
      <c r="G362" s="6">
        <v>28</v>
      </c>
      <c r="H362" s="6">
        <v>0</v>
      </c>
      <c r="I362" s="6">
        <v>28</v>
      </c>
      <c r="J362" s="125" t="s">
        <v>287</v>
      </c>
      <c r="K362" s="1"/>
    </row>
    <row r="363" spans="1:11" ht="13.5" thickBot="1" x14ac:dyDescent="0.25">
      <c r="A363" s="6">
        <v>42</v>
      </c>
      <c r="B363" s="6">
        <v>0</v>
      </c>
      <c r="C363" s="6">
        <v>42</v>
      </c>
      <c r="D363" s="6">
        <v>0</v>
      </c>
      <c r="E363" s="6">
        <v>0</v>
      </c>
      <c r="F363" s="6">
        <v>0</v>
      </c>
      <c r="G363" s="6">
        <v>42</v>
      </c>
      <c r="H363" s="6">
        <v>0</v>
      </c>
      <c r="I363" s="6">
        <v>42</v>
      </c>
      <c r="J363" s="125" t="s">
        <v>288</v>
      </c>
      <c r="K363" s="1"/>
    </row>
    <row r="364" spans="1:11" ht="13.5" thickBot="1" x14ac:dyDescent="0.25">
      <c r="A364" s="6">
        <v>22</v>
      </c>
      <c r="B364" s="6">
        <v>0</v>
      </c>
      <c r="C364" s="6">
        <v>22</v>
      </c>
      <c r="D364" s="6">
        <v>0</v>
      </c>
      <c r="E364" s="6">
        <v>0</v>
      </c>
      <c r="F364" s="6">
        <v>0</v>
      </c>
      <c r="G364" s="6">
        <v>22</v>
      </c>
      <c r="H364" s="6">
        <v>0</v>
      </c>
      <c r="I364" s="6">
        <v>22</v>
      </c>
      <c r="J364" s="125" t="s">
        <v>289</v>
      </c>
      <c r="K364" s="1"/>
    </row>
    <row r="365" spans="1:11" ht="13.5" thickBot="1" x14ac:dyDescent="0.25">
      <c r="A365" s="6">
        <v>24</v>
      </c>
      <c r="B365" s="6">
        <v>0</v>
      </c>
      <c r="C365" s="6">
        <v>24</v>
      </c>
      <c r="D365" s="6">
        <v>0</v>
      </c>
      <c r="E365" s="6">
        <v>0</v>
      </c>
      <c r="F365" s="6">
        <v>0</v>
      </c>
      <c r="G365" s="6">
        <v>24</v>
      </c>
      <c r="H365" s="6">
        <v>0</v>
      </c>
      <c r="I365" s="6">
        <v>24</v>
      </c>
      <c r="J365" s="125" t="s">
        <v>640</v>
      </c>
      <c r="K365" s="1"/>
    </row>
    <row r="366" spans="1:11" ht="13.5" thickBot="1" x14ac:dyDescent="0.25">
      <c r="A366" s="6">
        <v>26</v>
      </c>
      <c r="B366" s="6">
        <v>0</v>
      </c>
      <c r="C366" s="6">
        <v>26</v>
      </c>
      <c r="D366" s="6">
        <v>0</v>
      </c>
      <c r="E366" s="6">
        <v>0</v>
      </c>
      <c r="F366" s="6">
        <v>0</v>
      </c>
      <c r="G366" s="6">
        <v>26</v>
      </c>
      <c r="H366" s="6">
        <v>0</v>
      </c>
      <c r="I366" s="6">
        <v>26</v>
      </c>
      <c r="J366" s="125" t="s">
        <v>291</v>
      </c>
      <c r="K366" s="1"/>
    </row>
    <row r="367" spans="1:11" ht="13.5" thickBot="1" x14ac:dyDescent="0.25">
      <c r="A367" s="6">
        <v>20</v>
      </c>
      <c r="B367" s="6">
        <v>0</v>
      </c>
      <c r="C367" s="6">
        <v>20</v>
      </c>
      <c r="D367" s="6">
        <v>0</v>
      </c>
      <c r="E367" s="6">
        <v>0</v>
      </c>
      <c r="F367" s="6">
        <v>0</v>
      </c>
      <c r="G367" s="6">
        <v>20</v>
      </c>
      <c r="H367" s="6">
        <v>0</v>
      </c>
      <c r="I367" s="6">
        <v>20</v>
      </c>
      <c r="J367" s="125" t="s">
        <v>292</v>
      </c>
      <c r="K367" s="1"/>
    </row>
    <row r="368" spans="1:11" ht="13.5" thickBot="1" x14ac:dyDescent="0.25">
      <c r="A368" s="6">
        <v>22</v>
      </c>
      <c r="B368" s="6">
        <v>0</v>
      </c>
      <c r="C368" s="6">
        <v>22</v>
      </c>
      <c r="D368" s="6">
        <v>0</v>
      </c>
      <c r="E368" s="6">
        <v>0</v>
      </c>
      <c r="F368" s="6">
        <v>0</v>
      </c>
      <c r="G368" s="6">
        <v>22</v>
      </c>
      <c r="H368" s="6">
        <v>0</v>
      </c>
      <c r="I368" s="6">
        <v>22</v>
      </c>
      <c r="J368" s="125" t="s">
        <v>293</v>
      </c>
      <c r="K368" s="1"/>
    </row>
    <row r="369" spans="1:11" ht="13.5" thickBot="1" x14ac:dyDescent="0.25">
      <c r="A369" s="6">
        <v>19</v>
      </c>
      <c r="B369" s="6">
        <v>0</v>
      </c>
      <c r="C369" s="6">
        <v>19</v>
      </c>
      <c r="D369" s="6">
        <v>0</v>
      </c>
      <c r="E369" s="6">
        <v>0</v>
      </c>
      <c r="F369" s="6">
        <v>0</v>
      </c>
      <c r="G369" s="6">
        <v>19</v>
      </c>
      <c r="H369" s="6">
        <v>0</v>
      </c>
      <c r="I369" s="6">
        <v>19</v>
      </c>
      <c r="J369" s="125" t="s">
        <v>294</v>
      </c>
      <c r="K369" s="1"/>
    </row>
    <row r="370" spans="1:11" ht="13.5" thickBot="1" x14ac:dyDescent="0.25">
      <c r="A370" s="6">
        <v>22</v>
      </c>
      <c r="B370" s="6">
        <v>0</v>
      </c>
      <c r="C370" s="6">
        <v>22</v>
      </c>
      <c r="D370" s="6">
        <v>0</v>
      </c>
      <c r="E370" s="6">
        <v>0</v>
      </c>
      <c r="F370" s="6">
        <v>0</v>
      </c>
      <c r="G370" s="6">
        <v>22</v>
      </c>
      <c r="H370" s="6">
        <v>0</v>
      </c>
      <c r="I370" s="6">
        <v>22</v>
      </c>
      <c r="J370" s="125" t="s">
        <v>295</v>
      </c>
      <c r="K370" s="1"/>
    </row>
    <row r="371" spans="1:11" ht="13.5" thickBot="1" x14ac:dyDescent="0.25">
      <c r="A371" s="6">
        <v>28</v>
      </c>
      <c r="B371" s="6">
        <v>0</v>
      </c>
      <c r="C371" s="6">
        <v>28</v>
      </c>
      <c r="D371" s="6">
        <v>0</v>
      </c>
      <c r="E371" s="6">
        <v>0</v>
      </c>
      <c r="F371" s="6">
        <v>0</v>
      </c>
      <c r="G371" s="6">
        <v>28</v>
      </c>
      <c r="H371" s="6">
        <v>0</v>
      </c>
      <c r="I371" s="6">
        <v>28</v>
      </c>
      <c r="J371" s="125" t="s">
        <v>296</v>
      </c>
      <c r="K371" s="1"/>
    </row>
    <row r="372" spans="1:11" ht="13.5" thickBot="1" x14ac:dyDescent="0.25">
      <c r="A372" s="6">
        <v>7</v>
      </c>
      <c r="B372" s="6">
        <v>0</v>
      </c>
      <c r="C372" s="6">
        <v>7</v>
      </c>
      <c r="D372" s="6">
        <v>0</v>
      </c>
      <c r="E372" s="6">
        <v>0</v>
      </c>
      <c r="F372" s="6">
        <v>0</v>
      </c>
      <c r="G372" s="6">
        <v>7</v>
      </c>
      <c r="H372" s="6">
        <v>0</v>
      </c>
      <c r="I372" s="6">
        <v>7</v>
      </c>
      <c r="J372" s="125" t="s">
        <v>297</v>
      </c>
      <c r="K372" s="1"/>
    </row>
    <row r="373" spans="1:11" ht="13.5" thickBot="1" x14ac:dyDescent="0.25">
      <c r="A373" s="6">
        <v>10</v>
      </c>
      <c r="B373" s="6">
        <v>0</v>
      </c>
      <c r="C373" s="6">
        <v>10</v>
      </c>
      <c r="D373" s="6">
        <v>0</v>
      </c>
      <c r="E373" s="6">
        <v>0</v>
      </c>
      <c r="F373" s="6">
        <v>0</v>
      </c>
      <c r="G373" s="6">
        <v>10</v>
      </c>
      <c r="H373" s="6">
        <v>0</v>
      </c>
      <c r="I373" s="6">
        <v>10</v>
      </c>
      <c r="J373" s="125" t="s">
        <v>298</v>
      </c>
      <c r="K373" s="1"/>
    </row>
    <row r="374" spans="1:11" ht="13.5" thickBot="1" x14ac:dyDescent="0.25">
      <c r="A374" s="6">
        <v>13</v>
      </c>
      <c r="B374" s="6">
        <v>0</v>
      </c>
      <c r="C374" s="6">
        <v>13</v>
      </c>
      <c r="D374" s="6">
        <v>0</v>
      </c>
      <c r="E374" s="6">
        <v>0</v>
      </c>
      <c r="F374" s="6">
        <v>0</v>
      </c>
      <c r="G374" s="6">
        <v>13</v>
      </c>
      <c r="H374" s="6">
        <v>0</v>
      </c>
      <c r="I374" s="6">
        <v>13</v>
      </c>
      <c r="J374" s="125" t="s">
        <v>299</v>
      </c>
      <c r="K374" s="1"/>
    </row>
    <row r="375" spans="1:11" ht="13.5" thickBot="1" x14ac:dyDescent="0.25">
      <c r="A375" s="6">
        <v>9</v>
      </c>
      <c r="B375" s="6">
        <v>0</v>
      </c>
      <c r="C375" s="6">
        <v>9</v>
      </c>
      <c r="D375" s="6">
        <v>0</v>
      </c>
      <c r="E375" s="6">
        <v>0</v>
      </c>
      <c r="F375" s="6">
        <v>0</v>
      </c>
      <c r="G375" s="6">
        <v>9</v>
      </c>
      <c r="H375" s="6">
        <v>0</v>
      </c>
      <c r="I375" s="6">
        <v>9</v>
      </c>
      <c r="J375" s="125" t="s">
        <v>300</v>
      </c>
      <c r="K375" s="1"/>
    </row>
    <row r="376" spans="1:11" ht="13.5" thickBot="1" x14ac:dyDescent="0.25">
      <c r="A376" s="6">
        <v>33</v>
      </c>
      <c r="B376" s="6">
        <v>0</v>
      </c>
      <c r="C376" s="6">
        <v>33</v>
      </c>
      <c r="D376" s="6">
        <v>0</v>
      </c>
      <c r="E376" s="6">
        <v>0</v>
      </c>
      <c r="F376" s="6">
        <v>0</v>
      </c>
      <c r="G376" s="6">
        <v>33</v>
      </c>
      <c r="H376" s="6">
        <v>0</v>
      </c>
      <c r="I376" s="6">
        <v>33</v>
      </c>
      <c r="J376" s="125" t="s">
        <v>301</v>
      </c>
      <c r="K376" s="1"/>
    </row>
    <row r="377" spans="1:11" ht="13.5" thickBot="1" x14ac:dyDescent="0.25">
      <c r="A377" s="6">
        <v>6</v>
      </c>
      <c r="B377" s="6">
        <v>0</v>
      </c>
      <c r="C377" s="6">
        <v>6</v>
      </c>
      <c r="D377" s="6">
        <v>0</v>
      </c>
      <c r="E377" s="6">
        <v>0</v>
      </c>
      <c r="F377" s="6">
        <v>0</v>
      </c>
      <c r="G377" s="6">
        <v>6</v>
      </c>
      <c r="H377" s="6">
        <v>0</v>
      </c>
      <c r="I377" s="6">
        <v>6</v>
      </c>
      <c r="J377" s="125" t="s">
        <v>302</v>
      </c>
      <c r="K377" s="1"/>
    </row>
    <row r="378" spans="1:11" ht="13.5" thickBot="1" x14ac:dyDescent="0.25">
      <c r="A378" s="6">
        <v>11</v>
      </c>
      <c r="B378" s="6">
        <v>0</v>
      </c>
      <c r="C378" s="6">
        <v>11</v>
      </c>
      <c r="D378" s="6">
        <v>0</v>
      </c>
      <c r="E378" s="6">
        <v>0</v>
      </c>
      <c r="F378" s="6">
        <v>0</v>
      </c>
      <c r="G378" s="6">
        <v>11</v>
      </c>
      <c r="H378" s="6">
        <v>0</v>
      </c>
      <c r="I378" s="6">
        <v>11</v>
      </c>
      <c r="J378" s="125" t="s">
        <v>303</v>
      </c>
      <c r="K378" s="1"/>
    </row>
    <row r="379" spans="1:11" ht="13.5" thickBot="1" x14ac:dyDescent="0.25">
      <c r="A379" s="6">
        <v>7</v>
      </c>
      <c r="B379" s="6">
        <v>0</v>
      </c>
      <c r="C379" s="6">
        <v>7</v>
      </c>
      <c r="D379" s="6">
        <v>0</v>
      </c>
      <c r="E379" s="6">
        <v>0</v>
      </c>
      <c r="F379" s="6">
        <v>0</v>
      </c>
      <c r="G379" s="6">
        <v>7</v>
      </c>
      <c r="H379" s="6">
        <v>0</v>
      </c>
      <c r="I379" s="6">
        <v>7</v>
      </c>
      <c r="J379" s="125" t="s">
        <v>304</v>
      </c>
      <c r="K379" s="1"/>
    </row>
    <row r="380" spans="1:11" ht="13.5" thickBot="1" x14ac:dyDescent="0.25">
      <c r="A380" s="6">
        <v>12</v>
      </c>
      <c r="B380" s="6">
        <v>0</v>
      </c>
      <c r="C380" s="6">
        <v>12</v>
      </c>
      <c r="D380" s="6">
        <v>0</v>
      </c>
      <c r="E380" s="6">
        <v>0</v>
      </c>
      <c r="F380" s="6">
        <v>0</v>
      </c>
      <c r="G380" s="6">
        <v>12</v>
      </c>
      <c r="H380" s="6">
        <v>0</v>
      </c>
      <c r="I380" s="6">
        <v>12</v>
      </c>
      <c r="J380" s="125" t="s">
        <v>305</v>
      </c>
      <c r="K380" s="1"/>
    </row>
    <row r="381" spans="1:11" ht="13.5" thickBot="1" x14ac:dyDescent="0.25">
      <c r="A381" s="6">
        <v>11</v>
      </c>
      <c r="B381" s="6">
        <v>0</v>
      </c>
      <c r="C381" s="6">
        <v>11</v>
      </c>
      <c r="D381" s="6">
        <v>0</v>
      </c>
      <c r="E381" s="6">
        <v>0</v>
      </c>
      <c r="F381" s="6">
        <v>0</v>
      </c>
      <c r="G381" s="6">
        <v>11</v>
      </c>
      <c r="H381" s="6">
        <v>0</v>
      </c>
      <c r="I381" s="6">
        <v>11</v>
      </c>
      <c r="J381" s="125" t="s">
        <v>306</v>
      </c>
      <c r="K381" s="1"/>
    </row>
    <row r="382" spans="1:11" ht="13.5" thickBot="1" x14ac:dyDescent="0.25">
      <c r="A382" s="6">
        <v>10</v>
      </c>
      <c r="B382" s="6">
        <v>0</v>
      </c>
      <c r="C382" s="6">
        <v>10</v>
      </c>
      <c r="D382" s="6">
        <v>0</v>
      </c>
      <c r="E382" s="6">
        <v>0</v>
      </c>
      <c r="F382" s="6">
        <v>0</v>
      </c>
      <c r="G382" s="6">
        <v>10</v>
      </c>
      <c r="H382" s="6">
        <v>0</v>
      </c>
      <c r="I382" s="6">
        <v>10</v>
      </c>
      <c r="J382" s="125" t="s">
        <v>307</v>
      </c>
      <c r="K382" s="1"/>
    </row>
    <row r="383" spans="1:11" ht="13.5" thickBot="1" x14ac:dyDescent="0.25">
      <c r="A383" s="6">
        <v>11</v>
      </c>
      <c r="B383" s="6">
        <v>0</v>
      </c>
      <c r="C383" s="6">
        <v>11</v>
      </c>
      <c r="D383" s="6">
        <v>0</v>
      </c>
      <c r="E383" s="6">
        <v>0</v>
      </c>
      <c r="F383" s="6">
        <v>0</v>
      </c>
      <c r="G383" s="6">
        <v>11</v>
      </c>
      <c r="H383" s="6">
        <v>0</v>
      </c>
      <c r="I383" s="6">
        <v>11</v>
      </c>
      <c r="J383" s="125" t="s">
        <v>308</v>
      </c>
      <c r="K383" s="1"/>
    </row>
    <row r="384" spans="1:11" ht="13.5" thickBot="1" x14ac:dyDescent="0.25">
      <c r="A384" s="6">
        <v>7</v>
      </c>
      <c r="B384" s="6">
        <v>0</v>
      </c>
      <c r="C384" s="6">
        <v>7</v>
      </c>
      <c r="D384" s="6">
        <v>0</v>
      </c>
      <c r="E384" s="6">
        <v>0</v>
      </c>
      <c r="F384" s="6">
        <v>0</v>
      </c>
      <c r="G384" s="6">
        <v>7</v>
      </c>
      <c r="H384" s="6">
        <v>0</v>
      </c>
      <c r="I384" s="6">
        <v>7</v>
      </c>
      <c r="J384" s="125" t="s">
        <v>309</v>
      </c>
      <c r="K384" s="1"/>
    </row>
    <row r="385" spans="1:11" ht="13.5" thickBot="1" x14ac:dyDescent="0.25">
      <c r="A385" s="6">
        <v>18</v>
      </c>
      <c r="B385" s="6">
        <v>0</v>
      </c>
      <c r="C385" s="6">
        <v>18</v>
      </c>
      <c r="D385" s="6">
        <v>0</v>
      </c>
      <c r="E385" s="6">
        <v>0</v>
      </c>
      <c r="F385" s="6">
        <v>0</v>
      </c>
      <c r="G385" s="6">
        <v>18</v>
      </c>
      <c r="H385" s="6">
        <v>0</v>
      </c>
      <c r="I385" s="6">
        <v>18</v>
      </c>
      <c r="J385" s="125" t="s">
        <v>310</v>
      </c>
      <c r="K385" s="1"/>
    </row>
    <row r="386" spans="1:11" ht="13.5" thickBot="1" x14ac:dyDescent="0.25">
      <c r="A386" s="6">
        <v>9</v>
      </c>
      <c r="B386" s="6">
        <v>0</v>
      </c>
      <c r="C386" s="6">
        <v>9</v>
      </c>
      <c r="D386" s="6">
        <v>0</v>
      </c>
      <c r="E386" s="6">
        <v>0</v>
      </c>
      <c r="F386" s="6">
        <v>0</v>
      </c>
      <c r="G386" s="6">
        <v>9</v>
      </c>
      <c r="H386" s="6">
        <v>0</v>
      </c>
      <c r="I386" s="6">
        <v>9</v>
      </c>
      <c r="J386" s="125" t="s">
        <v>311</v>
      </c>
      <c r="K386" s="1"/>
    </row>
    <row r="387" spans="1:11" ht="13.5" thickBot="1" x14ac:dyDescent="0.25">
      <c r="A387" s="6">
        <v>8</v>
      </c>
      <c r="B387" s="6">
        <v>0</v>
      </c>
      <c r="C387" s="6">
        <v>8</v>
      </c>
      <c r="D387" s="6">
        <v>0</v>
      </c>
      <c r="E387" s="6">
        <v>0</v>
      </c>
      <c r="F387" s="6">
        <v>0</v>
      </c>
      <c r="G387" s="6">
        <v>8</v>
      </c>
      <c r="H387" s="6">
        <v>0</v>
      </c>
      <c r="I387" s="6">
        <v>8</v>
      </c>
      <c r="J387" s="125" t="s">
        <v>312</v>
      </c>
      <c r="K387" s="1"/>
    </row>
    <row r="388" spans="1:11" ht="13.5" thickBot="1" x14ac:dyDescent="0.25">
      <c r="A388" s="6">
        <v>14</v>
      </c>
      <c r="B388" s="6">
        <v>0</v>
      </c>
      <c r="C388" s="6">
        <v>14</v>
      </c>
      <c r="D388" s="6">
        <v>0</v>
      </c>
      <c r="E388" s="6">
        <v>0</v>
      </c>
      <c r="F388" s="6">
        <v>0</v>
      </c>
      <c r="G388" s="6">
        <v>14</v>
      </c>
      <c r="H388" s="6">
        <v>0</v>
      </c>
      <c r="I388" s="6">
        <v>14</v>
      </c>
      <c r="J388" s="125" t="s">
        <v>313</v>
      </c>
      <c r="K388" s="1"/>
    </row>
    <row r="389" spans="1:11" ht="13.5" thickBot="1" x14ac:dyDescent="0.25">
      <c r="A389" s="6">
        <v>8</v>
      </c>
      <c r="B389" s="6">
        <v>0</v>
      </c>
      <c r="C389" s="6">
        <v>8</v>
      </c>
      <c r="D389" s="6">
        <v>0</v>
      </c>
      <c r="E389" s="6">
        <v>0</v>
      </c>
      <c r="F389" s="6">
        <v>0</v>
      </c>
      <c r="G389" s="6">
        <v>8</v>
      </c>
      <c r="H389" s="6">
        <v>0</v>
      </c>
      <c r="I389" s="6">
        <v>8</v>
      </c>
      <c r="J389" s="125" t="s">
        <v>314</v>
      </c>
      <c r="K389" s="1"/>
    </row>
    <row r="390" spans="1:11" ht="13.5" thickBot="1" x14ac:dyDescent="0.25">
      <c r="A390" s="6">
        <v>6</v>
      </c>
      <c r="B390" s="6">
        <v>6</v>
      </c>
      <c r="C390" s="6">
        <v>0</v>
      </c>
      <c r="D390" s="6">
        <v>0</v>
      </c>
      <c r="E390" s="6">
        <v>0</v>
      </c>
      <c r="F390" s="6">
        <v>0</v>
      </c>
      <c r="G390" s="6">
        <v>6</v>
      </c>
      <c r="H390" s="6">
        <v>6</v>
      </c>
      <c r="I390" s="6">
        <v>0</v>
      </c>
      <c r="J390" s="125" t="s">
        <v>315</v>
      </c>
      <c r="K390" s="1"/>
    </row>
    <row r="391" spans="1:11" ht="13.5" thickBot="1" x14ac:dyDescent="0.25">
      <c r="A391" s="6">
        <v>5</v>
      </c>
      <c r="B391" s="6">
        <v>5</v>
      </c>
      <c r="C391" s="6">
        <v>0</v>
      </c>
      <c r="D391" s="6">
        <v>0</v>
      </c>
      <c r="E391" s="6">
        <v>0</v>
      </c>
      <c r="F391" s="6">
        <v>0</v>
      </c>
      <c r="G391" s="6">
        <v>5</v>
      </c>
      <c r="H391" s="6">
        <v>5</v>
      </c>
      <c r="I391" s="6">
        <v>0</v>
      </c>
      <c r="J391" s="125" t="s">
        <v>316</v>
      </c>
      <c r="K391" s="1"/>
    </row>
    <row r="392" spans="1:11" ht="13.5" thickBot="1" x14ac:dyDescent="0.25">
      <c r="A392" s="6">
        <v>5</v>
      </c>
      <c r="B392" s="6">
        <v>5</v>
      </c>
      <c r="C392" s="6">
        <v>0</v>
      </c>
      <c r="D392" s="6">
        <v>0</v>
      </c>
      <c r="E392" s="6">
        <v>0</v>
      </c>
      <c r="F392" s="6">
        <v>0</v>
      </c>
      <c r="G392" s="6">
        <v>5</v>
      </c>
      <c r="H392" s="6">
        <v>5</v>
      </c>
      <c r="I392" s="6">
        <v>0</v>
      </c>
      <c r="J392" s="125" t="s">
        <v>317</v>
      </c>
      <c r="K392" s="1"/>
    </row>
    <row r="393" spans="1:11" ht="13.5" thickBot="1" x14ac:dyDescent="0.25">
      <c r="A393" s="6">
        <v>11</v>
      </c>
      <c r="B393" s="6">
        <v>11</v>
      </c>
      <c r="C393" s="6">
        <v>0</v>
      </c>
      <c r="D393" s="6">
        <v>0</v>
      </c>
      <c r="E393" s="6">
        <v>0</v>
      </c>
      <c r="F393" s="6">
        <v>0</v>
      </c>
      <c r="G393" s="6">
        <v>11</v>
      </c>
      <c r="H393" s="6">
        <v>11</v>
      </c>
      <c r="I393" s="6">
        <v>0</v>
      </c>
      <c r="J393" s="125" t="s">
        <v>318</v>
      </c>
      <c r="K393" s="1"/>
    </row>
    <row r="394" spans="1:11" ht="13.5" thickBot="1" x14ac:dyDescent="0.25">
      <c r="A394" s="6">
        <v>7</v>
      </c>
      <c r="B394" s="6">
        <v>7</v>
      </c>
      <c r="C394" s="6">
        <v>0</v>
      </c>
      <c r="D394" s="6">
        <v>0</v>
      </c>
      <c r="E394" s="6">
        <v>0</v>
      </c>
      <c r="F394" s="6">
        <v>0</v>
      </c>
      <c r="G394" s="6">
        <v>7</v>
      </c>
      <c r="H394" s="6">
        <v>7</v>
      </c>
      <c r="I394" s="6">
        <v>0</v>
      </c>
      <c r="J394" s="125" t="s">
        <v>319</v>
      </c>
      <c r="K394" s="1"/>
    </row>
    <row r="395" spans="1:11" ht="13.5" thickBot="1" x14ac:dyDescent="0.25">
      <c r="A395" s="6">
        <v>8</v>
      </c>
      <c r="B395" s="6">
        <v>8</v>
      </c>
      <c r="C395" s="6">
        <v>0</v>
      </c>
      <c r="D395" s="6">
        <v>0</v>
      </c>
      <c r="E395" s="6">
        <v>0</v>
      </c>
      <c r="F395" s="6">
        <v>0</v>
      </c>
      <c r="G395" s="6">
        <v>8</v>
      </c>
      <c r="H395" s="6">
        <v>8</v>
      </c>
      <c r="I395" s="6">
        <v>0</v>
      </c>
      <c r="J395" s="125" t="s">
        <v>320</v>
      </c>
      <c r="K395" s="1"/>
    </row>
    <row r="396" spans="1:11" ht="13.5" thickBot="1" x14ac:dyDescent="0.25">
      <c r="A396" s="6">
        <v>7</v>
      </c>
      <c r="B396" s="6">
        <v>7</v>
      </c>
      <c r="C396" s="6">
        <v>0</v>
      </c>
      <c r="D396" s="6">
        <v>0</v>
      </c>
      <c r="E396" s="6">
        <v>0</v>
      </c>
      <c r="F396" s="6">
        <v>0</v>
      </c>
      <c r="G396" s="6">
        <v>7</v>
      </c>
      <c r="H396" s="6">
        <v>7</v>
      </c>
      <c r="I396" s="6">
        <v>0</v>
      </c>
      <c r="J396" s="125" t="s">
        <v>321</v>
      </c>
      <c r="K396" s="1"/>
    </row>
    <row r="397" spans="1:11" ht="13.5" thickBot="1" x14ac:dyDescent="0.25">
      <c r="A397" s="6">
        <v>3</v>
      </c>
      <c r="B397" s="6">
        <v>3</v>
      </c>
      <c r="C397" s="6">
        <v>0</v>
      </c>
      <c r="D397" s="6">
        <v>0</v>
      </c>
      <c r="E397" s="6">
        <v>0</v>
      </c>
      <c r="F397" s="6">
        <v>0</v>
      </c>
      <c r="G397" s="6">
        <v>3</v>
      </c>
      <c r="H397" s="6">
        <v>3</v>
      </c>
      <c r="I397" s="6">
        <v>0</v>
      </c>
      <c r="J397" s="125" t="s">
        <v>322</v>
      </c>
      <c r="K397" s="1"/>
    </row>
    <row r="398" spans="1:11" ht="13.5" thickBot="1" x14ac:dyDescent="0.25">
      <c r="A398" s="6">
        <v>2</v>
      </c>
      <c r="B398" s="6">
        <v>2</v>
      </c>
      <c r="C398" s="6">
        <v>0</v>
      </c>
      <c r="D398" s="6">
        <v>0</v>
      </c>
      <c r="E398" s="6">
        <v>0</v>
      </c>
      <c r="F398" s="6">
        <v>0</v>
      </c>
      <c r="G398" s="6">
        <v>2</v>
      </c>
      <c r="H398" s="6">
        <v>2</v>
      </c>
      <c r="I398" s="6">
        <v>0</v>
      </c>
      <c r="J398" s="125" t="s">
        <v>323</v>
      </c>
      <c r="K398" s="1"/>
    </row>
    <row r="399" spans="1:11" ht="13.5" thickBot="1" x14ac:dyDescent="0.25">
      <c r="A399" s="6">
        <v>725</v>
      </c>
      <c r="B399" s="6">
        <v>54</v>
      </c>
      <c r="C399" s="6">
        <v>671</v>
      </c>
      <c r="D399" s="6">
        <v>0</v>
      </c>
      <c r="E399" s="6">
        <v>0</v>
      </c>
      <c r="F399" s="6">
        <v>0</v>
      </c>
      <c r="G399" s="6">
        <v>725</v>
      </c>
      <c r="H399" s="6">
        <v>54</v>
      </c>
      <c r="I399" s="6">
        <v>671</v>
      </c>
      <c r="J399" s="7" t="s">
        <v>232</v>
      </c>
      <c r="K399" s="1"/>
    </row>
    <row r="400" spans="1:11" ht="18" customHeight="1" x14ac:dyDescent="0.2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"/>
    </row>
    <row r="401" spans="1:11" ht="18" customHeight="1" x14ac:dyDescent="0.2">
      <c r="A401" s="159" t="s">
        <v>649</v>
      </c>
      <c r="B401" s="159"/>
      <c r="C401" s="159"/>
      <c r="D401" s="159"/>
      <c r="E401" s="159"/>
      <c r="F401" s="159"/>
      <c r="G401" s="159"/>
      <c r="H401" s="159"/>
      <c r="I401" s="159"/>
      <c r="J401" s="159"/>
      <c r="K401" s="1"/>
    </row>
    <row r="402" spans="1:11" ht="18" customHeight="1" thickBot="1" x14ac:dyDescent="0.25">
      <c r="A402" s="160" t="s">
        <v>650</v>
      </c>
      <c r="B402" s="160"/>
      <c r="C402" s="160"/>
      <c r="D402" s="160"/>
      <c r="E402" s="160"/>
      <c r="F402" s="160"/>
      <c r="G402" s="160"/>
      <c r="H402" s="160"/>
      <c r="I402" s="160"/>
      <c r="J402" s="160"/>
      <c r="K402" s="1"/>
    </row>
    <row r="403" spans="1:11" ht="13.5" thickBot="1" x14ac:dyDescent="0.25">
      <c r="A403" s="161" t="s">
        <v>5</v>
      </c>
      <c r="B403" s="161"/>
      <c r="C403" s="161"/>
      <c r="D403" s="161" t="s">
        <v>162</v>
      </c>
      <c r="E403" s="161"/>
      <c r="F403" s="161"/>
      <c r="G403" s="161" t="s">
        <v>163</v>
      </c>
      <c r="H403" s="161"/>
      <c r="I403" s="161"/>
      <c r="J403" s="47" t="s">
        <v>72</v>
      </c>
      <c r="K403" s="1"/>
    </row>
    <row r="404" spans="1:11" ht="13.5" thickBot="1" x14ac:dyDescent="0.25">
      <c r="A404" s="47" t="s">
        <v>216</v>
      </c>
      <c r="B404" s="47" t="s">
        <v>11</v>
      </c>
      <c r="C404" s="47" t="s">
        <v>10</v>
      </c>
      <c r="D404" s="47" t="s">
        <v>216</v>
      </c>
      <c r="E404" s="47" t="s">
        <v>11</v>
      </c>
      <c r="F404" s="47" t="s">
        <v>10</v>
      </c>
      <c r="G404" s="47" t="s">
        <v>216</v>
      </c>
      <c r="H404" s="47" t="s">
        <v>11</v>
      </c>
      <c r="I404" s="47" t="s">
        <v>10</v>
      </c>
      <c r="J404" s="33" t="s">
        <v>169</v>
      </c>
      <c r="K404" s="1"/>
    </row>
    <row r="405" spans="1:11" ht="13.5" thickBot="1" x14ac:dyDescent="0.25">
      <c r="A405" s="6">
        <v>131</v>
      </c>
      <c r="B405" s="6">
        <v>50</v>
      </c>
      <c r="C405" s="6">
        <v>81</v>
      </c>
      <c r="D405" s="6">
        <v>91</v>
      </c>
      <c r="E405" s="6">
        <v>32</v>
      </c>
      <c r="F405" s="6">
        <v>59</v>
      </c>
      <c r="G405" s="6">
        <v>40</v>
      </c>
      <c r="H405" s="6">
        <v>18</v>
      </c>
      <c r="I405" s="6">
        <v>22</v>
      </c>
      <c r="J405" s="125" t="s">
        <v>324</v>
      </c>
      <c r="K405" s="1"/>
    </row>
    <row r="406" spans="1:11" ht="13.5" thickBot="1" x14ac:dyDescent="0.25">
      <c r="A406" s="6">
        <v>131</v>
      </c>
      <c r="B406" s="6">
        <v>50</v>
      </c>
      <c r="C406" s="6">
        <v>81</v>
      </c>
      <c r="D406" s="6">
        <v>91</v>
      </c>
      <c r="E406" s="6">
        <v>32</v>
      </c>
      <c r="F406" s="6">
        <v>59</v>
      </c>
      <c r="G406" s="6">
        <v>40</v>
      </c>
      <c r="H406" s="6">
        <v>18</v>
      </c>
      <c r="I406" s="6">
        <v>22</v>
      </c>
      <c r="J406" s="7" t="s">
        <v>232</v>
      </c>
      <c r="K406" s="1"/>
    </row>
    <row r="407" spans="1:11" ht="18" customHeight="1" x14ac:dyDescent="0.2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"/>
    </row>
    <row r="408" spans="1:11" ht="18" customHeight="1" x14ac:dyDescent="0.2">
      <c r="A408" s="159" t="s">
        <v>649</v>
      </c>
      <c r="B408" s="159"/>
      <c r="C408" s="159"/>
      <c r="D408" s="159"/>
      <c r="E408" s="159"/>
      <c r="F408" s="159"/>
      <c r="G408" s="159"/>
      <c r="H408" s="159"/>
      <c r="I408" s="159"/>
      <c r="J408" s="159"/>
      <c r="K408" s="1"/>
    </row>
    <row r="409" spans="1:11" ht="18" customHeight="1" thickBot="1" x14ac:dyDescent="0.25">
      <c r="A409" s="160" t="s">
        <v>650</v>
      </c>
      <c r="B409" s="160"/>
      <c r="C409" s="160"/>
      <c r="D409" s="160"/>
      <c r="E409" s="160"/>
      <c r="F409" s="160"/>
      <c r="G409" s="160"/>
      <c r="H409" s="160"/>
      <c r="I409" s="160"/>
      <c r="J409" s="160"/>
      <c r="K409" s="1"/>
    </row>
    <row r="410" spans="1:11" ht="13.5" thickBot="1" x14ac:dyDescent="0.25">
      <c r="A410" s="161" t="s">
        <v>5</v>
      </c>
      <c r="B410" s="161"/>
      <c r="C410" s="161"/>
      <c r="D410" s="161" t="s">
        <v>162</v>
      </c>
      <c r="E410" s="161"/>
      <c r="F410" s="161"/>
      <c r="G410" s="161" t="s">
        <v>163</v>
      </c>
      <c r="H410" s="161"/>
      <c r="I410" s="161"/>
      <c r="J410" s="47" t="s">
        <v>72</v>
      </c>
      <c r="K410" s="1"/>
    </row>
    <row r="411" spans="1:11" ht="13.5" thickBot="1" x14ac:dyDescent="0.25">
      <c r="A411" s="47" t="s">
        <v>216</v>
      </c>
      <c r="B411" s="47" t="s">
        <v>11</v>
      </c>
      <c r="C411" s="47" t="s">
        <v>10</v>
      </c>
      <c r="D411" s="47" t="s">
        <v>216</v>
      </c>
      <c r="E411" s="47" t="s">
        <v>11</v>
      </c>
      <c r="F411" s="47" t="s">
        <v>10</v>
      </c>
      <c r="G411" s="47" t="s">
        <v>216</v>
      </c>
      <c r="H411" s="47" t="s">
        <v>11</v>
      </c>
      <c r="I411" s="47" t="s">
        <v>10</v>
      </c>
      <c r="J411" s="33" t="s">
        <v>170</v>
      </c>
      <c r="K411" s="1"/>
    </row>
    <row r="412" spans="1:11" ht="13.5" thickBot="1" x14ac:dyDescent="0.25">
      <c r="A412" s="6">
        <v>122</v>
      </c>
      <c r="B412" s="6">
        <v>0</v>
      </c>
      <c r="C412" s="6">
        <v>122</v>
      </c>
      <c r="D412" s="6">
        <v>6</v>
      </c>
      <c r="E412" s="6">
        <v>0</v>
      </c>
      <c r="F412" s="6">
        <v>6</v>
      </c>
      <c r="G412" s="6">
        <v>116</v>
      </c>
      <c r="H412" s="6">
        <v>0</v>
      </c>
      <c r="I412" s="6">
        <v>116</v>
      </c>
      <c r="J412" s="125" t="s">
        <v>325</v>
      </c>
      <c r="K412" s="1"/>
    </row>
    <row r="413" spans="1:11" ht="13.5" thickBot="1" x14ac:dyDescent="0.25">
      <c r="A413" s="6">
        <v>84</v>
      </c>
      <c r="B413" s="6">
        <v>0</v>
      </c>
      <c r="C413" s="6">
        <v>84</v>
      </c>
      <c r="D413" s="6">
        <v>9</v>
      </c>
      <c r="E413" s="6">
        <v>0</v>
      </c>
      <c r="F413" s="6">
        <v>9</v>
      </c>
      <c r="G413" s="6">
        <v>75</v>
      </c>
      <c r="H413" s="6">
        <v>0</v>
      </c>
      <c r="I413" s="6">
        <v>75</v>
      </c>
      <c r="J413" s="125" t="s">
        <v>326</v>
      </c>
      <c r="K413" s="1"/>
    </row>
    <row r="414" spans="1:11" ht="13.5" thickBot="1" x14ac:dyDescent="0.25">
      <c r="A414" s="6">
        <v>40</v>
      </c>
      <c r="B414" s="6">
        <v>13</v>
      </c>
      <c r="C414" s="6">
        <v>27</v>
      </c>
      <c r="D414" s="6">
        <v>4</v>
      </c>
      <c r="E414" s="6">
        <v>2</v>
      </c>
      <c r="F414" s="6">
        <v>2</v>
      </c>
      <c r="G414" s="6">
        <v>36</v>
      </c>
      <c r="H414" s="6">
        <v>11</v>
      </c>
      <c r="I414" s="6">
        <v>25</v>
      </c>
      <c r="J414" s="125" t="s">
        <v>527</v>
      </c>
      <c r="K414" s="1"/>
    </row>
    <row r="415" spans="1:11" ht="13.5" thickBot="1" x14ac:dyDescent="0.25">
      <c r="A415" s="6">
        <v>30</v>
      </c>
      <c r="B415" s="6">
        <v>7</v>
      </c>
      <c r="C415" s="6">
        <v>23</v>
      </c>
      <c r="D415" s="6">
        <v>0</v>
      </c>
      <c r="E415" s="6">
        <v>0</v>
      </c>
      <c r="F415" s="6">
        <v>0</v>
      </c>
      <c r="G415" s="6">
        <v>30</v>
      </c>
      <c r="H415" s="6">
        <v>7</v>
      </c>
      <c r="I415" s="6">
        <v>23</v>
      </c>
      <c r="J415" s="125" t="s">
        <v>528</v>
      </c>
      <c r="K415" s="1"/>
    </row>
    <row r="416" spans="1:11" ht="13.5" thickBot="1" x14ac:dyDescent="0.25">
      <c r="A416" s="6">
        <v>276</v>
      </c>
      <c r="B416" s="6">
        <v>20</v>
      </c>
      <c r="C416" s="6">
        <v>256</v>
      </c>
      <c r="D416" s="6">
        <v>19</v>
      </c>
      <c r="E416" s="6">
        <v>2</v>
      </c>
      <c r="F416" s="6">
        <v>17</v>
      </c>
      <c r="G416" s="6">
        <v>257</v>
      </c>
      <c r="H416" s="6">
        <v>18</v>
      </c>
      <c r="I416" s="6">
        <v>239</v>
      </c>
      <c r="J416" s="7" t="s">
        <v>232</v>
      </c>
      <c r="K416" s="1"/>
    </row>
    <row r="417" spans="1:11" ht="18" customHeight="1" x14ac:dyDescent="0.2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"/>
    </row>
    <row r="418" spans="1:11" ht="18" customHeight="1" x14ac:dyDescent="0.2">
      <c r="A418" s="159" t="s">
        <v>649</v>
      </c>
      <c r="B418" s="159"/>
      <c r="C418" s="159"/>
      <c r="D418" s="159"/>
      <c r="E418" s="159"/>
      <c r="F418" s="159"/>
      <c r="G418" s="159"/>
      <c r="H418" s="159"/>
      <c r="I418" s="159"/>
      <c r="J418" s="159"/>
      <c r="K418" s="1"/>
    </row>
    <row r="419" spans="1:11" ht="18" customHeight="1" thickBot="1" x14ac:dyDescent="0.25">
      <c r="A419" s="160" t="s">
        <v>650</v>
      </c>
      <c r="B419" s="160"/>
      <c r="C419" s="160"/>
      <c r="D419" s="160"/>
      <c r="E419" s="160"/>
      <c r="F419" s="160"/>
      <c r="G419" s="160"/>
      <c r="H419" s="160"/>
      <c r="I419" s="160"/>
      <c r="J419" s="160"/>
      <c r="K419" s="1"/>
    </row>
    <row r="420" spans="1:11" ht="13.5" thickBot="1" x14ac:dyDescent="0.25">
      <c r="A420" s="161" t="s">
        <v>5</v>
      </c>
      <c r="B420" s="161"/>
      <c r="C420" s="161"/>
      <c r="D420" s="161" t="s">
        <v>162</v>
      </c>
      <c r="E420" s="161"/>
      <c r="F420" s="161"/>
      <c r="G420" s="161" t="s">
        <v>163</v>
      </c>
      <c r="H420" s="161"/>
      <c r="I420" s="161"/>
      <c r="J420" s="47" t="s">
        <v>72</v>
      </c>
      <c r="K420" s="1"/>
    </row>
    <row r="421" spans="1:11" ht="13.5" thickBot="1" x14ac:dyDescent="0.25">
      <c r="A421" s="47" t="s">
        <v>216</v>
      </c>
      <c r="B421" s="47" t="s">
        <v>11</v>
      </c>
      <c r="C421" s="47" t="s">
        <v>10</v>
      </c>
      <c r="D421" s="47" t="s">
        <v>216</v>
      </c>
      <c r="E421" s="47" t="s">
        <v>11</v>
      </c>
      <c r="F421" s="47" t="s">
        <v>10</v>
      </c>
      <c r="G421" s="47" t="s">
        <v>216</v>
      </c>
      <c r="H421" s="47" t="s">
        <v>11</v>
      </c>
      <c r="I421" s="47" t="s">
        <v>10</v>
      </c>
      <c r="J421" s="33" t="s">
        <v>171</v>
      </c>
      <c r="K421" s="1"/>
    </row>
    <row r="422" spans="1:11" ht="13.5" thickBot="1" x14ac:dyDescent="0.25">
      <c r="A422" s="6">
        <v>370</v>
      </c>
      <c r="B422" s="6">
        <v>41</v>
      </c>
      <c r="C422" s="6">
        <v>329</v>
      </c>
      <c r="D422" s="6">
        <v>14</v>
      </c>
      <c r="E422" s="6">
        <v>0</v>
      </c>
      <c r="F422" s="6">
        <v>14</v>
      </c>
      <c r="G422" s="6">
        <v>356</v>
      </c>
      <c r="H422" s="6">
        <v>41</v>
      </c>
      <c r="I422" s="6">
        <v>315</v>
      </c>
      <c r="J422" s="125" t="s">
        <v>171</v>
      </c>
      <c r="K422" s="1"/>
    </row>
    <row r="423" spans="1:11" ht="13.5" thickBot="1" x14ac:dyDescent="0.25">
      <c r="A423" s="6">
        <v>370</v>
      </c>
      <c r="B423" s="6">
        <v>41</v>
      </c>
      <c r="C423" s="6">
        <v>329</v>
      </c>
      <c r="D423" s="6">
        <v>14</v>
      </c>
      <c r="E423" s="6">
        <v>0</v>
      </c>
      <c r="F423" s="6">
        <v>14</v>
      </c>
      <c r="G423" s="6">
        <v>356</v>
      </c>
      <c r="H423" s="6">
        <v>41</v>
      </c>
      <c r="I423" s="6">
        <v>315</v>
      </c>
      <c r="J423" s="7" t="s">
        <v>232</v>
      </c>
      <c r="K423" s="1"/>
    </row>
    <row r="424" spans="1:11" ht="18" customHeight="1" x14ac:dyDescent="0.2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"/>
    </row>
    <row r="425" spans="1:11" ht="18" customHeight="1" x14ac:dyDescent="0.2">
      <c r="A425" s="159" t="s">
        <v>649</v>
      </c>
      <c r="B425" s="159"/>
      <c r="C425" s="159"/>
      <c r="D425" s="159"/>
      <c r="E425" s="159"/>
      <c r="F425" s="159"/>
      <c r="G425" s="159"/>
      <c r="H425" s="159"/>
      <c r="I425" s="159"/>
      <c r="J425" s="159"/>
      <c r="K425" s="1"/>
    </row>
    <row r="426" spans="1:11" ht="18" customHeight="1" thickBot="1" x14ac:dyDescent="0.25">
      <c r="A426" s="160" t="s">
        <v>650</v>
      </c>
      <c r="B426" s="160"/>
      <c r="C426" s="160"/>
      <c r="D426" s="160"/>
      <c r="E426" s="160"/>
      <c r="F426" s="160"/>
      <c r="G426" s="160"/>
      <c r="H426" s="160"/>
      <c r="I426" s="160"/>
      <c r="J426" s="160"/>
      <c r="K426" s="1"/>
    </row>
    <row r="427" spans="1:11" ht="13.5" thickBot="1" x14ac:dyDescent="0.25">
      <c r="A427" s="161" t="s">
        <v>5</v>
      </c>
      <c r="B427" s="161"/>
      <c r="C427" s="161"/>
      <c r="D427" s="161" t="s">
        <v>162</v>
      </c>
      <c r="E427" s="161"/>
      <c r="F427" s="161"/>
      <c r="G427" s="161" t="s">
        <v>163</v>
      </c>
      <c r="H427" s="161"/>
      <c r="I427" s="161"/>
      <c r="J427" s="47" t="s">
        <v>72</v>
      </c>
      <c r="K427" s="1"/>
    </row>
    <row r="428" spans="1:11" ht="13.5" thickBot="1" x14ac:dyDescent="0.25">
      <c r="A428" s="47" t="s">
        <v>216</v>
      </c>
      <c r="B428" s="47" t="s">
        <v>11</v>
      </c>
      <c r="C428" s="47" t="s">
        <v>10</v>
      </c>
      <c r="D428" s="47" t="s">
        <v>216</v>
      </c>
      <c r="E428" s="47" t="s">
        <v>11</v>
      </c>
      <c r="F428" s="47" t="s">
        <v>10</v>
      </c>
      <c r="G428" s="47" t="s">
        <v>216</v>
      </c>
      <c r="H428" s="47" t="s">
        <v>11</v>
      </c>
      <c r="I428" s="47" t="s">
        <v>10</v>
      </c>
      <c r="J428" s="33" t="s">
        <v>173</v>
      </c>
      <c r="K428" s="1"/>
    </row>
    <row r="429" spans="1:11" ht="13.5" thickBot="1" x14ac:dyDescent="0.25">
      <c r="A429" s="6">
        <v>123</v>
      </c>
      <c r="B429" s="6">
        <v>53</v>
      </c>
      <c r="C429" s="6">
        <v>70</v>
      </c>
      <c r="D429" s="6">
        <v>45</v>
      </c>
      <c r="E429" s="6">
        <v>4</v>
      </c>
      <c r="F429" s="6">
        <v>41</v>
      </c>
      <c r="G429" s="6">
        <v>78</v>
      </c>
      <c r="H429" s="6">
        <v>49</v>
      </c>
      <c r="I429" s="6">
        <v>29</v>
      </c>
      <c r="J429" s="125" t="s">
        <v>138</v>
      </c>
      <c r="K429" s="1"/>
    </row>
    <row r="430" spans="1:11" ht="13.5" thickBot="1" x14ac:dyDescent="0.25">
      <c r="A430" s="6">
        <v>74</v>
      </c>
      <c r="B430" s="6">
        <v>27</v>
      </c>
      <c r="C430" s="6">
        <v>47</v>
      </c>
      <c r="D430" s="6">
        <v>43</v>
      </c>
      <c r="E430" s="6">
        <v>19</v>
      </c>
      <c r="F430" s="6">
        <v>24</v>
      </c>
      <c r="G430" s="6">
        <v>31</v>
      </c>
      <c r="H430" s="6">
        <v>8</v>
      </c>
      <c r="I430" s="6">
        <v>23</v>
      </c>
      <c r="J430" s="125" t="s">
        <v>140</v>
      </c>
      <c r="K430" s="1"/>
    </row>
    <row r="431" spans="1:11" ht="13.5" thickBot="1" x14ac:dyDescent="0.25">
      <c r="A431" s="6">
        <v>118</v>
      </c>
      <c r="B431" s="6">
        <v>107</v>
      </c>
      <c r="C431" s="6">
        <v>11</v>
      </c>
      <c r="D431" s="6">
        <v>47</v>
      </c>
      <c r="E431" s="6">
        <v>39</v>
      </c>
      <c r="F431" s="6">
        <v>8</v>
      </c>
      <c r="G431" s="6">
        <v>71</v>
      </c>
      <c r="H431" s="6">
        <v>68</v>
      </c>
      <c r="I431" s="6">
        <v>3</v>
      </c>
      <c r="J431" s="125" t="s">
        <v>141</v>
      </c>
      <c r="K431" s="1"/>
    </row>
    <row r="432" spans="1:11" ht="13.5" thickBot="1" x14ac:dyDescent="0.25">
      <c r="A432" s="6">
        <v>211</v>
      </c>
      <c r="B432" s="6">
        <v>107</v>
      </c>
      <c r="C432" s="6">
        <v>104</v>
      </c>
      <c r="D432" s="6">
        <v>138</v>
      </c>
      <c r="E432" s="6">
        <v>66</v>
      </c>
      <c r="F432" s="6">
        <v>72</v>
      </c>
      <c r="G432" s="6">
        <v>73</v>
      </c>
      <c r="H432" s="6">
        <v>41</v>
      </c>
      <c r="I432" s="6">
        <v>32</v>
      </c>
      <c r="J432" s="125" t="s">
        <v>142</v>
      </c>
      <c r="K432" s="1"/>
    </row>
    <row r="433" spans="1:11" ht="13.5" thickBot="1" x14ac:dyDescent="0.25">
      <c r="A433" s="6">
        <v>26</v>
      </c>
      <c r="B433" s="6">
        <v>0</v>
      </c>
      <c r="C433" s="6">
        <v>26</v>
      </c>
      <c r="D433" s="6">
        <v>16</v>
      </c>
      <c r="E433" s="6">
        <v>0</v>
      </c>
      <c r="F433" s="6">
        <v>16</v>
      </c>
      <c r="G433" s="6">
        <v>10</v>
      </c>
      <c r="H433" s="6">
        <v>0</v>
      </c>
      <c r="I433" s="6">
        <v>10</v>
      </c>
      <c r="J433" s="125" t="s">
        <v>143</v>
      </c>
      <c r="K433" s="1"/>
    </row>
    <row r="434" spans="1:11" ht="13.5" thickBot="1" x14ac:dyDescent="0.25">
      <c r="A434" s="6">
        <v>111</v>
      </c>
      <c r="B434" s="6">
        <v>105</v>
      </c>
      <c r="C434" s="6">
        <v>6</v>
      </c>
      <c r="D434" s="6">
        <v>47</v>
      </c>
      <c r="E434" s="6">
        <v>43</v>
      </c>
      <c r="F434" s="6">
        <v>4</v>
      </c>
      <c r="G434" s="6">
        <v>64</v>
      </c>
      <c r="H434" s="6">
        <v>62</v>
      </c>
      <c r="I434" s="6">
        <v>2</v>
      </c>
      <c r="J434" s="125" t="s">
        <v>144</v>
      </c>
      <c r="K434" s="1"/>
    </row>
    <row r="435" spans="1:11" ht="13.5" thickBot="1" x14ac:dyDescent="0.25">
      <c r="A435" s="6">
        <v>17</v>
      </c>
      <c r="B435" s="6">
        <v>0</v>
      </c>
      <c r="C435" s="6">
        <v>17</v>
      </c>
      <c r="D435" s="6">
        <v>8</v>
      </c>
      <c r="E435" s="6">
        <v>0</v>
      </c>
      <c r="F435" s="6">
        <v>8</v>
      </c>
      <c r="G435" s="6">
        <v>9</v>
      </c>
      <c r="H435" s="6">
        <v>0</v>
      </c>
      <c r="I435" s="6">
        <v>9</v>
      </c>
      <c r="J435" s="125" t="s">
        <v>145</v>
      </c>
      <c r="K435" s="1"/>
    </row>
    <row r="436" spans="1:11" ht="13.5" thickBot="1" x14ac:dyDescent="0.25">
      <c r="A436" s="6">
        <v>22</v>
      </c>
      <c r="B436" s="6">
        <v>0</v>
      </c>
      <c r="C436" s="6">
        <v>22</v>
      </c>
      <c r="D436" s="6">
        <v>6</v>
      </c>
      <c r="E436" s="6">
        <v>0</v>
      </c>
      <c r="F436" s="6">
        <v>6</v>
      </c>
      <c r="G436" s="6">
        <v>16</v>
      </c>
      <c r="H436" s="6">
        <v>0</v>
      </c>
      <c r="I436" s="6">
        <v>16</v>
      </c>
      <c r="J436" s="125" t="s">
        <v>146</v>
      </c>
      <c r="K436" s="1"/>
    </row>
    <row r="437" spans="1:11" ht="13.5" thickBot="1" x14ac:dyDescent="0.25">
      <c r="A437" s="6">
        <v>6</v>
      </c>
      <c r="B437" s="6">
        <v>6</v>
      </c>
      <c r="C437" s="6">
        <v>0</v>
      </c>
      <c r="D437" s="6">
        <v>3</v>
      </c>
      <c r="E437" s="6">
        <v>3</v>
      </c>
      <c r="F437" s="6">
        <v>0</v>
      </c>
      <c r="G437" s="6">
        <v>3</v>
      </c>
      <c r="H437" s="6">
        <v>3</v>
      </c>
      <c r="I437" s="6">
        <v>0</v>
      </c>
      <c r="J437" s="125" t="s">
        <v>148</v>
      </c>
      <c r="K437" s="1"/>
    </row>
    <row r="438" spans="1:11" ht="13.5" thickBot="1" x14ac:dyDescent="0.25">
      <c r="A438" s="6">
        <v>134</v>
      </c>
      <c r="B438" s="6">
        <v>73</v>
      </c>
      <c r="C438" s="6">
        <v>61</v>
      </c>
      <c r="D438" s="6">
        <v>103</v>
      </c>
      <c r="E438" s="6">
        <v>57</v>
      </c>
      <c r="F438" s="6">
        <v>46</v>
      </c>
      <c r="G438" s="6">
        <v>31</v>
      </c>
      <c r="H438" s="6">
        <v>16</v>
      </c>
      <c r="I438" s="6">
        <v>15</v>
      </c>
      <c r="J438" s="125" t="s">
        <v>149</v>
      </c>
      <c r="K438" s="1"/>
    </row>
    <row r="439" spans="1:11" ht="13.5" thickBot="1" x14ac:dyDescent="0.25">
      <c r="A439" s="6">
        <v>28</v>
      </c>
      <c r="B439" s="6">
        <v>10</v>
      </c>
      <c r="C439" s="6">
        <v>18</v>
      </c>
      <c r="D439" s="6">
        <v>12</v>
      </c>
      <c r="E439" s="6">
        <v>3</v>
      </c>
      <c r="F439" s="6">
        <v>9</v>
      </c>
      <c r="G439" s="6">
        <v>16</v>
      </c>
      <c r="H439" s="6">
        <v>7</v>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/v>
      </c>
      <c r="B440" s="6">
        <v>0</v>
      </c>
      <c r="C440" s="6">
        <v>7</v>
      </c>
      <c r="D440" s="6">
        <v>1</v>
      </c>
      <c r="E440" s="6">
        <v>0</v>
      </c>
      <c r="F440" s="6">
        <v>1</v>
      </c>
      <c r="G440" s="6">
        <v>6</v>
      </c>
      <c r="H440" s="6">
        <v>0</v>
      </c>
      <c r="I440" s="6">
        <v>6</v>
      </c>
      <c r="J440" s="125" t="s">
        <v>151</v>
      </c>
      <c r="K440" s="1"/>
    </row>
    <row r="441" spans="1:11" ht="13.5" thickBot="1" x14ac:dyDescent="0.25">
      <c r="A441" s="6">
        <v>27</v>
      </c>
      <c r="B441" s="6">
        <v>7</v>
      </c>
      <c r="C441" s="6">
        <v>20</v>
      </c>
      <c r="D441" s="6">
        <v>8</v>
      </c>
      <c r="E441" s="6">
        <v>1</v>
      </c>
      <c r="F441" s="6">
        <v>7</v>
      </c>
      <c r="G441" s="6">
        <v>19</v>
      </c>
      <c r="H441" s="6">
        <v>6</v>
      </c>
      <c r="I441" s="6">
        <v>13</v>
      </c>
      <c r="J441" s="125" t="s">
        <v>152</v>
      </c>
      <c r="K441" s="1"/>
    </row>
    <row r="442" spans="1:11" ht="13.5" thickBot="1" x14ac:dyDescent="0.25">
      <c r="A442" s="6">
        <v>19</v>
      </c>
      <c r="B442" s="6">
        <v>0</v>
      </c>
      <c r="C442" s="6">
        <v>19</v>
      </c>
      <c r="D442" s="6">
        <v>7</v>
      </c>
      <c r="E442" s="6">
        <v>0</v>
      </c>
      <c r="F442" s="6">
        <v>7</v>
      </c>
      <c r="G442" s="6">
        <v>12</v>
      </c>
      <c r="H442" s="6">
        <v>0</v>
      </c>
      <c r="I442" s="6">
        <v>12</v>
      </c>
      <c r="J442" s="125" t="s">
        <v>153</v>
      </c>
      <c r="K442" s="1"/>
    </row>
    <row r="443" spans="1:11" ht="13.5" thickBot="1" x14ac:dyDescent="0.25">
      <c r="A443" s="6">
        <v>56</v>
      </c>
      <c r="B443" s="6">
        <v>23</v>
      </c>
      <c r="C443" s="6">
        <v>33</v>
      </c>
      <c r="D443" s="6">
        <v>38</v>
      </c>
      <c r="E443" s="6">
        <v>13</v>
      </c>
      <c r="F443" s="6">
        <v>25</v>
      </c>
      <c r="G443" s="6">
        <v>18</v>
      </c>
      <c r="H443" s="6">
        <v>10</v>
      </c>
      <c r="I443" s="6">
        <v>8</v>
      </c>
      <c r="J443" s="125" t="s">
        <v>154</v>
      </c>
      <c r="K443" s="1"/>
    </row>
    <row r="444" spans="1:11" ht="13.5" thickBot="1" x14ac:dyDescent="0.25">
      <c r="A444" s="6">
        <v>25</v>
      </c>
      <c r="B444" s="6">
        <v>25</v>
      </c>
      <c r="C444" s="6">
        <v>0</v>
      </c>
      <c r="D444" s="6">
        <v>6</v>
      </c>
      <c r="E444" s="6">
        <v>6</v>
      </c>
      <c r="F444" s="6">
        <v>0</v>
      </c>
      <c r="G444" s="6">
        <v>19</v>
      </c>
      <c r="H444" s="6">
        <v>19</v>
      </c>
      <c r="I444" s="6">
        <v>0</v>
      </c>
      <c r="J444" s="125" t="s">
        <v>155</v>
      </c>
      <c r="K444" s="1"/>
    </row>
    <row r="445" spans="1:11" ht="13.5" thickBot="1" x14ac:dyDescent="0.25">
      <c r="A445" s="6">
        <v>12</v>
      </c>
      <c r="B445" s="6">
        <v>10</v>
      </c>
      <c r="C445" s="6">
        <v>2</v>
      </c>
      <c r="D445" s="6">
        <v>6</v>
      </c>
      <c r="E445" s="6">
        <v>5</v>
      </c>
      <c r="F445" s="6">
        <v>1</v>
      </c>
      <c r="G445" s="6">
        <v>6</v>
      </c>
      <c r="H445" s="6">
        <v>5</v>
      </c>
      <c r="I445" s="6">
        <v>1</v>
      </c>
      <c r="J445" s="125" t="s">
        <v>156</v>
      </c>
      <c r="K445" s="1"/>
    </row>
    <row r="446" spans="1:11" ht="13.5" thickBot="1" x14ac:dyDescent="0.25">
      <c r="A446" s="6">
        <v>19</v>
      </c>
      <c r="B446" s="6">
        <v>14</v>
      </c>
      <c r="C446" s="6">
        <v>5</v>
      </c>
      <c r="D446" s="6">
        <v>9</v>
      </c>
      <c r="E446" s="6">
        <v>5</v>
      </c>
      <c r="F446" s="6">
        <v>4</v>
      </c>
      <c r="G446" s="6">
        <v>10</v>
      </c>
      <c r="H446" s="6">
        <v>9</v>
      </c>
      <c r="I446" s="6">
        <v>1</v>
      </c>
      <c r="J446" s="125" t="s">
        <v>157</v>
      </c>
      <c r="K446" s="1"/>
    </row>
    <row r="447" spans="1:11" ht="13.5" thickBot="1" x14ac:dyDescent="0.25">
      <c r="A447" s="6">
        <v>1035</v>
      </c>
      <c r="B447" s="6">
        <v>567</v>
      </c>
      <c r="C447" s="6">
        <v>468</v>
      </c>
      <c r="D447" s="6">
        <v>543</v>
      </c>
      <c r="E447" s="6">
        <v>264</v>
      </c>
      <c r="F447" s="6">
        <v>279</v>
      </c>
      <c r="G447" s="6">
        <v>492</v>
      </c>
      <c r="H447" s="6">
        <v>303</v>
      </c>
      <c r="I447" s="6">
        <v>189</v>
      </c>
      <c r="J447" s="7" t="s">
        <v>232</v>
      </c>
      <c r="K447" s="1"/>
    </row>
    <row r="448" spans="1:11" ht="18" customHeight="1" x14ac:dyDescent="0.2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"/>
    </row>
  </sheetData>
  <mergeCells count="150">
    <mergeCell ref="A1:J1"/>
    <mergeCell ref="A2:J2"/>
    <mergeCell ref="A3:C3"/>
    <mergeCell ref="D3:F3"/>
    <mergeCell ref="G3:I3"/>
    <mergeCell ref="A7:J7"/>
    <mergeCell ref="A15:J15"/>
    <mergeCell ref="A16:J16"/>
    <mergeCell ref="A17:C17"/>
    <mergeCell ref="D17:F17"/>
    <mergeCell ref="G17:I17"/>
    <mergeCell ref="A35:J35"/>
    <mergeCell ref="A8:J8"/>
    <mergeCell ref="A9:J9"/>
    <mergeCell ref="A10:C10"/>
    <mergeCell ref="D10:F10"/>
    <mergeCell ref="G10:I10"/>
    <mergeCell ref="A14:J14"/>
    <mergeCell ref="A69:J69"/>
    <mergeCell ref="A70:J70"/>
    <mergeCell ref="A71:C71"/>
    <mergeCell ref="D71:F71"/>
    <mergeCell ref="G71:I71"/>
    <mergeCell ref="A98:J98"/>
    <mergeCell ref="A36:J36"/>
    <mergeCell ref="A37:J37"/>
    <mergeCell ref="A38:C38"/>
    <mergeCell ref="D38:F38"/>
    <mergeCell ref="G38:I38"/>
    <mergeCell ref="A68:J68"/>
    <mergeCell ref="A115:J115"/>
    <mergeCell ref="A116:J116"/>
    <mergeCell ref="A117:C117"/>
    <mergeCell ref="D117:F117"/>
    <mergeCell ref="G117:I117"/>
    <mergeCell ref="A153:J153"/>
    <mergeCell ref="A99:J99"/>
    <mergeCell ref="A100:J100"/>
    <mergeCell ref="A101:C101"/>
    <mergeCell ref="D101:F101"/>
    <mergeCell ref="G101:I101"/>
    <mergeCell ref="A114:J114"/>
    <mergeCell ref="A175:J175"/>
    <mergeCell ref="A176:J176"/>
    <mergeCell ref="A177:C177"/>
    <mergeCell ref="D177:F177"/>
    <mergeCell ref="G177:I177"/>
    <mergeCell ref="A206:J206"/>
    <mergeCell ref="A154:J154"/>
    <mergeCell ref="A155:J155"/>
    <mergeCell ref="A156:C156"/>
    <mergeCell ref="D156:F156"/>
    <mergeCell ref="G156:I156"/>
    <mergeCell ref="A174:J174"/>
    <mergeCell ref="A220:J220"/>
    <mergeCell ref="A221:J221"/>
    <mergeCell ref="A222:C222"/>
    <mergeCell ref="D222:F222"/>
    <mergeCell ref="G222:I222"/>
    <mergeCell ref="A226:J226"/>
    <mergeCell ref="A207:J207"/>
    <mergeCell ref="A208:J208"/>
    <mergeCell ref="A209:C209"/>
    <mergeCell ref="D209:F209"/>
    <mergeCell ref="G209:I209"/>
    <mergeCell ref="A219:J219"/>
    <mergeCell ref="A237:J237"/>
    <mergeCell ref="A238:J238"/>
    <mergeCell ref="A239:C239"/>
    <mergeCell ref="D239:F239"/>
    <mergeCell ref="G239:I239"/>
    <mergeCell ref="A258:J258"/>
    <mergeCell ref="A227:J227"/>
    <mergeCell ref="A228:J228"/>
    <mergeCell ref="A229:C229"/>
    <mergeCell ref="D229:F229"/>
    <mergeCell ref="G229:I229"/>
    <mergeCell ref="A236:J236"/>
    <mergeCell ref="A272:J272"/>
    <mergeCell ref="A273:J273"/>
    <mergeCell ref="A274:C274"/>
    <mergeCell ref="D274:F274"/>
    <mergeCell ref="G274:I274"/>
    <mergeCell ref="A287:J287"/>
    <mergeCell ref="A259:J259"/>
    <mergeCell ref="A260:J260"/>
    <mergeCell ref="A261:C261"/>
    <mergeCell ref="D261:F261"/>
    <mergeCell ref="G261:I261"/>
    <mergeCell ref="A271:J271"/>
    <mergeCell ref="A304:J304"/>
    <mergeCell ref="A305:J305"/>
    <mergeCell ref="A306:C306"/>
    <mergeCell ref="D306:F306"/>
    <mergeCell ref="G306:I306"/>
    <mergeCell ref="A316:J316"/>
    <mergeCell ref="A288:J288"/>
    <mergeCell ref="A289:J289"/>
    <mergeCell ref="A290:C290"/>
    <mergeCell ref="D290:F290"/>
    <mergeCell ref="G290:I290"/>
    <mergeCell ref="A303:J303"/>
    <mergeCell ref="A327:J327"/>
    <mergeCell ref="A328:J328"/>
    <mergeCell ref="A329:C329"/>
    <mergeCell ref="D329:F329"/>
    <mergeCell ref="G329:I329"/>
    <mergeCell ref="A339:J339"/>
    <mergeCell ref="A317:J317"/>
    <mergeCell ref="A318:J318"/>
    <mergeCell ref="A319:C319"/>
    <mergeCell ref="D319:F319"/>
    <mergeCell ref="G319:I319"/>
    <mergeCell ref="A326:J326"/>
    <mergeCell ref="A351:J351"/>
    <mergeCell ref="A352:J352"/>
    <mergeCell ref="A353:C353"/>
    <mergeCell ref="D353:F353"/>
    <mergeCell ref="G353:I353"/>
    <mergeCell ref="A400:J400"/>
    <mergeCell ref="A340:J340"/>
    <mergeCell ref="A341:J341"/>
    <mergeCell ref="A342:C342"/>
    <mergeCell ref="D342:F342"/>
    <mergeCell ref="G342:I342"/>
    <mergeCell ref="A350:J350"/>
    <mergeCell ref="A408:J408"/>
    <mergeCell ref="A409:J409"/>
    <mergeCell ref="A410:C410"/>
    <mergeCell ref="D410:F410"/>
    <mergeCell ref="G410:I410"/>
    <mergeCell ref="A417:J417"/>
    <mergeCell ref="A401:J401"/>
    <mergeCell ref="A402:J402"/>
    <mergeCell ref="A403:C403"/>
    <mergeCell ref="D403:F403"/>
    <mergeCell ref="G403:I403"/>
    <mergeCell ref="A407:J407"/>
    <mergeCell ref="A425:J425"/>
    <mergeCell ref="A426:J426"/>
    <mergeCell ref="A427:C427"/>
    <mergeCell ref="D427:F427"/>
    <mergeCell ref="G427:I427"/>
    <mergeCell ref="A448:J448"/>
    <mergeCell ref="A418:J418"/>
    <mergeCell ref="A419:J419"/>
    <mergeCell ref="A420:C420"/>
    <mergeCell ref="D420:F420"/>
    <mergeCell ref="G420:I420"/>
    <mergeCell ref="A424:J424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83"/>
  <sheetViews>
    <sheetView showGridLines="0" topLeftCell="A79" zoomScale="80" zoomScaleNormal="80" workbookViewId="0">
      <selection activeCell="Z38" sqref="Z38"/>
    </sheetView>
  </sheetViews>
  <sheetFormatPr defaultRowHeight="12.75" x14ac:dyDescent="0.2"/>
  <cols>
    <col min="1" max="3" width="6.125" style="2" customWidth="1"/>
    <col min="4" max="18" width="4.875" style="2" customWidth="1"/>
    <col min="19" max="19" width="9.625" style="2" customWidth="1"/>
    <col min="20" max="20" width="35.75" style="2" customWidth="1"/>
    <col min="21" max="21" width="1.375" style="2" customWidth="1"/>
    <col min="22" max="22" width="9" style="2"/>
    <col min="23" max="24" width="5" style="2" bestFit="1" customWidth="1"/>
    <col min="25" max="256" width="9" style="2"/>
    <col min="257" max="259" width="6.125" style="2" customWidth="1"/>
    <col min="260" max="274" width="4.875" style="2" customWidth="1"/>
    <col min="275" max="275" width="9.625" style="2" customWidth="1"/>
    <col min="276" max="276" width="35.75" style="2" customWidth="1"/>
    <col min="277" max="277" width="1.375" style="2" customWidth="1"/>
    <col min="278" max="278" width="9" style="2"/>
    <col min="279" max="280" width="5" style="2" bestFit="1" customWidth="1"/>
    <col min="281" max="512" width="9" style="2"/>
    <col min="513" max="515" width="6.125" style="2" customWidth="1"/>
    <col min="516" max="530" width="4.875" style="2" customWidth="1"/>
    <col min="531" max="531" width="9.625" style="2" customWidth="1"/>
    <col min="532" max="532" width="35.75" style="2" customWidth="1"/>
    <col min="533" max="533" width="1.375" style="2" customWidth="1"/>
    <col min="534" max="534" width="9" style="2"/>
    <col min="535" max="536" width="5" style="2" bestFit="1" customWidth="1"/>
    <col min="537" max="768" width="9" style="2"/>
    <col min="769" max="771" width="6.125" style="2" customWidth="1"/>
    <col min="772" max="786" width="4.875" style="2" customWidth="1"/>
    <col min="787" max="787" width="9.625" style="2" customWidth="1"/>
    <col min="788" max="788" width="35.75" style="2" customWidth="1"/>
    <col min="789" max="789" width="1.375" style="2" customWidth="1"/>
    <col min="790" max="790" width="9" style="2"/>
    <col min="791" max="792" width="5" style="2" bestFit="1" customWidth="1"/>
    <col min="793" max="1024" width="9" style="2"/>
    <col min="1025" max="1027" width="6.125" style="2" customWidth="1"/>
    <col min="1028" max="1042" width="4.875" style="2" customWidth="1"/>
    <col min="1043" max="1043" width="9.625" style="2" customWidth="1"/>
    <col min="1044" max="1044" width="35.75" style="2" customWidth="1"/>
    <col min="1045" max="1045" width="1.375" style="2" customWidth="1"/>
    <col min="1046" max="1046" width="9" style="2"/>
    <col min="1047" max="1048" width="5" style="2" bestFit="1" customWidth="1"/>
    <col min="1049" max="1280" width="9" style="2"/>
    <col min="1281" max="1283" width="6.125" style="2" customWidth="1"/>
    <col min="1284" max="1298" width="4.875" style="2" customWidth="1"/>
    <col min="1299" max="1299" width="9.625" style="2" customWidth="1"/>
    <col min="1300" max="1300" width="35.75" style="2" customWidth="1"/>
    <col min="1301" max="1301" width="1.375" style="2" customWidth="1"/>
    <col min="1302" max="1302" width="9" style="2"/>
    <col min="1303" max="1304" width="5" style="2" bestFit="1" customWidth="1"/>
    <col min="1305" max="1536" width="9" style="2"/>
    <col min="1537" max="1539" width="6.125" style="2" customWidth="1"/>
    <col min="1540" max="1554" width="4.875" style="2" customWidth="1"/>
    <col min="1555" max="1555" width="9.625" style="2" customWidth="1"/>
    <col min="1556" max="1556" width="35.75" style="2" customWidth="1"/>
    <col min="1557" max="1557" width="1.375" style="2" customWidth="1"/>
    <col min="1558" max="1558" width="9" style="2"/>
    <col min="1559" max="1560" width="5" style="2" bestFit="1" customWidth="1"/>
    <col min="1561" max="1792" width="9" style="2"/>
    <col min="1793" max="1795" width="6.125" style="2" customWidth="1"/>
    <col min="1796" max="1810" width="4.875" style="2" customWidth="1"/>
    <col min="1811" max="1811" width="9.625" style="2" customWidth="1"/>
    <col min="1812" max="1812" width="35.75" style="2" customWidth="1"/>
    <col min="1813" max="1813" width="1.375" style="2" customWidth="1"/>
    <col min="1814" max="1814" width="9" style="2"/>
    <col min="1815" max="1816" width="5" style="2" bestFit="1" customWidth="1"/>
    <col min="1817" max="2048" width="9" style="2"/>
    <col min="2049" max="2051" width="6.125" style="2" customWidth="1"/>
    <col min="2052" max="2066" width="4.875" style="2" customWidth="1"/>
    <col min="2067" max="2067" width="9.625" style="2" customWidth="1"/>
    <col min="2068" max="2068" width="35.75" style="2" customWidth="1"/>
    <col min="2069" max="2069" width="1.375" style="2" customWidth="1"/>
    <col min="2070" max="2070" width="9" style="2"/>
    <col min="2071" max="2072" width="5" style="2" bestFit="1" customWidth="1"/>
    <col min="2073" max="2304" width="9" style="2"/>
    <col min="2305" max="2307" width="6.125" style="2" customWidth="1"/>
    <col min="2308" max="2322" width="4.875" style="2" customWidth="1"/>
    <col min="2323" max="2323" width="9.625" style="2" customWidth="1"/>
    <col min="2324" max="2324" width="35.75" style="2" customWidth="1"/>
    <col min="2325" max="2325" width="1.375" style="2" customWidth="1"/>
    <col min="2326" max="2326" width="9" style="2"/>
    <col min="2327" max="2328" width="5" style="2" bestFit="1" customWidth="1"/>
    <col min="2329" max="2560" width="9" style="2"/>
    <col min="2561" max="2563" width="6.125" style="2" customWidth="1"/>
    <col min="2564" max="2578" width="4.875" style="2" customWidth="1"/>
    <col min="2579" max="2579" width="9.625" style="2" customWidth="1"/>
    <col min="2580" max="2580" width="35.75" style="2" customWidth="1"/>
    <col min="2581" max="2581" width="1.375" style="2" customWidth="1"/>
    <col min="2582" max="2582" width="9" style="2"/>
    <col min="2583" max="2584" width="5" style="2" bestFit="1" customWidth="1"/>
    <col min="2585" max="2816" width="9" style="2"/>
    <col min="2817" max="2819" width="6.125" style="2" customWidth="1"/>
    <col min="2820" max="2834" width="4.875" style="2" customWidth="1"/>
    <col min="2835" max="2835" width="9.625" style="2" customWidth="1"/>
    <col min="2836" max="2836" width="35.75" style="2" customWidth="1"/>
    <col min="2837" max="2837" width="1.375" style="2" customWidth="1"/>
    <col min="2838" max="2838" width="9" style="2"/>
    <col min="2839" max="2840" width="5" style="2" bestFit="1" customWidth="1"/>
    <col min="2841" max="3072" width="9" style="2"/>
    <col min="3073" max="3075" width="6.125" style="2" customWidth="1"/>
    <col min="3076" max="3090" width="4.875" style="2" customWidth="1"/>
    <col min="3091" max="3091" width="9.625" style="2" customWidth="1"/>
    <col min="3092" max="3092" width="35.75" style="2" customWidth="1"/>
    <col min="3093" max="3093" width="1.375" style="2" customWidth="1"/>
    <col min="3094" max="3094" width="9" style="2"/>
    <col min="3095" max="3096" width="5" style="2" bestFit="1" customWidth="1"/>
    <col min="3097" max="3328" width="9" style="2"/>
    <col min="3329" max="3331" width="6.125" style="2" customWidth="1"/>
    <col min="3332" max="3346" width="4.875" style="2" customWidth="1"/>
    <col min="3347" max="3347" width="9.625" style="2" customWidth="1"/>
    <col min="3348" max="3348" width="35.75" style="2" customWidth="1"/>
    <col min="3349" max="3349" width="1.375" style="2" customWidth="1"/>
    <col min="3350" max="3350" width="9" style="2"/>
    <col min="3351" max="3352" width="5" style="2" bestFit="1" customWidth="1"/>
    <col min="3353" max="3584" width="9" style="2"/>
    <col min="3585" max="3587" width="6.125" style="2" customWidth="1"/>
    <col min="3588" max="3602" width="4.875" style="2" customWidth="1"/>
    <col min="3603" max="3603" width="9.625" style="2" customWidth="1"/>
    <col min="3604" max="3604" width="35.75" style="2" customWidth="1"/>
    <col min="3605" max="3605" width="1.375" style="2" customWidth="1"/>
    <col min="3606" max="3606" width="9" style="2"/>
    <col min="3607" max="3608" width="5" style="2" bestFit="1" customWidth="1"/>
    <col min="3609" max="3840" width="9" style="2"/>
    <col min="3841" max="3843" width="6.125" style="2" customWidth="1"/>
    <col min="3844" max="3858" width="4.875" style="2" customWidth="1"/>
    <col min="3859" max="3859" width="9.625" style="2" customWidth="1"/>
    <col min="3860" max="3860" width="35.75" style="2" customWidth="1"/>
    <col min="3861" max="3861" width="1.375" style="2" customWidth="1"/>
    <col min="3862" max="3862" width="9" style="2"/>
    <col min="3863" max="3864" width="5" style="2" bestFit="1" customWidth="1"/>
    <col min="3865" max="4096" width="9" style="2"/>
    <col min="4097" max="4099" width="6.125" style="2" customWidth="1"/>
    <col min="4100" max="4114" width="4.875" style="2" customWidth="1"/>
    <col min="4115" max="4115" width="9.625" style="2" customWidth="1"/>
    <col min="4116" max="4116" width="35.75" style="2" customWidth="1"/>
    <col min="4117" max="4117" width="1.375" style="2" customWidth="1"/>
    <col min="4118" max="4118" width="9" style="2"/>
    <col min="4119" max="4120" width="5" style="2" bestFit="1" customWidth="1"/>
    <col min="4121" max="4352" width="9" style="2"/>
    <col min="4353" max="4355" width="6.125" style="2" customWidth="1"/>
    <col min="4356" max="4370" width="4.875" style="2" customWidth="1"/>
    <col min="4371" max="4371" width="9.625" style="2" customWidth="1"/>
    <col min="4372" max="4372" width="35.75" style="2" customWidth="1"/>
    <col min="4373" max="4373" width="1.375" style="2" customWidth="1"/>
    <col min="4374" max="4374" width="9" style="2"/>
    <col min="4375" max="4376" width="5" style="2" bestFit="1" customWidth="1"/>
    <col min="4377" max="4608" width="9" style="2"/>
    <col min="4609" max="4611" width="6.125" style="2" customWidth="1"/>
    <col min="4612" max="4626" width="4.875" style="2" customWidth="1"/>
    <col min="4627" max="4627" width="9.625" style="2" customWidth="1"/>
    <col min="4628" max="4628" width="35.75" style="2" customWidth="1"/>
    <col min="4629" max="4629" width="1.375" style="2" customWidth="1"/>
    <col min="4630" max="4630" width="9" style="2"/>
    <col min="4631" max="4632" width="5" style="2" bestFit="1" customWidth="1"/>
    <col min="4633" max="4864" width="9" style="2"/>
    <col min="4865" max="4867" width="6.125" style="2" customWidth="1"/>
    <col min="4868" max="4882" width="4.875" style="2" customWidth="1"/>
    <col min="4883" max="4883" width="9.625" style="2" customWidth="1"/>
    <col min="4884" max="4884" width="35.75" style="2" customWidth="1"/>
    <col min="4885" max="4885" width="1.375" style="2" customWidth="1"/>
    <col min="4886" max="4886" width="9" style="2"/>
    <col min="4887" max="4888" width="5" style="2" bestFit="1" customWidth="1"/>
    <col min="4889" max="5120" width="9" style="2"/>
    <col min="5121" max="5123" width="6.125" style="2" customWidth="1"/>
    <col min="5124" max="5138" width="4.875" style="2" customWidth="1"/>
    <col min="5139" max="5139" width="9.625" style="2" customWidth="1"/>
    <col min="5140" max="5140" width="35.75" style="2" customWidth="1"/>
    <col min="5141" max="5141" width="1.375" style="2" customWidth="1"/>
    <col min="5142" max="5142" width="9" style="2"/>
    <col min="5143" max="5144" width="5" style="2" bestFit="1" customWidth="1"/>
    <col min="5145" max="5376" width="9" style="2"/>
    <col min="5377" max="5379" width="6.125" style="2" customWidth="1"/>
    <col min="5380" max="5394" width="4.875" style="2" customWidth="1"/>
    <col min="5395" max="5395" width="9.625" style="2" customWidth="1"/>
    <col min="5396" max="5396" width="35.75" style="2" customWidth="1"/>
    <col min="5397" max="5397" width="1.375" style="2" customWidth="1"/>
    <col min="5398" max="5398" width="9" style="2"/>
    <col min="5399" max="5400" width="5" style="2" bestFit="1" customWidth="1"/>
    <col min="5401" max="5632" width="9" style="2"/>
    <col min="5633" max="5635" width="6.125" style="2" customWidth="1"/>
    <col min="5636" max="5650" width="4.875" style="2" customWidth="1"/>
    <col min="5651" max="5651" width="9.625" style="2" customWidth="1"/>
    <col min="5652" max="5652" width="35.75" style="2" customWidth="1"/>
    <col min="5653" max="5653" width="1.375" style="2" customWidth="1"/>
    <col min="5654" max="5654" width="9" style="2"/>
    <col min="5655" max="5656" width="5" style="2" bestFit="1" customWidth="1"/>
    <col min="5657" max="5888" width="9" style="2"/>
    <col min="5889" max="5891" width="6.125" style="2" customWidth="1"/>
    <col min="5892" max="5906" width="4.875" style="2" customWidth="1"/>
    <col min="5907" max="5907" width="9.625" style="2" customWidth="1"/>
    <col min="5908" max="5908" width="35.75" style="2" customWidth="1"/>
    <col min="5909" max="5909" width="1.375" style="2" customWidth="1"/>
    <col min="5910" max="5910" width="9" style="2"/>
    <col min="5911" max="5912" width="5" style="2" bestFit="1" customWidth="1"/>
    <col min="5913" max="6144" width="9" style="2"/>
    <col min="6145" max="6147" width="6.125" style="2" customWidth="1"/>
    <col min="6148" max="6162" width="4.875" style="2" customWidth="1"/>
    <col min="6163" max="6163" width="9.625" style="2" customWidth="1"/>
    <col min="6164" max="6164" width="35.75" style="2" customWidth="1"/>
    <col min="6165" max="6165" width="1.375" style="2" customWidth="1"/>
    <col min="6166" max="6166" width="9" style="2"/>
    <col min="6167" max="6168" width="5" style="2" bestFit="1" customWidth="1"/>
    <col min="6169" max="6400" width="9" style="2"/>
    <col min="6401" max="6403" width="6.125" style="2" customWidth="1"/>
    <col min="6404" max="6418" width="4.875" style="2" customWidth="1"/>
    <col min="6419" max="6419" width="9.625" style="2" customWidth="1"/>
    <col min="6420" max="6420" width="35.75" style="2" customWidth="1"/>
    <col min="6421" max="6421" width="1.375" style="2" customWidth="1"/>
    <col min="6422" max="6422" width="9" style="2"/>
    <col min="6423" max="6424" width="5" style="2" bestFit="1" customWidth="1"/>
    <col min="6425" max="6656" width="9" style="2"/>
    <col min="6657" max="6659" width="6.125" style="2" customWidth="1"/>
    <col min="6660" max="6674" width="4.875" style="2" customWidth="1"/>
    <col min="6675" max="6675" width="9.625" style="2" customWidth="1"/>
    <col min="6676" max="6676" width="35.75" style="2" customWidth="1"/>
    <col min="6677" max="6677" width="1.375" style="2" customWidth="1"/>
    <col min="6678" max="6678" width="9" style="2"/>
    <col min="6679" max="6680" width="5" style="2" bestFit="1" customWidth="1"/>
    <col min="6681" max="6912" width="9" style="2"/>
    <col min="6913" max="6915" width="6.125" style="2" customWidth="1"/>
    <col min="6916" max="6930" width="4.875" style="2" customWidth="1"/>
    <col min="6931" max="6931" width="9.625" style="2" customWidth="1"/>
    <col min="6932" max="6932" width="35.75" style="2" customWidth="1"/>
    <col min="6933" max="6933" width="1.375" style="2" customWidth="1"/>
    <col min="6934" max="6934" width="9" style="2"/>
    <col min="6935" max="6936" width="5" style="2" bestFit="1" customWidth="1"/>
    <col min="6937" max="7168" width="9" style="2"/>
    <col min="7169" max="7171" width="6.125" style="2" customWidth="1"/>
    <col min="7172" max="7186" width="4.875" style="2" customWidth="1"/>
    <col min="7187" max="7187" width="9.625" style="2" customWidth="1"/>
    <col min="7188" max="7188" width="35.75" style="2" customWidth="1"/>
    <col min="7189" max="7189" width="1.375" style="2" customWidth="1"/>
    <col min="7190" max="7190" width="9" style="2"/>
    <col min="7191" max="7192" width="5" style="2" bestFit="1" customWidth="1"/>
    <col min="7193" max="7424" width="9" style="2"/>
    <col min="7425" max="7427" width="6.125" style="2" customWidth="1"/>
    <col min="7428" max="7442" width="4.875" style="2" customWidth="1"/>
    <col min="7443" max="7443" width="9.625" style="2" customWidth="1"/>
    <col min="7444" max="7444" width="35.75" style="2" customWidth="1"/>
    <col min="7445" max="7445" width="1.375" style="2" customWidth="1"/>
    <col min="7446" max="7446" width="9" style="2"/>
    <col min="7447" max="7448" width="5" style="2" bestFit="1" customWidth="1"/>
    <col min="7449" max="7680" width="9" style="2"/>
    <col min="7681" max="7683" width="6.125" style="2" customWidth="1"/>
    <col min="7684" max="7698" width="4.875" style="2" customWidth="1"/>
    <col min="7699" max="7699" width="9.625" style="2" customWidth="1"/>
    <col min="7700" max="7700" width="35.75" style="2" customWidth="1"/>
    <col min="7701" max="7701" width="1.375" style="2" customWidth="1"/>
    <col min="7702" max="7702" width="9" style="2"/>
    <col min="7703" max="7704" width="5" style="2" bestFit="1" customWidth="1"/>
    <col min="7705" max="7936" width="9" style="2"/>
    <col min="7937" max="7939" width="6.125" style="2" customWidth="1"/>
    <col min="7940" max="7954" width="4.875" style="2" customWidth="1"/>
    <col min="7955" max="7955" width="9.625" style="2" customWidth="1"/>
    <col min="7956" max="7956" width="35.75" style="2" customWidth="1"/>
    <col min="7957" max="7957" width="1.375" style="2" customWidth="1"/>
    <col min="7958" max="7958" width="9" style="2"/>
    <col min="7959" max="7960" width="5" style="2" bestFit="1" customWidth="1"/>
    <col min="7961" max="8192" width="9" style="2"/>
    <col min="8193" max="8195" width="6.125" style="2" customWidth="1"/>
    <col min="8196" max="8210" width="4.875" style="2" customWidth="1"/>
    <col min="8211" max="8211" width="9.625" style="2" customWidth="1"/>
    <col min="8212" max="8212" width="35.75" style="2" customWidth="1"/>
    <col min="8213" max="8213" width="1.375" style="2" customWidth="1"/>
    <col min="8214" max="8214" width="9" style="2"/>
    <col min="8215" max="8216" width="5" style="2" bestFit="1" customWidth="1"/>
    <col min="8217" max="8448" width="9" style="2"/>
    <col min="8449" max="8451" width="6.125" style="2" customWidth="1"/>
    <col min="8452" max="8466" width="4.875" style="2" customWidth="1"/>
    <col min="8467" max="8467" width="9.625" style="2" customWidth="1"/>
    <col min="8468" max="8468" width="35.75" style="2" customWidth="1"/>
    <col min="8469" max="8469" width="1.375" style="2" customWidth="1"/>
    <col min="8470" max="8470" width="9" style="2"/>
    <col min="8471" max="8472" width="5" style="2" bestFit="1" customWidth="1"/>
    <col min="8473" max="8704" width="9" style="2"/>
    <col min="8705" max="8707" width="6.125" style="2" customWidth="1"/>
    <col min="8708" max="8722" width="4.875" style="2" customWidth="1"/>
    <col min="8723" max="8723" width="9.625" style="2" customWidth="1"/>
    <col min="8724" max="8724" width="35.75" style="2" customWidth="1"/>
    <col min="8725" max="8725" width="1.375" style="2" customWidth="1"/>
    <col min="8726" max="8726" width="9" style="2"/>
    <col min="8727" max="8728" width="5" style="2" bestFit="1" customWidth="1"/>
    <col min="8729" max="8960" width="9" style="2"/>
    <col min="8961" max="8963" width="6.125" style="2" customWidth="1"/>
    <col min="8964" max="8978" width="4.875" style="2" customWidth="1"/>
    <col min="8979" max="8979" width="9.625" style="2" customWidth="1"/>
    <col min="8980" max="8980" width="35.75" style="2" customWidth="1"/>
    <col min="8981" max="8981" width="1.375" style="2" customWidth="1"/>
    <col min="8982" max="8982" width="9" style="2"/>
    <col min="8983" max="8984" width="5" style="2" bestFit="1" customWidth="1"/>
    <col min="8985" max="9216" width="9" style="2"/>
    <col min="9217" max="9219" width="6.125" style="2" customWidth="1"/>
    <col min="9220" max="9234" width="4.875" style="2" customWidth="1"/>
    <col min="9235" max="9235" width="9.625" style="2" customWidth="1"/>
    <col min="9236" max="9236" width="35.75" style="2" customWidth="1"/>
    <col min="9237" max="9237" width="1.375" style="2" customWidth="1"/>
    <col min="9238" max="9238" width="9" style="2"/>
    <col min="9239" max="9240" width="5" style="2" bestFit="1" customWidth="1"/>
    <col min="9241" max="9472" width="9" style="2"/>
    <col min="9473" max="9475" width="6.125" style="2" customWidth="1"/>
    <col min="9476" max="9490" width="4.875" style="2" customWidth="1"/>
    <col min="9491" max="9491" width="9.625" style="2" customWidth="1"/>
    <col min="9492" max="9492" width="35.75" style="2" customWidth="1"/>
    <col min="9493" max="9493" width="1.375" style="2" customWidth="1"/>
    <col min="9494" max="9494" width="9" style="2"/>
    <col min="9495" max="9496" width="5" style="2" bestFit="1" customWidth="1"/>
    <col min="9497" max="9728" width="9" style="2"/>
    <col min="9729" max="9731" width="6.125" style="2" customWidth="1"/>
    <col min="9732" max="9746" width="4.875" style="2" customWidth="1"/>
    <col min="9747" max="9747" width="9.625" style="2" customWidth="1"/>
    <col min="9748" max="9748" width="35.75" style="2" customWidth="1"/>
    <col min="9749" max="9749" width="1.375" style="2" customWidth="1"/>
    <col min="9750" max="9750" width="9" style="2"/>
    <col min="9751" max="9752" width="5" style="2" bestFit="1" customWidth="1"/>
    <col min="9753" max="9984" width="9" style="2"/>
    <col min="9985" max="9987" width="6.125" style="2" customWidth="1"/>
    <col min="9988" max="10002" width="4.875" style="2" customWidth="1"/>
    <col min="10003" max="10003" width="9.625" style="2" customWidth="1"/>
    <col min="10004" max="10004" width="35.75" style="2" customWidth="1"/>
    <col min="10005" max="10005" width="1.375" style="2" customWidth="1"/>
    <col min="10006" max="10006" width="9" style="2"/>
    <col min="10007" max="10008" width="5" style="2" bestFit="1" customWidth="1"/>
    <col min="10009" max="10240" width="9" style="2"/>
    <col min="10241" max="10243" width="6.125" style="2" customWidth="1"/>
    <col min="10244" max="10258" width="4.875" style="2" customWidth="1"/>
    <col min="10259" max="10259" width="9.625" style="2" customWidth="1"/>
    <col min="10260" max="10260" width="35.75" style="2" customWidth="1"/>
    <col min="10261" max="10261" width="1.375" style="2" customWidth="1"/>
    <col min="10262" max="10262" width="9" style="2"/>
    <col min="10263" max="10264" width="5" style="2" bestFit="1" customWidth="1"/>
    <col min="10265" max="10496" width="9" style="2"/>
    <col min="10497" max="10499" width="6.125" style="2" customWidth="1"/>
    <col min="10500" max="10514" width="4.875" style="2" customWidth="1"/>
    <col min="10515" max="10515" width="9.625" style="2" customWidth="1"/>
    <col min="10516" max="10516" width="35.75" style="2" customWidth="1"/>
    <col min="10517" max="10517" width="1.375" style="2" customWidth="1"/>
    <col min="10518" max="10518" width="9" style="2"/>
    <col min="10519" max="10520" width="5" style="2" bestFit="1" customWidth="1"/>
    <col min="10521" max="10752" width="9" style="2"/>
    <col min="10753" max="10755" width="6.125" style="2" customWidth="1"/>
    <col min="10756" max="10770" width="4.875" style="2" customWidth="1"/>
    <col min="10771" max="10771" width="9.625" style="2" customWidth="1"/>
    <col min="10772" max="10772" width="35.75" style="2" customWidth="1"/>
    <col min="10773" max="10773" width="1.375" style="2" customWidth="1"/>
    <col min="10774" max="10774" width="9" style="2"/>
    <col min="10775" max="10776" width="5" style="2" bestFit="1" customWidth="1"/>
    <col min="10777" max="11008" width="9" style="2"/>
    <col min="11009" max="11011" width="6.125" style="2" customWidth="1"/>
    <col min="11012" max="11026" width="4.875" style="2" customWidth="1"/>
    <col min="11027" max="11027" width="9.625" style="2" customWidth="1"/>
    <col min="11028" max="11028" width="35.75" style="2" customWidth="1"/>
    <col min="11029" max="11029" width="1.375" style="2" customWidth="1"/>
    <col min="11030" max="11030" width="9" style="2"/>
    <col min="11031" max="11032" width="5" style="2" bestFit="1" customWidth="1"/>
    <col min="11033" max="11264" width="9" style="2"/>
    <col min="11265" max="11267" width="6.125" style="2" customWidth="1"/>
    <col min="11268" max="11282" width="4.875" style="2" customWidth="1"/>
    <col min="11283" max="11283" width="9.625" style="2" customWidth="1"/>
    <col min="11284" max="11284" width="35.75" style="2" customWidth="1"/>
    <col min="11285" max="11285" width="1.375" style="2" customWidth="1"/>
    <col min="11286" max="11286" width="9" style="2"/>
    <col min="11287" max="11288" width="5" style="2" bestFit="1" customWidth="1"/>
    <col min="11289" max="11520" width="9" style="2"/>
    <col min="11521" max="11523" width="6.125" style="2" customWidth="1"/>
    <col min="11524" max="11538" width="4.875" style="2" customWidth="1"/>
    <col min="11539" max="11539" width="9.625" style="2" customWidth="1"/>
    <col min="11540" max="11540" width="35.75" style="2" customWidth="1"/>
    <col min="11541" max="11541" width="1.375" style="2" customWidth="1"/>
    <col min="11542" max="11542" width="9" style="2"/>
    <col min="11543" max="11544" width="5" style="2" bestFit="1" customWidth="1"/>
    <col min="11545" max="11776" width="9" style="2"/>
    <col min="11777" max="11779" width="6.125" style="2" customWidth="1"/>
    <col min="11780" max="11794" width="4.875" style="2" customWidth="1"/>
    <col min="11795" max="11795" width="9.625" style="2" customWidth="1"/>
    <col min="11796" max="11796" width="35.75" style="2" customWidth="1"/>
    <col min="11797" max="11797" width="1.375" style="2" customWidth="1"/>
    <col min="11798" max="11798" width="9" style="2"/>
    <col min="11799" max="11800" width="5" style="2" bestFit="1" customWidth="1"/>
    <col min="11801" max="12032" width="9" style="2"/>
    <col min="12033" max="12035" width="6.125" style="2" customWidth="1"/>
    <col min="12036" max="12050" width="4.875" style="2" customWidth="1"/>
    <col min="12051" max="12051" width="9.625" style="2" customWidth="1"/>
    <col min="12052" max="12052" width="35.75" style="2" customWidth="1"/>
    <col min="12053" max="12053" width="1.375" style="2" customWidth="1"/>
    <col min="12054" max="12054" width="9" style="2"/>
    <col min="12055" max="12056" width="5" style="2" bestFit="1" customWidth="1"/>
    <col min="12057" max="12288" width="9" style="2"/>
    <col min="12289" max="12291" width="6.125" style="2" customWidth="1"/>
    <col min="12292" max="12306" width="4.875" style="2" customWidth="1"/>
    <col min="12307" max="12307" width="9.625" style="2" customWidth="1"/>
    <col min="12308" max="12308" width="35.75" style="2" customWidth="1"/>
    <col min="12309" max="12309" width="1.375" style="2" customWidth="1"/>
    <col min="12310" max="12310" width="9" style="2"/>
    <col min="12311" max="12312" width="5" style="2" bestFit="1" customWidth="1"/>
    <col min="12313" max="12544" width="9" style="2"/>
    <col min="12545" max="12547" width="6.125" style="2" customWidth="1"/>
    <col min="12548" max="12562" width="4.875" style="2" customWidth="1"/>
    <col min="12563" max="12563" width="9.625" style="2" customWidth="1"/>
    <col min="12564" max="12564" width="35.75" style="2" customWidth="1"/>
    <col min="12565" max="12565" width="1.375" style="2" customWidth="1"/>
    <col min="12566" max="12566" width="9" style="2"/>
    <col min="12567" max="12568" width="5" style="2" bestFit="1" customWidth="1"/>
    <col min="12569" max="12800" width="9" style="2"/>
    <col min="12801" max="12803" width="6.125" style="2" customWidth="1"/>
    <col min="12804" max="12818" width="4.875" style="2" customWidth="1"/>
    <col min="12819" max="12819" width="9.625" style="2" customWidth="1"/>
    <col min="12820" max="12820" width="35.75" style="2" customWidth="1"/>
    <col min="12821" max="12821" width="1.375" style="2" customWidth="1"/>
    <col min="12822" max="12822" width="9" style="2"/>
    <col min="12823" max="12824" width="5" style="2" bestFit="1" customWidth="1"/>
    <col min="12825" max="13056" width="9" style="2"/>
    <col min="13057" max="13059" width="6.125" style="2" customWidth="1"/>
    <col min="13060" max="13074" width="4.875" style="2" customWidth="1"/>
    <col min="13075" max="13075" width="9.625" style="2" customWidth="1"/>
    <col min="13076" max="13076" width="35.75" style="2" customWidth="1"/>
    <col min="13077" max="13077" width="1.375" style="2" customWidth="1"/>
    <col min="13078" max="13078" width="9" style="2"/>
    <col min="13079" max="13080" width="5" style="2" bestFit="1" customWidth="1"/>
    <col min="13081" max="13312" width="9" style="2"/>
    <col min="13313" max="13315" width="6.125" style="2" customWidth="1"/>
    <col min="13316" max="13330" width="4.875" style="2" customWidth="1"/>
    <col min="13331" max="13331" width="9.625" style="2" customWidth="1"/>
    <col min="13332" max="13332" width="35.75" style="2" customWidth="1"/>
    <col min="13333" max="13333" width="1.375" style="2" customWidth="1"/>
    <col min="13334" max="13334" width="9" style="2"/>
    <col min="13335" max="13336" width="5" style="2" bestFit="1" customWidth="1"/>
    <col min="13337" max="13568" width="9" style="2"/>
    <col min="13569" max="13571" width="6.125" style="2" customWidth="1"/>
    <col min="13572" max="13586" width="4.875" style="2" customWidth="1"/>
    <col min="13587" max="13587" width="9.625" style="2" customWidth="1"/>
    <col min="13588" max="13588" width="35.75" style="2" customWidth="1"/>
    <col min="13589" max="13589" width="1.375" style="2" customWidth="1"/>
    <col min="13590" max="13590" width="9" style="2"/>
    <col min="13591" max="13592" width="5" style="2" bestFit="1" customWidth="1"/>
    <col min="13593" max="13824" width="9" style="2"/>
    <col min="13825" max="13827" width="6.125" style="2" customWidth="1"/>
    <col min="13828" max="13842" width="4.875" style="2" customWidth="1"/>
    <col min="13843" max="13843" width="9.625" style="2" customWidth="1"/>
    <col min="13844" max="13844" width="35.75" style="2" customWidth="1"/>
    <col min="13845" max="13845" width="1.375" style="2" customWidth="1"/>
    <col min="13846" max="13846" width="9" style="2"/>
    <col min="13847" max="13848" width="5" style="2" bestFit="1" customWidth="1"/>
    <col min="13849" max="14080" width="9" style="2"/>
    <col min="14081" max="14083" width="6.125" style="2" customWidth="1"/>
    <col min="14084" max="14098" width="4.875" style="2" customWidth="1"/>
    <col min="14099" max="14099" width="9.625" style="2" customWidth="1"/>
    <col min="14100" max="14100" width="35.75" style="2" customWidth="1"/>
    <col min="14101" max="14101" width="1.375" style="2" customWidth="1"/>
    <col min="14102" max="14102" width="9" style="2"/>
    <col min="14103" max="14104" width="5" style="2" bestFit="1" customWidth="1"/>
    <col min="14105" max="14336" width="9" style="2"/>
    <col min="14337" max="14339" width="6.125" style="2" customWidth="1"/>
    <col min="14340" max="14354" width="4.875" style="2" customWidth="1"/>
    <col min="14355" max="14355" width="9.625" style="2" customWidth="1"/>
    <col min="14356" max="14356" width="35.75" style="2" customWidth="1"/>
    <col min="14357" max="14357" width="1.375" style="2" customWidth="1"/>
    <col min="14358" max="14358" width="9" style="2"/>
    <col min="14359" max="14360" width="5" style="2" bestFit="1" customWidth="1"/>
    <col min="14361" max="14592" width="9" style="2"/>
    <col min="14593" max="14595" width="6.125" style="2" customWidth="1"/>
    <col min="14596" max="14610" width="4.875" style="2" customWidth="1"/>
    <col min="14611" max="14611" width="9.625" style="2" customWidth="1"/>
    <col min="14612" max="14612" width="35.75" style="2" customWidth="1"/>
    <col min="14613" max="14613" width="1.375" style="2" customWidth="1"/>
    <col min="14614" max="14614" width="9" style="2"/>
    <col min="14615" max="14616" width="5" style="2" bestFit="1" customWidth="1"/>
    <col min="14617" max="14848" width="9" style="2"/>
    <col min="14849" max="14851" width="6.125" style="2" customWidth="1"/>
    <col min="14852" max="14866" width="4.875" style="2" customWidth="1"/>
    <col min="14867" max="14867" width="9.625" style="2" customWidth="1"/>
    <col min="14868" max="14868" width="35.75" style="2" customWidth="1"/>
    <col min="14869" max="14869" width="1.375" style="2" customWidth="1"/>
    <col min="14870" max="14870" width="9" style="2"/>
    <col min="14871" max="14872" width="5" style="2" bestFit="1" customWidth="1"/>
    <col min="14873" max="15104" width="9" style="2"/>
    <col min="15105" max="15107" width="6.125" style="2" customWidth="1"/>
    <col min="15108" max="15122" width="4.875" style="2" customWidth="1"/>
    <col min="15123" max="15123" width="9.625" style="2" customWidth="1"/>
    <col min="15124" max="15124" width="35.75" style="2" customWidth="1"/>
    <col min="15125" max="15125" width="1.375" style="2" customWidth="1"/>
    <col min="15126" max="15126" width="9" style="2"/>
    <col min="15127" max="15128" width="5" style="2" bestFit="1" customWidth="1"/>
    <col min="15129" max="15360" width="9" style="2"/>
    <col min="15361" max="15363" width="6.125" style="2" customWidth="1"/>
    <col min="15364" max="15378" width="4.875" style="2" customWidth="1"/>
    <col min="15379" max="15379" width="9.625" style="2" customWidth="1"/>
    <col min="15380" max="15380" width="35.75" style="2" customWidth="1"/>
    <col min="15381" max="15381" width="1.375" style="2" customWidth="1"/>
    <col min="15382" max="15382" width="9" style="2"/>
    <col min="15383" max="15384" width="5" style="2" bestFit="1" customWidth="1"/>
    <col min="15385" max="15616" width="9" style="2"/>
    <col min="15617" max="15619" width="6.125" style="2" customWidth="1"/>
    <col min="15620" max="15634" width="4.875" style="2" customWidth="1"/>
    <col min="15635" max="15635" width="9.625" style="2" customWidth="1"/>
    <col min="15636" max="15636" width="35.75" style="2" customWidth="1"/>
    <col min="15637" max="15637" width="1.375" style="2" customWidth="1"/>
    <col min="15638" max="15638" width="9" style="2"/>
    <col min="15639" max="15640" width="5" style="2" bestFit="1" customWidth="1"/>
    <col min="15641" max="15872" width="9" style="2"/>
    <col min="15873" max="15875" width="6.125" style="2" customWidth="1"/>
    <col min="15876" max="15890" width="4.875" style="2" customWidth="1"/>
    <col min="15891" max="15891" width="9.625" style="2" customWidth="1"/>
    <col min="15892" max="15892" width="35.75" style="2" customWidth="1"/>
    <col min="15893" max="15893" width="1.375" style="2" customWidth="1"/>
    <col min="15894" max="15894" width="9" style="2"/>
    <col min="15895" max="15896" width="5" style="2" bestFit="1" customWidth="1"/>
    <col min="15897" max="16128" width="9" style="2"/>
    <col min="16129" max="16131" width="6.125" style="2" customWidth="1"/>
    <col min="16132" max="16146" width="4.875" style="2" customWidth="1"/>
    <col min="16147" max="16147" width="9.625" style="2" customWidth="1"/>
    <col min="16148" max="16148" width="35.75" style="2" customWidth="1"/>
    <col min="16149" max="16149" width="1.375" style="2" customWidth="1"/>
    <col min="16150" max="16150" width="9" style="2"/>
    <col min="16151" max="16152" width="5" style="2" bestFit="1" customWidth="1"/>
    <col min="16153" max="16384" width="9" style="2"/>
  </cols>
  <sheetData>
    <row r="1" spans="1:2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0.100000000000001" customHeight="1" x14ac:dyDescent="0.2">
      <c r="A2" s="159" t="s">
        <v>665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"/>
    </row>
    <row r="3" spans="1:21" ht="20.100000000000001" customHeight="1" thickBot="1" x14ac:dyDescent="0.25">
      <c r="A3" s="160" t="s">
        <v>666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"/>
    </row>
    <row r="4" spans="1:21" ht="13.5" thickBot="1" x14ac:dyDescent="0.25">
      <c r="A4" s="204" t="s">
        <v>5</v>
      </c>
      <c r="B4" s="204"/>
      <c r="C4" s="204"/>
      <c r="D4" s="204" t="s">
        <v>57</v>
      </c>
      <c r="E4" s="204"/>
      <c r="F4" s="204"/>
      <c r="G4" s="204" t="s">
        <v>66</v>
      </c>
      <c r="H4" s="204"/>
      <c r="I4" s="204"/>
      <c r="J4" s="204" t="s">
        <v>65</v>
      </c>
      <c r="K4" s="204"/>
      <c r="L4" s="204"/>
      <c r="M4" s="204" t="s">
        <v>62</v>
      </c>
      <c r="N4" s="204"/>
      <c r="O4" s="204"/>
      <c r="P4" s="204" t="s">
        <v>61</v>
      </c>
      <c r="Q4" s="204"/>
      <c r="R4" s="204"/>
      <c r="S4" s="205" t="s">
        <v>645</v>
      </c>
      <c r="T4" s="3"/>
      <c r="U4" s="1"/>
    </row>
    <row r="5" spans="1:21" ht="15" customHeight="1" thickBot="1" x14ac:dyDescent="0.25">
      <c r="A5" s="47" t="s">
        <v>216</v>
      </c>
      <c r="B5" s="47" t="s">
        <v>11</v>
      </c>
      <c r="C5" s="47" t="s">
        <v>10</v>
      </c>
      <c r="D5" s="47" t="s">
        <v>216</v>
      </c>
      <c r="E5" s="47" t="s">
        <v>11</v>
      </c>
      <c r="F5" s="47" t="s">
        <v>10</v>
      </c>
      <c r="G5" s="47" t="s">
        <v>216</v>
      </c>
      <c r="H5" s="47" t="s">
        <v>11</v>
      </c>
      <c r="I5" s="47" t="s">
        <v>10</v>
      </c>
      <c r="J5" s="47" t="s">
        <v>216</v>
      </c>
      <c r="K5" s="47" t="s">
        <v>11</v>
      </c>
      <c r="L5" s="47" t="s">
        <v>10</v>
      </c>
      <c r="M5" s="47" t="s">
        <v>216</v>
      </c>
      <c r="N5" s="47" t="s">
        <v>11</v>
      </c>
      <c r="O5" s="47" t="s">
        <v>10</v>
      </c>
      <c r="P5" s="47" t="s">
        <v>216</v>
      </c>
      <c r="Q5" s="47" t="s">
        <v>11</v>
      </c>
      <c r="R5" s="47" t="s">
        <v>10</v>
      </c>
      <c r="S5" s="206"/>
      <c r="T5" s="5" t="s">
        <v>161</v>
      </c>
      <c r="U5" s="1"/>
    </row>
    <row r="6" spans="1:21" ht="13.5" thickBot="1" x14ac:dyDescent="0.25">
      <c r="A6" s="123">
        <f>SUM(B6:C6)</f>
        <v>732</v>
      </c>
      <c r="B6" s="123">
        <f>Q6+N6+K6+H6+E6</f>
        <v>123</v>
      </c>
      <c r="C6" s="123">
        <f>R6+O6+L6+I6+F6</f>
        <v>609</v>
      </c>
      <c r="D6" s="123">
        <f t="shared" ref="D6:D68" si="0">SUM(E6:F6)</f>
        <v>438</v>
      </c>
      <c r="E6" s="123">
        <v>50</v>
      </c>
      <c r="F6" s="123">
        <v>388</v>
      </c>
      <c r="G6" s="123">
        <f t="shared" ref="G6:G69" si="1">SUM(H6:I6)</f>
        <v>9</v>
      </c>
      <c r="H6" s="123">
        <v>1</v>
      </c>
      <c r="I6" s="123">
        <v>8</v>
      </c>
      <c r="J6" s="123">
        <f t="shared" ref="J6:J69" si="2">SUM(K6:L6)</f>
        <v>263</v>
      </c>
      <c r="K6" s="123">
        <v>70</v>
      </c>
      <c r="L6" s="123">
        <v>193</v>
      </c>
      <c r="M6" s="123">
        <v>20</v>
      </c>
      <c r="N6" s="123">
        <v>2</v>
      </c>
      <c r="O6" s="123">
        <v>18</v>
      </c>
      <c r="P6" s="123">
        <f t="shared" ref="P6:P69" si="3">SUM(Q6:R6)</f>
        <v>2</v>
      </c>
      <c r="Q6" s="123">
        <v>0</v>
      </c>
      <c r="R6" s="123">
        <v>2</v>
      </c>
      <c r="S6" s="7" t="s">
        <v>163</v>
      </c>
      <c r="T6" s="124"/>
      <c r="U6" s="1"/>
    </row>
    <row r="7" spans="1:21" ht="13.5" thickBot="1" x14ac:dyDescent="0.25">
      <c r="A7" s="123">
        <f t="shared" ref="A7:A67" si="4">SUM(B7:C7)</f>
        <v>26</v>
      </c>
      <c r="B7" s="123">
        <f t="shared" ref="B7:C67" si="5">Q7+N7+K7+H7+E7</f>
        <v>0</v>
      </c>
      <c r="C7" s="123">
        <f t="shared" si="5"/>
        <v>26</v>
      </c>
      <c r="D7" s="123">
        <f t="shared" si="0"/>
        <v>0</v>
      </c>
      <c r="E7" s="123">
        <v>0</v>
      </c>
      <c r="F7" s="123">
        <v>0</v>
      </c>
      <c r="G7" s="123">
        <f t="shared" si="1"/>
        <v>0</v>
      </c>
      <c r="H7" s="123">
        <v>0</v>
      </c>
      <c r="I7" s="123">
        <v>0</v>
      </c>
      <c r="J7" s="123">
        <f t="shared" si="2"/>
        <v>20</v>
      </c>
      <c r="K7" s="123">
        <v>0</v>
      </c>
      <c r="L7" s="123">
        <v>20</v>
      </c>
      <c r="M7" s="123">
        <v>4</v>
      </c>
      <c r="N7" s="123">
        <v>0</v>
      </c>
      <c r="O7" s="123">
        <v>4</v>
      </c>
      <c r="P7" s="123">
        <f t="shared" si="3"/>
        <v>2</v>
      </c>
      <c r="Q7" s="123">
        <v>0</v>
      </c>
      <c r="R7" s="123">
        <v>2</v>
      </c>
      <c r="S7" s="7" t="s">
        <v>162</v>
      </c>
      <c r="T7" s="124" t="s">
        <v>74</v>
      </c>
      <c r="U7" s="1"/>
    </row>
    <row r="8" spans="1:21" ht="13.5" thickBot="1" x14ac:dyDescent="0.25">
      <c r="A8" s="123">
        <f t="shared" ref="A8:Q8" si="6">SUM(A6:A7)</f>
        <v>758</v>
      </c>
      <c r="B8" s="123">
        <f t="shared" si="6"/>
        <v>123</v>
      </c>
      <c r="C8" s="123">
        <f t="shared" si="6"/>
        <v>635</v>
      </c>
      <c r="D8" s="123">
        <f t="shared" si="0"/>
        <v>438</v>
      </c>
      <c r="E8" s="123">
        <f t="shared" si="6"/>
        <v>50</v>
      </c>
      <c r="F8" s="123">
        <f t="shared" si="6"/>
        <v>388</v>
      </c>
      <c r="G8" s="123">
        <f t="shared" si="1"/>
        <v>9</v>
      </c>
      <c r="H8" s="123">
        <f t="shared" si="6"/>
        <v>1</v>
      </c>
      <c r="I8" s="123">
        <f t="shared" si="6"/>
        <v>8</v>
      </c>
      <c r="J8" s="123">
        <f t="shared" si="2"/>
        <v>283</v>
      </c>
      <c r="K8" s="123">
        <f t="shared" si="6"/>
        <v>70</v>
      </c>
      <c r="L8" s="123">
        <f t="shared" si="6"/>
        <v>213</v>
      </c>
      <c r="M8" s="123">
        <f t="shared" si="6"/>
        <v>24</v>
      </c>
      <c r="N8" s="123">
        <f t="shared" si="6"/>
        <v>2</v>
      </c>
      <c r="O8" s="123">
        <f t="shared" si="6"/>
        <v>22</v>
      </c>
      <c r="P8" s="123">
        <f t="shared" si="3"/>
        <v>4</v>
      </c>
      <c r="Q8" s="123">
        <f t="shared" si="6"/>
        <v>0</v>
      </c>
      <c r="R8" s="123">
        <f>SUM(R6:R7)</f>
        <v>4</v>
      </c>
      <c r="S8" s="7" t="s">
        <v>13</v>
      </c>
      <c r="T8" s="9"/>
      <c r="U8" s="1"/>
    </row>
    <row r="9" spans="1:21" ht="13.5" thickBot="1" x14ac:dyDescent="0.25">
      <c r="A9" s="123">
        <f t="shared" si="4"/>
        <v>570</v>
      </c>
      <c r="B9" s="123">
        <f t="shared" si="5"/>
        <v>2</v>
      </c>
      <c r="C9" s="123">
        <f t="shared" si="5"/>
        <v>568</v>
      </c>
      <c r="D9" s="123">
        <f t="shared" si="0"/>
        <v>439</v>
      </c>
      <c r="E9" s="123">
        <v>1</v>
      </c>
      <c r="F9" s="123">
        <v>438</v>
      </c>
      <c r="G9" s="123">
        <f t="shared" si="1"/>
        <v>12</v>
      </c>
      <c r="H9" s="123">
        <v>0</v>
      </c>
      <c r="I9" s="123">
        <v>12</v>
      </c>
      <c r="J9" s="123">
        <f t="shared" si="2"/>
        <v>114</v>
      </c>
      <c r="K9" s="123">
        <v>1</v>
      </c>
      <c r="L9" s="123">
        <v>113</v>
      </c>
      <c r="M9" s="123">
        <v>3</v>
      </c>
      <c r="N9" s="123">
        <v>0</v>
      </c>
      <c r="O9" s="123">
        <v>3</v>
      </c>
      <c r="P9" s="123">
        <f t="shared" si="3"/>
        <v>2</v>
      </c>
      <c r="Q9" s="123">
        <v>0</v>
      </c>
      <c r="R9" s="123">
        <v>2</v>
      </c>
      <c r="S9" s="7" t="s">
        <v>163</v>
      </c>
      <c r="T9" s="124"/>
      <c r="U9" s="1"/>
    </row>
    <row r="10" spans="1:21" ht="13.5" thickBot="1" x14ac:dyDescent="0.25">
      <c r="A10" s="123">
        <f t="shared" si="4"/>
        <v>2</v>
      </c>
      <c r="B10" s="123">
        <f t="shared" si="5"/>
        <v>0</v>
      </c>
      <c r="C10" s="123">
        <f t="shared" si="5"/>
        <v>2</v>
      </c>
      <c r="D10" s="123">
        <f t="shared" si="0"/>
        <v>0</v>
      </c>
      <c r="E10" s="123">
        <v>0</v>
      </c>
      <c r="F10" s="123">
        <v>0</v>
      </c>
      <c r="G10" s="123">
        <f t="shared" si="1"/>
        <v>0</v>
      </c>
      <c r="H10" s="123">
        <v>0</v>
      </c>
      <c r="I10" s="123">
        <v>0</v>
      </c>
      <c r="J10" s="123">
        <f t="shared" si="2"/>
        <v>2</v>
      </c>
      <c r="K10" s="123">
        <v>0</v>
      </c>
      <c r="L10" s="123">
        <v>2</v>
      </c>
      <c r="M10" s="123">
        <v>0</v>
      </c>
      <c r="N10" s="123">
        <v>0</v>
      </c>
      <c r="O10" s="123">
        <v>0</v>
      </c>
      <c r="P10" s="123">
        <f t="shared" si="3"/>
        <v>0</v>
      </c>
      <c r="Q10" s="123">
        <v>0</v>
      </c>
      <c r="R10" s="123">
        <v>0</v>
      </c>
      <c r="S10" s="7" t="s">
        <v>162</v>
      </c>
      <c r="T10" s="124" t="s">
        <v>164</v>
      </c>
      <c r="U10" s="1"/>
    </row>
    <row r="11" spans="1:21" ht="13.5" thickBot="1" x14ac:dyDescent="0.25">
      <c r="A11" s="123">
        <f t="shared" ref="A11:C11" si="7">SUM(A9:A10)</f>
        <v>572</v>
      </c>
      <c r="B11" s="123">
        <f t="shared" si="7"/>
        <v>2</v>
      </c>
      <c r="C11" s="123">
        <f t="shared" si="7"/>
        <v>570</v>
      </c>
      <c r="D11" s="123">
        <f t="shared" si="0"/>
        <v>439</v>
      </c>
      <c r="E11" s="123">
        <f t="shared" ref="E11:F11" si="8">SUM(E9:E10)</f>
        <v>1</v>
      </c>
      <c r="F11" s="123">
        <f t="shared" si="8"/>
        <v>438</v>
      </c>
      <c r="G11" s="123">
        <f t="shared" si="1"/>
        <v>12</v>
      </c>
      <c r="H11" s="123">
        <f t="shared" ref="H11:I11" si="9">SUM(H9:H10)</f>
        <v>0</v>
      </c>
      <c r="I11" s="123">
        <f t="shared" si="9"/>
        <v>12</v>
      </c>
      <c r="J11" s="123">
        <f t="shared" si="2"/>
        <v>116</v>
      </c>
      <c r="K11" s="123">
        <f t="shared" ref="K11:O11" si="10">SUM(K9:K10)</f>
        <v>1</v>
      </c>
      <c r="L11" s="123">
        <f t="shared" si="10"/>
        <v>115</v>
      </c>
      <c r="M11" s="123">
        <f t="shared" si="10"/>
        <v>3</v>
      </c>
      <c r="N11" s="123">
        <f t="shared" si="10"/>
        <v>0</v>
      </c>
      <c r="O11" s="123">
        <f t="shared" si="10"/>
        <v>3</v>
      </c>
      <c r="P11" s="123">
        <f t="shared" si="3"/>
        <v>2</v>
      </c>
      <c r="Q11" s="123">
        <f t="shared" ref="Q11" si="11">SUM(Q9:Q10)</f>
        <v>0</v>
      </c>
      <c r="R11" s="123">
        <f>SUM(R9:R10)</f>
        <v>2</v>
      </c>
      <c r="S11" s="7" t="s">
        <v>13</v>
      </c>
      <c r="T11" s="9"/>
      <c r="U11" s="1"/>
    </row>
    <row r="12" spans="1:21" ht="13.5" thickBot="1" x14ac:dyDescent="0.25">
      <c r="A12" s="123">
        <f t="shared" si="4"/>
        <v>1998</v>
      </c>
      <c r="B12" s="123">
        <f t="shared" si="5"/>
        <v>410</v>
      </c>
      <c r="C12" s="123">
        <f t="shared" si="5"/>
        <v>1588</v>
      </c>
      <c r="D12" s="123">
        <f t="shared" si="0"/>
        <v>569</v>
      </c>
      <c r="E12" s="123">
        <v>47</v>
      </c>
      <c r="F12" s="123">
        <v>522</v>
      </c>
      <c r="G12" s="123">
        <f t="shared" si="1"/>
        <v>267</v>
      </c>
      <c r="H12" s="123">
        <v>29</v>
      </c>
      <c r="I12" s="123">
        <v>238</v>
      </c>
      <c r="J12" s="123">
        <f t="shared" si="2"/>
        <v>1099</v>
      </c>
      <c r="K12" s="123">
        <v>318</v>
      </c>
      <c r="L12" s="123">
        <v>781</v>
      </c>
      <c r="M12" s="123">
        <v>19</v>
      </c>
      <c r="N12" s="123">
        <v>12</v>
      </c>
      <c r="O12" s="123">
        <v>7</v>
      </c>
      <c r="P12" s="123">
        <f t="shared" si="3"/>
        <v>44</v>
      </c>
      <c r="Q12" s="123">
        <v>4</v>
      </c>
      <c r="R12" s="123">
        <v>40</v>
      </c>
      <c r="S12" s="7" t="s">
        <v>163</v>
      </c>
      <c r="T12" s="124"/>
      <c r="U12" s="1"/>
    </row>
    <row r="13" spans="1:21" ht="13.5" thickBot="1" x14ac:dyDescent="0.25">
      <c r="A13" s="123">
        <f t="shared" si="4"/>
        <v>280</v>
      </c>
      <c r="B13" s="123">
        <f t="shared" si="5"/>
        <v>2</v>
      </c>
      <c r="C13" s="123">
        <f t="shared" si="5"/>
        <v>278</v>
      </c>
      <c r="D13" s="123">
        <f t="shared" si="0"/>
        <v>206</v>
      </c>
      <c r="E13" s="123">
        <v>0</v>
      </c>
      <c r="F13" s="123">
        <v>206</v>
      </c>
      <c r="G13" s="123">
        <f t="shared" si="1"/>
        <v>1</v>
      </c>
      <c r="H13" s="123">
        <v>0</v>
      </c>
      <c r="I13" s="123">
        <v>1</v>
      </c>
      <c r="J13" s="123">
        <f t="shared" si="2"/>
        <v>50</v>
      </c>
      <c r="K13" s="123">
        <v>2</v>
      </c>
      <c r="L13" s="123">
        <v>48</v>
      </c>
      <c r="M13" s="123">
        <v>14</v>
      </c>
      <c r="N13" s="123">
        <v>0</v>
      </c>
      <c r="O13" s="123">
        <v>14</v>
      </c>
      <c r="P13" s="123">
        <f t="shared" si="3"/>
        <v>9</v>
      </c>
      <c r="Q13" s="123">
        <v>0</v>
      </c>
      <c r="R13" s="123">
        <v>9</v>
      </c>
      <c r="S13" s="7" t="s">
        <v>162</v>
      </c>
      <c r="T13" s="124" t="s">
        <v>76</v>
      </c>
      <c r="U13" s="1"/>
    </row>
    <row r="14" spans="1:21" ht="13.5" thickBot="1" x14ac:dyDescent="0.25">
      <c r="A14" s="123">
        <f t="shared" ref="A14:C14" si="12">SUM(A12:A13)</f>
        <v>2278</v>
      </c>
      <c r="B14" s="123">
        <f t="shared" si="12"/>
        <v>412</v>
      </c>
      <c r="C14" s="123">
        <f t="shared" si="12"/>
        <v>1866</v>
      </c>
      <c r="D14" s="123">
        <f t="shared" si="0"/>
        <v>775</v>
      </c>
      <c r="E14" s="123">
        <f t="shared" ref="E14:F14" si="13">SUM(E12:E13)</f>
        <v>47</v>
      </c>
      <c r="F14" s="123">
        <f t="shared" si="13"/>
        <v>728</v>
      </c>
      <c r="G14" s="123">
        <f t="shared" si="1"/>
        <v>268</v>
      </c>
      <c r="H14" s="123">
        <f t="shared" ref="H14:I14" si="14">SUM(H12:H13)</f>
        <v>29</v>
      </c>
      <c r="I14" s="123">
        <f t="shared" si="14"/>
        <v>239</v>
      </c>
      <c r="J14" s="123">
        <f t="shared" si="2"/>
        <v>1149</v>
      </c>
      <c r="K14" s="123">
        <f t="shared" ref="K14:O14" si="15">SUM(K12:K13)</f>
        <v>320</v>
      </c>
      <c r="L14" s="123">
        <f t="shared" si="15"/>
        <v>829</v>
      </c>
      <c r="M14" s="123">
        <f t="shared" si="15"/>
        <v>33</v>
      </c>
      <c r="N14" s="123">
        <f t="shared" si="15"/>
        <v>12</v>
      </c>
      <c r="O14" s="123">
        <f t="shared" si="15"/>
        <v>21</v>
      </c>
      <c r="P14" s="123">
        <f t="shared" si="3"/>
        <v>53</v>
      </c>
      <c r="Q14" s="123">
        <f t="shared" ref="Q14" si="16">SUM(Q12:Q13)</f>
        <v>4</v>
      </c>
      <c r="R14" s="123">
        <f>SUM(R12:R13)</f>
        <v>49</v>
      </c>
      <c r="S14" s="7" t="s">
        <v>13</v>
      </c>
      <c r="T14" s="9"/>
      <c r="U14" s="1"/>
    </row>
    <row r="15" spans="1:21" ht="13.5" thickBot="1" x14ac:dyDescent="0.25">
      <c r="A15" s="123">
        <f t="shared" si="4"/>
        <v>3939</v>
      </c>
      <c r="B15" s="123">
        <f t="shared" si="5"/>
        <v>1035</v>
      </c>
      <c r="C15" s="123">
        <f t="shared" si="5"/>
        <v>2904</v>
      </c>
      <c r="D15" s="123">
        <f t="shared" si="0"/>
        <v>1752</v>
      </c>
      <c r="E15" s="123">
        <v>281</v>
      </c>
      <c r="F15" s="123">
        <v>1471</v>
      </c>
      <c r="G15" s="123">
        <f t="shared" si="1"/>
        <v>604</v>
      </c>
      <c r="H15" s="123">
        <v>151</v>
      </c>
      <c r="I15" s="123">
        <v>453</v>
      </c>
      <c r="J15" s="123">
        <f t="shared" si="2"/>
        <v>1411</v>
      </c>
      <c r="K15" s="123">
        <v>538</v>
      </c>
      <c r="L15" s="123">
        <v>873</v>
      </c>
      <c r="M15" s="123">
        <v>117</v>
      </c>
      <c r="N15" s="123">
        <v>38</v>
      </c>
      <c r="O15" s="123">
        <v>79</v>
      </c>
      <c r="P15" s="123">
        <f t="shared" si="3"/>
        <v>55</v>
      </c>
      <c r="Q15" s="123">
        <v>27</v>
      </c>
      <c r="R15" s="123">
        <v>28</v>
      </c>
      <c r="S15" s="7" t="s">
        <v>163</v>
      </c>
      <c r="T15" s="124"/>
      <c r="U15" s="1"/>
    </row>
    <row r="16" spans="1:21" ht="13.5" thickBot="1" x14ac:dyDescent="0.25">
      <c r="A16" s="123">
        <f t="shared" si="4"/>
        <v>2813</v>
      </c>
      <c r="B16" s="123">
        <f t="shared" si="5"/>
        <v>1750</v>
      </c>
      <c r="C16" s="123">
        <f t="shared" si="5"/>
        <v>1063</v>
      </c>
      <c r="D16" s="123">
        <f t="shared" si="0"/>
        <v>319</v>
      </c>
      <c r="E16" s="123">
        <v>104</v>
      </c>
      <c r="F16" s="123">
        <v>215</v>
      </c>
      <c r="G16" s="123">
        <f t="shared" si="1"/>
        <v>1581</v>
      </c>
      <c r="H16" s="123">
        <v>1285</v>
      </c>
      <c r="I16" s="123">
        <v>296</v>
      </c>
      <c r="J16" s="123">
        <f t="shared" si="2"/>
        <v>646</v>
      </c>
      <c r="K16" s="123">
        <v>303</v>
      </c>
      <c r="L16" s="123">
        <v>343</v>
      </c>
      <c r="M16" s="123">
        <v>137</v>
      </c>
      <c r="N16" s="123">
        <v>37</v>
      </c>
      <c r="O16" s="123">
        <v>100</v>
      </c>
      <c r="P16" s="123">
        <f t="shared" si="3"/>
        <v>130</v>
      </c>
      <c r="Q16" s="123">
        <v>21</v>
      </c>
      <c r="R16" s="123">
        <v>109</v>
      </c>
      <c r="S16" s="7" t="s">
        <v>162</v>
      </c>
      <c r="T16" s="124" t="s">
        <v>78</v>
      </c>
      <c r="U16" s="1"/>
    </row>
    <row r="17" spans="1:21" ht="13.5" thickBot="1" x14ac:dyDescent="0.25">
      <c r="A17" s="123">
        <f t="shared" ref="A17:C17" si="17">SUM(A15:A16)</f>
        <v>6752</v>
      </c>
      <c r="B17" s="123">
        <f t="shared" si="17"/>
        <v>2785</v>
      </c>
      <c r="C17" s="123">
        <f t="shared" si="17"/>
        <v>3967</v>
      </c>
      <c r="D17" s="123">
        <f t="shared" si="0"/>
        <v>2071</v>
      </c>
      <c r="E17" s="123">
        <f t="shared" ref="E17:F17" si="18">SUM(E15:E16)</f>
        <v>385</v>
      </c>
      <c r="F17" s="123">
        <f t="shared" si="18"/>
        <v>1686</v>
      </c>
      <c r="G17" s="123">
        <f t="shared" si="1"/>
        <v>2185</v>
      </c>
      <c r="H17" s="123">
        <f t="shared" ref="H17:I17" si="19">SUM(H15:H16)</f>
        <v>1436</v>
      </c>
      <c r="I17" s="123">
        <f t="shared" si="19"/>
        <v>749</v>
      </c>
      <c r="J17" s="123">
        <f t="shared" si="2"/>
        <v>2057</v>
      </c>
      <c r="K17" s="123">
        <f t="shared" ref="K17:O17" si="20">SUM(K15:K16)</f>
        <v>841</v>
      </c>
      <c r="L17" s="123">
        <f t="shared" si="20"/>
        <v>1216</v>
      </c>
      <c r="M17" s="123">
        <f t="shared" si="20"/>
        <v>254</v>
      </c>
      <c r="N17" s="123">
        <f t="shared" si="20"/>
        <v>75</v>
      </c>
      <c r="O17" s="123">
        <f t="shared" si="20"/>
        <v>179</v>
      </c>
      <c r="P17" s="123">
        <f t="shared" si="3"/>
        <v>185</v>
      </c>
      <c r="Q17" s="123">
        <f t="shared" ref="Q17" si="21">SUM(Q15:Q16)</f>
        <v>48</v>
      </c>
      <c r="R17" s="123">
        <f>SUM(R15:R16)</f>
        <v>137</v>
      </c>
      <c r="S17" s="7" t="s">
        <v>13</v>
      </c>
      <c r="T17" s="9"/>
      <c r="U17" s="1"/>
    </row>
    <row r="18" spans="1:21" ht="13.5" thickBot="1" x14ac:dyDescent="0.25">
      <c r="A18" s="123">
        <f t="shared" si="4"/>
        <v>1365</v>
      </c>
      <c r="B18" s="123">
        <f t="shared" si="5"/>
        <v>404</v>
      </c>
      <c r="C18" s="123">
        <f t="shared" si="5"/>
        <v>961</v>
      </c>
      <c r="D18" s="123">
        <f t="shared" si="0"/>
        <v>440</v>
      </c>
      <c r="E18" s="123">
        <v>84</v>
      </c>
      <c r="F18" s="123">
        <v>356</v>
      </c>
      <c r="G18" s="123">
        <f t="shared" si="1"/>
        <v>126</v>
      </c>
      <c r="H18" s="123">
        <v>18</v>
      </c>
      <c r="I18" s="123">
        <v>108</v>
      </c>
      <c r="J18" s="123">
        <f t="shared" si="2"/>
        <v>712</v>
      </c>
      <c r="K18" s="123">
        <v>290</v>
      </c>
      <c r="L18" s="123">
        <v>422</v>
      </c>
      <c r="M18" s="123">
        <v>81</v>
      </c>
      <c r="N18" s="123">
        <v>12</v>
      </c>
      <c r="O18" s="123">
        <v>69</v>
      </c>
      <c r="P18" s="123">
        <f t="shared" si="3"/>
        <v>6</v>
      </c>
      <c r="Q18" s="123">
        <v>0</v>
      </c>
      <c r="R18" s="123">
        <v>6</v>
      </c>
      <c r="S18" s="7" t="s">
        <v>163</v>
      </c>
      <c r="T18" s="124"/>
      <c r="U18" s="1"/>
    </row>
    <row r="19" spans="1:21" ht="13.5" thickBot="1" x14ac:dyDescent="0.25">
      <c r="A19" s="123">
        <f t="shared" si="4"/>
        <v>199</v>
      </c>
      <c r="B19" s="123">
        <f t="shared" si="5"/>
        <v>30</v>
      </c>
      <c r="C19" s="123">
        <f t="shared" si="5"/>
        <v>169</v>
      </c>
      <c r="D19" s="123">
        <f t="shared" si="0"/>
        <v>25</v>
      </c>
      <c r="E19" s="123">
        <v>4</v>
      </c>
      <c r="F19" s="123">
        <v>21</v>
      </c>
      <c r="G19" s="123">
        <f t="shared" si="1"/>
        <v>28</v>
      </c>
      <c r="H19" s="123">
        <v>2</v>
      </c>
      <c r="I19" s="123">
        <v>26</v>
      </c>
      <c r="J19" s="123">
        <f t="shared" si="2"/>
        <v>101</v>
      </c>
      <c r="K19" s="123">
        <v>23</v>
      </c>
      <c r="L19" s="123">
        <v>78</v>
      </c>
      <c r="M19" s="123">
        <v>43</v>
      </c>
      <c r="N19" s="123">
        <v>1</v>
      </c>
      <c r="O19" s="123">
        <v>42</v>
      </c>
      <c r="P19" s="123">
        <f t="shared" si="3"/>
        <v>2</v>
      </c>
      <c r="Q19" s="123">
        <v>0</v>
      </c>
      <c r="R19" s="123">
        <v>2</v>
      </c>
      <c r="S19" s="7" t="s">
        <v>162</v>
      </c>
      <c r="T19" s="124" t="s">
        <v>79</v>
      </c>
      <c r="U19" s="1"/>
    </row>
    <row r="20" spans="1:21" ht="13.5" thickBot="1" x14ac:dyDescent="0.25">
      <c r="A20" s="123">
        <f t="shared" ref="A20:C20" si="22">SUM(A18:A19)</f>
        <v>1564</v>
      </c>
      <c r="B20" s="123">
        <f t="shared" si="22"/>
        <v>434</v>
      </c>
      <c r="C20" s="123">
        <f t="shared" si="22"/>
        <v>1130</v>
      </c>
      <c r="D20" s="123">
        <f t="shared" si="0"/>
        <v>465</v>
      </c>
      <c r="E20" s="123">
        <f t="shared" ref="E20:F20" si="23">SUM(E18:E19)</f>
        <v>88</v>
      </c>
      <c r="F20" s="123">
        <f t="shared" si="23"/>
        <v>377</v>
      </c>
      <c r="G20" s="123">
        <f t="shared" si="1"/>
        <v>154</v>
      </c>
      <c r="H20" s="123">
        <f t="shared" ref="H20:I20" si="24">SUM(H18:H19)</f>
        <v>20</v>
      </c>
      <c r="I20" s="123">
        <f t="shared" si="24"/>
        <v>134</v>
      </c>
      <c r="J20" s="123">
        <f t="shared" si="2"/>
        <v>813</v>
      </c>
      <c r="K20" s="123">
        <f t="shared" ref="K20:O20" si="25">SUM(K18:K19)</f>
        <v>313</v>
      </c>
      <c r="L20" s="123">
        <f t="shared" si="25"/>
        <v>500</v>
      </c>
      <c r="M20" s="123">
        <f t="shared" si="25"/>
        <v>124</v>
      </c>
      <c r="N20" s="123">
        <f t="shared" si="25"/>
        <v>13</v>
      </c>
      <c r="O20" s="123">
        <f t="shared" si="25"/>
        <v>111</v>
      </c>
      <c r="P20" s="123">
        <f t="shared" si="3"/>
        <v>8</v>
      </c>
      <c r="Q20" s="123">
        <f t="shared" ref="Q20" si="26">SUM(Q18:Q19)</f>
        <v>0</v>
      </c>
      <c r="R20" s="123">
        <f>SUM(R18:R19)</f>
        <v>8</v>
      </c>
      <c r="S20" s="7" t="s">
        <v>13</v>
      </c>
      <c r="T20" s="9"/>
      <c r="U20" s="1"/>
    </row>
    <row r="21" spans="1:21" ht="13.5" thickBot="1" x14ac:dyDescent="0.25">
      <c r="A21" s="123">
        <f t="shared" si="4"/>
        <v>927</v>
      </c>
      <c r="B21" s="123">
        <f t="shared" si="5"/>
        <v>0</v>
      </c>
      <c r="C21" s="123">
        <f t="shared" si="5"/>
        <v>927</v>
      </c>
      <c r="D21" s="123">
        <f t="shared" si="0"/>
        <v>368</v>
      </c>
      <c r="E21" s="123">
        <v>0</v>
      </c>
      <c r="F21" s="123">
        <v>368</v>
      </c>
      <c r="G21" s="123">
        <f t="shared" si="1"/>
        <v>432</v>
      </c>
      <c r="H21" s="123">
        <v>0</v>
      </c>
      <c r="I21" s="123">
        <v>432</v>
      </c>
      <c r="J21" s="123">
        <f t="shared" si="2"/>
        <v>122</v>
      </c>
      <c r="K21" s="123">
        <v>0</v>
      </c>
      <c r="L21" s="123">
        <v>122</v>
      </c>
      <c r="M21" s="123">
        <v>3</v>
      </c>
      <c r="N21" s="123">
        <v>0</v>
      </c>
      <c r="O21" s="123">
        <v>3</v>
      </c>
      <c r="P21" s="123">
        <f t="shared" si="3"/>
        <v>2</v>
      </c>
      <c r="Q21" s="123">
        <v>0</v>
      </c>
      <c r="R21" s="123">
        <v>2</v>
      </c>
      <c r="S21" s="7" t="s">
        <v>163</v>
      </c>
      <c r="T21" s="124"/>
      <c r="U21" s="1"/>
    </row>
    <row r="22" spans="1:21" ht="13.5" thickBot="1" x14ac:dyDescent="0.25">
      <c r="A22" s="123">
        <f t="shared" si="4"/>
        <v>261</v>
      </c>
      <c r="B22" s="123">
        <f t="shared" si="5"/>
        <v>3</v>
      </c>
      <c r="C22" s="123">
        <f t="shared" si="5"/>
        <v>258</v>
      </c>
      <c r="D22" s="123">
        <f t="shared" si="0"/>
        <v>10</v>
      </c>
      <c r="E22" s="123">
        <v>1</v>
      </c>
      <c r="F22" s="123">
        <v>9</v>
      </c>
      <c r="G22" s="123">
        <f t="shared" si="1"/>
        <v>94</v>
      </c>
      <c r="H22" s="123">
        <v>1</v>
      </c>
      <c r="I22" s="123">
        <v>93</v>
      </c>
      <c r="J22" s="123">
        <f t="shared" si="2"/>
        <v>131</v>
      </c>
      <c r="K22" s="123">
        <v>1</v>
      </c>
      <c r="L22" s="123">
        <v>130</v>
      </c>
      <c r="M22" s="123">
        <v>24</v>
      </c>
      <c r="N22" s="123">
        <v>0</v>
      </c>
      <c r="O22" s="123">
        <v>24</v>
      </c>
      <c r="P22" s="123">
        <f t="shared" si="3"/>
        <v>2</v>
      </c>
      <c r="Q22" s="123">
        <v>0</v>
      </c>
      <c r="R22" s="123">
        <v>2</v>
      </c>
      <c r="S22" s="7" t="s">
        <v>162</v>
      </c>
      <c r="T22" s="124" t="s">
        <v>98</v>
      </c>
      <c r="U22" s="1"/>
    </row>
    <row r="23" spans="1:21" ht="13.5" thickBot="1" x14ac:dyDescent="0.25">
      <c r="A23" s="123">
        <f t="shared" ref="A23:C23" si="27">SUM(A21:A22)</f>
        <v>1188</v>
      </c>
      <c r="B23" s="123">
        <f t="shared" si="27"/>
        <v>3</v>
      </c>
      <c r="C23" s="123">
        <f t="shared" si="27"/>
        <v>1185</v>
      </c>
      <c r="D23" s="123">
        <f t="shared" si="0"/>
        <v>378</v>
      </c>
      <c r="E23" s="123">
        <f t="shared" ref="E23:F23" si="28">SUM(E21:E22)</f>
        <v>1</v>
      </c>
      <c r="F23" s="123">
        <f t="shared" si="28"/>
        <v>377</v>
      </c>
      <c r="G23" s="123">
        <f t="shared" si="1"/>
        <v>526</v>
      </c>
      <c r="H23" s="123">
        <f t="shared" ref="H23:I23" si="29">SUM(H21:H22)</f>
        <v>1</v>
      </c>
      <c r="I23" s="123">
        <f t="shared" si="29"/>
        <v>525</v>
      </c>
      <c r="J23" s="123">
        <f t="shared" si="2"/>
        <v>253</v>
      </c>
      <c r="K23" s="123">
        <f t="shared" ref="K23:O23" si="30">SUM(K21:K22)</f>
        <v>1</v>
      </c>
      <c r="L23" s="123">
        <f t="shared" si="30"/>
        <v>252</v>
      </c>
      <c r="M23" s="123">
        <f t="shared" si="30"/>
        <v>27</v>
      </c>
      <c r="N23" s="123">
        <f t="shared" si="30"/>
        <v>0</v>
      </c>
      <c r="O23" s="123">
        <f t="shared" si="30"/>
        <v>27</v>
      </c>
      <c r="P23" s="123">
        <f t="shared" si="3"/>
        <v>4</v>
      </c>
      <c r="Q23" s="123">
        <f t="shared" ref="Q23" si="31">SUM(Q21:Q22)</f>
        <v>0</v>
      </c>
      <c r="R23" s="123">
        <f>SUM(R21:R22)</f>
        <v>4</v>
      </c>
      <c r="S23" s="7" t="s">
        <v>13</v>
      </c>
      <c r="T23" s="9"/>
      <c r="U23" s="1"/>
    </row>
    <row r="24" spans="1:21" ht="13.5" thickBot="1" x14ac:dyDescent="0.25">
      <c r="A24" s="123">
        <f t="shared" si="4"/>
        <v>1650</v>
      </c>
      <c r="B24" s="123">
        <f t="shared" si="5"/>
        <v>505</v>
      </c>
      <c r="C24" s="123">
        <f t="shared" si="5"/>
        <v>1145</v>
      </c>
      <c r="D24" s="123">
        <f t="shared" si="0"/>
        <v>225</v>
      </c>
      <c r="E24" s="123">
        <v>64</v>
      </c>
      <c r="F24" s="123">
        <v>161</v>
      </c>
      <c r="G24" s="123">
        <f t="shared" si="1"/>
        <v>652</v>
      </c>
      <c r="H24" s="123">
        <v>141</v>
      </c>
      <c r="I24" s="123">
        <v>511</v>
      </c>
      <c r="J24" s="123">
        <f t="shared" si="2"/>
        <v>760</v>
      </c>
      <c r="K24" s="123">
        <v>296</v>
      </c>
      <c r="L24" s="123">
        <v>464</v>
      </c>
      <c r="M24" s="123">
        <v>13</v>
      </c>
      <c r="N24" s="123">
        <v>4</v>
      </c>
      <c r="O24" s="123">
        <v>9</v>
      </c>
      <c r="P24" s="123">
        <f t="shared" si="3"/>
        <v>0</v>
      </c>
      <c r="Q24" s="123">
        <v>0</v>
      </c>
      <c r="R24" s="123">
        <v>0</v>
      </c>
      <c r="S24" s="7" t="s">
        <v>163</v>
      </c>
      <c r="T24" s="124"/>
      <c r="U24" s="1"/>
    </row>
    <row r="25" spans="1:21" ht="13.5" thickBot="1" x14ac:dyDescent="0.25">
      <c r="A25" s="123">
        <f t="shared" si="4"/>
        <v>42</v>
      </c>
      <c r="B25" s="123">
        <f t="shared" si="5"/>
        <v>7</v>
      </c>
      <c r="C25" s="123">
        <f t="shared" si="5"/>
        <v>35</v>
      </c>
      <c r="D25" s="123">
        <f t="shared" si="0"/>
        <v>0</v>
      </c>
      <c r="E25" s="123">
        <v>0</v>
      </c>
      <c r="F25" s="123">
        <v>0</v>
      </c>
      <c r="G25" s="123">
        <f t="shared" si="1"/>
        <v>0</v>
      </c>
      <c r="H25" s="123">
        <v>0</v>
      </c>
      <c r="I25" s="123">
        <v>0</v>
      </c>
      <c r="J25" s="123">
        <f t="shared" si="2"/>
        <v>37</v>
      </c>
      <c r="K25" s="123">
        <v>5</v>
      </c>
      <c r="L25" s="123">
        <v>32</v>
      </c>
      <c r="M25" s="123">
        <v>5</v>
      </c>
      <c r="N25" s="123">
        <v>2</v>
      </c>
      <c r="O25" s="123">
        <v>3</v>
      </c>
      <c r="P25" s="123">
        <f t="shared" si="3"/>
        <v>0</v>
      </c>
      <c r="Q25" s="123">
        <v>0</v>
      </c>
      <c r="R25" s="123">
        <v>0</v>
      </c>
      <c r="S25" s="7" t="s">
        <v>162</v>
      </c>
      <c r="T25" s="124" t="s">
        <v>80</v>
      </c>
      <c r="U25" s="1"/>
    </row>
    <row r="26" spans="1:21" ht="13.5" thickBot="1" x14ac:dyDescent="0.25">
      <c r="A26" s="123">
        <f t="shared" ref="A26:C26" si="32">SUM(A24:A25)</f>
        <v>1692</v>
      </c>
      <c r="B26" s="123">
        <f t="shared" si="32"/>
        <v>512</v>
      </c>
      <c r="C26" s="123">
        <f t="shared" si="32"/>
        <v>1180</v>
      </c>
      <c r="D26" s="123">
        <f t="shared" si="0"/>
        <v>225</v>
      </c>
      <c r="E26" s="123">
        <f t="shared" ref="E26:F26" si="33">SUM(E24:E25)</f>
        <v>64</v>
      </c>
      <c r="F26" s="123">
        <f t="shared" si="33"/>
        <v>161</v>
      </c>
      <c r="G26" s="123">
        <f t="shared" si="1"/>
        <v>652</v>
      </c>
      <c r="H26" s="123">
        <f t="shared" ref="H26:I26" si="34">SUM(H24:H25)</f>
        <v>141</v>
      </c>
      <c r="I26" s="123">
        <f t="shared" si="34"/>
        <v>511</v>
      </c>
      <c r="J26" s="123">
        <f t="shared" si="2"/>
        <v>797</v>
      </c>
      <c r="K26" s="123">
        <f t="shared" ref="K26:O26" si="35">SUM(K24:K25)</f>
        <v>301</v>
      </c>
      <c r="L26" s="123">
        <f t="shared" si="35"/>
        <v>496</v>
      </c>
      <c r="M26" s="123">
        <f t="shared" si="35"/>
        <v>18</v>
      </c>
      <c r="N26" s="123">
        <f t="shared" si="35"/>
        <v>6</v>
      </c>
      <c r="O26" s="123">
        <f t="shared" si="35"/>
        <v>12</v>
      </c>
      <c r="P26" s="123">
        <f t="shared" si="3"/>
        <v>0</v>
      </c>
      <c r="Q26" s="123">
        <f t="shared" ref="Q26" si="36">SUM(Q24:Q25)</f>
        <v>0</v>
      </c>
      <c r="R26" s="123">
        <f>SUM(R24:R25)</f>
        <v>0</v>
      </c>
      <c r="S26" s="7" t="s">
        <v>13</v>
      </c>
      <c r="T26" s="9"/>
      <c r="U26" s="1"/>
    </row>
    <row r="27" spans="1:21" ht="13.5" thickBot="1" x14ac:dyDescent="0.25">
      <c r="A27" s="123">
        <f t="shared" si="4"/>
        <v>2381</v>
      </c>
      <c r="B27" s="123">
        <f t="shared" si="5"/>
        <v>591</v>
      </c>
      <c r="C27" s="123">
        <f t="shared" si="5"/>
        <v>1790</v>
      </c>
      <c r="D27" s="123">
        <f t="shared" si="0"/>
        <v>571</v>
      </c>
      <c r="E27" s="123">
        <v>200</v>
      </c>
      <c r="F27" s="123">
        <v>371</v>
      </c>
      <c r="G27" s="123">
        <f t="shared" si="1"/>
        <v>236</v>
      </c>
      <c r="H27" s="123">
        <v>100</v>
      </c>
      <c r="I27" s="123">
        <v>136</v>
      </c>
      <c r="J27" s="123">
        <f t="shared" si="2"/>
        <v>129</v>
      </c>
      <c r="K27" s="123">
        <v>35</v>
      </c>
      <c r="L27" s="123">
        <v>94</v>
      </c>
      <c r="M27" s="123">
        <v>762</v>
      </c>
      <c r="N27" s="123">
        <v>256</v>
      </c>
      <c r="O27" s="123">
        <v>506</v>
      </c>
      <c r="P27" s="123">
        <f t="shared" si="3"/>
        <v>683</v>
      </c>
      <c r="Q27" s="123">
        <v>0</v>
      </c>
      <c r="R27" s="123">
        <v>683</v>
      </c>
      <c r="S27" s="7" t="s">
        <v>163</v>
      </c>
      <c r="T27" s="124"/>
      <c r="U27" s="1"/>
    </row>
    <row r="28" spans="1:21" ht="13.5" thickBot="1" x14ac:dyDescent="0.25">
      <c r="A28" s="123">
        <f t="shared" si="4"/>
        <v>45</v>
      </c>
      <c r="B28" s="123">
        <f t="shared" si="5"/>
        <v>23</v>
      </c>
      <c r="C28" s="123">
        <f t="shared" si="5"/>
        <v>22</v>
      </c>
      <c r="D28" s="123">
        <f t="shared" si="0"/>
        <v>0</v>
      </c>
      <c r="E28" s="123">
        <v>0</v>
      </c>
      <c r="F28" s="123">
        <v>0</v>
      </c>
      <c r="G28" s="123">
        <f t="shared" si="1"/>
        <v>2</v>
      </c>
      <c r="H28" s="123">
        <v>0</v>
      </c>
      <c r="I28" s="123">
        <v>2</v>
      </c>
      <c r="J28" s="123">
        <f t="shared" si="2"/>
        <v>9</v>
      </c>
      <c r="K28" s="123">
        <v>1</v>
      </c>
      <c r="L28" s="123">
        <v>8</v>
      </c>
      <c r="M28" s="123">
        <v>23</v>
      </c>
      <c r="N28" s="123">
        <v>16</v>
      </c>
      <c r="O28" s="123">
        <v>7</v>
      </c>
      <c r="P28" s="123">
        <f t="shared" si="3"/>
        <v>11</v>
      </c>
      <c r="Q28" s="123">
        <v>6</v>
      </c>
      <c r="R28" s="123">
        <v>5</v>
      </c>
      <c r="S28" s="7" t="s">
        <v>162</v>
      </c>
      <c r="T28" s="124" t="s">
        <v>81</v>
      </c>
      <c r="U28" s="1"/>
    </row>
    <row r="29" spans="1:21" ht="13.5" thickBot="1" x14ac:dyDescent="0.25">
      <c r="A29" s="123">
        <f t="shared" ref="A29:C29" si="37">SUM(A27:A28)</f>
        <v>2426</v>
      </c>
      <c r="B29" s="123">
        <f t="shared" si="37"/>
        <v>614</v>
      </c>
      <c r="C29" s="123">
        <f t="shared" si="37"/>
        <v>1812</v>
      </c>
      <c r="D29" s="123">
        <f t="shared" si="0"/>
        <v>571</v>
      </c>
      <c r="E29" s="123">
        <f t="shared" ref="E29:F29" si="38">SUM(E27:E28)</f>
        <v>200</v>
      </c>
      <c r="F29" s="123">
        <f t="shared" si="38"/>
        <v>371</v>
      </c>
      <c r="G29" s="123">
        <f t="shared" si="1"/>
        <v>238</v>
      </c>
      <c r="H29" s="123">
        <f t="shared" ref="H29:I29" si="39">SUM(H27:H28)</f>
        <v>100</v>
      </c>
      <c r="I29" s="123">
        <f t="shared" si="39"/>
        <v>138</v>
      </c>
      <c r="J29" s="123">
        <f t="shared" si="2"/>
        <v>138</v>
      </c>
      <c r="K29" s="123">
        <f t="shared" ref="K29:O29" si="40">SUM(K27:K28)</f>
        <v>36</v>
      </c>
      <c r="L29" s="123">
        <f t="shared" si="40"/>
        <v>102</v>
      </c>
      <c r="M29" s="123">
        <f t="shared" si="40"/>
        <v>785</v>
      </c>
      <c r="N29" s="123">
        <f t="shared" si="40"/>
        <v>272</v>
      </c>
      <c r="O29" s="123">
        <f t="shared" si="40"/>
        <v>513</v>
      </c>
      <c r="P29" s="123">
        <f t="shared" si="3"/>
        <v>694</v>
      </c>
      <c r="Q29" s="123">
        <f t="shared" ref="Q29" si="41">SUM(Q27:Q28)</f>
        <v>6</v>
      </c>
      <c r="R29" s="123">
        <f>SUM(R27:R28)</f>
        <v>688</v>
      </c>
      <c r="S29" s="7" t="s">
        <v>13</v>
      </c>
      <c r="T29" s="9"/>
      <c r="U29" s="1"/>
    </row>
    <row r="30" spans="1:21" ht="13.5" thickBot="1" x14ac:dyDescent="0.25">
      <c r="A30" s="123">
        <f t="shared" si="4"/>
        <v>829</v>
      </c>
      <c r="B30" s="123">
        <f t="shared" si="5"/>
        <v>88</v>
      </c>
      <c r="C30" s="123">
        <f t="shared" si="5"/>
        <v>741</v>
      </c>
      <c r="D30" s="123">
        <f t="shared" si="0"/>
        <v>501</v>
      </c>
      <c r="E30" s="123">
        <v>76</v>
      </c>
      <c r="F30" s="123">
        <v>425</v>
      </c>
      <c r="G30" s="123">
        <f t="shared" si="1"/>
        <v>138</v>
      </c>
      <c r="H30" s="123">
        <v>0</v>
      </c>
      <c r="I30" s="123">
        <v>138</v>
      </c>
      <c r="J30" s="123">
        <f t="shared" si="2"/>
        <v>181</v>
      </c>
      <c r="K30" s="123">
        <v>12</v>
      </c>
      <c r="L30" s="123">
        <v>169</v>
      </c>
      <c r="M30" s="123">
        <v>6</v>
      </c>
      <c r="N30" s="123">
        <v>0</v>
      </c>
      <c r="O30" s="123">
        <v>6</v>
      </c>
      <c r="P30" s="123">
        <f t="shared" si="3"/>
        <v>3</v>
      </c>
      <c r="Q30" s="123">
        <v>0</v>
      </c>
      <c r="R30" s="123">
        <v>3</v>
      </c>
      <c r="S30" s="7" t="s">
        <v>163</v>
      </c>
      <c r="T30" s="124"/>
      <c r="U30" s="1"/>
    </row>
    <row r="31" spans="1:21" ht="13.5" thickBot="1" x14ac:dyDescent="0.25">
      <c r="A31" s="123">
        <f t="shared" si="4"/>
        <v>97</v>
      </c>
      <c r="B31" s="123">
        <f t="shared" si="5"/>
        <v>38</v>
      </c>
      <c r="C31" s="123">
        <f t="shared" si="5"/>
        <v>59</v>
      </c>
      <c r="D31" s="123">
        <f t="shared" si="0"/>
        <v>56</v>
      </c>
      <c r="E31" s="123">
        <v>27</v>
      </c>
      <c r="F31" s="123">
        <v>29</v>
      </c>
      <c r="G31" s="123">
        <f t="shared" si="1"/>
        <v>3</v>
      </c>
      <c r="H31" s="123">
        <v>1</v>
      </c>
      <c r="I31" s="123">
        <v>2</v>
      </c>
      <c r="J31" s="123">
        <f t="shared" si="2"/>
        <v>27</v>
      </c>
      <c r="K31" s="123">
        <v>9</v>
      </c>
      <c r="L31" s="123">
        <v>18</v>
      </c>
      <c r="M31" s="123">
        <v>10</v>
      </c>
      <c r="N31" s="123">
        <v>1</v>
      </c>
      <c r="O31" s="123">
        <v>9</v>
      </c>
      <c r="P31" s="123">
        <f t="shared" si="3"/>
        <v>1</v>
      </c>
      <c r="Q31" s="123">
        <v>0</v>
      </c>
      <c r="R31" s="123">
        <v>1</v>
      </c>
      <c r="S31" s="7" t="s">
        <v>162</v>
      </c>
      <c r="T31" s="124" t="s">
        <v>108</v>
      </c>
      <c r="U31" s="1"/>
    </row>
    <row r="32" spans="1:21" ht="13.5" thickBot="1" x14ac:dyDescent="0.25">
      <c r="A32" s="123">
        <f t="shared" ref="A32:C32" si="42">SUM(A30:A31)</f>
        <v>926</v>
      </c>
      <c r="B32" s="123">
        <f t="shared" si="42"/>
        <v>126</v>
      </c>
      <c r="C32" s="123">
        <f t="shared" si="42"/>
        <v>800</v>
      </c>
      <c r="D32" s="123">
        <f t="shared" si="0"/>
        <v>557</v>
      </c>
      <c r="E32" s="123">
        <f t="shared" ref="E32:F32" si="43">SUM(E30:E31)</f>
        <v>103</v>
      </c>
      <c r="F32" s="123">
        <f t="shared" si="43"/>
        <v>454</v>
      </c>
      <c r="G32" s="123">
        <f t="shared" si="1"/>
        <v>141</v>
      </c>
      <c r="H32" s="123">
        <f t="shared" ref="H32:I32" si="44">SUM(H30:H31)</f>
        <v>1</v>
      </c>
      <c r="I32" s="123">
        <f t="shared" si="44"/>
        <v>140</v>
      </c>
      <c r="J32" s="123">
        <f t="shared" si="2"/>
        <v>208</v>
      </c>
      <c r="K32" s="123">
        <f t="shared" ref="K32:O32" si="45">SUM(K30:K31)</f>
        <v>21</v>
      </c>
      <c r="L32" s="123">
        <f t="shared" si="45"/>
        <v>187</v>
      </c>
      <c r="M32" s="123">
        <f t="shared" si="45"/>
        <v>16</v>
      </c>
      <c r="N32" s="123">
        <f t="shared" si="45"/>
        <v>1</v>
      </c>
      <c r="O32" s="123">
        <f t="shared" si="45"/>
        <v>15</v>
      </c>
      <c r="P32" s="123">
        <f t="shared" si="3"/>
        <v>4</v>
      </c>
      <c r="Q32" s="123">
        <f t="shared" ref="Q32" si="46">SUM(Q30:Q31)</f>
        <v>0</v>
      </c>
      <c r="R32" s="123">
        <f>SUM(R30:R31)</f>
        <v>4</v>
      </c>
      <c r="S32" s="7" t="s">
        <v>13</v>
      </c>
      <c r="T32" s="9"/>
      <c r="U32" s="1"/>
    </row>
    <row r="33" spans="1:21" ht="13.5" thickBot="1" x14ac:dyDescent="0.25">
      <c r="A33" s="123">
        <f t="shared" si="4"/>
        <v>526</v>
      </c>
      <c r="B33" s="123">
        <f t="shared" si="5"/>
        <v>114</v>
      </c>
      <c r="C33" s="123">
        <f t="shared" si="5"/>
        <v>412</v>
      </c>
      <c r="D33" s="123">
        <f t="shared" si="0"/>
        <v>6</v>
      </c>
      <c r="E33" s="123">
        <v>6</v>
      </c>
      <c r="F33" s="123">
        <v>0</v>
      </c>
      <c r="G33" s="123">
        <f t="shared" si="1"/>
        <v>312</v>
      </c>
      <c r="H33" s="123">
        <v>16</v>
      </c>
      <c r="I33" s="123">
        <v>296</v>
      </c>
      <c r="J33" s="123">
        <f t="shared" si="2"/>
        <v>201</v>
      </c>
      <c r="K33" s="123">
        <v>91</v>
      </c>
      <c r="L33" s="123">
        <v>110</v>
      </c>
      <c r="M33" s="123">
        <v>6</v>
      </c>
      <c r="N33" s="123">
        <v>1</v>
      </c>
      <c r="O33" s="123">
        <v>5</v>
      </c>
      <c r="P33" s="123">
        <f t="shared" si="3"/>
        <v>1</v>
      </c>
      <c r="Q33" s="123">
        <v>0</v>
      </c>
      <c r="R33" s="123">
        <v>1</v>
      </c>
      <c r="S33" s="7" t="s">
        <v>163</v>
      </c>
      <c r="T33" s="124"/>
      <c r="U33" s="1"/>
    </row>
    <row r="34" spans="1:21" ht="13.5" thickBot="1" x14ac:dyDescent="0.25">
      <c r="A34" s="123">
        <f t="shared" si="4"/>
        <v>14</v>
      </c>
      <c r="B34" s="123">
        <f t="shared" si="5"/>
        <v>0</v>
      </c>
      <c r="C34" s="123">
        <f t="shared" si="5"/>
        <v>14</v>
      </c>
      <c r="D34" s="123">
        <f t="shared" si="0"/>
        <v>0</v>
      </c>
      <c r="E34" s="123">
        <v>0</v>
      </c>
      <c r="F34" s="123">
        <v>0</v>
      </c>
      <c r="G34" s="123">
        <f t="shared" si="1"/>
        <v>0</v>
      </c>
      <c r="H34" s="123">
        <v>0</v>
      </c>
      <c r="I34" s="123">
        <v>0</v>
      </c>
      <c r="J34" s="123">
        <f t="shared" si="2"/>
        <v>8</v>
      </c>
      <c r="K34" s="123">
        <v>0</v>
      </c>
      <c r="L34" s="123">
        <v>8</v>
      </c>
      <c r="M34" s="123">
        <v>5</v>
      </c>
      <c r="N34" s="123">
        <v>0</v>
      </c>
      <c r="O34" s="123">
        <v>5</v>
      </c>
      <c r="P34" s="123">
        <f t="shared" si="3"/>
        <v>1</v>
      </c>
      <c r="Q34" s="123">
        <v>0</v>
      </c>
      <c r="R34" s="123">
        <v>1</v>
      </c>
      <c r="S34" s="7" t="s">
        <v>162</v>
      </c>
      <c r="T34" s="124" t="s">
        <v>82</v>
      </c>
      <c r="U34" s="1"/>
    </row>
    <row r="35" spans="1:21" ht="13.5" thickBot="1" x14ac:dyDescent="0.25">
      <c r="A35" s="123">
        <f t="shared" ref="A35:C35" si="47">SUM(A33:A34)</f>
        <v>540</v>
      </c>
      <c r="B35" s="123">
        <f t="shared" si="47"/>
        <v>114</v>
      </c>
      <c r="C35" s="123">
        <f t="shared" si="47"/>
        <v>426</v>
      </c>
      <c r="D35" s="123">
        <f t="shared" si="0"/>
        <v>6</v>
      </c>
      <c r="E35" s="123">
        <f t="shared" ref="E35:F35" si="48">SUM(E33:E34)</f>
        <v>6</v>
      </c>
      <c r="F35" s="123">
        <f t="shared" si="48"/>
        <v>0</v>
      </c>
      <c r="G35" s="123">
        <f t="shared" si="1"/>
        <v>312</v>
      </c>
      <c r="H35" s="123">
        <f t="shared" ref="H35:I35" si="49">SUM(H33:H34)</f>
        <v>16</v>
      </c>
      <c r="I35" s="123">
        <f t="shared" si="49"/>
        <v>296</v>
      </c>
      <c r="J35" s="123">
        <f t="shared" si="2"/>
        <v>209</v>
      </c>
      <c r="K35" s="123">
        <f t="shared" ref="K35:O35" si="50">SUM(K33:K34)</f>
        <v>91</v>
      </c>
      <c r="L35" s="123">
        <f t="shared" si="50"/>
        <v>118</v>
      </c>
      <c r="M35" s="123">
        <f t="shared" si="50"/>
        <v>11</v>
      </c>
      <c r="N35" s="123">
        <f t="shared" si="50"/>
        <v>1</v>
      </c>
      <c r="O35" s="123">
        <f t="shared" si="50"/>
        <v>10</v>
      </c>
      <c r="P35" s="123">
        <f t="shared" si="3"/>
        <v>2</v>
      </c>
      <c r="Q35" s="123">
        <f t="shared" ref="Q35" si="51">SUM(Q33:Q34)</f>
        <v>0</v>
      </c>
      <c r="R35" s="123">
        <f>SUM(R33:R34)</f>
        <v>2</v>
      </c>
      <c r="S35" s="7" t="s">
        <v>13</v>
      </c>
      <c r="T35" s="9"/>
      <c r="U35" s="1"/>
    </row>
    <row r="36" spans="1:21" ht="13.5" thickBot="1" x14ac:dyDescent="0.25">
      <c r="A36" s="123">
        <f t="shared" si="4"/>
        <v>473</v>
      </c>
      <c r="B36" s="123">
        <f t="shared" si="5"/>
        <v>174</v>
      </c>
      <c r="C36" s="123">
        <f t="shared" si="5"/>
        <v>299</v>
      </c>
      <c r="D36" s="123">
        <f t="shared" si="0"/>
        <v>156</v>
      </c>
      <c r="E36" s="123">
        <v>50</v>
      </c>
      <c r="F36" s="123">
        <v>106</v>
      </c>
      <c r="G36" s="123">
        <f t="shared" si="1"/>
        <v>88</v>
      </c>
      <c r="H36" s="123">
        <v>28</v>
      </c>
      <c r="I36" s="123">
        <v>60</v>
      </c>
      <c r="J36" s="123">
        <f t="shared" si="2"/>
        <v>224</v>
      </c>
      <c r="K36" s="123">
        <v>96</v>
      </c>
      <c r="L36" s="123">
        <v>128</v>
      </c>
      <c r="M36" s="123">
        <v>3</v>
      </c>
      <c r="N36" s="123">
        <v>0</v>
      </c>
      <c r="O36" s="123">
        <v>3</v>
      </c>
      <c r="P36" s="123">
        <f t="shared" si="3"/>
        <v>2</v>
      </c>
      <c r="Q36" s="123">
        <v>0</v>
      </c>
      <c r="R36" s="123">
        <v>2</v>
      </c>
      <c r="S36" s="7" t="s">
        <v>163</v>
      </c>
      <c r="T36" s="124"/>
      <c r="U36" s="1"/>
    </row>
    <row r="37" spans="1:21" ht="13.5" thickBot="1" x14ac:dyDescent="0.25">
      <c r="A37" s="123">
        <f t="shared" si="4"/>
        <v>6</v>
      </c>
      <c r="B37" s="123">
        <f t="shared" si="5"/>
        <v>0</v>
      </c>
      <c r="C37" s="123">
        <f t="shared" si="5"/>
        <v>6</v>
      </c>
      <c r="D37" s="123">
        <f t="shared" si="0"/>
        <v>0</v>
      </c>
      <c r="E37" s="123">
        <v>0</v>
      </c>
      <c r="F37" s="123">
        <v>0</v>
      </c>
      <c r="G37" s="123">
        <f t="shared" si="1"/>
        <v>1</v>
      </c>
      <c r="H37" s="123">
        <v>0</v>
      </c>
      <c r="I37" s="123">
        <v>1</v>
      </c>
      <c r="J37" s="123">
        <f t="shared" si="2"/>
        <v>3</v>
      </c>
      <c r="K37" s="123">
        <v>0</v>
      </c>
      <c r="L37" s="123">
        <v>3</v>
      </c>
      <c r="M37" s="123">
        <v>2</v>
      </c>
      <c r="N37" s="123">
        <v>0</v>
      </c>
      <c r="O37" s="123">
        <v>2</v>
      </c>
      <c r="P37" s="123">
        <f t="shared" si="3"/>
        <v>0</v>
      </c>
      <c r="Q37" s="123">
        <v>0</v>
      </c>
      <c r="R37" s="123">
        <v>0</v>
      </c>
      <c r="S37" s="7" t="s">
        <v>162</v>
      </c>
      <c r="T37" s="124" t="s">
        <v>83</v>
      </c>
      <c r="U37" s="1"/>
    </row>
    <row r="38" spans="1:21" ht="13.5" thickBot="1" x14ac:dyDescent="0.25">
      <c r="A38" s="123">
        <f t="shared" ref="A38:C38" si="52">SUM(A36:A37)</f>
        <v>479</v>
      </c>
      <c r="B38" s="123">
        <f t="shared" si="52"/>
        <v>174</v>
      </c>
      <c r="C38" s="123">
        <f t="shared" si="52"/>
        <v>305</v>
      </c>
      <c r="D38" s="123">
        <f t="shared" si="0"/>
        <v>156</v>
      </c>
      <c r="E38" s="123">
        <f t="shared" ref="E38:F38" si="53">SUM(E36:E37)</f>
        <v>50</v>
      </c>
      <c r="F38" s="123">
        <f t="shared" si="53"/>
        <v>106</v>
      </c>
      <c r="G38" s="123">
        <f t="shared" si="1"/>
        <v>89</v>
      </c>
      <c r="H38" s="123">
        <f t="shared" ref="H38:I38" si="54">SUM(H36:H37)</f>
        <v>28</v>
      </c>
      <c r="I38" s="123">
        <f t="shared" si="54"/>
        <v>61</v>
      </c>
      <c r="J38" s="123">
        <f t="shared" si="2"/>
        <v>227</v>
      </c>
      <c r="K38" s="123">
        <f t="shared" ref="K38:O38" si="55">SUM(K36:K37)</f>
        <v>96</v>
      </c>
      <c r="L38" s="123">
        <f t="shared" si="55"/>
        <v>131</v>
      </c>
      <c r="M38" s="123">
        <f t="shared" si="55"/>
        <v>5</v>
      </c>
      <c r="N38" s="123">
        <f t="shared" si="55"/>
        <v>0</v>
      </c>
      <c r="O38" s="123">
        <f t="shared" si="55"/>
        <v>5</v>
      </c>
      <c r="P38" s="123">
        <f t="shared" si="3"/>
        <v>2</v>
      </c>
      <c r="Q38" s="123">
        <f t="shared" ref="Q38" si="56">SUM(Q36:Q37)</f>
        <v>0</v>
      </c>
      <c r="R38" s="123">
        <f>SUM(R36:R37)</f>
        <v>2</v>
      </c>
      <c r="S38" s="7" t="s">
        <v>13</v>
      </c>
      <c r="T38" s="9"/>
      <c r="U38" s="1"/>
    </row>
    <row r="39" spans="1:21" ht="13.5" thickBot="1" x14ac:dyDescent="0.25">
      <c r="A39" s="123">
        <f t="shared" si="4"/>
        <v>61</v>
      </c>
      <c r="B39" s="123">
        <f t="shared" si="5"/>
        <v>56</v>
      </c>
      <c r="C39" s="123">
        <f t="shared" si="5"/>
        <v>5</v>
      </c>
      <c r="D39" s="123">
        <f t="shared" si="0"/>
        <v>0</v>
      </c>
      <c r="E39" s="123">
        <v>0</v>
      </c>
      <c r="F39" s="123">
        <v>0</v>
      </c>
      <c r="G39" s="123">
        <f t="shared" si="1"/>
        <v>16</v>
      </c>
      <c r="H39" s="123">
        <v>14</v>
      </c>
      <c r="I39" s="123">
        <v>2</v>
      </c>
      <c r="J39" s="123">
        <f t="shared" si="2"/>
        <v>38</v>
      </c>
      <c r="K39" s="123">
        <v>37</v>
      </c>
      <c r="L39" s="123">
        <v>1</v>
      </c>
      <c r="M39" s="123">
        <v>4</v>
      </c>
      <c r="N39" s="123">
        <v>4</v>
      </c>
      <c r="O39" s="123">
        <v>0</v>
      </c>
      <c r="P39" s="123">
        <f t="shared" si="3"/>
        <v>3</v>
      </c>
      <c r="Q39" s="123">
        <v>1</v>
      </c>
      <c r="R39" s="123">
        <v>2</v>
      </c>
      <c r="S39" s="7" t="s">
        <v>163</v>
      </c>
      <c r="T39" s="124"/>
      <c r="U39" s="1"/>
    </row>
    <row r="40" spans="1:21" ht="13.5" thickBot="1" x14ac:dyDescent="0.25">
      <c r="A40" s="123">
        <f t="shared" si="4"/>
        <v>20</v>
      </c>
      <c r="B40" s="123">
        <f t="shared" si="5"/>
        <v>18</v>
      </c>
      <c r="C40" s="123">
        <f t="shared" si="5"/>
        <v>2</v>
      </c>
      <c r="D40" s="123">
        <f t="shared" si="0"/>
        <v>0</v>
      </c>
      <c r="E40" s="123">
        <v>0</v>
      </c>
      <c r="F40" s="123">
        <v>0</v>
      </c>
      <c r="G40" s="123">
        <f t="shared" si="1"/>
        <v>0</v>
      </c>
      <c r="H40" s="123">
        <v>0</v>
      </c>
      <c r="I40" s="123">
        <v>0</v>
      </c>
      <c r="J40" s="123">
        <f t="shared" si="2"/>
        <v>16</v>
      </c>
      <c r="K40" s="123">
        <v>15</v>
      </c>
      <c r="L40" s="123">
        <v>1</v>
      </c>
      <c r="M40" s="123">
        <v>3</v>
      </c>
      <c r="N40" s="123">
        <v>2</v>
      </c>
      <c r="O40" s="123">
        <v>1</v>
      </c>
      <c r="P40" s="123">
        <f t="shared" si="3"/>
        <v>1</v>
      </c>
      <c r="Q40" s="123">
        <v>1</v>
      </c>
      <c r="R40" s="123">
        <v>0</v>
      </c>
      <c r="S40" s="7" t="s">
        <v>162</v>
      </c>
      <c r="T40" s="124" t="s">
        <v>165</v>
      </c>
      <c r="U40" s="1"/>
    </row>
    <row r="41" spans="1:21" ht="13.5" thickBot="1" x14ac:dyDescent="0.25">
      <c r="A41" s="123">
        <f t="shared" ref="A41:C41" si="57">SUM(A39:A40)</f>
        <v>81</v>
      </c>
      <c r="B41" s="123">
        <f t="shared" si="57"/>
        <v>74</v>
      </c>
      <c r="C41" s="123">
        <f t="shared" si="57"/>
        <v>7</v>
      </c>
      <c r="D41" s="123">
        <f t="shared" si="0"/>
        <v>0</v>
      </c>
      <c r="E41" s="123">
        <f t="shared" ref="E41:F41" si="58">SUM(E39:E40)</f>
        <v>0</v>
      </c>
      <c r="F41" s="123">
        <f t="shared" si="58"/>
        <v>0</v>
      </c>
      <c r="G41" s="123">
        <f t="shared" si="1"/>
        <v>16</v>
      </c>
      <c r="H41" s="123">
        <f t="shared" ref="H41:I41" si="59">SUM(H39:H40)</f>
        <v>14</v>
      </c>
      <c r="I41" s="123">
        <f t="shared" si="59"/>
        <v>2</v>
      </c>
      <c r="J41" s="123">
        <f t="shared" si="2"/>
        <v>54</v>
      </c>
      <c r="K41" s="123">
        <f t="shared" ref="K41:O41" si="60">SUM(K39:K40)</f>
        <v>52</v>
      </c>
      <c r="L41" s="123">
        <f t="shared" si="60"/>
        <v>2</v>
      </c>
      <c r="M41" s="123">
        <f t="shared" si="60"/>
        <v>7</v>
      </c>
      <c r="N41" s="123">
        <f t="shared" si="60"/>
        <v>6</v>
      </c>
      <c r="O41" s="123">
        <f t="shared" si="60"/>
        <v>1</v>
      </c>
      <c r="P41" s="123">
        <f t="shared" si="3"/>
        <v>4</v>
      </c>
      <c r="Q41" s="123">
        <f t="shared" ref="Q41" si="61">SUM(Q39:Q40)</f>
        <v>2</v>
      </c>
      <c r="R41" s="123">
        <f>SUM(R39:R40)</f>
        <v>2</v>
      </c>
      <c r="S41" s="7" t="s">
        <v>13</v>
      </c>
      <c r="T41" s="9"/>
      <c r="U41" s="1"/>
    </row>
    <row r="42" spans="1:21" ht="13.5" thickBot="1" x14ac:dyDescent="0.25">
      <c r="A42" s="123">
        <f t="shared" si="4"/>
        <v>633</v>
      </c>
      <c r="B42" s="123">
        <f t="shared" si="5"/>
        <v>249</v>
      </c>
      <c r="C42" s="123">
        <f t="shared" si="5"/>
        <v>384</v>
      </c>
      <c r="D42" s="123">
        <f t="shared" si="0"/>
        <v>135</v>
      </c>
      <c r="E42" s="123">
        <v>44</v>
      </c>
      <c r="F42" s="123">
        <v>91</v>
      </c>
      <c r="G42" s="123">
        <f t="shared" si="1"/>
        <v>312</v>
      </c>
      <c r="H42" s="123">
        <v>97</v>
      </c>
      <c r="I42" s="123">
        <v>215</v>
      </c>
      <c r="J42" s="123">
        <f t="shared" si="2"/>
        <v>186</v>
      </c>
      <c r="K42" s="123">
        <v>108</v>
      </c>
      <c r="L42" s="123">
        <v>78</v>
      </c>
      <c r="M42" s="123">
        <v>0</v>
      </c>
      <c r="N42" s="123">
        <v>0</v>
      </c>
      <c r="O42" s="123">
        <v>0</v>
      </c>
      <c r="P42" s="123">
        <f t="shared" si="3"/>
        <v>0</v>
      </c>
      <c r="Q42" s="123">
        <v>0</v>
      </c>
      <c r="R42" s="123">
        <v>0</v>
      </c>
      <c r="S42" s="7" t="s">
        <v>163</v>
      </c>
      <c r="T42" s="124"/>
      <c r="U42" s="1"/>
    </row>
    <row r="43" spans="1:21" ht="13.5" thickBot="1" x14ac:dyDescent="0.25">
      <c r="A43" s="123">
        <f t="shared" si="4"/>
        <v>524</v>
      </c>
      <c r="B43" s="123">
        <f t="shared" si="5"/>
        <v>173</v>
      </c>
      <c r="C43" s="123">
        <f t="shared" si="5"/>
        <v>351</v>
      </c>
      <c r="D43" s="123">
        <f t="shared" si="0"/>
        <v>65</v>
      </c>
      <c r="E43" s="123">
        <v>25</v>
      </c>
      <c r="F43" s="123">
        <v>40</v>
      </c>
      <c r="G43" s="123">
        <f t="shared" si="1"/>
        <v>314</v>
      </c>
      <c r="H43" s="123">
        <v>95</v>
      </c>
      <c r="I43" s="123">
        <v>219</v>
      </c>
      <c r="J43" s="123">
        <f t="shared" si="2"/>
        <v>145</v>
      </c>
      <c r="K43" s="123">
        <v>53</v>
      </c>
      <c r="L43" s="123">
        <v>92</v>
      </c>
      <c r="M43" s="123">
        <v>0</v>
      </c>
      <c r="N43" s="123">
        <v>0</v>
      </c>
      <c r="O43" s="123">
        <v>0</v>
      </c>
      <c r="P43" s="123">
        <f t="shared" si="3"/>
        <v>0</v>
      </c>
      <c r="Q43" s="123">
        <v>0</v>
      </c>
      <c r="R43" s="123">
        <v>0</v>
      </c>
      <c r="S43" s="7" t="s">
        <v>162</v>
      </c>
      <c r="T43" s="124" t="s">
        <v>115</v>
      </c>
      <c r="U43" s="1"/>
    </row>
    <row r="44" spans="1:21" ht="13.5" thickBot="1" x14ac:dyDescent="0.25">
      <c r="A44" s="123">
        <f t="shared" ref="A44:C44" si="62">SUM(A42:A43)</f>
        <v>1157</v>
      </c>
      <c r="B44" s="123">
        <f t="shared" si="62"/>
        <v>422</v>
      </c>
      <c r="C44" s="123">
        <f t="shared" si="62"/>
        <v>735</v>
      </c>
      <c r="D44" s="123">
        <f t="shared" si="0"/>
        <v>200</v>
      </c>
      <c r="E44" s="123">
        <f t="shared" ref="E44:F44" si="63">SUM(E42:E43)</f>
        <v>69</v>
      </c>
      <c r="F44" s="123">
        <f t="shared" si="63"/>
        <v>131</v>
      </c>
      <c r="G44" s="123">
        <f t="shared" si="1"/>
        <v>626</v>
      </c>
      <c r="H44" s="123">
        <f t="shared" ref="H44:I44" si="64">SUM(H42:H43)</f>
        <v>192</v>
      </c>
      <c r="I44" s="123">
        <f t="shared" si="64"/>
        <v>434</v>
      </c>
      <c r="J44" s="123">
        <f t="shared" si="2"/>
        <v>331</v>
      </c>
      <c r="K44" s="123">
        <f t="shared" ref="K44:O44" si="65">SUM(K42:K43)</f>
        <v>161</v>
      </c>
      <c r="L44" s="123">
        <f t="shared" si="65"/>
        <v>170</v>
      </c>
      <c r="M44" s="123">
        <f t="shared" si="65"/>
        <v>0</v>
      </c>
      <c r="N44" s="123">
        <f t="shared" si="65"/>
        <v>0</v>
      </c>
      <c r="O44" s="123">
        <f t="shared" si="65"/>
        <v>0</v>
      </c>
      <c r="P44" s="123">
        <f t="shared" si="3"/>
        <v>0</v>
      </c>
      <c r="Q44" s="123">
        <f t="shared" ref="Q44" si="66">SUM(Q42:Q43)</f>
        <v>0</v>
      </c>
      <c r="R44" s="123">
        <f>SUM(R42:R43)</f>
        <v>0</v>
      </c>
      <c r="S44" s="7" t="s">
        <v>13</v>
      </c>
      <c r="T44" s="9"/>
      <c r="U44" s="1"/>
    </row>
    <row r="45" spans="1:21" ht="13.5" thickBot="1" x14ac:dyDescent="0.25">
      <c r="A45" s="123">
        <f t="shared" si="4"/>
        <v>73</v>
      </c>
      <c r="B45" s="123">
        <f t="shared" si="5"/>
        <v>29</v>
      </c>
      <c r="C45" s="123">
        <f t="shared" si="5"/>
        <v>44</v>
      </c>
      <c r="D45" s="123">
        <f t="shared" si="0"/>
        <v>42</v>
      </c>
      <c r="E45" s="123">
        <v>16</v>
      </c>
      <c r="F45" s="123">
        <v>26</v>
      </c>
      <c r="G45" s="123">
        <f t="shared" si="1"/>
        <v>13</v>
      </c>
      <c r="H45" s="123">
        <v>2</v>
      </c>
      <c r="I45" s="123">
        <v>11</v>
      </c>
      <c r="J45" s="123">
        <f t="shared" si="2"/>
        <v>17</v>
      </c>
      <c r="K45" s="123">
        <v>11</v>
      </c>
      <c r="L45" s="123">
        <v>6</v>
      </c>
      <c r="M45" s="123">
        <v>0</v>
      </c>
      <c r="N45" s="123">
        <v>0</v>
      </c>
      <c r="O45" s="123">
        <v>0</v>
      </c>
      <c r="P45" s="123">
        <f t="shared" si="3"/>
        <v>1</v>
      </c>
      <c r="Q45" s="123">
        <v>0</v>
      </c>
      <c r="R45" s="123">
        <v>1</v>
      </c>
      <c r="S45" s="7" t="s">
        <v>163</v>
      </c>
      <c r="T45" s="124"/>
      <c r="U45" s="1"/>
    </row>
    <row r="46" spans="1:21" ht="13.5" thickBot="1" x14ac:dyDescent="0.25">
      <c r="A46" s="123">
        <f t="shared" si="4"/>
        <v>1</v>
      </c>
      <c r="B46" s="123">
        <f t="shared" si="5"/>
        <v>0</v>
      </c>
      <c r="C46" s="123">
        <f t="shared" si="5"/>
        <v>1</v>
      </c>
      <c r="D46" s="123">
        <f t="shared" si="0"/>
        <v>0</v>
      </c>
      <c r="E46" s="123">
        <v>0</v>
      </c>
      <c r="F46" s="123">
        <v>0</v>
      </c>
      <c r="G46" s="123">
        <f t="shared" si="1"/>
        <v>0</v>
      </c>
      <c r="H46" s="123">
        <v>0</v>
      </c>
      <c r="I46" s="123">
        <v>0</v>
      </c>
      <c r="J46" s="123">
        <f t="shared" si="2"/>
        <v>1</v>
      </c>
      <c r="K46" s="123">
        <v>0</v>
      </c>
      <c r="L46" s="123">
        <v>1</v>
      </c>
      <c r="M46" s="123">
        <v>0</v>
      </c>
      <c r="N46" s="123">
        <v>0</v>
      </c>
      <c r="O46" s="123">
        <v>0</v>
      </c>
      <c r="P46" s="123">
        <f t="shared" si="3"/>
        <v>0</v>
      </c>
      <c r="Q46" s="123">
        <v>0</v>
      </c>
      <c r="R46" s="123">
        <v>0</v>
      </c>
      <c r="S46" s="7" t="s">
        <v>162</v>
      </c>
      <c r="T46" s="124" t="s">
        <v>118</v>
      </c>
      <c r="U46" s="1"/>
    </row>
    <row r="47" spans="1:21" ht="13.5" thickBot="1" x14ac:dyDescent="0.25">
      <c r="A47" s="123">
        <f t="shared" ref="A47:C47" si="67">SUM(A45:A46)</f>
        <v>74</v>
      </c>
      <c r="B47" s="123">
        <f t="shared" si="67"/>
        <v>29</v>
      </c>
      <c r="C47" s="123">
        <f t="shared" si="67"/>
        <v>45</v>
      </c>
      <c r="D47" s="123">
        <f t="shared" si="0"/>
        <v>42</v>
      </c>
      <c r="E47" s="123">
        <f t="shared" ref="E47:F47" si="68">SUM(E45:E46)</f>
        <v>16</v>
      </c>
      <c r="F47" s="123">
        <f t="shared" si="68"/>
        <v>26</v>
      </c>
      <c r="G47" s="123">
        <f t="shared" si="1"/>
        <v>13</v>
      </c>
      <c r="H47" s="123">
        <f t="shared" ref="H47:I47" si="69">SUM(H45:H46)</f>
        <v>2</v>
      </c>
      <c r="I47" s="123">
        <f t="shared" si="69"/>
        <v>11</v>
      </c>
      <c r="J47" s="123">
        <f t="shared" si="2"/>
        <v>18</v>
      </c>
      <c r="K47" s="123">
        <f t="shared" ref="K47:O47" si="70">SUM(K45:K46)</f>
        <v>11</v>
      </c>
      <c r="L47" s="123">
        <f t="shared" si="70"/>
        <v>7</v>
      </c>
      <c r="M47" s="123">
        <f t="shared" si="70"/>
        <v>0</v>
      </c>
      <c r="N47" s="123">
        <f t="shared" si="70"/>
        <v>0</v>
      </c>
      <c r="O47" s="123">
        <f t="shared" si="70"/>
        <v>0</v>
      </c>
      <c r="P47" s="123">
        <f t="shared" si="3"/>
        <v>1</v>
      </c>
      <c r="Q47" s="123">
        <f t="shared" ref="Q47" si="71">SUM(Q45:Q46)</f>
        <v>0</v>
      </c>
      <c r="R47" s="123">
        <f>SUM(R45:R46)</f>
        <v>1</v>
      </c>
      <c r="S47" s="7" t="s">
        <v>13</v>
      </c>
      <c r="T47" s="9"/>
      <c r="U47" s="1"/>
    </row>
    <row r="48" spans="1:21" ht="13.5" thickBot="1" x14ac:dyDescent="0.25">
      <c r="A48" s="123">
        <f t="shared" si="4"/>
        <v>166</v>
      </c>
      <c r="B48" s="123">
        <f t="shared" si="5"/>
        <v>114</v>
      </c>
      <c r="C48" s="123">
        <f t="shared" si="5"/>
        <v>52</v>
      </c>
      <c r="D48" s="123">
        <f t="shared" si="0"/>
        <v>45</v>
      </c>
      <c r="E48" s="123">
        <v>20</v>
      </c>
      <c r="F48" s="123">
        <v>25</v>
      </c>
      <c r="G48" s="123">
        <f t="shared" si="1"/>
        <v>50</v>
      </c>
      <c r="H48" s="123">
        <v>39</v>
      </c>
      <c r="I48" s="123">
        <v>11</v>
      </c>
      <c r="J48" s="123">
        <f t="shared" si="2"/>
        <v>69</v>
      </c>
      <c r="K48" s="123">
        <v>55</v>
      </c>
      <c r="L48" s="123">
        <v>14</v>
      </c>
      <c r="M48" s="123">
        <v>1</v>
      </c>
      <c r="N48" s="123">
        <v>0</v>
      </c>
      <c r="O48" s="123">
        <v>1</v>
      </c>
      <c r="P48" s="123">
        <f t="shared" si="3"/>
        <v>1</v>
      </c>
      <c r="Q48" s="123">
        <v>0</v>
      </c>
      <c r="R48" s="123">
        <v>1</v>
      </c>
      <c r="S48" s="7" t="s">
        <v>163</v>
      </c>
      <c r="T48" s="124"/>
      <c r="U48" s="1"/>
    </row>
    <row r="49" spans="1:21" ht="13.5" thickBot="1" x14ac:dyDescent="0.25">
      <c r="A49" s="123">
        <f t="shared" si="4"/>
        <v>5</v>
      </c>
      <c r="B49" s="123">
        <f t="shared" si="5"/>
        <v>1</v>
      </c>
      <c r="C49" s="123">
        <f t="shared" si="5"/>
        <v>4</v>
      </c>
      <c r="D49" s="123">
        <f t="shared" si="0"/>
        <v>0</v>
      </c>
      <c r="E49" s="123">
        <v>0</v>
      </c>
      <c r="F49" s="123">
        <v>0</v>
      </c>
      <c r="G49" s="123">
        <f t="shared" si="1"/>
        <v>1</v>
      </c>
      <c r="H49" s="123">
        <v>1</v>
      </c>
      <c r="I49" s="123">
        <v>0</v>
      </c>
      <c r="J49" s="123">
        <f t="shared" si="2"/>
        <v>4</v>
      </c>
      <c r="K49" s="123">
        <v>0</v>
      </c>
      <c r="L49" s="123">
        <v>4</v>
      </c>
      <c r="M49" s="123">
        <v>0</v>
      </c>
      <c r="N49" s="123">
        <v>0</v>
      </c>
      <c r="O49" s="123">
        <v>0</v>
      </c>
      <c r="P49" s="123">
        <f t="shared" si="3"/>
        <v>0</v>
      </c>
      <c r="Q49" s="123">
        <v>0</v>
      </c>
      <c r="R49" s="123">
        <v>0</v>
      </c>
      <c r="S49" s="7" t="s">
        <v>162</v>
      </c>
      <c r="T49" s="124" t="s">
        <v>120</v>
      </c>
      <c r="U49" s="1"/>
    </row>
    <row r="50" spans="1:21" ht="13.5" thickBot="1" x14ac:dyDescent="0.25">
      <c r="A50" s="123">
        <f t="shared" ref="A50:C50" si="72">SUM(A48:A49)</f>
        <v>171</v>
      </c>
      <c r="B50" s="123">
        <f t="shared" si="72"/>
        <v>115</v>
      </c>
      <c r="C50" s="123">
        <f t="shared" si="72"/>
        <v>56</v>
      </c>
      <c r="D50" s="123">
        <f t="shared" si="0"/>
        <v>45</v>
      </c>
      <c r="E50" s="123">
        <f t="shared" ref="E50:F50" si="73">SUM(E48:E49)</f>
        <v>20</v>
      </c>
      <c r="F50" s="123">
        <f t="shared" si="73"/>
        <v>25</v>
      </c>
      <c r="G50" s="123">
        <f t="shared" si="1"/>
        <v>51</v>
      </c>
      <c r="H50" s="123">
        <f t="shared" ref="H50:I50" si="74">SUM(H48:H49)</f>
        <v>40</v>
      </c>
      <c r="I50" s="123">
        <f t="shared" si="74"/>
        <v>11</v>
      </c>
      <c r="J50" s="123">
        <f t="shared" si="2"/>
        <v>73</v>
      </c>
      <c r="K50" s="123">
        <f t="shared" ref="K50:O50" si="75">SUM(K48:K49)</f>
        <v>55</v>
      </c>
      <c r="L50" s="123">
        <f t="shared" si="75"/>
        <v>18</v>
      </c>
      <c r="M50" s="123">
        <f t="shared" si="75"/>
        <v>1</v>
      </c>
      <c r="N50" s="123">
        <f t="shared" si="75"/>
        <v>0</v>
      </c>
      <c r="O50" s="123">
        <f t="shared" si="75"/>
        <v>1</v>
      </c>
      <c r="P50" s="123">
        <f t="shared" si="3"/>
        <v>1</v>
      </c>
      <c r="Q50" s="123">
        <f t="shared" ref="Q50" si="76">SUM(Q48:Q49)</f>
        <v>0</v>
      </c>
      <c r="R50" s="123">
        <f>SUM(R48:R49)</f>
        <v>1</v>
      </c>
      <c r="S50" s="7" t="s">
        <v>13</v>
      </c>
      <c r="T50" s="9"/>
      <c r="U50" s="1"/>
    </row>
    <row r="51" spans="1:21" ht="13.5" thickBot="1" x14ac:dyDescent="0.25">
      <c r="A51" s="123">
        <f t="shared" si="4"/>
        <v>88</v>
      </c>
      <c r="B51" s="123">
        <f t="shared" si="5"/>
        <v>37</v>
      </c>
      <c r="C51" s="123">
        <f t="shared" si="5"/>
        <v>51</v>
      </c>
      <c r="D51" s="123">
        <f t="shared" si="0"/>
        <v>48</v>
      </c>
      <c r="E51" s="123">
        <v>8</v>
      </c>
      <c r="F51" s="123">
        <v>40</v>
      </c>
      <c r="G51" s="123">
        <f t="shared" si="1"/>
        <v>9</v>
      </c>
      <c r="H51" s="123">
        <v>4</v>
      </c>
      <c r="I51" s="123">
        <v>5</v>
      </c>
      <c r="J51" s="123">
        <f t="shared" si="2"/>
        <v>30</v>
      </c>
      <c r="K51" s="123">
        <v>25</v>
      </c>
      <c r="L51" s="123">
        <v>5</v>
      </c>
      <c r="M51" s="123">
        <v>1</v>
      </c>
      <c r="N51" s="123">
        <v>0</v>
      </c>
      <c r="O51" s="123">
        <v>1</v>
      </c>
      <c r="P51" s="123">
        <f t="shared" si="3"/>
        <v>0</v>
      </c>
      <c r="Q51" s="123">
        <v>0</v>
      </c>
      <c r="R51" s="123">
        <v>0</v>
      </c>
      <c r="S51" s="7" t="s">
        <v>163</v>
      </c>
      <c r="T51" s="124"/>
      <c r="U51" s="1"/>
    </row>
    <row r="52" spans="1:21" ht="13.5" thickBot="1" x14ac:dyDescent="0.25">
      <c r="A52" s="123">
        <f t="shared" si="4"/>
        <v>0</v>
      </c>
      <c r="B52" s="123">
        <f t="shared" si="5"/>
        <v>0</v>
      </c>
      <c r="C52" s="123">
        <f t="shared" si="5"/>
        <v>0</v>
      </c>
      <c r="D52" s="123">
        <f t="shared" si="0"/>
        <v>0</v>
      </c>
      <c r="E52" s="123">
        <v>0</v>
      </c>
      <c r="F52" s="123">
        <v>0</v>
      </c>
      <c r="G52" s="123">
        <f t="shared" si="1"/>
        <v>0</v>
      </c>
      <c r="H52" s="123">
        <v>0</v>
      </c>
      <c r="I52" s="123">
        <v>0</v>
      </c>
      <c r="J52" s="123">
        <f t="shared" si="2"/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f t="shared" si="3"/>
        <v>0</v>
      </c>
      <c r="Q52" s="123">
        <v>0</v>
      </c>
      <c r="R52" s="123">
        <v>0</v>
      </c>
      <c r="S52" s="7" t="s">
        <v>162</v>
      </c>
      <c r="T52" s="124" t="s">
        <v>124</v>
      </c>
      <c r="U52" s="1"/>
    </row>
    <row r="53" spans="1:21" ht="13.5" thickBot="1" x14ac:dyDescent="0.25">
      <c r="A53" s="123">
        <f t="shared" ref="A53:C53" si="77">SUM(A51:A52)</f>
        <v>88</v>
      </c>
      <c r="B53" s="123">
        <f t="shared" si="77"/>
        <v>37</v>
      </c>
      <c r="C53" s="123">
        <f t="shared" si="77"/>
        <v>51</v>
      </c>
      <c r="D53" s="123">
        <f t="shared" si="0"/>
        <v>48</v>
      </c>
      <c r="E53" s="123">
        <f t="shared" ref="E53:F53" si="78">SUM(E51:E52)</f>
        <v>8</v>
      </c>
      <c r="F53" s="123">
        <f t="shared" si="78"/>
        <v>40</v>
      </c>
      <c r="G53" s="123">
        <f t="shared" si="1"/>
        <v>9</v>
      </c>
      <c r="H53" s="123">
        <f t="shared" ref="H53:I53" si="79">SUM(H51:H52)</f>
        <v>4</v>
      </c>
      <c r="I53" s="123">
        <f t="shared" si="79"/>
        <v>5</v>
      </c>
      <c r="J53" s="123">
        <f t="shared" si="2"/>
        <v>30</v>
      </c>
      <c r="K53" s="123">
        <f t="shared" ref="K53:O53" si="80">SUM(K51:K52)</f>
        <v>25</v>
      </c>
      <c r="L53" s="123">
        <f t="shared" si="80"/>
        <v>5</v>
      </c>
      <c r="M53" s="123">
        <f t="shared" si="80"/>
        <v>1</v>
      </c>
      <c r="N53" s="123">
        <f t="shared" si="80"/>
        <v>0</v>
      </c>
      <c r="O53" s="123">
        <f t="shared" si="80"/>
        <v>1</v>
      </c>
      <c r="P53" s="123">
        <f t="shared" si="3"/>
        <v>0</v>
      </c>
      <c r="Q53" s="123">
        <f t="shared" ref="Q53" si="81">SUM(Q51:Q52)</f>
        <v>0</v>
      </c>
      <c r="R53" s="123">
        <f>SUM(R51:R52)</f>
        <v>0</v>
      </c>
      <c r="S53" s="7" t="s">
        <v>13</v>
      </c>
      <c r="T53" s="9"/>
      <c r="U53" s="1"/>
    </row>
    <row r="54" spans="1:21" ht="13.5" thickBot="1" x14ac:dyDescent="0.25">
      <c r="A54" s="123">
        <f t="shared" si="4"/>
        <v>57</v>
      </c>
      <c r="B54" s="123">
        <f t="shared" si="5"/>
        <v>16</v>
      </c>
      <c r="C54" s="123">
        <f t="shared" si="5"/>
        <v>41</v>
      </c>
      <c r="D54" s="123">
        <f t="shared" si="0"/>
        <v>9</v>
      </c>
      <c r="E54" s="123">
        <v>2</v>
      </c>
      <c r="F54" s="123">
        <v>7</v>
      </c>
      <c r="G54" s="123">
        <f t="shared" si="1"/>
        <v>23</v>
      </c>
      <c r="H54" s="123">
        <v>3</v>
      </c>
      <c r="I54" s="123">
        <v>20</v>
      </c>
      <c r="J54" s="123">
        <f t="shared" si="2"/>
        <v>24</v>
      </c>
      <c r="K54" s="123">
        <v>11</v>
      </c>
      <c r="L54" s="123">
        <v>13</v>
      </c>
      <c r="M54" s="123">
        <v>1</v>
      </c>
      <c r="N54" s="123">
        <v>0</v>
      </c>
      <c r="O54" s="123">
        <v>1</v>
      </c>
      <c r="P54" s="123">
        <f t="shared" si="3"/>
        <v>0</v>
      </c>
      <c r="Q54" s="123">
        <v>0</v>
      </c>
      <c r="R54" s="123">
        <v>0</v>
      </c>
      <c r="S54" s="7" t="s">
        <v>163</v>
      </c>
      <c r="T54" s="124"/>
      <c r="U54" s="1"/>
    </row>
    <row r="55" spans="1:21" ht="13.5" thickBot="1" x14ac:dyDescent="0.25">
      <c r="A55" s="123">
        <f t="shared" si="4"/>
        <v>0</v>
      </c>
      <c r="B55" s="123">
        <f t="shared" si="5"/>
        <v>0</v>
      </c>
      <c r="C55" s="123">
        <f t="shared" si="5"/>
        <v>0</v>
      </c>
      <c r="D55" s="123">
        <f t="shared" si="0"/>
        <v>0</v>
      </c>
      <c r="E55" s="123">
        <v>0</v>
      </c>
      <c r="F55" s="123">
        <v>0</v>
      </c>
      <c r="G55" s="123">
        <f t="shared" si="1"/>
        <v>0</v>
      </c>
      <c r="H55" s="123">
        <v>0</v>
      </c>
      <c r="I55" s="123">
        <v>0</v>
      </c>
      <c r="J55" s="123">
        <f t="shared" si="2"/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3">
        <f t="shared" si="3"/>
        <v>0</v>
      </c>
      <c r="Q55" s="123">
        <v>0</v>
      </c>
      <c r="R55" s="123">
        <v>0</v>
      </c>
      <c r="S55" s="7" t="s">
        <v>162</v>
      </c>
      <c r="T55" s="124" t="s">
        <v>126</v>
      </c>
      <c r="U55" s="1"/>
    </row>
    <row r="56" spans="1:21" ht="13.5" thickBot="1" x14ac:dyDescent="0.25">
      <c r="A56" s="123">
        <f t="shared" ref="A56:C56" si="82">SUM(A54:A55)</f>
        <v>57</v>
      </c>
      <c r="B56" s="123">
        <f t="shared" si="82"/>
        <v>16</v>
      </c>
      <c r="C56" s="123">
        <f t="shared" si="82"/>
        <v>41</v>
      </c>
      <c r="D56" s="123">
        <f t="shared" si="0"/>
        <v>9</v>
      </c>
      <c r="E56" s="123">
        <f t="shared" ref="E56:F56" si="83">SUM(E54:E55)</f>
        <v>2</v>
      </c>
      <c r="F56" s="123">
        <f t="shared" si="83"/>
        <v>7</v>
      </c>
      <c r="G56" s="123">
        <f t="shared" si="1"/>
        <v>23</v>
      </c>
      <c r="H56" s="123">
        <f t="shared" ref="H56:I56" si="84">SUM(H54:H55)</f>
        <v>3</v>
      </c>
      <c r="I56" s="123">
        <f t="shared" si="84"/>
        <v>20</v>
      </c>
      <c r="J56" s="123">
        <f t="shared" si="2"/>
        <v>24</v>
      </c>
      <c r="K56" s="123">
        <f t="shared" ref="K56:O56" si="85">SUM(K54:K55)</f>
        <v>11</v>
      </c>
      <c r="L56" s="123">
        <f t="shared" si="85"/>
        <v>13</v>
      </c>
      <c r="M56" s="123">
        <f t="shared" si="85"/>
        <v>1</v>
      </c>
      <c r="N56" s="123">
        <f t="shared" si="85"/>
        <v>0</v>
      </c>
      <c r="O56" s="123">
        <f t="shared" si="85"/>
        <v>1</v>
      </c>
      <c r="P56" s="123">
        <f t="shared" si="3"/>
        <v>0</v>
      </c>
      <c r="Q56" s="123">
        <f t="shared" ref="Q56" si="86">SUM(Q54:Q55)</f>
        <v>0</v>
      </c>
      <c r="R56" s="123">
        <f>SUM(R54:R55)</f>
        <v>0</v>
      </c>
      <c r="S56" s="7" t="s">
        <v>13</v>
      </c>
      <c r="T56" s="9"/>
      <c r="U56" s="1"/>
    </row>
    <row r="57" spans="1:21" ht="13.5" thickBot="1" x14ac:dyDescent="0.25">
      <c r="A57" s="123">
        <f t="shared" si="4"/>
        <v>31</v>
      </c>
      <c r="B57" s="123">
        <f t="shared" si="5"/>
        <v>31</v>
      </c>
      <c r="C57" s="123">
        <f t="shared" si="5"/>
        <v>0</v>
      </c>
      <c r="D57" s="123">
        <f t="shared" si="0"/>
        <v>10</v>
      </c>
      <c r="E57" s="123">
        <v>10</v>
      </c>
      <c r="F57" s="123">
        <v>0</v>
      </c>
      <c r="G57" s="123">
        <f t="shared" si="1"/>
        <v>12</v>
      </c>
      <c r="H57" s="123">
        <v>12</v>
      </c>
      <c r="I57" s="123">
        <v>0</v>
      </c>
      <c r="J57" s="123">
        <f t="shared" si="2"/>
        <v>9</v>
      </c>
      <c r="K57" s="123">
        <v>9</v>
      </c>
      <c r="L57" s="123">
        <v>0</v>
      </c>
      <c r="M57" s="123">
        <v>0</v>
      </c>
      <c r="N57" s="123">
        <v>0</v>
      </c>
      <c r="O57" s="123">
        <v>0</v>
      </c>
      <c r="P57" s="123">
        <f t="shared" si="3"/>
        <v>0</v>
      </c>
      <c r="Q57" s="123">
        <v>0</v>
      </c>
      <c r="R57" s="123">
        <v>0</v>
      </c>
      <c r="S57" s="7" t="s">
        <v>163</v>
      </c>
      <c r="T57" s="124"/>
      <c r="U57" s="1"/>
    </row>
    <row r="58" spans="1:21" ht="13.5" thickBot="1" x14ac:dyDescent="0.25">
      <c r="A58" s="123">
        <f t="shared" si="4"/>
        <v>6</v>
      </c>
      <c r="B58" s="123">
        <f t="shared" si="5"/>
        <v>5</v>
      </c>
      <c r="C58" s="123">
        <f t="shared" si="5"/>
        <v>1</v>
      </c>
      <c r="D58" s="123">
        <f t="shared" si="0"/>
        <v>0</v>
      </c>
      <c r="E58" s="123">
        <v>0</v>
      </c>
      <c r="F58" s="123">
        <v>0</v>
      </c>
      <c r="G58" s="123">
        <f t="shared" si="1"/>
        <v>1</v>
      </c>
      <c r="H58" s="123">
        <v>0</v>
      </c>
      <c r="I58" s="123">
        <v>1</v>
      </c>
      <c r="J58" s="123">
        <f t="shared" si="2"/>
        <v>0</v>
      </c>
      <c r="K58" s="123">
        <v>0</v>
      </c>
      <c r="L58" s="123">
        <v>0</v>
      </c>
      <c r="M58" s="123">
        <v>4</v>
      </c>
      <c r="N58" s="123">
        <v>4</v>
      </c>
      <c r="O58" s="123">
        <v>0</v>
      </c>
      <c r="P58" s="123">
        <f t="shared" si="3"/>
        <v>1</v>
      </c>
      <c r="Q58" s="123">
        <v>1</v>
      </c>
      <c r="R58" s="123">
        <v>0</v>
      </c>
      <c r="S58" s="7" t="s">
        <v>162</v>
      </c>
      <c r="T58" s="124" t="s">
        <v>129</v>
      </c>
      <c r="U58" s="1"/>
    </row>
    <row r="59" spans="1:21" ht="13.5" thickBot="1" x14ac:dyDescent="0.25">
      <c r="A59" s="123">
        <f t="shared" ref="A59:C59" si="87">SUM(A57:A58)</f>
        <v>37</v>
      </c>
      <c r="B59" s="123">
        <f t="shared" si="87"/>
        <v>36</v>
      </c>
      <c r="C59" s="123">
        <f t="shared" si="87"/>
        <v>1</v>
      </c>
      <c r="D59" s="123">
        <f t="shared" si="0"/>
        <v>10</v>
      </c>
      <c r="E59" s="123">
        <f t="shared" ref="E59:F59" si="88">SUM(E57:E58)</f>
        <v>10</v>
      </c>
      <c r="F59" s="123">
        <f t="shared" si="88"/>
        <v>0</v>
      </c>
      <c r="G59" s="123">
        <f t="shared" si="1"/>
        <v>13</v>
      </c>
      <c r="H59" s="123">
        <f t="shared" ref="H59:I59" si="89">SUM(H57:H58)</f>
        <v>12</v>
      </c>
      <c r="I59" s="123">
        <f t="shared" si="89"/>
        <v>1</v>
      </c>
      <c r="J59" s="123">
        <f t="shared" si="2"/>
        <v>9</v>
      </c>
      <c r="K59" s="123">
        <f t="shared" ref="K59:O59" si="90">SUM(K57:K58)</f>
        <v>9</v>
      </c>
      <c r="L59" s="123">
        <f t="shared" si="90"/>
        <v>0</v>
      </c>
      <c r="M59" s="123">
        <f t="shared" si="90"/>
        <v>4</v>
      </c>
      <c r="N59" s="123">
        <f t="shared" si="90"/>
        <v>4</v>
      </c>
      <c r="O59" s="123">
        <f t="shared" si="90"/>
        <v>0</v>
      </c>
      <c r="P59" s="123">
        <f t="shared" si="3"/>
        <v>1</v>
      </c>
      <c r="Q59" s="123">
        <f t="shared" ref="Q59" si="91">SUM(Q57:Q58)</f>
        <v>1</v>
      </c>
      <c r="R59" s="123">
        <f>SUM(R57:R58)</f>
        <v>0</v>
      </c>
      <c r="S59" s="7" t="s">
        <v>13</v>
      </c>
      <c r="T59" s="9"/>
      <c r="U59" s="1"/>
    </row>
    <row r="60" spans="1:21" ht="13.5" thickBot="1" x14ac:dyDescent="0.25">
      <c r="A60" s="123">
        <f t="shared" si="4"/>
        <v>479</v>
      </c>
      <c r="B60" s="123">
        <f t="shared" si="5"/>
        <v>478</v>
      </c>
      <c r="C60" s="123">
        <f t="shared" si="5"/>
        <v>1</v>
      </c>
      <c r="D60" s="123">
        <f t="shared" si="0"/>
        <v>8</v>
      </c>
      <c r="E60" s="123">
        <v>8</v>
      </c>
      <c r="F60" s="123">
        <v>0</v>
      </c>
      <c r="G60" s="123">
        <f t="shared" si="1"/>
        <v>179</v>
      </c>
      <c r="H60" s="123">
        <v>178</v>
      </c>
      <c r="I60" s="123">
        <v>1</v>
      </c>
      <c r="J60" s="123">
        <f t="shared" si="2"/>
        <v>285</v>
      </c>
      <c r="K60" s="123">
        <v>285</v>
      </c>
      <c r="L60" s="123">
        <v>0</v>
      </c>
      <c r="M60" s="123">
        <v>7</v>
      </c>
      <c r="N60" s="123">
        <v>7</v>
      </c>
      <c r="O60" s="123">
        <v>0</v>
      </c>
      <c r="P60" s="123">
        <f t="shared" si="3"/>
        <v>0</v>
      </c>
      <c r="Q60" s="123">
        <v>0</v>
      </c>
      <c r="R60" s="123">
        <v>0</v>
      </c>
      <c r="S60" s="7" t="s">
        <v>163</v>
      </c>
      <c r="T60" s="124"/>
      <c r="U60" s="1"/>
    </row>
    <row r="61" spans="1:21" ht="13.5" thickBot="1" x14ac:dyDescent="0.25">
      <c r="A61" s="123">
        <f t="shared" si="4"/>
        <v>0</v>
      </c>
      <c r="B61" s="123">
        <f t="shared" si="5"/>
        <v>0</v>
      </c>
      <c r="C61" s="123">
        <f t="shared" si="5"/>
        <v>0</v>
      </c>
      <c r="D61" s="123">
        <f t="shared" si="0"/>
        <v>0</v>
      </c>
      <c r="E61" s="123">
        <v>0</v>
      </c>
      <c r="F61" s="123">
        <v>0</v>
      </c>
      <c r="G61" s="123">
        <f t="shared" si="1"/>
        <v>0</v>
      </c>
      <c r="H61" s="123">
        <v>0</v>
      </c>
      <c r="I61" s="123">
        <v>0</v>
      </c>
      <c r="J61" s="123">
        <f t="shared" si="2"/>
        <v>0</v>
      </c>
      <c r="K61" s="123">
        <v>0</v>
      </c>
      <c r="L61" s="123">
        <v>0</v>
      </c>
      <c r="M61" s="123">
        <v>0</v>
      </c>
      <c r="N61" s="123">
        <v>0</v>
      </c>
      <c r="O61" s="123">
        <v>0</v>
      </c>
      <c r="P61" s="123">
        <f t="shared" si="3"/>
        <v>0</v>
      </c>
      <c r="Q61" s="123">
        <v>0</v>
      </c>
      <c r="R61" s="123">
        <v>0</v>
      </c>
      <c r="S61" s="7" t="s">
        <v>162</v>
      </c>
      <c r="T61" s="124" t="s">
        <v>131</v>
      </c>
      <c r="U61" s="1"/>
    </row>
    <row r="62" spans="1:21" ht="13.5" thickBot="1" x14ac:dyDescent="0.25">
      <c r="A62" s="123">
        <f t="shared" ref="A62:C62" si="92">SUM(A60:A61)</f>
        <v>479</v>
      </c>
      <c r="B62" s="123">
        <f t="shared" si="92"/>
        <v>478</v>
      </c>
      <c r="C62" s="123">
        <f t="shared" si="92"/>
        <v>1</v>
      </c>
      <c r="D62" s="123">
        <f t="shared" si="0"/>
        <v>8</v>
      </c>
      <c r="E62" s="123">
        <f t="shared" ref="E62:F62" si="93">SUM(E60:E61)</f>
        <v>8</v>
      </c>
      <c r="F62" s="123">
        <f t="shared" si="93"/>
        <v>0</v>
      </c>
      <c r="G62" s="123">
        <f t="shared" si="1"/>
        <v>179</v>
      </c>
      <c r="H62" s="123">
        <f t="shared" ref="H62:I62" si="94">SUM(H60:H61)</f>
        <v>178</v>
      </c>
      <c r="I62" s="123">
        <f t="shared" si="94"/>
        <v>1</v>
      </c>
      <c r="J62" s="123">
        <f t="shared" si="2"/>
        <v>285</v>
      </c>
      <c r="K62" s="123">
        <f t="shared" ref="K62:O62" si="95">SUM(K60:K61)</f>
        <v>285</v>
      </c>
      <c r="L62" s="123">
        <f t="shared" si="95"/>
        <v>0</v>
      </c>
      <c r="M62" s="123">
        <f t="shared" si="95"/>
        <v>7</v>
      </c>
      <c r="N62" s="123">
        <f t="shared" si="95"/>
        <v>7</v>
      </c>
      <c r="O62" s="123">
        <f t="shared" si="95"/>
        <v>0</v>
      </c>
      <c r="P62" s="123">
        <f t="shared" si="3"/>
        <v>0</v>
      </c>
      <c r="Q62" s="123">
        <f t="shared" ref="Q62" si="96">SUM(Q60:Q61)</f>
        <v>0</v>
      </c>
      <c r="R62" s="123">
        <f>SUM(R60:R61)</f>
        <v>0</v>
      </c>
      <c r="S62" s="7" t="s">
        <v>13</v>
      </c>
      <c r="T62" s="9"/>
      <c r="U62" s="1"/>
    </row>
    <row r="63" spans="1:21" ht="13.5" thickBot="1" x14ac:dyDescent="0.25">
      <c r="A63" s="123">
        <f t="shared" si="4"/>
        <v>60</v>
      </c>
      <c r="B63" s="123">
        <f t="shared" si="5"/>
        <v>15</v>
      </c>
      <c r="C63" s="123">
        <f t="shared" si="5"/>
        <v>45</v>
      </c>
      <c r="D63" s="123">
        <f t="shared" si="0"/>
        <v>32</v>
      </c>
      <c r="E63" s="123">
        <v>3</v>
      </c>
      <c r="F63" s="123">
        <v>29</v>
      </c>
      <c r="G63" s="123">
        <f t="shared" si="1"/>
        <v>7</v>
      </c>
      <c r="H63" s="123">
        <v>2</v>
      </c>
      <c r="I63" s="123">
        <v>5</v>
      </c>
      <c r="J63" s="123">
        <f t="shared" si="2"/>
        <v>20</v>
      </c>
      <c r="K63" s="123">
        <v>10</v>
      </c>
      <c r="L63" s="123">
        <v>10</v>
      </c>
      <c r="M63" s="123">
        <v>0</v>
      </c>
      <c r="N63" s="123">
        <v>0</v>
      </c>
      <c r="O63" s="123">
        <v>0</v>
      </c>
      <c r="P63" s="123">
        <f t="shared" si="3"/>
        <v>1</v>
      </c>
      <c r="Q63" s="123">
        <v>0</v>
      </c>
      <c r="R63" s="123">
        <v>1</v>
      </c>
      <c r="S63" s="7" t="s">
        <v>163</v>
      </c>
      <c r="T63" s="124"/>
      <c r="U63" s="1"/>
    </row>
    <row r="64" spans="1:21" ht="13.5" thickBot="1" x14ac:dyDescent="0.25">
      <c r="A64" s="123">
        <f t="shared" si="4"/>
        <v>0</v>
      </c>
      <c r="B64" s="123">
        <f t="shared" si="5"/>
        <v>0</v>
      </c>
      <c r="C64" s="123">
        <f t="shared" si="5"/>
        <v>0</v>
      </c>
      <c r="D64" s="123">
        <f t="shared" si="0"/>
        <v>0</v>
      </c>
      <c r="E64" s="123">
        <v>0</v>
      </c>
      <c r="F64" s="123">
        <v>0</v>
      </c>
      <c r="G64" s="123">
        <f t="shared" si="1"/>
        <v>0</v>
      </c>
      <c r="H64" s="123">
        <v>0</v>
      </c>
      <c r="I64" s="123">
        <v>0</v>
      </c>
      <c r="J64" s="123">
        <f t="shared" si="2"/>
        <v>0</v>
      </c>
      <c r="K64" s="123">
        <v>0</v>
      </c>
      <c r="L64" s="123">
        <v>0</v>
      </c>
      <c r="M64" s="123">
        <v>0</v>
      </c>
      <c r="N64" s="123">
        <v>0</v>
      </c>
      <c r="O64" s="123">
        <v>0</v>
      </c>
      <c r="P64" s="123">
        <f t="shared" si="3"/>
        <v>0</v>
      </c>
      <c r="Q64" s="123">
        <v>0</v>
      </c>
      <c r="R64" s="123">
        <v>0</v>
      </c>
      <c r="S64" s="7" t="s">
        <v>162</v>
      </c>
      <c r="T64" s="124" t="s">
        <v>133</v>
      </c>
      <c r="U64" s="1"/>
    </row>
    <row r="65" spans="1:21" ht="13.5" thickBot="1" x14ac:dyDescent="0.25">
      <c r="A65" s="123">
        <f t="shared" ref="A65:C65" si="97">SUM(A63:A64)</f>
        <v>60</v>
      </c>
      <c r="B65" s="123">
        <f t="shared" si="97"/>
        <v>15</v>
      </c>
      <c r="C65" s="123">
        <f t="shared" si="97"/>
        <v>45</v>
      </c>
      <c r="D65" s="123">
        <f t="shared" si="0"/>
        <v>32</v>
      </c>
      <c r="E65" s="123">
        <f t="shared" ref="E65:F65" si="98">SUM(E63:E64)</f>
        <v>3</v>
      </c>
      <c r="F65" s="123">
        <f t="shared" si="98"/>
        <v>29</v>
      </c>
      <c r="G65" s="123">
        <f t="shared" si="1"/>
        <v>7</v>
      </c>
      <c r="H65" s="123">
        <f t="shared" ref="H65:I65" si="99">SUM(H63:H64)</f>
        <v>2</v>
      </c>
      <c r="I65" s="123">
        <f t="shared" si="99"/>
        <v>5</v>
      </c>
      <c r="J65" s="123">
        <f t="shared" si="2"/>
        <v>20</v>
      </c>
      <c r="K65" s="123">
        <f t="shared" ref="K65" si="100">SUM(K63:K64)</f>
        <v>10</v>
      </c>
      <c r="L65" s="123">
        <f t="shared" ref="L65" si="101">SUM(L63:L64)</f>
        <v>10</v>
      </c>
      <c r="M65" s="123">
        <f t="shared" ref="M65:O65" si="102">SUM(M63:M64)</f>
        <v>0</v>
      </c>
      <c r="N65" s="123">
        <f t="shared" si="102"/>
        <v>0</v>
      </c>
      <c r="O65" s="123">
        <f t="shared" si="102"/>
        <v>0</v>
      </c>
      <c r="P65" s="123">
        <f t="shared" si="3"/>
        <v>1</v>
      </c>
      <c r="Q65" s="123">
        <f t="shared" ref="Q65" si="103">SUM(Q63:Q64)</f>
        <v>0</v>
      </c>
      <c r="R65" s="123">
        <f>SUM(R63:R64)</f>
        <v>1</v>
      </c>
      <c r="S65" s="7" t="s">
        <v>13</v>
      </c>
      <c r="T65" s="9"/>
      <c r="U65" s="1"/>
    </row>
    <row r="66" spans="1:21" ht="13.5" thickBot="1" x14ac:dyDescent="0.25">
      <c r="A66" s="123">
        <f t="shared" si="4"/>
        <v>725</v>
      </c>
      <c r="B66" s="123">
        <f t="shared" si="5"/>
        <v>54</v>
      </c>
      <c r="C66" s="123">
        <f t="shared" si="5"/>
        <v>671</v>
      </c>
      <c r="D66" s="123">
        <f t="shared" si="0"/>
        <v>352</v>
      </c>
      <c r="E66" s="123">
        <v>54</v>
      </c>
      <c r="F66" s="123">
        <v>298</v>
      </c>
      <c r="G66" s="123">
        <f t="shared" si="1"/>
        <v>154</v>
      </c>
      <c r="H66" s="123">
        <v>0</v>
      </c>
      <c r="I66" s="123">
        <v>154</v>
      </c>
      <c r="J66" s="123">
        <f t="shared" si="2"/>
        <v>134</v>
      </c>
      <c r="K66" s="123">
        <v>0</v>
      </c>
      <c r="L66" s="123">
        <v>134</v>
      </c>
      <c r="M66" s="123">
        <v>49</v>
      </c>
      <c r="N66" s="123">
        <v>0</v>
      </c>
      <c r="O66" s="123">
        <v>49</v>
      </c>
      <c r="P66" s="123">
        <f t="shared" si="3"/>
        <v>36</v>
      </c>
      <c r="Q66" s="123">
        <v>0</v>
      </c>
      <c r="R66" s="123">
        <v>36</v>
      </c>
      <c r="S66" s="7" t="s">
        <v>163</v>
      </c>
      <c r="T66" s="124"/>
      <c r="U66" s="1"/>
    </row>
    <row r="67" spans="1:21" ht="13.5" thickBot="1" x14ac:dyDescent="0.25">
      <c r="A67" s="123">
        <f t="shared" si="4"/>
        <v>0</v>
      </c>
      <c r="B67" s="123">
        <f t="shared" si="5"/>
        <v>0</v>
      </c>
      <c r="C67" s="123">
        <f t="shared" si="5"/>
        <v>0</v>
      </c>
      <c r="D67" s="123">
        <f t="shared" si="0"/>
        <v>0</v>
      </c>
      <c r="E67" s="123">
        <v>0</v>
      </c>
      <c r="F67" s="123">
        <v>0</v>
      </c>
      <c r="G67" s="123">
        <f t="shared" si="1"/>
        <v>0</v>
      </c>
      <c r="H67" s="123">
        <v>0</v>
      </c>
      <c r="I67" s="123">
        <v>0</v>
      </c>
      <c r="J67" s="123">
        <f t="shared" si="2"/>
        <v>0</v>
      </c>
      <c r="K67" s="123">
        <v>0</v>
      </c>
      <c r="L67" s="123">
        <v>0</v>
      </c>
      <c r="M67" s="123">
        <v>0</v>
      </c>
      <c r="N67" s="123">
        <v>0</v>
      </c>
      <c r="O67" s="123">
        <v>0</v>
      </c>
      <c r="P67" s="123">
        <f t="shared" si="3"/>
        <v>0</v>
      </c>
      <c r="Q67" s="123">
        <v>0</v>
      </c>
      <c r="R67" s="123">
        <v>0</v>
      </c>
      <c r="S67" s="7" t="s">
        <v>162</v>
      </c>
      <c r="T67" s="124" t="s">
        <v>168</v>
      </c>
      <c r="U67" s="1"/>
    </row>
    <row r="68" spans="1:21" ht="13.5" thickBot="1" x14ac:dyDescent="0.25">
      <c r="A68" s="123">
        <f t="shared" ref="A68:C68" si="104">SUM(A66:A67)</f>
        <v>725</v>
      </c>
      <c r="B68" s="123">
        <f t="shared" si="104"/>
        <v>54</v>
      </c>
      <c r="C68" s="123">
        <f t="shared" si="104"/>
        <v>671</v>
      </c>
      <c r="D68" s="123">
        <f t="shared" si="0"/>
        <v>352</v>
      </c>
      <c r="E68" s="123">
        <f t="shared" ref="E68:F68" si="105">SUM(E66:E67)</f>
        <v>54</v>
      </c>
      <c r="F68" s="123">
        <f t="shared" si="105"/>
        <v>298</v>
      </c>
      <c r="G68" s="123">
        <f t="shared" si="1"/>
        <v>154</v>
      </c>
      <c r="H68" s="123">
        <f t="shared" ref="H68:I68" si="106">SUM(H66:H67)</f>
        <v>0</v>
      </c>
      <c r="I68" s="123">
        <f t="shared" si="106"/>
        <v>154</v>
      </c>
      <c r="J68" s="123">
        <f t="shared" si="2"/>
        <v>134</v>
      </c>
      <c r="K68" s="123">
        <f t="shared" ref="K68:O68" si="107">SUM(K66:K67)</f>
        <v>0</v>
      </c>
      <c r="L68" s="123">
        <f t="shared" si="107"/>
        <v>134</v>
      </c>
      <c r="M68" s="123">
        <f t="shared" si="107"/>
        <v>49</v>
      </c>
      <c r="N68" s="123">
        <f t="shared" si="107"/>
        <v>0</v>
      </c>
      <c r="O68" s="123">
        <f t="shared" si="107"/>
        <v>49</v>
      </c>
      <c r="P68" s="123">
        <f t="shared" si="3"/>
        <v>36</v>
      </c>
      <c r="Q68" s="123">
        <f t="shared" ref="Q68" si="108">SUM(Q66:Q67)</f>
        <v>0</v>
      </c>
      <c r="R68" s="123">
        <f>SUM(R66:R67)</f>
        <v>36</v>
      </c>
      <c r="S68" s="7" t="s">
        <v>13</v>
      </c>
      <c r="T68" s="9"/>
      <c r="U68" s="1"/>
    </row>
    <row r="69" spans="1:21" ht="13.5" thickBot="1" x14ac:dyDescent="0.25">
      <c r="A69" s="123">
        <f t="shared" ref="A69:A79" si="109">SUM(B69:C69)</f>
        <v>40</v>
      </c>
      <c r="B69" s="123">
        <f t="shared" ref="B69:C79" si="110">Q69+N69+K69+H69+E69</f>
        <v>18</v>
      </c>
      <c r="C69" s="123">
        <f t="shared" si="110"/>
        <v>22</v>
      </c>
      <c r="D69" s="123">
        <f t="shared" ref="D69:D80" si="111">SUM(E69:F69)</f>
        <v>18</v>
      </c>
      <c r="E69" s="123">
        <v>6</v>
      </c>
      <c r="F69" s="123">
        <v>12</v>
      </c>
      <c r="G69" s="123">
        <f t="shared" si="1"/>
        <v>10</v>
      </c>
      <c r="H69" s="123">
        <v>4</v>
      </c>
      <c r="I69" s="123">
        <v>6</v>
      </c>
      <c r="J69" s="123">
        <f t="shared" si="2"/>
        <v>10</v>
      </c>
      <c r="K69" s="123">
        <v>7</v>
      </c>
      <c r="L69" s="123">
        <v>3</v>
      </c>
      <c r="M69" s="123">
        <v>2</v>
      </c>
      <c r="N69" s="123">
        <v>1</v>
      </c>
      <c r="O69" s="123">
        <v>1</v>
      </c>
      <c r="P69" s="123">
        <f t="shared" si="3"/>
        <v>0</v>
      </c>
      <c r="Q69" s="123">
        <v>0</v>
      </c>
      <c r="R69" s="123">
        <v>0</v>
      </c>
      <c r="S69" s="7" t="s">
        <v>163</v>
      </c>
      <c r="T69" s="124"/>
      <c r="U69" s="1"/>
    </row>
    <row r="70" spans="1:21" ht="13.5" thickBot="1" x14ac:dyDescent="0.25">
      <c r="A70" s="123">
        <f t="shared" si="109"/>
        <v>91</v>
      </c>
      <c r="B70" s="123">
        <f t="shared" si="110"/>
        <v>32</v>
      </c>
      <c r="C70" s="123">
        <f t="shared" si="110"/>
        <v>59</v>
      </c>
      <c r="D70" s="123">
        <f t="shared" si="111"/>
        <v>20</v>
      </c>
      <c r="E70" s="123">
        <v>5</v>
      </c>
      <c r="F70" s="123">
        <v>15</v>
      </c>
      <c r="G70" s="123">
        <f t="shared" ref="G70:G80" si="112">SUM(H70:I70)</f>
        <v>29</v>
      </c>
      <c r="H70" s="123">
        <v>9</v>
      </c>
      <c r="I70" s="123">
        <v>20</v>
      </c>
      <c r="J70" s="123">
        <f t="shared" ref="J70:J80" si="113">SUM(K70:L70)</f>
        <v>40</v>
      </c>
      <c r="K70" s="123">
        <v>18</v>
      </c>
      <c r="L70" s="123">
        <v>22</v>
      </c>
      <c r="M70" s="123">
        <v>2</v>
      </c>
      <c r="N70" s="123">
        <v>0</v>
      </c>
      <c r="O70" s="123">
        <v>2</v>
      </c>
      <c r="P70" s="123">
        <f t="shared" ref="P70:P80" si="114">SUM(Q70:R70)</f>
        <v>0</v>
      </c>
      <c r="Q70" s="123">
        <v>0</v>
      </c>
      <c r="R70" s="123">
        <v>0</v>
      </c>
      <c r="S70" s="7" t="s">
        <v>162</v>
      </c>
      <c r="T70" s="124" t="s">
        <v>169</v>
      </c>
      <c r="U70" s="1"/>
    </row>
    <row r="71" spans="1:21" ht="13.5" thickBot="1" x14ac:dyDescent="0.25">
      <c r="A71" s="123">
        <f t="shared" ref="A71:C71" si="115">SUM(A69:A70)</f>
        <v>131</v>
      </c>
      <c r="B71" s="123">
        <f t="shared" si="115"/>
        <v>50</v>
      </c>
      <c r="C71" s="123">
        <f t="shared" si="115"/>
        <v>81</v>
      </c>
      <c r="D71" s="123">
        <f t="shared" si="111"/>
        <v>38</v>
      </c>
      <c r="E71" s="123">
        <f t="shared" ref="E71:F71" si="116">SUM(E69:E70)</f>
        <v>11</v>
      </c>
      <c r="F71" s="123">
        <f t="shared" si="116"/>
        <v>27</v>
      </c>
      <c r="G71" s="123">
        <f t="shared" si="112"/>
        <v>39</v>
      </c>
      <c r="H71" s="123">
        <f t="shared" ref="H71:I71" si="117">SUM(H69:H70)</f>
        <v>13</v>
      </c>
      <c r="I71" s="123">
        <f t="shared" si="117"/>
        <v>26</v>
      </c>
      <c r="J71" s="123">
        <f t="shared" si="113"/>
        <v>50</v>
      </c>
      <c r="K71" s="123">
        <f t="shared" ref="K71:O71" si="118">SUM(K69:K70)</f>
        <v>25</v>
      </c>
      <c r="L71" s="123">
        <f t="shared" si="118"/>
        <v>25</v>
      </c>
      <c r="M71" s="123">
        <f t="shared" si="118"/>
        <v>4</v>
      </c>
      <c r="N71" s="123">
        <f t="shared" si="118"/>
        <v>1</v>
      </c>
      <c r="O71" s="123">
        <f t="shared" si="118"/>
        <v>3</v>
      </c>
      <c r="P71" s="123">
        <f t="shared" si="114"/>
        <v>0</v>
      </c>
      <c r="Q71" s="123">
        <f t="shared" ref="Q71" si="119">SUM(Q69:Q70)</f>
        <v>0</v>
      </c>
      <c r="R71" s="123">
        <f>SUM(R69:R70)</f>
        <v>0</v>
      </c>
      <c r="S71" s="7" t="s">
        <v>13</v>
      </c>
      <c r="T71" s="9"/>
      <c r="U71" s="1"/>
    </row>
    <row r="72" spans="1:21" ht="13.5" thickBot="1" x14ac:dyDescent="0.25">
      <c r="A72" s="123">
        <f t="shared" si="109"/>
        <v>257</v>
      </c>
      <c r="B72" s="123">
        <f t="shared" si="110"/>
        <v>18</v>
      </c>
      <c r="C72" s="123">
        <f t="shared" si="110"/>
        <v>239</v>
      </c>
      <c r="D72" s="123">
        <f t="shared" si="111"/>
        <v>100</v>
      </c>
      <c r="E72" s="123">
        <v>3</v>
      </c>
      <c r="F72" s="123">
        <v>97</v>
      </c>
      <c r="G72" s="123">
        <f t="shared" si="112"/>
        <v>50</v>
      </c>
      <c r="H72" s="123">
        <v>0</v>
      </c>
      <c r="I72" s="123">
        <v>50</v>
      </c>
      <c r="J72" s="123">
        <f t="shared" si="113"/>
        <v>94</v>
      </c>
      <c r="K72" s="123">
        <v>15</v>
      </c>
      <c r="L72" s="123">
        <v>79</v>
      </c>
      <c r="M72" s="123">
        <v>7</v>
      </c>
      <c r="N72" s="123">
        <v>0</v>
      </c>
      <c r="O72" s="123">
        <v>7</v>
      </c>
      <c r="P72" s="123">
        <f t="shared" si="114"/>
        <v>6</v>
      </c>
      <c r="Q72" s="123">
        <v>0</v>
      </c>
      <c r="R72" s="123">
        <v>6</v>
      </c>
      <c r="S72" s="7" t="s">
        <v>163</v>
      </c>
      <c r="T72" s="124"/>
      <c r="U72" s="1"/>
    </row>
    <row r="73" spans="1:21" ht="13.5" thickBot="1" x14ac:dyDescent="0.25">
      <c r="A73" s="123">
        <f t="shared" si="109"/>
        <v>19</v>
      </c>
      <c r="B73" s="123">
        <f t="shared" si="110"/>
        <v>2</v>
      </c>
      <c r="C73" s="123">
        <f t="shared" si="110"/>
        <v>17</v>
      </c>
      <c r="D73" s="123">
        <f t="shared" si="111"/>
        <v>1</v>
      </c>
      <c r="E73" s="123">
        <v>0</v>
      </c>
      <c r="F73" s="123">
        <v>1</v>
      </c>
      <c r="G73" s="123">
        <f t="shared" si="112"/>
        <v>1</v>
      </c>
      <c r="H73" s="123">
        <v>0</v>
      </c>
      <c r="I73" s="123">
        <v>1</v>
      </c>
      <c r="J73" s="123">
        <f t="shared" si="113"/>
        <v>14</v>
      </c>
      <c r="K73" s="123">
        <v>2</v>
      </c>
      <c r="L73" s="123">
        <v>12</v>
      </c>
      <c r="M73" s="123">
        <v>3</v>
      </c>
      <c r="N73" s="123">
        <v>0</v>
      </c>
      <c r="O73" s="123">
        <v>3</v>
      </c>
      <c r="P73" s="123">
        <f t="shared" si="114"/>
        <v>0</v>
      </c>
      <c r="Q73" s="123">
        <v>0</v>
      </c>
      <c r="R73" s="123">
        <v>0</v>
      </c>
      <c r="S73" s="7" t="s">
        <v>162</v>
      </c>
      <c r="T73" s="124" t="s">
        <v>170</v>
      </c>
      <c r="U73" s="1"/>
    </row>
    <row r="74" spans="1:21" ht="13.5" thickBot="1" x14ac:dyDescent="0.25">
      <c r="A74" s="123">
        <f t="shared" ref="A74:C74" si="120">SUM(A72:A73)</f>
        <v>276</v>
      </c>
      <c r="B74" s="123">
        <f t="shared" si="120"/>
        <v>20</v>
      </c>
      <c r="C74" s="123">
        <f t="shared" si="120"/>
        <v>256</v>
      </c>
      <c r="D74" s="123">
        <f t="shared" si="111"/>
        <v>101</v>
      </c>
      <c r="E74" s="123">
        <f t="shared" ref="E74:F74" si="121">SUM(E72:E73)</f>
        <v>3</v>
      </c>
      <c r="F74" s="123">
        <f t="shared" si="121"/>
        <v>98</v>
      </c>
      <c r="G74" s="123">
        <f t="shared" si="112"/>
        <v>51</v>
      </c>
      <c r="H74" s="123">
        <f t="shared" ref="H74:I74" si="122">SUM(H72:H73)</f>
        <v>0</v>
      </c>
      <c r="I74" s="123">
        <f t="shared" si="122"/>
        <v>51</v>
      </c>
      <c r="J74" s="123">
        <f t="shared" si="113"/>
        <v>108</v>
      </c>
      <c r="K74" s="123">
        <f t="shared" ref="K74:O74" si="123">SUM(K72:K73)</f>
        <v>17</v>
      </c>
      <c r="L74" s="123">
        <f t="shared" si="123"/>
        <v>91</v>
      </c>
      <c r="M74" s="123">
        <f t="shared" si="123"/>
        <v>10</v>
      </c>
      <c r="N74" s="123">
        <f t="shared" si="123"/>
        <v>0</v>
      </c>
      <c r="O74" s="123">
        <f t="shared" si="123"/>
        <v>10</v>
      </c>
      <c r="P74" s="123">
        <f t="shared" si="114"/>
        <v>6</v>
      </c>
      <c r="Q74" s="123">
        <f t="shared" ref="Q74" si="124">SUM(Q72:Q73)</f>
        <v>0</v>
      </c>
      <c r="R74" s="123">
        <f>SUM(R72:R73)</f>
        <v>6</v>
      </c>
      <c r="S74" s="7" t="s">
        <v>13</v>
      </c>
      <c r="T74" s="9"/>
      <c r="U74" s="1"/>
    </row>
    <row r="75" spans="1:21" ht="13.5" thickBot="1" x14ac:dyDescent="0.25">
      <c r="A75" s="123">
        <f t="shared" si="109"/>
        <v>356</v>
      </c>
      <c r="B75" s="123">
        <f t="shared" si="110"/>
        <v>41</v>
      </c>
      <c r="C75" s="123">
        <f t="shared" si="110"/>
        <v>315</v>
      </c>
      <c r="D75" s="123">
        <f t="shared" si="111"/>
        <v>6</v>
      </c>
      <c r="E75" s="123">
        <v>0</v>
      </c>
      <c r="F75" s="123">
        <v>6</v>
      </c>
      <c r="G75" s="123">
        <f t="shared" si="112"/>
        <v>286</v>
      </c>
      <c r="H75" s="123">
        <v>33</v>
      </c>
      <c r="I75" s="123">
        <v>253</v>
      </c>
      <c r="J75" s="123">
        <f t="shared" si="113"/>
        <v>54</v>
      </c>
      <c r="K75" s="123">
        <v>6</v>
      </c>
      <c r="L75" s="123">
        <v>48</v>
      </c>
      <c r="M75" s="123">
        <v>8</v>
      </c>
      <c r="N75" s="123">
        <v>2</v>
      </c>
      <c r="O75" s="123">
        <v>6</v>
      </c>
      <c r="P75" s="123">
        <f t="shared" si="114"/>
        <v>2</v>
      </c>
      <c r="Q75" s="123">
        <v>0</v>
      </c>
      <c r="R75" s="123">
        <v>2</v>
      </c>
      <c r="S75" s="7" t="s">
        <v>163</v>
      </c>
      <c r="T75" s="124"/>
      <c r="U75" s="1"/>
    </row>
    <row r="76" spans="1:21" ht="13.5" thickBot="1" x14ac:dyDescent="0.25">
      <c r="A76" s="123">
        <f t="shared" si="109"/>
        <v>14</v>
      </c>
      <c r="B76" s="123">
        <f t="shared" si="110"/>
        <v>0</v>
      </c>
      <c r="C76" s="123">
        <f t="shared" si="110"/>
        <v>14</v>
      </c>
      <c r="D76" s="123">
        <f t="shared" si="111"/>
        <v>13</v>
      </c>
      <c r="E76" s="123">
        <v>0</v>
      </c>
      <c r="F76" s="123">
        <v>13</v>
      </c>
      <c r="G76" s="123">
        <f t="shared" si="112"/>
        <v>0</v>
      </c>
      <c r="H76" s="123">
        <v>0</v>
      </c>
      <c r="I76" s="123">
        <v>0</v>
      </c>
      <c r="J76" s="123">
        <f t="shared" si="113"/>
        <v>0</v>
      </c>
      <c r="K76" s="123">
        <v>0</v>
      </c>
      <c r="L76" s="123">
        <v>0</v>
      </c>
      <c r="M76" s="123">
        <v>1</v>
      </c>
      <c r="N76" s="123">
        <v>0</v>
      </c>
      <c r="O76" s="123">
        <v>1</v>
      </c>
      <c r="P76" s="123">
        <f t="shared" si="114"/>
        <v>0</v>
      </c>
      <c r="Q76" s="123">
        <v>0</v>
      </c>
      <c r="R76" s="123">
        <v>0</v>
      </c>
      <c r="S76" s="7" t="s">
        <v>162</v>
      </c>
      <c r="T76" s="124" t="s">
        <v>171</v>
      </c>
      <c r="U76" s="1"/>
    </row>
    <row r="77" spans="1:21" ht="13.5" thickBot="1" x14ac:dyDescent="0.25">
      <c r="A77" s="123">
        <f t="shared" ref="A77:C77" si="125">SUM(A75:A76)</f>
        <v>370</v>
      </c>
      <c r="B77" s="123">
        <f t="shared" si="125"/>
        <v>41</v>
      </c>
      <c r="C77" s="123">
        <f t="shared" si="125"/>
        <v>329</v>
      </c>
      <c r="D77" s="123">
        <f t="shared" si="111"/>
        <v>19</v>
      </c>
      <c r="E77" s="123">
        <f t="shared" ref="E77:F77" si="126">SUM(E75:E76)</f>
        <v>0</v>
      </c>
      <c r="F77" s="123">
        <f t="shared" si="126"/>
        <v>19</v>
      </c>
      <c r="G77" s="123">
        <f t="shared" si="112"/>
        <v>286</v>
      </c>
      <c r="H77" s="123">
        <f t="shared" ref="H77:I77" si="127">SUM(H75:H76)</f>
        <v>33</v>
      </c>
      <c r="I77" s="123">
        <f t="shared" si="127"/>
        <v>253</v>
      </c>
      <c r="J77" s="123">
        <f t="shared" si="113"/>
        <v>54</v>
      </c>
      <c r="K77" s="123">
        <f t="shared" ref="K77:O77" si="128">SUM(K75:K76)</f>
        <v>6</v>
      </c>
      <c r="L77" s="123">
        <f t="shared" si="128"/>
        <v>48</v>
      </c>
      <c r="M77" s="123">
        <f t="shared" si="128"/>
        <v>9</v>
      </c>
      <c r="N77" s="123">
        <f t="shared" si="128"/>
        <v>2</v>
      </c>
      <c r="O77" s="123">
        <f t="shared" si="128"/>
        <v>7</v>
      </c>
      <c r="P77" s="123">
        <f t="shared" si="114"/>
        <v>2</v>
      </c>
      <c r="Q77" s="123">
        <f t="shared" ref="Q77" si="129">SUM(Q75:Q76)</f>
        <v>0</v>
      </c>
      <c r="R77" s="123">
        <f>SUM(R75:R76)</f>
        <v>2</v>
      </c>
      <c r="S77" s="7" t="s">
        <v>13</v>
      </c>
      <c r="T77" s="9"/>
      <c r="U77" s="1"/>
    </row>
    <row r="78" spans="1:21" ht="13.5" thickBot="1" x14ac:dyDescent="0.25">
      <c r="A78" s="123">
        <f t="shared" si="109"/>
        <v>492</v>
      </c>
      <c r="B78" s="123">
        <f t="shared" si="110"/>
        <v>303</v>
      </c>
      <c r="C78" s="123">
        <f t="shared" si="110"/>
        <v>189</v>
      </c>
      <c r="D78" s="123">
        <f t="shared" si="111"/>
        <v>115</v>
      </c>
      <c r="E78" s="123">
        <v>47</v>
      </c>
      <c r="F78" s="123">
        <v>68</v>
      </c>
      <c r="G78" s="123">
        <f t="shared" si="112"/>
        <v>72</v>
      </c>
      <c r="H78" s="123">
        <v>30</v>
      </c>
      <c r="I78" s="123">
        <v>42</v>
      </c>
      <c r="J78" s="123">
        <f t="shared" si="113"/>
        <v>238</v>
      </c>
      <c r="K78" s="123">
        <v>186</v>
      </c>
      <c r="L78" s="123">
        <v>52</v>
      </c>
      <c r="M78" s="123">
        <v>36</v>
      </c>
      <c r="N78" s="123">
        <v>28</v>
      </c>
      <c r="O78" s="123">
        <v>8</v>
      </c>
      <c r="P78" s="123">
        <f t="shared" si="114"/>
        <v>31</v>
      </c>
      <c r="Q78" s="123">
        <v>12</v>
      </c>
      <c r="R78" s="123">
        <v>19</v>
      </c>
      <c r="S78" s="7" t="s">
        <v>163</v>
      </c>
      <c r="T78" s="124"/>
      <c r="U78" s="1"/>
    </row>
    <row r="79" spans="1:21" ht="13.5" thickBot="1" x14ac:dyDescent="0.25">
      <c r="A79" s="123">
        <f t="shared" si="109"/>
        <v>543</v>
      </c>
      <c r="B79" s="123">
        <f t="shared" si="110"/>
        <v>264</v>
      </c>
      <c r="C79" s="123">
        <f t="shared" si="110"/>
        <v>279</v>
      </c>
      <c r="D79" s="123">
        <f t="shared" si="111"/>
        <v>93</v>
      </c>
      <c r="E79" s="123">
        <v>21</v>
      </c>
      <c r="F79" s="123">
        <v>72</v>
      </c>
      <c r="G79" s="123">
        <f t="shared" si="112"/>
        <v>85</v>
      </c>
      <c r="H79" s="123">
        <v>47</v>
      </c>
      <c r="I79" s="123">
        <v>38</v>
      </c>
      <c r="J79" s="123">
        <f t="shared" si="113"/>
        <v>258</v>
      </c>
      <c r="K79" s="123">
        <v>131</v>
      </c>
      <c r="L79" s="123">
        <v>127</v>
      </c>
      <c r="M79" s="123">
        <v>80</v>
      </c>
      <c r="N79" s="123">
        <v>51</v>
      </c>
      <c r="O79" s="123">
        <v>29</v>
      </c>
      <c r="P79" s="123">
        <f t="shared" si="114"/>
        <v>27</v>
      </c>
      <c r="Q79" s="123">
        <v>14</v>
      </c>
      <c r="R79" s="123">
        <v>13</v>
      </c>
      <c r="S79" s="7" t="s">
        <v>162</v>
      </c>
      <c r="T79" s="124" t="s">
        <v>173</v>
      </c>
      <c r="U79" s="1"/>
    </row>
    <row r="80" spans="1:21" ht="13.5" thickBot="1" x14ac:dyDescent="0.25">
      <c r="A80" s="123">
        <f t="shared" ref="A80:C80" si="130">SUM(A78:A79)</f>
        <v>1035</v>
      </c>
      <c r="B80" s="123">
        <f t="shared" si="130"/>
        <v>567</v>
      </c>
      <c r="C80" s="123">
        <f t="shared" si="130"/>
        <v>468</v>
      </c>
      <c r="D80" s="123">
        <f t="shared" si="111"/>
        <v>208</v>
      </c>
      <c r="E80" s="123">
        <f t="shared" ref="E80:F80" si="131">SUM(E78:E79)</f>
        <v>68</v>
      </c>
      <c r="F80" s="123">
        <f t="shared" si="131"/>
        <v>140</v>
      </c>
      <c r="G80" s="123">
        <f t="shared" si="112"/>
        <v>157</v>
      </c>
      <c r="H80" s="123">
        <f t="shared" ref="H80:I80" si="132">SUM(H78:H79)</f>
        <v>77</v>
      </c>
      <c r="I80" s="123">
        <f t="shared" si="132"/>
        <v>80</v>
      </c>
      <c r="J80" s="123">
        <f t="shared" si="113"/>
        <v>496</v>
      </c>
      <c r="K80" s="123">
        <f t="shared" ref="K80:O80" si="133">SUM(K78:K79)</f>
        <v>317</v>
      </c>
      <c r="L80" s="123">
        <f t="shared" si="133"/>
        <v>179</v>
      </c>
      <c r="M80" s="123">
        <f t="shared" si="133"/>
        <v>116</v>
      </c>
      <c r="N80" s="123">
        <f t="shared" si="133"/>
        <v>79</v>
      </c>
      <c r="O80" s="123">
        <f t="shared" si="133"/>
        <v>37</v>
      </c>
      <c r="P80" s="123">
        <f t="shared" si="114"/>
        <v>58</v>
      </c>
      <c r="Q80" s="123">
        <f t="shared" ref="Q80" si="134">SUM(Q78:Q79)</f>
        <v>26</v>
      </c>
      <c r="R80" s="123">
        <f>SUM(R78:R79)</f>
        <v>32</v>
      </c>
      <c r="S80" s="7" t="s">
        <v>13</v>
      </c>
      <c r="T80" s="9"/>
      <c r="U80" s="1"/>
    </row>
    <row r="81" spans="1:21" ht="13.5" thickBot="1" x14ac:dyDescent="0.25">
      <c r="A81" s="123">
        <f t="shared" ref="A81:Q83" si="135">A6+A9+A12+A15+A18+A21+A24+A27+A30+A33+A36+A39+A42+A45+A48+A51+A54+A57+A60+A63+A66+A69+A72+A75+A78</f>
        <v>18908</v>
      </c>
      <c r="B81" s="123">
        <f t="shared" si="135"/>
        <v>4905</v>
      </c>
      <c r="C81" s="123">
        <f t="shared" si="135"/>
        <v>14003</v>
      </c>
      <c r="D81" s="123">
        <f t="shared" si="135"/>
        <v>6385</v>
      </c>
      <c r="E81" s="123">
        <f t="shared" si="135"/>
        <v>1080</v>
      </c>
      <c r="F81" s="123">
        <f t="shared" si="135"/>
        <v>5305</v>
      </c>
      <c r="G81" s="123">
        <f t="shared" si="135"/>
        <v>4069</v>
      </c>
      <c r="H81" s="123">
        <f t="shared" si="135"/>
        <v>902</v>
      </c>
      <c r="I81" s="123">
        <f t="shared" si="135"/>
        <v>3167</v>
      </c>
      <c r="J81" s="123">
        <f t="shared" si="135"/>
        <v>6424</v>
      </c>
      <c r="K81" s="123">
        <f t="shared" si="135"/>
        <v>2512</v>
      </c>
      <c r="L81" s="123">
        <f t="shared" si="135"/>
        <v>3912</v>
      </c>
      <c r="M81" s="123">
        <f t="shared" si="135"/>
        <v>1149</v>
      </c>
      <c r="N81" s="123">
        <f t="shared" si="135"/>
        <v>367</v>
      </c>
      <c r="O81" s="123">
        <f t="shared" si="135"/>
        <v>782</v>
      </c>
      <c r="P81" s="123">
        <f t="shared" si="135"/>
        <v>881</v>
      </c>
      <c r="Q81" s="123">
        <f t="shared" si="135"/>
        <v>44</v>
      </c>
      <c r="R81" s="123">
        <f>R6+R9+R12+R15+R18+R21+R24+R27+R30+R33+R36+R39+R42+R45+R48+R51+R54+R57+R60+R63+R66+R69+R72+R75+R78</f>
        <v>837</v>
      </c>
      <c r="S81" s="7" t="s">
        <v>163</v>
      </c>
      <c r="T81" s="3"/>
      <c r="U81" s="1"/>
    </row>
    <row r="82" spans="1:21" ht="13.5" thickBot="1" x14ac:dyDescent="0.25">
      <c r="A82" s="123">
        <f t="shared" si="135"/>
        <v>5008</v>
      </c>
      <c r="B82" s="123">
        <f t="shared" si="135"/>
        <v>2348</v>
      </c>
      <c r="C82" s="123">
        <f t="shared" si="135"/>
        <v>2660</v>
      </c>
      <c r="D82" s="123">
        <f t="shared" si="135"/>
        <v>808</v>
      </c>
      <c r="E82" s="123">
        <f t="shared" si="135"/>
        <v>187</v>
      </c>
      <c r="F82" s="123">
        <f t="shared" si="135"/>
        <v>621</v>
      </c>
      <c r="G82" s="123">
        <f t="shared" si="135"/>
        <v>2141</v>
      </c>
      <c r="H82" s="123">
        <f t="shared" si="135"/>
        <v>1441</v>
      </c>
      <c r="I82" s="123">
        <f t="shared" si="135"/>
        <v>700</v>
      </c>
      <c r="J82" s="123">
        <f t="shared" si="135"/>
        <v>1512</v>
      </c>
      <c r="K82" s="123">
        <f t="shared" si="135"/>
        <v>563</v>
      </c>
      <c r="L82" s="123">
        <f t="shared" si="135"/>
        <v>949</v>
      </c>
      <c r="M82" s="123">
        <f t="shared" si="135"/>
        <v>360</v>
      </c>
      <c r="N82" s="123">
        <f t="shared" si="135"/>
        <v>114</v>
      </c>
      <c r="O82" s="123">
        <f t="shared" si="135"/>
        <v>246</v>
      </c>
      <c r="P82" s="123">
        <f t="shared" si="135"/>
        <v>187</v>
      </c>
      <c r="Q82" s="123">
        <f t="shared" si="135"/>
        <v>43</v>
      </c>
      <c r="R82" s="123">
        <f t="shared" ref="R82:R83" si="136">R7+R10+R13+R16+R19+R22+R25+R28+R31+R34+R37+R40+R43+R46+R49+R52+R55+R58+R61+R64+R67+R70+R73+R76+R79</f>
        <v>144</v>
      </c>
      <c r="S82" s="7" t="s">
        <v>162</v>
      </c>
      <c r="T82" s="11" t="s">
        <v>211</v>
      </c>
      <c r="U82" s="1"/>
    </row>
    <row r="83" spans="1:21" ht="13.5" thickBot="1" x14ac:dyDescent="0.25">
      <c r="A83" s="123">
        <f t="shared" si="135"/>
        <v>23916</v>
      </c>
      <c r="B83" s="123">
        <f t="shared" si="135"/>
        <v>7253</v>
      </c>
      <c r="C83" s="123">
        <f t="shared" si="135"/>
        <v>16663</v>
      </c>
      <c r="D83" s="123">
        <f t="shared" si="135"/>
        <v>7193</v>
      </c>
      <c r="E83" s="123">
        <f t="shared" si="135"/>
        <v>1267</v>
      </c>
      <c r="F83" s="123">
        <f t="shared" si="135"/>
        <v>5926</v>
      </c>
      <c r="G83" s="123">
        <f t="shared" si="135"/>
        <v>6210</v>
      </c>
      <c r="H83" s="123">
        <f t="shared" si="135"/>
        <v>2343</v>
      </c>
      <c r="I83" s="123">
        <f t="shared" si="135"/>
        <v>3867</v>
      </c>
      <c r="J83" s="123">
        <f t="shared" si="135"/>
        <v>7936</v>
      </c>
      <c r="K83" s="123">
        <f t="shared" si="135"/>
        <v>3075</v>
      </c>
      <c r="L83" s="123">
        <f t="shared" si="135"/>
        <v>4861</v>
      </c>
      <c r="M83" s="123">
        <f t="shared" si="135"/>
        <v>1509</v>
      </c>
      <c r="N83" s="123">
        <f t="shared" si="135"/>
        <v>481</v>
      </c>
      <c r="O83" s="123">
        <f t="shared" si="135"/>
        <v>1028</v>
      </c>
      <c r="P83" s="123">
        <f t="shared" si="135"/>
        <v>1068</v>
      </c>
      <c r="Q83" s="123">
        <f t="shared" si="135"/>
        <v>87</v>
      </c>
      <c r="R83" s="123">
        <f t="shared" si="136"/>
        <v>981</v>
      </c>
      <c r="S83" s="7" t="s">
        <v>13</v>
      </c>
      <c r="T83" s="5"/>
      <c r="U83" s="1"/>
    </row>
  </sheetData>
  <mergeCells count="9">
    <mergeCell ref="A2:T2"/>
    <mergeCell ref="A3:T3"/>
    <mergeCell ref="A4:C4"/>
    <mergeCell ref="D4:F4"/>
    <mergeCell ref="G4:I4"/>
    <mergeCell ref="J4:L4"/>
    <mergeCell ref="M4:O4"/>
    <mergeCell ref="P4:R4"/>
    <mergeCell ref="S4:S5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95"/>
  <sheetViews>
    <sheetView showGridLines="0" topLeftCell="A1047" zoomScale="70" zoomScaleNormal="70" workbookViewId="0">
      <selection activeCell="C5" sqref="C5"/>
    </sheetView>
  </sheetViews>
  <sheetFormatPr defaultRowHeight="12.75" x14ac:dyDescent="0.2"/>
  <cols>
    <col min="1" max="3" width="6.125" style="2" customWidth="1"/>
    <col min="4" max="18" width="4.875" style="2" customWidth="1"/>
    <col min="19" max="19" width="9.625" style="2" customWidth="1"/>
    <col min="20" max="20" width="53.125" style="2" customWidth="1"/>
    <col min="21" max="21" width="1.375" style="2" customWidth="1"/>
    <col min="22" max="256" width="9" style="2"/>
    <col min="257" max="259" width="6.125" style="2" customWidth="1"/>
    <col min="260" max="274" width="4.875" style="2" customWidth="1"/>
    <col min="275" max="275" width="9.625" style="2" customWidth="1"/>
    <col min="276" max="276" width="53.125" style="2" customWidth="1"/>
    <col min="277" max="277" width="1.375" style="2" customWidth="1"/>
    <col min="278" max="512" width="9" style="2"/>
    <col min="513" max="515" width="6.125" style="2" customWidth="1"/>
    <col min="516" max="530" width="4.875" style="2" customWidth="1"/>
    <col min="531" max="531" width="9.625" style="2" customWidth="1"/>
    <col min="532" max="532" width="53.125" style="2" customWidth="1"/>
    <col min="533" max="533" width="1.375" style="2" customWidth="1"/>
    <col min="534" max="768" width="9" style="2"/>
    <col min="769" max="771" width="6.125" style="2" customWidth="1"/>
    <col min="772" max="786" width="4.875" style="2" customWidth="1"/>
    <col min="787" max="787" width="9.625" style="2" customWidth="1"/>
    <col min="788" max="788" width="53.125" style="2" customWidth="1"/>
    <col min="789" max="789" width="1.375" style="2" customWidth="1"/>
    <col min="790" max="1024" width="9" style="2"/>
    <col min="1025" max="1027" width="6.125" style="2" customWidth="1"/>
    <col min="1028" max="1042" width="4.875" style="2" customWidth="1"/>
    <col min="1043" max="1043" width="9.625" style="2" customWidth="1"/>
    <col min="1044" max="1044" width="53.125" style="2" customWidth="1"/>
    <col min="1045" max="1045" width="1.375" style="2" customWidth="1"/>
    <col min="1046" max="1280" width="9" style="2"/>
    <col min="1281" max="1283" width="6.125" style="2" customWidth="1"/>
    <col min="1284" max="1298" width="4.875" style="2" customWidth="1"/>
    <col min="1299" max="1299" width="9.625" style="2" customWidth="1"/>
    <col min="1300" max="1300" width="53.125" style="2" customWidth="1"/>
    <col min="1301" max="1301" width="1.375" style="2" customWidth="1"/>
    <col min="1302" max="1536" width="9" style="2"/>
    <col min="1537" max="1539" width="6.125" style="2" customWidth="1"/>
    <col min="1540" max="1554" width="4.875" style="2" customWidth="1"/>
    <col min="1555" max="1555" width="9.625" style="2" customWidth="1"/>
    <col min="1556" max="1556" width="53.125" style="2" customWidth="1"/>
    <col min="1557" max="1557" width="1.375" style="2" customWidth="1"/>
    <col min="1558" max="1792" width="9" style="2"/>
    <col min="1793" max="1795" width="6.125" style="2" customWidth="1"/>
    <col min="1796" max="1810" width="4.875" style="2" customWidth="1"/>
    <col min="1811" max="1811" width="9.625" style="2" customWidth="1"/>
    <col min="1812" max="1812" width="53.125" style="2" customWidth="1"/>
    <col min="1813" max="1813" width="1.375" style="2" customWidth="1"/>
    <col min="1814" max="2048" width="9" style="2"/>
    <col min="2049" max="2051" width="6.125" style="2" customWidth="1"/>
    <col min="2052" max="2066" width="4.875" style="2" customWidth="1"/>
    <col min="2067" max="2067" width="9.625" style="2" customWidth="1"/>
    <col min="2068" max="2068" width="53.125" style="2" customWidth="1"/>
    <col min="2069" max="2069" width="1.375" style="2" customWidth="1"/>
    <col min="2070" max="2304" width="9" style="2"/>
    <col min="2305" max="2307" width="6.125" style="2" customWidth="1"/>
    <col min="2308" max="2322" width="4.875" style="2" customWidth="1"/>
    <col min="2323" max="2323" width="9.625" style="2" customWidth="1"/>
    <col min="2324" max="2324" width="53.125" style="2" customWidth="1"/>
    <col min="2325" max="2325" width="1.375" style="2" customWidth="1"/>
    <col min="2326" max="2560" width="9" style="2"/>
    <col min="2561" max="2563" width="6.125" style="2" customWidth="1"/>
    <col min="2564" max="2578" width="4.875" style="2" customWidth="1"/>
    <col min="2579" max="2579" width="9.625" style="2" customWidth="1"/>
    <col min="2580" max="2580" width="53.125" style="2" customWidth="1"/>
    <col min="2581" max="2581" width="1.375" style="2" customWidth="1"/>
    <col min="2582" max="2816" width="9" style="2"/>
    <col min="2817" max="2819" width="6.125" style="2" customWidth="1"/>
    <col min="2820" max="2834" width="4.875" style="2" customWidth="1"/>
    <col min="2835" max="2835" width="9.625" style="2" customWidth="1"/>
    <col min="2836" max="2836" width="53.125" style="2" customWidth="1"/>
    <col min="2837" max="2837" width="1.375" style="2" customWidth="1"/>
    <col min="2838" max="3072" width="9" style="2"/>
    <col min="3073" max="3075" width="6.125" style="2" customWidth="1"/>
    <col min="3076" max="3090" width="4.875" style="2" customWidth="1"/>
    <col min="3091" max="3091" width="9.625" style="2" customWidth="1"/>
    <col min="3092" max="3092" width="53.125" style="2" customWidth="1"/>
    <col min="3093" max="3093" width="1.375" style="2" customWidth="1"/>
    <col min="3094" max="3328" width="9" style="2"/>
    <col min="3329" max="3331" width="6.125" style="2" customWidth="1"/>
    <col min="3332" max="3346" width="4.875" style="2" customWidth="1"/>
    <col min="3347" max="3347" width="9.625" style="2" customWidth="1"/>
    <col min="3348" max="3348" width="53.125" style="2" customWidth="1"/>
    <col min="3349" max="3349" width="1.375" style="2" customWidth="1"/>
    <col min="3350" max="3584" width="9" style="2"/>
    <col min="3585" max="3587" width="6.125" style="2" customWidth="1"/>
    <col min="3588" max="3602" width="4.875" style="2" customWidth="1"/>
    <col min="3603" max="3603" width="9.625" style="2" customWidth="1"/>
    <col min="3604" max="3604" width="53.125" style="2" customWidth="1"/>
    <col min="3605" max="3605" width="1.375" style="2" customWidth="1"/>
    <col min="3606" max="3840" width="9" style="2"/>
    <col min="3841" max="3843" width="6.125" style="2" customWidth="1"/>
    <col min="3844" max="3858" width="4.875" style="2" customWidth="1"/>
    <col min="3859" max="3859" width="9.625" style="2" customWidth="1"/>
    <col min="3860" max="3860" width="53.125" style="2" customWidth="1"/>
    <col min="3861" max="3861" width="1.375" style="2" customWidth="1"/>
    <col min="3862" max="4096" width="9" style="2"/>
    <col min="4097" max="4099" width="6.125" style="2" customWidth="1"/>
    <col min="4100" max="4114" width="4.875" style="2" customWidth="1"/>
    <col min="4115" max="4115" width="9.625" style="2" customWidth="1"/>
    <col min="4116" max="4116" width="53.125" style="2" customWidth="1"/>
    <col min="4117" max="4117" width="1.375" style="2" customWidth="1"/>
    <col min="4118" max="4352" width="9" style="2"/>
    <col min="4353" max="4355" width="6.125" style="2" customWidth="1"/>
    <col min="4356" max="4370" width="4.875" style="2" customWidth="1"/>
    <col min="4371" max="4371" width="9.625" style="2" customWidth="1"/>
    <col min="4372" max="4372" width="53.125" style="2" customWidth="1"/>
    <col min="4373" max="4373" width="1.375" style="2" customWidth="1"/>
    <col min="4374" max="4608" width="9" style="2"/>
    <col min="4609" max="4611" width="6.125" style="2" customWidth="1"/>
    <col min="4612" max="4626" width="4.875" style="2" customWidth="1"/>
    <col min="4627" max="4627" width="9.625" style="2" customWidth="1"/>
    <col min="4628" max="4628" width="53.125" style="2" customWidth="1"/>
    <col min="4629" max="4629" width="1.375" style="2" customWidth="1"/>
    <col min="4630" max="4864" width="9" style="2"/>
    <col min="4865" max="4867" width="6.125" style="2" customWidth="1"/>
    <col min="4868" max="4882" width="4.875" style="2" customWidth="1"/>
    <col min="4883" max="4883" width="9.625" style="2" customWidth="1"/>
    <col min="4884" max="4884" width="53.125" style="2" customWidth="1"/>
    <col min="4885" max="4885" width="1.375" style="2" customWidth="1"/>
    <col min="4886" max="5120" width="9" style="2"/>
    <col min="5121" max="5123" width="6.125" style="2" customWidth="1"/>
    <col min="5124" max="5138" width="4.875" style="2" customWidth="1"/>
    <col min="5139" max="5139" width="9.625" style="2" customWidth="1"/>
    <col min="5140" max="5140" width="53.125" style="2" customWidth="1"/>
    <col min="5141" max="5141" width="1.375" style="2" customWidth="1"/>
    <col min="5142" max="5376" width="9" style="2"/>
    <col min="5377" max="5379" width="6.125" style="2" customWidth="1"/>
    <col min="5380" max="5394" width="4.875" style="2" customWidth="1"/>
    <col min="5395" max="5395" width="9.625" style="2" customWidth="1"/>
    <col min="5396" max="5396" width="53.125" style="2" customWidth="1"/>
    <col min="5397" max="5397" width="1.375" style="2" customWidth="1"/>
    <col min="5398" max="5632" width="9" style="2"/>
    <col min="5633" max="5635" width="6.125" style="2" customWidth="1"/>
    <col min="5636" max="5650" width="4.875" style="2" customWidth="1"/>
    <col min="5651" max="5651" width="9.625" style="2" customWidth="1"/>
    <col min="5652" max="5652" width="53.125" style="2" customWidth="1"/>
    <col min="5653" max="5653" width="1.375" style="2" customWidth="1"/>
    <col min="5654" max="5888" width="9" style="2"/>
    <col min="5889" max="5891" width="6.125" style="2" customWidth="1"/>
    <col min="5892" max="5906" width="4.875" style="2" customWidth="1"/>
    <col min="5907" max="5907" width="9.625" style="2" customWidth="1"/>
    <col min="5908" max="5908" width="53.125" style="2" customWidth="1"/>
    <col min="5909" max="5909" width="1.375" style="2" customWidth="1"/>
    <col min="5910" max="6144" width="9" style="2"/>
    <col min="6145" max="6147" width="6.125" style="2" customWidth="1"/>
    <col min="6148" max="6162" width="4.875" style="2" customWidth="1"/>
    <col min="6163" max="6163" width="9.625" style="2" customWidth="1"/>
    <col min="6164" max="6164" width="53.125" style="2" customWidth="1"/>
    <col min="6165" max="6165" width="1.375" style="2" customWidth="1"/>
    <col min="6166" max="6400" width="9" style="2"/>
    <col min="6401" max="6403" width="6.125" style="2" customWidth="1"/>
    <col min="6404" max="6418" width="4.875" style="2" customWidth="1"/>
    <col min="6419" max="6419" width="9.625" style="2" customWidth="1"/>
    <col min="6420" max="6420" width="53.125" style="2" customWidth="1"/>
    <col min="6421" max="6421" width="1.375" style="2" customWidth="1"/>
    <col min="6422" max="6656" width="9" style="2"/>
    <col min="6657" max="6659" width="6.125" style="2" customWidth="1"/>
    <col min="6660" max="6674" width="4.875" style="2" customWidth="1"/>
    <col min="6675" max="6675" width="9.625" style="2" customWidth="1"/>
    <col min="6676" max="6676" width="53.125" style="2" customWidth="1"/>
    <col min="6677" max="6677" width="1.375" style="2" customWidth="1"/>
    <col min="6678" max="6912" width="9" style="2"/>
    <col min="6913" max="6915" width="6.125" style="2" customWidth="1"/>
    <col min="6916" max="6930" width="4.875" style="2" customWidth="1"/>
    <col min="6931" max="6931" width="9.625" style="2" customWidth="1"/>
    <col min="6932" max="6932" width="53.125" style="2" customWidth="1"/>
    <col min="6933" max="6933" width="1.375" style="2" customWidth="1"/>
    <col min="6934" max="7168" width="9" style="2"/>
    <col min="7169" max="7171" width="6.125" style="2" customWidth="1"/>
    <col min="7172" max="7186" width="4.875" style="2" customWidth="1"/>
    <col min="7187" max="7187" width="9.625" style="2" customWidth="1"/>
    <col min="7188" max="7188" width="53.125" style="2" customWidth="1"/>
    <col min="7189" max="7189" width="1.375" style="2" customWidth="1"/>
    <col min="7190" max="7424" width="9" style="2"/>
    <col min="7425" max="7427" width="6.125" style="2" customWidth="1"/>
    <col min="7428" max="7442" width="4.875" style="2" customWidth="1"/>
    <col min="7443" max="7443" width="9.625" style="2" customWidth="1"/>
    <col min="7444" max="7444" width="53.125" style="2" customWidth="1"/>
    <col min="7445" max="7445" width="1.375" style="2" customWidth="1"/>
    <col min="7446" max="7680" width="9" style="2"/>
    <col min="7681" max="7683" width="6.125" style="2" customWidth="1"/>
    <col min="7684" max="7698" width="4.875" style="2" customWidth="1"/>
    <col min="7699" max="7699" width="9.625" style="2" customWidth="1"/>
    <col min="7700" max="7700" width="53.125" style="2" customWidth="1"/>
    <col min="7701" max="7701" width="1.375" style="2" customWidth="1"/>
    <col min="7702" max="7936" width="9" style="2"/>
    <col min="7937" max="7939" width="6.125" style="2" customWidth="1"/>
    <col min="7940" max="7954" width="4.875" style="2" customWidth="1"/>
    <col min="7955" max="7955" width="9.625" style="2" customWidth="1"/>
    <col min="7956" max="7956" width="53.125" style="2" customWidth="1"/>
    <col min="7957" max="7957" width="1.375" style="2" customWidth="1"/>
    <col min="7958" max="8192" width="9" style="2"/>
    <col min="8193" max="8195" width="6.125" style="2" customWidth="1"/>
    <col min="8196" max="8210" width="4.875" style="2" customWidth="1"/>
    <col min="8211" max="8211" width="9.625" style="2" customWidth="1"/>
    <col min="8212" max="8212" width="53.125" style="2" customWidth="1"/>
    <col min="8213" max="8213" width="1.375" style="2" customWidth="1"/>
    <col min="8214" max="8448" width="9" style="2"/>
    <col min="8449" max="8451" width="6.125" style="2" customWidth="1"/>
    <col min="8452" max="8466" width="4.875" style="2" customWidth="1"/>
    <col min="8467" max="8467" width="9.625" style="2" customWidth="1"/>
    <col min="8468" max="8468" width="53.125" style="2" customWidth="1"/>
    <col min="8469" max="8469" width="1.375" style="2" customWidth="1"/>
    <col min="8470" max="8704" width="9" style="2"/>
    <col min="8705" max="8707" width="6.125" style="2" customWidth="1"/>
    <col min="8708" max="8722" width="4.875" style="2" customWidth="1"/>
    <col min="8723" max="8723" width="9.625" style="2" customWidth="1"/>
    <col min="8724" max="8724" width="53.125" style="2" customWidth="1"/>
    <col min="8725" max="8725" width="1.375" style="2" customWidth="1"/>
    <col min="8726" max="8960" width="9" style="2"/>
    <col min="8961" max="8963" width="6.125" style="2" customWidth="1"/>
    <col min="8964" max="8978" width="4.875" style="2" customWidth="1"/>
    <col min="8979" max="8979" width="9.625" style="2" customWidth="1"/>
    <col min="8980" max="8980" width="53.125" style="2" customWidth="1"/>
    <col min="8981" max="8981" width="1.375" style="2" customWidth="1"/>
    <col min="8982" max="9216" width="9" style="2"/>
    <col min="9217" max="9219" width="6.125" style="2" customWidth="1"/>
    <col min="9220" max="9234" width="4.875" style="2" customWidth="1"/>
    <col min="9235" max="9235" width="9.625" style="2" customWidth="1"/>
    <col min="9236" max="9236" width="53.125" style="2" customWidth="1"/>
    <col min="9237" max="9237" width="1.375" style="2" customWidth="1"/>
    <col min="9238" max="9472" width="9" style="2"/>
    <col min="9473" max="9475" width="6.125" style="2" customWidth="1"/>
    <col min="9476" max="9490" width="4.875" style="2" customWidth="1"/>
    <col min="9491" max="9491" width="9.625" style="2" customWidth="1"/>
    <col min="9492" max="9492" width="53.125" style="2" customWidth="1"/>
    <col min="9493" max="9493" width="1.375" style="2" customWidth="1"/>
    <col min="9494" max="9728" width="9" style="2"/>
    <col min="9729" max="9731" width="6.125" style="2" customWidth="1"/>
    <col min="9732" max="9746" width="4.875" style="2" customWidth="1"/>
    <col min="9747" max="9747" width="9.625" style="2" customWidth="1"/>
    <col min="9748" max="9748" width="53.125" style="2" customWidth="1"/>
    <col min="9749" max="9749" width="1.375" style="2" customWidth="1"/>
    <col min="9750" max="9984" width="9" style="2"/>
    <col min="9985" max="9987" width="6.125" style="2" customWidth="1"/>
    <col min="9988" max="10002" width="4.875" style="2" customWidth="1"/>
    <col min="10003" max="10003" width="9.625" style="2" customWidth="1"/>
    <col min="10004" max="10004" width="53.125" style="2" customWidth="1"/>
    <col min="10005" max="10005" width="1.375" style="2" customWidth="1"/>
    <col min="10006" max="10240" width="9" style="2"/>
    <col min="10241" max="10243" width="6.125" style="2" customWidth="1"/>
    <col min="10244" max="10258" width="4.875" style="2" customWidth="1"/>
    <col min="10259" max="10259" width="9.625" style="2" customWidth="1"/>
    <col min="10260" max="10260" width="53.125" style="2" customWidth="1"/>
    <col min="10261" max="10261" width="1.375" style="2" customWidth="1"/>
    <col min="10262" max="10496" width="9" style="2"/>
    <col min="10497" max="10499" width="6.125" style="2" customWidth="1"/>
    <col min="10500" max="10514" width="4.875" style="2" customWidth="1"/>
    <col min="10515" max="10515" width="9.625" style="2" customWidth="1"/>
    <col min="10516" max="10516" width="53.125" style="2" customWidth="1"/>
    <col min="10517" max="10517" width="1.375" style="2" customWidth="1"/>
    <col min="10518" max="10752" width="9" style="2"/>
    <col min="10753" max="10755" width="6.125" style="2" customWidth="1"/>
    <col min="10756" max="10770" width="4.875" style="2" customWidth="1"/>
    <col min="10771" max="10771" width="9.625" style="2" customWidth="1"/>
    <col min="10772" max="10772" width="53.125" style="2" customWidth="1"/>
    <col min="10773" max="10773" width="1.375" style="2" customWidth="1"/>
    <col min="10774" max="11008" width="9" style="2"/>
    <col min="11009" max="11011" width="6.125" style="2" customWidth="1"/>
    <col min="11012" max="11026" width="4.875" style="2" customWidth="1"/>
    <col min="11027" max="11027" width="9.625" style="2" customWidth="1"/>
    <col min="11028" max="11028" width="53.125" style="2" customWidth="1"/>
    <col min="11029" max="11029" width="1.375" style="2" customWidth="1"/>
    <col min="11030" max="11264" width="9" style="2"/>
    <col min="11265" max="11267" width="6.125" style="2" customWidth="1"/>
    <col min="11268" max="11282" width="4.875" style="2" customWidth="1"/>
    <col min="11283" max="11283" width="9.625" style="2" customWidth="1"/>
    <col min="11284" max="11284" width="53.125" style="2" customWidth="1"/>
    <col min="11285" max="11285" width="1.375" style="2" customWidth="1"/>
    <col min="11286" max="11520" width="9" style="2"/>
    <col min="11521" max="11523" width="6.125" style="2" customWidth="1"/>
    <col min="11524" max="11538" width="4.875" style="2" customWidth="1"/>
    <col min="11539" max="11539" width="9.625" style="2" customWidth="1"/>
    <col min="11540" max="11540" width="53.125" style="2" customWidth="1"/>
    <col min="11541" max="11541" width="1.375" style="2" customWidth="1"/>
    <col min="11542" max="11776" width="9" style="2"/>
    <col min="11777" max="11779" width="6.125" style="2" customWidth="1"/>
    <col min="11780" max="11794" width="4.875" style="2" customWidth="1"/>
    <col min="11795" max="11795" width="9.625" style="2" customWidth="1"/>
    <col min="11796" max="11796" width="53.125" style="2" customWidth="1"/>
    <col min="11797" max="11797" width="1.375" style="2" customWidth="1"/>
    <col min="11798" max="12032" width="9" style="2"/>
    <col min="12033" max="12035" width="6.125" style="2" customWidth="1"/>
    <col min="12036" max="12050" width="4.875" style="2" customWidth="1"/>
    <col min="12051" max="12051" width="9.625" style="2" customWidth="1"/>
    <col min="12052" max="12052" width="53.125" style="2" customWidth="1"/>
    <col min="12053" max="12053" width="1.375" style="2" customWidth="1"/>
    <col min="12054" max="12288" width="9" style="2"/>
    <col min="12289" max="12291" width="6.125" style="2" customWidth="1"/>
    <col min="12292" max="12306" width="4.875" style="2" customWidth="1"/>
    <col min="12307" max="12307" width="9.625" style="2" customWidth="1"/>
    <col min="12308" max="12308" width="53.125" style="2" customWidth="1"/>
    <col min="12309" max="12309" width="1.375" style="2" customWidth="1"/>
    <col min="12310" max="12544" width="9" style="2"/>
    <col min="12545" max="12547" width="6.125" style="2" customWidth="1"/>
    <col min="12548" max="12562" width="4.875" style="2" customWidth="1"/>
    <col min="12563" max="12563" width="9.625" style="2" customWidth="1"/>
    <col min="12564" max="12564" width="53.125" style="2" customWidth="1"/>
    <col min="12565" max="12565" width="1.375" style="2" customWidth="1"/>
    <col min="12566" max="12800" width="9" style="2"/>
    <col min="12801" max="12803" width="6.125" style="2" customWidth="1"/>
    <col min="12804" max="12818" width="4.875" style="2" customWidth="1"/>
    <col min="12819" max="12819" width="9.625" style="2" customWidth="1"/>
    <col min="12820" max="12820" width="53.125" style="2" customWidth="1"/>
    <col min="12821" max="12821" width="1.375" style="2" customWidth="1"/>
    <col min="12822" max="13056" width="9" style="2"/>
    <col min="13057" max="13059" width="6.125" style="2" customWidth="1"/>
    <col min="13060" max="13074" width="4.875" style="2" customWidth="1"/>
    <col min="13075" max="13075" width="9.625" style="2" customWidth="1"/>
    <col min="13076" max="13076" width="53.125" style="2" customWidth="1"/>
    <col min="13077" max="13077" width="1.375" style="2" customWidth="1"/>
    <col min="13078" max="13312" width="9" style="2"/>
    <col min="13313" max="13315" width="6.125" style="2" customWidth="1"/>
    <col min="13316" max="13330" width="4.875" style="2" customWidth="1"/>
    <col min="13331" max="13331" width="9.625" style="2" customWidth="1"/>
    <col min="13332" max="13332" width="53.125" style="2" customWidth="1"/>
    <col min="13333" max="13333" width="1.375" style="2" customWidth="1"/>
    <col min="13334" max="13568" width="9" style="2"/>
    <col min="13569" max="13571" width="6.125" style="2" customWidth="1"/>
    <col min="13572" max="13586" width="4.875" style="2" customWidth="1"/>
    <col min="13587" max="13587" width="9.625" style="2" customWidth="1"/>
    <col min="13588" max="13588" width="53.125" style="2" customWidth="1"/>
    <col min="13589" max="13589" width="1.375" style="2" customWidth="1"/>
    <col min="13590" max="13824" width="9" style="2"/>
    <col min="13825" max="13827" width="6.125" style="2" customWidth="1"/>
    <col min="13828" max="13842" width="4.875" style="2" customWidth="1"/>
    <col min="13843" max="13843" width="9.625" style="2" customWidth="1"/>
    <col min="13844" max="13844" width="53.125" style="2" customWidth="1"/>
    <col min="13845" max="13845" width="1.375" style="2" customWidth="1"/>
    <col min="13846" max="14080" width="9" style="2"/>
    <col min="14081" max="14083" width="6.125" style="2" customWidth="1"/>
    <col min="14084" max="14098" width="4.875" style="2" customWidth="1"/>
    <col min="14099" max="14099" width="9.625" style="2" customWidth="1"/>
    <col min="14100" max="14100" width="53.125" style="2" customWidth="1"/>
    <col min="14101" max="14101" width="1.375" style="2" customWidth="1"/>
    <col min="14102" max="14336" width="9" style="2"/>
    <col min="14337" max="14339" width="6.125" style="2" customWidth="1"/>
    <col min="14340" max="14354" width="4.875" style="2" customWidth="1"/>
    <col min="14355" max="14355" width="9.625" style="2" customWidth="1"/>
    <col min="14356" max="14356" width="53.125" style="2" customWidth="1"/>
    <col min="14357" max="14357" width="1.375" style="2" customWidth="1"/>
    <col min="14358" max="14592" width="9" style="2"/>
    <col min="14593" max="14595" width="6.125" style="2" customWidth="1"/>
    <col min="14596" max="14610" width="4.875" style="2" customWidth="1"/>
    <col min="14611" max="14611" width="9.625" style="2" customWidth="1"/>
    <col min="14612" max="14612" width="53.125" style="2" customWidth="1"/>
    <col min="14613" max="14613" width="1.375" style="2" customWidth="1"/>
    <col min="14614" max="14848" width="9" style="2"/>
    <col min="14849" max="14851" width="6.125" style="2" customWidth="1"/>
    <col min="14852" max="14866" width="4.875" style="2" customWidth="1"/>
    <col min="14867" max="14867" width="9.625" style="2" customWidth="1"/>
    <col min="14868" max="14868" width="53.125" style="2" customWidth="1"/>
    <col min="14869" max="14869" width="1.375" style="2" customWidth="1"/>
    <col min="14870" max="15104" width="9" style="2"/>
    <col min="15105" max="15107" width="6.125" style="2" customWidth="1"/>
    <col min="15108" max="15122" width="4.875" style="2" customWidth="1"/>
    <col min="15123" max="15123" width="9.625" style="2" customWidth="1"/>
    <col min="15124" max="15124" width="53.125" style="2" customWidth="1"/>
    <col min="15125" max="15125" width="1.375" style="2" customWidth="1"/>
    <col min="15126" max="15360" width="9" style="2"/>
    <col min="15361" max="15363" width="6.125" style="2" customWidth="1"/>
    <col min="15364" max="15378" width="4.875" style="2" customWidth="1"/>
    <col min="15379" max="15379" width="9.625" style="2" customWidth="1"/>
    <col min="15380" max="15380" width="53.125" style="2" customWidth="1"/>
    <col min="15381" max="15381" width="1.375" style="2" customWidth="1"/>
    <col min="15382" max="15616" width="9" style="2"/>
    <col min="15617" max="15619" width="6.125" style="2" customWidth="1"/>
    <col min="15620" max="15634" width="4.875" style="2" customWidth="1"/>
    <col min="15635" max="15635" width="9.625" style="2" customWidth="1"/>
    <col min="15636" max="15636" width="53.125" style="2" customWidth="1"/>
    <col min="15637" max="15637" width="1.375" style="2" customWidth="1"/>
    <col min="15638" max="15872" width="9" style="2"/>
    <col min="15873" max="15875" width="6.125" style="2" customWidth="1"/>
    <col min="15876" max="15890" width="4.875" style="2" customWidth="1"/>
    <col min="15891" max="15891" width="9.625" style="2" customWidth="1"/>
    <col min="15892" max="15892" width="53.125" style="2" customWidth="1"/>
    <col min="15893" max="15893" width="1.375" style="2" customWidth="1"/>
    <col min="15894" max="16128" width="9" style="2"/>
    <col min="16129" max="16131" width="6.125" style="2" customWidth="1"/>
    <col min="16132" max="16146" width="4.875" style="2" customWidth="1"/>
    <col min="16147" max="16147" width="9.625" style="2" customWidth="1"/>
    <col min="16148" max="16148" width="53.125" style="2" customWidth="1"/>
    <col min="16149" max="16149" width="1.375" style="2" customWidth="1"/>
    <col min="16150" max="16384" width="9" style="2"/>
  </cols>
  <sheetData>
    <row r="1" spans="1:2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8" customHeight="1" x14ac:dyDescent="0.2">
      <c r="A2" s="159" t="s">
        <v>665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"/>
    </row>
    <row r="3" spans="1:21" ht="18" customHeight="1" thickBot="1" x14ac:dyDescent="0.25">
      <c r="A3" s="160" t="s">
        <v>667</v>
      </c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"/>
    </row>
    <row r="4" spans="1:21" ht="13.5" thickBot="1" x14ac:dyDescent="0.25">
      <c r="A4" s="204" t="s">
        <v>5</v>
      </c>
      <c r="B4" s="204"/>
      <c r="C4" s="204"/>
      <c r="D4" s="204" t="s">
        <v>57</v>
      </c>
      <c r="E4" s="204"/>
      <c r="F4" s="204"/>
      <c r="G4" s="204" t="s">
        <v>66</v>
      </c>
      <c r="H4" s="204"/>
      <c r="I4" s="204"/>
      <c r="J4" s="204" t="s">
        <v>65</v>
      </c>
      <c r="K4" s="204"/>
      <c r="L4" s="204"/>
      <c r="M4" s="204" t="s">
        <v>62</v>
      </c>
      <c r="N4" s="204"/>
      <c r="O4" s="204"/>
      <c r="P4" s="204" t="s">
        <v>61</v>
      </c>
      <c r="Q4" s="204"/>
      <c r="R4" s="204"/>
      <c r="S4" s="205" t="s">
        <v>645</v>
      </c>
      <c r="T4" s="47" t="s">
        <v>161</v>
      </c>
      <c r="U4" s="1"/>
    </row>
    <row r="5" spans="1:21" ht="13.5" thickBot="1" x14ac:dyDescent="0.25">
      <c r="A5" s="47" t="s">
        <v>216</v>
      </c>
      <c r="B5" s="47" t="s">
        <v>11</v>
      </c>
      <c r="C5" s="47" t="s">
        <v>10</v>
      </c>
      <c r="D5" s="47" t="s">
        <v>216</v>
      </c>
      <c r="E5" s="47" t="s">
        <v>11</v>
      </c>
      <c r="F5" s="47" t="s">
        <v>10</v>
      </c>
      <c r="G5" s="47" t="s">
        <v>216</v>
      </c>
      <c r="H5" s="47" t="s">
        <v>11</v>
      </c>
      <c r="I5" s="47" t="s">
        <v>10</v>
      </c>
      <c r="J5" s="47" t="s">
        <v>216</v>
      </c>
      <c r="K5" s="47" t="s">
        <v>11</v>
      </c>
      <c r="L5" s="47" t="s">
        <v>10</v>
      </c>
      <c r="M5" s="47" t="s">
        <v>216</v>
      </c>
      <c r="N5" s="47" t="s">
        <v>11</v>
      </c>
      <c r="O5" s="47" t="s">
        <v>10</v>
      </c>
      <c r="P5" s="47" t="s">
        <v>216</v>
      </c>
      <c r="Q5" s="47" t="s">
        <v>11</v>
      </c>
      <c r="R5" s="47" t="s">
        <v>10</v>
      </c>
      <c r="S5" s="206"/>
      <c r="T5" s="5" t="s">
        <v>74</v>
      </c>
      <c r="U5" s="1"/>
    </row>
    <row r="6" spans="1:21" ht="13.5" thickBot="1" x14ac:dyDescent="0.25">
      <c r="A6" s="123">
        <v>732</v>
      </c>
      <c r="B6" s="123">
        <v>123</v>
      </c>
      <c r="C6" s="123">
        <v>609</v>
      </c>
      <c r="D6" s="123">
        <v>438</v>
      </c>
      <c r="E6" s="123">
        <v>50</v>
      </c>
      <c r="F6" s="123">
        <v>388</v>
      </c>
      <c r="G6" s="123">
        <v>9</v>
      </c>
      <c r="H6" s="123">
        <v>1</v>
      </c>
      <c r="I6" s="123">
        <v>8</v>
      </c>
      <c r="J6" s="123">
        <v>263</v>
      </c>
      <c r="K6" s="123">
        <v>70</v>
      </c>
      <c r="L6" s="123">
        <v>193</v>
      </c>
      <c r="M6" s="123">
        <v>20</v>
      </c>
      <c r="N6" s="123">
        <v>2</v>
      </c>
      <c r="O6" s="123">
        <v>18</v>
      </c>
      <c r="P6" s="123">
        <v>2</v>
      </c>
      <c r="Q6" s="123">
        <v>0</v>
      </c>
      <c r="R6" s="123">
        <v>2</v>
      </c>
      <c r="S6" s="7" t="s">
        <v>163</v>
      </c>
      <c r="T6" s="124"/>
      <c r="U6" s="1"/>
    </row>
    <row r="7" spans="1:21" ht="13.5" thickBot="1" x14ac:dyDescent="0.25">
      <c r="A7" s="123">
        <v>26</v>
      </c>
      <c r="B7" s="123">
        <v>0</v>
      </c>
      <c r="C7" s="123">
        <v>26</v>
      </c>
      <c r="D7" s="123">
        <v>0</v>
      </c>
      <c r="E7" s="123">
        <v>0</v>
      </c>
      <c r="F7" s="123">
        <v>0</v>
      </c>
      <c r="G7" s="123">
        <v>0</v>
      </c>
      <c r="H7" s="123">
        <v>0</v>
      </c>
      <c r="I7" s="123">
        <v>0</v>
      </c>
      <c r="J7" s="123">
        <v>20</v>
      </c>
      <c r="K7" s="123">
        <v>0</v>
      </c>
      <c r="L7" s="123">
        <v>20</v>
      </c>
      <c r="M7" s="123">
        <v>4</v>
      </c>
      <c r="N7" s="123">
        <v>0</v>
      </c>
      <c r="O7" s="123">
        <v>4</v>
      </c>
      <c r="P7" s="123">
        <v>2</v>
      </c>
      <c r="Q7" s="123">
        <v>0</v>
      </c>
      <c r="R7" s="123">
        <v>2</v>
      </c>
      <c r="S7" s="7" t="s">
        <v>162</v>
      </c>
      <c r="T7" s="124" t="s">
        <v>618</v>
      </c>
      <c r="U7" s="1"/>
    </row>
    <row r="8" spans="1:21" ht="13.5" thickBot="1" x14ac:dyDescent="0.25">
      <c r="A8" s="123">
        <v>758</v>
      </c>
      <c r="B8" s="123">
        <v>123</v>
      </c>
      <c r="C8" s="123">
        <v>635</v>
      </c>
      <c r="D8" s="123">
        <v>438</v>
      </c>
      <c r="E8" s="123">
        <v>50</v>
      </c>
      <c r="F8" s="123">
        <v>388</v>
      </c>
      <c r="G8" s="123">
        <v>9</v>
      </c>
      <c r="H8" s="123">
        <v>1</v>
      </c>
      <c r="I8" s="123">
        <v>8</v>
      </c>
      <c r="J8" s="123">
        <v>283</v>
      </c>
      <c r="K8" s="123">
        <v>70</v>
      </c>
      <c r="L8" s="123">
        <v>213</v>
      </c>
      <c r="M8" s="123">
        <v>24</v>
      </c>
      <c r="N8" s="123">
        <v>2</v>
      </c>
      <c r="O8" s="123">
        <v>22</v>
      </c>
      <c r="P8" s="123">
        <v>4</v>
      </c>
      <c r="Q8" s="123">
        <v>0</v>
      </c>
      <c r="R8" s="123">
        <v>4</v>
      </c>
      <c r="S8" s="7" t="s">
        <v>13</v>
      </c>
      <c r="T8" s="9"/>
      <c r="U8" s="1"/>
    </row>
    <row r="9" spans="1:21" ht="13.5" thickBot="1" x14ac:dyDescent="0.25">
      <c r="A9" s="123">
        <v>732</v>
      </c>
      <c r="B9" s="123">
        <v>123</v>
      </c>
      <c r="C9" s="123">
        <v>609</v>
      </c>
      <c r="D9" s="123">
        <v>438</v>
      </c>
      <c r="E9" s="123">
        <v>50</v>
      </c>
      <c r="F9" s="123">
        <v>388</v>
      </c>
      <c r="G9" s="123">
        <v>9</v>
      </c>
      <c r="H9" s="123">
        <v>1</v>
      </c>
      <c r="I9" s="123">
        <v>8</v>
      </c>
      <c r="J9" s="123">
        <v>263</v>
      </c>
      <c r="K9" s="123">
        <v>70</v>
      </c>
      <c r="L9" s="123">
        <v>193</v>
      </c>
      <c r="M9" s="123">
        <v>20</v>
      </c>
      <c r="N9" s="123">
        <v>2</v>
      </c>
      <c r="O9" s="123">
        <v>18</v>
      </c>
      <c r="P9" s="123">
        <v>2</v>
      </c>
      <c r="Q9" s="123">
        <v>0</v>
      </c>
      <c r="R9" s="123">
        <v>2</v>
      </c>
      <c r="S9" s="7" t="s">
        <v>163</v>
      </c>
      <c r="T9" s="3"/>
      <c r="U9" s="1"/>
    </row>
    <row r="10" spans="1:21" ht="13.5" thickBot="1" x14ac:dyDescent="0.25">
      <c r="A10" s="123">
        <v>26</v>
      </c>
      <c r="B10" s="123">
        <v>0</v>
      </c>
      <c r="C10" s="123">
        <v>26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3">
        <v>0</v>
      </c>
      <c r="J10" s="123">
        <v>20</v>
      </c>
      <c r="K10" s="123">
        <v>0</v>
      </c>
      <c r="L10" s="123">
        <v>20</v>
      </c>
      <c r="M10" s="123">
        <v>4</v>
      </c>
      <c r="N10" s="123">
        <v>0</v>
      </c>
      <c r="O10" s="123">
        <v>4</v>
      </c>
      <c r="P10" s="123">
        <v>2</v>
      </c>
      <c r="Q10" s="123">
        <v>0</v>
      </c>
      <c r="R10" s="123">
        <v>2</v>
      </c>
      <c r="S10" s="7" t="s">
        <v>162</v>
      </c>
      <c r="T10" s="11" t="s">
        <v>211</v>
      </c>
      <c r="U10" s="1"/>
    </row>
    <row r="11" spans="1:21" ht="13.5" thickBot="1" x14ac:dyDescent="0.25">
      <c r="A11" s="123">
        <v>758</v>
      </c>
      <c r="B11" s="123">
        <v>123</v>
      </c>
      <c r="C11" s="123">
        <v>635</v>
      </c>
      <c r="D11" s="123">
        <v>438</v>
      </c>
      <c r="E11" s="123">
        <v>50</v>
      </c>
      <c r="F11" s="123">
        <v>388</v>
      </c>
      <c r="G11" s="123">
        <v>9</v>
      </c>
      <c r="H11" s="123">
        <v>1</v>
      </c>
      <c r="I11" s="123">
        <v>8</v>
      </c>
      <c r="J11" s="123">
        <v>283</v>
      </c>
      <c r="K11" s="123">
        <v>70</v>
      </c>
      <c r="L11" s="123">
        <v>213</v>
      </c>
      <c r="M11" s="123">
        <v>24</v>
      </c>
      <c r="N11" s="123">
        <v>2</v>
      </c>
      <c r="O11" s="123">
        <v>22</v>
      </c>
      <c r="P11" s="123">
        <v>4</v>
      </c>
      <c r="Q11" s="123">
        <v>0</v>
      </c>
      <c r="R11" s="123">
        <v>4</v>
      </c>
      <c r="S11" s="7" t="s">
        <v>13</v>
      </c>
      <c r="T11" s="5"/>
      <c r="U11" s="1"/>
    </row>
    <row r="12" spans="1:21" ht="18" customHeight="1" x14ac:dyDescent="0.2">
      <c r="A12" s="207"/>
      <c r="B12" s="207"/>
      <c r="C12" s="207"/>
      <c r="D12" s="207"/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1"/>
    </row>
    <row r="13" spans="1:21" ht="18" customHeight="1" x14ac:dyDescent="0.2">
      <c r="A13" s="159" t="s">
        <v>665</v>
      </c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"/>
    </row>
    <row r="14" spans="1:21" ht="18" customHeight="1" thickBot="1" x14ac:dyDescent="0.25">
      <c r="A14" s="160" t="s">
        <v>667</v>
      </c>
      <c r="B14" s="160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"/>
    </row>
    <row r="15" spans="1:21" ht="13.5" thickBot="1" x14ac:dyDescent="0.25">
      <c r="A15" s="204" t="s">
        <v>5</v>
      </c>
      <c r="B15" s="204"/>
      <c r="C15" s="204"/>
      <c r="D15" s="204" t="s">
        <v>57</v>
      </c>
      <c r="E15" s="204"/>
      <c r="F15" s="204"/>
      <c r="G15" s="204" t="s">
        <v>66</v>
      </c>
      <c r="H15" s="204"/>
      <c r="I15" s="204"/>
      <c r="J15" s="204" t="s">
        <v>65</v>
      </c>
      <c r="K15" s="204"/>
      <c r="L15" s="204"/>
      <c r="M15" s="204" t="s">
        <v>62</v>
      </c>
      <c r="N15" s="204"/>
      <c r="O15" s="204"/>
      <c r="P15" s="204" t="s">
        <v>61</v>
      </c>
      <c r="Q15" s="204"/>
      <c r="R15" s="204"/>
      <c r="S15" s="205" t="s">
        <v>645</v>
      </c>
      <c r="T15" s="47" t="s">
        <v>161</v>
      </c>
      <c r="U15" s="1"/>
    </row>
    <row r="16" spans="1:21" ht="13.5" thickBot="1" x14ac:dyDescent="0.25">
      <c r="A16" s="47" t="s">
        <v>216</v>
      </c>
      <c r="B16" s="47" t="s">
        <v>11</v>
      </c>
      <c r="C16" s="47" t="s">
        <v>10</v>
      </c>
      <c r="D16" s="47" t="s">
        <v>216</v>
      </c>
      <c r="E16" s="47" t="s">
        <v>11</v>
      </c>
      <c r="F16" s="47" t="s">
        <v>10</v>
      </c>
      <c r="G16" s="47" t="s">
        <v>216</v>
      </c>
      <c r="H16" s="47" t="s">
        <v>11</v>
      </c>
      <c r="I16" s="47" t="s">
        <v>10</v>
      </c>
      <c r="J16" s="47" t="s">
        <v>216</v>
      </c>
      <c r="K16" s="47" t="s">
        <v>11</v>
      </c>
      <c r="L16" s="47" t="s">
        <v>10</v>
      </c>
      <c r="M16" s="47" t="s">
        <v>216</v>
      </c>
      <c r="N16" s="47" t="s">
        <v>11</v>
      </c>
      <c r="O16" s="47" t="s">
        <v>10</v>
      </c>
      <c r="P16" s="47" t="s">
        <v>216</v>
      </c>
      <c r="Q16" s="47" t="s">
        <v>11</v>
      </c>
      <c r="R16" s="47" t="s">
        <v>10</v>
      </c>
      <c r="S16" s="206"/>
      <c r="T16" s="5" t="s">
        <v>164</v>
      </c>
      <c r="U16" s="1"/>
    </row>
    <row r="17" spans="1:21" ht="13.5" thickBot="1" x14ac:dyDescent="0.25">
      <c r="A17" s="123">
        <v>570</v>
      </c>
      <c r="B17" s="123">
        <v>2</v>
      </c>
      <c r="C17" s="123">
        <v>568</v>
      </c>
      <c r="D17" s="123">
        <v>439</v>
      </c>
      <c r="E17" s="123">
        <v>1</v>
      </c>
      <c r="F17" s="123">
        <v>438</v>
      </c>
      <c r="G17" s="123">
        <v>12</v>
      </c>
      <c r="H17" s="123">
        <v>0</v>
      </c>
      <c r="I17" s="123">
        <v>12</v>
      </c>
      <c r="J17" s="123">
        <v>114</v>
      </c>
      <c r="K17" s="123">
        <v>1</v>
      </c>
      <c r="L17" s="123">
        <v>113</v>
      </c>
      <c r="M17" s="123">
        <v>3</v>
      </c>
      <c r="N17" s="123">
        <v>0</v>
      </c>
      <c r="O17" s="123">
        <v>3</v>
      </c>
      <c r="P17" s="123">
        <v>2</v>
      </c>
      <c r="Q17" s="123">
        <v>0</v>
      </c>
      <c r="R17" s="123">
        <v>2</v>
      </c>
      <c r="S17" s="7" t="s">
        <v>163</v>
      </c>
      <c r="T17" s="124"/>
      <c r="U17" s="1"/>
    </row>
    <row r="18" spans="1:21" ht="13.5" thickBot="1" x14ac:dyDescent="0.25">
      <c r="A18" s="123">
        <v>2</v>
      </c>
      <c r="B18" s="123">
        <v>0</v>
      </c>
      <c r="C18" s="123">
        <v>2</v>
      </c>
      <c r="D18" s="123">
        <v>0</v>
      </c>
      <c r="E18" s="123">
        <v>0</v>
      </c>
      <c r="F18" s="123">
        <v>0</v>
      </c>
      <c r="G18" s="123">
        <v>0</v>
      </c>
      <c r="H18" s="123">
        <v>0</v>
      </c>
      <c r="I18" s="123">
        <v>0</v>
      </c>
      <c r="J18" s="123">
        <v>2</v>
      </c>
      <c r="K18" s="123">
        <v>0</v>
      </c>
      <c r="L18" s="123">
        <v>2</v>
      </c>
      <c r="M18" s="123">
        <v>0</v>
      </c>
      <c r="N18" s="123">
        <v>0</v>
      </c>
      <c r="O18" s="123">
        <v>0</v>
      </c>
      <c r="P18" s="123">
        <v>0</v>
      </c>
      <c r="Q18" s="123">
        <v>0</v>
      </c>
      <c r="R18" s="123">
        <v>0</v>
      </c>
      <c r="S18" s="7" t="s">
        <v>162</v>
      </c>
      <c r="T18" s="124" t="s">
        <v>634</v>
      </c>
      <c r="U18" s="1"/>
    </row>
    <row r="19" spans="1:21" ht="13.5" thickBot="1" x14ac:dyDescent="0.25">
      <c r="A19" s="123">
        <v>572</v>
      </c>
      <c r="B19" s="123">
        <v>2</v>
      </c>
      <c r="C19" s="123">
        <v>570</v>
      </c>
      <c r="D19" s="123">
        <v>439</v>
      </c>
      <c r="E19" s="123">
        <v>1</v>
      </c>
      <c r="F19" s="123">
        <v>438</v>
      </c>
      <c r="G19" s="123">
        <v>12</v>
      </c>
      <c r="H19" s="123">
        <v>0</v>
      </c>
      <c r="I19" s="123">
        <v>12</v>
      </c>
      <c r="J19" s="123">
        <v>116</v>
      </c>
      <c r="K19" s="123">
        <v>1</v>
      </c>
      <c r="L19" s="123">
        <v>115</v>
      </c>
      <c r="M19" s="123">
        <v>3</v>
      </c>
      <c r="N19" s="123">
        <v>0</v>
      </c>
      <c r="O19" s="123">
        <v>3</v>
      </c>
      <c r="P19" s="123">
        <v>2</v>
      </c>
      <c r="Q19" s="123">
        <v>0</v>
      </c>
      <c r="R19" s="123">
        <v>2</v>
      </c>
      <c r="S19" s="7" t="s">
        <v>13</v>
      </c>
      <c r="T19" s="9"/>
      <c r="U19" s="1"/>
    </row>
    <row r="20" spans="1:21" ht="13.5" thickBot="1" x14ac:dyDescent="0.25">
      <c r="A20" s="123">
        <v>570</v>
      </c>
      <c r="B20" s="123">
        <v>2</v>
      </c>
      <c r="C20" s="123">
        <v>568</v>
      </c>
      <c r="D20" s="123">
        <v>439</v>
      </c>
      <c r="E20" s="123">
        <v>1</v>
      </c>
      <c r="F20" s="123">
        <v>438</v>
      </c>
      <c r="G20" s="123">
        <v>12</v>
      </c>
      <c r="H20" s="123">
        <v>0</v>
      </c>
      <c r="I20" s="123">
        <v>12</v>
      </c>
      <c r="J20" s="123">
        <v>114</v>
      </c>
      <c r="K20" s="123">
        <v>1</v>
      </c>
      <c r="L20" s="123">
        <v>113</v>
      </c>
      <c r="M20" s="123">
        <v>3</v>
      </c>
      <c r="N20" s="123">
        <v>0</v>
      </c>
      <c r="O20" s="123">
        <v>3</v>
      </c>
      <c r="P20" s="123">
        <v>2</v>
      </c>
      <c r="Q20" s="123">
        <v>0</v>
      </c>
      <c r="R20" s="123">
        <v>2</v>
      </c>
      <c r="S20" s="7" t="s">
        <v>163</v>
      </c>
      <c r="T20" s="3"/>
      <c r="U20" s="1"/>
    </row>
    <row r="21" spans="1:21" ht="13.5" thickBot="1" x14ac:dyDescent="0.25">
      <c r="A21" s="123">
        <v>2</v>
      </c>
      <c r="B21" s="123">
        <v>0</v>
      </c>
      <c r="C21" s="123">
        <v>2</v>
      </c>
      <c r="D21" s="123">
        <v>0</v>
      </c>
      <c r="E21" s="123">
        <v>0</v>
      </c>
      <c r="F21" s="123">
        <v>0</v>
      </c>
      <c r="G21" s="123">
        <v>0</v>
      </c>
      <c r="H21" s="123">
        <v>0</v>
      </c>
      <c r="I21" s="123">
        <v>0</v>
      </c>
      <c r="J21" s="123">
        <v>2</v>
      </c>
      <c r="K21" s="123">
        <v>0</v>
      </c>
      <c r="L21" s="123">
        <v>2</v>
      </c>
      <c r="M21" s="123">
        <v>0</v>
      </c>
      <c r="N21" s="123">
        <v>0</v>
      </c>
      <c r="O21" s="123">
        <v>0</v>
      </c>
      <c r="P21" s="123">
        <v>0</v>
      </c>
      <c r="Q21" s="123">
        <v>0</v>
      </c>
      <c r="R21" s="123">
        <v>0</v>
      </c>
      <c r="S21" s="7" t="s">
        <v>162</v>
      </c>
      <c r="T21" s="11" t="s">
        <v>211</v>
      </c>
      <c r="U21" s="1"/>
    </row>
    <row r="22" spans="1:21" ht="13.5" thickBot="1" x14ac:dyDescent="0.25">
      <c r="A22" s="123">
        <v>572</v>
      </c>
      <c r="B22" s="123">
        <v>2</v>
      </c>
      <c r="C22" s="123">
        <v>570</v>
      </c>
      <c r="D22" s="123">
        <v>439</v>
      </c>
      <c r="E22" s="123">
        <v>1</v>
      </c>
      <c r="F22" s="123">
        <v>438</v>
      </c>
      <c r="G22" s="123">
        <v>12</v>
      </c>
      <c r="H22" s="123">
        <v>0</v>
      </c>
      <c r="I22" s="123">
        <v>12</v>
      </c>
      <c r="J22" s="123">
        <v>116</v>
      </c>
      <c r="K22" s="123">
        <v>1</v>
      </c>
      <c r="L22" s="123">
        <v>115</v>
      </c>
      <c r="M22" s="123">
        <v>3</v>
      </c>
      <c r="N22" s="123">
        <v>0</v>
      </c>
      <c r="O22" s="123">
        <v>3</v>
      </c>
      <c r="P22" s="123">
        <v>2</v>
      </c>
      <c r="Q22" s="123">
        <v>0</v>
      </c>
      <c r="R22" s="123">
        <v>2</v>
      </c>
      <c r="S22" s="7" t="s">
        <v>13</v>
      </c>
      <c r="T22" s="5"/>
      <c r="U22" s="1"/>
    </row>
    <row r="23" spans="1:21" ht="18" customHeight="1" x14ac:dyDescent="0.2">
      <c r="A23" s="207"/>
      <c r="B23" s="207"/>
      <c r="C23" s="207"/>
      <c r="D23" s="207"/>
      <c r="E23" s="207"/>
      <c r="F23" s="207"/>
      <c r="G23" s="207"/>
      <c r="H23" s="207"/>
      <c r="I23" s="207"/>
      <c r="J23" s="207"/>
      <c r="K23" s="207"/>
      <c r="L23" s="207"/>
      <c r="M23" s="207"/>
      <c r="N23" s="207"/>
      <c r="O23" s="207"/>
      <c r="P23" s="207"/>
      <c r="Q23" s="207"/>
      <c r="R23" s="207"/>
      <c r="S23" s="207"/>
      <c r="T23" s="207"/>
      <c r="U23" s="1"/>
    </row>
    <row r="24" spans="1:21" ht="18" customHeight="1" x14ac:dyDescent="0.2">
      <c r="A24" s="159" t="s">
        <v>665</v>
      </c>
      <c r="B24" s="159"/>
      <c r="C24" s="159"/>
      <c r="D24" s="159"/>
      <c r="E24" s="159"/>
      <c r="F24" s="159"/>
      <c r="G24" s="159"/>
      <c r="H24" s="159"/>
      <c r="I24" s="15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"/>
    </row>
    <row r="25" spans="1:21" ht="18" customHeight="1" thickBot="1" x14ac:dyDescent="0.25">
      <c r="A25" s="160" t="s">
        <v>667</v>
      </c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"/>
    </row>
    <row r="26" spans="1:21" ht="13.5" thickBot="1" x14ac:dyDescent="0.25">
      <c r="A26" s="204" t="s">
        <v>5</v>
      </c>
      <c r="B26" s="204"/>
      <c r="C26" s="204"/>
      <c r="D26" s="204" t="s">
        <v>57</v>
      </c>
      <c r="E26" s="204"/>
      <c r="F26" s="204"/>
      <c r="G26" s="204" t="s">
        <v>66</v>
      </c>
      <c r="H26" s="204"/>
      <c r="I26" s="204"/>
      <c r="J26" s="204" t="s">
        <v>65</v>
      </c>
      <c r="K26" s="204"/>
      <c r="L26" s="204"/>
      <c r="M26" s="204" t="s">
        <v>62</v>
      </c>
      <c r="N26" s="204"/>
      <c r="O26" s="204"/>
      <c r="P26" s="204" t="s">
        <v>61</v>
      </c>
      <c r="Q26" s="204"/>
      <c r="R26" s="204"/>
      <c r="S26" s="205" t="s">
        <v>645</v>
      </c>
      <c r="T26" s="47" t="s">
        <v>161</v>
      </c>
      <c r="U26" s="1"/>
    </row>
    <row r="27" spans="1:21" ht="13.5" thickBot="1" x14ac:dyDescent="0.25">
      <c r="A27" s="47" t="s">
        <v>216</v>
      </c>
      <c r="B27" s="47" t="s">
        <v>11</v>
      </c>
      <c r="C27" s="47" t="s">
        <v>10</v>
      </c>
      <c r="D27" s="47" t="s">
        <v>216</v>
      </c>
      <c r="E27" s="47" t="s">
        <v>11</v>
      </c>
      <c r="F27" s="47" t="s">
        <v>10</v>
      </c>
      <c r="G27" s="47" t="s">
        <v>216</v>
      </c>
      <c r="H27" s="47" t="s">
        <v>11</v>
      </c>
      <c r="I27" s="47" t="s">
        <v>10</v>
      </c>
      <c r="J27" s="47" t="s">
        <v>216</v>
      </c>
      <c r="K27" s="47" t="s">
        <v>11</v>
      </c>
      <c r="L27" s="47" t="s">
        <v>10</v>
      </c>
      <c r="M27" s="47" t="s">
        <v>216</v>
      </c>
      <c r="N27" s="47" t="s">
        <v>11</v>
      </c>
      <c r="O27" s="47" t="s">
        <v>10</v>
      </c>
      <c r="P27" s="47" t="s">
        <v>216</v>
      </c>
      <c r="Q27" s="47" t="s">
        <v>11</v>
      </c>
      <c r="R27" s="47" t="s">
        <v>10</v>
      </c>
      <c r="S27" s="206"/>
      <c r="T27" s="5" t="s">
        <v>76</v>
      </c>
      <c r="U27" s="1"/>
    </row>
    <row r="28" spans="1:21" ht="13.5" thickBot="1" x14ac:dyDescent="0.25">
      <c r="A28" s="123">
        <v>30</v>
      </c>
      <c r="B28" s="123">
        <v>7</v>
      </c>
      <c r="C28" s="123">
        <v>23</v>
      </c>
      <c r="D28" s="123">
        <v>0</v>
      </c>
      <c r="E28" s="123">
        <v>0</v>
      </c>
      <c r="F28" s="123">
        <v>0</v>
      </c>
      <c r="G28" s="123">
        <v>14</v>
      </c>
      <c r="H28" s="123">
        <v>1</v>
      </c>
      <c r="I28" s="123">
        <v>13</v>
      </c>
      <c r="J28" s="123">
        <v>16</v>
      </c>
      <c r="K28" s="123">
        <v>6</v>
      </c>
      <c r="L28" s="123">
        <v>10</v>
      </c>
      <c r="M28" s="123">
        <v>0</v>
      </c>
      <c r="N28" s="123">
        <v>0</v>
      </c>
      <c r="O28" s="123">
        <v>0</v>
      </c>
      <c r="P28" s="123">
        <v>0</v>
      </c>
      <c r="Q28" s="123">
        <v>0</v>
      </c>
      <c r="R28" s="123">
        <v>0</v>
      </c>
      <c r="S28" s="7" t="s">
        <v>163</v>
      </c>
      <c r="T28" s="124"/>
      <c r="U28" s="1"/>
    </row>
    <row r="29" spans="1:21" ht="13.5" thickBot="1" x14ac:dyDescent="0.25">
      <c r="A29" s="123">
        <v>0</v>
      </c>
      <c r="B29" s="123">
        <v>0</v>
      </c>
      <c r="C29" s="123">
        <v>0</v>
      </c>
      <c r="D29" s="123">
        <v>0</v>
      </c>
      <c r="E29" s="123">
        <v>0</v>
      </c>
      <c r="F29" s="123">
        <v>0</v>
      </c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123">
        <v>0</v>
      </c>
      <c r="M29" s="123">
        <v>0</v>
      </c>
      <c r="N29" s="123">
        <v>0</v>
      </c>
      <c r="O29" s="123">
        <v>0</v>
      </c>
      <c r="P29" s="123">
        <v>0</v>
      </c>
      <c r="Q29" s="123">
        <v>0</v>
      </c>
      <c r="R29" s="123">
        <v>0</v>
      </c>
      <c r="S29" s="7" t="s">
        <v>162</v>
      </c>
      <c r="T29" s="124" t="s">
        <v>351</v>
      </c>
      <c r="U29" s="1"/>
    </row>
    <row r="30" spans="1:21" ht="13.5" thickBot="1" x14ac:dyDescent="0.25">
      <c r="A30" s="123">
        <v>30</v>
      </c>
      <c r="B30" s="123">
        <v>7</v>
      </c>
      <c r="C30" s="123">
        <v>23</v>
      </c>
      <c r="D30" s="123">
        <v>0</v>
      </c>
      <c r="E30" s="123">
        <v>0</v>
      </c>
      <c r="F30" s="123">
        <v>0</v>
      </c>
      <c r="G30" s="123">
        <v>14</v>
      </c>
      <c r="H30" s="123">
        <v>1</v>
      </c>
      <c r="I30" s="123">
        <v>13</v>
      </c>
      <c r="J30" s="123">
        <v>16</v>
      </c>
      <c r="K30" s="123">
        <v>6</v>
      </c>
      <c r="L30" s="123">
        <v>10</v>
      </c>
      <c r="M30" s="123">
        <v>0</v>
      </c>
      <c r="N30" s="123">
        <v>0</v>
      </c>
      <c r="O30" s="123">
        <v>0</v>
      </c>
      <c r="P30" s="123">
        <v>0</v>
      </c>
      <c r="Q30" s="123">
        <v>0</v>
      </c>
      <c r="R30" s="123">
        <v>0</v>
      </c>
      <c r="S30" s="7" t="s">
        <v>13</v>
      </c>
      <c r="T30" s="9"/>
      <c r="U30" s="1"/>
    </row>
    <row r="31" spans="1:21" ht="13.5" thickBot="1" x14ac:dyDescent="0.25">
      <c r="A31" s="123">
        <v>18</v>
      </c>
      <c r="B31" s="123">
        <v>0</v>
      </c>
      <c r="C31" s="123">
        <v>18</v>
      </c>
      <c r="D31" s="123">
        <v>13</v>
      </c>
      <c r="E31" s="123">
        <v>0</v>
      </c>
      <c r="F31" s="123">
        <v>13</v>
      </c>
      <c r="G31" s="123">
        <v>0</v>
      </c>
      <c r="H31" s="123">
        <v>0</v>
      </c>
      <c r="I31" s="123">
        <v>0</v>
      </c>
      <c r="J31" s="123">
        <v>4</v>
      </c>
      <c r="K31" s="123">
        <v>0</v>
      </c>
      <c r="L31" s="123">
        <v>4</v>
      </c>
      <c r="M31" s="123">
        <v>1</v>
      </c>
      <c r="N31" s="123">
        <v>0</v>
      </c>
      <c r="O31" s="123">
        <v>1</v>
      </c>
      <c r="P31" s="123">
        <v>0</v>
      </c>
      <c r="Q31" s="123">
        <v>0</v>
      </c>
      <c r="R31" s="123">
        <v>0</v>
      </c>
      <c r="S31" s="7" t="s">
        <v>163</v>
      </c>
      <c r="T31" s="124"/>
      <c r="U31" s="1"/>
    </row>
    <row r="32" spans="1:21" ht="13.5" thickBot="1" x14ac:dyDescent="0.25">
      <c r="A32" s="123">
        <v>0</v>
      </c>
      <c r="B32" s="123">
        <v>0</v>
      </c>
      <c r="C32" s="123">
        <v>0</v>
      </c>
      <c r="D32" s="123">
        <v>0</v>
      </c>
      <c r="E32" s="123">
        <v>0</v>
      </c>
      <c r="F32" s="123">
        <v>0</v>
      </c>
      <c r="G32" s="123">
        <v>0</v>
      </c>
      <c r="H32" s="123">
        <v>0</v>
      </c>
      <c r="I32" s="123">
        <v>0</v>
      </c>
      <c r="J32" s="123">
        <v>0</v>
      </c>
      <c r="K32" s="123">
        <v>0</v>
      </c>
      <c r="L32" s="123">
        <v>0</v>
      </c>
      <c r="M32" s="123">
        <v>0</v>
      </c>
      <c r="N32" s="123">
        <v>0</v>
      </c>
      <c r="O32" s="123">
        <v>0</v>
      </c>
      <c r="P32" s="123">
        <v>0</v>
      </c>
      <c r="Q32" s="123">
        <v>0</v>
      </c>
      <c r="R32" s="123">
        <v>0</v>
      </c>
      <c r="S32" s="7" t="s">
        <v>162</v>
      </c>
      <c r="T32" s="124" t="s">
        <v>352</v>
      </c>
      <c r="U32" s="1"/>
    </row>
    <row r="33" spans="1:21" ht="13.5" thickBot="1" x14ac:dyDescent="0.25">
      <c r="A33" s="123">
        <v>18</v>
      </c>
      <c r="B33" s="123">
        <v>0</v>
      </c>
      <c r="C33" s="123">
        <v>18</v>
      </c>
      <c r="D33" s="123">
        <v>13</v>
      </c>
      <c r="E33" s="123">
        <v>0</v>
      </c>
      <c r="F33" s="123">
        <v>13</v>
      </c>
      <c r="G33" s="123">
        <v>0</v>
      </c>
      <c r="H33" s="123">
        <v>0</v>
      </c>
      <c r="I33" s="123">
        <v>0</v>
      </c>
      <c r="J33" s="123">
        <v>4</v>
      </c>
      <c r="K33" s="123">
        <v>0</v>
      </c>
      <c r="L33" s="123">
        <v>4</v>
      </c>
      <c r="M33" s="123">
        <v>1</v>
      </c>
      <c r="N33" s="123">
        <v>0</v>
      </c>
      <c r="O33" s="123">
        <v>1</v>
      </c>
      <c r="P33" s="123">
        <v>0</v>
      </c>
      <c r="Q33" s="123">
        <v>0</v>
      </c>
      <c r="R33" s="123">
        <v>0</v>
      </c>
      <c r="S33" s="7" t="s">
        <v>13</v>
      </c>
      <c r="T33" s="9"/>
      <c r="U33" s="1"/>
    </row>
    <row r="34" spans="1:21" ht="13.5" thickBot="1" x14ac:dyDescent="0.25">
      <c r="A34" s="123">
        <v>23</v>
      </c>
      <c r="B34" s="123">
        <v>0</v>
      </c>
      <c r="C34" s="123">
        <v>23</v>
      </c>
      <c r="D34" s="123">
        <v>4</v>
      </c>
      <c r="E34" s="123">
        <v>0</v>
      </c>
      <c r="F34" s="123">
        <v>4</v>
      </c>
      <c r="G34" s="123">
        <v>12</v>
      </c>
      <c r="H34" s="123">
        <v>0</v>
      </c>
      <c r="I34" s="123">
        <v>12</v>
      </c>
      <c r="J34" s="123">
        <v>6</v>
      </c>
      <c r="K34" s="123">
        <v>0</v>
      </c>
      <c r="L34" s="123">
        <v>6</v>
      </c>
      <c r="M34" s="123">
        <v>1</v>
      </c>
      <c r="N34" s="123">
        <v>0</v>
      </c>
      <c r="O34" s="123">
        <v>1</v>
      </c>
      <c r="P34" s="123">
        <v>0</v>
      </c>
      <c r="Q34" s="123">
        <v>0</v>
      </c>
      <c r="R34" s="123">
        <v>0</v>
      </c>
      <c r="S34" s="7" t="s">
        <v>163</v>
      </c>
      <c r="T34" s="124"/>
      <c r="U34" s="1"/>
    </row>
    <row r="35" spans="1:21" ht="13.5" thickBot="1" x14ac:dyDescent="0.25">
      <c r="A35" s="123">
        <v>0</v>
      </c>
      <c r="B35" s="123">
        <v>0</v>
      </c>
      <c r="C35" s="123">
        <v>0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123">
        <v>0</v>
      </c>
      <c r="M35" s="123">
        <v>0</v>
      </c>
      <c r="N35" s="123">
        <v>0</v>
      </c>
      <c r="O35" s="123">
        <v>0</v>
      </c>
      <c r="P35" s="123">
        <v>0</v>
      </c>
      <c r="Q35" s="123">
        <v>0</v>
      </c>
      <c r="R35" s="123">
        <v>0</v>
      </c>
      <c r="S35" s="7" t="s">
        <v>162</v>
      </c>
      <c r="T35" s="124" t="s">
        <v>353</v>
      </c>
      <c r="U35" s="1"/>
    </row>
    <row r="36" spans="1:21" ht="13.5" thickBot="1" x14ac:dyDescent="0.25">
      <c r="A36" s="123">
        <v>23</v>
      </c>
      <c r="B36" s="123">
        <v>0</v>
      </c>
      <c r="C36" s="123">
        <v>23</v>
      </c>
      <c r="D36" s="123">
        <v>4</v>
      </c>
      <c r="E36" s="123">
        <v>0</v>
      </c>
      <c r="F36" s="123">
        <v>4</v>
      </c>
      <c r="G36" s="123">
        <v>12</v>
      </c>
      <c r="H36" s="123">
        <v>0</v>
      </c>
      <c r="I36" s="123">
        <v>12</v>
      </c>
      <c r="J36" s="123">
        <v>6</v>
      </c>
      <c r="K36" s="123">
        <v>0</v>
      </c>
      <c r="L36" s="123">
        <v>6</v>
      </c>
      <c r="M36" s="123">
        <v>1</v>
      </c>
      <c r="N36" s="123">
        <v>0</v>
      </c>
      <c r="O36" s="123">
        <v>1</v>
      </c>
      <c r="P36" s="123">
        <v>0</v>
      </c>
      <c r="Q36" s="123">
        <v>0</v>
      </c>
      <c r="R36" s="123">
        <v>0</v>
      </c>
      <c r="S36" s="7" t="s">
        <v>13</v>
      </c>
      <c r="T36" s="9"/>
      <c r="U36" s="1"/>
    </row>
    <row r="37" spans="1:21" ht="13.5" thickBot="1" x14ac:dyDescent="0.25">
      <c r="A37" s="123">
        <v>21</v>
      </c>
      <c r="B37" s="123">
        <v>0</v>
      </c>
      <c r="C37" s="123">
        <v>21</v>
      </c>
      <c r="D37" s="123">
        <v>12</v>
      </c>
      <c r="E37" s="123">
        <v>0</v>
      </c>
      <c r="F37" s="123">
        <v>12</v>
      </c>
      <c r="G37" s="123">
        <v>0</v>
      </c>
      <c r="H37" s="123">
        <v>0</v>
      </c>
      <c r="I37" s="123">
        <v>0</v>
      </c>
      <c r="J37" s="123">
        <v>8</v>
      </c>
      <c r="K37" s="123">
        <v>0</v>
      </c>
      <c r="L37" s="123">
        <v>8</v>
      </c>
      <c r="M37" s="123">
        <v>1</v>
      </c>
      <c r="N37" s="123">
        <v>0</v>
      </c>
      <c r="O37" s="123">
        <v>1</v>
      </c>
      <c r="P37" s="123">
        <v>0</v>
      </c>
      <c r="Q37" s="123">
        <v>0</v>
      </c>
      <c r="R37" s="123">
        <v>0</v>
      </c>
      <c r="S37" s="7" t="s">
        <v>163</v>
      </c>
      <c r="T37" s="124"/>
      <c r="U37" s="1"/>
    </row>
    <row r="38" spans="1:21" ht="13.5" thickBot="1" x14ac:dyDescent="0.25">
      <c r="A38" s="123">
        <v>0</v>
      </c>
      <c r="B38" s="123">
        <v>0</v>
      </c>
      <c r="C38" s="123">
        <v>0</v>
      </c>
      <c r="D38" s="123">
        <v>0</v>
      </c>
      <c r="E38" s="123">
        <v>0</v>
      </c>
      <c r="F38" s="123">
        <v>0</v>
      </c>
      <c r="G38" s="123">
        <v>0</v>
      </c>
      <c r="H38" s="123">
        <v>0</v>
      </c>
      <c r="I38" s="123">
        <v>0</v>
      </c>
      <c r="J38" s="123">
        <v>0</v>
      </c>
      <c r="K38" s="123">
        <v>0</v>
      </c>
      <c r="L38" s="123">
        <v>0</v>
      </c>
      <c r="M38" s="123">
        <v>0</v>
      </c>
      <c r="N38" s="123">
        <v>0</v>
      </c>
      <c r="O38" s="123">
        <v>0</v>
      </c>
      <c r="P38" s="123">
        <v>0</v>
      </c>
      <c r="Q38" s="123">
        <v>0</v>
      </c>
      <c r="R38" s="123">
        <v>0</v>
      </c>
      <c r="S38" s="7" t="s">
        <v>162</v>
      </c>
      <c r="T38" s="124" t="s">
        <v>534</v>
      </c>
      <c r="U38" s="1"/>
    </row>
    <row r="39" spans="1:21" ht="13.5" thickBot="1" x14ac:dyDescent="0.25">
      <c r="A39" s="123">
        <v>21</v>
      </c>
      <c r="B39" s="123">
        <v>0</v>
      </c>
      <c r="C39" s="123">
        <v>21</v>
      </c>
      <c r="D39" s="123">
        <v>12</v>
      </c>
      <c r="E39" s="123">
        <v>0</v>
      </c>
      <c r="F39" s="123">
        <v>12</v>
      </c>
      <c r="G39" s="123">
        <v>0</v>
      </c>
      <c r="H39" s="123">
        <v>0</v>
      </c>
      <c r="I39" s="123">
        <v>0</v>
      </c>
      <c r="J39" s="123">
        <v>8</v>
      </c>
      <c r="K39" s="123">
        <v>0</v>
      </c>
      <c r="L39" s="123">
        <v>8</v>
      </c>
      <c r="M39" s="123">
        <v>1</v>
      </c>
      <c r="N39" s="123">
        <v>0</v>
      </c>
      <c r="O39" s="123">
        <v>1</v>
      </c>
      <c r="P39" s="123">
        <v>0</v>
      </c>
      <c r="Q39" s="123">
        <v>0</v>
      </c>
      <c r="R39" s="123">
        <v>0</v>
      </c>
      <c r="S39" s="7" t="s">
        <v>13</v>
      </c>
      <c r="T39" s="9"/>
      <c r="U39" s="1"/>
    </row>
    <row r="40" spans="1:21" ht="13.5" thickBot="1" x14ac:dyDescent="0.25">
      <c r="A40" s="123">
        <v>19</v>
      </c>
      <c r="B40" s="123">
        <v>0</v>
      </c>
      <c r="C40" s="123">
        <v>19</v>
      </c>
      <c r="D40" s="123">
        <v>12</v>
      </c>
      <c r="E40" s="123">
        <v>0</v>
      </c>
      <c r="F40" s="123">
        <v>12</v>
      </c>
      <c r="G40" s="123">
        <v>0</v>
      </c>
      <c r="H40" s="123">
        <v>0</v>
      </c>
      <c r="I40" s="123">
        <v>0</v>
      </c>
      <c r="J40" s="123">
        <v>7</v>
      </c>
      <c r="K40" s="123">
        <v>0</v>
      </c>
      <c r="L40" s="123">
        <v>7</v>
      </c>
      <c r="M40" s="123">
        <v>0</v>
      </c>
      <c r="N40" s="123">
        <v>0</v>
      </c>
      <c r="O40" s="123">
        <v>0</v>
      </c>
      <c r="P40" s="123">
        <v>0</v>
      </c>
      <c r="Q40" s="123">
        <v>0</v>
      </c>
      <c r="R40" s="123">
        <v>0</v>
      </c>
      <c r="S40" s="7" t="s">
        <v>163</v>
      </c>
      <c r="T40" s="124"/>
      <c r="U40" s="1"/>
    </row>
    <row r="41" spans="1:21" ht="13.5" thickBot="1" x14ac:dyDescent="0.25">
      <c r="A41" s="123">
        <v>0</v>
      </c>
      <c r="B41" s="123">
        <v>0</v>
      </c>
      <c r="C41" s="123">
        <v>0</v>
      </c>
      <c r="D41" s="123">
        <v>0</v>
      </c>
      <c r="E41" s="123">
        <v>0</v>
      </c>
      <c r="F41" s="123">
        <v>0</v>
      </c>
      <c r="G41" s="123">
        <v>0</v>
      </c>
      <c r="H41" s="123">
        <v>0</v>
      </c>
      <c r="I41" s="123">
        <v>0</v>
      </c>
      <c r="J41" s="123">
        <v>0</v>
      </c>
      <c r="K41" s="123">
        <v>0</v>
      </c>
      <c r="L41" s="123">
        <v>0</v>
      </c>
      <c r="M41" s="123">
        <v>0</v>
      </c>
      <c r="N41" s="123">
        <v>0</v>
      </c>
      <c r="O41" s="123">
        <v>0</v>
      </c>
      <c r="P41" s="123">
        <v>0</v>
      </c>
      <c r="Q41" s="123">
        <v>0</v>
      </c>
      <c r="R41" s="123">
        <v>0</v>
      </c>
      <c r="S41" s="7" t="s">
        <v>162</v>
      </c>
      <c r="T41" s="124" t="s">
        <v>354</v>
      </c>
      <c r="U41" s="1"/>
    </row>
    <row r="42" spans="1:21" ht="13.5" thickBot="1" x14ac:dyDescent="0.25">
      <c r="A42" s="123">
        <v>19</v>
      </c>
      <c r="B42" s="123">
        <v>0</v>
      </c>
      <c r="C42" s="123">
        <v>19</v>
      </c>
      <c r="D42" s="123">
        <v>12</v>
      </c>
      <c r="E42" s="123">
        <v>0</v>
      </c>
      <c r="F42" s="123">
        <v>12</v>
      </c>
      <c r="G42" s="123">
        <v>0</v>
      </c>
      <c r="H42" s="123">
        <v>0</v>
      </c>
      <c r="I42" s="123">
        <v>0</v>
      </c>
      <c r="J42" s="123">
        <v>7</v>
      </c>
      <c r="K42" s="123">
        <v>0</v>
      </c>
      <c r="L42" s="123">
        <v>7</v>
      </c>
      <c r="M42" s="123">
        <v>0</v>
      </c>
      <c r="N42" s="123">
        <v>0</v>
      </c>
      <c r="O42" s="123">
        <v>0</v>
      </c>
      <c r="P42" s="123">
        <v>0</v>
      </c>
      <c r="Q42" s="123">
        <v>0</v>
      </c>
      <c r="R42" s="123">
        <v>0</v>
      </c>
      <c r="S42" s="7" t="s">
        <v>13</v>
      </c>
      <c r="T42" s="9"/>
      <c r="U42" s="1"/>
    </row>
    <row r="43" spans="1:21" ht="13.5" thickBot="1" x14ac:dyDescent="0.25">
      <c r="A43" s="123">
        <v>30</v>
      </c>
      <c r="B43" s="123">
        <v>9</v>
      </c>
      <c r="C43" s="123">
        <v>21</v>
      </c>
      <c r="D43" s="123">
        <v>12</v>
      </c>
      <c r="E43" s="123">
        <v>3</v>
      </c>
      <c r="F43" s="123">
        <v>9</v>
      </c>
      <c r="G43" s="123">
        <v>8</v>
      </c>
      <c r="H43" s="123">
        <v>2</v>
      </c>
      <c r="I43" s="123">
        <v>6</v>
      </c>
      <c r="J43" s="123">
        <v>10</v>
      </c>
      <c r="K43" s="123">
        <v>4</v>
      </c>
      <c r="L43" s="123">
        <v>6</v>
      </c>
      <c r="M43" s="123">
        <v>0</v>
      </c>
      <c r="N43" s="123">
        <v>0</v>
      </c>
      <c r="O43" s="123">
        <v>0</v>
      </c>
      <c r="P43" s="123">
        <v>0</v>
      </c>
      <c r="Q43" s="123">
        <v>0</v>
      </c>
      <c r="R43" s="123">
        <v>0</v>
      </c>
      <c r="S43" s="7" t="s">
        <v>163</v>
      </c>
      <c r="T43" s="124"/>
      <c r="U43" s="1"/>
    </row>
    <row r="44" spans="1:21" ht="13.5" thickBot="1" x14ac:dyDescent="0.25">
      <c r="A44" s="123">
        <v>0</v>
      </c>
      <c r="B44" s="123">
        <v>0</v>
      </c>
      <c r="C44" s="123">
        <v>0</v>
      </c>
      <c r="D44" s="123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  <c r="M44" s="123">
        <v>0</v>
      </c>
      <c r="N44" s="123">
        <v>0</v>
      </c>
      <c r="O44" s="123">
        <v>0</v>
      </c>
      <c r="P44" s="123">
        <v>0</v>
      </c>
      <c r="Q44" s="123">
        <v>0</v>
      </c>
      <c r="R44" s="123">
        <v>0</v>
      </c>
      <c r="S44" s="7" t="s">
        <v>162</v>
      </c>
      <c r="T44" s="124" t="s">
        <v>355</v>
      </c>
      <c r="U44" s="1"/>
    </row>
    <row r="45" spans="1:21" ht="13.5" thickBot="1" x14ac:dyDescent="0.25">
      <c r="A45" s="123">
        <v>30</v>
      </c>
      <c r="B45" s="123">
        <v>9</v>
      </c>
      <c r="C45" s="123">
        <v>21</v>
      </c>
      <c r="D45" s="123">
        <v>12</v>
      </c>
      <c r="E45" s="123">
        <v>3</v>
      </c>
      <c r="F45" s="123">
        <v>9</v>
      </c>
      <c r="G45" s="123">
        <v>8</v>
      </c>
      <c r="H45" s="123">
        <v>2</v>
      </c>
      <c r="I45" s="123">
        <v>6</v>
      </c>
      <c r="J45" s="123">
        <v>10</v>
      </c>
      <c r="K45" s="123">
        <v>4</v>
      </c>
      <c r="L45" s="123">
        <v>6</v>
      </c>
      <c r="M45" s="123">
        <v>0</v>
      </c>
      <c r="N45" s="123">
        <v>0</v>
      </c>
      <c r="O45" s="123">
        <v>0</v>
      </c>
      <c r="P45" s="123">
        <v>0</v>
      </c>
      <c r="Q45" s="123">
        <v>0</v>
      </c>
      <c r="R45" s="123">
        <v>0</v>
      </c>
      <c r="S45" s="7" t="s">
        <v>13</v>
      </c>
      <c r="T45" s="9"/>
      <c r="U45" s="1"/>
    </row>
    <row r="46" spans="1:21" ht="13.5" thickBot="1" x14ac:dyDescent="0.25">
      <c r="A46" s="123">
        <v>18</v>
      </c>
      <c r="B46" s="123">
        <v>0</v>
      </c>
      <c r="C46" s="123">
        <v>18</v>
      </c>
      <c r="D46" s="123">
        <v>10</v>
      </c>
      <c r="E46" s="123">
        <v>0</v>
      </c>
      <c r="F46" s="123">
        <v>10</v>
      </c>
      <c r="G46" s="123">
        <v>4</v>
      </c>
      <c r="H46" s="123">
        <v>0</v>
      </c>
      <c r="I46" s="123">
        <v>4</v>
      </c>
      <c r="J46" s="123">
        <v>4</v>
      </c>
      <c r="K46" s="123">
        <v>0</v>
      </c>
      <c r="L46" s="123">
        <v>4</v>
      </c>
      <c r="M46" s="123">
        <v>0</v>
      </c>
      <c r="N46" s="123">
        <v>0</v>
      </c>
      <c r="O46" s="123">
        <v>0</v>
      </c>
      <c r="P46" s="123">
        <v>0</v>
      </c>
      <c r="Q46" s="123">
        <v>0</v>
      </c>
      <c r="R46" s="123">
        <v>0</v>
      </c>
      <c r="S46" s="7" t="s">
        <v>163</v>
      </c>
      <c r="T46" s="124"/>
      <c r="U46" s="1"/>
    </row>
    <row r="47" spans="1:21" ht="13.5" thickBot="1" x14ac:dyDescent="0.25">
      <c r="A47" s="123">
        <v>0</v>
      </c>
      <c r="B47" s="123">
        <v>0</v>
      </c>
      <c r="C47" s="123">
        <v>0</v>
      </c>
      <c r="D47" s="123">
        <v>0</v>
      </c>
      <c r="E47" s="123">
        <v>0</v>
      </c>
      <c r="F47" s="123">
        <v>0</v>
      </c>
      <c r="G47" s="123">
        <v>0</v>
      </c>
      <c r="H47" s="123">
        <v>0</v>
      </c>
      <c r="I47" s="123">
        <v>0</v>
      </c>
      <c r="J47" s="123">
        <v>0</v>
      </c>
      <c r="K47" s="123">
        <v>0</v>
      </c>
      <c r="L47" s="123">
        <v>0</v>
      </c>
      <c r="M47" s="123">
        <v>0</v>
      </c>
      <c r="N47" s="123">
        <v>0</v>
      </c>
      <c r="O47" s="123">
        <v>0</v>
      </c>
      <c r="P47" s="123">
        <v>0</v>
      </c>
      <c r="Q47" s="123">
        <v>0</v>
      </c>
      <c r="R47" s="123">
        <v>0</v>
      </c>
      <c r="S47" s="7" t="s">
        <v>162</v>
      </c>
      <c r="T47" s="124" t="s">
        <v>88</v>
      </c>
      <c r="U47" s="1"/>
    </row>
    <row r="48" spans="1:21" ht="13.5" thickBot="1" x14ac:dyDescent="0.25">
      <c r="A48" s="123">
        <v>18</v>
      </c>
      <c r="B48" s="123">
        <v>0</v>
      </c>
      <c r="C48" s="123">
        <v>18</v>
      </c>
      <c r="D48" s="123">
        <v>10</v>
      </c>
      <c r="E48" s="123">
        <v>0</v>
      </c>
      <c r="F48" s="123">
        <v>10</v>
      </c>
      <c r="G48" s="123">
        <v>4</v>
      </c>
      <c r="H48" s="123">
        <v>0</v>
      </c>
      <c r="I48" s="123">
        <v>4</v>
      </c>
      <c r="J48" s="123">
        <v>4</v>
      </c>
      <c r="K48" s="123">
        <v>0</v>
      </c>
      <c r="L48" s="123">
        <v>4</v>
      </c>
      <c r="M48" s="123">
        <v>0</v>
      </c>
      <c r="N48" s="123">
        <v>0</v>
      </c>
      <c r="O48" s="123">
        <v>0</v>
      </c>
      <c r="P48" s="123">
        <v>0</v>
      </c>
      <c r="Q48" s="123">
        <v>0</v>
      </c>
      <c r="R48" s="123">
        <v>0</v>
      </c>
      <c r="S48" s="7" t="s">
        <v>13</v>
      </c>
      <c r="T48" s="9"/>
      <c r="U48" s="1"/>
    </row>
    <row r="49" spans="1:21" ht="13.5" thickBot="1" x14ac:dyDescent="0.25">
      <c r="A49" s="123">
        <v>7</v>
      </c>
      <c r="B49" s="123">
        <v>0</v>
      </c>
      <c r="C49" s="123">
        <v>7</v>
      </c>
      <c r="D49" s="123">
        <v>5</v>
      </c>
      <c r="E49" s="123">
        <v>0</v>
      </c>
      <c r="F49" s="123">
        <v>5</v>
      </c>
      <c r="G49" s="123">
        <v>0</v>
      </c>
      <c r="H49" s="123">
        <v>0</v>
      </c>
      <c r="I49" s="123">
        <v>0</v>
      </c>
      <c r="J49" s="123">
        <v>2</v>
      </c>
      <c r="K49" s="123">
        <v>0</v>
      </c>
      <c r="L49" s="123">
        <v>2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123">
        <v>0</v>
      </c>
      <c r="S49" s="7" t="s">
        <v>163</v>
      </c>
      <c r="T49" s="124"/>
      <c r="U49" s="1"/>
    </row>
    <row r="50" spans="1:21" ht="13.5" thickBot="1" x14ac:dyDescent="0.25">
      <c r="A50" s="123">
        <v>0</v>
      </c>
      <c r="B50" s="123">
        <v>0</v>
      </c>
      <c r="C50" s="123">
        <v>0</v>
      </c>
      <c r="D50" s="123">
        <v>0</v>
      </c>
      <c r="E50" s="123">
        <v>0</v>
      </c>
      <c r="F50" s="123">
        <v>0</v>
      </c>
      <c r="G50" s="123">
        <v>0</v>
      </c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3">
        <v>0</v>
      </c>
      <c r="Q50" s="123">
        <v>0</v>
      </c>
      <c r="R50" s="123">
        <v>0</v>
      </c>
      <c r="S50" s="7" t="s">
        <v>162</v>
      </c>
      <c r="T50" s="124" t="s">
        <v>242</v>
      </c>
      <c r="U50" s="1"/>
    </row>
    <row r="51" spans="1:21" ht="13.5" thickBot="1" x14ac:dyDescent="0.25">
      <c r="A51" s="123">
        <v>7</v>
      </c>
      <c r="B51" s="123">
        <v>0</v>
      </c>
      <c r="C51" s="123">
        <v>7</v>
      </c>
      <c r="D51" s="123">
        <v>5</v>
      </c>
      <c r="E51" s="123">
        <v>0</v>
      </c>
      <c r="F51" s="123">
        <v>5</v>
      </c>
      <c r="G51" s="123">
        <v>0</v>
      </c>
      <c r="H51" s="123">
        <v>0</v>
      </c>
      <c r="I51" s="123">
        <v>0</v>
      </c>
      <c r="J51" s="123">
        <v>2</v>
      </c>
      <c r="K51" s="123">
        <v>0</v>
      </c>
      <c r="L51" s="123">
        <v>2</v>
      </c>
      <c r="M51" s="123">
        <v>0</v>
      </c>
      <c r="N51" s="123">
        <v>0</v>
      </c>
      <c r="O51" s="123">
        <v>0</v>
      </c>
      <c r="P51" s="123">
        <v>0</v>
      </c>
      <c r="Q51" s="123">
        <v>0</v>
      </c>
      <c r="R51" s="123">
        <v>0</v>
      </c>
      <c r="S51" s="7" t="s">
        <v>13</v>
      </c>
      <c r="T51" s="9"/>
      <c r="U51" s="1"/>
    </row>
    <row r="52" spans="1:21" ht="13.5" thickBot="1" x14ac:dyDescent="0.25">
      <c r="A52" s="123">
        <v>17</v>
      </c>
      <c r="B52" s="123">
        <v>0</v>
      </c>
      <c r="C52" s="123">
        <v>17</v>
      </c>
      <c r="D52" s="123">
        <v>8</v>
      </c>
      <c r="E52" s="123">
        <v>0</v>
      </c>
      <c r="F52" s="123">
        <v>8</v>
      </c>
      <c r="G52" s="123">
        <v>4</v>
      </c>
      <c r="H52" s="123">
        <v>0</v>
      </c>
      <c r="I52" s="123">
        <v>4</v>
      </c>
      <c r="J52" s="123">
        <v>5</v>
      </c>
      <c r="K52" s="123">
        <v>0</v>
      </c>
      <c r="L52" s="123">
        <v>5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123">
        <v>0</v>
      </c>
      <c r="S52" s="7" t="s">
        <v>163</v>
      </c>
      <c r="T52" s="124"/>
      <c r="U52" s="1"/>
    </row>
    <row r="53" spans="1:21" ht="13.5" thickBot="1" x14ac:dyDescent="0.25">
      <c r="A53" s="123">
        <v>0</v>
      </c>
      <c r="B53" s="123">
        <v>0</v>
      </c>
      <c r="C53" s="123">
        <v>0</v>
      </c>
      <c r="D53" s="123">
        <v>0</v>
      </c>
      <c r="E53" s="123">
        <v>0</v>
      </c>
      <c r="F53" s="123">
        <v>0</v>
      </c>
      <c r="G53" s="123">
        <v>0</v>
      </c>
      <c r="H53" s="123">
        <v>0</v>
      </c>
      <c r="I53" s="123">
        <v>0</v>
      </c>
      <c r="J53" s="123">
        <v>0</v>
      </c>
      <c r="K53" s="123">
        <v>0</v>
      </c>
      <c r="L53" s="123">
        <v>0</v>
      </c>
      <c r="M53" s="123">
        <v>0</v>
      </c>
      <c r="N53" s="123">
        <v>0</v>
      </c>
      <c r="O53" s="123">
        <v>0</v>
      </c>
      <c r="P53" s="123">
        <v>0</v>
      </c>
      <c r="Q53" s="123">
        <v>0</v>
      </c>
      <c r="R53" s="123">
        <v>0</v>
      </c>
      <c r="S53" s="7" t="s">
        <v>162</v>
      </c>
      <c r="T53" s="124" t="s">
        <v>356</v>
      </c>
      <c r="U53" s="1"/>
    </row>
    <row r="54" spans="1:21" ht="13.5" thickBot="1" x14ac:dyDescent="0.25">
      <c r="A54" s="123">
        <v>17</v>
      </c>
      <c r="B54" s="123">
        <v>0</v>
      </c>
      <c r="C54" s="123">
        <v>17</v>
      </c>
      <c r="D54" s="123">
        <v>8</v>
      </c>
      <c r="E54" s="123">
        <v>0</v>
      </c>
      <c r="F54" s="123">
        <v>8</v>
      </c>
      <c r="G54" s="123">
        <v>4</v>
      </c>
      <c r="H54" s="123">
        <v>0</v>
      </c>
      <c r="I54" s="123">
        <v>4</v>
      </c>
      <c r="J54" s="123">
        <v>5</v>
      </c>
      <c r="K54" s="123">
        <v>0</v>
      </c>
      <c r="L54" s="123">
        <v>5</v>
      </c>
      <c r="M54" s="123">
        <v>0</v>
      </c>
      <c r="N54" s="123">
        <v>0</v>
      </c>
      <c r="O54" s="123">
        <v>0</v>
      </c>
      <c r="P54" s="123">
        <v>0</v>
      </c>
      <c r="Q54" s="123">
        <v>0</v>
      </c>
      <c r="R54" s="123">
        <v>0</v>
      </c>
      <c r="S54" s="7" t="s">
        <v>13</v>
      </c>
      <c r="T54" s="9"/>
      <c r="U54" s="1"/>
    </row>
    <row r="55" spans="1:21" ht="13.5" thickBot="1" x14ac:dyDescent="0.25">
      <c r="A55" s="123">
        <v>391</v>
      </c>
      <c r="B55" s="123">
        <v>363</v>
      </c>
      <c r="C55" s="123">
        <v>28</v>
      </c>
      <c r="D55" s="123">
        <v>60</v>
      </c>
      <c r="E55" s="123">
        <v>41</v>
      </c>
      <c r="F55" s="123">
        <v>19</v>
      </c>
      <c r="G55" s="123">
        <v>18</v>
      </c>
      <c r="H55" s="123">
        <v>18</v>
      </c>
      <c r="I55" s="123">
        <v>0</v>
      </c>
      <c r="J55" s="123">
        <v>310</v>
      </c>
      <c r="K55" s="123">
        <v>302</v>
      </c>
      <c r="L55" s="123">
        <v>8</v>
      </c>
      <c r="M55" s="123">
        <v>3</v>
      </c>
      <c r="N55" s="123">
        <v>2</v>
      </c>
      <c r="O55" s="123">
        <v>1</v>
      </c>
      <c r="P55" s="123">
        <v>0</v>
      </c>
      <c r="Q55" s="123">
        <v>0</v>
      </c>
      <c r="R55" s="123">
        <v>0</v>
      </c>
      <c r="S55" s="7" t="s">
        <v>163</v>
      </c>
      <c r="T55" s="124"/>
      <c r="U55" s="1"/>
    </row>
    <row r="56" spans="1:21" ht="13.5" thickBot="1" x14ac:dyDescent="0.25">
      <c r="A56" s="123">
        <v>2</v>
      </c>
      <c r="B56" s="123">
        <v>2</v>
      </c>
      <c r="C56" s="123">
        <v>0</v>
      </c>
      <c r="D56" s="123">
        <v>0</v>
      </c>
      <c r="E56" s="123">
        <v>0</v>
      </c>
      <c r="F56" s="123">
        <v>0</v>
      </c>
      <c r="G56" s="123">
        <v>0</v>
      </c>
      <c r="H56" s="123">
        <v>0</v>
      </c>
      <c r="I56" s="123">
        <v>0</v>
      </c>
      <c r="J56" s="123">
        <v>2</v>
      </c>
      <c r="K56" s="123">
        <v>2</v>
      </c>
      <c r="L56" s="123">
        <v>0</v>
      </c>
      <c r="M56" s="123">
        <v>0</v>
      </c>
      <c r="N56" s="123">
        <v>0</v>
      </c>
      <c r="O56" s="123">
        <v>0</v>
      </c>
      <c r="P56" s="123">
        <v>0</v>
      </c>
      <c r="Q56" s="123">
        <v>0</v>
      </c>
      <c r="R56" s="123">
        <v>0</v>
      </c>
      <c r="S56" s="7" t="s">
        <v>162</v>
      </c>
      <c r="T56" s="124" t="s">
        <v>348</v>
      </c>
      <c r="U56" s="1"/>
    </row>
    <row r="57" spans="1:21" ht="13.5" thickBot="1" x14ac:dyDescent="0.25">
      <c r="A57" s="123">
        <v>393</v>
      </c>
      <c r="B57" s="123">
        <v>365</v>
      </c>
      <c r="C57" s="123">
        <v>28</v>
      </c>
      <c r="D57" s="123">
        <v>60</v>
      </c>
      <c r="E57" s="123">
        <v>41</v>
      </c>
      <c r="F57" s="123">
        <v>19</v>
      </c>
      <c r="G57" s="123">
        <v>18</v>
      </c>
      <c r="H57" s="123">
        <v>18</v>
      </c>
      <c r="I57" s="123">
        <v>0</v>
      </c>
      <c r="J57" s="123">
        <v>312</v>
      </c>
      <c r="K57" s="123">
        <v>304</v>
      </c>
      <c r="L57" s="123">
        <v>8</v>
      </c>
      <c r="M57" s="123">
        <v>3</v>
      </c>
      <c r="N57" s="123">
        <v>2</v>
      </c>
      <c r="O57" s="123">
        <v>1</v>
      </c>
      <c r="P57" s="123">
        <v>0</v>
      </c>
      <c r="Q57" s="123">
        <v>0</v>
      </c>
      <c r="R57" s="123">
        <v>0</v>
      </c>
      <c r="S57" s="7" t="s">
        <v>13</v>
      </c>
      <c r="T57" s="9"/>
      <c r="U57" s="1"/>
    </row>
    <row r="58" spans="1:21" ht="13.5" thickBot="1" x14ac:dyDescent="0.25">
      <c r="A58" s="123">
        <v>20</v>
      </c>
      <c r="B58" s="123">
        <v>0</v>
      </c>
      <c r="C58" s="123">
        <v>20</v>
      </c>
      <c r="D58" s="123">
        <v>2</v>
      </c>
      <c r="E58" s="123">
        <v>0</v>
      </c>
      <c r="F58" s="123">
        <v>2</v>
      </c>
      <c r="G58" s="123">
        <v>12</v>
      </c>
      <c r="H58" s="123">
        <v>0</v>
      </c>
      <c r="I58" s="123">
        <v>12</v>
      </c>
      <c r="J58" s="123">
        <v>6</v>
      </c>
      <c r="K58" s="123">
        <v>0</v>
      </c>
      <c r="L58" s="123">
        <v>6</v>
      </c>
      <c r="M58" s="123">
        <v>0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7" t="s">
        <v>163</v>
      </c>
      <c r="T58" s="124"/>
      <c r="U58" s="1"/>
    </row>
    <row r="59" spans="1:21" ht="13.5" thickBot="1" x14ac:dyDescent="0.25">
      <c r="A59" s="123">
        <v>0</v>
      </c>
      <c r="B59" s="123">
        <v>0</v>
      </c>
      <c r="C59" s="123">
        <v>0</v>
      </c>
      <c r="D59" s="123">
        <v>0</v>
      </c>
      <c r="E59" s="123">
        <v>0</v>
      </c>
      <c r="F59" s="123">
        <v>0</v>
      </c>
      <c r="G59" s="123">
        <v>0</v>
      </c>
      <c r="H59" s="123">
        <v>0</v>
      </c>
      <c r="I59" s="123">
        <v>0</v>
      </c>
      <c r="J59" s="123">
        <v>0</v>
      </c>
      <c r="K59" s="123">
        <v>0</v>
      </c>
      <c r="L59" s="123">
        <v>0</v>
      </c>
      <c r="M59" s="123">
        <v>0</v>
      </c>
      <c r="N59" s="123">
        <v>0</v>
      </c>
      <c r="O59" s="123">
        <v>0</v>
      </c>
      <c r="P59" s="123">
        <v>0</v>
      </c>
      <c r="Q59" s="123">
        <v>0</v>
      </c>
      <c r="R59" s="123">
        <v>0</v>
      </c>
      <c r="S59" s="7" t="s">
        <v>162</v>
      </c>
      <c r="T59" s="124" t="s">
        <v>357</v>
      </c>
      <c r="U59" s="1"/>
    </row>
    <row r="60" spans="1:21" ht="13.5" thickBot="1" x14ac:dyDescent="0.25">
      <c r="A60" s="123">
        <v>20</v>
      </c>
      <c r="B60" s="123">
        <v>0</v>
      </c>
      <c r="C60" s="123">
        <v>20</v>
      </c>
      <c r="D60" s="123">
        <v>2</v>
      </c>
      <c r="E60" s="123">
        <v>0</v>
      </c>
      <c r="F60" s="123">
        <v>2</v>
      </c>
      <c r="G60" s="123">
        <v>12</v>
      </c>
      <c r="H60" s="123">
        <v>0</v>
      </c>
      <c r="I60" s="123">
        <v>12</v>
      </c>
      <c r="J60" s="123">
        <v>6</v>
      </c>
      <c r="K60" s="123">
        <v>0</v>
      </c>
      <c r="L60" s="123">
        <v>6</v>
      </c>
      <c r="M60" s="123">
        <v>0</v>
      </c>
      <c r="N60" s="123">
        <v>0</v>
      </c>
      <c r="O60" s="123">
        <v>0</v>
      </c>
      <c r="P60" s="123">
        <v>0</v>
      </c>
      <c r="Q60" s="123">
        <v>0</v>
      </c>
      <c r="R60" s="123">
        <v>0</v>
      </c>
      <c r="S60" s="7" t="s">
        <v>13</v>
      </c>
      <c r="T60" s="9"/>
      <c r="U60" s="1"/>
    </row>
    <row r="61" spans="1:21" ht="13.5" thickBot="1" x14ac:dyDescent="0.25">
      <c r="A61" s="123">
        <v>12</v>
      </c>
      <c r="B61" s="123">
        <v>0</v>
      </c>
      <c r="C61" s="123">
        <v>12</v>
      </c>
      <c r="D61" s="123">
        <v>11</v>
      </c>
      <c r="E61" s="123">
        <v>0</v>
      </c>
      <c r="F61" s="123">
        <v>11</v>
      </c>
      <c r="G61" s="123">
        <v>0</v>
      </c>
      <c r="H61" s="123">
        <v>0</v>
      </c>
      <c r="I61" s="123">
        <v>0</v>
      </c>
      <c r="J61" s="123">
        <v>1</v>
      </c>
      <c r="K61" s="123">
        <v>0</v>
      </c>
      <c r="L61" s="123">
        <v>1</v>
      </c>
      <c r="M61" s="123">
        <v>0</v>
      </c>
      <c r="N61" s="123">
        <v>0</v>
      </c>
      <c r="O61" s="123">
        <v>0</v>
      </c>
      <c r="P61" s="123">
        <v>0</v>
      </c>
      <c r="Q61" s="123">
        <v>0</v>
      </c>
      <c r="R61" s="123">
        <v>0</v>
      </c>
      <c r="S61" s="7" t="s">
        <v>163</v>
      </c>
      <c r="T61" s="124"/>
      <c r="U61" s="1"/>
    </row>
    <row r="62" spans="1:21" ht="13.5" thickBot="1" x14ac:dyDescent="0.25">
      <c r="A62" s="123">
        <v>0</v>
      </c>
      <c r="B62" s="123">
        <v>0</v>
      </c>
      <c r="C62" s="123">
        <v>0</v>
      </c>
      <c r="D62" s="123">
        <v>0</v>
      </c>
      <c r="E62" s="123">
        <v>0</v>
      </c>
      <c r="F62" s="123">
        <v>0</v>
      </c>
      <c r="G62" s="123">
        <v>0</v>
      </c>
      <c r="H62" s="123">
        <v>0</v>
      </c>
      <c r="I62" s="123">
        <v>0</v>
      </c>
      <c r="J62" s="123">
        <v>0</v>
      </c>
      <c r="K62" s="123">
        <v>0</v>
      </c>
      <c r="L62" s="123">
        <v>0</v>
      </c>
      <c r="M62" s="123">
        <v>0</v>
      </c>
      <c r="N62" s="123">
        <v>0</v>
      </c>
      <c r="O62" s="123">
        <v>0</v>
      </c>
      <c r="P62" s="123">
        <v>0</v>
      </c>
      <c r="Q62" s="123">
        <v>0</v>
      </c>
      <c r="R62" s="123">
        <v>0</v>
      </c>
      <c r="S62" s="7" t="s">
        <v>162</v>
      </c>
      <c r="T62" s="124" t="s">
        <v>89</v>
      </c>
      <c r="U62" s="1"/>
    </row>
    <row r="63" spans="1:21" ht="13.5" thickBot="1" x14ac:dyDescent="0.25">
      <c r="A63" s="123">
        <v>12</v>
      </c>
      <c r="B63" s="123">
        <v>0</v>
      </c>
      <c r="C63" s="123">
        <v>12</v>
      </c>
      <c r="D63" s="123">
        <v>11</v>
      </c>
      <c r="E63" s="123">
        <v>0</v>
      </c>
      <c r="F63" s="123">
        <v>11</v>
      </c>
      <c r="G63" s="123">
        <v>0</v>
      </c>
      <c r="H63" s="123">
        <v>0</v>
      </c>
      <c r="I63" s="123">
        <v>0</v>
      </c>
      <c r="J63" s="123">
        <v>1</v>
      </c>
      <c r="K63" s="123">
        <v>0</v>
      </c>
      <c r="L63" s="123">
        <v>1</v>
      </c>
      <c r="M63" s="123">
        <v>0</v>
      </c>
      <c r="N63" s="123">
        <v>0</v>
      </c>
      <c r="O63" s="123">
        <v>0</v>
      </c>
      <c r="P63" s="123">
        <v>0</v>
      </c>
      <c r="Q63" s="123">
        <v>0</v>
      </c>
      <c r="R63" s="123">
        <v>0</v>
      </c>
      <c r="S63" s="7" t="s">
        <v>13</v>
      </c>
      <c r="T63" s="9"/>
      <c r="U63" s="1"/>
    </row>
    <row r="64" spans="1:21" ht="13.5" thickBot="1" x14ac:dyDescent="0.25">
      <c r="A64" s="123">
        <v>18</v>
      </c>
      <c r="B64" s="123">
        <v>0</v>
      </c>
      <c r="C64" s="123">
        <v>18</v>
      </c>
      <c r="D64" s="123">
        <v>13</v>
      </c>
      <c r="E64" s="123">
        <v>0</v>
      </c>
      <c r="F64" s="123">
        <v>13</v>
      </c>
      <c r="G64" s="123">
        <v>0</v>
      </c>
      <c r="H64" s="123">
        <v>0</v>
      </c>
      <c r="I64" s="123">
        <v>0</v>
      </c>
      <c r="J64" s="123">
        <v>5</v>
      </c>
      <c r="K64" s="123">
        <v>0</v>
      </c>
      <c r="L64" s="123">
        <v>5</v>
      </c>
      <c r="M64" s="123">
        <v>0</v>
      </c>
      <c r="N64" s="123">
        <v>0</v>
      </c>
      <c r="O64" s="123">
        <v>0</v>
      </c>
      <c r="P64" s="123">
        <v>0</v>
      </c>
      <c r="Q64" s="123">
        <v>0</v>
      </c>
      <c r="R64" s="123">
        <v>0</v>
      </c>
      <c r="S64" s="7" t="s">
        <v>163</v>
      </c>
      <c r="T64" s="124"/>
      <c r="U64" s="1"/>
    </row>
    <row r="65" spans="1:21" ht="13.5" thickBot="1" x14ac:dyDescent="0.25">
      <c r="A65" s="123">
        <v>0</v>
      </c>
      <c r="B65" s="123">
        <v>0</v>
      </c>
      <c r="C65" s="123">
        <v>0</v>
      </c>
      <c r="D65" s="123">
        <v>0</v>
      </c>
      <c r="E65" s="123">
        <v>0</v>
      </c>
      <c r="F65" s="123">
        <v>0</v>
      </c>
      <c r="G65" s="123">
        <v>0</v>
      </c>
      <c r="H65" s="123">
        <v>0</v>
      </c>
      <c r="I65" s="123">
        <v>0</v>
      </c>
      <c r="J65" s="123">
        <v>0</v>
      </c>
      <c r="K65" s="123">
        <v>0</v>
      </c>
      <c r="L65" s="123">
        <v>0</v>
      </c>
      <c r="M65" s="123">
        <v>0</v>
      </c>
      <c r="N65" s="123">
        <v>0</v>
      </c>
      <c r="O65" s="123">
        <v>0</v>
      </c>
      <c r="P65" s="123">
        <v>0</v>
      </c>
      <c r="Q65" s="123">
        <v>0</v>
      </c>
      <c r="R65" s="123">
        <v>0</v>
      </c>
      <c r="S65" s="7" t="s">
        <v>162</v>
      </c>
      <c r="T65" s="124" t="s">
        <v>358</v>
      </c>
      <c r="U65" s="1"/>
    </row>
    <row r="66" spans="1:21" ht="13.5" thickBot="1" x14ac:dyDescent="0.25">
      <c r="A66" s="123">
        <v>18</v>
      </c>
      <c r="B66" s="123">
        <v>0</v>
      </c>
      <c r="C66" s="123">
        <v>18</v>
      </c>
      <c r="D66" s="123">
        <v>13</v>
      </c>
      <c r="E66" s="123">
        <v>0</v>
      </c>
      <c r="F66" s="123">
        <v>13</v>
      </c>
      <c r="G66" s="123">
        <v>0</v>
      </c>
      <c r="H66" s="123">
        <v>0</v>
      </c>
      <c r="I66" s="123">
        <v>0</v>
      </c>
      <c r="J66" s="123">
        <v>5</v>
      </c>
      <c r="K66" s="123">
        <v>0</v>
      </c>
      <c r="L66" s="123">
        <v>5</v>
      </c>
      <c r="M66" s="123">
        <v>0</v>
      </c>
      <c r="N66" s="123">
        <v>0</v>
      </c>
      <c r="O66" s="123">
        <v>0</v>
      </c>
      <c r="P66" s="123">
        <v>0</v>
      </c>
      <c r="Q66" s="123">
        <v>0</v>
      </c>
      <c r="R66" s="123">
        <v>0</v>
      </c>
      <c r="S66" s="7" t="s">
        <v>13</v>
      </c>
      <c r="T66" s="9"/>
      <c r="U66" s="1"/>
    </row>
    <row r="67" spans="1:21" ht="13.5" thickBot="1" x14ac:dyDescent="0.25">
      <c r="A67" s="123">
        <v>17</v>
      </c>
      <c r="B67" s="123">
        <v>3</v>
      </c>
      <c r="C67" s="123">
        <v>14</v>
      </c>
      <c r="D67" s="123">
        <v>7</v>
      </c>
      <c r="E67" s="123">
        <v>0</v>
      </c>
      <c r="F67" s="123">
        <v>7</v>
      </c>
      <c r="G67" s="123">
        <v>0</v>
      </c>
      <c r="H67" s="123">
        <v>0</v>
      </c>
      <c r="I67" s="123">
        <v>0</v>
      </c>
      <c r="J67" s="123">
        <v>7</v>
      </c>
      <c r="K67" s="123">
        <v>2</v>
      </c>
      <c r="L67" s="123">
        <v>5</v>
      </c>
      <c r="M67" s="123">
        <v>2</v>
      </c>
      <c r="N67" s="123">
        <v>1</v>
      </c>
      <c r="O67" s="123">
        <v>1</v>
      </c>
      <c r="P67" s="123">
        <v>1</v>
      </c>
      <c r="Q67" s="123">
        <v>0</v>
      </c>
      <c r="R67" s="123">
        <v>1</v>
      </c>
      <c r="S67" s="7" t="s">
        <v>163</v>
      </c>
      <c r="T67" s="124"/>
      <c r="U67" s="1"/>
    </row>
    <row r="68" spans="1:21" ht="13.5" thickBot="1" x14ac:dyDescent="0.25">
      <c r="A68" s="123">
        <v>0</v>
      </c>
      <c r="B68" s="123">
        <v>0</v>
      </c>
      <c r="C68" s="123"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3">
        <v>0</v>
      </c>
      <c r="J68" s="123">
        <v>0</v>
      </c>
      <c r="K68" s="123">
        <v>0</v>
      </c>
      <c r="L68" s="123">
        <v>0</v>
      </c>
      <c r="M68" s="123">
        <v>0</v>
      </c>
      <c r="N68" s="123">
        <v>0</v>
      </c>
      <c r="O68" s="123">
        <v>0</v>
      </c>
      <c r="P68" s="123">
        <v>0</v>
      </c>
      <c r="Q68" s="123">
        <v>0</v>
      </c>
      <c r="R68" s="123">
        <v>0</v>
      </c>
      <c r="S68" s="7" t="s">
        <v>162</v>
      </c>
      <c r="T68" s="124" t="s">
        <v>359</v>
      </c>
      <c r="U68" s="1"/>
    </row>
    <row r="69" spans="1:21" ht="13.5" thickBot="1" x14ac:dyDescent="0.25">
      <c r="A69" s="123">
        <v>17</v>
      </c>
      <c r="B69" s="123">
        <v>3</v>
      </c>
      <c r="C69" s="123">
        <v>14</v>
      </c>
      <c r="D69" s="123">
        <v>7</v>
      </c>
      <c r="E69" s="123">
        <v>0</v>
      </c>
      <c r="F69" s="123">
        <v>7</v>
      </c>
      <c r="G69" s="123">
        <v>0</v>
      </c>
      <c r="H69" s="123">
        <v>0</v>
      </c>
      <c r="I69" s="123">
        <v>0</v>
      </c>
      <c r="J69" s="123">
        <v>7</v>
      </c>
      <c r="K69" s="123">
        <v>2</v>
      </c>
      <c r="L69" s="123">
        <v>5</v>
      </c>
      <c r="M69" s="123">
        <v>2</v>
      </c>
      <c r="N69" s="123">
        <v>1</v>
      </c>
      <c r="O69" s="123">
        <v>1</v>
      </c>
      <c r="P69" s="123">
        <v>1</v>
      </c>
      <c r="Q69" s="123">
        <v>0</v>
      </c>
      <c r="R69" s="123">
        <v>1</v>
      </c>
      <c r="S69" s="7" t="s">
        <v>13</v>
      </c>
      <c r="T69" s="9"/>
      <c r="U69" s="1"/>
    </row>
    <row r="70" spans="1:21" ht="13.5" thickBot="1" x14ac:dyDescent="0.25">
      <c r="A70" s="123">
        <f t="shared" ref="A70:C71" si="0">P70+M70+J70+G70+D70</f>
        <v>1357</v>
      </c>
      <c r="B70" s="123">
        <f t="shared" si="0"/>
        <v>28</v>
      </c>
      <c r="C70" s="123">
        <f t="shared" si="0"/>
        <v>1329</v>
      </c>
      <c r="D70" s="123">
        <f>F70+E70</f>
        <v>400</v>
      </c>
      <c r="E70" s="123">
        <v>3</v>
      </c>
      <c r="F70" s="123">
        <v>397</v>
      </c>
      <c r="G70" s="123">
        <f>I70+H70</f>
        <v>195</v>
      </c>
      <c r="H70" s="123">
        <v>8</v>
      </c>
      <c r="I70" s="123">
        <v>187</v>
      </c>
      <c r="J70" s="123">
        <f>L70+K70</f>
        <v>708</v>
      </c>
      <c r="K70" s="123">
        <v>4</v>
      </c>
      <c r="L70" s="123">
        <v>704</v>
      </c>
      <c r="M70" s="123">
        <f>O70+N70</f>
        <v>11</v>
      </c>
      <c r="N70" s="123">
        <v>9</v>
      </c>
      <c r="O70" s="123">
        <v>2</v>
      </c>
      <c r="P70" s="123">
        <f>R70+Q70</f>
        <v>43</v>
      </c>
      <c r="Q70" s="123">
        <v>4</v>
      </c>
      <c r="R70" s="123">
        <v>39</v>
      </c>
      <c r="S70" s="7" t="s">
        <v>163</v>
      </c>
      <c r="T70" s="124"/>
      <c r="U70" s="1"/>
    </row>
    <row r="71" spans="1:21" ht="13.5" thickBot="1" x14ac:dyDescent="0.25">
      <c r="A71" s="123">
        <f t="shared" si="0"/>
        <v>278</v>
      </c>
      <c r="B71" s="123">
        <f t="shared" si="0"/>
        <v>0</v>
      </c>
      <c r="C71" s="123">
        <f t="shared" si="0"/>
        <v>278</v>
      </c>
      <c r="D71" s="123">
        <f>F71+E71</f>
        <v>206</v>
      </c>
      <c r="E71" s="123">
        <v>0</v>
      </c>
      <c r="F71" s="123">
        <v>206</v>
      </c>
      <c r="G71" s="123">
        <f>I71+H71</f>
        <v>1</v>
      </c>
      <c r="H71" s="123">
        <v>0</v>
      </c>
      <c r="I71" s="123">
        <v>1</v>
      </c>
      <c r="J71" s="123">
        <f>L71+K71</f>
        <v>48</v>
      </c>
      <c r="K71" s="123">
        <v>0</v>
      </c>
      <c r="L71" s="123">
        <v>48</v>
      </c>
      <c r="M71" s="123">
        <f>O71+N71</f>
        <v>14</v>
      </c>
      <c r="N71" s="123">
        <v>0</v>
      </c>
      <c r="O71" s="123">
        <v>14</v>
      </c>
      <c r="P71" s="123">
        <f>R71+Q71</f>
        <v>9</v>
      </c>
      <c r="Q71" s="123">
        <v>0</v>
      </c>
      <c r="R71" s="123">
        <v>9</v>
      </c>
      <c r="S71" s="7" t="s">
        <v>162</v>
      </c>
      <c r="T71" s="124" t="s">
        <v>626</v>
      </c>
      <c r="U71" s="1"/>
    </row>
    <row r="72" spans="1:21" ht="13.5" thickBot="1" x14ac:dyDescent="0.25">
      <c r="A72" s="123">
        <f t="shared" ref="A72:Q72" si="1">A70+A71</f>
        <v>1635</v>
      </c>
      <c r="B72" s="123">
        <f t="shared" si="1"/>
        <v>28</v>
      </c>
      <c r="C72" s="123">
        <f t="shared" si="1"/>
        <v>1607</v>
      </c>
      <c r="D72" s="123">
        <f t="shared" si="1"/>
        <v>606</v>
      </c>
      <c r="E72" s="123">
        <f t="shared" si="1"/>
        <v>3</v>
      </c>
      <c r="F72" s="123">
        <f t="shared" si="1"/>
        <v>603</v>
      </c>
      <c r="G72" s="123">
        <f t="shared" si="1"/>
        <v>196</v>
      </c>
      <c r="H72" s="123">
        <f t="shared" si="1"/>
        <v>8</v>
      </c>
      <c r="I72" s="123">
        <f t="shared" si="1"/>
        <v>188</v>
      </c>
      <c r="J72" s="123">
        <f t="shared" si="1"/>
        <v>756</v>
      </c>
      <c r="K72" s="123">
        <f t="shared" si="1"/>
        <v>4</v>
      </c>
      <c r="L72" s="123">
        <f t="shared" si="1"/>
        <v>752</v>
      </c>
      <c r="M72" s="123">
        <f t="shared" si="1"/>
        <v>25</v>
      </c>
      <c r="N72" s="123">
        <f t="shared" si="1"/>
        <v>9</v>
      </c>
      <c r="O72" s="123">
        <f t="shared" si="1"/>
        <v>16</v>
      </c>
      <c r="P72" s="123">
        <f t="shared" si="1"/>
        <v>52</v>
      </c>
      <c r="Q72" s="123">
        <f t="shared" si="1"/>
        <v>4</v>
      </c>
      <c r="R72" s="123">
        <f>R70+R71</f>
        <v>48</v>
      </c>
      <c r="S72" s="7" t="s">
        <v>13</v>
      </c>
      <c r="T72" s="9"/>
      <c r="U72" s="1"/>
    </row>
    <row r="73" spans="1:21" ht="13.5" thickBot="1" x14ac:dyDescent="0.25">
      <c r="A73" s="123">
        <f t="shared" ref="A73:Q75" si="2">A28+A31+A34+A37+A40+A43+A46+A49+A52+A55+A58+A61+A64+A67+A70</f>
        <v>1998</v>
      </c>
      <c r="B73" s="123">
        <f t="shared" si="2"/>
        <v>410</v>
      </c>
      <c r="C73" s="123">
        <f t="shared" si="2"/>
        <v>1588</v>
      </c>
      <c r="D73" s="123">
        <f t="shared" si="2"/>
        <v>569</v>
      </c>
      <c r="E73" s="123">
        <f t="shared" si="2"/>
        <v>47</v>
      </c>
      <c r="F73" s="123">
        <f t="shared" si="2"/>
        <v>522</v>
      </c>
      <c r="G73" s="123">
        <f t="shared" si="2"/>
        <v>267</v>
      </c>
      <c r="H73" s="123">
        <f t="shared" si="2"/>
        <v>29</v>
      </c>
      <c r="I73" s="123">
        <f t="shared" si="2"/>
        <v>238</v>
      </c>
      <c r="J73" s="123">
        <f t="shared" si="2"/>
        <v>1099</v>
      </c>
      <c r="K73" s="123">
        <f t="shared" si="2"/>
        <v>318</v>
      </c>
      <c r="L73" s="123">
        <f t="shared" si="2"/>
        <v>781</v>
      </c>
      <c r="M73" s="123">
        <f t="shared" si="2"/>
        <v>19</v>
      </c>
      <c r="N73" s="123">
        <f t="shared" si="2"/>
        <v>12</v>
      </c>
      <c r="O73" s="123">
        <f t="shared" si="2"/>
        <v>7</v>
      </c>
      <c r="P73" s="123">
        <f t="shared" si="2"/>
        <v>44</v>
      </c>
      <c r="Q73" s="123">
        <f t="shared" si="2"/>
        <v>4</v>
      </c>
      <c r="R73" s="123">
        <f>R28+R31+R34+R37+R40+R43+R46+R49+R52+R55+R58+R61+R64+R67+R70</f>
        <v>40</v>
      </c>
      <c r="S73" s="7" t="s">
        <v>163</v>
      </c>
      <c r="T73" s="3"/>
      <c r="U73" s="1"/>
    </row>
    <row r="74" spans="1:21" ht="13.5" thickBot="1" x14ac:dyDescent="0.25">
      <c r="A74" s="123">
        <f t="shared" si="2"/>
        <v>280</v>
      </c>
      <c r="B74" s="123">
        <f t="shared" si="2"/>
        <v>2</v>
      </c>
      <c r="C74" s="123">
        <f t="shared" si="2"/>
        <v>278</v>
      </c>
      <c r="D74" s="123">
        <f t="shared" si="2"/>
        <v>206</v>
      </c>
      <c r="E74" s="123">
        <f t="shared" si="2"/>
        <v>0</v>
      </c>
      <c r="F74" s="123">
        <f t="shared" si="2"/>
        <v>206</v>
      </c>
      <c r="G74" s="123">
        <f t="shared" si="2"/>
        <v>1</v>
      </c>
      <c r="H74" s="123">
        <f t="shared" si="2"/>
        <v>0</v>
      </c>
      <c r="I74" s="123">
        <f t="shared" si="2"/>
        <v>1</v>
      </c>
      <c r="J74" s="123">
        <f t="shared" si="2"/>
        <v>50</v>
      </c>
      <c r="K74" s="123">
        <f t="shared" si="2"/>
        <v>2</v>
      </c>
      <c r="L74" s="123">
        <f t="shared" si="2"/>
        <v>48</v>
      </c>
      <c r="M74" s="123">
        <f t="shared" si="2"/>
        <v>14</v>
      </c>
      <c r="N74" s="123">
        <f t="shared" si="2"/>
        <v>0</v>
      </c>
      <c r="O74" s="123">
        <f t="shared" si="2"/>
        <v>14</v>
      </c>
      <c r="P74" s="123">
        <f t="shared" si="2"/>
        <v>9</v>
      </c>
      <c r="Q74" s="123">
        <f t="shared" si="2"/>
        <v>0</v>
      </c>
      <c r="R74" s="123">
        <f>R29+R32+R35+R38+R41+R44+R47+R50+R53+R56+R59+R62+R65+R68+R71</f>
        <v>9</v>
      </c>
      <c r="S74" s="7" t="s">
        <v>162</v>
      </c>
      <c r="T74" s="11" t="s">
        <v>211</v>
      </c>
      <c r="U74" s="1"/>
    </row>
    <row r="75" spans="1:21" ht="13.5" thickBot="1" x14ac:dyDescent="0.25">
      <c r="A75" s="123">
        <f t="shared" si="2"/>
        <v>2278</v>
      </c>
      <c r="B75" s="123">
        <f t="shared" si="2"/>
        <v>412</v>
      </c>
      <c r="C75" s="123">
        <f t="shared" si="2"/>
        <v>1866</v>
      </c>
      <c r="D75" s="123">
        <f t="shared" si="2"/>
        <v>775</v>
      </c>
      <c r="E75" s="123">
        <f t="shared" si="2"/>
        <v>47</v>
      </c>
      <c r="F75" s="123">
        <f t="shared" si="2"/>
        <v>728</v>
      </c>
      <c r="G75" s="123">
        <f t="shared" si="2"/>
        <v>268</v>
      </c>
      <c r="H75" s="123">
        <f t="shared" si="2"/>
        <v>29</v>
      </c>
      <c r="I75" s="123">
        <f t="shared" si="2"/>
        <v>239</v>
      </c>
      <c r="J75" s="123">
        <f t="shared" si="2"/>
        <v>1149</v>
      </c>
      <c r="K75" s="123">
        <f t="shared" si="2"/>
        <v>320</v>
      </c>
      <c r="L75" s="123">
        <f t="shared" si="2"/>
        <v>829</v>
      </c>
      <c r="M75" s="123">
        <f t="shared" si="2"/>
        <v>33</v>
      </c>
      <c r="N75" s="123">
        <f t="shared" si="2"/>
        <v>12</v>
      </c>
      <c r="O75" s="123">
        <f t="shared" si="2"/>
        <v>21</v>
      </c>
      <c r="P75" s="123">
        <f t="shared" si="2"/>
        <v>53</v>
      </c>
      <c r="Q75" s="123">
        <f t="shared" si="2"/>
        <v>4</v>
      </c>
      <c r="R75" s="123">
        <f>R30+R33+R36+R39+R42+R45+R48+R51+R54+R57+R60+R63+R66+R69+R72</f>
        <v>49</v>
      </c>
      <c r="S75" s="7" t="s">
        <v>13</v>
      </c>
      <c r="T75" s="5"/>
      <c r="U75" s="1"/>
    </row>
    <row r="76" spans="1:21" ht="18" customHeight="1" x14ac:dyDescent="0.2">
      <c r="A76" s="207"/>
      <c r="B76" s="207"/>
      <c r="C76" s="207"/>
      <c r="D76" s="207"/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1"/>
    </row>
    <row r="77" spans="1:21" ht="18" customHeight="1" x14ac:dyDescent="0.2">
      <c r="A77" s="159" t="s">
        <v>665</v>
      </c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"/>
    </row>
    <row r="78" spans="1:21" ht="18" customHeight="1" thickBot="1" x14ac:dyDescent="0.25">
      <c r="A78" s="160" t="s">
        <v>667</v>
      </c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"/>
    </row>
    <row r="79" spans="1:21" ht="13.5" thickBot="1" x14ac:dyDescent="0.25">
      <c r="A79" s="204" t="s">
        <v>5</v>
      </c>
      <c r="B79" s="204"/>
      <c r="C79" s="204"/>
      <c r="D79" s="204" t="s">
        <v>57</v>
      </c>
      <c r="E79" s="204"/>
      <c r="F79" s="204"/>
      <c r="G79" s="204" t="s">
        <v>66</v>
      </c>
      <c r="H79" s="204"/>
      <c r="I79" s="204"/>
      <c r="J79" s="204" t="s">
        <v>65</v>
      </c>
      <c r="K79" s="204"/>
      <c r="L79" s="204"/>
      <c r="M79" s="204" t="s">
        <v>62</v>
      </c>
      <c r="N79" s="204"/>
      <c r="O79" s="204"/>
      <c r="P79" s="204" t="s">
        <v>61</v>
      </c>
      <c r="Q79" s="204"/>
      <c r="R79" s="204"/>
      <c r="S79" s="205" t="s">
        <v>645</v>
      </c>
      <c r="T79" s="47" t="s">
        <v>161</v>
      </c>
      <c r="U79" s="1"/>
    </row>
    <row r="80" spans="1:21" ht="13.5" thickBot="1" x14ac:dyDescent="0.25">
      <c r="A80" s="47" t="s">
        <v>216</v>
      </c>
      <c r="B80" s="47" t="s">
        <v>11</v>
      </c>
      <c r="C80" s="47" t="s">
        <v>10</v>
      </c>
      <c r="D80" s="47" t="s">
        <v>216</v>
      </c>
      <c r="E80" s="47" t="s">
        <v>11</v>
      </c>
      <c r="F80" s="47" t="s">
        <v>10</v>
      </c>
      <c r="G80" s="47" t="s">
        <v>216</v>
      </c>
      <c r="H80" s="47" t="s">
        <v>11</v>
      </c>
      <c r="I80" s="47" t="s">
        <v>10</v>
      </c>
      <c r="J80" s="47" t="s">
        <v>216</v>
      </c>
      <c r="K80" s="47" t="s">
        <v>11</v>
      </c>
      <c r="L80" s="47" t="s">
        <v>10</v>
      </c>
      <c r="M80" s="47" t="s">
        <v>216</v>
      </c>
      <c r="N80" s="47" t="s">
        <v>11</v>
      </c>
      <c r="O80" s="47" t="s">
        <v>10</v>
      </c>
      <c r="P80" s="47" t="s">
        <v>216</v>
      </c>
      <c r="Q80" s="47" t="s">
        <v>11</v>
      </c>
      <c r="R80" s="47" t="s">
        <v>10</v>
      </c>
      <c r="S80" s="206"/>
      <c r="T80" s="5" t="s">
        <v>78</v>
      </c>
      <c r="U80" s="1"/>
    </row>
    <row r="81" spans="1:21" ht="13.5" thickBot="1" x14ac:dyDescent="0.25">
      <c r="A81" s="123">
        <v>182</v>
      </c>
      <c r="B81" s="123">
        <v>1</v>
      </c>
      <c r="C81" s="123">
        <v>181</v>
      </c>
      <c r="D81" s="123">
        <v>102</v>
      </c>
      <c r="E81" s="123">
        <v>0</v>
      </c>
      <c r="F81" s="123">
        <v>102</v>
      </c>
      <c r="G81" s="123">
        <v>13</v>
      </c>
      <c r="H81" s="123">
        <v>0</v>
      </c>
      <c r="I81" s="123">
        <v>13</v>
      </c>
      <c r="J81" s="123">
        <v>53</v>
      </c>
      <c r="K81" s="123">
        <v>1</v>
      </c>
      <c r="L81" s="123">
        <v>52</v>
      </c>
      <c r="M81" s="123">
        <v>14</v>
      </c>
      <c r="N81" s="123">
        <v>0</v>
      </c>
      <c r="O81" s="123">
        <v>14</v>
      </c>
      <c r="P81" s="123">
        <v>0</v>
      </c>
      <c r="Q81" s="123">
        <v>0</v>
      </c>
      <c r="R81" s="123">
        <v>0</v>
      </c>
      <c r="S81" s="7" t="s">
        <v>163</v>
      </c>
      <c r="T81" s="124"/>
      <c r="U81" s="1"/>
    </row>
    <row r="82" spans="1:21" ht="13.5" thickBot="1" x14ac:dyDescent="0.25">
      <c r="A82" s="123">
        <v>6</v>
      </c>
      <c r="B82" s="123">
        <v>0</v>
      </c>
      <c r="C82" s="123">
        <v>6</v>
      </c>
      <c r="D82" s="123">
        <v>1</v>
      </c>
      <c r="E82" s="123">
        <v>0</v>
      </c>
      <c r="F82" s="123">
        <v>1</v>
      </c>
      <c r="G82" s="123">
        <v>0</v>
      </c>
      <c r="H82" s="123">
        <v>0</v>
      </c>
      <c r="I82" s="123">
        <v>0</v>
      </c>
      <c r="J82" s="123">
        <v>2</v>
      </c>
      <c r="K82" s="123">
        <v>0</v>
      </c>
      <c r="L82" s="123">
        <v>2</v>
      </c>
      <c r="M82" s="123">
        <v>1</v>
      </c>
      <c r="N82" s="123">
        <v>0</v>
      </c>
      <c r="O82" s="123">
        <v>1</v>
      </c>
      <c r="P82" s="123">
        <v>2</v>
      </c>
      <c r="Q82" s="123">
        <v>0</v>
      </c>
      <c r="R82" s="123">
        <v>2</v>
      </c>
      <c r="S82" s="7" t="s">
        <v>162</v>
      </c>
      <c r="T82" s="124" t="s">
        <v>360</v>
      </c>
      <c r="U82" s="1"/>
    </row>
    <row r="83" spans="1:21" ht="13.5" thickBot="1" x14ac:dyDescent="0.25">
      <c r="A83" s="123">
        <v>188</v>
      </c>
      <c r="B83" s="123">
        <v>1</v>
      </c>
      <c r="C83" s="123">
        <v>187</v>
      </c>
      <c r="D83" s="123">
        <v>103</v>
      </c>
      <c r="E83" s="123">
        <v>0</v>
      </c>
      <c r="F83" s="123">
        <v>103</v>
      </c>
      <c r="G83" s="123">
        <v>13</v>
      </c>
      <c r="H83" s="123">
        <v>0</v>
      </c>
      <c r="I83" s="123">
        <v>13</v>
      </c>
      <c r="J83" s="123">
        <v>55</v>
      </c>
      <c r="K83" s="123">
        <v>1</v>
      </c>
      <c r="L83" s="123">
        <v>54</v>
      </c>
      <c r="M83" s="123">
        <v>15</v>
      </c>
      <c r="N83" s="123">
        <v>0</v>
      </c>
      <c r="O83" s="123">
        <v>15</v>
      </c>
      <c r="P83" s="123">
        <v>2</v>
      </c>
      <c r="Q83" s="123">
        <v>0</v>
      </c>
      <c r="R83" s="123">
        <v>2</v>
      </c>
      <c r="S83" s="7" t="s">
        <v>13</v>
      </c>
      <c r="T83" s="9"/>
      <c r="U83" s="1"/>
    </row>
    <row r="84" spans="1:21" ht="13.5" thickBot="1" x14ac:dyDescent="0.25">
      <c r="A84" s="123">
        <v>65</v>
      </c>
      <c r="B84" s="123">
        <v>10</v>
      </c>
      <c r="C84" s="123">
        <v>55</v>
      </c>
      <c r="D84" s="123">
        <v>31</v>
      </c>
      <c r="E84" s="123">
        <v>0</v>
      </c>
      <c r="F84" s="123">
        <v>31</v>
      </c>
      <c r="G84" s="123">
        <v>5</v>
      </c>
      <c r="H84" s="123">
        <v>0</v>
      </c>
      <c r="I84" s="123">
        <v>5</v>
      </c>
      <c r="J84" s="123">
        <v>28</v>
      </c>
      <c r="K84" s="123">
        <v>9</v>
      </c>
      <c r="L84" s="123">
        <v>19</v>
      </c>
      <c r="M84" s="123">
        <v>1</v>
      </c>
      <c r="N84" s="123">
        <v>1</v>
      </c>
      <c r="O84" s="123">
        <v>0</v>
      </c>
      <c r="P84" s="123">
        <v>0</v>
      </c>
      <c r="Q84" s="123">
        <v>0</v>
      </c>
      <c r="R84" s="123">
        <v>0</v>
      </c>
      <c r="S84" s="7" t="s">
        <v>163</v>
      </c>
      <c r="T84" s="124"/>
      <c r="U84" s="1"/>
    </row>
    <row r="85" spans="1:21" ht="13.5" thickBot="1" x14ac:dyDescent="0.25">
      <c r="A85" s="123">
        <v>19</v>
      </c>
      <c r="B85" s="123">
        <v>0</v>
      </c>
      <c r="C85" s="123">
        <v>19</v>
      </c>
      <c r="D85" s="123">
        <v>3</v>
      </c>
      <c r="E85" s="123">
        <v>0</v>
      </c>
      <c r="F85" s="123">
        <v>3</v>
      </c>
      <c r="G85" s="123">
        <v>2</v>
      </c>
      <c r="H85" s="123">
        <v>0</v>
      </c>
      <c r="I85" s="123">
        <v>2</v>
      </c>
      <c r="J85" s="123">
        <v>11</v>
      </c>
      <c r="K85" s="123">
        <v>0</v>
      </c>
      <c r="L85" s="123">
        <v>11</v>
      </c>
      <c r="M85" s="123">
        <v>3</v>
      </c>
      <c r="N85" s="123">
        <v>0</v>
      </c>
      <c r="O85" s="123">
        <v>3</v>
      </c>
      <c r="P85" s="123">
        <v>0</v>
      </c>
      <c r="Q85" s="123">
        <v>0</v>
      </c>
      <c r="R85" s="123">
        <v>0</v>
      </c>
      <c r="S85" s="7" t="s">
        <v>162</v>
      </c>
      <c r="T85" s="124" t="s">
        <v>337</v>
      </c>
      <c r="U85" s="1"/>
    </row>
    <row r="86" spans="1:21" ht="13.5" thickBot="1" x14ac:dyDescent="0.25">
      <c r="A86" s="123">
        <v>84</v>
      </c>
      <c r="B86" s="123">
        <v>10</v>
      </c>
      <c r="C86" s="123">
        <v>74</v>
      </c>
      <c r="D86" s="123">
        <v>34</v>
      </c>
      <c r="E86" s="123">
        <v>0</v>
      </c>
      <c r="F86" s="123">
        <v>34</v>
      </c>
      <c r="G86" s="123">
        <v>7</v>
      </c>
      <c r="H86" s="123">
        <v>0</v>
      </c>
      <c r="I86" s="123">
        <v>7</v>
      </c>
      <c r="J86" s="123">
        <v>39</v>
      </c>
      <c r="K86" s="123">
        <v>9</v>
      </c>
      <c r="L86" s="123">
        <v>30</v>
      </c>
      <c r="M86" s="123">
        <v>4</v>
      </c>
      <c r="N86" s="123">
        <v>1</v>
      </c>
      <c r="O86" s="123">
        <v>3</v>
      </c>
      <c r="P86" s="123">
        <v>0</v>
      </c>
      <c r="Q86" s="123">
        <v>0</v>
      </c>
      <c r="R86" s="123">
        <v>0</v>
      </c>
      <c r="S86" s="7" t="s">
        <v>13</v>
      </c>
      <c r="T86" s="9"/>
      <c r="U86" s="1"/>
    </row>
    <row r="87" spans="1:21" ht="13.5" thickBot="1" x14ac:dyDescent="0.25">
      <c r="A87" s="123">
        <v>21</v>
      </c>
      <c r="B87" s="123">
        <v>0</v>
      </c>
      <c r="C87" s="123">
        <v>21</v>
      </c>
      <c r="D87" s="123">
        <v>15</v>
      </c>
      <c r="E87" s="123">
        <v>0</v>
      </c>
      <c r="F87" s="123">
        <v>15</v>
      </c>
      <c r="G87" s="123">
        <v>3</v>
      </c>
      <c r="H87" s="123">
        <v>0</v>
      </c>
      <c r="I87" s="123">
        <v>3</v>
      </c>
      <c r="J87" s="123">
        <v>3</v>
      </c>
      <c r="K87" s="123">
        <v>0</v>
      </c>
      <c r="L87" s="123">
        <v>3</v>
      </c>
      <c r="M87" s="123">
        <v>0</v>
      </c>
      <c r="N87" s="123">
        <v>0</v>
      </c>
      <c r="O87" s="123">
        <v>0</v>
      </c>
      <c r="P87" s="123">
        <v>0</v>
      </c>
      <c r="Q87" s="123">
        <v>0</v>
      </c>
      <c r="R87" s="123">
        <v>0</v>
      </c>
      <c r="S87" s="7" t="s">
        <v>163</v>
      </c>
      <c r="T87" s="124"/>
      <c r="U87" s="1"/>
    </row>
    <row r="88" spans="1:21" ht="13.5" thickBot="1" x14ac:dyDescent="0.25">
      <c r="A88" s="123">
        <v>0</v>
      </c>
      <c r="B88" s="123">
        <v>0</v>
      </c>
      <c r="C88" s="123">
        <v>0</v>
      </c>
      <c r="D88" s="123">
        <v>0</v>
      </c>
      <c r="E88" s="123">
        <v>0</v>
      </c>
      <c r="F88" s="123">
        <v>0</v>
      </c>
      <c r="G88" s="123">
        <v>0</v>
      </c>
      <c r="H88" s="123">
        <v>0</v>
      </c>
      <c r="I88" s="123">
        <v>0</v>
      </c>
      <c r="J88" s="123">
        <v>0</v>
      </c>
      <c r="K88" s="123">
        <v>0</v>
      </c>
      <c r="L88" s="123">
        <v>0</v>
      </c>
      <c r="M88" s="123">
        <v>0</v>
      </c>
      <c r="N88" s="123">
        <v>0</v>
      </c>
      <c r="O88" s="123">
        <v>0</v>
      </c>
      <c r="P88" s="123">
        <v>0</v>
      </c>
      <c r="Q88" s="123">
        <v>0</v>
      </c>
      <c r="R88" s="123">
        <v>0</v>
      </c>
      <c r="S88" s="7" t="s">
        <v>162</v>
      </c>
      <c r="T88" s="124" t="s">
        <v>354</v>
      </c>
      <c r="U88" s="1"/>
    </row>
    <row r="89" spans="1:21" ht="13.5" thickBot="1" x14ac:dyDescent="0.25">
      <c r="A89" s="123">
        <v>21</v>
      </c>
      <c r="B89" s="123">
        <v>0</v>
      </c>
      <c r="C89" s="123">
        <v>21</v>
      </c>
      <c r="D89" s="123">
        <v>15</v>
      </c>
      <c r="E89" s="123">
        <v>0</v>
      </c>
      <c r="F89" s="123">
        <v>15</v>
      </c>
      <c r="G89" s="123">
        <v>3</v>
      </c>
      <c r="H89" s="123">
        <v>0</v>
      </c>
      <c r="I89" s="123">
        <v>3</v>
      </c>
      <c r="J89" s="123">
        <v>3</v>
      </c>
      <c r="K89" s="123">
        <v>0</v>
      </c>
      <c r="L89" s="123">
        <v>3</v>
      </c>
      <c r="M89" s="123">
        <v>0</v>
      </c>
      <c r="N89" s="123">
        <v>0</v>
      </c>
      <c r="O89" s="123">
        <v>0</v>
      </c>
      <c r="P89" s="123">
        <v>0</v>
      </c>
      <c r="Q89" s="123">
        <v>0</v>
      </c>
      <c r="R89" s="123">
        <v>0</v>
      </c>
      <c r="S89" s="7" t="s">
        <v>13</v>
      </c>
      <c r="T89" s="9"/>
      <c r="U89" s="1"/>
    </row>
    <row r="90" spans="1:21" ht="13.5" thickBot="1" x14ac:dyDescent="0.25">
      <c r="A90" s="123">
        <v>64</v>
      </c>
      <c r="B90" s="123">
        <v>0</v>
      </c>
      <c r="C90" s="123">
        <v>64</v>
      </c>
      <c r="D90" s="123">
        <v>44</v>
      </c>
      <c r="E90" s="123">
        <v>0</v>
      </c>
      <c r="F90" s="123">
        <v>44</v>
      </c>
      <c r="G90" s="123">
        <v>6</v>
      </c>
      <c r="H90" s="123">
        <v>0</v>
      </c>
      <c r="I90" s="123">
        <v>6</v>
      </c>
      <c r="J90" s="123">
        <v>13</v>
      </c>
      <c r="K90" s="123">
        <v>0</v>
      </c>
      <c r="L90" s="123">
        <v>13</v>
      </c>
      <c r="M90" s="123">
        <v>1</v>
      </c>
      <c r="N90" s="123">
        <v>0</v>
      </c>
      <c r="O90" s="123">
        <v>1</v>
      </c>
      <c r="P90" s="123">
        <v>0</v>
      </c>
      <c r="Q90" s="123">
        <v>0</v>
      </c>
      <c r="R90" s="123">
        <v>0</v>
      </c>
      <c r="S90" s="7" t="s">
        <v>163</v>
      </c>
      <c r="T90" s="124"/>
      <c r="U90" s="1"/>
    </row>
    <row r="91" spans="1:21" ht="13.5" thickBot="1" x14ac:dyDescent="0.25">
      <c r="A91" s="123">
        <v>1</v>
      </c>
      <c r="B91" s="123">
        <v>0</v>
      </c>
      <c r="C91" s="123">
        <v>1</v>
      </c>
      <c r="D91" s="123">
        <v>0</v>
      </c>
      <c r="E91" s="123">
        <v>0</v>
      </c>
      <c r="F91" s="123">
        <v>0</v>
      </c>
      <c r="G91" s="123">
        <v>0</v>
      </c>
      <c r="H91" s="123">
        <v>0</v>
      </c>
      <c r="I91" s="123">
        <v>0</v>
      </c>
      <c r="J91" s="123">
        <v>1</v>
      </c>
      <c r="K91" s="123">
        <v>0</v>
      </c>
      <c r="L91" s="123">
        <v>1</v>
      </c>
      <c r="M91" s="123">
        <v>0</v>
      </c>
      <c r="N91" s="123">
        <v>0</v>
      </c>
      <c r="O91" s="123">
        <v>0</v>
      </c>
      <c r="P91" s="123">
        <v>0</v>
      </c>
      <c r="Q91" s="123">
        <v>0</v>
      </c>
      <c r="R91" s="123">
        <v>0</v>
      </c>
      <c r="S91" s="7" t="s">
        <v>162</v>
      </c>
      <c r="T91" s="124" t="s">
        <v>363</v>
      </c>
      <c r="U91" s="1"/>
    </row>
    <row r="92" spans="1:21" ht="13.5" thickBot="1" x14ac:dyDescent="0.25">
      <c r="A92" s="123">
        <v>65</v>
      </c>
      <c r="B92" s="123">
        <v>0</v>
      </c>
      <c r="C92" s="123">
        <v>65</v>
      </c>
      <c r="D92" s="123">
        <v>44</v>
      </c>
      <c r="E92" s="123">
        <v>0</v>
      </c>
      <c r="F92" s="123">
        <v>44</v>
      </c>
      <c r="G92" s="123">
        <v>6</v>
      </c>
      <c r="H92" s="123">
        <v>0</v>
      </c>
      <c r="I92" s="123">
        <v>6</v>
      </c>
      <c r="J92" s="123">
        <v>14</v>
      </c>
      <c r="K92" s="123">
        <v>0</v>
      </c>
      <c r="L92" s="123">
        <v>14</v>
      </c>
      <c r="M92" s="123">
        <v>1</v>
      </c>
      <c r="N92" s="123">
        <v>0</v>
      </c>
      <c r="O92" s="123">
        <v>1</v>
      </c>
      <c r="P92" s="123">
        <v>0</v>
      </c>
      <c r="Q92" s="123">
        <v>0</v>
      </c>
      <c r="R92" s="123">
        <v>0</v>
      </c>
      <c r="S92" s="7" t="s">
        <v>13</v>
      </c>
      <c r="T92" s="9"/>
      <c r="U92" s="1"/>
    </row>
    <row r="93" spans="1:21" ht="13.5" thickBot="1" x14ac:dyDescent="0.25">
      <c r="A93" s="123">
        <v>53</v>
      </c>
      <c r="B93" s="123">
        <v>1</v>
      </c>
      <c r="C93" s="123">
        <v>52</v>
      </c>
      <c r="D93" s="123">
        <v>35</v>
      </c>
      <c r="E93" s="123">
        <v>0</v>
      </c>
      <c r="F93" s="123">
        <v>35</v>
      </c>
      <c r="G93" s="123">
        <v>5</v>
      </c>
      <c r="H93" s="123">
        <v>0</v>
      </c>
      <c r="I93" s="123">
        <v>5</v>
      </c>
      <c r="J93" s="123">
        <v>12</v>
      </c>
      <c r="K93" s="123">
        <v>1</v>
      </c>
      <c r="L93" s="123">
        <v>11</v>
      </c>
      <c r="M93" s="123">
        <v>1</v>
      </c>
      <c r="N93" s="123">
        <v>0</v>
      </c>
      <c r="O93" s="123">
        <v>1</v>
      </c>
      <c r="P93" s="123">
        <v>0</v>
      </c>
      <c r="Q93" s="123">
        <v>0</v>
      </c>
      <c r="R93" s="123">
        <v>0</v>
      </c>
      <c r="S93" s="7" t="s">
        <v>163</v>
      </c>
      <c r="T93" s="124"/>
      <c r="U93" s="1"/>
    </row>
    <row r="94" spans="1:21" ht="13.5" thickBot="1" x14ac:dyDescent="0.25">
      <c r="A94" s="123">
        <v>3</v>
      </c>
      <c r="B94" s="123">
        <v>0</v>
      </c>
      <c r="C94" s="123">
        <v>3</v>
      </c>
      <c r="D94" s="123">
        <v>2</v>
      </c>
      <c r="E94" s="123">
        <v>0</v>
      </c>
      <c r="F94" s="123">
        <v>2</v>
      </c>
      <c r="G94" s="123">
        <v>1</v>
      </c>
      <c r="H94" s="123">
        <v>0</v>
      </c>
      <c r="I94" s="123">
        <v>1</v>
      </c>
      <c r="J94" s="123">
        <v>0</v>
      </c>
      <c r="K94" s="123">
        <v>0</v>
      </c>
      <c r="L94" s="123">
        <v>0</v>
      </c>
      <c r="M94" s="123">
        <v>0</v>
      </c>
      <c r="N94" s="123">
        <v>0</v>
      </c>
      <c r="O94" s="123">
        <v>0</v>
      </c>
      <c r="P94" s="123">
        <v>0</v>
      </c>
      <c r="Q94" s="123">
        <v>0</v>
      </c>
      <c r="R94" s="123">
        <v>0</v>
      </c>
      <c r="S94" s="7" t="s">
        <v>162</v>
      </c>
      <c r="T94" s="124" t="s">
        <v>364</v>
      </c>
      <c r="U94" s="1"/>
    </row>
    <row r="95" spans="1:21" ht="13.5" thickBot="1" x14ac:dyDescent="0.25">
      <c r="A95" s="123">
        <v>56</v>
      </c>
      <c r="B95" s="123">
        <v>1</v>
      </c>
      <c r="C95" s="123">
        <v>55</v>
      </c>
      <c r="D95" s="123">
        <v>37</v>
      </c>
      <c r="E95" s="123">
        <v>0</v>
      </c>
      <c r="F95" s="123">
        <v>37</v>
      </c>
      <c r="G95" s="123">
        <v>6</v>
      </c>
      <c r="H95" s="123">
        <v>0</v>
      </c>
      <c r="I95" s="123">
        <v>6</v>
      </c>
      <c r="J95" s="123">
        <v>12</v>
      </c>
      <c r="K95" s="123">
        <v>1</v>
      </c>
      <c r="L95" s="123">
        <v>11</v>
      </c>
      <c r="M95" s="123">
        <v>1</v>
      </c>
      <c r="N95" s="123">
        <v>0</v>
      </c>
      <c r="O95" s="123">
        <v>1</v>
      </c>
      <c r="P95" s="123">
        <v>0</v>
      </c>
      <c r="Q95" s="123">
        <v>0</v>
      </c>
      <c r="R95" s="123">
        <v>0</v>
      </c>
      <c r="S95" s="7" t="s">
        <v>13</v>
      </c>
      <c r="T95" s="9"/>
      <c r="U95" s="1"/>
    </row>
    <row r="96" spans="1:21" ht="13.5" thickBot="1" x14ac:dyDescent="0.25">
      <c r="A96" s="123">
        <v>6</v>
      </c>
      <c r="B96" s="123">
        <v>2</v>
      </c>
      <c r="C96" s="123">
        <v>4</v>
      </c>
      <c r="D96" s="123">
        <v>2</v>
      </c>
      <c r="E96" s="123">
        <v>0</v>
      </c>
      <c r="F96" s="123">
        <v>2</v>
      </c>
      <c r="G96" s="123">
        <v>0</v>
      </c>
      <c r="H96" s="123">
        <v>0</v>
      </c>
      <c r="I96" s="123">
        <v>0</v>
      </c>
      <c r="J96" s="123">
        <v>4</v>
      </c>
      <c r="K96" s="123">
        <v>2</v>
      </c>
      <c r="L96" s="123">
        <v>2</v>
      </c>
      <c r="M96" s="123">
        <v>0</v>
      </c>
      <c r="N96" s="123">
        <v>0</v>
      </c>
      <c r="O96" s="123">
        <v>0</v>
      </c>
      <c r="P96" s="123">
        <v>0</v>
      </c>
      <c r="Q96" s="123">
        <v>0</v>
      </c>
      <c r="R96" s="123">
        <v>0</v>
      </c>
      <c r="S96" s="7" t="s">
        <v>163</v>
      </c>
      <c r="T96" s="124"/>
      <c r="U96" s="1"/>
    </row>
    <row r="97" spans="1:21" ht="13.5" thickBot="1" x14ac:dyDescent="0.25">
      <c r="A97" s="123">
        <v>13</v>
      </c>
      <c r="B97" s="123">
        <v>3</v>
      </c>
      <c r="C97" s="123">
        <v>10</v>
      </c>
      <c r="D97" s="123">
        <v>3</v>
      </c>
      <c r="E97" s="123">
        <v>0</v>
      </c>
      <c r="F97" s="123">
        <v>3</v>
      </c>
      <c r="G97" s="123">
        <v>2</v>
      </c>
      <c r="H97" s="123">
        <v>0</v>
      </c>
      <c r="I97" s="123">
        <v>2</v>
      </c>
      <c r="J97" s="123">
        <v>6</v>
      </c>
      <c r="K97" s="123">
        <v>2</v>
      </c>
      <c r="L97" s="123">
        <v>4</v>
      </c>
      <c r="M97" s="123">
        <v>2</v>
      </c>
      <c r="N97" s="123">
        <v>1</v>
      </c>
      <c r="O97" s="123">
        <v>1</v>
      </c>
      <c r="P97" s="123">
        <v>0</v>
      </c>
      <c r="Q97" s="123">
        <v>0</v>
      </c>
      <c r="R97" s="123">
        <v>0</v>
      </c>
      <c r="S97" s="7" t="s">
        <v>162</v>
      </c>
      <c r="T97" s="124" t="s">
        <v>263</v>
      </c>
      <c r="U97" s="1"/>
    </row>
    <row r="98" spans="1:21" ht="13.5" thickBot="1" x14ac:dyDescent="0.25">
      <c r="A98" s="123">
        <v>19</v>
      </c>
      <c r="B98" s="123">
        <v>5</v>
      </c>
      <c r="C98" s="123">
        <v>14</v>
      </c>
      <c r="D98" s="123">
        <v>5</v>
      </c>
      <c r="E98" s="123">
        <v>0</v>
      </c>
      <c r="F98" s="123">
        <v>5</v>
      </c>
      <c r="G98" s="123">
        <v>2</v>
      </c>
      <c r="H98" s="123">
        <v>0</v>
      </c>
      <c r="I98" s="123">
        <v>2</v>
      </c>
      <c r="J98" s="123">
        <v>10</v>
      </c>
      <c r="K98" s="123">
        <v>4</v>
      </c>
      <c r="L98" s="123">
        <v>6</v>
      </c>
      <c r="M98" s="123">
        <v>2</v>
      </c>
      <c r="N98" s="123">
        <v>1</v>
      </c>
      <c r="O98" s="123">
        <v>1</v>
      </c>
      <c r="P98" s="123">
        <v>0</v>
      </c>
      <c r="Q98" s="123">
        <v>0</v>
      </c>
      <c r="R98" s="123">
        <v>0</v>
      </c>
      <c r="S98" s="7" t="s">
        <v>13</v>
      </c>
      <c r="T98" s="9"/>
      <c r="U98" s="1"/>
    </row>
    <row r="99" spans="1:21" ht="13.5" thickBot="1" x14ac:dyDescent="0.25">
      <c r="A99" s="123">
        <v>127</v>
      </c>
      <c r="B99" s="123">
        <v>75</v>
      </c>
      <c r="C99" s="123">
        <v>52</v>
      </c>
      <c r="D99" s="123">
        <v>46</v>
      </c>
      <c r="E99" s="123">
        <v>21</v>
      </c>
      <c r="F99" s="123">
        <v>25</v>
      </c>
      <c r="G99" s="123">
        <v>49</v>
      </c>
      <c r="H99" s="123">
        <v>33</v>
      </c>
      <c r="I99" s="123">
        <v>16</v>
      </c>
      <c r="J99" s="123">
        <v>19</v>
      </c>
      <c r="K99" s="123">
        <v>11</v>
      </c>
      <c r="L99" s="123">
        <v>8</v>
      </c>
      <c r="M99" s="123">
        <v>8</v>
      </c>
      <c r="N99" s="123">
        <v>5</v>
      </c>
      <c r="O99" s="123">
        <v>3</v>
      </c>
      <c r="P99" s="123">
        <v>5</v>
      </c>
      <c r="Q99" s="123">
        <v>5</v>
      </c>
      <c r="R99" s="123">
        <v>0</v>
      </c>
      <c r="S99" s="7" t="s">
        <v>163</v>
      </c>
      <c r="T99" s="124"/>
      <c r="U99" s="1"/>
    </row>
    <row r="100" spans="1:21" ht="13.5" thickBot="1" x14ac:dyDescent="0.25">
      <c r="A100" s="123">
        <v>224</v>
      </c>
      <c r="B100" s="123">
        <v>102</v>
      </c>
      <c r="C100" s="123">
        <v>122</v>
      </c>
      <c r="D100" s="123">
        <v>36</v>
      </c>
      <c r="E100" s="123">
        <v>10</v>
      </c>
      <c r="F100" s="123">
        <v>26</v>
      </c>
      <c r="G100" s="123">
        <v>46</v>
      </c>
      <c r="H100" s="123">
        <v>11</v>
      </c>
      <c r="I100" s="123">
        <v>35</v>
      </c>
      <c r="J100" s="123">
        <v>135</v>
      </c>
      <c r="K100" s="123">
        <v>78</v>
      </c>
      <c r="L100" s="123">
        <v>57</v>
      </c>
      <c r="M100" s="123">
        <v>4</v>
      </c>
      <c r="N100" s="123">
        <v>2</v>
      </c>
      <c r="O100" s="123">
        <v>2</v>
      </c>
      <c r="P100" s="123">
        <v>3</v>
      </c>
      <c r="Q100" s="123">
        <v>1</v>
      </c>
      <c r="R100" s="123">
        <v>2</v>
      </c>
      <c r="S100" s="7" t="s">
        <v>162</v>
      </c>
      <c r="T100" s="124" t="s">
        <v>244</v>
      </c>
      <c r="U100" s="1"/>
    </row>
    <row r="101" spans="1:21" ht="13.5" thickBot="1" x14ac:dyDescent="0.25">
      <c r="A101" s="123">
        <v>351</v>
      </c>
      <c r="B101" s="123">
        <v>177</v>
      </c>
      <c r="C101" s="123">
        <v>174</v>
      </c>
      <c r="D101" s="123">
        <v>82</v>
      </c>
      <c r="E101" s="123">
        <v>31</v>
      </c>
      <c r="F101" s="123">
        <v>51</v>
      </c>
      <c r="G101" s="123">
        <v>95</v>
      </c>
      <c r="H101" s="123">
        <v>44</v>
      </c>
      <c r="I101" s="123">
        <v>51</v>
      </c>
      <c r="J101" s="123">
        <v>154</v>
      </c>
      <c r="K101" s="123">
        <v>89</v>
      </c>
      <c r="L101" s="123">
        <v>65</v>
      </c>
      <c r="M101" s="123">
        <v>12</v>
      </c>
      <c r="N101" s="123">
        <v>7</v>
      </c>
      <c r="O101" s="123">
        <v>5</v>
      </c>
      <c r="P101" s="123">
        <v>8</v>
      </c>
      <c r="Q101" s="123">
        <v>6</v>
      </c>
      <c r="R101" s="123">
        <v>2</v>
      </c>
      <c r="S101" s="7" t="s">
        <v>13</v>
      </c>
      <c r="T101" s="9"/>
      <c r="U101" s="1"/>
    </row>
    <row r="102" spans="1:21" ht="13.5" thickBot="1" x14ac:dyDescent="0.25">
      <c r="A102" s="123">
        <v>155</v>
      </c>
      <c r="B102" s="123">
        <v>0</v>
      </c>
      <c r="C102" s="123">
        <v>155</v>
      </c>
      <c r="D102" s="123">
        <v>58</v>
      </c>
      <c r="E102" s="123">
        <v>0</v>
      </c>
      <c r="F102" s="123">
        <v>58</v>
      </c>
      <c r="G102" s="123">
        <v>20</v>
      </c>
      <c r="H102" s="123">
        <v>0</v>
      </c>
      <c r="I102" s="123">
        <v>20</v>
      </c>
      <c r="J102" s="123">
        <v>67</v>
      </c>
      <c r="K102" s="123">
        <v>0</v>
      </c>
      <c r="L102" s="123">
        <v>67</v>
      </c>
      <c r="M102" s="123">
        <v>10</v>
      </c>
      <c r="N102" s="123">
        <v>0</v>
      </c>
      <c r="O102" s="123">
        <v>10</v>
      </c>
      <c r="P102" s="123">
        <v>0</v>
      </c>
      <c r="Q102" s="123">
        <v>0</v>
      </c>
      <c r="R102" s="123">
        <v>0</v>
      </c>
      <c r="S102" s="7" t="s">
        <v>163</v>
      </c>
      <c r="T102" s="124"/>
      <c r="U102" s="1"/>
    </row>
    <row r="103" spans="1:21" ht="13.5" thickBot="1" x14ac:dyDescent="0.25">
      <c r="A103" s="123">
        <v>21</v>
      </c>
      <c r="B103" s="123">
        <v>0</v>
      </c>
      <c r="C103" s="123">
        <v>21</v>
      </c>
      <c r="D103" s="123">
        <v>6</v>
      </c>
      <c r="E103" s="123">
        <v>0</v>
      </c>
      <c r="F103" s="123">
        <v>6</v>
      </c>
      <c r="G103" s="123">
        <v>1</v>
      </c>
      <c r="H103" s="123">
        <v>0</v>
      </c>
      <c r="I103" s="123">
        <v>1</v>
      </c>
      <c r="J103" s="123">
        <v>11</v>
      </c>
      <c r="K103" s="123">
        <v>0</v>
      </c>
      <c r="L103" s="123">
        <v>11</v>
      </c>
      <c r="M103" s="123">
        <v>3</v>
      </c>
      <c r="N103" s="123">
        <v>0</v>
      </c>
      <c r="O103" s="123">
        <v>3</v>
      </c>
      <c r="P103" s="123">
        <v>0</v>
      </c>
      <c r="Q103" s="123">
        <v>0</v>
      </c>
      <c r="R103" s="123">
        <v>0</v>
      </c>
      <c r="S103" s="7" t="s">
        <v>162</v>
      </c>
      <c r="T103" s="124" t="s">
        <v>365</v>
      </c>
      <c r="U103" s="1"/>
    </row>
    <row r="104" spans="1:21" ht="13.5" thickBot="1" x14ac:dyDescent="0.25">
      <c r="A104" s="123">
        <v>176</v>
      </c>
      <c r="B104" s="123">
        <v>0</v>
      </c>
      <c r="C104" s="123">
        <v>176</v>
      </c>
      <c r="D104" s="123">
        <v>64</v>
      </c>
      <c r="E104" s="123">
        <v>0</v>
      </c>
      <c r="F104" s="123">
        <v>64</v>
      </c>
      <c r="G104" s="123">
        <v>21</v>
      </c>
      <c r="H104" s="123">
        <v>0</v>
      </c>
      <c r="I104" s="123">
        <v>21</v>
      </c>
      <c r="J104" s="123">
        <v>78</v>
      </c>
      <c r="K104" s="123">
        <v>0</v>
      </c>
      <c r="L104" s="123">
        <v>78</v>
      </c>
      <c r="M104" s="123">
        <v>13</v>
      </c>
      <c r="N104" s="123">
        <v>0</v>
      </c>
      <c r="O104" s="123">
        <v>13</v>
      </c>
      <c r="P104" s="123">
        <v>0</v>
      </c>
      <c r="Q104" s="123">
        <v>0</v>
      </c>
      <c r="R104" s="123">
        <v>0</v>
      </c>
      <c r="S104" s="7" t="s">
        <v>13</v>
      </c>
      <c r="T104" s="9"/>
      <c r="U104" s="1"/>
    </row>
    <row r="105" spans="1:21" ht="13.5" thickBot="1" x14ac:dyDescent="0.25">
      <c r="A105" s="123">
        <v>25</v>
      </c>
      <c r="B105" s="123">
        <v>0</v>
      </c>
      <c r="C105" s="123">
        <v>25</v>
      </c>
      <c r="D105" s="123">
        <v>23</v>
      </c>
      <c r="E105" s="123">
        <v>0</v>
      </c>
      <c r="F105" s="123">
        <v>23</v>
      </c>
      <c r="G105" s="123">
        <v>1</v>
      </c>
      <c r="H105" s="123">
        <v>0</v>
      </c>
      <c r="I105" s="123">
        <v>1</v>
      </c>
      <c r="J105" s="123">
        <v>0</v>
      </c>
      <c r="K105" s="123">
        <v>0</v>
      </c>
      <c r="L105" s="123">
        <v>0</v>
      </c>
      <c r="M105" s="123">
        <v>1</v>
      </c>
      <c r="N105" s="123">
        <v>0</v>
      </c>
      <c r="O105" s="123">
        <v>1</v>
      </c>
      <c r="P105" s="123">
        <v>0</v>
      </c>
      <c r="Q105" s="123">
        <v>0</v>
      </c>
      <c r="R105" s="123">
        <v>0</v>
      </c>
      <c r="S105" s="7" t="s">
        <v>163</v>
      </c>
      <c r="T105" s="124"/>
      <c r="U105" s="1"/>
    </row>
    <row r="106" spans="1:21" ht="13.5" thickBot="1" x14ac:dyDescent="0.25">
      <c r="A106" s="123">
        <v>1</v>
      </c>
      <c r="B106" s="123">
        <v>0</v>
      </c>
      <c r="C106" s="123">
        <v>1</v>
      </c>
      <c r="D106" s="123">
        <v>0</v>
      </c>
      <c r="E106" s="123">
        <v>0</v>
      </c>
      <c r="F106" s="123">
        <v>0</v>
      </c>
      <c r="G106" s="123">
        <v>0</v>
      </c>
      <c r="H106" s="123">
        <v>0</v>
      </c>
      <c r="I106" s="123">
        <v>0</v>
      </c>
      <c r="J106" s="123">
        <v>1</v>
      </c>
      <c r="K106" s="123">
        <v>0</v>
      </c>
      <c r="L106" s="123">
        <v>1</v>
      </c>
      <c r="M106" s="123">
        <v>0</v>
      </c>
      <c r="N106" s="123">
        <v>0</v>
      </c>
      <c r="O106" s="123">
        <v>0</v>
      </c>
      <c r="P106" s="123">
        <v>0</v>
      </c>
      <c r="Q106" s="123">
        <v>0</v>
      </c>
      <c r="R106" s="123">
        <v>0</v>
      </c>
      <c r="S106" s="7" t="s">
        <v>162</v>
      </c>
      <c r="T106" s="124" t="s">
        <v>366</v>
      </c>
      <c r="U106" s="1"/>
    </row>
    <row r="107" spans="1:21" ht="13.5" thickBot="1" x14ac:dyDescent="0.25">
      <c r="A107" s="123">
        <v>26</v>
      </c>
      <c r="B107" s="123">
        <v>0</v>
      </c>
      <c r="C107" s="123">
        <v>26</v>
      </c>
      <c r="D107" s="123">
        <v>23</v>
      </c>
      <c r="E107" s="123">
        <v>0</v>
      </c>
      <c r="F107" s="123">
        <v>23</v>
      </c>
      <c r="G107" s="123">
        <v>1</v>
      </c>
      <c r="H107" s="123">
        <v>0</v>
      </c>
      <c r="I107" s="123">
        <v>1</v>
      </c>
      <c r="J107" s="123">
        <v>1</v>
      </c>
      <c r="K107" s="123">
        <v>0</v>
      </c>
      <c r="L107" s="123">
        <v>1</v>
      </c>
      <c r="M107" s="123">
        <v>1</v>
      </c>
      <c r="N107" s="123">
        <v>0</v>
      </c>
      <c r="O107" s="123">
        <v>1</v>
      </c>
      <c r="P107" s="123">
        <v>0</v>
      </c>
      <c r="Q107" s="123">
        <v>0</v>
      </c>
      <c r="R107" s="123">
        <v>0</v>
      </c>
      <c r="S107" s="7" t="s">
        <v>13</v>
      </c>
      <c r="T107" s="9"/>
      <c r="U107" s="1"/>
    </row>
    <row r="108" spans="1:21" ht="13.5" thickBot="1" x14ac:dyDescent="0.25">
      <c r="A108" s="123">
        <v>17</v>
      </c>
      <c r="B108" s="123">
        <v>2</v>
      </c>
      <c r="C108" s="123">
        <v>15</v>
      </c>
      <c r="D108" s="123">
        <v>15</v>
      </c>
      <c r="E108" s="123">
        <v>1</v>
      </c>
      <c r="F108" s="123">
        <v>14</v>
      </c>
      <c r="G108" s="123">
        <v>0</v>
      </c>
      <c r="H108" s="123">
        <v>0</v>
      </c>
      <c r="I108" s="123">
        <v>0</v>
      </c>
      <c r="J108" s="123">
        <v>1</v>
      </c>
      <c r="K108" s="123">
        <v>1</v>
      </c>
      <c r="L108" s="123">
        <v>0</v>
      </c>
      <c r="M108" s="123">
        <v>1</v>
      </c>
      <c r="N108" s="123">
        <v>0</v>
      </c>
      <c r="O108" s="123">
        <v>1</v>
      </c>
      <c r="P108" s="123">
        <v>0</v>
      </c>
      <c r="Q108" s="123">
        <v>0</v>
      </c>
      <c r="R108" s="123">
        <v>0</v>
      </c>
      <c r="S108" s="7" t="s">
        <v>163</v>
      </c>
      <c r="T108" s="124"/>
      <c r="U108" s="1"/>
    </row>
    <row r="109" spans="1:21" ht="13.5" thickBot="1" x14ac:dyDescent="0.25">
      <c r="A109" s="123">
        <v>1</v>
      </c>
      <c r="B109" s="123">
        <v>0</v>
      </c>
      <c r="C109" s="123">
        <v>1</v>
      </c>
      <c r="D109" s="123">
        <v>0</v>
      </c>
      <c r="E109" s="123">
        <v>0</v>
      </c>
      <c r="F109" s="123">
        <v>0</v>
      </c>
      <c r="G109" s="123">
        <v>0</v>
      </c>
      <c r="H109" s="123">
        <v>0</v>
      </c>
      <c r="I109" s="123">
        <v>0</v>
      </c>
      <c r="J109" s="123">
        <v>1</v>
      </c>
      <c r="K109" s="123">
        <v>0</v>
      </c>
      <c r="L109" s="123">
        <v>1</v>
      </c>
      <c r="M109" s="123">
        <v>0</v>
      </c>
      <c r="N109" s="123">
        <v>0</v>
      </c>
      <c r="O109" s="123">
        <v>0</v>
      </c>
      <c r="P109" s="123">
        <v>0</v>
      </c>
      <c r="Q109" s="123">
        <v>0</v>
      </c>
      <c r="R109" s="123">
        <v>0</v>
      </c>
      <c r="S109" s="7" t="s">
        <v>162</v>
      </c>
      <c r="T109" s="124" t="s">
        <v>355</v>
      </c>
      <c r="U109" s="1"/>
    </row>
    <row r="110" spans="1:21" ht="13.5" thickBot="1" x14ac:dyDescent="0.25">
      <c r="A110" s="123">
        <v>18</v>
      </c>
      <c r="B110" s="123">
        <v>2</v>
      </c>
      <c r="C110" s="123">
        <v>16</v>
      </c>
      <c r="D110" s="123">
        <v>15</v>
      </c>
      <c r="E110" s="123">
        <v>1</v>
      </c>
      <c r="F110" s="123">
        <v>14</v>
      </c>
      <c r="G110" s="123">
        <v>0</v>
      </c>
      <c r="H110" s="123">
        <v>0</v>
      </c>
      <c r="I110" s="123">
        <v>0</v>
      </c>
      <c r="J110" s="123">
        <v>2</v>
      </c>
      <c r="K110" s="123">
        <v>1</v>
      </c>
      <c r="L110" s="123">
        <v>1</v>
      </c>
      <c r="M110" s="123">
        <v>1</v>
      </c>
      <c r="N110" s="123">
        <v>0</v>
      </c>
      <c r="O110" s="123">
        <v>1</v>
      </c>
      <c r="P110" s="123">
        <v>0</v>
      </c>
      <c r="Q110" s="123">
        <v>0</v>
      </c>
      <c r="R110" s="123">
        <v>0</v>
      </c>
      <c r="S110" s="7" t="s">
        <v>13</v>
      </c>
      <c r="T110" s="9"/>
      <c r="U110" s="1"/>
    </row>
    <row r="111" spans="1:21" ht="13.5" thickBot="1" x14ac:dyDescent="0.25">
      <c r="A111" s="123">
        <v>34</v>
      </c>
      <c r="B111" s="123">
        <v>0</v>
      </c>
      <c r="C111" s="123">
        <v>34</v>
      </c>
      <c r="D111" s="123">
        <v>19</v>
      </c>
      <c r="E111" s="123">
        <v>0</v>
      </c>
      <c r="F111" s="123">
        <v>19</v>
      </c>
      <c r="G111" s="123">
        <v>8</v>
      </c>
      <c r="H111" s="123">
        <v>0</v>
      </c>
      <c r="I111" s="123">
        <v>8</v>
      </c>
      <c r="J111" s="123">
        <v>5</v>
      </c>
      <c r="K111" s="123">
        <v>0</v>
      </c>
      <c r="L111" s="123">
        <v>5</v>
      </c>
      <c r="M111" s="123">
        <v>2</v>
      </c>
      <c r="N111" s="123">
        <v>0</v>
      </c>
      <c r="O111" s="123">
        <v>2</v>
      </c>
      <c r="P111" s="123">
        <v>0</v>
      </c>
      <c r="Q111" s="123">
        <v>0</v>
      </c>
      <c r="R111" s="123">
        <v>0</v>
      </c>
      <c r="S111" s="7" t="s">
        <v>163</v>
      </c>
      <c r="T111" s="124"/>
      <c r="U111" s="1"/>
    </row>
    <row r="112" spans="1:21" ht="13.5" thickBot="1" x14ac:dyDescent="0.25">
      <c r="A112" s="123">
        <v>3</v>
      </c>
      <c r="B112" s="123">
        <v>0</v>
      </c>
      <c r="C112" s="123">
        <v>3</v>
      </c>
      <c r="D112" s="123">
        <v>0</v>
      </c>
      <c r="E112" s="123">
        <v>0</v>
      </c>
      <c r="F112" s="123">
        <v>0</v>
      </c>
      <c r="G112" s="123">
        <v>0</v>
      </c>
      <c r="H112" s="123">
        <v>0</v>
      </c>
      <c r="I112" s="123">
        <v>0</v>
      </c>
      <c r="J112" s="123">
        <v>1</v>
      </c>
      <c r="K112" s="123">
        <v>0</v>
      </c>
      <c r="L112" s="123">
        <v>1</v>
      </c>
      <c r="M112" s="123">
        <v>2</v>
      </c>
      <c r="N112" s="123">
        <v>0</v>
      </c>
      <c r="O112" s="123">
        <v>2</v>
      </c>
      <c r="P112" s="123">
        <v>0</v>
      </c>
      <c r="Q112" s="123">
        <v>0</v>
      </c>
      <c r="R112" s="123">
        <v>0</v>
      </c>
      <c r="S112" s="7" t="s">
        <v>162</v>
      </c>
      <c r="T112" s="124" t="s">
        <v>535</v>
      </c>
      <c r="U112" s="1"/>
    </row>
    <row r="113" spans="1:21" ht="13.5" thickBot="1" x14ac:dyDescent="0.25">
      <c r="A113" s="123">
        <v>37</v>
      </c>
      <c r="B113" s="123">
        <v>0</v>
      </c>
      <c r="C113" s="123">
        <v>37</v>
      </c>
      <c r="D113" s="123">
        <v>19</v>
      </c>
      <c r="E113" s="123">
        <v>0</v>
      </c>
      <c r="F113" s="123">
        <v>19</v>
      </c>
      <c r="G113" s="123">
        <v>8</v>
      </c>
      <c r="H113" s="123">
        <v>0</v>
      </c>
      <c r="I113" s="123">
        <v>8</v>
      </c>
      <c r="J113" s="123">
        <v>6</v>
      </c>
      <c r="K113" s="123">
        <v>0</v>
      </c>
      <c r="L113" s="123">
        <v>6</v>
      </c>
      <c r="M113" s="123">
        <v>4</v>
      </c>
      <c r="N113" s="123">
        <v>0</v>
      </c>
      <c r="O113" s="123">
        <v>4</v>
      </c>
      <c r="P113" s="123">
        <v>0</v>
      </c>
      <c r="Q113" s="123">
        <v>0</v>
      </c>
      <c r="R113" s="123">
        <v>0</v>
      </c>
      <c r="S113" s="7" t="s">
        <v>13</v>
      </c>
      <c r="T113" s="9"/>
      <c r="U113" s="1"/>
    </row>
    <row r="114" spans="1:21" ht="13.5" thickBot="1" x14ac:dyDescent="0.25">
      <c r="A114" s="123">
        <v>87</v>
      </c>
      <c r="B114" s="123">
        <v>0</v>
      </c>
      <c r="C114" s="123">
        <v>87</v>
      </c>
      <c r="D114" s="123">
        <v>61</v>
      </c>
      <c r="E114" s="123">
        <v>0</v>
      </c>
      <c r="F114" s="123">
        <v>61</v>
      </c>
      <c r="G114" s="123">
        <v>16</v>
      </c>
      <c r="H114" s="123">
        <v>0</v>
      </c>
      <c r="I114" s="123">
        <v>16</v>
      </c>
      <c r="J114" s="123">
        <v>10</v>
      </c>
      <c r="K114" s="123">
        <v>0</v>
      </c>
      <c r="L114" s="123">
        <v>10</v>
      </c>
      <c r="M114" s="123">
        <v>0</v>
      </c>
      <c r="N114" s="123">
        <v>0</v>
      </c>
      <c r="O114" s="123">
        <v>0</v>
      </c>
      <c r="P114" s="123">
        <v>0</v>
      </c>
      <c r="Q114" s="123">
        <v>0</v>
      </c>
      <c r="R114" s="123">
        <v>0</v>
      </c>
      <c r="S114" s="7" t="s">
        <v>163</v>
      </c>
      <c r="T114" s="124"/>
      <c r="U114" s="1"/>
    </row>
    <row r="115" spans="1:21" ht="13.5" thickBot="1" x14ac:dyDescent="0.25">
      <c r="A115" s="123">
        <v>30</v>
      </c>
      <c r="B115" s="123">
        <v>0</v>
      </c>
      <c r="C115" s="123">
        <v>30</v>
      </c>
      <c r="D115" s="123">
        <v>4</v>
      </c>
      <c r="E115" s="123">
        <v>0</v>
      </c>
      <c r="F115" s="123">
        <v>4</v>
      </c>
      <c r="G115" s="123">
        <v>3</v>
      </c>
      <c r="H115" s="123">
        <v>0</v>
      </c>
      <c r="I115" s="123">
        <v>3</v>
      </c>
      <c r="J115" s="123">
        <v>10</v>
      </c>
      <c r="K115" s="123">
        <v>0</v>
      </c>
      <c r="L115" s="123">
        <v>10</v>
      </c>
      <c r="M115" s="123">
        <v>12</v>
      </c>
      <c r="N115" s="123">
        <v>0</v>
      </c>
      <c r="O115" s="123">
        <v>12</v>
      </c>
      <c r="P115" s="123">
        <v>1</v>
      </c>
      <c r="Q115" s="123">
        <v>0</v>
      </c>
      <c r="R115" s="123">
        <v>1</v>
      </c>
      <c r="S115" s="7" t="s">
        <v>162</v>
      </c>
      <c r="T115" s="124" t="s">
        <v>377</v>
      </c>
      <c r="U115" s="1"/>
    </row>
    <row r="116" spans="1:21" ht="13.5" thickBot="1" x14ac:dyDescent="0.25">
      <c r="A116" s="123">
        <v>117</v>
      </c>
      <c r="B116" s="123">
        <v>0</v>
      </c>
      <c r="C116" s="123">
        <v>117</v>
      </c>
      <c r="D116" s="123">
        <v>65</v>
      </c>
      <c r="E116" s="123">
        <v>0</v>
      </c>
      <c r="F116" s="123">
        <v>65</v>
      </c>
      <c r="G116" s="123">
        <v>19</v>
      </c>
      <c r="H116" s="123">
        <v>0</v>
      </c>
      <c r="I116" s="123">
        <v>19</v>
      </c>
      <c r="J116" s="123">
        <v>20</v>
      </c>
      <c r="K116" s="123">
        <v>0</v>
      </c>
      <c r="L116" s="123">
        <v>20</v>
      </c>
      <c r="M116" s="123">
        <v>12</v>
      </c>
      <c r="N116" s="123">
        <v>0</v>
      </c>
      <c r="O116" s="123">
        <v>12</v>
      </c>
      <c r="P116" s="123">
        <v>1</v>
      </c>
      <c r="Q116" s="123">
        <v>0</v>
      </c>
      <c r="R116" s="123">
        <v>1</v>
      </c>
      <c r="S116" s="7" t="s">
        <v>13</v>
      </c>
      <c r="T116" s="9"/>
      <c r="U116" s="1"/>
    </row>
    <row r="117" spans="1:21" ht="13.5" thickBot="1" x14ac:dyDescent="0.25">
      <c r="A117" s="123">
        <v>73</v>
      </c>
      <c r="B117" s="123">
        <v>31</v>
      </c>
      <c r="C117" s="123">
        <v>42</v>
      </c>
      <c r="D117" s="123">
        <v>30</v>
      </c>
      <c r="E117" s="123">
        <v>11</v>
      </c>
      <c r="F117" s="123">
        <v>19</v>
      </c>
      <c r="G117" s="123">
        <v>4</v>
      </c>
      <c r="H117" s="123">
        <v>1</v>
      </c>
      <c r="I117" s="123">
        <v>3</v>
      </c>
      <c r="J117" s="123">
        <v>35</v>
      </c>
      <c r="K117" s="123">
        <v>17</v>
      </c>
      <c r="L117" s="123">
        <v>18</v>
      </c>
      <c r="M117" s="123">
        <v>4</v>
      </c>
      <c r="N117" s="123">
        <v>2</v>
      </c>
      <c r="O117" s="123">
        <v>2</v>
      </c>
      <c r="P117" s="123">
        <v>0</v>
      </c>
      <c r="Q117" s="123">
        <v>0</v>
      </c>
      <c r="R117" s="123">
        <v>0</v>
      </c>
      <c r="S117" s="7" t="s">
        <v>163</v>
      </c>
      <c r="T117" s="124"/>
      <c r="U117" s="1"/>
    </row>
    <row r="118" spans="1:21" ht="13.5" thickBot="1" x14ac:dyDescent="0.25">
      <c r="A118" s="123">
        <v>24</v>
      </c>
      <c r="B118" s="123">
        <v>9</v>
      </c>
      <c r="C118" s="123">
        <v>15</v>
      </c>
      <c r="D118" s="123">
        <v>4</v>
      </c>
      <c r="E118" s="123">
        <v>1</v>
      </c>
      <c r="F118" s="123">
        <v>3</v>
      </c>
      <c r="G118" s="123">
        <v>1</v>
      </c>
      <c r="H118" s="123">
        <v>1</v>
      </c>
      <c r="I118" s="123">
        <v>0</v>
      </c>
      <c r="J118" s="123">
        <v>13</v>
      </c>
      <c r="K118" s="123">
        <v>3</v>
      </c>
      <c r="L118" s="123">
        <v>10</v>
      </c>
      <c r="M118" s="123">
        <v>5</v>
      </c>
      <c r="N118" s="123">
        <v>3</v>
      </c>
      <c r="O118" s="123">
        <v>2</v>
      </c>
      <c r="P118" s="123">
        <v>1</v>
      </c>
      <c r="Q118" s="123">
        <v>1</v>
      </c>
      <c r="R118" s="123">
        <v>0</v>
      </c>
      <c r="S118" s="7" t="s">
        <v>162</v>
      </c>
      <c r="T118" s="124" t="s">
        <v>536</v>
      </c>
      <c r="U118" s="1"/>
    </row>
    <row r="119" spans="1:21" ht="13.5" thickBot="1" x14ac:dyDescent="0.25">
      <c r="A119" s="123">
        <v>97</v>
      </c>
      <c r="B119" s="123">
        <v>40</v>
      </c>
      <c r="C119" s="123">
        <v>57</v>
      </c>
      <c r="D119" s="123">
        <v>34</v>
      </c>
      <c r="E119" s="123">
        <v>12</v>
      </c>
      <c r="F119" s="123">
        <v>22</v>
      </c>
      <c r="G119" s="123">
        <v>5</v>
      </c>
      <c r="H119" s="123">
        <v>2</v>
      </c>
      <c r="I119" s="123">
        <v>3</v>
      </c>
      <c r="J119" s="123">
        <v>48</v>
      </c>
      <c r="K119" s="123">
        <v>20</v>
      </c>
      <c r="L119" s="123">
        <v>28</v>
      </c>
      <c r="M119" s="123">
        <v>9</v>
      </c>
      <c r="N119" s="123">
        <v>5</v>
      </c>
      <c r="O119" s="123">
        <v>4</v>
      </c>
      <c r="P119" s="123">
        <v>1</v>
      </c>
      <c r="Q119" s="123">
        <v>1</v>
      </c>
      <c r="R119" s="123">
        <v>0</v>
      </c>
      <c r="S119" s="7" t="s">
        <v>13</v>
      </c>
      <c r="T119" s="9"/>
      <c r="U119" s="1"/>
    </row>
    <row r="120" spans="1:21" ht="13.5" thickBot="1" x14ac:dyDescent="0.25">
      <c r="A120" s="123">
        <v>13</v>
      </c>
      <c r="B120" s="123">
        <v>0</v>
      </c>
      <c r="C120" s="123">
        <v>13</v>
      </c>
      <c r="D120" s="123">
        <v>11</v>
      </c>
      <c r="E120" s="123">
        <v>0</v>
      </c>
      <c r="F120" s="123">
        <v>11</v>
      </c>
      <c r="G120" s="123">
        <v>2</v>
      </c>
      <c r="H120" s="123">
        <v>0</v>
      </c>
      <c r="I120" s="123">
        <v>2</v>
      </c>
      <c r="J120" s="123">
        <v>0</v>
      </c>
      <c r="K120" s="123">
        <v>0</v>
      </c>
      <c r="L120" s="123">
        <v>0</v>
      </c>
      <c r="M120" s="123">
        <v>0</v>
      </c>
      <c r="N120" s="123">
        <v>0</v>
      </c>
      <c r="O120" s="123">
        <v>0</v>
      </c>
      <c r="P120" s="123">
        <v>0</v>
      </c>
      <c r="Q120" s="123">
        <v>0</v>
      </c>
      <c r="R120" s="123">
        <v>0</v>
      </c>
      <c r="S120" s="7" t="s">
        <v>163</v>
      </c>
      <c r="T120" s="124"/>
      <c r="U120" s="1"/>
    </row>
    <row r="121" spans="1:21" ht="13.5" thickBot="1" x14ac:dyDescent="0.25">
      <c r="A121" s="123">
        <v>0</v>
      </c>
      <c r="B121" s="123">
        <v>0</v>
      </c>
      <c r="C121" s="123">
        <v>0</v>
      </c>
      <c r="D121" s="123">
        <v>0</v>
      </c>
      <c r="E121" s="123">
        <v>0</v>
      </c>
      <c r="F121" s="123">
        <v>0</v>
      </c>
      <c r="G121" s="123">
        <v>0</v>
      </c>
      <c r="H121" s="123">
        <v>0</v>
      </c>
      <c r="I121" s="123">
        <v>0</v>
      </c>
      <c r="J121" s="123">
        <v>0</v>
      </c>
      <c r="K121" s="123">
        <v>0</v>
      </c>
      <c r="L121" s="123">
        <v>0</v>
      </c>
      <c r="M121" s="123">
        <v>0</v>
      </c>
      <c r="N121" s="123">
        <v>0</v>
      </c>
      <c r="O121" s="123">
        <v>0</v>
      </c>
      <c r="P121" s="123">
        <v>0</v>
      </c>
      <c r="Q121" s="123">
        <v>0</v>
      </c>
      <c r="R121" s="123">
        <v>0</v>
      </c>
      <c r="S121" s="7" t="s">
        <v>162</v>
      </c>
      <c r="T121" s="124" t="s">
        <v>245</v>
      </c>
      <c r="U121" s="1"/>
    </row>
    <row r="122" spans="1:21" ht="13.5" thickBot="1" x14ac:dyDescent="0.25">
      <c r="A122" s="123">
        <v>13</v>
      </c>
      <c r="B122" s="123">
        <v>0</v>
      </c>
      <c r="C122" s="123">
        <v>13</v>
      </c>
      <c r="D122" s="123">
        <v>11</v>
      </c>
      <c r="E122" s="123">
        <v>0</v>
      </c>
      <c r="F122" s="123">
        <v>11</v>
      </c>
      <c r="G122" s="123">
        <v>2</v>
      </c>
      <c r="H122" s="123">
        <v>0</v>
      </c>
      <c r="I122" s="123">
        <v>2</v>
      </c>
      <c r="J122" s="123">
        <v>0</v>
      </c>
      <c r="K122" s="123">
        <v>0</v>
      </c>
      <c r="L122" s="123">
        <v>0</v>
      </c>
      <c r="M122" s="123">
        <v>0</v>
      </c>
      <c r="N122" s="123">
        <v>0</v>
      </c>
      <c r="O122" s="123">
        <v>0</v>
      </c>
      <c r="P122" s="123">
        <v>0</v>
      </c>
      <c r="Q122" s="123">
        <v>0</v>
      </c>
      <c r="R122" s="123">
        <v>0</v>
      </c>
      <c r="S122" s="7" t="s">
        <v>13</v>
      </c>
      <c r="T122" s="9"/>
      <c r="U122" s="1"/>
    </row>
    <row r="123" spans="1:21" ht="13.5" thickBot="1" x14ac:dyDescent="0.25">
      <c r="A123" s="123">
        <v>31</v>
      </c>
      <c r="B123" s="123">
        <v>14</v>
      </c>
      <c r="C123" s="123">
        <v>17</v>
      </c>
      <c r="D123" s="123">
        <v>19</v>
      </c>
      <c r="E123" s="123">
        <v>6</v>
      </c>
      <c r="F123" s="123">
        <v>13</v>
      </c>
      <c r="G123" s="123">
        <v>2</v>
      </c>
      <c r="H123" s="123">
        <v>0</v>
      </c>
      <c r="I123" s="123">
        <v>2</v>
      </c>
      <c r="J123" s="123">
        <v>9</v>
      </c>
      <c r="K123" s="123">
        <v>7</v>
      </c>
      <c r="L123" s="123">
        <v>2</v>
      </c>
      <c r="M123" s="123">
        <v>0</v>
      </c>
      <c r="N123" s="123">
        <v>0</v>
      </c>
      <c r="O123" s="123">
        <v>0</v>
      </c>
      <c r="P123" s="123">
        <v>1</v>
      </c>
      <c r="Q123" s="123">
        <v>1</v>
      </c>
      <c r="R123" s="123">
        <v>0</v>
      </c>
      <c r="S123" s="7" t="s">
        <v>163</v>
      </c>
      <c r="T123" s="124"/>
      <c r="U123" s="1"/>
    </row>
    <row r="124" spans="1:21" ht="13.5" thickBot="1" x14ac:dyDescent="0.25">
      <c r="A124" s="123">
        <v>0</v>
      </c>
      <c r="B124" s="123">
        <v>0</v>
      </c>
      <c r="C124" s="123">
        <v>0</v>
      </c>
      <c r="D124" s="123">
        <v>0</v>
      </c>
      <c r="E124" s="123">
        <v>0</v>
      </c>
      <c r="F124" s="123">
        <v>0</v>
      </c>
      <c r="G124" s="123">
        <v>0</v>
      </c>
      <c r="H124" s="123">
        <v>0</v>
      </c>
      <c r="I124" s="123">
        <v>0</v>
      </c>
      <c r="J124" s="123">
        <v>0</v>
      </c>
      <c r="K124" s="123">
        <v>0</v>
      </c>
      <c r="L124" s="123">
        <v>0</v>
      </c>
      <c r="M124" s="123">
        <v>0</v>
      </c>
      <c r="N124" s="123">
        <v>0</v>
      </c>
      <c r="O124" s="123">
        <v>0</v>
      </c>
      <c r="P124" s="123">
        <v>0</v>
      </c>
      <c r="Q124" s="123">
        <v>0</v>
      </c>
      <c r="R124" s="123">
        <v>0</v>
      </c>
      <c r="S124" s="7" t="s">
        <v>162</v>
      </c>
      <c r="T124" s="124" t="s">
        <v>77</v>
      </c>
      <c r="U124" s="1"/>
    </row>
    <row r="125" spans="1:21" ht="13.5" thickBot="1" x14ac:dyDescent="0.25">
      <c r="A125" s="123">
        <v>31</v>
      </c>
      <c r="B125" s="123">
        <v>14</v>
      </c>
      <c r="C125" s="123">
        <v>17</v>
      </c>
      <c r="D125" s="123">
        <v>19</v>
      </c>
      <c r="E125" s="123">
        <v>6</v>
      </c>
      <c r="F125" s="123">
        <v>13</v>
      </c>
      <c r="G125" s="123">
        <v>2</v>
      </c>
      <c r="H125" s="123">
        <v>0</v>
      </c>
      <c r="I125" s="123">
        <v>2</v>
      </c>
      <c r="J125" s="123">
        <v>9</v>
      </c>
      <c r="K125" s="123">
        <v>7</v>
      </c>
      <c r="L125" s="123">
        <v>2</v>
      </c>
      <c r="M125" s="123">
        <v>0</v>
      </c>
      <c r="N125" s="123">
        <v>0</v>
      </c>
      <c r="O125" s="123">
        <v>0</v>
      </c>
      <c r="P125" s="123">
        <v>1</v>
      </c>
      <c r="Q125" s="123">
        <v>1</v>
      </c>
      <c r="R125" s="123">
        <v>0</v>
      </c>
      <c r="S125" s="7" t="s">
        <v>13</v>
      </c>
      <c r="T125" s="9"/>
      <c r="U125" s="1"/>
    </row>
    <row r="126" spans="1:21" ht="13.5" thickBot="1" x14ac:dyDescent="0.25">
      <c r="A126" s="123">
        <v>18</v>
      </c>
      <c r="B126" s="123">
        <v>0</v>
      </c>
      <c r="C126" s="123">
        <v>18</v>
      </c>
      <c r="D126" s="123">
        <v>13</v>
      </c>
      <c r="E126" s="123">
        <v>0</v>
      </c>
      <c r="F126" s="123">
        <v>13</v>
      </c>
      <c r="G126" s="123">
        <v>2</v>
      </c>
      <c r="H126" s="123">
        <v>0</v>
      </c>
      <c r="I126" s="123">
        <v>2</v>
      </c>
      <c r="J126" s="123">
        <v>3</v>
      </c>
      <c r="K126" s="123">
        <v>0</v>
      </c>
      <c r="L126" s="123">
        <v>3</v>
      </c>
      <c r="M126" s="123">
        <v>0</v>
      </c>
      <c r="N126" s="123">
        <v>0</v>
      </c>
      <c r="O126" s="123">
        <v>0</v>
      </c>
      <c r="P126" s="123">
        <v>0</v>
      </c>
      <c r="Q126" s="123">
        <v>0</v>
      </c>
      <c r="R126" s="123">
        <v>0</v>
      </c>
      <c r="S126" s="7" t="s">
        <v>163</v>
      </c>
      <c r="T126" s="124"/>
      <c r="U126" s="1"/>
    </row>
    <row r="127" spans="1:21" ht="13.5" thickBot="1" x14ac:dyDescent="0.25">
      <c r="A127" s="123">
        <v>0</v>
      </c>
      <c r="B127" s="123">
        <v>0</v>
      </c>
      <c r="C127" s="123">
        <v>0</v>
      </c>
      <c r="D127" s="123">
        <v>0</v>
      </c>
      <c r="E127" s="123">
        <v>0</v>
      </c>
      <c r="F127" s="123">
        <v>0</v>
      </c>
      <c r="G127" s="123">
        <v>0</v>
      </c>
      <c r="H127" s="123">
        <v>0</v>
      </c>
      <c r="I127" s="123">
        <v>0</v>
      </c>
      <c r="J127" s="123">
        <v>0</v>
      </c>
      <c r="K127" s="123">
        <v>0</v>
      </c>
      <c r="L127" s="123">
        <v>0</v>
      </c>
      <c r="M127" s="123">
        <v>0</v>
      </c>
      <c r="N127" s="123">
        <v>0</v>
      </c>
      <c r="O127" s="123">
        <v>0</v>
      </c>
      <c r="P127" s="123">
        <v>0</v>
      </c>
      <c r="Q127" s="123">
        <v>0</v>
      </c>
      <c r="R127" s="123">
        <v>0</v>
      </c>
      <c r="S127" s="7" t="s">
        <v>162</v>
      </c>
      <c r="T127" s="124" t="s">
        <v>90</v>
      </c>
      <c r="U127" s="1"/>
    </row>
    <row r="128" spans="1:21" ht="13.5" thickBot="1" x14ac:dyDescent="0.25">
      <c r="A128" s="123">
        <v>18</v>
      </c>
      <c r="B128" s="123">
        <v>0</v>
      </c>
      <c r="C128" s="123">
        <v>18</v>
      </c>
      <c r="D128" s="123">
        <v>13</v>
      </c>
      <c r="E128" s="123">
        <v>0</v>
      </c>
      <c r="F128" s="123">
        <v>13</v>
      </c>
      <c r="G128" s="123">
        <v>2</v>
      </c>
      <c r="H128" s="123">
        <v>0</v>
      </c>
      <c r="I128" s="123">
        <v>2</v>
      </c>
      <c r="J128" s="123">
        <v>3</v>
      </c>
      <c r="K128" s="123">
        <v>0</v>
      </c>
      <c r="L128" s="123">
        <v>3</v>
      </c>
      <c r="M128" s="123">
        <v>0</v>
      </c>
      <c r="N128" s="123">
        <v>0</v>
      </c>
      <c r="O128" s="123">
        <v>0</v>
      </c>
      <c r="P128" s="123">
        <v>0</v>
      </c>
      <c r="Q128" s="123">
        <v>0</v>
      </c>
      <c r="R128" s="123">
        <v>0</v>
      </c>
      <c r="S128" s="7" t="s">
        <v>13</v>
      </c>
      <c r="T128" s="9"/>
      <c r="U128" s="1"/>
    </row>
    <row r="129" spans="1:21" ht="13.5" thickBot="1" x14ac:dyDescent="0.25">
      <c r="A129" s="123">
        <v>1658</v>
      </c>
      <c r="B129" s="123">
        <v>479</v>
      </c>
      <c r="C129" s="123">
        <v>1179</v>
      </c>
      <c r="D129" s="123">
        <v>784</v>
      </c>
      <c r="E129" s="123">
        <v>177</v>
      </c>
      <c r="F129" s="123">
        <v>607</v>
      </c>
      <c r="G129" s="123">
        <v>204</v>
      </c>
      <c r="H129" s="123">
        <v>40</v>
      </c>
      <c r="I129" s="123">
        <v>164</v>
      </c>
      <c r="J129" s="123">
        <v>628</v>
      </c>
      <c r="K129" s="123">
        <v>249</v>
      </c>
      <c r="L129" s="123">
        <v>379</v>
      </c>
      <c r="M129" s="123">
        <v>40</v>
      </c>
      <c r="N129" s="123">
        <v>13</v>
      </c>
      <c r="O129" s="123">
        <v>27</v>
      </c>
      <c r="P129" s="123">
        <v>2</v>
      </c>
      <c r="Q129" s="123">
        <v>0</v>
      </c>
      <c r="R129" s="123">
        <v>2</v>
      </c>
      <c r="S129" s="7" t="s">
        <v>163</v>
      </c>
      <c r="T129" s="124"/>
      <c r="U129" s="1"/>
    </row>
    <row r="130" spans="1:21" ht="13.5" thickBot="1" x14ac:dyDescent="0.25">
      <c r="A130" s="123">
        <v>78</v>
      </c>
      <c r="B130" s="123">
        <v>5</v>
      </c>
      <c r="C130" s="123">
        <v>73</v>
      </c>
      <c r="D130" s="123">
        <v>11</v>
      </c>
      <c r="E130" s="123">
        <v>1</v>
      </c>
      <c r="F130" s="123">
        <v>10</v>
      </c>
      <c r="G130" s="123">
        <v>9</v>
      </c>
      <c r="H130" s="123">
        <v>0</v>
      </c>
      <c r="I130" s="123">
        <v>9</v>
      </c>
      <c r="J130" s="123">
        <v>48</v>
      </c>
      <c r="K130" s="123">
        <v>4</v>
      </c>
      <c r="L130" s="123">
        <v>44</v>
      </c>
      <c r="M130" s="123">
        <v>9</v>
      </c>
      <c r="N130" s="123">
        <v>0</v>
      </c>
      <c r="O130" s="123">
        <v>9</v>
      </c>
      <c r="P130" s="123">
        <v>1</v>
      </c>
      <c r="Q130" s="123">
        <v>0</v>
      </c>
      <c r="R130" s="123">
        <v>1</v>
      </c>
      <c r="S130" s="7" t="s">
        <v>162</v>
      </c>
      <c r="T130" s="124" t="s">
        <v>626</v>
      </c>
      <c r="U130" s="1"/>
    </row>
    <row r="131" spans="1:21" ht="13.5" thickBot="1" x14ac:dyDescent="0.25">
      <c r="A131" s="123">
        <v>1736</v>
      </c>
      <c r="B131" s="123">
        <v>484</v>
      </c>
      <c r="C131" s="123">
        <v>1252</v>
      </c>
      <c r="D131" s="123">
        <v>795</v>
      </c>
      <c r="E131" s="123">
        <v>178</v>
      </c>
      <c r="F131" s="123">
        <v>617</v>
      </c>
      <c r="G131" s="123">
        <v>213</v>
      </c>
      <c r="H131" s="123">
        <v>40</v>
      </c>
      <c r="I131" s="123">
        <v>173</v>
      </c>
      <c r="J131" s="123">
        <v>676</v>
      </c>
      <c r="K131" s="123">
        <v>253</v>
      </c>
      <c r="L131" s="123">
        <v>423</v>
      </c>
      <c r="M131" s="123">
        <v>49</v>
      </c>
      <c r="N131" s="123">
        <v>13</v>
      </c>
      <c r="O131" s="123">
        <v>36</v>
      </c>
      <c r="P131" s="123">
        <v>3</v>
      </c>
      <c r="Q131" s="123">
        <v>0</v>
      </c>
      <c r="R131" s="123">
        <v>3</v>
      </c>
      <c r="S131" s="7" t="s">
        <v>13</v>
      </c>
      <c r="T131" s="9"/>
      <c r="U131" s="1"/>
    </row>
    <row r="132" spans="1:21" ht="13.5" thickBot="1" x14ac:dyDescent="0.25">
      <c r="A132" s="123">
        <v>886</v>
      </c>
      <c r="B132" s="123">
        <v>313</v>
      </c>
      <c r="C132" s="123">
        <v>573</v>
      </c>
      <c r="D132" s="123">
        <v>229</v>
      </c>
      <c r="E132" s="123">
        <v>40</v>
      </c>
      <c r="F132" s="123">
        <v>189</v>
      </c>
      <c r="G132" s="123">
        <v>200</v>
      </c>
      <c r="H132" s="123">
        <v>60</v>
      </c>
      <c r="I132" s="123">
        <v>140</v>
      </c>
      <c r="J132" s="123">
        <v>390</v>
      </c>
      <c r="K132" s="123">
        <v>180</v>
      </c>
      <c r="L132" s="123">
        <v>210</v>
      </c>
      <c r="M132" s="123">
        <v>27</v>
      </c>
      <c r="N132" s="123">
        <v>16</v>
      </c>
      <c r="O132" s="123">
        <v>11</v>
      </c>
      <c r="P132" s="123">
        <v>40</v>
      </c>
      <c r="Q132" s="123">
        <v>17</v>
      </c>
      <c r="R132" s="123">
        <v>23</v>
      </c>
      <c r="S132" s="7" t="s">
        <v>163</v>
      </c>
      <c r="T132" s="124"/>
      <c r="U132" s="1"/>
    </row>
    <row r="133" spans="1:21" ht="13.5" thickBot="1" x14ac:dyDescent="0.25">
      <c r="A133" s="123">
        <v>1943</v>
      </c>
      <c r="B133" s="123">
        <v>1324</v>
      </c>
      <c r="C133" s="123">
        <v>619</v>
      </c>
      <c r="D133" s="123">
        <v>192</v>
      </c>
      <c r="E133" s="123">
        <v>62</v>
      </c>
      <c r="F133" s="123">
        <v>130</v>
      </c>
      <c r="G133" s="123">
        <v>1346</v>
      </c>
      <c r="H133" s="123">
        <v>1142</v>
      </c>
      <c r="I133" s="123">
        <v>204</v>
      </c>
      <c r="J133" s="123">
        <v>225</v>
      </c>
      <c r="K133" s="123">
        <v>83</v>
      </c>
      <c r="L133" s="123">
        <v>142</v>
      </c>
      <c r="M133" s="123">
        <v>72</v>
      </c>
      <c r="N133" s="123">
        <v>19</v>
      </c>
      <c r="O133" s="123">
        <v>53</v>
      </c>
      <c r="P133" s="123">
        <v>108</v>
      </c>
      <c r="Q133" s="123">
        <v>18</v>
      </c>
      <c r="R133" s="123">
        <v>90</v>
      </c>
      <c r="S133" s="7" t="s">
        <v>162</v>
      </c>
      <c r="T133" s="124" t="s">
        <v>627</v>
      </c>
      <c r="U133" s="1"/>
    </row>
    <row r="134" spans="1:21" ht="13.5" thickBot="1" x14ac:dyDescent="0.25">
      <c r="A134" s="123">
        <v>2829</v>
      </c>
      <c r="B134" s="123">
        <v>1637</v>
      </c>
      <c r="C134" s="123">
        <v>1192</v>
      </c>
      <c r="D134" s="123">
        <v>421</v>
      </c>
      <c r="E134" s="123">
        <v>102</v>
      </c>
      <c r="F134" s="123">
        <v>319</v>
      </c>
      <c r="G134" s="123">
        <v>1546</v>
      </c>
      <c r="H134" s="123">
        <v>1202</v>
      </c>
      <c r="I134" s="123">
        <v>344</v>
      </c>
      <c r="J134" s="123">
        <v>615</v>
      </c>
      <c r="K134" s="123">
        <v>263</v>
      </c>
      <c r="L134" s="123">
        <v>352</v>
      </c>
      <c r="M134" s="123">
        <v>99</v>
      </c>
      <c r="N134" s="123">
        <v>35</v>
      </c>
      <c r="O134" s="123">
        <v>64</v>
      </c>
      <c r="P134" s="123">
        <v>148</v>
      </c>
      <c r="Q134" s="123">
        <v>35</v>
      </c>
      <c r="R134" s="123">
        <v>113</v>
      </c>
      <c r="S134" s="7" t="s">
        <v>13</v>
      </c>
      <c r="T134" s="9"/>
      <c r="U134" s="1"/>
    </row>
    <row r="135" spans="1:21" ht="13.5" thickBot="1" x14ac:dyDescent="0.25">
      <c r="A135" s="123">
        <v>293</v>
      </c>
      <c r="B135" s="123">
        <v>90</v>
      </c>
      <c r="C135" s="123">
        <v>203</v>
      </c>
      <c r="D135" s="123">
        <v>145</v>
      </c>
      <c r="E135" s="123">
        <v>20</v>
      </c>
      <c r="F135" s="123">
        <v>125</v>
      </c>
      <c r="G135" s="123">
        <v>47</v>
      </c>
      <c r="H135" s="123">
        <v>17</v>
      </c>
      <c r="I135" s="123">
        <v>30</v>
      </c>
      <c r="J135" s="123">
        <v>91</v>
      </c>
      <c r="K135" s="123">
        <v>48</v>
      </c>
      <c r="L135" s="123">
        <v>43</v>
      </c>
      <c r="M135" s="123">
        <v>4</v>
      </c>
      <c r="N135" s="123">
        <v>1</v>
      </c>
      <c r="O135" s="123">
        <v>3</v>
      </c>
      <c r="P135" s="123">
        <v>6</v>
      </c>
      <c r="Q135" s="123">
        <v>4</v>
      </c>
      <c r="R135" s="123">
        <v>2</v>
      </c>
      <c r="S135" s="7" t="s">
        <v>163</v>
      </c>
      <c r="T135" s="124"/>
      <c r="U135" s="1"/>
    </row>
    <row r="136" spans="1:21" ht="13.5" thickBot="1" x14ac:dyDescent="0.25">
      <c r="A136" s="123">
        <v>444</v>
      </c>
      <c r="B136" s="123">
        <v>305</v>
      </c>
      <c r="C136" s="123">
        <v>139</v>
      </c>
      <c r="D136" s="123">
        <v>57</v>
      </c>
      <c r="E136" s="123">
        <v>30</v>
      </c>
      <c r="F136" s="123">
        <v>27</v>
      </c>
      <c r="G136" s="123">
        <v>169</v>
      </c>
      <c r="H136" s="123">
        <v>130</v>
      </c>
      <c r="I136" s="123">
        <v>39</v>
      </c>
      <c r="J136" s="123">
        <v>181</v>
      </c>
      <c r="K136" s="123">
        <v>133</v>
      </c>
      <c r="L136" s="123">
        <v>48</v>
      </c>
      <c r="M136" s="123">
        <v>23</v>
      </c>
      <c r="N136" s="123">
        <v>11</v>
      </c>
      <c r="O136" s="123">
        <v>12</v>
      </c>
      <c r="P136" s="123">
        <v>14</v>
      </c>
      <c r="Q136" s="123">
        <v>1</v>
      </c>
      <c r="R136" s="123">
        <v>13</v>
      </c>
      <c r="S136" s="7" t="s">
        <v>162</v>
      </c>
      <c r="T136" s="124" t="s">
        <v>651</v>
      </c>
      <c r="U136" s="1"/>
    </row>
    <row r="137" spans="1:21" ht="13.5" thickBot="1" x14ac:dyDescent="0.25">
      <c r="A137" s="123">
        <v>737</v>
      </c>
      <c r="B137" s="123">
        <v>395</v>
      </c>
      <c r="C137" s="123">
        <v>342</v>
      </c>
      <c r="D137" s="123">
        <v>202</v>
      </c>
      <c r="E137" s="123">
        <v>50</v>
      </c>
      <c r="F137" s="123">
        <v>152</v>
      </c>
      <c r="G137" s="123">
        <v>216</v>
      </c>
      <c r="H137" s="123">
        <v>147</v>
      </c>
      <c r="I137" s="123">
        <v>69</v>
      </c>
      <c r="J137" s="123">
        <v>272</v>
      </c>
      <c r="K137" s="123">
        <v>181</v>
      </c>
      <c r="L137" s="123">
        <v>91</v>
      </c>
      <c r="M137" s="123">
        <v>27</v>
      </c>
      <c r="N137" s="123">
        <v>12</v>
      </c>
      <c r="O137" s="123">
        <v>15</v>
      </c>
      <c r="P137" s="123">
        <v>20</v>
      </c>
      <c r="Q137" s="123">
        <v>5</v>
      </c>
      <c r="R137" s="123">
        <v>15</v>
      </c>
      <c r="S137" s="7" t="s">
        <v>13</v>
      </c>
      <c r="T137" s="9"/>
      <c r="U137" s="1"/>
    </row>
    <row r="138" spans="1:21" ht="13.5" thickBot="1" x14ac:dyDescent="0.25">
      <c r="A138" s="123">
        <v>25</v>
      </c>
      <c r="B138" s="123">
        <v>17</v>
      </c>
      <c r="C138" s="123">
        <v>8</v>
      </c>
      <c r="D138" s="123">
        <v>10</v>
      </c>
      <c r="E138" s="123">
        <v>5</v>
      </c>
      <c r="F138" s="123">
        <v>5</v>
      </c>
      <c r="G138" s="123">
        <v>3</v>
      </c>
      <c r="H138" s="123">
        <v>0</v>
      </c>
      <c r="I138" s="123">
        <v>3</v>
      </c>
      <c r="J138" s="123">
        <v>12</v>
      </c>
      <c r="K138" s="123">
        <v>12</v>
      </c>
      <c r="L138" s="123">
        <v>0</v>
      </c>
      <c r="M138" s="123">
        <v>0</v>
      </c>
      <c r="N138" s="123">
        <v>0</v>
      </c>
      <c r="O138" s="123">
        <v>0</v>
      </c>
      <c r="P138" s="123">
        <v>0</v>
      </c>
      <c r="Q138" s="123">
        <v>0</v>
      </c>
      <c r="R138" s="123">
        <v>0</v>
      </c>
      <c r="S138" s="7" t="s">
        <v>163</v>
      </c>
      <c r="T138" s="124"/>
      <c r="U138" s="1"/>
    </row>
    <row r="139" spans="1:21" ht="13.5" thickBot="1" x14ac:dyDescent="0.25">
      <c r="A139" s="123">
        <v>2</v>
      </c>
      <c r="B139" s="123">
        <v>2</v>
      </c>
      <c r="C139" s="123">
        <v>0</v>
      </c>
      <c r="D139" s="123">
        <v>0</v>
      </c>
      <c r="E139" s="123">
        <v>0</v>
      </c>
      <c r="F139" s="123">
        <v>0</v>
      </c>
      <c r="G139" s="123">
        <v>1</v>
      </c>
      <c r="H139" s="123">
        <v>1</v>
      </c>
      <c r="I139" s="123">
        <v>0</v>
      </c>
      <c r="J139" s="123">
        <v>0</v>
      </c>
      <c r="K139" s="123">
        <v>0</v>
      </c>
      <c r="L139" s="123">
        <v>0</v>
      </c>
      <c r="M139" s="123">
        <v>1</v>
      </c>
      <c r="N139" s="123">
        <v>1</v>
      </c>
      <c r="O139" s="123">
        <v>0</v>
      </c>
      <c r="P139" s="123">
        <v>0</v>
      </c>
      <c r="Q139" s="123">
        <v>0</v>
      </c>
      <c r="R139" s="123">
        <v>0</v>
      </c>
      <c r="S139" s="7" t="s">
        <v>162</v>
      </c>
      <c r="T139" s="124" t="s">
        <v>367</v>
      </c>
      <c r="U139" s="1"/>
    </row>
    <row r="140" spans="1:21" ht="13.5" thickBot="1" x14ac:dyDescent="0.25">
      <c r="A140" s="123">
        <v>27</v>
      </c>
      <c r="B140" s="123">
        <v>19</v>
      </c>
      <c r="C140" s="123">
        <v>8</v>
      </c>
      <c r="D140" s="123">
        <v>10</v>
      </c>
      <c r="E140" s="123">
        <v>5</v>
      </c>
      <c r="F140" s="123">
        <v>5</v>
      </c>
      <c r="G140" s="123">
        <v>4</v>
      </c>
      <c r="H140" s="123">
        <v>1</v>
      </c>
      <c r="I140" s="123">
        <v>3</v>
      </c>
      <c r="J140" s="123">
        <v>12</v>
      </c>
      <c r="K140" s="123">
        <v>12</v>
      </c>
      <c r="L140" s="123">
        <v>0</v>
      </c>
      <c r="M140" s="123">
        <v>1</v>
      </c>
      <c r="N140" s="123">
        <v>1</v>
      </c>
      <c r="O140" s="123">
        <v>0</v>
      </c>
      <c r="P140" s="123">
        <v>0</v>
      </c>
      <c r="Q140" s="123">
        <v>0</v>
      </c>
      <c r="R140" s="123">
        <v>0</v>
      </c>
      <c r="S140" s="7" t="s">
        <v>13</v>
      </c>
      <c r="T140" s="9"/>
      <c r="U140" s="1"/>
    </row>
    <row r="141" spans="1:21" ht="13.5" thickBot="1" x14ac:dyDescent="0.25">
      <c r="A141" s="123">
        <v>14</v>
      </c>
      <c r="B141" s="123">
        <v>0</v>
      </c>
      <c r="C141" s="123">
        <v>14</v>
      </c>
      <c r="D141" s="123">
        <v>8</v>
      </c>
      <c r="E141" s="123">
        <v>0</v>
      </c>
      <c r="F141" s="123">
        <v>8</v>
      </c>
      <c r="G141" s="123">
        <v>2</v>
      </c>
      <c r="H141" s="123">
        <v>0</v>
      </c>
      <c r="I141" s="123">
        <v>2</v>
      </c>
      <c r="J141" s="123">
        <v>4</v>
      </c>
      <c r="K141" s="123">
        <v>0</v>
      </c>
      <c r="L141" s="123">
        <v>4</v>
      </c>
      <c r="M141" s="123">
        <v>0</v>
      </c>
      <c r="N141" s="123">
        <v>0</v>
      </c>
      <c r="O141" s="123">
        <v>0</v>
      </c>
      <c r="P141" s="123">
        <v>0</v>
      </c>
      <c r="Q141" s="123">
        <v>0</v>
      </c>
      <c r="R141" s="123">
        <v>0</v>
      </c>
      <c r="S141" s="7" t="s">
        <v>163</v>
      </c>
      <c r="T141" s="124"/>
      <c r="U141" s="1"/>
    </row>
    <row r="142" spans="1:21" ht="13.5" thickBot="1" x14ac:dyDescent="0.25">
      <c r="A142" s="123">
        <v>0</v>
      </c>
      <c r="B142" s="123">
        <v>0</v>
      </c>
      <c r="C142" s="123">
        <v>0</v>
      </c>
      <c r="D142" s="123">
        <v>0</v>
      </c>
      <c r="E142" s="123">
        <v>0</v>
      </c>
      <c r="F142" s="123">
        <v>0</v>
      </c>
      <c r="G142" s="123">
        <v>0</v>
      </c>
      <c r="H142" s="123">
        <v>0</v>
      </c>
      <c r="I142" s="123">
        <v>0</v>
      </c>
      <c r="J142" s="123">
        <v>0</v>
      </c>
      <c r="K142" s="123">
        <v>0</v>
      </c>
      <c r="L142" s="123">
        <v>0</v>
      </c>
      <c r="M142" s="123">
        <v>0</v>
      </c>
      <c r="N142" s="123">
        <v>0</v>
      </c>
      <c r="O142" s="123">
        <v>0</v>
      </c>
      <c r="P142" s="123">
        <v>0</v>
      </c>
      <c r="Q142" s="123">
        <v>0</v>
      </c>
      <c r="R142" s="123">
        <v>0</v>
      </c>
      <c r="S142" s="7" t="s">
        <v>162</v>
      </c>
      <c r="T142" s="124" t="s">
        <v>91</v>
      </c>
      <c r="U142" s="1"/>
    </row>
    <row r="143" spans="1:21" ht="13.5" thickBot="1" x14ac:dyDescent="0.25">
      <c r="A143" s="123">
        <v>14</v>
      </c>
      <c r="B143" s="123">
        <v>0</v>
      </c>
      <c r="C143" s="123">
        <v>14</v>
      </c>
      <c r="D143" s="123">
        <v>8</v>
      </c>
      <c r="E143" s="123">
        <v>0</v>
      </c>
      <c r="F143" s="123">
        <v>8</v>
      </c>
      <c r="G143" s="123">
        <v>2</v>
      </c>
      <c r="H143" s="123">
        <v>0</v>
      </c>
      <c r="I143" s="123">
        <v>2</v>
      </c>
      <c r="J143" s="123">
        <v>4</v>
      </c>
      <c r="K143" s="123">
        <v>0</v>
      </c>
      <c r="L143" s="123">
        <v>4</v>
      </c>
      <c r="M143" s="123">
        <v>0</v>
      </c>
      <c r="N143" s="123">
        <v>0</v>
      </c>
      <c r="O143" s="123">
        <v>0</v>
      </c>
      <c r="P143" s="123">
        <v>0</v>
      </c>
      <c r="Q143" s="123">
        <v>0</v>
      </c>
      <c r="R143" s="123">
        <v>0</v>
      </c>
      <c r="S143" s="7" t="s">
        <v>13</v>
      </c>
      <c r="T143" s="9"/>
      <c r="U143" s="1"/>
    </row>
    <row r="144" spans="1:21" ht="13.5" thickBot="1" x14ac:dyDescent="0.25">
      <c r="A144" s="123">
        <v>19</v>
      </c>
      <c r="B144" s="123">
        <v>0</v>
      </c>
      <c r="C144" s="123">
        <v>19</v>
      </c>
      <c r="D144" s="123">
        <v>15</v>
      </c>
      <c r="E144" s="123">
        <v>0</v>
      </c>
      <c r="F144" s="123">
        <v>15</v>
      </c>
      <c r="G144" s="123">
        <v>2</v>
      </c>
      <c r="H144" s="123">
        <v>0</v>
      </c>
      <c r="I144" s="123">
        <v>2</v>
      </c>
      <c r="J144" s="123">
        <v>2</v>
      </c>
      <c r="K144" s="123">
        <v>0</v>
      </c>
      <c r="L144" s="123">
        <v>2</v>
      </c>
      <c r="M144" s="123">
        <v>0</v>
      </c>
      <c r="N144" s="123">
        <v>0</v>
      </c>
      <c r="O144" s="123">
        <v>0</v>
      </c>
      <c r="P144" s="123">
        <v>0</v>
      </c>
      <c r="Q144" s="123">
        <v>0</v>
      </c>
      <c r="R144" s="123">
        <v>0</v>
      </c>
      <c r="S144" s="7" t="s">
        <v>163</v>
      </c>
      <c r="T144" s="124"/>
      <c r="U144" s="1"/>
    </row>
    <row r="145" spans="1:21" ht="13.5" thickBot="1" x14ac:dyDescent="0.25">
      <c r="A145" s="123">
        <v>0</v>
      </c>
      <c r="B145" s="123">
        <v>0</v>
      </c>
      <c r="C145" s="123">
        <v>0</v>
      </c>
      <c r="D145" s="123">
        <v>0</v>
      </c>
      <c r="E145" s="123">
        <v>0</v>
      </c>
      <c r="F145" s="123">
        <v>0</v>
      </c>
      <c r="G145" s="123">
        <v>0</v>
      </c>
      <c r="H145" s="123">
        <v>0</v>
      </c>
      <c r="I145" s="123">
        <v>0</v>
      </c>
      <c r="J145" s="123">
        <v>0</v>
      </c>
      <c r="K145" s="123">
        <v>0</v>
      </c>
      <c r="L145" s="123">
        <v>0</v>
      </c>
      <c r="M145" s="123">
        <v>0</v>
      </c>
      <c r="N145" s="123">
        <v>0</v>
      </c>
      <c r="O145" s="123">
        <v>0</v>
      </c>
      <c r="P145" s="123">
        <v>0</v>
      </c>
      <c r="Q145" s="123">
        <v>0</v>
      </c>
      <c r="R145" s="123">
        <v>0</v>
      </c>
      <c r="S145" s="7" t="s">
        <v>162</v>
      </c>
      <c r="T145" s="124" t="s">
        <v>92</v>
      </c>
      <c r="U145" s="1"/>
    </row>
    <row r="146" spans="1:21" ht="13.5" thickBot="1" x14ac:dyDescent="0.25">
      <c r="A146" s="123">
        <v>19</v>
      </c>
      <c r="B146" s="123">
        <v>0</v>
      </c>
      <c r="C146" s="123">
        <v>19</v>
      </c>
      <c r="D146" s="123">
        <v>15</v>
      </c>
      <c r="E146" s="123">
        <v>0</v>
      </c>
      <c r="F146" s="123">
        <v>15</v>
      </c>
      <c r="G146" s="123">
        <v>2</v>
      </c>
      <c r="H146" s="123">
        <v>0</v>
      </c>
      <c r="I146" s="123">
        <v>2</v>
      </c>
      <c r="J146" s="123">
        <v>2</v>
      </c>
      <c r="K146" s="123">
        <v>0</v>
      </c>
      <c r="L146" s="123">
        <v>2</v>
      </c>
      <c r="M146" s="123">
        <v>0</v>
      </c>
      <c r="N146" s="123">
        <v>0</v>
      </c>
      <c r="O146" s="123">
        <v>0</v>
      </c>
      <c r="P146" s="123">
        <v>0</v>
      </c>
      <c r="Q146" s="123">
        <v>0</v>
      </c>
      <c r="R146" s="123">
        <v>0</v>
      </c>
      <c r="S146" s="7" t="s">
        <v>13</v>
      </c>
      <c r="T146" s="9"/>
      <c r="U146" s="1"/>
    </row>
    <row r="147" spans="1:21" ht="13.5" thickBot="1" x14ac:dyDescent="0.25">
      <c r="A147" s="123">
        <v>27</v>
      </c>
      <c r="B147" s="123">
        <v>0</v>
      </c>
      <c r="C147" s="123">
        <v>27</v>
      </c>
      <c r="D147" s="123">
        <v>8</v>
      </c>
      <c r="E147" s="123">
        <v>0</v>
      </c>
      <c r="F147" s="123">
        <v>8</v>
      </c>
      <c r="G147" s="123">
        <v>4</v>
      </c>
      <c r="H147" s="123">
        <v>0</v>
      </c>
      <c r="I147" s="123">
        <v>4</v>
      </c>
      <c r="J147" s="123">
        <v>11</v>
      </c>
      <c r="K147" s="123">
        <v>0</v>
      </c>
      <c r="L147" s="123">
        <v>11</v>
      </c>
      <c r="M147" s="123">
        <v>3</v>
      </c>
      <c r="N147" s="123">
        <v>0</v>
      </c>
      <c r="O147" s="123">
        <v>3</v>
      </c>
      <c r="P147" s="123">
        <v>1</v>
      </c>
      <c r="Q147" s="123">
        <v>0</v>
      </c>
      <c r="R147" s="123">
        <v>1</v>
      </c>
      <c r="S147" s="7" t="s">
        <v>163</v>
      </c>
      <c r="T147" s="124"/>
      <c r="U147" s="1"/>
    </row>
    <row r="148" spans="1:21" ht="13.5" thickBot="1" x14ac:dyDescent="0.25">
      <c r="A148" s="123">
        <v>0</v>
      </c>
      <c r="B148" s="123">
        <v>0</v>
      </c>
      <c r="C148" s="123">
        <v>0</v>
      </c>
      <c r="D148" s="123">
        <v>0</v>
      </c>
      <c r="E148" s="123">
        <v>0</v>
      </c>
      <c r="F148" s="123">
        <v>0</v>
      </c>
      <c r="G148" s="123">
        <v>0</v>
      </c>
      <c r="H148" s="123">
        <v>0</v>
      </c>
      <c r="I148" s="123">
        <v>0</v>
      </c>
      <c r="J148" s="123">
        <v>0</v>
      </c>
      <c r="K148" s="123">
        <v>0</v>
      </c>
      <c r="L148" s="123">
        <v>0</v>
      </c>
      <c r="M148" s="123">
        <v>0</v>
      </c>
      <c r="N148" s="123">
        <v>0</v>
      </c>
      <c r="O148" s="123">
        <v>0</v>
      </c>
      <c r="P148" s="123">
        <v>0</v>
      </c>
      <c r="Q148" s="123">
        <v>0</v>
      </c>
      <c r="R148" s="123">
        <v>0</v>
      </c>
      <c r="S148" s="7" t="s">
        <v>162</v>
      </c>
      <c r="T148" s="124" t="s">
        <v>368</v>
      </c>
      <c r="U148" s="1"/>
    </row>
    <row r="149" spans="1:21" ht="13.5" thickBot="1" x14ac:dyDescent="0.25">
      <c r="A149" s="123">
        <v>27</v>
      </c>
      <c r="B149" s="123">
        <v>0</v>
      </c>
      <c r="C149" s="123">
        <v>27</v>
      </c>
      <c r="D149" s="123">
        <v>8</v>
      </c>
      <c r="E149" s="123">
        <v>0</v>
      </c>
      <c r="F149" s="123">
        <v>8</v>
      </c>
      <c r="G149" s="123">
        <v>4</v>
      </c>
      <c r="H149" s="123">
        <v>0</v>
      </c>
      <c r="I149" s="123">
        <v>4</v>
      </c>
      <c r="J149" s="123">
        <v>11</v>
      </c>
      <c r="K149" s="123">
        <v>0</v>
      </c>
      <c r="L149" s="123">
        <v>11</v>
      </c>
      <c r="M149" s="123">
        <v>3</v>
      </c>
      <c r="N149" s="123">
        <v>0</v>
      </c>
      <c r="O149" s="123">
        <v>3</v>
      </c>
      <c r="P149" s="123">
        <v>1</v>
      </c>
      <c r="Q149" s="123">
        <v>0</v>
      </c>
      <c r="R149" s="123">
        <v>1</v>
      </c>
      <c r="S149" s="7" t="s">
        <v>13</v>
      </c>
      <c r="T149" s="9"/>
      <c r="U149" s="1"/>
    </row>
    <row r="150" spans="1:21" ht="13.5" thickBot="1" x14ac:dyDescent="0.25">
      <c r="A150" s="123">
        <v>13</v>
      </c>
      <c r="B150" s="123">
        <v>0</v>
      </c>
      <c r="C150" s="123">
        <v>13</v>
      </c>
      <c r="D150" s="123">
        <v>7</v>
      </c>
      <c r="E150" s="123">
        <v>0</v>
      </c>
      <c r="F150" s="123">
        <v>7</v>
      </c>
      <c r="G150" s="123">
        <v>2</v>
      </c>
      <c r="H150" s="123">
        <v>0</v>
      </c>
      <c r="I150" s="123">
        <v>2</v>
      </c>
      <c r="J150" s="123">
        <v>4</v>
      </c>
      <c r="K150" s="123">
        <v>0</v>
      </c>
      <c r="L150" s="123">
        <v>4</v>
      </c>
      <c r="M150" s="123">
        <v>0</v>
      </c>
      <c r="N150" s="123">
        <v>0</v>
      </c>
      <c r="O150" s="123">
        <v>0</v>
      </c>
      <c r="P150" s="123">
        <v>0</v>
      </c>
      <c r="Q150" s="123">
        <v>0</v>
      </c>
      <c r="R150" s="123">
        <v>0</v>
      </c>
      <c r="S150" s="7" t="s">
        <v>163</v>
      </c>
      <c r="T150" s="124"/>
      <c r="U150" s="1"/>
    </row>
    <row r="151" spans="1:21" ht="13.5" thickBot="1" x14ac:dyDescent="0.25">
      <c r="A151" s="123">
        <v>0</v>
      </c>
      <c r="B151" s="123">
        <v>0</v>
      </c>
      <c r="C151" s="123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>
        <v>0</v>
      </c>
      <c r="M151" s="123">
        <v>0</v>
      </c>
      <c r="N151" s="123">
        <v>0</v>
      </c>
      <c r="O151" s="123">
        <v>0</v>
      </c>
      <c r="P151" s="123">
        <v>0</v>
      </c>
      <c r="Q151" s="123">
        <v>0</v>
      </c>
      <c r="R151" s="123">
        <v>0</v>
      </c>
      <c r="S151" s="7" t="s">
        <v>162</v>
      </c>
      <c r="T151" s="124" t="s">
        <v>93</v>
      </c>
      <c r="U151" s="1"/>
    </row>
    <row r="152" spans="1:21" ht="13.5" thickBot="1" x14ac:dyDescent="0.25">
      <c r="A152" s="123">
        <v>13</v>
      </c>
      <c r="B152" s="123">
        <v>0</v>
      </c>
      <c r="C152" s="123">
        <v>13</v>
      </c>
      <c r="D152" s="123">
        <v>7</v>
      </c>
      <c r="E152" s="123">
        <v>0</v>
      </c>
      <c r="F152" s="123">
        <v>7</v>
      </c>
      <c r="G152" s="123">
        <v>2</v>
      </c>
      <c r="H152" s="123">
        <v>0</v>
      </c>
      <c r="I152" s="123">
        <v>2</v>
      </c>
      <c r="J152" s="123">
        <v>4</v>
      </c>
      <c r="K152" s="123">
        <v>0</v>
      </c>
      <c r="L152" s="123">
        <v>4</v>
      </c>
      <c r="M152" s="123">
        <v>0</v>
      </c>
      <c r="N152" s="123">
        <v>0</v>
      </c>
      <c r="O152" s="123">
        <v>0</v>
      </c>
      <c r="P152" s="123">
        <v>0</v>
      </c>
      <c r="Q152" s="123">
        <v>0</v>
      </c>
      <c r="R152" s="123">
        <v>0</v>
      </c>
      <c r="S152" s="7" t="s">
        <v>13</v>
      </c>
      <c r="T152" s="9"/>
      <c r="U152" s="1"/>
    </row>
    <row r="153" spans="1:21" ht="13.5" thickBot="1" x14ac:dyDescent="0.25">
      <c r="A153" s="123">
        <v>11</v>
      </c>
      <c r="B153" s="123">
        <v>0</v>
      </c>
      <c r="C153" s="123">
        <v>11</v>
      </c>
      <c r="D153" s="123">
        <v>8</v>
      </c>
      <c r="E153" s="123">
        <v>0</v>
      </c>
      <c r="F153" s="123">
        <v>8</v>
      </c>
      <c r="G153" s="123">
        <v>1</v>
      </c>
      <c r="H153" s="123">
        <v>0</v>
      </c>
      <c r="I153" s="123">
        <v>1</v>
      </c>
      <c r="J153" s="123">
        <v>2</v>
      </c>
      <c r="K153" s="123">
        <v>0</v>
      </c>
      <c r="L153" s="123">
        <v>2</v>
      </c>
      <c r="M153" s="123">
        <v>0</v>
      </c>
      <c r="N153" s="123">
        <v>0</v>
      </c>
      <c r="O153" s="123">
        <v>0</v>
      </c>
      <c r="P153" s="123">
        <v>0</v>
      </c>
      <c r="Q153" s="123">
        <v>0</v>
      </c>
      <c r="R153" s="123">
        <v>0</v>
      </c>
      <c r="S153" s="7" t="s">
        <v>163</v>
      </c>
      <c r="T153" s="124"/>
      <c r="U153" s="1"/>
    </row>
    <row r="154" spans="1:21" ht="13.5" thickBot="1" x14ac:dyDescent="0.25">
      <c r="A154" s="123">
        <v>0</v>
      </c>
      <c r="B154" s="123">
        <v>0</v>
      </c>
      <c r="C154" s="123">
        <v>0</v>
      </c>
      <c r="D154" s="123">
        <v>0</v>
      </c>
      <c r="E154" s="123">
        <v>0</v>
      </c>
      <c r="F154" s="123">
        <v>0</v>
      </c>
      <c r="G154" s="123">
        <v>0</v>
      </c>
      <c r="H154" s="123">
        <v>0</v>
      </c>
      <c r="I154" s="123">
        <v>0</v>
      </c>
      <c r="J154" s="123">
        <v>0</v>
      </c>
      <c r="K154" s="123">
        <v>0</v>
      </c>
      <c r="L154" s="123">
        <v>0</v>
      </c>
      <c r="M154" s="123">
        <v>0</v>
      </c>
      <c r="N154" s="123">
        <v>0</v>
      </c>
      <c r="O154" s="123">
        <v>0</v>
      </c>
      <c r="P154" s="123">
        <v>0</v>
      </c>
      <c r="Q154" s="123">
        <v>0</v>
      </c>
      <c r="R154" s="123">
        <v>0</v>
      </c>
      <c r="S154" s="7" t="s">
        <v>162</v>
      </c>
      <c r="T154" s="124" t="s">
        <v>369</v>
      </c>
      <c r="U154" s="1"/>
    </row>
    <row r="155" spans="1:21" ht="13.5" thickBot="1" x14ac:dyDescent="0.25">
      <c r="A155" s="123">
        <v>11</v>
      </c>
      <c r="B155" s="123">
        <v>0</v>
      </c>
      <c r="C155" s="123">
        <v>11</v>
      </c>
      <c r="D155" s="123">
        <v>8</v>
      </c>
      <c r="E155" s="123">
        <v>0</v>
      </c>
      <c r="F155" s="123">
        <v>8</v>
      </c>
      <c r="G155" s="123">
        <v>1</v>
      </c>
      <c r="H155" s="123">
        <v>0</v>
      </c>
      <c r="I155" s="123">
        <v>1</v>
      </c>
      <c r="J155" s="123">
        <v>2</v>
      </c>
      <c r="K155" s="123">
        <v>0</v>
      </c>
      <c r="L155" s="123">
        <v>2</v>
      </c>
      <c r="M155" s="123">
        <v>0</v>
      </c>
      <c r="N155" s="123">
        <v>0</v>
      </c>
      <c r="O155" s="123">
        <v>0</v>
      </c>
      <c r="P155" s="123">
        <v>0</v>
      </c>
      <c r="Q155" s="123">
        <v>0</v>
      </c>
      <c r="R155" s="123">
        <v>0</v>
      </c>
      <c r="S155" s="7" t="s">
        <v>13</v>
      </c>
      <c r="T155" s="9"/>
      <c r="U155" s="1"/>
    </row>
    <row r="156" spans="1:21" ht="13.5" thickBot="1" x14ac:dyDescent="0.25">
      <c r="A156" s="123">
        <v>8</v>
      </c>
      <c r="B156" s="123">
        <v>0</v>
      </c>
      <c r="C156" s="123">
        <v>8</v>
      </c>
      <c r="D156" s="123">
        <v>7</v>
      </c>
      <c r="E156" s="123">
        <v>0</v>
      </c>
      <c r="F156" s="123">
        <v>7</v>
      </c>
      <c r="G156" s="123">
        <v>0</v>
      </c>
      <c r="H156" s="123">
        <v>0</v>
      </c>
      <c r="I156" s="123">
        <v>0</v>
      </c>
      <c r="J156" s="123">
        <v>1</v>
      </c>
      <c r="K156" s="123">
        <v>0</v>
      </c>
      <c r="L156" s="123">
        <v>1</v>
      </c>
      <c r="M156" s="123">
        <v>0</v>
      </c>
      <c r="N156" s="123">
        <v>0</v>
      </c>
      <c r="O156" s="123">
        <v>0</v>
      </c>
      <c r="P156" s="123">
        <v>0</v>
      </c>
      <c r="Q156" s="123">
        <v>0</v>
      </c>
      <c r="R156" s="123">
        <v>0</v>
      </c>
      <c r="S156" s="7" t="s">
        <v>163</v>
      </c>
      <c r="T156" s="124"/>
      <c r="U156" s="1"/>
    </row>
    <row r="157" spans="1:21" ht="13.5" thickBot="1" x14ac:dyDescent="0.25">
      <c r="A157" s="123">
        <v>0</v>
      </c>
      <c r="B157" s="123">
        <v>0</v>
      </c>
      <c r="C157" s="123">
        <v>0</v>
      </c>
      <c r="D157" s="123">
        <v>0</v>
      </c>
      <c r="E157" s="123">
        <v>0</v>
      </c>
      <c r="F157" s="123">
        <v>0</v>
      </c>
      <c r="G157" s="123">
        <v>0</v>
      </c>
      <c r="H157" s="123">
        <v>0</v>
      </c>
      <c r="I157" s="123">
        <v>0</v>
      </c>
      <c r="J157" s="123">
        <v>0</v>
      </c>
      <c r="K157" s="123">
        <v>0</v>
      </c>
      <c r="L157" s="123">
        <v>0</v>
      </c>
      <c r="M157" s="123">
        <v>0</v>
      </c>
      <c r="N157" s="123">
        <v>0</v>
      </c>
      <c r="O157" s="123">
        <v>0</v>
      </c>
      <c r="P157" s="123">
        <v>0</v>
      </c>
      <c r="Q157" s="123">
        <v>0</v>
      </c>
      <c r="R157" s="123">
        <v>0</v>
      </c>
      <c r="S157" s="7" t="s">
        <v>162</v>
      </c>
      <c r="T157" s="124" t="s">
        <v>370</v>
      </c>
      <c r="U157" s="1"/>
    </row>
    <row r="158" spans="1:21" ht="13.5" thickBot="1" x14ac:dyDescent="0.25">
      <c r="A158" s="123">
        <v>8</v>
      </c>
      <c r="B158" s="123">
        <v>0</v>
      </c>
      <c r="C158" s="123">
        <v>8</v>
      </c>
      <c r="D158" s="123">
        <v>7</v>
      </c>
      <c r="E158" s="123">
        <v>0</v>
      </c>
      <c r="F158" s="123">
        <v>7</v>
      </c>
      <c r="G158" s="123">
        <v>0</v>
      </c>
      <c r="H158" s="123">
        <v>0</v>
      </c>
      <c r="I158" s="123">
        <v>0</v>
      </c>
      <c r="J158" s="123">
        <v>1</v>
      </c>
      <c r="K158" s="123">
        <v>0</v>
      </c>
      <c r="L158" s="123">
        <v>1</v>
      </c>
      <c r="M158" s="123">
        <v>0</v>
      </c>
      <c r="N158" s="123">
        <v>0</v>
      </c>
      <c r="O158" s="123">
        <v>0</v>
      </c>
      <c r="P158" s="123">
        <v>0</v>
      </c>
      <c r="Q158" s="123">
        <v>0</v>
      </c>
      <c r="R158" s="123">
        <v>0</v>
      </c>
      <c r="S158" s="7" t="s">
        <v>13</v>
      </c>
      <c r="T158" s="9"/>
      <c r="U158" s="1"/>
    </row>
    <row r="159" spans="1:21" ht="13.5" thickBot="1" x14ac:dyDescent="0.25">
      <c r="A159" s="123">
        <v>14</v>
      </c>
      <c r="B159" s="123">
        <v>0</v>
      </c>
      <c r="C159" s="123">
        <v>14</v>
      </c>
      <c r="D159" s="123">
        <v>7</v>
      </c>
      <c r="E159" s="123">
        <v>0</v>
      </c>
      <c r="F159" s="123">
        <v>7</v>
      </c>
      <c r="G159" s="123">
        <v>3</v>
      </c>
      <c r="H159" s="123">
        <v>0</v>
      </c>
      <c r="I159" s="123">
        <v>3</v>
      </c>
      <c r="J159" s="123">
        <v>4</v>
      </c>
      <c r="K159" s="123">
        <v>0</v>
      </c>
      <c r="L159" s="123">
        <v>4</v>
      </c>
      <c r="M159" s="123">
        <v>0</v>
      </c>
      <c r="N159" s="123">
        <v>0</v>
      </c>
      <c r="O159" s="123">
        <v>0</v>
      </c>
      <c r="P159" s="123">
        <v>0</v>
      </c>
      <c r="Q159" s="123">
        <v>0</v>
      </c>
      <c r="R159" s="123">
        <v>0</v>
      </c>
      <c r="S159" s="7" t="s">
        <v>163</v>
      </c>
      <c r="T159" s="124"/>
      <c r="U159" s="1"/>
    </row>
    <row r="160" spans="1:21" ht="13.5" thickBot="1" x14ac:dyDescent="0.25">
      <c r="A160" s="123">
        <v>0</v>
      </c>
      <c r="B160" s="123">
        <v>0</v>
      </c>
      <c r="C160" s="123">
        <v>0</v>
      </c>
      <c r="D160" s="123">
        <v>0</v>
      </c>
      <c r="E160" s="123">
        <v>0</v>
      </c>
      <c r="F160" s="123">
        <v>0</v>
      </c>
      <c r="G160" s="123">
        <v>0</v>
      </c>
      <c r="H160" s="123">
        <v>0</v>
      </c>
      <c r="I160" s="123">
        <v>0</v>
      </c>
      <c r="J160" s="123">
        <v>0</v>
      </c>
      <c r="K160" s="123">
        <v>0</v>
      </c>
      <c r="L160" s="123">
        <v>0</v>
      </c>
      <c r="M160" s="123">
        <v>0</v>
      </c>
      <c r="N160" s="123">
        <v>0</v>
      </c>
      <c r="O160" s="123">
        <v>0</v>
      </c>
      <c r="P160" s="123">
        <v>0</v>
      </c>
      <c r="Q160" s="123">
        <v>0</v>
      </c>
      <c r="R160" s="123">
        <v>0</v>
      </c>
      <c r="S160" s="7" t="s">
        <v>162</v>
      </c>
      <c r="T160" s="124" t="s">
        <v>371</v>
      </c>
      <c r="U160" s="1"/>
    </row>
    <row r="161" spans="1:21" ht="13.5" thickBot="1" x14ac:dyDescent="0.25">
      <c r="A161" s="123">
        <v>14</v>
      </c>
      <c r="B161" s="123">
        <v>0</v>
      </c>
      <c r="C161" s="123">
        <v>14</v>
      </c>
      <c r="D161" s="123">
        <v>7</v>
      </c>
      <c r="E161" s="123">
        <v>0</v>
      </c>
      <c r="F161" s="123">
        <v>7</v>
      </c>
      <c r="G161" s="123">
        <v>3</v>
      </c>
      <c r="H161" s="123">
        <v>0</v>
      </c>
      <c r="I161" s="123">
        <v>3</v>
      </c>
      <c r="J161" s="123">
        <v>4</v>
      </c>
      <c r="K161" s="123">
        <v>0</v>
      </c>
      <c r="L161" s="123">
        <v>4</v>
      </c>
      <c r="M161" s="123">
        <v>0</v>
      </c>
      <c r="N161" s="123">
        <v>0</v>
      </c>
      <c r="O161" s="123">
        <v>0</v>
      </c>
      <c r="P161" s="123">
        <v>0</v>
      </c>
      <c r="Q161" s="123">
        <v>0</v>
      </c>
      <c r="R161" s="123">
        <v>0</v>
      </c>
      <c r="S161" s="7" t="s">
        <v>13</v>
      </c>
      <c r="T161" s="9"/>
      <c r="U161" s="1"/>
    </row>
    <row r="162" spans="1:21" ht="13.5" thickBot="1" x14ac:dyDescent="0.25">
      <c r="A162" s="123">
        <v>3939</v>
      </c>
      <c r="B162" s="123">
        <v>1035</v>
      </c>
      <c r="C162" s="123">
        <v>2904</v>
      </c>
      <c r="D162" s="123">
        <v>1752</v>
      </c>
      <c r="E162" s="123">
        <v>281</v>
      </c>
      <c r="F162" s="123">
        <v>1471</v>
      </c>
      <c r="G162" s="123">
        <v>604</v>
      </c>
      <c r="H162" s="123">
        <v>151</v>
      </c>
      <c r="I162" s="123">
        <v>453</v>
      </c>
      <c r="J162" s="123">
        <v>1411</v>
      </c>
      <c r="K162" s="123">
        <v>538</v>
      </c>
      <c r="L162" s="123">
        <v>873</v>
      </c>
      <c r="M162" s="123">
        <v>117</v>
      </c>
      <c r="N162" s="123">
        <v>38</v>
      </c>
      <c r="O162" s="123">
        <v>79</v>
      </c>
      <c r="P162" s="123">
        <v>55</v>
      </c>
      <c r="Q162" s="123">
        <v>27</v>
      </c>
      <c r="R162" s="123">
        <v>28</v>
      </c>
      <c r="S162" s="7" t="s">
        <v>163</v>
      </c>
      <c r="T162" s="3"/>
      <c r="U162" s="1"/>
    </row>
    <row r="163" spans="1:21" ht="13.5" thickBot="1" x14ac:dyDescent="0.25">
      <c r="A163" s="123">
        <v>2813</v>
      </c>
      <c r="B163" s="123">
        <v>1750</v>
      </c>
      <c r="C163" s="123">
        <v>1063</v>
      </c>
      <c r="D163" s="123">
        <v>319</v>
      </c>
      <c r="E163" s="123">
        <v>104</v>
      </c>
      <c r="F163" s="123">
        <v>215</v>
      </c>
      <c r="G163" s="123">
        <v>1581</v>
      </c>
      <c r="H163" s="123">
        <v>1285</v>
      </c>
      <c r="I163" s="123">
        <v>296</v>
      </c>
      <c r="J163" s="123">
        <v>646</v>
      </c>
      <c r="K163" s="123">
        <v>303</v>
      </c>
      <c r="L163" s="123">
        <v>343</v>
      </c>
      <c r="M163" s="123">
        <v>137</v>
      </c>
      <c r="N163" s="123">
        <v>37</v>
      </c>
      <c r="O163" s="123">
        <v>100</v>
      </c>
      <c r="P163" s="123">
        <v>130</v>
      </c>
      <c r="Q163" s="123">
        <v>21</v>
      </c>
      <c r="R163" s="123">
        <v>109</v>
      </c>
      <c r="S163" s="7" t="s">
        <v>162</v>
      </c>
      <c r="T163" s="11" t="s">
        <v>211</v>
      </c>
      <c r="U163" s="1"/>
    </row>
    <row r="164" spans="1:21" ht="13.5" thickBot="1" x14ac:dyDescent="0.25">
      <c r="A164" s="123">
        <v>6752</v>
      </c>
      <c r="B164" s="123">
        <v>2785</v>
      </c>
      <c r="C164" s="123">
        <v>3967</v>
      </c>
      <c r="D164" s="123">
        <v>2071</v>
      </c>
      <c r="E164" s="123">
        <v>385</v>
      </c>
      <c r="F164" s="123">
        <v>1686</v>
      </c>
      <c r="G164" s="123">
        <v>2185</v>
      </c>
      <c r="H164" s="123">
        <v>1436</v>
      </c>
      <c r="I164" s="123">
        <v>749</v>
      </c>
      <c r="J164" s="123">
        <v>2057</v>
      </c>
      <c r="K164" s="123">
        <v>841</v>
      </c>
      <c r="L164" s="123">
        <v>1216</v>
      </c>
      <c r="M164" s="123">
        <v>254</v>
      </c>
      <c r="N164" s="123">
        <v>75</v>
      </c>
      <c r="O164" s="123">
        <v>179</v>
      </c>
      <c r="P164" s="123">
        <v>185</v>
      </c>
      <c r="Q164" s="123">
        <v>48</v>
      </c>
      <c r="R164" s="123">
        <v>137</v>
      </c>
      <c r="S164" s="7" t="s">
        <v>13</v>
      </c>
      <c r="T164" s="5"/>
      <c r="U164" s="1"/>
    </row>
    <row r="165" spans="1:21" ht="18" customHeight="1" x14ac:dyDescent="0.2">
      <c r="A165" s="207"/>
      <c r="B165" s="207"/>
      <c r="C165" s="207"/>
      <c r="D165" s="207"/>
      <c r="E165" s="207"/>
      <c r="F165" s="207"/>
      <c r="G165" s="207"/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1"/>
    </row>
    <row r="166" spans="1:21" ht="18" customHeight="1" x14ac:dyDescent="0.2">
      <c r="A166" s="159" t="s">
        <v>665</v>
      </c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"/>
    </row>
    <row r="167" spans="1:21" ht="18" customHeight="1" thickBot="1" x14ac:dyDescent="0.25">
      <c r="A167" s="160" t="s">
        <v>667</v>
      </c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"/>
    </row>
    <row r="168" spans="1:21" ht="13.5" thickBot="1" x14ac:dyDescent="0.25">
      <c r="A168" s="204" t="s">
        <v>5</v>
      </c>
      <c r="B168" s="204"/>
      <c r="C168" s="204"/>
      <c r="D168" s="204" t="s">
        <v>57</v>
      </c>
      <c r="E168" s="204"/>
      <c r="F168" s="204"/>
      <c r="G168" s="204" t="s">
        <v>66</v>
      </c>
      <c r="H168" s="204"/>
      <c r="I168" s="204"/>
      <c r="J168" s="204" t="s">
        <v>65</v>
      </c>
      <c r="K168" s="204"/>
      <c r="L168" s="204"/>
      <c r="M168" s="204" t="s">
        <v>62</v>
      </c>
      <c r="N168" s="204"/>
      <c r="O168" s="204"/>
      <c r="P168" s="204" t="s">
        <v>61</v>
      </c>
      <c r="Q168" s="204"/>
      <c r="R168" s="204"/>
      <c r="S168" s="205" t="s">
        <v>645</v>
      </c>
      <c r="T168" s="47" t="s">
        <v>161</v>
      </c>
      <c r="U168" s="1"/>
    </row>
    <row r="169" spans="1:21" ht="13.5" thickBot="1" x14ac:dyDescent="0.25">
      <c r="A169" s="47" t="s">
        <v>216</v>
      </c>
      <c r="B169" s="47" t="s">
        <v>11</v>
      </c>
      <c r="C169" s="47" t="s">
        <v>10</v>
      </c>
      <c r="D169" s="47" t="s">
        <v>216</v>
      </c>
      <c r="E169" s="47" t="s">
        <v>11</v>
      </c>
      <c r="F169" s="47" t="s">
        <v>10</v>
      </c>
      <c r="G169" s="47" t="s">
        <v>216</v>
      </c>
      <c r="H169" s="47" t="s">
        <v>11</v>
      </c>
      <c r="I169" s="47" t="s">
        <v>10</v>
      </c>
      <c r="J169" s="47" t="s">
        <v>216</v>
      </c>
      <c r="K169" s="47" t="s">
        <v>11</v>
      </c>
      <c r="L169" s="47" t="s">
        <v>10</v>
      </c>
      <c r="M169" s="47" t="s">
        <v>216</v>
      </c>
      <c r="N169" s="47" t="s">
        <v>11</v>
      </c>
      <c r="O169" s="47" t="s">
        <v>10</v>
      </c>
      <c r="P169" s="47" t="s">
        <v>216</v>
      </c>
      <c r="Q169" s="47" t="s">
        <v>11</v>
      </c>
      <c r="R169" s="47" t="s">
        <v>10</v>
      </c>
      <c r="S169" s="206"/>
      <c r="T169" s="5" t="s">
        <v>79</v>
      </c>
      <c r="U169" s="1"/>
    </row>
    <row r="170" spans="1:21" ht="13.5" thickBot="1" x14ac:dyDescent="0.25">
      <c r="A170" s="123">
        <v>40</v>
      </c>
      <c r="B170" s="123">
        <v>13</v>
      </c>
      <c r="C170" s="123">
        <v>27</v>
      </c>
      <c r="D170" s="123">
        <v>17</v>
      </c>
      <c r="E170" s="123">
        <v>3</v>
      </c>
      <c r="F170" s="123">
        <v>14</v>
      </c>
      <c r="G170" s="123">
        <v>2</v>
      </c>
      <c r="H170" s="123">
        <v>0</v>
      </c>
      <c r="I170" s="123">
        <v>2</v>
      </c>
      <c r="J170" s="123">
        <v>19</v>
      </c>
      <c r="K170" s="123">
        <v>9</v>
      </c>
      <c r="L170" s="123">
        <v>10</v>
      </c>
      <c r="M170" s="123">
        <v>2</v>
      </c>
      <c r="N170" s="123">
        <v>1</v>
      </c>
      <c r="O170" s="123">
        <v>1</v>
      </c>
      <c r="P170" s="123">
        <v>0</v>
      </c>
      <c r="Q170" s="123">
        <v>0</v>
      </c>
      <c r="R170" s="123">
        <v>0</v>
      </c>
      <c r="S170" s="7" t="s">
        <v>163</v>
      </c>
      <c r="T170" s="124"/>
      <c r="U170" s="1"/>
    </row>
    <row r="171" spans="1:21" ht="13.5" thickBot="1" x14ac:dyDescent="0.25">
      <c r="A171" s="123">
        <v>5</v>
      </c>
      <c r="B171" s="123">
        <v>1</v>
      </c>
      <c r="C171" s="123">
        <v>4</v>
      </c>
      <c r="D171" s="123">
        <v>0</v>
      </c>
      <c r="E171" s="123">
        <v>0</v>
      </c>
      <c r="F171" s="123">
        <v>0</v>
      </c>
      <c r="G171" s="123">
        <v>2</v>
      </c>
      <c r="H171" s="123">
        <v>1</v>
      </c>
      <c r="I171" s="123">
        <v>1</v>
      </c>
      <c r="J171" s="123">
        <v>1</v>
      </c>
      <c r="K171" s="123">
        <v>0</v>
      </c>
      <c r="L171" s="123">
        <v>1</v>
      </c>
      <c r="M171" s="123">
        <v>2</v>
      </c>
      <c r="N171" s="123">
        <v>0</v>
      </c>
      <c r="O171" s="123">
        <v>2</v>
      </c>
      <c r="P171" s="123">
        <v>0</v>
      </c>
      <c r="Q171" s="123">
        <v>0</v>
      </c>
      <c r="R171" s="123">
        <v>0</v>
      </c>
      <c r="S171" s="7" t="s">
        <v>162</v>
      </c>
      <c r="T171" s="124" t="s">
        <v>375</v>
      </c>
      <c r="U171" s="1"/>
    </row>
    <row r="172" spans="1:21" ht="13.5" thickBot="1" x14ac:dyDescent="0.25">
      <c r="A172" s="123">
        <v>45</v>
      </c>
      <c r="B172" s="123">
        <v>14</v>
      </c>
      <c r="C172" s="123">
        <v>31</v>
      </c>
      <c r="D172" s="123">
        <v>17</v>
      </c>
      <c r="E172" s="123">
        <v>3</v>
      </c>
      <c r="F172" s="123">
        <v>14</v>
      </c>
      <c r="G172" s="123">
        <v>4</v>
      </c>
      <c r="H172" s="123">
        <v>1</v>
      </c>
      <c r="I172" s="123">
        <v>3</v>
      </c>
      <c r="J172" s="123">
        <v>20</v>
      </c>
      <c r="K172" s="123">
        <v>9</v>
      </c>
      <c r="L172" s="123">
        <v>11</v>
      </c>
      <c r="M172" s="123">
        <v>4</v>
      </c>
      <c r="N172" s="123">
        <v>1</v>
      </c>
      <c r="O172" s="123">
        <v>3</v>
      </c>
      <c r="P172" s="123">
        <v>0</v>
      </c>
      <c r="Q172" s="123">
        <v>0</v>
      </c>
      <c r="R172" s="123">
        <v>0</v>
      </c>
      <c r="S172" s="7" t="s">
        <v>13</v>
      </c>
      <c r="T172" s="9"/>
      <c r="U172" s="1"/>
    </row>
    <row r="173" spans="1:21" ht="13.5" thickBot="1" x14ac:dyDescent="0.25">
      <c r="A173" s="123">
        <v>45</v>
      </c>
      <c r="B173" s="123">
        <v>21</v>
      </c>
      <c r="C173" s="123">
        <v>24</v>
      </c>
      <c r="D173" s="123">
        <v>8</v>
      </c>
      <c r="E173" s="123">
        <v>2</v>
      </c>
      <c r="F173" s="123">
        <v>6</v>
      </c>
      <c r="G173" s="123">
        <v>0</v>
      </c>
      <c r="H173" s="123">
        <v>0</v>
      </c>
      <c r="I173" s="123">
        <v>0</v>
      </c>
      <c r="J173" s="123">
        <v>36</v>
      </c>
      <c r="K173" s="123">
        <v>19</v>
      </c>
      <c r="L173" s="123">
        <v>17</v>
      </c>
      <c r="M173" s="123">
        <v>1</v>
      </c>
      <c r="N173" s="123">
        <v>0</v>
      </c>
      <c r="O173" s="123">
        <v>1</v>
      </c>
      <c r="P173" s="123">
        <v>0</v>
      </c>
      <c r="Q173" s="123">
        <v>0</v>
      </c>
      <c r="R173" s="123">
        <v>0</v>
      </c>
      <c r="S173" s="7" t="s">
        <v>163</v>
      </c>
      <c r="T173" s="124"/>
      <c r="U173" s="1"/>
    </row>
    <row r="174" spans="1:21" ht="13.5" thickBot="1" x14ac:dyDescent="0.25">
      <c r="A174" s="123">
        <v>8</v>
      </c>
      <c r="B174" s="123">
        <v>0</v>
      </c>
      <c r="C174" s="123">
        <v>8</v>
      </c>
      <c r="D174" s="123">
        <v>1</v>
      </c>
      <c r="E174" s="123">
        <v>0</v>
      </c>
      <c r="F174" s="123">
        <v>1</v>
      </c>
      <c r="G174" s="123">
        <v>1</v>
      </c>
      <c r="H174" s="123">
        <v>0</v>
      </c>
      <c r="I174" s="123">
        <v>1</v>
      </c>
      <c r="J174" s="123">
        <v>6</v>
      </c>
      <c r="K174" s="123">
        <v>0</v>
      </c>
      <c r="L174" s="123">
        <v>6</v>
      </c>
      <c r="M174" s="123">
        <v>0</v>
      </c>
      <c r="N174" s="123">
        <v>0</v>
      </c>
      <c r="O174" s="123">
        <v>0</v>
      </c>
      <c r="P174" s="123">
        <v>0</v>
      </c>
      <c r="Q174" s="123">
        <v>0</v>
      </c>
      <c r="R174" s="123">
        <v>0</v>
      </c>
      <c r="S174" s="7" t="s">
        <v>162</v>
      </c>
      <c r="T174" s="124" t="s">
        <v>263</v>
      </c>
      <c r="U174" s="1"/>
    </row>
    <row r="175" spans="1:21" ht="13.5" thickBot="1" x14ac:dyDescent="0.25">
      <c r="A175" s="123">
        <v>53</v>
      </c>
      <c r="B175" s="123">
        <v>21</v>
      </c>
      <c r="C175" s="123">
        <v>32</v>
      </c>
      <c r="D175" s="123">
        <v>9</v>
      </c>
      <c r="E175" s="123">
        <v>2</v>
      </c>
      <c r="F175" s="123">
        <v>7</v>
      </c>
      <c r="G175" s="123">
        <v>1</v>
      </c>
      <c r="H175" s="123">
        <v>0</v>
      </c>
      <c r="I175" s="123">
        <v>1</v>
      </c>
      <c r="J175" s="123">
        <v>42</v>
      </c>
      <c r="K175" s="123">
        <v>19</v>
      </c>
      <c r="L175" s="123">
        <v>23</v>
      </c>
      <c r="M175" s="123">
        <v>1</v>
      </c>
      <c r="N175" s="123">
        <v>0</v>
      </c>
      <c r="O175" s="123">
        <v>1</v>
      </c>
      <c r="P175" s="123">
        <v>0</v>
      </c>
      <c r="Q175" s="123">
        <v>0</v>
      </c>
      <c r="R175" s="123">
        <v>0</v>
      </c>
      <c r="S175" s="7" t="s">
        <v>13</v>
      </c>
      <c r="T175" s="9"/>
      <c r="U175" s="1"/>
    </row>
    <row r="176" spans="1:21" ht="13.5" thickBot="1" x14ac:dyDescent="0.25">
      <c r="A176" s="123">
        <v>4</v>
      </c>
      <c r="B176" s="123">
        <v>1</v>
      </c>
      <c r="C176" s="123">
        <v>3</v>
      </c>
      <c r="D176" s="123">
        <v>1</v>
      </c>
      <c r="E176" s="123">
        <v>0</v>
      </c>
      <c r="F176" s="123">
        <v>1</v>
      </c>
      <c r="G176" s="123">
        <v>0</v>
      </c>
      <c r="H176" s="123">
        <v>0</v>
      </c>
      <c r="I176" s="123">
        <v>0</v>
      </c>
      <c r="J176" s="123">
        <v>2</v>
      </c>
      <c r="K176" s="123">
        <v>1</v>
      </c>
      <c r="L176" s="123">
        <v>1</v>
      </c>
      <c r="M176" s="123">
        <v>1</v>
      </c>
      <c r="N176" s="123">
        <v>0</v>
      </c>
      <c r="O176" s="123">
        <v>1</v>
      </c>
      <c r="P176" s="123">
        <v>0</v>
      </c>
      <c r="Q176" s="123">
        <v>0</v>
      </c>
      <c r="R176" s="123">
        <v>0</v>
      </c>
      <c r="S176" s="7" t="s">
        <v>163</v>
      </c>
      <c r="T176" s="124"/>
      <c r="U176" s="1"/>
    </row>
    <row r="177" spans="1:21" ht="13.5" thickBot="1" x14ac:dyDescent="0.25">
      <c r="A177" s="123">
        <v>0</v>
      </c>
      <c r="B177" s="123">
        <v>0</v>
      </c>
      <c r="C177" s="123">
        <v>0</v>
      </c>
      <c r="D177" s="123">
        <v>0</v>
      </c>
      <c r="E177" s="123">
        <v>0</v>
      </c>
      <c r="F177" s="123">
        <v>0</v>
      </c>
      <c r="G177" s="123">
        <v>0</v>
      </c>
      <c r="H177" s="123">
        <v>0</v>
      </c>
      <c r="I177" s="123">
        <v>0</v>
      </c>
      <c r="J177" s="123">
        <v>0</v>
      </c>
      <c r="K177" s="123">
        <v>0</v>
      </c>
      <c r="L177" s="123">
        <v>0</v>
      </c>
      <c r="M177" s="123">
        <v>0</v>
      </c>
      <c r="N177" s="123">
        <v>0</v>
      </c>
      <c r="O177" s="123">
        <v>0</v>
      </c>
      <c r="P177" s="123">
        <v>0</v>
      </c>
      <c r="Q177" s="123">
        <v>0</v>
      </c>
      <c r="R177" s="123">
        <v>0</v>
      </c>
      <c r="S177" s="7" t="s">
        <v>162</v>
      </c>
      <c r="T177" s="124" t="s">
        <v>376</v>
      </c>
      <c r="U177" s="1"/>
    </row>
    <row r="178" spans="1:21" ht="13.5" thickBot="1" x14ac:dyDescent="0.25">
      <c r="A178" s="123">
        <v>4</v>
      </c>
      <c r="B178" s="123">
        <v>1</v>
      </c>
      <c r="C178" s="123">
        <v>3</v>
      </c>
      <c r="D178" s="123">
        <v>1</v>
      </c>
      <c r="E178" s="123">
        <v>0</v>
      </c>
      <c r="F178" s="123">
        <v>1</v>
      </c>
      <c r="G178" s="123">
        <v>0</v>
      </c>
      <c r="H178" s="123">
        <v>0</v>
      </c>
      <c r="I178" s="123">
        <v>0</v>
      </c>
      <c r="J178" s="123">
        <v>2</v>
      </c>
      <c r="K178" s="123">
        <v>1</v>
      </c>
      <c r="L178" s="123">
        <v>1</v>
      </c>
      <c r="M178" s="123">
        <v>1</v>
      </c>
      <c r="N178" s="123">
        <v>0</v>
      </c>
      <c r="O178" s="123">
        <v>1</v>
      </c>
      <c r="P178" s="123">
        <v>0</v>
      </c>
      <c r="Q178" s="123">
        <v>0</v>
      </c>
      <c r="R178" s="123">
        <v>0</v>
      </c>
      <c r="S178" s="7" t="s">
        <v>13</v>
      </c>
      <c r="T178" s="9"/>
      <c r="U178" s="1"/>
    </row>
    <row r="179" spans="1:21" ht="13.5" thickBot="1" x14ac:dyDescent="0.25">
      <c r="A179" s="123">
        <v>106</v>
      </c>
      <c r="B179" s="123">
        <v>38</v>
      </c>
      <c r="C179" s="123">
        <v>68</v>
      </c>
      <c r="D179" s="123">
        <v>15</v>
      </c>
      <c r="E179" s="123">
        <v>3</v>
      </c>
      <c r="F179" s="123">
        <v>12</v>
      </c>
      <c r="G179" s="123">
        <v>6</v>
      </c>
      <c r="H179" s="123">
        <v>0</v>
      </c>
      <c r="I179" s="123">
        <v>6</v>
      </c>
      <c r="J179" s="123">
        <v>72</v>
      </c>
      <c r="K179" s="123">
        <v>30</v>
      </c>
      <c r="L179" s="123">
        <v>42</v>
      </c>
      <c r="M179" s="123">
        <v>12</v>
      </c>
      <c r="N179" s="123">
        <v>5</v>
      </c>
      <c r="O179" s="123">
        <v>7</v>
      </c>
      <c r="P179" s="123">
        <v>1</v>
      </c>
      <c r="Q179" s="123">
        <v>0</v>
      </c>
      <c r="R179" s="123">
        <v>1</v>
      </c>
      <c r="S179" s="7" t="s">
        <v>163</v>
      </c>
      <c r="T179" s="124"/>
      <c r="U179" s="1"/>
    </row>
    <row r="180" spans="1:21" ht="13.5" thickBot="1" x14ac:dyDescent="0.25">
      <c r="A180" s="123">
        <v>12</v>
      </c>
      <c r="B180" s="123">
        <v>1</v>
      </c>
      <c r="C180" s="123">
        <v>11</v>
      </c>
      <c r="D180" s="123">
        <v>1</v>
      </c>
      <c r="E180" s="123">
        <v>0</v>
      </c>
      <c r="F180" s="123">
        <v>1</v>
      </c>
      <c r="G180" s="123">
        <v>1</v>
      </c>
      <c r="H180" s="123">
        <v>0</v>
      </c>
      <c r="I180" s="123">
        <v>1</v>
      </c>
      <c r="J180" s="123">
        <v>6</v>
      </c>
      <c r="K180" s="123">
        <v>1</v>
      </c>
      <c r="L180" s="123">
        <v>5</v>
      </c>
      <c r="M180" s="123">
        <v>4</v>
      </c>
      <c r="N180" s="123">
        <v>0</v>
      </c>
      <c r="O180" s="123">
        <v>4</v>
      </c>
      <c r="P180" s="123">
        <v>0</v>
      </c>
      <c r="Q180" s="123">
        <v>0</v>
      </c>
      <c r="R180" s="123">
        <v>0</v>
      </c>
      <c r="S180" s="7" t="s">
        <v>162</v>
      </c>
      <c r="T180" s="124" t="s">
        <v>359</v>
      </c>
      <c r="U180" s="1"/>
    </row>
    <row r="181" spans="1:21" ht="13.5" thickBot="1" x14ac:dyDescent="0.25">
      <c r="A181" s="123">
        <v>118</v>
      </c>
      <c r="B181" s="123">
        <v>39</v>
      </c>
      <c r="C181" s="123">
        <v>79</v>
      </c>
      <c r="D181" s="123">
        <v>16</v>
      </c>
      <c r="E181" s="123">
        <v>3</v>
      </c>
      <c r="F181" s="123">
        <v>13</v>
      </c>
      <c r="G181" s="123">
        <v>7</v>
      </c>
      <c r="H181" s="123">
        <v>0</v>
      </c>
      <c r="I181" s="123">
        <v>7</v>
      </c>
      <c r="J181" s="123">
        <v>78</v>
      </c>
      <c r="K181" s="123">
        <v>31</v>
      </c>
      <c r="L181" s="123">
        <v>47</v>
      </c>
      <c r="M181" s="123">
        <v>16</v>
      </c>
      <c r="N181" s="123">
        <v>5</v>
      </c>
      <c r="O181" s="123">
        <v>11</v>
      </c>
      <c r="P181" s="123">
        <v>1</v>
      </c>
      <c r="Q181" s="123">
        <v>0</v>
      </c>
      <c r="R181" s="123">
        <v>1</v>
      </c>
      <c r="S181" s="7" t="s">
        <v>13</v>
      </c>
      <c r="T181" s="9"/>
      <c r="U181" s="1"/>
    </row>
    <row r="182" spans="1:21" ht="13.5" thickBot="1" x14ac:dyDescent="0.25">
      <c r="A182" s="123">
        <v>63</v>
      </c>
      <c r="B182" s="123">
        <v>0</v>
      </c>
      <c r="C182" s="123">
        <v>63</v>
      </c>
      <c r="D182" s="123">
        <v>24</v>
      </c>
      <c r="E182" s="123">
        <v>0</v>
      </c>
      <c r="F182" s="123">
        <v>24</v>
      </c>
      <c r="G182" s="123">
        <v>4</v>
      </c>
      <c r="H182" s="123">
        <v>0</v>
      </c>
      <c r="I182" s="123">
        <v>4</v>
      </c>
      <c r="J182" s="123">
        <v>32</v>
      </c>
      <c r="K182" s="123">
        <v>0</v>
      </c>
      <c r="L182" s="123">
        <v>32</v>
      </c>
      <c r="M182" s="123">
        <v>3</v>
      </c>
      <c r="N182" s="123">
        <v>0</v>
      </c>
      <c r="O182" s="123">
        <v>3</v>
      </c>
      <c r="P182" s="123">
        <v>0</v>
      </c>
      <c r="Q182" s="123">
        <v>0</v>
      </c>
      <c r="R182" s="123">
        <v>0</v>
      </c>
      <c r="S182" s="7" t="s">
        <v>163</v>
      </c>
      <c r="T182" s="124"/>
      <c r="U182" s="1"/>
    </row>
    <row r="183" spans="1:21" ht="13.5" thickBot="1" x14ac:dyDescent="0.25">
      <c r="A183" s="123">
        <v>33</v>
      </c>
      <c r="B183" s="123">
        <v>0</v>
      </c>
      <c r="C183" s="123">
        <v>33</v>
      </c>
      <c r="D183" s="123">
        <v>3</v>
      </c>
      <c r="E183" s="123">
        <v>0</v>
      </c>
      <c r="F183" s="123">
        <v>3</v>
      </c>
      <c r="G183" s="123">
        <v>10</v>
      </c>
      <c r="H183" s="123">
        <v>0</v>
      </c>
      <c r="I183" s="123">
        <v>10</v>
      </c>
      <c r="J183" s="123">
        <v>15</v>
      </c>
      <c r="K183" s="123">
        <v>0</v>
      </c>
      <c r="L183" s="123">
        <v>15</v>
      </c>
      <c r="M183" s="123">
        <v>5</v>
      </c>
      <c r="N183" s="123">
        <v>0</v>
      </c>
      <c r="O183" s="123">
        <v>5</v>
      </c>
      <c r="P183" s="123">
        <v>0</v>
      </c>
      <c r="Q183" s="123">
        <v>0</v>
      </c>
      <c r="R183" s="123">
        <v>0</v>
      </c>
      <c r="S183" s="7" t="s">
        <v>162</v>
      </c>
      <c r="T183" s="124" t="s">
        <v>377</v>
      </c>
      <c r="U183" s="1"/>
    </row>
    <row r="184" spans="1:21" ht="13.5" thickBot="1" x14ac:dyDescent="0.25">
      <c r="A184" s="123">
        <v>96</v>
      </c>
      <c r="B184" s="123">
        <v>0</v>
      </c>
      <c r="C184" s="123">
        <v>96</v>
      </c>
      <c r="D184" s="123">
        <v>27</v>
      </c>
      <c r="E184" s="123">
        <v>0</v>
      </c>
      <c r="F184" s="123">
        <v>27</v>
      </c>
      <c r="G184" s="123">
        <v>14</v>
      </c>
      <c r="H184" s="123">
        <v>0</v>
      </c>
      <c r="I184" s="123">
        <v>14</v>
      </c>
      <c r="J184" s="123">
        <v>47</v>
      </c>
      <c r="K184" s="123">
        <v>0</v>
      </c>
      <c r="L184" s="123">
        <v>47</v>
      </c>
      <c r="M184" s="123">
        <v>8</v>
      </c>
      <c r="N184" s="123">
        <v>0</v>
      </c>
      <c r="O184" s="123">
        <v>8</v>
      </c>
      <c r="P184" s="123">
        <v>0</v>
      </c>
      <c r="Q184" s="123">
        <v>0</v>
      </c>
      <c r="R184" s="123">
        <v>0</v>
      </c>
      <c r="S184" s="7" t="s">
        <v>13</v>
      </c>
      <c r="T184" s="9"/>
      <c r="U184" s="1"/>
    </row>
    <row r="185" spans="1:21" ht="13.5" thickBot="1" x14ac:dyDescent="0.25">
      <c r="A185" s="123">
        <v>36</v>
      </c>
      <c r="B185" s="123">
        <v>2</v>
      </c>
      <c r="C185" s="123">
        <v>34</v>
      </c>
      <c r="D185" s="123">
        <v>16</v>
      </c>
      <c r="E185" s="123">
        <v>0</v>
      </c>
      <c r="F185" s="123">
        <v>16</v>
      </c>
      <c r="G185" s="123">
        <v>10</v>
      </c>
      <c r="H185" s="123">
        <v>0</v>
      </c>
      <c r="I185" s="123">
        <v>10</v>
      </c>
      <c r="J185" s="123">
        <v>7</v>
      </c>
      <c r="K185" s="123">
        <v>1</v>
      </c>
      <c r="L185" s="123">
        <v>6</v>
      </c>
      <c r="M185" s="123">
        <v>3</v>
      </c>
      <c r="N185" s="123">
        <v>1</v>
      </c>
      <c r="O185" s="123">
        <v>2</v>
      </c>
      <c r="P185" s="123">
        <v>0</v>
      </c>
      <c r="Q185" s="123">
        <v>0</v>
      </c>
      <c r="R185" s="123">
        <v>0</v>
      </c>
      <c r="S185" s="7" t="s">
        <v>163</v>
      </c>
      <c r="T185" s="124"/>
      <c r="U185" s="1"/>
    </row>
    <row r="186" spans="1:21" ht="13.5" thickBot="1" x14ac:dyDescent="0.25">
      <c r="A186" s="123">
        <v>0</v>
      </c>
      <c r="B186" s="123">
        <v>0</v>
      </c>
      <c r="C186" s="123">
        <v>0</v>
      </c>
      <c r="D186" s="123">
        <v>0</v>
      </c>
      <c r="E186" s="123">
        <v>0</v>
      </c>
      <c r="F186" s="123">
        <v>0</v>
      </c>
      <c r="G186" s="123">
        <v>0</v>
      </c>
      <c r="H186" s="123">
        <v>0</v>
      </c>
      <c r="I186" s="123">
        <v>0</v>
      </c>
      <c r="J186" s="123">
        <v>0</v>
      </c>
      <c r="K186" s="123">
        <v>0</v>
      </c>
      <c r="L186" s="123">
        <v>0</v>
      </c>
      <c r="M186" s="123">
        <v>0</v>
      </c>
      <c r="N186" s="123">
        <v>0</v>
      </c>
      <c r="O186" s="123">
        <v>0</v>
      </c>
      <c r="P186" s="123">
        <v>0</v>
      </c>
      <c r="Q186" s="123">
        <v>0</v>
      </c>
      <c r="R186" s="123">
        <v>0</v>
      </c>
      <c r="S186" s="7" t="s">
        <v>162</v>
      </c>
      <c r="T186" s="124" t="s">
        <v>378</v>
      </c>
      <c r="U186" s="1"/>
    </row>
    <row r="187" spans="1:21" ht="13.5" thickBot="1" x14ac:dyDescent="0.25">
      <c r="A187" s="123">
        <v>36</v>
      </c>
      <c r="B187" s="123">
        <v>2</v>
      </c>
      <c r="C187" s="123">
        <v>34</v>
      </c>
      <c r="D187" s="123">
        <v>16</v>
      </c>
      <c r="E187" s="123">
        <v>0</v>
      </c>
      <c r="F187" s="123">
        <v>16</v>
      </c>
      <c r="G187" s="123">
        <v>10</v>
      </c>
      <c r="H187" s="123">
        <v>0</v>
      </c>
      <c r="I187" s="123">
        <v>10</v>
      </c>
      <c r="J187" s="123">
        <v>7</v>
      </c>
      <c r="K187" s="123">
        <v>1</v>
      </c>
      <c r="L187" s="123">
        <v>6</v>
      </c>
      <c r="M187" s="123">
        <v>3</v>
      </c>
      <c r="N187" s="123">
        <v>1</v>
      </c>
      <c r="O187" s="123">
        <v>2</v>
      </c>
      <c r="P187" s="123">
        <v>0</v>
      </c>
      <c r="Q187" s="123">
        <v>0</v>
      </c>
      <c r="R187" s="123">
        <v>0</v>
      </c>
      <c r="S187" s="7" t="s">
        <v>13</v>
      </c>
      <c r="T187" s="9"/>
      <c r="U187" s="1"/>
    </row>
    <row r="188" spans="1:21" ht="13.5" thickBot="1" x14ac:dyDescent="0.25">
      <c r="A188" s="123">
        <v>676</v>
      </c>
      <c r="B188" s="123">
        <v>163</v>
      </c>
      <c r="C188" s="123">
        <v>513</v>
      </c>
      <c r="D188" s="123">
        <v>197</v>
      </c>
      <c r="E188" s="123">
        <v>19</v>
      </c>
      <c r="F188" s="123">
        <v>178</v>
      </c>
      <c r="G188" s="123">
        <v>68</v>
      </c>
      <c r="H188" s="123">
        <v>11</v>
      </c>
      <c r="I188" s="123">
        <v>57</v>
      </c>
      <c r="J188" s="123">
        <v>358</v>
      </c>
      <c r="K188" s="123">
        <v>130</v>
      </c>
      <c r="L188" s="123">
        <v>228</v>
      </c>
      <c r="M188" s="123">
        <v>48</v>
      </c>
      <c r="N188" s="123">
        <v>3</v>
      </c>
      <c r="O188" s="123">
        <v>45</v>
      </c>
      <c r="P188" s="123">
        <v>5</v>
      </c>
      <c r="Q188" s="123">
        <v>0</v>
      </c>
      <c r="R188" s="123">
        <v>5</v>
      </c>
      <c r="S188" s="7" t="s">
        <v>163</v>
      </c>
      <c r="T188" s="124"/>
      <c r="U188" s="1"/>
    </row>
    <row r="189" spans="1:21" ht="13.5" thickBot="1" x14ac:dyDescent="0.25">
      <c r="A189" s="123">
        <v>98</v>
      </c>
      <c r="B189" s="123">
        <v>15</v>
      </c>
      <c r="C189" s="123">
        <v>83</v>
      </c>
      <c r="D189" s="123">
        <v>15</v>
      </c>
      <c r="E189" s="123">
        <v>1</v>
      </c>
      <c r="F189" s="123">
        <v>14</v>
      </c>
      <c r="G189" s="123">
        <v>5</v>
      </c>
      <c r="H189" s="123">
        <v>0</v>
      </c>
      <c r="I189" s="123">
        <v>5</v>
      </c>
      <c r="J189" s="123">
        <v>45</v>
      </c>
      <c r="K189" s="123">
        <v>13</v>
      </c>
      <c r="L189" s="123">
        <v>32</v>
      </c>
      <c r="M189" s="123">
        <v>31</v>
      </c>
      <c r="N189" s="123">
        <v>1</v>
      </c>
      <c r="O189" s="123">
        <v>30</v>
      </c>
      <c r="P189" s="123">
        <v>2</v>
      </c>
      <c r="Q189" s="123">
        <v>0</v>
      </c>
      <c r="R189" s="123">
        <v>2</v>
      </c>
      <c r="S189" s="7" t="s">
        <v>162</v>
      </c>
      <c r="T189" s="124" t="s">
        <v>652</v>
      </c>
      <c r="U189" s="1"/>
    </row>
    <row r="190" spans="1:21" ht="13.5" thickBot="1" x14ac:dyDescent="0.25">
      <c r="A190" s="123">
        <v>774</v>
      </c>
      <c r="B190" s="123">
        <v>178</v>
      </c>
      <c r="C190" s="123">
        <v>596</v>
      </c>
      <c r="D190" s="123">
        <v>212</v>
      </c>
      <c r="E190" s="123">
        <v>20</v>
      </c>
      <c r="F190" s="123">
        <v>192</v>
      </c>
      <c r="G190" s="123">
        <v>73</v>
      </c>
      <c r="H190" s="123">
        <v>11</v>
      </c>
      <c r="I190" s="123">
        <v>62</v>
      </c>
      <c r="J190" s="123">
        <v>403</v>
      </c>
      <c r="K190" s="123">
        <v>143</v>
      </c>
      <c r="L190" s="123">
        <v>260</v>
      </c>
      <c r="M190" s="123">
        <v>79</v>
      </c>
      <c r="N190" s="123">
        <v>4</v>
      </c>
      <c r="O190" s="123">
        <v>75</v>
      </c>
      <c r="P190" s="123">
        <v>7</v>
      </c>
      <c r="Q190" s="123">
        <v>0</v>
      </c>
      <c r="R190" s="123">
        <v>7</v>
      </c>
      <c r="S190" s="7" t="s">
        <v>13</v>
      </c>
      <c r="T190" s="9"/>
      <c r="U190" s="1"/>
    </row>
    <row r="191" spans="1:21" ht="13.5" thickBot="1" x14ac:dyDescent="0.25">
      <c r="A191" s="123">
        <v>12</v>
      </c>
      <c r="B191" s="123">
        <v>0</v>
      </c>
      <c r="C191" s="123">
        <v>12</v>
      </c>
      <c r="D191" s="123">
        <v>3</v>
      </c>
      <c r="E191" s="123">
        <v>0</v>
      </c>
      <c r="F191" s="123">
        <v>3</v>
      </c>
      <c r="G191" s="123">
        <v>1</v>
      </c>
      <c r="H191" s="123">
        <v>0</v>
      </c>
      <c r="I191" s="123">
        <v>1</v>
      </c>
      <c r="J191" s="123">
        <v>8</v>
      </c>
      <c r="K191" s="123">
        <v>0</v>
      </c>
      <c r="L191" s="123">
        <v>8</v>
      </c>
      <c r="M191" s="123">
        <v>0</v>
      </c>
      <c r="N191" s="123">
        <v>0</v>
      </c>
      <c r="O191" s="123">
        <v>0</v>
      </c>
      <c r="P191" s="123">
        <v>0</v>
      </c>
      <c r="Q191" s="123">
        <v>0</v>
      </c>
      <c r="R191" s="123">
        <v>0</v>
      </c>
      <c r="S191" s="7" t="s">
        <v>163</v>
      </c>
      <c r="T191" s="124"/>
      <c r="U191" s="1"/>
    </row>
    <row r="192" spans="1:21" ht="13.5" thickBot="1" x14ac:dyDescent="0.25">
      <c r="A192" s="123">
        <v>0</v>
      </c>
      <c r="B192" s="123">
        <v>0</v>
      </c>
      <c r="C192" s="123">
        <v>0</v>
      </c>
      <c r="D192" s="123">
        <v>0</v>
      </c>
      <c r="E192" s="123">
        <v>0</v>
      </c>
      <c r="F192" s="123">
        <v>0</v>
      </c>
      <c r="G192" s="123">
        <v>0</v>
      </c>
      <c r="H192" s="123">
        <v>0</v>
      </c>
      <c r="I192" s="123">
        <v>0</v>
      </c>
      <c r="J192" s="123">
        <v>0</v>
      </c>
      <c r="K192" s="123">
        <v>0</v>
      </c>
      <c r="L192" s="123">
        <v>0</v>
      </c>
      <c r="M192" s="123">
        <v>0</v>
      </c>
      <c r="N192" s="123">
        <v>0</v>
      </c>
      <c r="O192" s="123">
        <v>0</v>
      </c>
      <c r="P192" s="123">
        <v>0</v>
      </c>
      <c r="Q192" s="123">
        <v>0</v>
      </c>
      <c r="R192" s="123">
        <v>0</v>
      </c>
      <c r="S192" s="7" t="s">
        <v>162</v>
      </c>
      <c r="T192" s="124" t="s">
        <v>539</v>
      </c>
      <c r="U192" s="1"/>
    </row>
    <row r="193" spans="1:21" ht="13.5" thickBot="1" x14ac:dyDescent="0.25">
      <c r="A193" s="123">
        <v>12</v>
      </c>
      <c r="B193" s="123">
        <v>0</v>
      </c>
      <c r="C193" s="123">
        <v>12</v>
      </c>
      <c r="D193" s="123">
        <v>3</v>
      </c>
      <c r="E193" s="123">
        <v>0</v>
      </c>
      <c r="F193" s="123">
        <v>3</v>
      </c>
      <c r="G193" s="123">
        <v>1</v>
      </c>
      <c r="H193" s="123">
        <v>0</v>
      </c>
      <c r="I193" s="123">
        <v>1</v>
      </c>
      <c r="J193" s="123">
        <v>8</v>
      </c>
      <c r="K193" s="123">
        <v>0</v>
      </c>
      <c r="L193" s="123">
        <v>8</v>
      </c>
      <c r="M193" s="123">
        <v>0</v>
      </c>
      <c r="N193" s="123">
        <v>0</v>
      </c>
      <c r="O193" s="123">
        <v>0</v>
      </c>
      <c r="P193" s="123">
        <v>0</v>
      </c>
      <c r="Q193" s="123">
        <v>0</v>
      </c>
      <c r="R193" s="123">
        <v>0</v>
      </c>
      <c r="S193" s="7" t="s">
        <v>13</v>
      </c>
      <c r="T193" s="9"/>
      <c r="U193" s="1"/>
    </row>
    <row r="194" spans="1:21" ht="13.5" thickBot="1" x14ac:dyDescent="0.25">
      <c r="A194" s="123">
        <v>24</v>
      </c>
      <c r="B194" s="123">
        <v>0</v>
      </c>
      <c r="C194" s="123">
        <v>24</v>
      </c>
      <c r="D194" s="123">
        <v>4</v>
      </c>
      <c r="E194" s="123">
        <v>0</v>
      </c>
      <c r="F194" s="123">
        <v>4</v>
      </c>
      <c r="G194" s="123">
        <v>1</v>
      </c>
      <c r="H194" s="123">
        <v>0</v>
      </c>
      <c r="I194" s="123">
        <v>1</v>
      </c>
      <c r="J194" s="123">
        <v>12</v>
      </c>
      <c r="K194" s="123">
        <v>0</v>
      </c>
      <c r="L194" s="123">
        <v>12</v>
      </c>
      <c r="M194" s="123">
        <v>7</v>
      </c>
      <c r="N194" s="123">
        <v>0</v>
      </c>
      <c r="O194" s="123">
        <v>7</v>
      </c>
      <c r="P194" s="123">
        <v>0</v>
      </c>
      <c r="Q194" s="123">
        <v>0</v>
      </c>
      <c r="R194" s="123">
        <v>0</v>
      </c>
      <c r="S194" s="7" t="s">
        <v>163</v>
      </c>
      <c r="T194" s="124"/>
      <c r="U194" s="1"/>
    </row>
    <row r="195" spans="1:21" ht="13.5" thickBot="1" x14ac:dyDescent="0.25">
      <c r="A195" s="123">
        <v>5</v>
      </c>
      <c r="B195" s="123">
        <v>0</v>
      </c>
      <c r="C195" s="123">
        <v>5</v>
      </c>
      <c r="D195" s="123">
        <v>0</v>
      </c>
      <c r="E195" s="123">
        <v>0</v>
      </c>
      <c r="F195" s="123">
        <v>0</v>
      </c>
      <c r="G195" s="123">
        <v>3</v>
      </c>
      <c r="H195" s="123">
        <v>0</v>
      </c>
      <c r="I195" s="123">
        <v>3</v>
      </c>
      <c r="J195" s="123">
        <v>2</v>
      </c>
      <c r="K195" s="123">
        <v>0</v>
      </c>
      <c r="L195" s="123">
        <v>2</v>
      </c>
      <c r="M195" s="123">
        <v>0</v>
      </c>
      <c r="N195" s="123">
        <v>0</v>
      </c>
      <c r="O195" s="123">
        <v>0</v>
      </c>
      <c r="P195" s="123">
        <v>0</v>
      </c>
      <c r="Q195" s="123">
        <v>0</v>
      </c>
      <c r="R195" s="123">
        <v>0</v>
      </c>
      <c r="S195" s="7" t="s">
        <v>162</v>
      </c>
      <c r="T195" s="124" t="s">
        <v>379</v>
      </c>
      <c r="U195" s="1"/>
    </row>
    <row r="196" spans="1:21" ht="13.5" thickBot="1" x14ac:dyDescent="0.25">
      <c r="A196" s="123">
        <v>29</v>
      </c>
      <c r="B196" s="123">
        <v>0</v>
      </c>
      <c r="C196" s="123">
        <v>29</v>
      </c>
      <c r="D196" s="123">
        <v>4</v>
      </c>
      <c r="E196" s="123">
        <v>0</v>
      </c>
      <c r="F196" s="123">
        <v>4</v>
      </c>
      <c r="G196" s="123">
        <v>4</v>
      </c>
      <c r="H196" s="123">
        <v>0</v>
      </c>
      <c r="I196" s="123">
        <v>4</v>
      </c>
      <c r="J196" s="123">
        <v>14</v>
      </c>
      <c r="K196" s="123">
        <v>0</v>
      </c>
      <c r="L196" s="123">
        <v>14</v>
      </c>
      <c r="M196" s="123">
        <v>7</v>
      </c>
      <c r="N196" s="123">
        <v>0</v>
      </c>
      <c r="O196" s="123">
        <v>7</v>
      </c>
      <c r="P196" s="123">
        <v>0</v>
      </c>
      <c r="Q196" s="123">
        <v>0</v>
      </c>
      <c r="R196" s="123">
        <v>0</v>
      </c>
      <c r="S196" s="7" t="s">
        <v>13</v>
      </c>
      <c r="T196" s="9"/>
      <c r="U196" s="1"/>
    </row>
    <row r="197" spans="1:21" ht="13.5" thickBot="1" x14ac:dyDescent="0.25">
      <c r="A197" s="123">
        <v>64</v>
      </c>
      <c r="B197" s="123">
        <v>0</v>
      </c>
      <c r="C197" s="123">
        <v>64</v>
      </c>
      <c r="D197" s="123">
        <v>39</v>
      </c>
      <c r="E197" s="123">
        <v>0</v>
      </c>
      <c r="F197" s="123">
        <v>39</v>
      </c>
      <c r="G197" s="123">
        <v>11</v>
      </c>
      <c r="H197" s="123">
        <v>0</v>
      </c>
      <c r="I197" s="123">
        <v>11</v>
      </c>
      <c r="J197" s="123">
        <v>14</v>
      </c>
      <c r="K197" s="123">
        <v>0</v>
      </c>
      <c r="L197" s="123">
        <v>14</v>
      </c>
      <c r="M197" s="123">
        <v>0</v>
      </c>
      <c r="N197" s="123">
        <v>0</v>
      </c>
      <c r="O197" s="123">
        <v>0</v>
      </c>
      <c r="P197" s="123">
        <v>0</v>
      </c>
      <c r="Q197" s="123">
        <v>0</v>
      </c>
      <c r="R197" s="123">
        <v>0</v>
      </c>
      <c r="S197" s="7" t="s">
        <v>163</v>
      </c>
      <c r="T197" s="124"/>
      <c r="U197" s="1"/>
    </row>
    <row r="198" spans="1:21" ht="13.5" thickBot="1" x14ac:dyDescent="0.25">
      <c r="A198" s="123">
        <v>7</v>
      </c>
      <c r="B198" s="123">
        <v>0</v>
      </c>
      <c r="C198" s="123">
        <v>7</v>
      </c>
      <c r="D198" s="123">
        <v>0</v>
      </c>
      <c r="E198" s="123">
        <v>0</v>
      </c>
      <c r="F198" s="123">
        <v>0</v>
      </c>
      <c r="G198" s="123">
        <v>1</v>
      </c>
      <c r="H198" s="123">
        <v>0</v>
      </c>
      <c r="I198" s="123">
        <v>1</v>
      </c>
      <c r="J198" s="123">
        <v>6</v>
      </c>
      <c r="K198" s="123">
        <v>0</v>
      </c>
      <c r="L198" s="123">
        <v>6</v>
      </c>
      <c r="M198" s="123">
        <v>0</v>
      </c>
      <c r="N198" s="123">
        <v>0</v>
      </c>
      <c r="O198" s="123">
        <v>0</v>
      </c>
      <c r="P198" s="123">
        <v>0</v>
      </c>
      <c r="Q198" s="123">
        <v>0</v>
      </c>
      <c r="R198" s="123">
        <v>0</v>
      </c>
      <c r="S198" s="7" t="s">
        <v>162</v>
      </c>
      <c r="T198" s="124" t="s">
        <v>566</v>
      </c>
      <c r="U198" s="1"/>
    </row>
    <row r="199" spans="1:21" ht="13.5" thickBot="1" x14ac:dyDescent="0.25">
      <c r="A199" s="123">
        <v>71</v>
      </c>
      <c r="B199" s="123">
        <v>0</v>
      </c>
      <c r="C199" s="123">
        <v>71</v>
      </c>
      <c r="D199" s="123">
        <v>39</v>
      </c>
      <c r="E199" s="123">
        <v>0</v>
      </c>
      <c r="F199" s="123">
        <v>39</v>
      </c>
      <c r="G199" s="123">
        <v>12</v>
      </c>
      <c r="H199" s="123">
        <v>0</v>
      </c>
      <c r="I199" s="123">
        <v>12</v>
      </c>
      <c r="J199" s="123">
        <v>20</v>
      </c>
      <c r="K199" s="123">
        <v>0</v>
      </c>
      <c r="L199" s="123">
        <v>20</v>
      </c>
      <c r="M199" s="123">
        <v>0</v>
      </c>
      <c r="N199" s="123">
        <v>0</v>
      </c>
      <c r="O199" s="123">
        <v>0</v>
      </c>
      <c r="P199" s="123">
        <v>0</v>
      </c>
      <c r="Q199" s="123">
        <v>0</v>
      </c>
      <c r="R199" s="123">
        <v>0</v>
      </c>
      <c r="S199" s="7" t="s">
        <v>13</v>
      </c>
      <c r="T199" s="9"/>
      <c r="U199" s="1"/>
    </row>
    <row r="200" spans="1:21" ht="13.5" thickBot="1" x14ac:dyDescent="0.25">
      <c r="A200" s="123">
        <v>28</v>
      </c>
      <c r="B200" s="123">
        <v>0</v>
      </c>
      <c r="C200" s="123">
        <v>28</v>
      </c>
      <c r="D200" s="123">
        <v>9</v>
      </c>
      <c r="E200" s="123">
        <v>0</v>
      </c>
      <c r="F200" s="123">
        <v>9</v>
      </c>
      <c r="G200" s="123">
        <v>4</v>
      </c>
      <c r="H200" s="123">
        <v>0</v>
      </c>
      <c r="I200" s="123">
        <v>4</v>
      </c>
      <c r="J200" s="123">
        <v>14</v>
      </c>
      <c r="K200" s="123">
        <v>0</v>
      </c>
      <c r="L200" s="123">
        <v>14</v>
      </c>
      <c r="M200" s="123">
        <v>1</v>
      </c>
      <c r="N200" s="123">
        <v>0</v>
      </c>
      <c r="O200" s="123">
        <v>1</v>
      </c>
      <c r="P200" s="123">
        <v>0</v>
      </c>
      <c r="Q200" s="123">
        <v>0</v>
      </c>
      <c r="R200" s="123">
        <v>0</v>
      </c>
      <c r="S200" s="7" t="s">
        <v>163</v>
      </c>
      <c r="T200" s="124"/>
      <c r="U200" s="1"/>
    </row>
    <row r="201" spans="1:21" ht="13.5" thickBot="1" x14ac:dyDescent="0.25">
      <c r="A201" s="123">
        <v>4</v>
      </c>
      <c r="B201" s="123">
        <v>0</v>
      </c>
      <c r="C201" s="123">
        <v>4</v>
      </c>
      <c r="D201" s="123">
        <v>0</v>
      </c>
      <c r="E201" s="123">
        <v>0</v>
      </c>
      <c r="F201" s="123">
        <v>0</v>
      </c>
      <c r="G201" s="123">
        <v>0</v>
      </c>
      <c r="H201" s="123">
        <v>0</v>
      </c>
      <c r="I201" s="123">
        <v>0</v>
      </c>
      <c r="J201" s="123">
        <v>3</v>
      </c>
      <c r="K201" s="123">
        <v>0</v>
      </c>
      <c r="L201" s="123">
        <v>3</v>
      </c>
      <c r="M201" s="123">
        <v>1</v>
      </c>
      <c r="N201" s="123">
        <v>0</v>
      </c>
      <c r="O201" s="123">
        <v>1</v>
      </c>
      <c r="P201" s="123">
        <v>0</v>
      </c>
      <c r="Q201" s="123">
        <v>0</v>
      </c>
      <c r="R201" s="123">
        <v>0</v>
      </c>
      <c r="S201" s="7" t="s">
        <v>162</v>
      </c>
      <c r="T201" s="124" t="s">
        <v>538</v>
      </c>
      <c r="U201" s="1"/>
    </row>
    <row r="202" spans="1:21" ht="13.5" thickBot="1" x14ac:dyDescent="0.25">
      <c r="A202" s="123">
        <v>32</v>
      </c>
      <c r="B202" s="123">
        <v>0</v>
      </c>
      <c r="C202" s="123">
        <v>32</v>
      </c>
      <c r="D202" s="123">
        <v>9</v>
      </c>
      <c r="E202" s="123">
        <v>0</v>
      </c>
      <c r="F202" s="123">
        <v>9</v>
      </c>
      <c r="G202" s="123">
        <v>4</v>
      </c>
      <c r="H202" s="123">
        <v>0</v>
      </c>
      <c r="I202" s="123">
        <v>4</v>
      </c>
      <c r="J202" s="123">
        <v>17</v>
      </c>
      <c r="K202" s="123">
        <v>0</v>
      </c>
      <c r="L202" s="123">
        <v>17</v>
      </c>
      <c r="M202" s="123">
        <v>2</v>
      </c>
      <c r="N202" s="123">
        <v>0</v>
      </c>
      <c r="O202" s="123">
        <v>2</v>
      </c>
      <c r="P202" s="123">
        <v>0</v>
      </c>
      <c r="Q202" s="123">
        <v>0</v>
      </c>
      <c r="R202" s="123">
        <v>0</v>
      </c>
      <c r="S202" s="7" t="s">
        <v>13</v>
      </c>
      <c r="T202" s="9"/>
      <c r="U202" s="1"/>
    </row>
    <row r="203" spans="1:21" ht="13.5" thickBot="1" x14ac:dyDescent="0.25">
      <c r="A203" s="123">
        <v>61</v>
      </c>
      <c r="B203" s="123">
        <v>18</v>
      </c>
      <c r="C203" s="123">
        <v>43</v>
      </c>
      <c r="D203" s="123">
        <v>32</v>
      </c>
      <c r="E203" s="123">
        <v>4</v>
      </c>
      <c r="F203" s="123">
        <v>28</v>
      </c>
      <c r="G203" s="123">
        <v>2</v>
      </c>
      <c r="H203" s="123">
        <v>0</v>
      </c>
      <c r="I203" s="123">
        <v>2</v>
      </c>
      <c r="J203" s="123">
        <v>27</v>
      </c>
      <c r="K203" s="123">
        <v>14</v>
      </c>
      <c r="L203" s="123">
        <v>13</v>
      </c>
      <c r="M203" s="123">
        <v>0</v>
      </c>
      <c r="N203" s="123">
        <v>0</v>
      </c>
      <c r="O203" s="123">
        <v>0</v>
      </c>
      <c r="P203" s="123">
        <v>0</v>
      </c>
      <c r="Q203" s="123">
        <v>0</v>
      </c>
      <c r="R203" s="123">
        <v>0</v>
      </c>
      <c r="S203" s="7" t="s">
        <v>163</v>
      </c>
      <c r="T203" s="124"/>
      <c r="U203" s="1"/>
    </row>
    <row r="204" spans="1:21" ht="13.5" thickBot="1" x14ac:dyDescent="0.25">
      <c r="A204" s="123">
        <v>18</v>
      </c>
      <c r="B204" s="123">
        <v>8</v>
      </c>
      <c r="C204" s="123">
        <v>10</v>
      </c>
      <c r="D204" s="123">
        <v>3</v>
      </c>
      <c r="E204" s="123">
        <v>1</v>
      </c>
      <c r="F204" s="123">
        <v>2</v>
      </c>
      <c r="G204" s="123">
        <v>5</v>
      </c>
      <c r="H204" s="123">
        <v>1</v>
      </c>
      <c r="I204" s="123">
        <v>4</v>
      </c>
      <c r="J204" s="123">
        <v>10</v>
      </c>
      <c r="K204" s="123">
        <v>6</v>
      </c>
      <c r="L204" s="123">
        <v>4</v>
      </c>
      <c r="M204" s="123">
        <v>0</v>
      </c>
      <c r="N204" s="123">
        <v>0</v>
      </c>
      <c r="O204" s="123">
        <v>0</v>
      </c>
      <c r="P204" s="123">
        <v>0</v>
      </c>
      <c r="Q204" s="123">
        <v>0</v>
      </c>
      <c r="R204" s="123">
        <v>0</v>
      </c>
      <c r="S204" s="7" t="s">
        <v>162</v>
      </c>
      <c r="T204" s="124" t="s">
        <v>653</v>
      </c>
      <c r="U204" s="1"/>
    </row>
    <row r="205" spans="1:21" ht="13.5" thickBot="1" x14ac:dyDescent="0.25">
      <c r="A205" s="123">
        <v>79</v>
      </c>
      <c r="B205" s="123">
        <v>26</v>
      </c>
      <c r="C205" s="123">
        <v>53</v>
      </c>
      <c r="D205" s="123">
        <v>35</v>
      </c>
      <c r="E205" s="123">
        <v>5</v>
      </c>
      <c r="F205" s="123">
        <v>30</v>
      </c>
      <c r="G205" s="123">
        <v>7</v>
      </c>
      <c r="H205" s="123">
        <v>1</v>
      </c>
      <c r="I205" s="123">
        <v>6</v>
      </c>
      <c r="J205" s="123">
        <v>37</v>
      </c>
      <c r="K205" s="123">
        <v>20</v>
      </c>
      <c r="L205" s="123">
        <v>17</v>
      </c>
      <c r="M205" s="123">
        <v>0</v>
      </c>
      <c r="N205" s="123">
        <v>0</v>
      </c>
      <c r="O205" s="123">
        <v>0</v>
      </c>
      <c r="P205" s="123">
        <v>0</v>
      </c>
      <c r="Q205" s="123">
        <v>0</v>
      </c>
      <c r="R205" s="123">
        <v>0</v>
      </c>
      <c r="S205" s="7" t="s">
        <v>13</v>
      </c>
      <c r="T205" s="9"/>
      <c r="U205" s="1"/>
    </row>
    <row r="206" spans="1:21" ht="13.5" thickBot="1" x14ac:dyDescent="0.25">
      <c r="A206" s="123">
        <v>8</v>
      </c>
      <c r="B206" s="123">
        <v>8</v>
      </c>
      <c r="C206" s="123">
        <v>0</v>
      </c>
      <c r="D206" s="123">
        <v>2</v>
      </c>
      <c r="E206" s="123">
        <v>2</v>
      </c>
      <c r="F206" s="123">
        <v>0</v>
      </c>
      <c r="G206" s="123">
        <v>0</v>
      </c>
      <c r="H206" s="123">
        <v>0</v>
      </c>
      <c r="I206" s="123">
        <v>0</v>
      </c>
      <c r="J206" s="123">
        <v>6</v>
      </c>
      <c r="K206" s="123">
        <v>6</v>
      </c>
      <c r="L206" s="123">
        <v>0</v>
      </c>
      <c r="M206" s="123">
        <v>0</v>
      </c>
      <c r="N206" s="123">
        <v>0</v>
      </c>
      <c r="O206" s="123">
        <v>0</v>
      </c>
      <c r="P206" s="123">
        <v>0</v>
      </c>
      <c r="Q206" s="123">
        <v>0</v>
      </c>
      <c r="R206" s="123">
        <v>0</v>
      </c>
      <c r="S206" s="7" t="s">
        <v>163</v>
      </c>
      <c r="T206" s="124"/>
      <c r="U206" s="1"/>
    </row>
    <row r="207" spans="1:21" ht="13.5" thickBot="1" x14ac:dyDescent="0.25">
      <c r="A207" s="123">
        <v>0</v>
      </c>
      <c r="B207" s="123">
        <v>0</v>
      </c>
      <c r="C207" s="123">
        <v>0</v>
      </c>
      <c r="D207" s="123">
        <v>0</v>
      </c>
      <c r="E207" s="123">
        <v>0</v>
      </c>
      <c r="F207" s="123">
        <v>0</v>
      </c>
      <c r="G207" s="123">
        <v>0</v>
      </c>
      <c r="H207" s="123">
        <v>0</v>
      </c>
      <c r="I207" s="123">
        <v>0</v>
      </c>
      <c r="J207" s="123">
        <v>0</v>
      </c>
      <c r="K207" s="123">
        <v>0</v>
      </c>
      <c r="L207" s="123">
        <v>0</v>
      </c>
      <c r="M207" s="123">
        <v>0</v>
      </c>
      <c r="N207" s="123">
        <v>0</v>
      </c>
      <c r="O207" s="123">
        <v>0</v>
      </c>
      <c r="P207" s="123">
        <v>0</v>
      </c>
      <c r="Q207" s="123">
        <v>0</v>
      </c>
      <c r="R207" s="123">
        <v>0</v>
      </c>
      <c r="S207" s="7" t="s">
        <v>162</v>
      </c>
      <c r="T207" s="124" t="s">
        <v>380</v>
      </c>
      <c r="U207" s="1"/>
    </row>
    <row r="208" spans="1:21" ht="13.5" thickBot="1" x14ac:dyDescent="0.25">
      <c r="A208" s="123">
        <v>8</v>
      </c>
      <c r="B208" s="123">
        <v>8</v>
      </c>
      <c r="C208" s="123">
        <v>0</v>
      </c>
      <c r="D208" s="123">
        <v>2</v>
      </c>
      <c r="E208" s="123">
        <v>2</v>
      </c>
      <c r="F208" s="123">
        <v>0</v>
      </c>
      <c r="G208" s="123">
        <v>0</v>
      </c>
      <c r="H208" s="123">
        <v>0</v>
      </c>
      <c r="I208" s="123">
        <v>0</v>
      </c>
      <c r="J208" s="123">
        <v>6</v>
      </c>
      <c r="K208" s="123">
        <v>6</v>
      </c>
      <c r="L208" s="123">
        <v>0</v>
      </c>
      <c r="M208" s="123">
        <v>0</v>
      </c>
      <c r="N208" s="123">
        <v>0</v>
      </c>
      <c r="O208" s="123">
        <v>0</v>
      </c>
      <c r="P208" s="123">
        <v>0</v>
      </c>
      <c r="Q208" s="123">
        <v>0</v>
      </c>
      <c r="R208" s="123">
        <v>0</v>
      </c>
      <c r="S208" s="7" t="s">
        <v>13</v>
      </c>
      <c r="T208" s="9"/>
      <c r="U208" s="1"/>
    </row>
    <row r="209" spans="1:21" ht="13.5" thickBot="1" x14ac:dyDescent="0.25">
      <c r="A209" s="123">
        <v>6</v>
      </c>
      <c r="B209" s="123">
        <v>3</v>
      </c>
      <c r="C209" s="123">
        <v>3</v>
      </c>
      <c r="D209" s="123">
        <v>3</v>
      </c>
      <c r="E209" s="123">
        <v>1</v>
      </c>
      <c r="F209" s="123">
        <v>2</v>
      </c>
      <c r="G209" s="123">
        <v>0</v>
      </c>
      <c r="H209" s="123">
        <v>0</v>
      </c>
      <c r="I209" s="123">
        <v>0</v>
      </c>
      <c r="J209" s="123">
        <v>3</v>
      </c>
      <c r="K209" s="123">
        <v>2</v>
      </c>
      <c r="L209" s="123">
        <v>1</v>
      </c>
      <c r="M209" s="123">
        <v>0</v>
      </c>
      <c r="N209" s="123">
        <v>0</v>
      </c>
      <c r="O209" s="123">
        <v>0</v>
      </c>
      <c r="P209" s="123">
        <v>0</v>
      </c>
      <c r="Q209" s="123">
        <v>0</v>
      </c>
      <c r="R209" s="123">
        <v>0</v>
      </c>
      <c r="S209" s="7" t="s">
        <v>163</v>
      </c>
      <c r="T209" s="124"/>
      <c r="U209" s="1"/>
    </row>
    <row r="210" spans="1:21" ht="13.5" thickBot="1" x14ac:dyDescent="0.25">
      <c r="A210" s="123">
        <v>1</v>
      </c>
      <c r="B210" s="123">
        <v>0</v>
      </c>
      <c r="C210" s="123">
        <v>1</v>
      </c>
      <c r="D210" s="123">
        <v>0</v>
      </c>
      <c r="E210" s="123">
        <v>0</v>
      </c>
      <c r="F210" s="123">
        <v>0</v>
      </c>
      <c r="G210" s="123">
        <v>0</v>
      </c>
      <c r="H210" s="123">
        <v>0</v>
      </c>
      <c r="I210" s="123">
        <v>0</v>
      </c>
      <c r="J210" s="123">
        <v>1</v>
      </c>
      <c r="K210" s="123">
        <v>0</v>
      </c>
      <c r="L210" s="123">
        <v>1</v>
      </c>
      <c r="M210" s="123">
        <v>0</v>
      </c>
      <c r="N210" s="123">
        <v>0</v>
      </c>
      <c r="O210" s="123">
        <v>0</v>
      </c>
      <c r="P210" s="123">
        <v>0</v>
      </c>
      <c r="Q210" s="123">
        <v>0</v>
      </c>
      <c r="R210" s="123">
        <v>0</v>
      </c>
      <c r="S210" s="7" t="s">
        <v>162</v>
      </c>
      <c r="T210" s="124" t="s">
        <v>264</v>
      </c>
      <c r="U210" s="1"/>
    </row>
    <row r="211" spans="1:21" ht="13.5" thickBot="1" x14ac:dyDescent="0.25">
      <c r="A211" s="123">
        <v>7</v>
      </c>
      <c r="B211" s="123">
        <v>3</v>
      </c>
      <c r="C211" s="123">
        <v>4</v>
      </c>
      <c r="D211" s="123">
        <v>3</v>
      </c>
      <c r="E211" s="123">
        <v>1</v>
      </c>
      <c r="F211" s="123">
        <v>2</v>
      </c>
      <c r="G211" s="123">
        <v>0</v>
      </c>
      <c r="H211" s="123">
        <v>0</v>
      </c>
      <c r="I211" s="123">
        <v>0</v>
      </c>
      <c r="J211" s="123">
        <v>4</v>
      </c>
      <c r="K211" s="123">
        <v>2</v>
      </c>
      <c r="L211" s="123">
        <v>2</v>
      </c>
      <c r="M211" s="123">
        <v>0</v>
      </c>
      <c r="N211" s="123">
        <v>0</v>
      </c>
      <c r="O211" s="123">
        <v>0</v>
      </c>
      <c r="P211" s="123">
        <v>0</v>
      </c>
      <c r="Q211" s="123">
        <v>0</v>
      </c>
      <c r="R211" s="123">
        <v>0</v>
      </c>
      <c r="S211" s="7" t="s">
        <v>13</v>
      </c>
      <c r="T211" s="9"/>
      <c r="U211" s="1"/>
    </row>
    <row r="212" spans="1:21" ht="13.5" thickBot="1" x14ac:dyDescent="0.25">
      <c r="A212" s="123">
        <v>5</v>
      </c>
      <c r="B212" s="123">
        <v>0</v>
      </c>
      <c r="C212" s="123">
        <v>5</v>
      </c>
      <c r="D212" s="123">
        <v>1</v>
      </c>
      <c r="E212" s="123">
        <v>0</v>
      </c>
      <c r="F212" s="123">
        <v>1</v>
      </c>
      <c r="G212" s="123">
        <v>1</v>
      </c>
      <c r="H212" s="123">
        <v>0</v>
      </c>
      <c r="I212" s="123">
        <v>1</v>
      </c>
      <c r="J212" s="123">
        <v>3</v>
      </c>
      <c r="K212" s="123">
        <v>0</v>
      </c>
      <c r="L212" s="123">
        <v>3</v>
      </c>
      <c r="M212" s="123">
        <v>0</v>
      </c>
      <c r="N212" s="123">
        <v>0</v>
      </c>
      <c r="O212" s="123">
        <v>0</v>
      </c>
      <c r="P212" s="123">
        <v>0</v>
      </c>
      <c r="Q212" s="123">
        <v>0</v>
      </c>
      <c r="R212" s="123">
        <v>0</v>
      </c>
      <c r="S212" s="7" t="s">
        <v>163</v>
      </c>
      <c r="T212" s="124"/>
      <c r="U212" s="1"/>
    </row>
    <row r="213" spans="1:21" ht="13.5" thickBot="1" x14ac:dyDescent="0.25">
      <c r="A213" s="123">
        <v>6</v>
      </c>
      <c r="B213" s="123">
        <v>3</v>
      </c>
      <c r="C213" s="123">
        <v>3</v>
      </c>
      <c r="D213" s="123">
        <v>0</v>
      </c>
      <c r="E213" s="123">
        <v>0</v>
      </c>
      <c r="F213" s="123">
        <v>0</v>
      </c>
      <c r="G213" s="123">
        <v>0</v>
      </c>
      <c r="H213" s="123">
        <v>0</v>
      </c>
      <c r="I213" s="123">
        <v>0</v>
      </c>
      <c r="J213" s="123">
        <v>6</v>
      </c>
      <c r="K213" s="123">
        <v>3</v>
      </c>
      <c r="L213" s="123">
        <v>3</v>
      </c>
      <c r="M213" s="123">
        <v>0</v>
      </c>
      <c r="N213" s="123">
        <v>0</v>
      </c>
      <c r="O213" s="123">
        <v>0</v>
      </c>
      <c r="P213" s="123">
        <v>0</v>
      </c>
      <c r="Q213" s="123">
        <v>0</v>
      </c>
      <c r="R213" s="123">
        <v>0</v>
      </c>
      <c r="S213" s="7" t="s">
        <v>162</v>
      </c>
      <c r="T213" s="124" t="s">
        <v>337</v>
      </c>
      <c r="U213" s="1"/>
    </row>
    <row r="214" spans="1:21" ht="13.5" thickBot="1" x14ac:dyDescent="0.25">
      <c r="A214" s="123">
        <v>11</v>
      </c>
      <c r="B214" s="123">
        <v>3</v>
      </c>
      <c r="C214" s="123">
        <v>8</v>
      </c>
      <c r="D214" s="123">
        <v>1</v>
      </c>
      <c r="E214" s="123">
        <v>0</v>
      </c>
      <c r="F214" s="123">
        <v>1</v>
      </c>
      <c r="G214" s="123">
        <v>1</v>
      </c>
      <c r="H214" s="123">
        <v>0</v>
      </c>
      <c r="I214" s="123">
        <v>1</v>
      </c>
      <c r="J214" s="123">
        <v>9</v>
      </c>
      <c r="K214" s="123">
        <v>3</v>
      </c>
      <c r="L214" s="123">
        <v>6</v>
      </c>
      <c r="M214" s="123">
        <v>0</v>
      </c>
      <c r="N214" s="123">
        <v>0</v>
      </c>
      <c r="O214" s="123">
        <v>0</v>
      </c>
      <c r="P214" s="123">
        <v>0</v>
      </c>
      <c r="Q214" s="123">
        <v>0</v>
      </c>
      <c r="R214" s="123">
        <v>0</v>
      </c>
      <c r="S214" s="7" t="s">
        <v>13</v>
      </c>
      <c r="T214" s="9"/>
      <c r="U214" s="1"/>
    </row>
    <row r="215" spans="1:21" ht="13.5" thickBot="1" x14ac:dyDescent="0.25">
      <c r="A215" s="123">
        <v>15</v>
      </c>
      <c r="B215" s="123">
        <v>0</v>
      </c>
      <c r="C215" s="123">
        <v>15</v>
      </c>
      <c r="D215" s="123">
        <v>4</v>
      </c>
      <c r="E215" s="123">
        <v>0</v>
      </c>
      <c r="F215" s="123">
        <v>4</v>
      </c>
      <c r="G215" s="123">
        <v>4</v>
      </c>
      <c r="H215" s="123">
        <v>0</v>
      </c>
      <c r="I215" s="123">
        <v>4</v>
      </c>
      <c r="J215" s="123">
        <v>7</v>
      </c>
      <c r="K215" s="123">
        <v>0</v>
      </c>
      <c r="L215" s="123">
        <v>7</v>
      </c>
      <c r="M215" s="123">
        <v>0</v>
      </c>
      <c r="N215" s="123">
        <v>0</v>
      </c>
      <c r="O215" s="123">
        <v>0</v>
      </c>
      <c r="P215" s="123">
        <v>0</v>
      </c>
      <c r="Q215" s="123">
        <v>0</v>
      </c>
      <c r="R215" s="123">
        <v>0</v>
      </c>
      <c r="S215" s="7" t="s">
        <v>163</v>
      </c>
      <c r="T215" s="124"/>
      <c r="U215" s="1"/>
    </row>
    <row r="216" spans="1:21" ht="13.5" thickBot="1" x14ac:dyDescent="0.25">
      <c r="A216" s="123">
        <v>0</v>
      </c>
      <c r="B216" s="123">
        <v>0</v>
      </c>
      <c r="C216" s="123">
        <v>0</v>
      </c>
      <c r="D216" s="123">
        <v>0</v>
      </c>
      <c r="E216" s="123">
        <v>0</v>
      </c>
      <c r="F216" s="123">
        <v>0</v>
      </c>
      <c r="G216" s="123">
        <v>0</v>
      </c>
      <c r="H216" s="123">
        <v>0</v>
      </c>
      <c r="I216" s="123">
        <v>0</v>
      </c>
      <c r="J216" s="123">
        <v>0</v>
      </c>
      <c r="K216" s="123">
        <v>0</v>
      </c>
      <c r="L216" s="123">
        <v>0</v>
      </c>
      <c r="M216" s="123">
        <v>0</v>
      </c>
      <c r="N216" s="123">
        <v>0</v>
      </c>
      <c r="O216" s="123">
        <v>0</v>
      </c>
      <c r="P216" s="123">
        <v>0</v>
      </c>
      <c r="Q216" s="123">
        <v>0</v>
      </c>
      <c r="R216" s="123">
        <v>0</v>
      </c>
      <c r="S216" s="7" t="s">
        <v>162</v>
      </c>
      <c r="T216" s="124" t="s">
        <v>95</v>
      </c>
      <c r="U216" s="1"/>
    </row>
    <row r="217" spans="1:21" ht="13.5" thickBot="1" x14ac:dyDescent="0.25">
      <c r="A217" s="123">
        <v>15</v>
      </c>
      <c r="B217" s="123">
        <v>0</v>
      </c>
      <c r="C217" s="123">
        <v>15</v>
      </c>
      <c r="D217" s="123">
        <v>4</v>
      </c>
      <c r="E217" s="123">
        <v>0</v>
      </c>
      <c r="F217" s="123">
        <v>4</v>
      </c>
      <c r="G217" s="123">
        <v>4</v>
      </c>
      <c r="H217" s="123">
        <v>0</v>
      </c>
      <c r="I217" s="123">
        <v>4</v>
      </c>
      <c r="J217" s="123">
        <v>7</v>
      </c>
      <c r="K217" s="123">
        <v>0</v>
      </c>
      <c r="L217" s="123">
        <v>7</v>
      </c>
      <c r="M217" s="123">
        <v>0</v>
      </c>
      <c r="N217" s="123">
        <v>0</v>
      </c>
      <c r="O217" s="123">
        <v>0</v>
      </c>
      <c r="P217" s="123">
        <v>0</v>
      </c>
      <c r="Q217" s="123">
        <v>0</v>
      </c>
      <c r="R217" s="123">
        <v>0</v>
      </c>
      <c r="S217" s="7" t="s">
        <v>13</v>
      </c>
      <c r="T217" s="9"/>
      <c r="U217" s="1"/>
    </row>
    <row r="218" spans="1:21" ht="13.5" thickBot="1" x14ac:dyDescent="0.25">
      <c r="A218" s="123">
        <v>15</v>
      </c>
      <c r="B218" s="123">
        <v>2</v>
      </c>
      <c r="C218" s="123">
        <v>13</v>
      </c>
      <c r="D218" s="123">
        <v>2</v>
      </c>
      <c r="E218" s="123">
        <v>0</v>
      </c>
      <c r="F218" s="123">
        <v>2</v>
      </c>
      <c r="G218" s="123">
        <v>2</v>
      </c>
      <c r="H218" s="123">
        <v>0</v>
      </c>
      <c r="I218" s="123">
        <v>2</v>
      </c>
      <c r="J218" s="123">
        <v>10</v>
      </c>
      <c r="K218" s="123">
        <v>2</v>
      </c>
      <c r="L218" s="123">
        <v>8</v>
      </c>
      <c r="M218" s="123">
        <v>1</v>
      </c>
      <c r="N218" s="123">
        <v>0</v>
      </c>
      <c r="O218" s="123">
        <v>1</v>
      </c>
      <c r="P218" s="123">
        <v>0</v>
      </c>
      <c r="Q218" s="123">
        <v>0</v>
      </c>
      <c r="R218" s="123">
        <v>0</v>
      </c>
      <c r="S218" s="7" t="s">
        <v>163</v>
      </c>
      <c r="T218" s="124"/>
      <c r="U218" s="1"/>
    </row>
    <row r="219" spans="1:21" ht="13.5" thickBot="1" x14ac:dyDescent="0.25">
      <c r="A219" s="123">
        <v>0</v>
      </c>
      <c r="B219" s="123">
        <v>0</v>
      </c>
      <c r="C219" s="123">
        <v>0</v>
      </c>
      <c r="D219" s="123">
        <v>0</v>
      </c>
      <c r="E219" s="123">
        <v>0</v>
      </c>
      <c r="F219" s="123">
        <v>0</v>
      </c>
      <c r="G219" s="123">
        <v>0</v>
      </c>
      <c r="H219" s="123">
        <v>0</v>
      </c>
      <c r="I219" s="123">
        <v>0</v>
      </c>
      <c r="J219" s="123">
        <v>0</v>
      </c>
      <c r="K219" s="123">
        <v>0</v>
      </c>
      <c r="L219" s="123">
        <v>0</v>
      </c>
      <c r="M219" s="123">
        <v>0</v>
      </c>
      <c r="N219" s="123">
        <v>0</v>
      </c>
      <c r="O219" s="123">
        <v>0</v>
      </c>
      <c r="P219" s="123">
        <v>0</v>
      </c>
      <c r="Q219" s="123">
        <v>0</v>
      </c>
      <c r="R219" s="123">
        <v>0</v>
      </c>
      <c r="S219" s="7" t="s">
        <v>162</v>
      </c>
      <c r="T219" s="124" t="s">
        <v>381</v>
      </c>
      <c r="U219" s="1"/>
    </row>
    <row r="220" spans="1:21" ht="13.5" thickBot="1" x14ac:dyDescent="0.25">
      <c r="A220" s="123">
        <v>15</v>
      </c>
      <c r="B220" s="123">
        <v>2</v>
      </c>
      <c r="C220" s="123">
        <v>13</v>
      </c>
      <c r="D220" s="123">
        <v>2</v>
      </c>
      <c r="E220" s="123">
        <v>0</v>
      </c>
      <c r="F220" s="123">
        <v>2</v>
      </c>
      <c r="G220" s="123">
        <v>2</v>
      </c>
      <c r="H220" s="123">
        <v>0</v>
      </c>
      <c r="I220" s="123">
        <v>2</v>
      </c>
      <c r="J220" s="123">
        <v>10</v>
      </c>
      <c r="K220" s="123">
        <v>2</v>
      </c>
      <c r="L220" s="123">
        <v>8</v>
      </c>
      <c r="M220" s="123">
        <v>1</v>
      </c>
      <c r="N220" s="123">
        <v>0</v>
      </c>
      <c r="O220" s="123">
        <v>1</v>
      </c>
      <c r="P220" s="123">
        <v>0</v>
      </c>
      <c r="Q220" s="123">
        <v>0</v>
      </c>
      <c r="R220" s="123">
        <v>0</v>
      </c>
      <c r="S220" s="7" t="s">
        <v>13</v>
      </c>
      <c r="T220" s="9"/>
      <c r="U220" s="1"/>
    </row>
    <row r="221" spans="1:21" ht="13.5" thickBot="1" x14ac:dyDescent="0.25">
      <c r="A221" s="123">
        <v>15</v>
      </c>
      <c r="B221" s="123">
        <v>15</v>
      </c>
      <c r="C221" s="123">
        <v>0</v>
      </c>
      <c r="D221" s="123">
        <v>7</v>
      </c>
      <c r="E221" s="123">
        <v>7</v>
      </c>
      <c r="F221" s="123">
        <v>0</v>
      </c>
      <c r="G221" s="123">
        <v>0</v>
      </c>
      <c r="H221" s="123">
        <v>0</v>
      </c>
      <c r="I221" s="123">
        <v>0</v>
      </c>
      <c r="J221" s="123">
        <v>8</v>
      </c>
      <c r="K221" s="123">
        <v>8</v>
      </c>
      <c r="L221" s="123">
        <v>0</v>
      </c>
      <c r="M221" s="123">
        <v>0</v>
      </c>
      <c r="N221" s="123">
        <v>0</v>
      </c>
      <c r="O221" s="123">
        <v>0</v>
      </c>
      <c r="P221" s="123">
        <v>0</v>
      </c>
      <c r="Q221" s="123">
        <v>0</v>
      </c>
      <c r="R221" s="123">
        <v>0</v>
      </c>
      <c r="S221" s="7" t="s">
        <v>163</v>
      </c>
      <c r="T221" s="124"/>
      <c r="U221" s="1"/>
    </row>
    <row r="222" spans="1:21" ht="13.5" thickBot="1" x14ac:dyDescent="0.25">
      <c r="A222" s="123">
        <v>0</v>
      </c>
      <c r="B222" s="123">
        <v>0</v>
      </c>
      <c r="C222" s="123">
        <v>0</v>
      </c>
      <c r="D222" s="123">
        <v>0</v>
      </c>
      <c r="E222" s="123">
        <v>0</v>
      </c>
      <c r="F222" s="123">
        <v>0</v>
      </c>
      <c r="G222" s="123">
        <v>0</v>
      </c>
      <c r="H222" s="123">
        <v>0</v>
      </c>
      <c r="I222" s="123">
        <v>0</v>
      </c>
      <c r="J222" s="123">
        <v>0</v>
      </c>
      <c r="K222" s="123">
        <v>0</v>
      </c>
      <c r="L222" s="123">
        <v>0</v>
      </c>
      <c r="M222" s="123">
        <v>0</v>
      </c>
      <c r="N222" s="123">
        <v>0</v>
      </c>
      <c r="O222" s="123">
        <v>0</v>
      </c>
      <c r="P222" s="123">
        <v>0</v>
      </c>
      <c r="Q222" s="123">
        <v>0</v>
      </c>
      <c r="R222" s="123">
        <v>0</v>
      </c>
      <c r="S222" s="7" t="s">
        <v>162</v>
      </c>
      <c r="T222" s="124" t="s">
        <v>383</v>
      </c>
      <c r="U222" s="1"/>
    </row>
    <row r="223" spans="1:21" ht="13.5" thickBot="1" x14ac:dyDescent="0.25">
      <c r="A223" s="123">
        <v>15</v>
      </c>
      <c r="B223" s="123">
        <v>15</v>
      </c>
      <c r="C223" s="123">
        <v>0</v>
      </c>
      <c r="D223" s="123">
        <v>7</v>
      </c>
      <c r="E223" s="123">
        <v>7</v>
      </c>
      <c r="F223" s="123">
        <v>0</v>
      </c>
      <c r="G223" s="123">
        <v>0</v>
      </c>
      <c r="H223" s="123">
        <v>0</v>
      </c>
      <c r="I223" s="123">
        <v>0</v>
      </c>
      <c r="J223" s="123">
        <v>8</v>
      </c>
      <c r="K223" s="123">
        <v>8</v>
      </c>
      <c r="L223" s="123">
        <v>0</v>
      </c>
      <c r="M223" s="123">
        <v>0</v>
      </c>
      <c r="N223" s="123">
        <v>0</v>
      </c>
      <c r="O223" s="123">
        <v>0</v>
      </c>
      <c r="P223" s="123">
        <v>0</v>
      </c>
      <c r="Q223" s="123">
        <v>0</v>
      </c>
      <c r="R223" s="123">
        <v>0</v>
      </c>
      <c r="S223" s="7" t="s">
        <v>13</v>
      </c>
      <c r="T223" s="9"/>
      <c r="U223" s="1"/>
    </row>
    <row r="224" spans="1:21" ht="13.5" thickBot="1" x14ac:dyDescent="0.25">
      <c r="A224" s="123">
        <v>55</v>
      </c>
      <c r="B224" s="123">
        <v>55</v>
      </c>
      <c r="C224" s="123">
        <v>0</v>
      </c>
      <c r="D224" s="123">
        <v>17</v>
      </c>
      <c r="E224" s="123">
        <v>17</v>
      </c>
      <c r="F224" s="123">
        <v>0</v>
      </c>
      <c r="G224" s="123">
        <v>0</v>
      </c>
      <c r="H224" s="123">
        <v>0</v>
      </c>
      <c r="I224" s="123">
        <v>0</v>
      </c>
      <c r="J224" s="123">
        <v>37</v>
      </c>
      <c r="K224" s="123">
        <v>37</v>
      </c>
      <c r="L224" s="123">
        <v>0</v>
      </c>
      <c r="M224" s="123">
        <v>1</v>
      </c>
      <c r="N224" s="123">
        <v>1</v>
      </c>
      <c r="O224" s="123">
        <v>0</v>
      </c>
      <c r="P224" s="123">
        <v>0</v>
      </c>
      <c r="Q224" s="123">
        <v>0</v>
      </c>
      <c r="R224" s="123">
        <v>0</v>
      </c>
      <c r="S224" s="7" t="s">
        <v>163</v>
      </c>
      <c r="T224" s="124"/>
      <c r="U224" s="1"/>
    </row>
    <row r="225" spans="1:21" ht="13.5" thickBot="1" x14ac:dyDescent="0.25">
      <c r="A225" s="123">
        <v>0</v>
      </c>
      <c r="B225" s="123">
        <v>0</v>
      </c>
      <c r="C225" s="123">
        <v>0</v>
      </c>
      <c r="D225" s="123">
        <v>0</v>
      </c>
      <c r="E225" s="123">
        <v>0</v>
      </c>
      <c r="F225" s="123">
        <v>0</v>
      </c>
      <c r="G225" s="123">
        <v>0</v>
      </c>
      <c r="H225" s="123">
        <v>0</v>
      </c>
      <c r="I225" s="123">
        <v>0</v>
      </c>
      <c r="J225" s="123">
        <v>0</v>
      </c>
      <c r="K225" s="123">
        <v>0</v>
      </c>
      <c r="L225" s="123">
        <v>0</v>
      </c>
      <c r="M225" s="123">
        <v>0</v>
      </c>
      <c r="N225" s="123">
        <v>0</v>
      </c>
      <c r="O225" s="123">
        <v>0</v>
      </c>
      <c r="P225" s="123">
        <v>0</v>
      </c>
      <c r="Q225" s="123">
        <v>0</v>
      </c>
      <c r="R225" s="123">
        <v>0</v>
      </c>
      <c r="S225" s="7" t="s">
        <v>162</v>
      </c>
      <c r="T225" s="124" t="s">
        <v>384</v>
      </c>
      <c r="U225" s="1"/>
    </row>
    <row r="226" spans="1:21" ht="13.5" thickBot="1" x14ac:dyDescent="0.25">
      <c r="A226" s="123">
        <v>55</v>
      </c>
      <c r="B226" s="123">
        <v>55</v>
      </c>
      <c r="C226" s="123">
        <v>0</v>
      </c>
      <c r="D226" s="123">
        <v>17</v>
      </c>
      <c r="E226" s="123">
        <v>17</v>
      </c>
      <c r="F226" s="123">
        <v>0</v>
      </c>
      <c r="G226" s="123">
        <v>0</v>
      </c>
      <c r="H226" s="123">
        <v>0</v>
      </c>
      <c r="I226" s="123">
        <v>0</v>
      </c>
      <c r="J226" s="123">
        <v>37</v>
      </c>
      <c r="K226" s="123">
        <v>37</v>
      </c>
      <c r="L226" s="123">
        <v>0</v>
      </c>
      <c r="M226" s="123">
        <v>1</v>
      </c>
      <c r="N226" s="123">
        <v>1</v>
      </c>
      <c r="O226" s="123">
        <v>0</v>
      </c>
      <c r="P226" s="123">
        <v>0</v>
      </c>
      <c r="Q226" s="123">
        <v>0</v>
      </c>
      <c r="R226" s="123">
        <v>0</v>
      </c>
      <c r="S226" s="7" t="s">
        <v>13</v>
      </c>
      <c r="T226" s="9"/>
      <c r="U226" s="1"/>
    </row>
    <row r="227" spans="1:21" ht="13.5" thickBot="1" x14ac:dyDescent="0.25">
      <c r="A227" s="123">
        <v>11</v>
      </c>
      <c r="B227" s="123">
        <v>11</v>
      </c>
      <c r="C227" s="123">
        <v>0</v>
      </c>
      <c r="D227" s="123">
        <v>5</v>
      </c>
      <c r="E227" s="123">
        <v>5</v>
      </c>
      <c r="F227" s="123">
        <v>0</v>
      </c>
      <c r="G227" s="123">
        <v>0</v>
      </c>
      <c r="H227" s="123">
        <v>0</v>
      </c>
      <c r="I227" s="123">
        <v>0</v>
      </c>
      <c r="J227" s="123">
        <v>5</v>
      </c>
      <c r="K227" s="123">
        <v>5</v>
      </c>
      <c r="L227" s="123">
        <v>0</v>
      </c>
      <c r="M227" s="123">
        <v>1</v>
      </c>
      <c r="N227" s="123">
        <v>1</v>
      </c>
      <c r="O227" s="123">
        <v>0</v>
      </c>
      <c r="P227" s="123">
        <v>0</v>
      </c>
      <c r="Q227" s="123">
        <v>0</v>
      </c>
      <c r="R227" s="123">
        <v>0</v>
      </c>
      <c r="S227" s="7" t="s">
        <v>163</v>
      </c>
      <c r="T227" s="124"/>
      <c r="U227" s="1"/>
    </row>
    <row r="228" spans="1:21" ht="13.5" thickBot="1" x14ac:dyDescent="0.25">
      <c r="A228" s="123">
        <v>0</v>
      </c>
      <c r="B228" s="123">
        <v>0</v>
      </c>
      <c r="C228" s="123">
        <v>0</v>
      </c>
      <c r="D228" s="123">
        <v>0</v>
      </c>
      <c r="E228" s="123">
        <v>0</v>
      </c>
      <c r="F228" s="123">
        <v>0</v>
      </c>
      <c r="G228" s="123">
        <v>0</v>
      </c>
      <c r="H228" s="123">
        <v>0</v>
      </c>
      <c r="I228" s="123">
        <v>0</v>
      </c>
      <c r="J228" s="123">
        <v>0</v>
      </c>
      <c r="K228" s="123">
        <v>0</v>
      </c>
      <c r="L228" s="123">
        <v>0</v>
      </c>
      <c r="M228" s="123">
        <v>0</v>
      </c>
      <c r="N228" s="123">
        <v>0</v>
      </c>
      <c r="O228" s="123">
        <v>0</v>
      </c>
      <c r="P228" s="123">
        <v>0</v>
      </c>
      <c r="Q228" s="123">
        <v>0</v>
      </c>
      <c r="R228" s="123">
        <v>0</v>
      </c>
      <c r="S228" s="7" t="s">
        <v>162</v>
      </c>
      <c r="T228" s="124" t="s">
        <v>629</v>
      </c>
      <c r="U228" s="1"/>
    </row>
    <row r="229" spans="1:21" ht="13.5" thickBot="1" x14ac:dyDescent="0.25">
      <c r="A229" s="123">
        <v>11</v>
      </c>
      <c r="B229" s="123">
        <v>11</v>
      </c>
      <c r="C229" s="123">
        <v>0</v>
      </c>
      <c r="D229" s="123">
        <v>5</v>
      </c>
      <c r="E229" s="123">
        <v>5</v>
      </c>
      <c r="F229" s="123">
        <v>0</v>
      </c>
      <c r="G229" s="123">
        <v>0</v>
      </c>
      <c r="H229" s="123">
        <v>0</v>
      </c>
      <c r="I229" s="123">
        <v>0</v>
      </c>
      <c r="J229" s="123">
        <v>5</v>
      </c>
      <c r="K229" s="123">
        <v>5</v>
      </c>
      <c r="L229" s="123">
        <v>0</v>
      </c>
      <c r="M229" s="123">
        <v>1</v>
      </c>
      <c r="N229" s="123">
        <v>1</v>
      </c>
      <c r="O229" s="123">
        <v>0</v>
      </c>
      <c r="P229" s="123">
        <v>0</v>
      </c>
      <c r="Q229" s="123">
        <v>0</v>
      </c>
      <c r="R229" s="123">
        <v>0</v>
      </c>
      <c r="S229" s="7" t="s">
        <v>13</v>
      </c>
      <c r="T229" s="9"/>
      <c r="U229" s="1"/>
    </row>
    <row r="230" spans="1:21" ht="13.5" thickBot="1" x14ac:dyDescent="0.25">
      <c r="A230" s="123">
        <v>30</v>
      </c>
      <c r="B230" s="123">
        <v>30</v>
      </c>
      <c r="C230" s="123">
        <v>0</v>
      </c>
      <c r="D230" s="123">
        <v>11</v>
      </c>
      <c r="E230" s="123">
        <v>11</v>
      </c>
      <c r="F230" s="123">
        <v>0</v>
      </c>
      <c r="G230" s="123">
        <v>0</v>
      </c>
      <c r="H230" s="123">
        <v>0</v>
      </c>
      <c r="I230" s="123">
        <v>0</v>
      </c>
      <c r="J230" s="123">
        <v>19</v>
      </c>
      <c r="K230" s="123">
        <v>19</v>
      </c>
      <c r="L230" s="123">
        <v>0</v>
      </c>
      <c r="M230" s="123">
        <v>0</v>
      </c>
      <c r="N230" s="123">
        <v>0</v>
      </c>
      <c r="O230" s="123">
        <v>0</v>
      </c>
      <c r="P230" s="123">
        <v>0</v>
      </c>
      <c r="Q230" s="123">
        <v>0</v>
      </c>
      <c r="R230" s="123">
        <v>0</v>
      </c>
      <c r="S230" s="7" t="s">
        <v>163</v>
      </c>
      <c r="T230" s="124"/>
      <c r="U230" s="1"/>
    </row>
    <row r="231" spans="1:21" ht="13.5" thickBot="1" x14ac:dyDescent="0.25">
      <c r="A231" s="123">
        <v>0</v>
      </c>
      <c r="B231" s="123">
        <v>0</v>
      </c>
      <c r="C231" s="123">
        <v>0</v>
      </c>
      <c r="D231" s="123">
        <v>0</v>
      </c>
      <c r="E231" s="123">
        <v>0</v>
      </c>
      <c r="F231" s="123">
        <v>0</v>
      </c>
      <c r="G231" s="123">
        <v>0</v>
      </c>
      <c r="H231" s="123">
        <v>0</v>
      </c>
      <c r="I231" s="123">
        <v>0</v>
      </c>
      <c r="J231" s="123">
        <v>0</v>
      </c>
      <c r="K231" s="123">
        <v>0</v>
      </c>
      <c r="L231" s="123">
        <v>0</v>
      </c>
      <c r="M231" s="123">
        <v>0</v>
      </c>
      <c r="N231" s="123">
        <v>0</v>
      </c>
      <c r="O231" s="123">
        <v>0</v>
      </c>
      <c r="P231" s="123">
        <v>0</v>
      </c>
      <c r="Q231" s="123">
        <v>0</v>
      </c>
      <c r="R231" s="123">
        <v>0</v>
      </c>
      <c r="S231" s="7" t="s">
        <v>162</v>
      </c>
      <c r="T231" s="124" t="s">
        <v>386</v>
      </c>
      <c r="U231" s="1"/>
    </row>
    <row r="232" spans="1:21" ht="13.5" thickBot="1" x14ac:dyDescent="0.25">
      <c r="A232" s="123">
        <v>30</v>
      </c>
      <c r="B232" s="123">
        <v>30</v>
      </c>
      <c r="C232" s="123">
        <v>0</v>
      </c>
      <c r="D232" s="123">
        <v>11</v>
      </c>
      <c r="E232" s="123">
        <v>11</v>
      </c>
      <c r="F232" s="123">
        <v>0</v>
      </c>
      <c r="G232" s="123">
        <v>0</v>
      </c>
      <c r="H232" s="123">
        <v>0</v>
      </c>
      <c r="I232" s="123">
        <v>0</v>
      </c>
      <c r="J232" s="123">
        <v>19</v>
      </c>
      <c r="K232" s="123">
        <v>19</v>
      </c>
      <c r="L232" s="123">
        <v>0</v>
      </c>
      <c r="M232" s="123">
        <v>0</v>
      </c>
      <c r="N232" s="123">
        <v>0</v>
      </c>
      <c r="O232" s="123">
        <v>0</v>
      </c>
      <c r="P232" s="123">
        <v>0</v>
      </c>
      <c r="Q232" s="123">
        <v>0</v>
      </c>
      <c r="R232" s="123">
        <v>0</v>
      </c>
      <c r="S232" s="7" t="s">
        <v>13</v>
      </c>
      <c r="T232" s="9"/>
      <c r="U232" s="1"/>
    </row>
    <row r="233" spans="1:21" ht="13.5" thickBot="1" x14ac:dyDescent="0.25">
      <c r="A233" s="123">
        <v>2</v>
      </c>
      <c r="B233" s="123">
        <v>2</v>
      </c>
      <c r="C233" s="123">
        <v>0</v>
      </c>
      <c r="D233" s="123">
        <v>2</v>
      </c>
      <c r="E233" s="123">
        <v>2</v>
      </c>
      <c r="F233" s="123">
        <v>0</v>
      </c>
      <c r="G233" s="123">
        <v>0</v>
      </c>
      <c r="H233" s="123">
        <v>0</v>
      </c>
      <c r="I233" s="123">
        <v>0</v>
      </c>
      <c r="J233" s="123">
        <v>0</v>
      </c>
      <c r="K233" s="123">
        <v>0</v>
      </c>
      <c r="L233" s="123">
        <v>0</v>
      </c>
      <c r="M233" s="123">
        <v>0</v>
      </c>
      <c r="N233" s="123">
        <v>0</v>
      </c>
      <c r="O233" s="123">
        <v>0</v>
      </c>
      <c r="P233" s="123">
        <v>0</v>
      </c>
      <c r="Q233" s="123">
        <v>0</v>
      </c>
      <c r="R233" s="123">
        <v>0</v>
      </c>
      <c r="S233" s="7" t="s">
        <v>163</v>
      </c>
      <c r="T233" s="124"/>
      <c r="U233" s="1"/>
    </row>
    <row r="234" spans="1:21" ht="13.5" thickBot="1" x14ac:dyDescent="0.25">
      <c r="A234" s="123">
        <v>0</v>
      </c>
      <c r="B234" s="123">
        <v>0</v>
      </c>
      <c r="C234" s="123">
        <v>0</v>
      </c>
      <c r="D234" s="123">
        <v>0</v>
      </c>
      <c r="E234" s="123">
        <v>0</v>
      </c>
      <c r="F234" s="123">
        <v>0</v>
      </c>
      <c r="G234" s="123">
        <v>0</v>
      </c>
      <c r="H234" s="123">
        <v>0</v>
      </c>
      <c r="I234" s="123">
        <v>0</v>
      </c>
      <c r="J234" s="123">
        <v>0</v>
      </c>
      <c r="K234" s="123">
        <v>0</v>
      </c>
      <c r="L234" s="123">
        <v>0</v>
      </c>
      <c r="M234" s="123">
        <v>0</v>
      </c>
      <c r="N234" s="123">
        <v>0</v>
      </c>
      <c r="O234" s="123">
        <v>0</v>
      </c>
      <c r="P234" s="123">
        <v>0</v>
      </c>
      <c r="Q234" s="123">
        <v>0</v>
      </c>
      <c r="R234" s="123">
        <v>0</v>
      </c>
      <c r="S234" s="7" t="s">
        <v>162</v>
      </c>
      <c r="T234" s="124" t="s">
        <v>96</v>
      </c>
      <c r="U234" s="1"/>
    </row>
    <row r="235" spans="1:21" ht="13.5" thickBot="1" x14ac:dyDescent="0.25">
      <c r="A235" s="123">
        <v>2</v>
      </c>
      <c r="B235" s="123">
        <v>2</v>
      </c>
      <c r="C235" s="123">
        <v>0</v>
      </c>
      <c r="D235" s="123">
        <v>2</v>
      </c>
      <c r="E235" s="123">
        <v>2</v>
      </c>
      <c r="F235" s="123">
        <v>0</v>
      </c>
      <c r="G235" s="123">
        <v>0</v>
      </c>
      <c r="H235" s="123">
        <v>0</v>
      </c>
      <c r="I235" s="123">
        <v>0</v>
      </c>
      <c r="J235" s="123">
        <v>0</v>
      </c>
      <c r="K235" s="123">
        <v>0</v>
      </c>
      <c r="L235" s="123">
        <v>0</v>
      </c>
      <c r="M235" s="123">
        <v>0</v>
      </c>
      <c r="N235" s="123">
        <v>0</v>
      </c>
      <c r="O235" s="123">
        <v>0</v>
      </c>
      <c r="P235" s="123">
        <v>0</v>
      </c>
      <c r="Q235" s="123">
        <v>0</v>
      </c>
      <c r="R235" s="123">
        <v>0</v>
      </c>
      <c r="S235" s="7" t="s">
        <v>13</v>
      </c>
      <c r="T235" s="9"/>
      <c r="U235" s="1"/>
    </row>
    <row r="236" spans="1:21" ht="13.5" thickBot="1" x14ac:dyDescent="0.25">
      <c r="A236" s="123">
        <v>17</v>
      </c>
      <c r="B236" s="123">
        <v>0</v>
      </c>
      <c r="C236" s="123">
        <v>17</v>
      </c>
      <c r="D236" s="123">
        <v>9</v>
      </c>
      <c r="E236" s="123">
        <v>0</v>
      </c>
      <c r="F236" s="123">
        <v>9</v>
      </c>
      <c r="G236" s="123">
        <v>3</v>
      </c>
      <c r="H236" s="123">
        <v>0</v>
      </c>
      <c r="I236" s="123">
        <v>3</v>
      </c>
      <c r="J236" s="123">
        <v>5</v>
      </c>
      <c r="K236" s="123">
        <v>0</v>
      </c>
      <c r="L236" s="123">
        <v>5</v>
      </c>
      <c r="M236" s="123">
        <v>0</v>
      </c>
      <c r="N236" s="123">
        <v>0</v>
      </c>
      <c r="O236" s="123">
        <v>0</v>
      </c>
      <c r="P236" s="123">
        <v>0</v>
      </c>
      <c r="Q236" s="123">
        <v>0</v>
      </c>
      <c r="R236" s="123">
        <v>0</v>
      </c>
      <c r="S236" s="7" t="s">
        <v>163</v>
      </c>
      <c r="T236" s="124"/>
      <c r="U236" s="1"/>
    </row>
    <row r="237" spans="1:21" ht="13.5" thickBot="1" x14ac:dyDescent="0.25">
      <c r="A237" s="123">
        <v>0</v>
      </c>
      <c r="B237" s="123">
        <v>0</v>
      </c>
      <c r="C237" s="123">
        <v>0</v>
      </c>
      <c r="D237" s="123">
        <v>0</v>
      </c>
      <c r="E237" s="123">
        <v>0</v>
      </c>
      <c r="F237" s="123">
        <v>0</v>
      </c>
      <c r="G237" s="123">
        <v>0</v>
      </c>
      <c r="H237" s="123">
        <v>0</v>
      </c>
      <c r="I237" s="123">
        <v>0</v>
      </c>
      <c r="J237" s="123">
        <v>0</v>
      </c>
      <c r="K237" s="123">
        <v>0</v>
      </c>
      <c r="L237" s="123">
        <v>0</v>
      </c>
      <c r="M237" s="123">
        <v>0</v>
      </c>
      <c r="N237" s="123">
        <v>0</v>
      </c>
      <c r="O237" s="123">
        <v>0</v>
      </c>
      <c r="P237" s="123">
        <v>0</v>
      </c>
      <c r="Q237" s="123">
        <v>0</v>
      </c>
      <c r="R237" s="123">
        <v>0</v>
      </c>
      <c r="S237" s="7" t="s">
        <v>162</v>
      </c>
      <c r="T237" s="124" t="s">
        <v>248</v>
      </c>
      <c r="U237" s="1"/>
    </row>
    <row r="238" spans="1:21" ht="13.5" thickBot="1" x14ac:dyDescent="0.25">
      <c r="A238" s="123">
        <v>17</v>
      </c>
      <c r="B238" s="123">
        <v>0</v>
      </c>
      <c r="C238" s="123">
        <v>17</v>
      </c>
      <c r="D238" s="123">
        <v>9</v>
      </c>
      <c r="E238" s="123">
        <v>0</v>
      </c>
      <c r="F238" s="123">
        <v>9</v>
      </c>
      <c r="G238" s="123">
        <v>3</v>
      </c>
      <c r="H238" s="123">
        <v>0</v>
      </c>
      <c r="I238" s="123">
        <v>3</v>
      </c>
      <c r="J238" s="123">
        <v>5</v>
      </c>
      <c r="K238" s="123">
        <v>0</v>
      </c>
      <c r="L238" s="123">
        <v>5</v>
      </c>
      <c r="M238" s="123">
        <v>0</v>
      </c>
      <c r="N238" s="123">
        <v>0</v>
      </c>
      <c r="O238" s="123">
        <v>0</v>
      </c>
      <c r="P238" s="123">
        <v>0</v>
      </c>
      <c r="Q238" s="123">
        <v>0</v>
      </c>
      <c r="R238" s="123">
        <v>0</v>
      </c>
      <c r="S238" s="7" t="s">
        <v>13</v>
      </c>
      <c r="T238" s="9"/>
      <c r="U238" s="1"/>
    </row>
    <row r="239" spans="1:21" ht="13.5" thickBot="1" x14ac:dyDescent="0.25">
      <c r="A239" s="123">
        <v>27</v>
      </c>
      <c r="B239" s="123">
        <v>22</v>
      </c>
      <c r="C239" s="123">
        <v>5</v>
      </c>
      <c r="D239" s="123">
        <v>12</v>
      </c>
      <c r="E239" s="123">
        <v>8</v>
      </c>
      <c r="F239" s="123">
        <v>4</v>
      </c>
      <c r="G239" s="123">
        <v>7</v>
      </c>
      <c r="H239" s="123">
        <v>7</v>
      </c>
      <c r="I239" s="123">
        <v>0</v>
      </c>
      <c r="J239" s="123">
        <v>8</v>
      </c>
      <c r="K239" s="123">
        <v>7</v>
      </c>
      <c r="L239" s="123">
        <v>1</v>
      </c>
      <c r="M239" s="123">
        <v>0</v>
      </c>
      <c r="N239" s="123">
        <v>0</v>
      </c>
      <c r="O239" s="123">
        <v>0</v>
      </c>
      <c r="P239" s="123">
        <v>0</v>
      </c>
      <c r="Q239" s="123">
        <v>0</v>
      </c>
      <c r="R239" s="123">
        <v>0</v>
      </c>
      <c r="S239" s="7" t="s">
        <v>163</v>
      </c>
      <c r="T239" s="124"/>
      <c r="U239" s="1"/>
    </row>
    <row r="240" spans="1:21" ht="13.5" thickBot="1" x14ac:dyDescent="0.25">
      <c r="A240" s="123">
        <v>2</v>
      </c>
      <c r="B240" s="123">
        <v>2</v>
      </c>
      <c r="C240" s="123">
        <v>0</v>
      </c>
      <c r="D240" s="123">
        <v>2</v>
      </c>
      <c r="E240" s="123">
        <v>2</v>
      </c>
      <c r="F240" s="123">
        <v>0</v>
      </c>
      <c r="G240" s="123">
        <v>0</v>
      </c>
      <c r="H240" s="123">
        <v>0</v>
      </c>
      <c r="I240" s="123">
        <v>0</v>
      </c>
      <c r="J240" s="123">
        <v>0</v>
      </c>
      <c r="K240" s="123">
        <v>0</v>
      </c>
      <c r="L240" s="123">
        <v>0</v>
      </c>
      <c r="M240" s="123">
        <v>0</v>
      </c>
      <c r="N240" s="123">
        <v>0</v>
      </c>
      <c r="O240" s="123">
        <v>0</v>
      </c>
      <c r="P240" s="123">
        <v>0</v>
      </c>
      <c r="Q240" s="123">
        <v>0</v>
      </c>
      <c r="R240" s="123">
        <v>0</v>
      </c>
      <c r="S240" s="7" t="s">
        <v>162</v>
      </c>
      <c r="T240" s="124" t="s">
        <v>249</v>
      </c>
      <c r="U240" s="1"/>
    </row>
    <row r="241" spans="1:21" ht="13.5" thickBot="1" x14ac:dyDescent="0.25">
      <c r="A241" s="123">
        <v>29</v>
      </c>
      <c r="B241" s="123">
        <v>24</v>
      </c>
      <c r="C241" s="123">
        <v>5</v>
      </c>
      <c r="D241" s="123">
        <v>14</v>
      </c>
      <c r="E241" s="123">
        <v>10</v>
      </c>
      <c r="F241" s="123">
        <v>4</v>
      </c>
      <c r="G241" s="123">
        <v>7</v>
      </c>
      <c r="H241" s="123">
        <v>7</v>
      </c>
      <c r="I241" s="123">
        <v>0</v>
      </c>
      <c r="J241" s="123">
        <v>8</v>
      </c>
      <c r="K241" s="123">
        <v>7</v>
      </c>
      <c r="L241" s="123">
        <v>1</v>
      </c>
      <c r="M241" s="123">
        <v>0</v>
      </c>
      <c r="N241" s="123">
        <v>0</v>
      </c>
      <c r="O241" s="123">
        <v>0</v>
      </c>
      <c r="P241" s="123">
        <v>0</v>
      </c>
      <c r="Q241" s="123">
        <v>0</v>
      </c>
      <c r="R241" s="123">
        <v>0</v>
      </c>
      <c r="S241" s="7" t="s">
        <v>13</v>
      </c>
      <c r="T241" s="9"/>
      <c r="U241" s="1"/>
    </row>
    <row r="242" spans="1:21" ht="13.5" thickBot="1" x14ac:dyDescent="0.25">
      <c r="A242" s="123">
        <v>1365</v>
      </c>
      <c r="B242" s="123">
        <v>404</v>
      </c>
      <c r="C242" s="123">
        <v>961</v>
      </c>
      <c r="D242" s="123">
        <v>440</v>
      </c>
      <c r="E242" s="123">
        <v>84</v>
      </c>
      <c r="F242" s="123">
        <v>356</v>
      </c>
      <c r="G242" s="123">
        <v>126</v>
      </c>
      <c r="H242" s="123">
        <v>18</v>
      </c>
      <c r="I242" s="123">
        <v>108</v>
      </c>
      <c r="J242" s="123">
        <v>712</v>
      </c>
      <c r="K242" s="123">
        <v>290</v>
      </c>
      <c r="L242" s="123">
        <v>422</v>
      </c>
      <c r="M242" s="123">
        <v>81</v>
      </c>
      <c r="N242" s="123">
        <v>12</v>
      </c>
      <c r="O242" s="123">
        <v>69</v>
      </c>
      <c r="P242" s="123">
        <v>6</v>
      </c>
      <c r="Q242" s="123">
        <v>0</v>
      </c>
      <c r="R242" s="123">
        <v>6</v>
      </c>
      <c r="S242" s="7" t="s">
        <v>163</v>
      </c>
      <c r="T242" s="3"/>
      <c r="U242" s="1"/>
    </row>
    <row r="243" spans="1:21" ht="13.5" thickBot="1" x14ac:dyDescent="0.25">
      <c r="A243" s="123">
        <v>199</v>
      </c>
      <c r="B243" s="123">
        <v>30</v>
      </c>
      <c r="C243" s="123">
        <v>169</v>
      </c>
      <c r="D243" s="123">
        <v>25</v>
      </c>
      <c r="E243" s="123">
        <v>4</v>
      </c>
      <c r="F243" s="123">
        <v>21</v>
      </c>
      <c r="G243" s="123">
        <v>28</v>
      </c>
      <c r="H243" s="123">
        <v>2</v>
      </c>
      <c r="I243" s="123">
        <v>26</v>
      </c>
      <c r="J243" s="123">
        <v>101</v>
      </c>
      <c r="K243" s="123">
        <v>23</v>
      </c>
      <c r="L243" s="123">
        <v>78</v>
      </c>
      <c r="M243" s="123">
        <v>43</v>
      </c>
      <c r="N243" s="123">
        <v>1</v>
      </c>
      <c r="O243" s="123">
        <v>42</v>
      </c>
      <c r="P243" s="123">
        <v>2</v>
      </c>
      <c r="Q243" s="123">
        <v>0</v>
      </c>
      <c r="R243" s="123">
        <v>2</v>
      </c>
      <c r="S243" s="7" t="s">
        <v>162</v>
      </c>
      <c r="T243" s="11" t="s">
        <v>211</v>
      </c>
      <c r="U243" s="1"/>
    </row>
    <row r="244" spans="1:21" ht="13.5" thickBot="1" x14ac:dyDescent="0.25">
      <c r="A244" s="123">
        <v>1564</v>
      </c>
      <c r="B244" s="123">
        <v>434</v>
      </c>
      <c r="C244" s="123">
        <v>1130</v>
      </c>
      <c r="D244" s="123">
        <v>465</v>
      </c>
      <c r="E244" s="123">
        <v>88</v>
      </c>
      <c r="F244" s="123">
        <v>377</v>
      </c>
      <c r="G244" s="123">
        <v>154</v>
      </c>
      <c r="H244" s="123">
        <v>20</v>
      </c>
      <c r="I244" s="123">
        <v>134</v>
      </c>
      <c r="J244" s="123">
        <v>813</v>
      </c>
      <c r="K244" s="123">
        <v>313</v>
      </c>
      <c r="L244" s="123">
        <v>500</v>
      </c>
      <c r="M244" s="123">
        <v>124</v>
      </c>
      <c r="N244" s="123">
        <v>13</v>
      </c>
      <c r="O244" s="123">
        <v>111</v>
      </c>
      <c r="P244" s="123">
        <v>8</v>
      </c>
      <c r="Q244" s="123">
        <v>0</v>
      </c>
      <c r="R244" s="123">
        <v>8</v>
      </c>
      <c r="S244" s="7" t="s">
        <v>13</v>
      </c>
      <c r="T244" s="5"/>
      <c r="U244" s="1"/>
    </row>
    <row r="245" spans="1:21" ht="18" customHeight="1" x14ac:dyDescent="0.2">
      <c r="A245" s="207"/>
      <c r="B245" s="207"/>
      <c r="C245" s="207"/>
      <c r="D245" s="207"/>
      <c r="E245" s="207"/>
      <c r="F245" s="207"/>
      <c r="G245" s="207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1"/>
    </row>
    <row r="246" spans="1:21" ht="18" customHeight="1" x14ac:dyDescent="0.2">
      <c r="A246" s="159" t="s">
        <v>665</v>
      </c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"/>
    </row>
    <row r="247" spans="1:21" ht="18" customHeight="1" thickBot="1" x14ac:dyDescent="0.25">
      <c r="A247" s="160" t="s">
        <v>667</v>
      </c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"/>
    </row>
    <row r="248" spans="1:21" ht="13.5" thickBot="1" x14ac:dyDescent="0.25">
      <c r="A248" s="204" t="s">
        <v>5</v>
      </c>
      <c r="B248" s="204"/>
      <c r="C248" s="204"/>
      <c r="D248" s="204" t="s">
        <v>57</v>
      </c>
      <c r="E248" s="204"/>
      <c r="F248" s="204"/>
      <c r="G248" s="204" t="s">
        <v>66</v>
      </c>
      <c r="H248" s="204"/>
      <c r="I248" s="204"/>
      <c r="J248" s="204" t="s">
        <v>65</v>
      </c>
      <c r="K248" s="204"/>
      <c r="L248" s="204"/>
      <c r="M248" s="204" t="s">
        <v>62</v>
      </c>
      <c r="N248" s="204"/>
      <c r="O248" s="204"/>
      <c r="P248" s="204" t="s">
        <v>61</v>
      </c>
      <c r="Q248" s="204"/>
      <c r="R248" s="204"/>
      <c r="S248" s="205" t="s">
        <v>645</v>
      </c>
      <c r="T248" s="47" t="s">
        <v>161</v>
      </c>
      <c r="U248" s="1"/>
    </row>
    <row r="249" spans="1:21" ht="13.5" thickBot="1" x14ac:dyDescent="0.25">
      <c r="A249" s="47" t="s">
        <v>216</v>
      </c>
      <c r="B249" s="47" t="s">
        <v>11</v>
      </c>
      <c r="C249" s="47" t="s">
        <v>10</v>
      </c>
      <c r="D249" s="47" t="s">
        <v>216</v>
      </c>
      <c r="E249" s="47" t="s">
        <v>11</v>
      </c>
      <c r="F249" s="47" t="s">
        <v>10</v>
      </c>
      <c r="G249" s="47" t="s">
        <v>216</v>
      </c>
      <c r="H249" s="47" t="s">
        <v>11</v>
      </c>
      <c r="I249" s="47" t="s">
        <v>10</v>
      </c>
      <c r="J249" s="47" t="s">
        <v>216</v>
      </c>
      <c r="K249" s="47" t="s">
        <v>11</v>
      </c>
      <c r="L249" s="47" t="s">
        <v>10</v>
      </c>
      <c r="M249" s="47" t="s">
        <v>216</v>
      </c>
      <c r="N249" s="47" t="s">
        <v>11</v>
      </c>
      <c r="O249" s="47" t="s">
        <v>10</v>
      </c>
      <c r="P249" s="47" t="s">
        <v>216</v>
      </c>
      <c r="Q249" s="47" t="s">
        <v>11</v>
      </c>
      <c r="R249" s="47" t="s">
        <v>10</v>
      </c>
      <c r="S249" s="206"/>
      <c r="T249" s="5" t="s">
        <v>98</v>
      </c>
      <c r="U249" s="1"/>
    </row>
    <row r="250" spans="1:21" ht="13.5" thickBot="1" x14ac:dyDescent="0.25">
      <c r="A250" s="123">
        <v>27</v>
      </c>
      <c r="B250" s="123">
        <v>0</v>
      </c>
      <c r="C250" s="123">
        <v>27</v>
      </c>
      <c r="D250" s="123">
        <v>7</v>
      </c>
      <c r="E250" s="123">
        <v>0</v>
      </c>
      <c r="F250" s="123">
        <v>7</v>
      </c>
      <c r="G250" s="123">
        <v>18</v>
      </c>
      <c r="H250" s="123">
        <v>0</v>
      </c>
      <c r="I250" s="123">
        <v>18</v>
      </c>
      <c r="J250" s="123">
        <v>2</v>
      </c>
      <c r="K250" s="123">
        <v>0</v>
      </c>
      <c r="L250" s="123">
        <v>2</v>
      </c>
      <c r="M250" s="123">
        <v>0</v>
      </c>
      <c r="N250" s="123">
        <v>0</v>
      </c>
      <c r="O250" s="123">
        <v>0</v>
      </c>
      <c r="P250" s="123">
        <v>0</v>
      </c>
      <c r="Q250" s="123">
        <v>0</v>
      </c>
      <c r="R250" s="123">
        <v>0</v>
      </c>
      <c r="S250" s="7" t="s">
        <v>163</v>
      </c>
      <c r="T250" s="124"/>
      <c r="U250" s="1"/>
    </row>
    <row r="251" spans="1:21" ht="13.5" thickBot="1" x14ac:dyDescent="0.25">
      <c r="A251" s="123">
        <v>42</v>
      </c>
      <c r="B251" s="123">
        <v>0</v>
      </c>
      <c r="C251" s="123">
        <v>42</v>
      </c>
      <c r="D251" s="123">
        <v>0</v>
      </c>
      <c r="E251" s="123">
        <v>0</v>
      </c>
      <c r="F251" s="123">
        <v>0</v>
      </c>
      <c r="G251" s="123">
        <v>17</v>
      </c>
      <c r="H251" s="123">
        <v>0</v>
      </c>
      <c r="I251" s="123">
        <v>17</v>
      </c>
      <c r="J251" s="123">
        <v>18</v>
      </c>
      <c r="K251" s="123">
        <v>0</v>
      </c>
      <c r="L251" s="123">
        <v>18</v>
      </c>
      <c r="M251" s="123">
        <v>7</v>
      </c>
      <c r="N251" s="123">
        <v>0</v>
      </c>
      <c r="O251" s="123">
        <v>7</v>
      </c>
      <c r="P251" s="123">
        <v>0</v>
      </c>
      <c r="Q251" s="123">
        <v>0</v>
      </c>
      <c r="R251" s="123">
        <v>0</v>
      </c>
      <c r="S251" s="7" t="s">
        <v>162</v>
      </c>
      <c r="T251" s="124" t="s">
        <v>388</v>
      </c>
      <c r="U251" s="1"/>
    </row>
    <row r="252" spans="1:21" ht="13.5" thickBot="1" x14ac:dyDescent="0.25">
      <c r="A252" s="123">
        <v>69</v>
      </c>
      <c r="B252" s="123">
        <v>0</v>
      </c>
      <c r="C252" s="123">
        <v>69</v>
      </c>
      <c r="D252" s="123">
        <v>7</v>
      </c>
      <c r="E252" s="123">
        <v>0</v>
      </c>
      <c r="F252" s="123">
        <v>7</v>
      </c>
      <c r="G252" s="123">
        <v>35</v>
      </c>
      <c r="H252" s="123">
        <v>0</v>
      </c>
      <c r="I252" s="123">
        <v>35</v>
      </c>
      <c r="J252" s="123">
        <v>20</v>
      </c>
      <c r="K252" s="123">
        <v>0</v>
      </c>
      <c r="L252" s="123">
        <v>20</v>
      </c>
      <c r="M252" s="123">
        <v>7</v>
      </c>
      <c r="N252" s="123">
        <v>0</v>
      </c>
      <c r="O252" s="123">
        <v>7</v>
      </c>
      <c r="P252" s="123">
        <v>0</v>
      </c>
      <c r="Q252" s="123">
        <v>0</v>
      </c>
      <c r="R252" s="123">
        <v>0</v>
      </c>
      <c r="S252" s="7" t="s">
        <v>13</v>
      </c>
      <c r="T252" s="9"/>
      <c r="U252" s="1"/>
    </row>
    <row r="253" spans="1:21" ht="13.5" thickBot="1" x14ac:dyDescent="0.25">
      <c r="A253" s="123">
        <v>11</v>
      </c>
      <c r="B253" s="123">
        <v>0</v>
      </c>
      <c r="C253" s="123">
        <v>11</v>
      </c>
      <c r="D253" s="123">
        <v>3</v>
      </c>
      <c r="E253" s="123">
        <v>0</v>
      </c>
      <c r="F253" s="123">
        <v>3</v>
      </c>
      <c r="G253" s="123">
        <v>7</v>
      </c>
      <c r="H253" s="123">
        <v>0</v>
      </c>
      <c r="I253" s="123">
        <v>7</v>
      </c>
      <c r="J253" s="123">
        <v>1</v>
      </c>
      <c r="K253" s="123">
        <v>0</v>
      </c>
      <c r="L253" s="123">
        <v>1</v>
      </c>
      <c r="M253" s="123">
        <v>0</v>
      </c>
      <c r="N253" s="123">
        <v>0</v>
      </c>
      <c r="O253" s="123">
        <v>0</v>
      </c>
      <c r="P253" s="123">
        <v>0</v>
      </c>
      <c r="Q253" s="123">
        <v>0</v>
      </c>
      <c r="R253" s="123">
        <v>0</v>
      </c>
      <c r="S253" s="7" t="s">
        <v>163</v>
      </c>
      <c r="T253" s="124"/>
      <c r="U253" s="1"/>
    </row>
    <row r="254" spans="1:21" ht="13.5" thickBot="1" x14ac:dyDescent="0.25">
      <c r="A254" s="123">
        <v>5</v>
      </c>
      <c r="B254" s="123">
        <v>0</v>
      </c>
      <c r="C254" s="123">
        <v>5</v>
      </c>
      <c r="D254" s="123">
        <v>0</v>
      </c>
      <c r="E254" s="123">
        <v>0</v>
      </c>
      <c r="F254" s="123">
        <v>0</v>
      </c>
      <c r="G254" s="123">
        <v>0</v>
      </c>
      <c r="H254" s="123">
        <v>0</v>
      </c>
      <c r="I254" s="123">
        <v>0</v>
      </c>
      <c r="J254" s="123">
        <v>3</v>
      </c>
      <c r="K254" s="123">
        <v>0</v>
      </c>
      <c r="L254" s="123">
        <v>3</v>
      </c>
      <c r="M254" s="123">
        <v>2</v>
      </c>
      <c r="N254" s="123">
        <v>0</v>
      </c>
      <c r="O254" s="123">
        <v>2</v>
      </c>
      <c r="P254" s="123">
        <v>0</v>
      </c>
      <c r="Q254" s="123">
        <v>0</v>
      </c>
      <c r="R254" s="123">
        <v>0</v>
      </c>
      <c r="S254" s="7" t="s">
        <v>162</v>
      </c>
      <c r="T254" s="124" t="s">
        <v>390</v>
      </c>
      <c r="U254" s="1"/>
    </row>
    <row r="255" spans="1:21" ht="13.5" thickBot="1" x14ac:dyDescent="0.25">
      <c r="A255" s="123">
        <v>16</v>
      </c>
      <c r="B255" s="123">
        <v>0</v>
      </c>
      <c r="C255" s="123">
        <v>16</v>
      </c>
      <c r="D255" s="123">
        <v>3</v>
      </c>
      <c r="E255" s="123">
        <v>0</v>
      </c>
      <c r="F255" s="123">
        <v>3</v>
      </c>
      <c r="G255" s="123">
        <v>7</v>
      </c>
      <c r="H255" s="123">
        <v>0</v>
      </c>
      <c r="I255" s="123">
        <v>7</v>
      </c>
      <c r="J255" s="123">
        <v>4</v>
      </c>
      <c r="K255" s="123">
        <v>0</v>
      </c>
      <c r="L255" s="123">
        <v>4</v>
      </c>
      <c r="M255" s="123">
        <v>2</v>
      </c>
      <c r="N255" s="123">
        <v>0</v>
      </c>
      <c r="O255" s="123">
        <v>2</v>
      </c>
      <c r="P255" s="123">
        <v>0</v>
      </c>
      <c r="Q255" s="123">
        <v>0</v>
      </c>
      <c r="R255" s="123">
        <v>0</v>
      </c>
      <c r="S255" s="7" t="s">
        <v>13</v>
      </c>
      <c r="T255" s="9"/>
      <c r="U255" s="1"/>
    </row>
    <row r="256" spans="1:21" ht="13.5" thickBot="1" x14ac:dyDescent="0.25">
      <c r="A256" s="123">
        <v>11</v>
      </c>
      <c r="B256" s="123">
        <v>0</v>
      </c>
      <c r="C256" s="123">
        <v>11</v>
      </c>
      <c r="D256" s="123">
        <v>7</v>
      </c>
      <c r="E256" s="123">
        <v>0</v>
      </c>
      <c r="F256" s="123">
        <v>7</v>
      </c>
      <c r="G256" s="123">
        <v>0</v>
      </c>
      <c r="H256" s="123">
        <v>0</v>
      </c>
      <c r="I256" s="123">
        <v>0</v>
      </c>
      <c r="J256" s="123">
        <v>4</v>
      </c>
      <c r="K256" s="123">
        <v>0</v>
      </c>
      <c r="L256" s="123">
        <v>4</v>
      </c>
      <c r="M256" s="123">
        <v>0</v>
      </c>
      <c r="N256" s="123">
        <v>0</v>
      </c>
      <c r="O256" s="123">
        <v>0</v>
      </c>
      <c r="P256" s="123">
        <v>0</v>
      </c>
      <c r="Q256" s="123">
        <v>0</v>
      </c>
      <c r="R256" s="123">
        <v>0</v>
      </c>
      <c r="S256" s="7" t="s">
        <v>163</v>
      </c>
      <c r="T256" s="124"/>
      <c r="U256" s="1"/>
    </row>
    <row r="257" spans="1:21" ht="13.5" thickBot="1" x14ac:dyDescent="0.25">
      <c r="A257" s="123">
        <v>12</v>
      </c>
      <c r="B257" s="123">
        <v>0</v>
      </c>
      <c r="C257" s="123">
        <v>12</v>
      </c>
      <c r="D257" s="123">
        <v>1</v>
      </c>
      <c r="E257" s="123">
        <v>0</v>
      </c>
      <c r="F257" s="123">
        <v>1</v>
      </c>
      <c r="G257" s="123">
        <v>0</v>
      </c>
      <c r="H257" s="123">
        <v>0</v>
      </c>
      <c r="I257" s="123">
        <v>0</v>
      </c>
      <c r="J257" s="123">
        <v>10</v>
      </c>
      <c r="K257" s="123">
        <v>0</v>
      </c>
      <c r="L257" s="123">
        <v>10</v>
      </c>
      <c r="M257" s="123">
        <v>1</v>
      </c>
      <c r="N257" s="123">
        <v>0</v>
      </c>
      <c r="O257" s="123">
        <v>1</v>
      </c>
      <c r="P257" s="123">
        <v>0</v>
      </c>
      <c r="Q257" s="123">
        <v>0</v>
      </c>
      <c r="R257" s="123">
        <v>0</v>
      </c>
      <c r="S257" s="7" t="s">
        <v>162</v>
      </c>
      <c r="T257" s="124" t="s">
        <v>391</v>
      </c>
      <c r="U257" s="1"/>
    </row>
    <row r="258" spans="1:21" ht="13.5" thickBot="1" x14ac:dyDescent="0.25">
      <c r="A258" s="123">
        <v>23</v>
      </c>
      <c r="B258" s="123">
        <v>0</v>
      </c>
      <c r="C258" s="123">
        <v>23</v>
      </c>
      <c r="D258" s="123">
        <v>8</v>
      </c>
      <c r="E258" s="123">
        <v>0</v>
      </c>
      <c r="F258" s="123">
        <v>8</v>
      </c>
      <c r="G258" s="123">
        <v>0</v>
      </c>
      <c r="H258" s="123">
        <v>0</v>
      </c>
      <c r="I258" s="123">
        <v>0</v>
      </c>
      <c r="J258" s="123">
        <v>14</v>
      </c>
      <c r="K258" s="123">
        <v>0</v>
      </c>
      <c r="L258" s="123">
        <v>14</v>
      </c>
      <c r="M258" s="123">
        <v>1</v>
      </c>
      <c r="N258" s="123">
        <v>0</v>
      </c>
      <c r="O258" s="123">
        <v>1</v>
      </c>
      <c r="P258" s="123">
        <v>0</v>
      </c>
      <c r="Q258" s="123">
        <v>0</v>
      </c>
      <c r="R258" s="123">
        <v>0</v>
      </c>
      <c r="S258" s="7" t="s">
        <v>13</v>
      </c>
      <c r="T258" s="9"/>
      <c r="U258" s="1"/>
    </row>
    <row r="259" spans="1:21" ht="13.5" thickBot="1" x14ac:dyDescent="0.25">
      <c r="A259" s="123">
        <v>32</v>
      </c>
      <c r="B259" s="123">
        <v>0</v>
      </c>
      <c r="C259" s="123">
        <v>32</v>
      </c>
      <c r="D259" s="123">
        <v>15</v>
      </c>
      <c r="E259" s="123">
        <v>0</v>
      </c>
      <c r="F259" s="123">
        <v>15</v>
      </c>
      <c r="G259" s="123">
        <v>5</v>
      </c>
      <c r="H259" s="123">
        <v>0</v>
      </c>
      <c r="I259" s="123">
        <v>5</v>
      </c>
      <c r="J259" s="123">
        <v>9</v>
      </c>
      <c r="K259" s="123">
        <v>0</v>
      </c>
      <c r="L259" s="123">
        <v>9</v>
      </c>
      <c r="M259" s="123">
        <v>2</v>
      </c>
      <c r="N259" s="123">
        <v>0</v>
      </c>
      <c r="O259" s="123">
        <v>2</v>
      </c>
      <c r="P259" s="123">
        <v>1</v>
      </c>
      <c r="Q259" s="123">
        <v>0</v>
      </c>
      <c r="R259" s="123">
        <v>1</v>
      </c>
      <c r="S259" s="7" t="s">
        <v>163</v>
      </c>
      <c r="T259" s="124"/>
      <c r="U259" s="1"/>
    </row>
    <row r="260" spans="1:21" ht="13.5" thickBot="1" x14ac:dyDescent="0.25">
      <c r="A260" s="123">
        <v>2</v>
      </c>
      <c r="B260" s="123">
        <v>0</v>
      </c>
      <c r="C260" s="123">
        <v>2</v>
      </c>
      <c r="D260" s="123">
        <v>0</v>
      </c>
      <c r="E260" s="123">
        <v>0</v>
      </c>
      <c r="F260" s="123">
        <v>0</v>
      </c>
      <c r="G260" s="123">
        <v>0</v>
      </c>
      <c r="H260" s="123">
        <v>0</v>
      </c>
      <c r="I260" s="123">
        <v>0</v>
      </c>
      <c r="J260" s="123">
        <v>1</v>
      </c>
      <c r="K260" s="123">
        <v>0</v>
      </c>
      <c r="L260" s="123">
        <v>1</v>
      </c>
      <c r="M260" s="123">
        <v>1</v>
      </c>
      <c r="N260" s="123">
        <v>0</v>
      </c>
      <c r="O260" s="123">
        <v>1</v>
      </c>
      <c r="P260" s="123">
        <v>0</v>
      </c>
      <c r="Q260" s="123">
        <v>0</v>
      </c>
      <c r="R260" s="123">
        <v>0</v>
      </c>
      <c r="S260" s="7" t="s">
        <v>162</v>
      </c>
      <c r="T260" s="124" t="s">
        <v>97</v>
      </c>
      <c r="U260" s="1"/>
    </row>
    <row r="261" spans="1:21" ht="13.5" thickBot="1" x14ac:dyDescent="0.25">
      <c r="A261" s="123">
        <v>34</v>
      </c>
      <c r="B261" s="123">
        <v>0</v>
      </c>
      <c r="C261" s="123">
        <v>34</v>
      </c>
      <c r="D261" s="123">
        <v>15</v>
      </c>
      <c r="E261" s="123">
        <v>0</v>
      </c>
      <c r="F261" s="123">
        <v>15</v>
      </c>
      <c r="G261" s="123">
        <v>5</v>
      </c>
      <c r="H261" s="123">
        <v>0</v>
      </c>
      <c r="I261" s="123">
        <v>5</v>
      </c>
      <c r="J261" s="123">
        <v>10</v>
      </c>
      <c r="K261" s="123">
        <v>0</v>
      </c>
      <c r="L261" s="123">
        <v>10</v>
      </c>
      <c r="M261" s="123">
        <v>3</v>
      </c>
      <c r="N261" s="123">
        <v>0</v>
      </c>
      <c r="O261" s="123">
        <v>3</v>
      </c>
      <c r="P261" s="123">
        <v>1</v>
      </c>
      <c r="Q261" s="123">
        <v>0</v>
      </c>
      <c r="R261" s="123">
        <v>1</v>
      </c>
      <c r="S261" s="7" t="s">
        <v>13</v>
      </c>
      <c r="T261" s="9"/>
      <c r="U261" s="1"/>
    </row>
    <row r="262" spans="1:21" ht="13.5" thickBot="1" x14ac:dyDescent="0.25">
      <c r="A262" s="123">
        <v>14</v>
      </c>
      <c r="B262" s="123">
        <v>0</v>
      </c>
      <c r="C262" s="123">
        <v>14</v>
      </c>
      <c r="D262" s="123">
        <v>4</v>
      </c>
      <c r="E262" s="123">
        <v>0</v>
      </c>
      <c r="F262" s="123">
        <v>4</v>
      </c>
      <c r="G262" s="123">
        <v>5</v>
      </c>
      <c r="H262" s="123">
        <v>0</v>
      </c>
      <c r="I262" s="123">
        <v>5</v>
      </c>
      <c r="J262" s="123">
        <v>5</v>
      </c>
      <c r="K262" s="123">
        <v>0</v>
      </c>
      <c r="L262" s="123">
        <v>5</v>
      </c>
      <c r="M262" s="123">
        <v>0</v>
      </c>
      <c r="N262" s="123">
        <v>0</v>
      </c>
      <c r="O262" s="123">
        <v>0</v>
      </c>
      <c r="P262" s="123">
        <v>0</v>
      </c>
      <c r="Q262" s="123">
        <v>0</v>
      </c>
      <c r="R262" s="123">
        <v>0</v>
      </c>
      <c r="S262" s="7" t="s">
        <v>163</v>
      </c>
      <c r="T262" s="124"/>
      <c r="U262" s="1"/>
    </row>
    <row r="263" spans="1:21" ht="13.5" thickBot="1" x14ac:dyDescent="0.25">
      <c r="A263" s="123">
        <v>34</v>
      </c>
      <c r="B263" s="123">
        <v>0</v>
      </c>
      <c r="C263" s="123">
        <v>34</v>
      </c>
      <c r="D263" s="123">
        <v>0</v>
      </c>
      <c r="E263" s="123">
        <v>0</v>
      </c>
      <c r="F263" s="123">
        <v>0</v>
      </c>
      <c r="G263" s="123">
        <v>7</v>
      </c>
      <c r="H263" s="123">
        <v>0</v>
      </c>
      <c r="I263" s="123">
        <v>7</v>
      </c>
      <c r="J263" s="123">
        <v>16</v>
      </c>
      <c r="K263" s="123">
        <v>0</v>
      </c>
      <c r="L263" s="123">
        <v>16</v>
      </c>
      <c r="M263" s="123">
        <v>11</v>
      </c>
      <c r="N263" s="123">
        <v>0</v>
      </c>
      <c r="O263" s="123">
        <v>11</v>
      </c>
      <c r="P263" s="123">
        <v>0</v>
      </c>
      <c r="Q263" s="123">
        <v>0</v>
      </c>
      <c r="R263" s="123">
        <v>0</v>
      </c>
      <c r="S263" s="7" t="s">
        <v>162</v>
      </c>
      <c r="T263" s="124" t="s">
        <v>359</v>
      </c>
      <c r="U263" s="1"/>
    </row>
    <row r="264" spans="1:21" ht="13.5" thickBot="1" x14ac:dyDescent="0.25">
      <c r="A264" s="123">
        <v>48</v>
      </c>
      <c r="B264" s="123">
        <v>0</v>
      </c>
      <c r="C264" s="123">
        <v>48</v>
      </c>
      <c r="D264" s="123">
        <v>4</v>
      </c>
      <c r="E264" s="123">
        <v>0</v>
      </c>
      <c r="F264" s="123">
        <v>4</v>
      </c>
      <c r="G264" s="123">
        <v>12</v>
      </c>
      <c r="H264" s="123">
        <v>0</v>
      </c>
      <c r="I264" s="123">
        <v>12</v>
      </c>
      <c r="J264" s="123">
        <v>21</v>
      </c>
      <c r="K264" s="123">
        <v>0</v>
      </c>
      <c r="L264" s="123">
        <v>21</v>
      </c>
      <c r="M264" s="123">
        <v>11</v>
      </c>
      <c r="N264" s="123">
        <v>0</v>
      </c>
      <c r="O264" s="123">
        <v>11</v>
      </c>
      <c r="P264" s="123">
        <v>0</v>
      </c>
      <c r="Q264" s="123">
        <v>0</v>
      </c>
      <c r="R264" s="123">
        <v>0</v>
      </c>
      <c r="S264" s="7" t="s">
        <v>13</v>
      </c>
      <c r="T264" s="9"/>
      <c r="U264" s="1"/>
    </row>
    <row r="265" spans="1:21" ht="13.5" thickBot="1" x14ac:dyDescent="0.25">
      <c r="A265" s="123">
        <v>6</v>
      </c>
      <c r="B265" s="123">
        <v>0</v>
      </c>
      <c r="C265" s="123">
        <v>6</v>
      </c>
      <c r="D265" s="123">
        <v>5</v>
      </c>
      <c r="E265" s="123">
        <v>0</v>
      </c>
      <c r="F265" s="123">
        <v>5</v>
      </c>
      <c r="G265" s="123">
        <v>0</v>
      </c>
      <c r="H265" s="123">
        <v>0</v>
      </c>
      <c r="I265" s="123">
        <v>0</v>
      </c>
      <c r="J265" s="123">
        <v>1</v>
      </c>
      <c r="K265" s="123">
        <v>0</v>
      </c>
      <c r="L265" s="123">
        <v>1</v>
      </c>
      <c r="M265" s="123">
        <v>0</v>
      </c>
      <c r="N265" s="123">
        <v>0</v>
      </c>
      <c r="O265" s="123">
        <v>0</v>
      </c>
      <c r="P265" s="123">
        <v>0</v>
      </c>
      <c r="Q265" s="123">
        <v>0</v>
      </c>
      <c r="R265" s="123">
        <v>0</v>
      </c>
      <c r="S265" s="7" t="s">
        <v>163</v>
      </c>
      <c r="T265" s="124"/>
      <c r="U265" s="1"/>
    </row>
    <row r="266" spans="1:21" ht="13.5" thickBot="1" x14ac:dyDescent="0.25">
      <c r="A266" s="123">
        <v>9</v>
      </c>
      <c r="B266" s="123">
        <v>0</v>
      </c>
      <c r="C266" s="123">
        <v>9</v>
      </c>
      <c r="D266" s="123">
        <v>3</v>
      </c>
      <c r="E266" s="123">
        <v>0</v>
      </c>
      <c r="F266" s="123">
        <v>3</v>
      </c>
      <c r="G266" s="123">
        <v>0</v>
      </c>
      <c r="H266" s="123">
        <v>0</v>
      </c>
      <c r="I266" s="123">
        <v>0</v>
      </c>
      <c r="J266" s="123">
        <v>5</v>
      </c>
      <c r="K266" s="123">
        <v>0</v>
      </c>
      <c r="L266" s="123">
        <v>5</v>
      </c>
      <c r="M266" s="123">
        <v>1</v>
      </c>
      <c r="N266" s="123">
        <v>0</v>
      </c>
      <c r="O266" s="123">
        <v>1</v>
      </c>
      <c r="P266" s="123">
        <v>0</v>
      </c>
      <c r="Q266" s="123">
        <v>0</v>
      </c>
      <c r="R266" s="123">
        <v>0</v>
      </c>
      <c r="S266" s="7" t="s">
        <v>162</v>
      </c>
      <c r="T266" s="124" t="s">
        <v>539</v>
      </c>
      <c r="U266" s="1"/>
    </row>
    <row r="267" spans="1:21" ht="13.5" thickBot="1" x14ac:dyDescent="0.25">
      <c r="A267" s="123">
        <v>15</v>
      </c>
      <c r="B267" s="123">
        <v>0</v>
      </c>
      <c r="C267" s="123">
        <v>15</v>
      </c>
      <c r="D267" s="123">
        <v>8</v>
      </c>
      <c r="E267" s="123">
        <v>0</v>
      </c>
      <c r="F267" s="123">
        <v>8</v>
      </c>
      <c r="G267" s="123">
        <v>0</v>
      </c>
      <c r="H267" s="123">
        <v>0</v>
      </c>
      <c r="I267" s="123">
        <v>0</v>
      </c>
      <c r="J267" s="123">
        <v>6</v>
      </c>
      <c r="K267" s="123">
        <v>0</v>
      </c>
      <c r="L267" s="123">
        <v>6</v>
      </c>
      <c r="M267" s="123">
        <v>1</v>
      </c>
      <c r="N267" s="123">
        <v>0</v>
      </c>
      <c r="O267" s="123">
        <v>1</v>
      </c>
      <c r="P267" s="123">
        <v>0</v>
      </c>
      <c r="Q267" s="123">
        <v>0</v>
      </c>
      <c r="R267" s="123">
        <v>0</v>
      </c>
      <c r="S267" s="7" t="s">
        <v>13</v>
      </c>
      <c r="T267" s="9"/>
      <c r="U267" s="1"/>
    </row>
    <row r="268" spans="1:21" ht="13.5" thickBot="1" x14ac:dyDescent="0.25">
      <c r="A268" s="123">
        <v>10</v>
      </c>
      <c r="B268" s="123">
        <v>0</v>
      </c>
      <c r="C268" s="123">
        <v>10</v>
      </c>
      <c r="D268" s="123">
        <v>0</v>
      </c>
      <c r="E268" s="123">
        <v>0</v>
      </c>
      <c r="F268" s="123">
        <v>0</v>
      </c>
      <c r="G268" s="123">
        <v>4</v>
      </c>
      <c r="H268" s="123">
        <v>0</v>
      </c>
      <c r="I268" s="123">
        <v>4</v>
      </c>
      <c r="J268" s="123">
        <v>6</v>
      </c>
      <c r="K268" s="123">
        <v>0</v>
      </c>
      <c r="L268" s="123">
        <v>6</v>
      </c>
      <c r="M268" s="123">
        <v>0</v>
      </c>
      <c r="N268" s="123">
        <v>0</v>
      </c>
      <c r="O268" s="123">
        <v>0</v>
      </c>
      <c r="P268" s="123">
        <v>0</v>
      </c>
      <c r="Q268" s="123">
        <v>0</v>
      </c>
      <c r="R268" s="123">
        <v>0</v>
      </c>
      <c r="S268" s="7" t="s">
        <v>163</v>
      </c>
      <c r="T268" s="124"/>
      <c r="U268" s="1"/>
    </row>
    <row r="269" spans="1:21" ht="13.5" thickBot="1" x14ac:dyDescent="0.25">
      <c r="A269" s="123">
        <v>0</v>
      </c>
      <c r="B269" s="123">
        <v>0</v>
      </c>
      <c r="C269" s="123">
        <v>0</v>
      </c>
      <c r="D269" s="123">
        <v>0</v>
      </c>
      <c r="E269" s="123">
        <v>0</v>
      </c>
      <c r="F269" s="123">
        <v>0</v>
      </c>
      <c r="G269" s="123">
        <v>0</v>
      </c>
      <c r="H269" s="123">
        <v>0</v>
      </c>
      <c r="I269" s="123">
        <v>0</v>
      </c>
      <c r="J269" s="123">
        <v>0</v>
      </c>
      <c r="K269" s="123">
        <v>0</v>
      </c>
      <c r="L269" s="123">
        <v>0</v>
      </c>
      <c r="M269" s="123">
        <v>0</v>
      </c>
      <c r="N269" s="123">
        <v>0</v>
      </c>
      <c r="O269" s="123">
        <v>0</v>
      </c>
      <c r="P269" s="123">
        <v>0</v>
      </c>
      <c r="Q269" s="123">
        <v>0</v>
      </c>
      <c r="R269" s="123">
        <v>0</v>
      </c>
      <c r="S269" s="7" t="s">
        <v>162</v>
      </c>
      <c r="T269" s="124" t="s">
        <v>99</v>
      </c>
      <c r="U269" s="1"/>
    </row>
    <row r="270" spans="1:21" ht="13.5" thickBot="1" x14ac:dyDescent="0.25">
      <c r="A270" s="123">
        <v>10</v>
      </c>
      <c r="B270" s="123">
        <v>0</v>
      </c>
      <c r="C270" s="123">
        <v>10</v>
      </c>
      <c r="D270" s="123">
        <v>0</v>
      </c>
      <c r="E270" s="123">
        <v>0</v>
      </c>
      <c r="F270" s="123">
        <v>0</v>
      </c>
      <c r="G270" s="123">
        <v>4</v>
      </c>
      <c r="H270" s="123">
        <v>0</v>
      </c>
      <c r="I270" s="123">
        <v>4</v>
      </c>
      <c r="J270" s="123">
        <v>6</v>
      </c>
      <c r="K270" s="123">
        <v>0</v>
      </c>
      <c r="L270" s="123">
        <v>6</v>
      </c>
      <c r="M270" s="123">
        <v>0</v>
      </c>
      <c r="N270" s="123">
        <v>0</v>
      </c>
      <c r="O270" s="123">
        <v>0</v>
      </c>
      <c r="P270" s="123">
        <v>0</v>
      </c>
      <c r="Q270" s="123">
        <v>0</v>
      </c>
      <c r="R270" s="123">
        <v>0</v>
      </c>
      <c r="S270" s="7" t="s">
        <v>13</v>
      </c>
      <c r="T270" s="9"/>
      <c r="U270" s="1"/>
    </row>
    <row r="271" spans="1:21" ht="13.5" thickBot="1" x14ac:dyDescent="0.25">
      <c r="A271" s="123">
        <v>795</v>
      </c>
      <c r="B271" s="123">
        <v>0</v>
      </c>
      <c r="C271" s="123">
        <v>795</v>
      </c>
      <c r="D271" s="123">
        <v>322</v>
      </c>
      <c r="E271" s="123">
        <v>0</v>
      </c>
      <c r="F271" s="123">
        <v>322</v>
      </c>
      <c r="G271" s="123">
        <v>381</v>
      </c>
      <c r="H271" s="123">
        <v>0</v>
      </c>
      <c r="I271" s="123">
        <v>381</v>
      </c>
      <c r="J271" s="123">
        <v>90</v>
      </c>
      <c r="K271" s="123">
        <v>0</v>
      </c>
      <c r="L271" s="123">
        <v>90</v>
      </c>
      <c r="M271" s="123">
        <v>1</v>
      </c>
      <c r="N271" s="123">
        <v>0</v>
      </c>
      <c r="O271" s="123">
        <v>1</v>
      </c>
      <c r="P271" s="123">
        <v>1</v>
      </c>
      <c r="Q271" s="123">
        <v>0</v>
      </c>
      <c r="R271" s="123">
        <v>1</v>
      </c>
      <c r="S271" s="7" t="s">
        <v>163</v>
      </c>
      <c r="T271" s="124"/>
      <c r="U271" s="1"/>
    </row>
    <row r="272" spans="1:21" ht="13.5" thickBot="1" x14ac:dyDescent="0.25">
      <c r="A272" s="123">
        <v>151</v>
      </c>
      <c r="B272" s="123">
        <v>3</v>
      </c>
      <c r="C272" s="123">
        <v>148</v>
      </c>
      <c r="D272" s="123">
        <v>6</v>
      </c>
      <c r="E272" s="123">
        <v>1</v>
      </c>
      <c r="F272" s="123">
        <v>5</v>
      </c>
      <c r="G272" s="123">
        <v>68</v>
      </c>
      <c r="H272" s="123">
        <v>1</v>
      </c>
      <c r="I272" s="123">
        <v>67</v>
      </c>
      <c r="J272" s="123">
        <v>74</v>
      </c>
      <c r="K272" s="123">
        <v>1</v>
      </c>
      <c r="L272" s="123">
        <v>73</v>
      </c>
      <c r="M272" s="123">
        <v>1</v>
      </c>
      <c r="N272" s="123">
        <v>0</v>
      </c>
      <c r="O272" s="123">
        <v>1</v>
      </c>
      <c r="P272" s="123">
        <v>2</v>
      </c>
      <c r="Q272" s="123">
        <v>0</v>
      </c>
      <c r="R272" s="123">
        <v>2</v>
      </c>
      <c r="S272" s="7" t="s">
        <v>162</v>
      </c>
      <c r="T272" s="124" t="s">
        <v>630</v>
      </c>
      <c r="U272" s="1"/>
    </row>
    <row r="273" spans="1:21" ht="13.5" thickBot="1" x14ac:dyDescent="0.25">
      <c r="A273" s="123">
        <v>946</v>
      </c>
      <c r="B273" s="123">
        <v>3</v>
      </c>
      <c r="C273" s="123">
        <v>943</v>
      </c>
      <c r="D273" s="123">
        <v>328</v>
      </c>
      <c r="E273" s="123">
        <v>1</v>
      </c>
      <c r="F273" s="123">
        <v>327</v>
      </c>
      <c r="G273" s="123">
        <v>449</v>
      </c>
      <c r="H273" s="123">
        <v>1</v>
      </c>
      <c r="I273" s="123">
        <v>448</v>
      </c>
      <c r="J273" s="123">
        <v>164</v>
      </c>
      <c r="K273" s="123">
        <v>1</v>
      </c>
      <c r="L273" s="123">
        <v>163</v>
      </c>
      <c r="M273" s="123">
        <v>2</v>
      </c>
      <c r="N273" s="123">
        <v>0</v>
      </c>
      <c r="O273" s="123">
        <v>2</v>
      </c>
      <c r="P273" s="123">
        <v>3</v>
      </c>
      <c r="Q273" s="123">
        <v>0</v>
      </c>
      <c r="R273" s="123">
        <v>3</v>
      </c>
      <c r="S273" s="7" t="s">
        <v>13</v>
      </c>
      <c r="T273" s="9"/>
      <c r="U273" s="1"/>
    </row>
    <row r="274" spans="1:21" ht="13.5" thickBot="1" x14ac:dyDescent="0.25">
      <c r="A274" s="123">
        <v>2</v>
      </c>
      <c r="B274" s="123">
        <v>0</v>
      </c>
      <c r="C274" s="123">
        <v>2</v>
      </c>
      <c r="D274" s="123">
        <v>0</v>
      </c>
      <c r="E274" s="123">
        <v>0</v>
      </c>
      <c r="F274" s="123">
        <v>0</v>
      </c>
      <c r="G274" s="123">
        <v>2</v>
      </c>
      <c r="H274" s="123">
        <v>0</v>
      </c>
      <c r="I274" s="123">
        <v>2</v>
      </c>
      <c r="J274" s="123">
        <v>0</v>
      </c>
      <c r="K274" s="123">
        <v>0</v>
      </c>
      <c r="L274" s="123">
        <v>0</v>
      </c>
      <c r="M274" s="123">
        <v>0</v>
      </c>
      <c r="N274" s="123">
        <v>0</v>
      </c>
      <c r="O274" s="123">
        <v>0</v>
      </c>
      <c r="P274" s="123">
        <v>0</v>
      </c>
      <c r="Q274" s="123">
        <v>0</v>
      </c>
      <c r="R274" s="123">
        <v>0</v>
      </c>
      <c r="S274" s="7" t="s">
        <v>163</v>
      </c>
      <c r="T274" s="124"/>
      <c r="U274" s="1"/>
    </row>
    <row r="275" spans="1:21" ht="13.5" thickBot="1" x14ac:dyDescent="0.25">
      <c r="A275" s="123">
        <v>0</v>
      </c>
      <c r="B275" s="123">
        <v>0</v>
      </c>
      <c r="C275" s="123">
        <v>0</v>
      </c>
      <c r="D275" s="123">
        <v>0</v>
      </c>
      <c r="E275" s="123">
        <v>0</v>
      </c>
      <c r="F275" s="123">
        <v>0</v>
      </c>
      <c r="G275" s="123">
        <v>0</v>
      </c>
      <c r="H275" s="123">
        <v>0</v>
      </c>
      <c r="I275" s="123">
        <v>0</v>
      </c>
      <c r="J275" s="123">
        <v>0</v>
      </c>
      <c r="K275" s="123">
        <v>0</v>
      </c>
      <c r="L275" s="123">
        <v>0</v>
      </c>
      <c r="M275" s="123">
        <v>0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7" t="s">
        <v>162</v>
      </c>
      <c r="T275" s="124" t="s">
        <v>631</v>
      </c>
      <c r="U275" s="1"/>
    </row>
    <row r="276" spans="1:21" ht="13.5" thickBot="1" x14ac:dyDescent="0.25">
      <c r="A276" s="123">
        <v>2</v>
      </c>
      <c r="B276" s="123">
        <v>0</v>
      </c>
      <c r="C276" s="123">
        <v>2</v>
      </c>
      <c r="D276" s="123">
        <v>0</v>
      </c>
      <c r="E276" s="123">
        <v>0</v>
      </c>
      <c r="F276" s="123">
        <v>0</v>
      </c>
      <c r="G276" s="123">
        <v>2</v>
      </c>
      <c r="H276" s="123">
        <v>0</v>
      </c>
      <c r="I276" s="123">
        <v>2</v>
      </c>
      <c r="J276" s="123">
        <v>0</v>
      </c>
      <c r="K276" s="123">
        <v>0</v>
      </c>
      <c r="L276" s="123">
        <v>0</v>
      </c>
      <c r="M276" s="123">
        <v>0</v>
      </c>
      <c r="N276" s="123">
        <v>0</v>
      </c>
      <c r="O276" s="123">
        <v>0</v>
      </c>
      <c r="P276" s="123">
        <v>0</v>
      </c>
      <c r="Q276" s="123">
        <v>0</v>
      </c>
      <c r="R276" s="123">
        <v>0</v>
      </c>
      <c r="S276" s="7" t="s">
        <v>13</v>
      </c>
      <c r="T276" s="9"/>
      <c r="U276" s="1"/>
    </row>
    <row r="277" spans="1:21" ht="13.5" thickBot="1" x14ac:dyDescent="0.25">
      <c r="A277" s="123">
        <v>19</v>
      </c>
      <c r="B277" s="123">
        <v>0</v>
      </c>
      <c r="C277" s="123">
        <v>19</v>
      </c>
      <c r="D277" s="123">
        <v>5</v>
      </c>
      <c r="E277" s="123">
        <v>0</v>
      </c>
      <c r="F277" s="123">
        <v>5</v>
      </c>
      <c r="G277" s="123">
        <v>10</v>
      </c>
      <c r="H277" s="123">
        <v>0</v>
      </c>
      <c r="I277" s="123">
        <v>10</v>
      </c>
      <c r="J277" s="123">
        <v>4</v>
      </c>
      <c r="K277" s="123">
        <v>0</v>
      </c>
      <c r="L277" s="123">
        <v>4</v>
      </c>
      <c r="M277" s="123">
        <v>0</v>
      </c>
      <c r="N277" s="123">
        <v>0</v>
      </c>
      <c r="O277" s="123">
        <v>0</v>
      </c>
      <c r="P277" s="123">
        <v>0</v>
      </c>
      <c r="Q277" s="123">
        <v>0</v>
      </c>
      <c r="R277" s="123">
        <v>0</v>
      </c>
      <c r="S277" s="7" t="s">
        <v>163</v>
      </c>
      <c r="T277" s="124"/>
      <c r="U277" s="1"/>
    </row>
    <row r="278" spans="1:21" ht="13.5" thickBot="1" x14ac:dyDescent="0.25">
      <c r="A278" s="123">
        <v>6</v>
      </c>
      <c r="B278" s="123">
        <v>0</v>
      </c>
      <c r="C278" s="123">
        <v>6</v>
      </c>
      <c r="D278" s="123">
        <v>0</v>
      </c>
      <c r="E278" s="123">
        <v>0</v>
      </c>
      <c r="F278" s="123">
        <v>0</v>
      </c>
      <c r="G278" s="123">
        <v>2</v>
      </c>
      <c r="H278" s="123">
        <v>0</v>
      </c>
      <c r="I278" s="123">
        <v>2</v>
      </c>
      <c r="J278" s="123">
        <v>4</v>
      </c>
      <c r="K278" s="123">
        <v>0</v>
      </c>
      <c r="L278" s="123">
        <v>4</v>
      </c>
      <c r="M278" s="123">
        <v>0</v>
      </c>
      <c r="N278" s="123">
        <v>0</v>
      </c>
      <c r="O278" s="123">
        <v>0</v>
      </c>
      <c r="P278" s="123">
        <v>0</v>
      </c>
      <c r="Q278" s="123">
        <v>0</v>
      </c>
      <c r="R278" s="123">
        <v>0</v>
      </c>
      <c r="S278" s="7" t="s">
        <v>162</v>
      </c>
      <c r="T278" s="124" t="s">
        <v>632</v>
      </c>
      <c r="U278" s="1"/>
    </row>
    <row r="279" spans="1:21" ht="13.5" thickBot="1" x14ac:dyDescent="0.25">
      <c r="A279" s="123">
        <v>25</v>
      </c>
      <c r="B279" s="123">
        <v>0</v>
      </c>
      <c r="C279" s="123">
        <v>25</v>
      </c>
      <c r="D279" s="123">
        <v>5</v>
      </c>
      <c r="E279" s="123">
        <v>0</v>
      </c>
      <c r="F279" s="123">
        <v>5</v>
      </c>
      <c r="G279" s="123">
        <v>12</v>
      </c>
      <c r="H279" s="123">
        <v>0</v>
      </c>
      <c r="I279" s="123">
        <v>12</v>
      </c>
      <c r="J279" s="123">
        <v>8</v>
      </c>
      <c r="K279" s="123">
        <v>0</v>
      </c>
      <c r="L279" s="123">
        <v>8</v>
      </c>
      <c r="M279" s="123">
        <v>0</v>
      </c>
      <c r="N279" s="123">
        <v>0</v>
      </c>
      <c r="O279" s="123">
        <v>0</v>
      </c>
      <c r="P279" s="123">
        <v>0</v>
      </c>
      <c r="Q279" s="123">
        <v>0</v>
      </c>
      <c r="R279" s="123">
        <v>0</v>
      </c>
      <c r="S279" s="7" t="s">
        <v>13</v>
      </c>
      <c r="T279" s="9"/>
      <c r="U279" s="1"/>
    </row>
    <row r="280" spans="1:21" ht="13.5" thickBot="1" x14ac:dyDescent="0.25">
      <c r="A280" s="123">
        <v>927</v>
      </c>
      <c r="B280" s="123">
        <v>0</v>
      </c>
      <c r="C280" s="123">
        <v>927</v>
      </c>
      <c r="D280" s="123">
        <v>368</v>
      </c>
      <c r="E280" s="123">
        <v>0</v>
      </c>
      <c r="F280" s="123">
        <v>368</v>
      </c>
      <c r="G280" s="123">
        <v>432</v>
      </c>
      <c r="H280" s="123">
        <v>0</v>
      </c>
      <c r="I280" s="123">
        <v>432</v>
      </c>
      <c r="J280" s="123">
        <v>122</v>
      </c>
      <c r="K280" s="123">
        <v>0</v>
      </c>
      <c r="L280" s="123">
        <v>122</v>
      </c>
      <c r="M280" s="123">
        <v>3</v>
      </c>
      <c r="N280" s="123">
        <v>0</v>
      </c>
      <c r="O280" s="123">
        <v>3</v>
      </c>
      <c r="P280" s="123">
        <v>2</v>
      </c>
      <c r="Q280" s="123">
        <v>0</v>
      </c>
      <c r="R280" s="123">
        <v>2</v>
      </c>
      <c r="S280" s="7" t="s">
        <v>163</v>
      </c>
      <c r="T280" s="3"/>
      <c r="U280" s="1"/>
    </row>
    <row r="281" spans="1:21" ht="13.5" thickBot="1" x14ac:dyDescent="0.25">
      <c r="A281" s="123">
        <v>261</v>
      </c>
      <c r="B281" s="123">
        <v>3</v>
      </c>
      <c r="C281" s="123">
        <v>258</v>
      </c>
      <c r="D281" s="123">
        <v>10</v>
      </c>
      <c r="E281" s="123">
        <v>1</v>
      </c>
      <c r="F281" s="123">
        <v>9</v>
      </c>
      <c r="G281" s="123">
        <v>94</v>
      </c>
      <c r="H281" s="123">
        <v>1</v>
      </c>
      <c r="I281" s="123">
        <v>93</v>
      </c>
      <c r="J281" s="123">
        <v>131</v>
      </c>
      <c r="K281" s="123">
        <v>1</v>
      </c>
      <c r="L281" s="123">
        <v>130</v>
      </c>
      <c r="M281" s="123">
        <v>24</v>
      </c>
      <c r="N281" s="123">
        <v>0</v>
      </c>
      <c r="O281" s="123">
        <v>24</v>
      </c>
      <c r="P281" s="123">
        <v>2</v>
      </c>
      <c r="Q281" s="123">
        <v>0</v>
      </c>
      <c r="R281" s="123">
        <v>2</v>
      </c>
      <c r="S281" s="7" t="s">
        <v>162</v>
      </c>
      <c r="T281" s="11" t="s">
        <v>211</v>
      </c>
      <c r="U281" s="1"/>
    </row>
    <row r="282" spans="1:21" ht="13.5" thickBot="1" x14ac:dyDescent="0.25">
      <c r="A282" s="123">
        <v>1188</v>
      </c>
      <c r="B282" s="123">
        <v>3</v>
      </c>
      <c r="C282" s="123">
        <v>1185</v>
      </c>
      <c r="D282" s="123">
        <v>378</v>
      </c>
      <c r="E282" s="123">
        <v>1</v>
      </c>
      <c r="F282" s="123">
        <v>377</v>
      </c>
      <c r="G282" s="123">
        <v>526</v>
      </c>
      <c r="H282" s="123">
        <v>1</v>
      </c>
      <c r="I282" s="123">
        <v>525</v>
      </c>
      <c r="J282" s="123">
        <v>253</v>
      </c>
      <c r="K282" s="123">
        <v>1</v>
      </c>
      <c r="L282" s="123">
        <v>252</v>
      </c>
      <c r="M282" s="123">
        <v>27</v>
      </c>
      <c r="N282" s="123">
        <v>0</v>
      </c>
      <c r="O282" s="123">
        <v>27</v>
      </c>
      <c r="P282" s="123">
        <v>4</v>
      </c>
      <c r="Q282" s="123">
        <v>0</v>
      </c>
      <c r="R282" s="123">
        <v>4</v>
      </c>
      <c r="S282" s="7" t="s">
        <v>13</v>
      </c>
      <c r="T282" s="5"/>
      <c r="U282" s="1"/>
    </row>
    <row r="283" spans="1:21" ht="18" customHeight="1" x14ac:dyDescent="0.2">
      <c r="A283" s="207"/>
      <c r="B283" s="207"/>
      <c r="C283" s="207"/>
      <c r="D283" s="207"/>
      <c r="E283" s="207"/>
      <c r="F283" s="207"/>
      <c r="G283" s="207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1"/>
    </row>
    <row r="284" spans="1:21" ht="18" customHeight="1" x14ac:dyDescent="0.2">
      <c r="A284" s="159" t="s">
        <v>665</v>
      </c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"/>
    </row>
    <row r="285" spans="1:21" ht="18" customHeight="1" thickBot="1" x14ac:dyDescent="0.25">
      <c r="A285" s="160" t="s">
        <v>667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"/>
    </row>
    <row r="286" spans="1:21" ht="13.5" thickBot="1" x14ac:dyDescent="0.25">
      <c r="A286" s="204" t="s">
        <v>5</v>
      </c>
      <c r="B286" s="204"/>
      <c r="C286" s="204"/>
      <c r="D286" s="204" t="s">
        <v>57</v>
      </c>
      <c r="E286" s="204"/>
      <c r="F286" s="204"/>
      <c r="G286" s="204" t="s">
        <v>66</v>
      </c>
      <c r="H286" s="204"/>
      <c r="I286" s="204"/>
      <c r="J286" s="204" t="s">
        <v>65</v>
      </c>
      <c r="K286" s="204"/>
      <c r="L286" s="204"/>
      <c r="M286" s="204" t="s">
        <v>62</v>
      </c>
      <c r="N286" s="204"/>
      <c r="O286" s="204"/>
      <c r="P286" s="204" t="s">
        <v>61</v>
      </c>
      <c r="Q286" s="204"/>
      <c r="R286" s="204"/>
      <c r="S286" s="205" t="s">
        <v>645</v>
      </c>
      <c r="T286" s="47" t="s">
        <v>161</v>
      </c>
      <c r="U286" s="1"/>
    </row>
    <row r="287" spans="1:21" ht="13.5" thickBot="1" x14ac:dyDescent="0.25">
      <c r="A287" s="47" t="s">
        <v>216</v>
      </c>
      <c r="B287" s="47" t="s">
        <v>11</v>
      </c>
      <c r="C287" s="47" t="s">
        <v>10</v>
      </c>
      <c r="D287" s="47" t="s">
        <v>216</v>
      </c>
      <c r="E287" s="47" t="s">
        <v>11</v>
      </c>
      <c r="F287" s="47" t="s">
        <v>10</v>
      </c>
      <c r="G287" s="47" t="s">
        <v>216</v>
      </c>
      <c r="H287" s="47" t="s">
        <v>11</v>
      </c>
      <c r="I287" s="47" t="s">
        <v>10</v>
      </c>
      <c r="J287" s="47" t="s">
        <v>216</v>
      </c>
      <c r="K287" s="47" t="s">
        <v>11</v>
      </c>
      <c r="L287" s="47" t="s">
        <v>10</v>
      </c>
      <c r="M287" s="47" t="s">
        <v>216</v>
      </c>
      <c r="N287" s="47" t="s">
        <v>11</v>
      </c>
      <c r="O287" s="47" t="s">
        <v>10</v>
      </c>
      <c r="P287" s="47" t="s">
        <v>216</v>
      </c>
      <c r="Q287" s="47" t="s">
        <v>11</v>
      </c>
      <c r="R287" s="47" t="s">
        <v>10</v>
      </c>
      <c r="S287" s="206"/>
      <c r="T287" s="5" t="s">
        <v>80</v>
      </c>
      <c r="U287" s="1"/>
    </row>
    <row r="288" spans="1:21" ht="13.5" thickBot="1" x14ac:dyDescent="0.25">
      <c r="A288" s="123">
        <v>30</v>
      </c>
      <c r="B288" s="123">
        <v>0</v>
      </c>
      <c r="C288" s="123">
        <v>30</v>
      </c>
      <c r="D288" s="123">
        <v>5</v>
      </c>
      <c r="E288" s="123">
        <v>0</v>
      </c>
      <c r="F288" s="123">
        <v>5</v>
      </c>
      <c r="G288" s="123">
        <v>19</v>
      </c>
      <c r="H288" s="123">
        <v>0</v>
      </c>
      <c r="I288" s="123">
        <v>19</v>
      </c>
      <c r="J288" s="123">
        <v>6</v>
      </c>
      <c r="K288" s="123">
        <v>0</v>
      </c>
      <c r="L288" s="123">
        <v>6</v>
      </c>
      <c r="M288" s="123">
        <v>0</v>
      </c>
      <c r="N288" s="123">
        <v>0</v>
      </c>
      <c r="O288" s="123">
        <v>0</v>
      </c>
      <c r="P288" s="123">
        <v>0</v>
      </c>
      <c r="Q288" s="123">
        <v>0</v>
      </c>
      <c r="R288" s="123">
        <v>0</v>
      </c>
      <c r="S288" s="7" t="s">
        <v>163</v>
      </c>
      <c r="T288" s="124"/>
      <c r="U288" s="1"/>
    </row>
    <row r="289" spans="1:21" ht="13.5" thickBot="1" x14ac:dyDescent="0.25">
      <c r="A289" s="123">
        <v>0</v>
      </c>
      <c r="B289" s="123">
        <v>0</v>
      </c>
      <c r="C289" s="123">
        <v>0</v>
      </c>
      <c r="D289" s="123">
        <v>0</v>
      </c>
      <c r="E289" s="123">
        <v>0</v>
      </c>
      <c r="F289" s="123">
        <v>0</v>
      </c>
      <c r="G289" s="123">
        <v>0</v>
      </c>
      <c r="H289" s="123">
        <v>0</v>
      </c>
      <c r="I289" s="123">
        <v>0</v>
      </c>
      <c r="J289" s="123">
        <v>0</v>
      </c>
      <c r="K289" s="123">
        <v>0</v>
      </c>
      <c r="L289" s="123">
        <v>0</v>
      </c>
      <c r="M289" s="123">
        <v>0</v>
      </c>
      <c r="N289" s="123">
        <v>0</v>
      </c>
      <c r="O289" s="123">
        <v>0</v>
      </c>
      <c r="P289" s="123">
        <v>0</v>
      </c>
      <c r="Q289" s="123">
        <v>0</v>
      </c>
      <c r="R289" s="123">
        <v>0</v>
      </c>
      <c r="S289" s="7" t="s">
        <v>162</v>
      </c>
      <c r="T289" s="124" t="s">
        <v>250</v>
      </c>
      <c r="U289" s="1"/>
    </row>
    <row r="290" spans="1:21" ht="13.5" thickBot="1" x14ac:dyDescent="0.25">
      <c r="A290" s="123">
        <v>30</v>
      </c>
      <c r="B290" s="123">
        <v>0</v>
      </c>
      <c r="C290" s="123">
        <v>30</v>
      </c>
      <c r="D290" s="123">
        <v>5</v>
      </c>
      <c r="E290" s="123">
        <v>0</v>
      </c>
      <c r="F290" s="123">
        <v>5</v>
      </c>
      <c r="G290" s="123">
        <v>19</v>
      </c>
      <c r="H290" s="123">
        <v>0</v>
      </c>
      <c r="I290" s="123">
        <v>19</v>
      </c>
      <c r="J290" s="123">
        <v>6</v>
      </c>
      <c r="K290" s="123">
        <v>0</v>
      </c>
      <c r="L290" s="123">
        <v>6</v>
      </c>
      <c r="M290" s="123">
        <v>0</v>
      </c>
      <c r="N290" s="123">
        <v>0</v>
      </c>
      <c r="O290" s="123">
        <v>0</v>
      </c>
      <c r="P290" s="123">
        <v>0</v>
      </c>
      <c r="Q290" s="123">
        <v>0</v>
      </c>
      <c r="R290" s="123">
        <v>0</v>
      </c>
      <c r="S290" s="7" t="s">
        <v>13</v>
      </c>
      <c r="T290" s="9"/>
      <c r="U290" s="1"/>
    </row>
    <row r="291" spans="1:21" ht="13.5" thickBot="1" x14ac:dyDescent="0.25">
      <c r="A291" s="123">
        <v>27</v>
      </c>
      <c r="B291" s="123">
        <v>0</v>
      </c>
      <c r="C291" s="123">
        <v>27</v>
      </c>
      <c r="D291" s="123">
        <v>0</v>
      </c>
      <c r="E291" s="123">
        <v>0</v>
      </c>
      <c r="F291" s="123">
        <v>0</v>
      </c>
      <c r="G291" s="123">
        <v>13</v>
      </c>
      <c r="H291" s="123">
        <v>0</v>
      </c>
      <c r="I291" s="123">
        <v>13</v>
      </c>
      <c r="J291" s="123">
        <v>14</v>
      </c>
      <c r="K291" s="123">
        <v>0</v>
      </c>
      <c r="L291" s="123">
        <v>14</v>
      </c>
      <c r="M291" s="123">
        <v>0</v>
      </c>
      <c r="N291" s="123">
        <v>0</v>
      </c>
      <c r="O291" s="123">
        <v>0</v>
      </c>
      <c r="P291" s="123">
        <v>0</v>
      </c>
      <c r="Q291" s="123">
        <v>0</v>
      </c>
      <c r="R291" s="123">
        <v>0</v>
      </c>
      <c r="S291" s="7" t="s">
        <v>163</v>
      </c>
      <c r="T291" s="124"/>
      <c r="U291" s="1"/>
    </row>
    <row r="292" spans="1:21" ht="13.5" thickBot="1" x14ac:dyDescent="0.25">
      <c r="A292" s="123">
        <v>0</v>
      </c>
      <c r="B292" s="123">
        <v>0</v>
      </c>
      <c r="C292" s="123">
        <v>0</v>
      </c>
      <c r="D292" s="123">
        <v>0</v>
      </c>
      <c r="E292" s="123">
        <v>0</v>
      </c>
      <c r="F292" s="123">
        <v>0</v>
      </c>
      <c r="G292" s="123">
        <v>0</v>
      </c>
      <c r="H292" s="123">
        <v>0</v>
      </c>
      <c r="I292" s="123">
        <v>0</v>
      </c>
      <c r="J292" s="123">
        <v>0</v>
      </c>
      <c r="K292" s="123">
        <v>0</v>
      </c>
      <c r="L292" s="123">
        <v>0</v>
      </c>
      <c r="M292" s="123">
        <v>0</v>
      </c>
      <c r="N292" s="123">
        <v>0</v>
      </c>
      <c r="O292" s="123">
        <v>0</v>
      </c>
      <c r="P292" s="123">
        <v>0</v>
      </c>
      <c r="Q292" s="123">
        <v>0</v>
      </c>
      <c r="R292" s="123">
        <v>0</v>
      </c>
      <c r="S292" s="7" t="s">
        <v>162</v>
      </c>
      <c r="T292" s="124" t="s">
        <v>393</v>
      </c>
      <c r="U292" s="1"/>
    </row>
    <row r="293" spans="1:21" ht="13.5" thickBot="1" x14ac:dyDescent="0.25">
      <c r="A293" s="123">
        <v>27</v>
      </c>
      <c r="B293" s="123">
        <v>0</v>
      </c>
      <c r="C293" s="123">
        <v>27</v>
      </c>
      <c r="D293" s="123">
        <v>0</v>
      </c>
      <c r="E293" s="123">
        <v>0</v>
      </c>
      <c r="F293" s="123">
        <v>0</v>
      </c>
      <c r="G293" s="123">
        <v>13</v>
      </c>
      <c r="H293" s="123">
        <v>0</v>
      </c>
      <c r="I293" s="123">
        <v>13</v>
      </c>
      <c r="J293" s="123">
        <v>14</v>
      </c>
      <c r="K293" s="123">
        <v>0</v>
      </c>
      <c r="L293" s="123">
        <v>14</v>
      </c>
      <c r="M293" s="123">
        <v>0</v>
      </c>
      <c r="N293" s="123">
        <v>0</v>
      </c>
      <c r="O293" s="123">
        <v>0</v>
      </c>
      <c r="P293" s="123">
        <v>0</v>
      </c>
      <c r="Q293" s="123">
        <v>0</v>
      </c>
      <c r="R293" s="123">
        <v>0</v>
      </c>
      <c r="S293" s="7" t="s">
        <v>13</v>
      </c>
      <c r="T293" s="9"/>
      <c r="U293" s="1"/>
    </row>
    <row r="294" spans="1:21" ht="13.5" thickBot="1" x14ac:dyDescent="0.25">
      <c r="A294" s="123">
        <v>35</v>
      </c>
      <c r="B294" s="123">
        <v>8</v>
      </c>
      <c r="C294" s="123">
        <v>27</v>
      </c>
      <c r="D294" s="123">
        <v>0</v>
      </c>
      <c r="E294" s="123">
        <v>0</v>
      </c>
      <c r="F294" s="123">
        <v>0</v>
      </c>
      <c r="G294" s="123">
        <v>9</v>
      </c>
      <c r="H294" s="123">
        <v>2</v>
      </c>
      <c r="I294" s="123">
        <v>7</v>
      </c>
      <c r="J294" s="123">
        <v>26</v>
      </c>
      <c r="K294" s="123">
        <v>6</v>
      </c>
      <c r="L294" s="123">
        <v>20</v>
      </c>
      <c r="M294" s="123">
        <v>0</v>
      </c>
      <c r="N294" s="123">
        <v>0</v>
      </c>
      <c r="O294" s="123">
        <v>0</v>
      </c>
      <c r="P294" s="123">
        <v>0</v>
      </c>
      <c r="Q294" s="123">
        <v>0</v>
      </c>
      <c r="R294" s="123">
        <v>0</v>
      </c>
      <c r="S294" s="7" t="s">
        <v>163</v>
      </c>
      <c r="T294" s="124"/>
      <c r="U294" s="1"/>
    </row>
    <row r="295" spans="1:21" ht="13.5" thickBot="1" x14ac:dyDescent="0.25">
      <c r="A295" s="123">
        <v>0</v>
      </c>
      <c r="B295" s="123">
        <v>0</v>
      </c>
      <c r="C295" s="123">
        <v>0</v>
      </c>
      <c r="D295" s="123">
        <v>0</v>
      </c>
      <c r="E295" s="123">
        <v>0</v>
      </c>
      <c r="F295" s="123">
        <v>0</v>
      </c>
      <c r="G295" s="123">
        <v>0</v>
      </c>
      <c r="H295" s="123">
        <v>0</v>
      </c>
      <c r="I295" s="123">
        <v>0</v>
      </c>
      <c r="J295" s="123">
        <v>0</v>
      </c>
      <c r="K295" s="123">
        <v>0</v>
      </c>
      <c r="L295" s="123">
        <v>0</v>
      </c>
      <c r="M295" s="123">
        <v>0</v>
      </c>
      <c r="N295" s="123">
        <v>0</v>
      </c>
      <c r="O295" s="123">
        <v>0</v>
      </c>
      <c r="P295" s="123">
        <v>0</v>
      </c>
      <c r="Q295" s="123">
        <v>0</v>
      </c>
      <c r="R295" s="123">
        <v>0</v>
      </c>
      <c r="S295" s="7" t="s">
        <v>162</v>
      </c>
      <c r="T295" s="124" t="s">
        <v>394</v>
      </c>
      <c r="U295" s="1"/>
    </row>
    <row r="296" spans="1:21" ht="13.5" thickBot="1" x14ac:dyDescent="0.25">
      <c r="A296" s="123">
        <v>35</v>
      </c>
      <c r="B296" s="123">
        <v>8</v>
      </c>
      <c r="C296" s="123">
        <v>27</v>
      </c>
      <c r="D296" s="123">
        <v>0</v>
      </c>
      <c r="E296" s="123">
        <v>0</v>
      </c>
      <c r="F296" s="123">
        <v>0</v>
      </c>
      <c r="G296" s="123">
        <v>9</v>
      </c>
      <c r="H296" s="123">
        <v>2</v>
      </c>
      <c r="I296" s="123">
        <v>7</v>
      </c>
      <c r="J296" s="123">
        <v>26</v>
      </c>
      <c r="K296" s="123">
        <v>6</v>
      </c>
      <c r="L296" s="123">
        <v>20</v>
      </c>
      <c r="M296" s="123">
        <v>0</v>
      </c>
      <c r="N296" s="123">
        <v>0</v>
      </c>
      <c r="O296" s="123">
        <v>0</v>
      </c>
      <c r="P296" s="123">
        <v>0</v>
      </c>
      <c r="Q296" s="123">
        <v>0</v>
      </c>
      <c r="R296" s="123">
        <v>0</v>
      </c>
      <c r="S296" s="7" t="s">
        <v>13</v>
      </c>
      <c r="T296" s="9"/>
      <c r="U296" s="1"/>
    </row>
    <row r="297" spans="1:21" ht="13.5" thickBot="1" x14ac:dyDescent="0.25">
      <c r="A297" s="123">
        <v>25</v>
      </c>
      <c r="B297" s="123">
        <v>11</v>
      </c>
      <c r="C297" s="123">
        <v>14</v>
      </c>
      <c r="D297" s="123">
        <v>8</v>
      </c>
      <c r="E297" s="123">
        <v>2</v>
      </c>
      <c r="F297" s="123">
        <v>6</v>
      </c>
      <c r="G297" s="123">
        <v>7</v>
      </c>
      <c r="H297" s="123">
        <v>2</v>
      </c>
      <c r="I297" s="123">
        <v>5</v>
      </c>
      <c r="J297" s="123">
        <v>10</v>
      </c>
      <c r="K297" s="123">
        <v>7</v>
      </c>
      <c r="L297" s="123">
        <v>3</v>
      </c>
      <c r="M297" s="123">
        <v>0</v>
      </c>
      <c r="N297" s="123">
        <v>0</v>
      </c>
      <c r="O297" s="123">
        <v>0</v>
      </c>
      <c r="P297" s="123">
        <v>0</v>
      </c>
      <c r="Q297" s="123">
        <v>0</v>
      </c>
      <c r="R297" s="123">
        <v>0</v>
      </c>
      <c r="S297" s="7" t="s">
        <v>163</v>
      </c>
      <c r="T297" s="124"/>
      <c r="U297" s="1"/>
    </row>
    <row r="298" spans="1:21" ht="13.5" thickBot="1" x14ac:dyDescent="0.25">
      <c r="A298" s="123">
        <v>0</v>
      </c>
      <c r="B298" s="123">
        <v>0</v>
      </c>
      <c r="C298" s="123">
        <v>0</v>
      </c>
      <c r="D298" s="123">
        <v>0</v>
      </c>
      <c r="E298" s="123">
        <v>0</v>
      </c>
      <c r="F298" s="123">
        <v>0</v>
      </c>
      <c r="G298" s="123">
        <v>0</v>
      </c>
      <c r="H298" s="123">
        <v>0</v>
      </c>
      <c r="I298" s="123">
        <v>0</v>
      </c>
      <c r="J298" s="123">
        <v>0</v>
      </c>
      <c r="K298" s="123">
        <v>0</v>
      </c>
      <c r="L298" s="123">
        <v>0</v>
      </c>
      <c r="M298" s="123">
        <v>0</v>
      </c>
      <c r="N298" s="123">
        <v>0</v>
      </c>
      <c r="O298" s="123">
        <v>0</v>
      </c>
      <c r="P298" s="123">
        <v>0</v>
      </c>
      <c r="Q298" s="123">
        <v>0</v>
      </c>
      <c r="R298" s="123">
        <v>0</v>
      </c>
      <c r="S298" s="7" t="s">
        <v>162</v>
      </c>
      <c r="T298" s="124" t="s">
        <v>396</v>
      </c>
      <c r="U298" s="1"/>
    </row>
    <row r="299" spans="1:21" ht="13.5" thickBot="1" x14ac:dyDescent="0.25">
      <c r="A299" s="123">
        <v>25</v>
      </c>
      <c r="B299" s="123">
        <v>11</v>
      </c>
      <c r="C299" s="123">
        <v>14</v>
      </c>
      <c r="D299" s="123">
        <v>8</v>
      </c>
      <c r="E299" s="123">
        <v>2</v>
      </c>
      <c r="F299" s="123">
        <v>6</v>
      </c>
      <c r="G299" s="123">
        <v>7</v>
      </c>
      <c r="H299" s="123">
        <v>2</v>
      </c>
      <c r="I299" s="123">
        <v>5</v>
      </c>
      <c r="J299" s="123">
        <v>10</v>
      </c>
      <c r="K299" s="123">
        <v>7</v>
      </c>
      <c r="L299" s="123">
        <v>3</v>
      </c>
      <c r="M299" s="123">
        <v>0</v>
      </c>
      <c r="N299" s="123">
        <v>0</v>
      </c>
      <c r="O299" s="123">
        <v>0</v>
      </c>
      <c r="P299" s="123">
        <v>0</v>
      </c>
      <c r="Q299" s="123">
        <v>0</v>
      </c>
      <c r="R299" s="123">
        <v>0</v>
      </c>
      <c r="S299" s="7" t="s">
        <v>13</v>
      </c>
      <c r="T299" s="9"/>
      <c r="U299" s="1"/>
    </row>
    <row r="300" spans="1:21" ht="13.5" thickBot="1" x14ac:dyDescent="0.25">
      <c r="A300" s="123">
        <v>8</v>
      </c>
      <c r="B300" s="123">
        <v>0</v>
      </c>
      <c r="C300" s="123">
        <v>8</v>
      </c>
      <c r="D300" s="123">
        <v>0</v>
      </c>
      <c r="E300" s="123">
        <v>0</v>
      </c>
      <c r="F300" s="123">
        <v>0</v>
      </c>
      <c r="G300" s="123">
        <v>3</v>
      </c>
      <c r="H300" s="123">
        <v>0</v>
      </c>
      <c r="I300" s="123">
        <v>3</v>
      </c>
      <c r="J300" s="123">
        <v>5</v>
      </c>
      <c r="K300" s="123">
        <v>0</v>
      </c>
      <c r="L300" s="123">
        <v>5</v>
      </c>
      <c r="M300" s="123">
        <v>0</v>
      </c>
      <c r="N300" s="123">
        <v>0</v>
      </c>
      <c r="O300" s="123">
        <v>0</v>
      </c>
      <c r="P300" s="123">
        <v>0</v>
      </c>
      <c r="Q300" s="123">
        <v>0</v>
      </c>
      <c r="R300" s="123">
        <v>0</v>
      </c>
      <c r="S300" s="7" t="s">
        <v>163</v>
      </c>
      <c r="T300" s="124"/>
      <c r="U300" s="1"/>
    </row>
    <row r="301" spans="1:21" ht="13.5" thickBot="1" x14ac:dyDescent="0.25">
      <c r="A301" s="123">
        <v>0</v>
      </c>
      <c r="B301" s="123">
        <v>0</v>
      </c>
      <c r="C301" s="123">
        <v>0</v>
      </c>
      <c r="D301" s="123">
        <v>0</v>
      </c>
      <c r="E301" s="123">
        <v>0</v>
      </c>
      <c r="F301" s="123">
        <v>0</v>
      </c>
      <c r="G301" s="123">
        <v>0</v>
      </c>
      <c r="H301" s="123">
        <v>0</v>
      </c>
      <c r="I301" s="123">
        <v>0</v>
      </c>
      <c r="J301" s="123">
        <v>0</v>
      </c>
      <c r="K301" s="123">
        <v>0</v>
      </c>
      <c r="L301" s="123">
        <v>0</v>
      </c>
      <c r="M301" s="123">
        <v>0</v>
      </c>
      <c r="N301" s="123">
        <v>0</v>
      </c>
      <c r="O301" s="123">
        <v>0</v>
      </c>
      <c r="P301" s="123">
        <v>0</v>
      </c>
      <c r="Q301" s="123">
        <v>0</v>
      </c>
      <c r="R301" s="123">
        <v>0</v>
      </c>
      <c r="S301" s="7" t="s">
        <v>162</v>
      </c>
      <c r="T301" s="124" t="s">
        <v>397</v>
      </c>
      <c r="U301" s="1"/>
    </row>
    <row r="302" spans="1:21" ht="13.5" thickBot="1" x14ac:dyDescent="0.25">
      <c r="A302" s="123">
        <v>8</v>
      </c>
      <c r="B302" s="123">
        <v>0</v>
      </c>
      <c r="C302" s="123">
        <v>8</v>
      </c>
      <c r="D302" s="123">
        <v>0</v>
      </c>
      <c r="E302" s="123">
        <v>0</v>
      </c>
      <c r="F302" s="123">
        <v>0</v>
      </c>
      <c r="G302" s="123">
        <v>3</v>
      </c>
      <c r="H302" s="123">
        <v>0</v>
      </c>
      <c r="I302" s="123">
        <v>3</v>
      </c>
      <c r="J302" s="123">
        <v>5</v>
      </c>
      <c r="K302" s="123">
        <v>0</v>
      </c>
      <c r="L302" s="123">
        <v>5</v>
      </c>
      <c r="M302" s="123">
        <v>0</v>
      </c>
      <c r="N302" s="123">
        <v>0</v>
      </c>
      <c r="O302" s="123">
        <v>0</v>
      </c>
      <c r="P302" s="123">
        <v>0</v>
      </c>
      <c r="Q302" s="123">
        <v>0</v>
      </c>
      <c r="R302" s="123">
        <v>0</v>
      </c>
      <c r="S302" s="7" t="s">
        <v>13</v>
      </c>
      <c r="T302" s="9"/>
      <c r="U302" s="1"/>
    </row>
    <row r="303" spans="1:21" ht="13.5" thickBot="1" x14ac:dyDescent="0.25">
      <c r="A303" s="123">
        <v>41</v>
      </c>
      <c r="B303" s="123">
        <v>14</v>
      </c>
      <c r="C303" s="123">
        <v>27</v>
      </c>
      <c r="D303" s="123">
        <v>5</v>
      </c>
      <c r="E303" s="123">
        <v>0</v>
      </c>
      <c r="F303" s="123">
        <v>5</v>
      </c>
      <c r="G303" s="123">
        <v>6</v>
      </c>
      <c r="H303" s="123">
        <v>0</v>
      </c>
      <c r="I303" s="123">
        <v>6</v>
      </c>
      <c r="J303" s="123">
        <v>30</v>
      </c>
      <c r="K303" s="123">
        <v>14</v>
      </c>
      <c r="L303" s="123">
        <v>16</v>
      </c>
      <c r="M303" s="123">
        <v>0</v>
      </c>
      <c r="N303" s="123">
        <v>0</v>
      </c>
      <c r="O303" s="123">
        <v>0</v>
      </c>
      <c r="P303" s="123">
        <v>0</v>
      </c>
      <c r="Q303" s="123">
        <v>0</v>
      </c>
      <c r="R303" s="123">
        <v>0</v>
      </c>
      <c r="S303" s="7" t="s">
        <v>163</v>
      </c>
      <c r="T303" s="124"/>
      <c r="U303" s="1"/>
    </row>
    <row r="304" spans="1:21" ht="13.5" thickBot="1" x14ac:dyDescent="0.25">
      <c r="A304" s="123">
        <v>0</v>
      </c>
      <c r="B304" s="123">
        <v>0</v>
      </c>
      <c r="C304" s="123">
        <v>0</v>
      </c>
      <c r="D304" s="123">
        <v>0</v>
      </c>
      <c r="E304" s="123">
        <v>0</v>
      </c>
      <c r="F304" s="123">
        <v>0</v>
      </c>
      <c r="G304" s="123">
        <v>0</v>
      </c>
      <c r="H304" s="123">
        <v>0</v>
      </c>
      <c r="I304" s="123">
        <v>0</v>
      </c>
      <c r="J304" s="123">
        <v>0</v>
      </c>
      <c r="K304" s="123">
        <v>0</v>
      </c>
      <c r="L304" s="123">
        <v>0</v>
      </c>
      <c r="M304" s="123">
        <v>0</v>
      </c>
      <c r="N304" s="123">
        <v>0</v>
      </c>
      <c r="O304" s="123">
        <v>0</v>
      </c>
      <c r="P304" s="123">
        <v>0</v>
      </c>
      <c r="Q304" s="123">
        <v>0</v>
      </c>
      <c r="R304" s="123">
        <v>0</v>
      </c>
      <c r="S304" s="7" t="s">
        <v>162</v>
      </c>
      <c r="T304" s="124" t="s">
        <v>398</v>
      </c>
      <c r="U304" s="1"/>
    </row>
    <row r="305" spans="1:21" ht="13.5" thickBot="1" x14ac:dyDescent="0.25">
      <c r="A305" s="123">
        <v>41</v>
      </c>
      <c r="B305" s="123">
        <v>14</v>
      </c>
      <c r="C305" s="123">
        <v>27</v>
      </c>
      <c r="D305" s="123">
        <v>5</v>
      </c>
      <c r="E305" s="123">
        <v>0</v>
      </c>
      <c r="F305" s="123">
        <v>5</v>
      </c>
      <c r="G305" s="123">
        <v>6</v>
      </c>
      <c r="H305" s="123">
        <v>0</v>
      </c>
      <c r="I305" s="123">
        <v>6</v>
      </c>
      <c r="J305" s="123">
        <v>30</v>
      </c>
      <c r="K305" s="123">
        <v>14</v>
      </c>
      <c r="L305" s="123">
        <v>16</v>
      </c>
      <c r="M305" s="123">
        <v>0</v>
      </c>
      <c r="N305" s="123">
        <v>0</v>
      </c>
      <c r="O305" s="123">
        <v>0</v>
      </c>
      <c r="P305" s="123">
        <v>0</v>
      </c>
      <c r="Q305" s="123">
        <v>0</v>
      </c>
      <c r="R305" s="123">
        <v>0</v>
      </c>
      <c r="S305" s="7" t="s">
        <v>13</v>
      </c>
      <c r="T305" s="9"/>
      <c r="U305" s="1"/>
    </row>
    <row r="306" spans="1:21" ht="13.5" thickBot="1" x14ac:dyDescent="0.25">
      <c r="A306" s="123">
        <v>35</v>
      </c>
      <c r="B306" s="123">
        <v>17</v>
      </c>
      <c r="C306" s="123">
        <v>18</v>
      </c>
      <c r="D306" s="123">
        <v>0</v>
      </c>
      <c r="E306" s="123">
        <v>0</v>
      </c>
      <c r="F306" s="123">
        <v>0</v>
      </c>
      <c r="G306" s="123">
        <v>4</v>
      </c>
      <c r="H306" s="123">
        <v>0</v>
      </c>
      <c r="I306" s="123">
        <v>4</v>
      </c>
      <c r="J306" s="123">
        <v>31</v>
      </c>
      <c r="K306" s="123">
        <v>17</v>
      </c>
      <c r="L306" s="123">
        <v>14</v>
      </c>
      <c r="M306" s="123">
        <v>0</v>
      </c>
      <c r="N306" s="123">
        <v>0</v>
      </c>
      <c r="O306" s="123">
        <v>0</v>
      </c>
      <c r="P306" s="123">
        <v>0</v>
      </c>
      <c r="Q306" s="123">
        <v>0</v>
      </c>
      <c r="R306" s="123">
        <v>0</v>
      </c>
      <c r="S306" s="7" t="s">
        <v>163</v>
      </c>
      <c r="T306" s="124"/>
      <c r="U306" s="1"/>
    </row>
    <row r="307" spans="1:21" ht="13.5" thickBot="1" x14ac:dyDescent="0.25">
      <c r="A307" s="123">
        <v>0</v>
      </c>
      <c r="B307" s="123">
        <v>0</v>
      </c>
      <c r="C307" s="123">
        <v>0</v>
      </c>
      <c r="D307" s="123">
        <v>0</v>
      </c>
      <c r="E307" s="123">
        <v>0</v>
      </c>
      <c r="F307" s="123">
        <v>0</v>
      </c>
      <c r="G307" s="123">
        <v>0</v>
      </c>
      <c r="H307" s="123">
        <v>0</v>
      </c>
      <c r="I307" s="123">
        <v>0</v>
      </c>
      <c r="J307" s="123">
        <v>0</v>
      </c>
      <c r="K307" s="123">
        <v>0</v>
      </c>
      <c r="L307" s="123">
        <v>0</v>
      </c>
      <c r="M307" s="123">
        <v>0</v>
      </c>
      <c r="N307" s="123">
        <v>0</v>
      </c>
      <c r="O307" s="123">
        <v>0</v>
      </c>
      <c r="P307" s="123">
        <v>0</v>
      </c>
      <c r="Q307" s="123">
        <v>0</v>
      </c>
      <c r="R307" s="123">
        <v>0</v>
      </c>
      <c r="S307" s="7" t="s">
        <v>162</v>
      </c>
      <c r="T307" s="124" t="s">
        <v>399</v>
      </c>
      <c r="U307" s="1"/>
    </row>
    <row r="308" spans="1:21" ht="13.5" thickBot="1" x14ac:dyDescent="0.25">
      <c r="A308" s="123">
        <v>35</v>
      </c>
      <c r="B308" s="123">
        <v>17</v>
      </c>
      <c r="C308" s="123">
        <v>18</v>
      </c>
      <c r="D308" s="123">
        <v>0</v>
      </c>
      <c r="E308" s="123">
        <v>0</v>
      </c>
      <c r="F308" s="123">
        <v>0</v>
      </c>
      <c r="G308" s="123">
        <v>4</v>
      </c>
      <c r="H308" s="123">
        <v>0</v>
      </c>
      <c r="I308" s="123">
        <v>4</v>
      </c>
      <c r="J308" s="123">
        <v>31</v>
      </c>
      <c r="K308" s="123">
        <v>17</v>
      </c>
      <c r="L308" s="123">
        <v>14</v>
      </c>
      <c r="M308" s="123">
        <v>0</v>
      </c>
      <c r="N308" s="123">
        <v>0</v>
      </c>
      <c r="O308" s="123">
        <v>0</v>
      </c>
      <c r="P308" s="123">
        <v>0</v>
      </c>
      <c r="Q308" s="123">
        <v>0</v>
      </c>
      <c r="R308" s="123">
        <v>0</v>
      </c>
      <c r="S308" s="7" t="s">
        <v>13</v>
      </c>
      <c r="T308" s="9"/>
      <c r="U308" s="1"/>
    </row>
    <row r="309" spans="1:21" ht="13.5" thickBot="1" x14ac:dyDescent="0.25">
      <c r="A309" s="123">
        <v>4</v>
      </c>
      <c r="B309" s="123">
        <v>0</v>
      </c>
      <c r="C309" s="123">
        <v>4</v>
      </c>
      <c r="D309" s="123">
        <v>0</v>
      </c>
      <c r="E309" s="123">
        <v>0</v>
      </c>
      <c r="F309" s="123">
        <v>0</v>
      </c>
      <c r="G309" s="123">
        <v>1</v>
      </c>
      <c r="H309" s="123">
        <v>0</v>
      </c>
      <c r="I309" s="123">
        <v>1</v>
      </c>
      <c r="J309" s="123">
        <v>3</v>
      </c>
      <c r="K309" s="123">
        <v>0</v>
      </c>
      <c r="L309" s="123">
        <v>3</v>
      </c>
      <c r="M309" s="123">
        <v>0</v>
      </c>
      <c r="N309" s="123">
        <v>0</v>
      </c>
      <c r="O309" s="123">
        <v>0</v>
      </c>
      <c r="P309" s="123">
        <v>0</v>
      </c>
      <c r="Q309" s="123">
        <v>0</v>
      </c>
      <c r="R309" s="123">
        <v>0</v>
      </c>
      <c r="S309" s="7" t="s">
        <v>163</v>
      </c>
      <c r="T309" s="124"/>
      <c r="U309" s="1"/>
    </row>
    <row r="310" spans="1:21" ht="13.5" thickBot="1" x14ac:dyDescent="0.25">
      <c r="A310" s="123">
        <v>0</v>
      </c>
      <c r="B310" s="123">
        <v>0</v>
      </c>
      <c r="C310" s="123">
        <v>0</v>
      </c>
      <c r="D310" s="123">
        <v>0</v>
      </c>
      <c r="E310" s="123">
        <v>0</v>
      </c>
      <c r="F310" s="123">
        <v>0</v>
      </c>
      <c r="G310" s="123">
        <v>0</v>
      </c>
      <c r="H310" s="123">
        <v>0</v>
      </c>
      <c r="I310" s="123">
        <v>0</v>
      </c>
      <c r="J310" s="123">
        <v>0</v>
      </c>
      <c r="K310" s="123">
        <v>0</v>
      </c>
      <c r="L310" s="123">
        <v>0</v>
      </c>
      <c r="M310" s="123">
        <v>0</v>
      </c>
      <c r="N310" s="123">
        <v>0</v>
      </c>
      <c r="O310" s="123">
        <v>0</v>
      </c>
      <c r="P310" s="123">
        <v>0</v>
      </c>
      <c r="Q310" s="123">
        <v>0</v>
      </c>
      <c r="R310" s="123">
        <v>0</v>
      </c>
      <c r="S310" s="7" t="s">
        <v>162</v>
      </c>
      <c r="T310" s="124" t="s">
        <v>400</v>
      </c>
      <c r="U310" s="1"/>
    </row>
    <row r="311" spans="1:21" ht="13.5" thickBot="1" x14ac:dyDescent="0.25">
      <c r="A311" s="123">
        <v>4</v>
      </c>
      <c r="B311" s="123">
        <v>0</v>
      </c>
      <c r="C311" s="123">
        <v>4</v>
      </c>
      <c r="D311" s="123">
        <v>0</v>
      </c>
      <c r="E311" s="123">
        <v>0</v>
      </c>
      <c r="F311" s="123">
        <v>0</v>
      </c>
      <c r="G311" s="123">
        <v>1</v>
      </c>
      <c r="H311" s="123">
        <v>0</v>
      </c>
      <c r="I311" s="123">
        <v>1</v>
      </c>
      <c r="J311" s="123">
        <v>3</v>
      </c>
      <c r="K311" s="123">
        <v>0</v>
      </c>
      <c r="L311" s="123">
        <v>3</v>
      </c>
      <c r="M311" s="123">
        <v>0</v>
      </c>
      <c r="N311" s="123">
        <v>0</v>
      </c>
      <c r="O311" s="123">
        <v>0</v>
      </c>
      <c r="P311" s="123">
        <v>0</v>
      </c>
      <c r="Q311" s="123">
        <v>0</v>
      </c>
      <c r="R311" s="123">
        <v>0</v>
      </c>
      <c r="S311" s="7" t="s">
        <v>13</v>
      </c>
      <c r="T311" s="9"/>
      <c r="U311" s="1"/>
    </row>
    <row r="312" spans="1:21" ht="13.5" thickBot="1" x14ac:dyDescent="0.25">
      <c r="A312" s="123">
        <v>18</v>
      </c>
      <c r="B312" s="123">
        <v>4</v>
      </c>
      <c r="C312" s="123">
        <v>14</v>
      </c>
      <c r="D312" s="123">
        <v>0</v>
      </c>
      <c r="E312" s="123">
        <v>0</v>
      </c>
      <c r="F312" s="123">
        <v>0</v>
      </c>
      <c r="G312" s="123">
        <v>10</v>
      </c>
      <c r="H312" s="123">
        <v>2</v>
      </c>
      <c r="I312" s="123">
        <v>8</v>
      </c>
      <c r="J312" s="123">
        <v>8</v>
      </c>
      <c r="K312" s="123">
        <v>2</v>
      </c>
      <c r="L312" s="123">
        <v>6</v>
      </c>
      <c r="M312" s="123">
        <v>0</v>
      </c>
      <c r="N312" s="123">
        <v>0</v>
      </c>
      <c r="O312" s="123">
        <v>0</v>
      </c>
      <c r="P312" s="123">
        <v>0</v>
      </c>
      <c r="Q312" s="123">
        <v>0</v>
      </c>
      <c r="R312" s="123">
        <v>0</v>
      </c>
      <c r="S312" s="7" t="s">
        <v>163</v>
      </c>
      <c r="T312" s="124"/>
      <c r="U312" s="1"/>
    </row>
    <row r="313" spans="1:21" ht="13.5" thickBot="1" x14ac:dyDescent="0.25">
      <c r="A313" s="123">
        <v>4</v>
      </c>
      <c r="B313" s="123">
        <v>0</v>
      </c>
      <c r="C313" s="123">
        <v>4</v>
      </c>
      <c r="D313" s="123">
        <v>0</v>
      </c>
      <c r="E313" s="123">
        <v>0</v>
      </c>
      <c r="F313" s="123">
        <v>0</v>
      </c>
      <c r="G313" s="123">
        <v>0</v>
      </c>
      <c r="H313" s="123">
        <v>0</v>
      </c>
      <c r="I313" s="123">
        <v>0</v>
      </c>
      <c r="J313" s="123">
        <v>4</v>
      </c>
      <c r="K313" s="123">
        <v>0</v>
      </c>
      <c r="L313" s="123">
        <v>4</v>
      </c>
      <c r="M313" s="123">
        <v>0</v>
      </c>
      <c r="N313" s="123">
        <v>0</v>
      </c>
      <c r="O313" s="123">
        <v>0</v>
      </c>
      <c r="P313" s="123">
        <v>0</v>
      </c>
      <c r="Q313" s="123">
        <v>0</v>
      </c>
      <c r="R313" s="123">
        <v>0</v>
      </c>
      <c r="S313" s="7" t="s">
        <v>162</v>
      </c>
      <c r="T313" s="124" t="s">
        <v>401</v>
      </c>
      <c r="U313" s="1"/>
    </row>
    <row r="314" spans="1:21" ht="13.5" thickBot="1" x14ac:dyDescent="0.25">
      <c r="A314" s="123">
        <v>22</v>
      </c>
      <c r="B314" s="123">
        <v>4</v>
      </c>
      <c r="C314" s="123">
        <v>18</v>
      </c>
      <c r="D314" s="123">
        <v>0</v>
      </c>
      <c r="E314" s="123">
        <v>0</v>
      </c>
      <c r="F314" s="123">
        <v>0</v>
      </c>
      <c r="G314" s="123">
        <v>10</v>
      </c>
      <c r="H314" s="123">
        <v>2</v>
      </c>
      <c r="I314" s="123">
        <v>8</v>
      </c>
      <c r="J314" s="123">
        <v>12</v>
      </c>
      <c r="K314" s="123">
        <v>2</v>
      </c>
      <c r="L314" s="123">
        <v>10</v>
      </c>
      <c r="M314" s="123">
        <v>0</v>
      </c>
      <c r="N314" s="123">
        <v>0</v>
      </c>
      <c r="O314" s="123">
        <v>0</v>
      </c>
      <c r="P314" s="123">
        <v>0</v>
      </c>
      <c r="Q314" s="123">
        <v>0</v>
      </c>
      <c r="R314" s="123">
        <v>0</v>
      </c>
      <c r="S314" s="7" t="s">
        <v>13</v>
      </c>
      <c r="T314" s="9"/>
      <c r="U314" s="1"/>
    </row>
    <row r="315" spans="1:21" ht="13.5" thickBot="1" x14ac:dyDescent="0.25">
      <c r="A315" s="123">
        <v>74</v>
      </c>
      <c r="B315" s="123">
        <v>39</v>
      </c>
      <c r="C315" s="123">
        <v>35</v>
      </c>
      <c r="D315" s="123">
        <v>0</v>
      </c>
      <c r="E315" s="123">
        <v>0</v>
      </c>
      <c r="F315" s="123">
        <v>0</v>
      </c>
      <c r="G315" s="123">
        <v>25</v>
      </c>
      <c r="H315" s="123">
        <v>8</v>
      </c>
      <c r="I315" s="123">
        <v>17</v>
      </c>
      <c r="J315" s="123">
        <v>49</v>
      </c>
      <c r="K315" s="123">
        <v>31</v>
      </c>
      <c r="L315" s="123">
        <v>18</v>
      </c>
      <c r="M315" s="123">
        <v>0</v>
      </c>
      <c r="N315" s="123">
        <v>0</v>
      </c>
      <c r="O315" s="123">
        <v>0</v>
      </c>
      <c r="P315" s="123">
        <v>0</v>
      </c>
      <c r="Q315" s="123">
        <v>0</v>
      </c>
      <c r="R315" s="123">
        <v>0</v>
      </c>
      <c r="S315" s="7" t="s">
        <v>163</v>
      </c>
      <c r="T315" s="124"/>
      <c r="U315" s="1"/>
    </row>
    <row r="316" spans="1:21" ht="13.5" thickBot="1" x14ac:dyDescent="0.25">
      <c r="A316" s="123">
        <v>19</v>
      </c>
      <c r="B316" s="123">
        <v>7</v>
      </c>
      <c r="C316" s="123">
        <v>12</v>
      </c>
      <c r="D316" s="123">
        <v>0</v>
      </c>
      <c r="E316" s="123">
        <v>0</v>
      </c>
      <c r="F316" s="123">
        <v>0</v>
      </c>
      <c r="G316" s="123">
        <v>0</v>
      </c>
      <c r="H316" s="123">
        <v>0</v>
      </c>
      <c r="I316" s="123">
        <v>0</v>
      </c>
      <c r="J316" s="123">
        <v>14</v>
      </c>
      <c r="K316" s="123">
        <v>5</v>
      </c>
      <c r="L316" s="123">
        <v>9</v>
      </c>
      <c r="M316" s="123">
        <v>5</v>
      </c>
      <c r="N316" s="123">
        <v>2</v>
      </c>
      <c r="O316" s="123">
        <v>3</v>
      </c>
      <c r="P316" s="123">
        <v>0</v>
      </c>
      <c r="Q316" s="123">
        <v>0</v>
      </c>
      <c r="R316" s="123">
        <v>0</v>
      </c>
      <c r="S316" s="7" t="s">
        <v>162</v>
      </c>
      <c r="T316" s="124" t="s">
        <v>402</v>
      </c>
      <c r="U316" s="1"/>
    </row>
    <row r="317" spans="1:21" ht="13.5" thickBot="1" x14ac:dyDescent="0.25">
      <c r="A317" s="123">
        <v>93</v>
      </c>
      <c r="B317" s="123">
        <v>46</v>
      </c>
      <c r="C317" s="123">
        <v>47</v>
      </c>
      <c r="D317" s="123">
        <v>0</v>
      </c>
      <c r="E317" s="123">
        <v>0</v>
      </c>
      <c r="F317" s="123">
        <v>0</v>
      </c>
      <c r="G317" s="123">
        <v>25</v>
      </c>
      <c r="H317" s="123">
        <v>8</v>
      </c>
      <c r="I317" s="123">
        <v>17</v>
      </c>
      <c r="J317" s="123">
        <v>63</v>
      </c>
      <c r="K317" s="123">
        <v>36</v>
      </c>
      <c r="L317" s="123">
        <v>27</v>
      </c>
      <c r="M317" s="123">
        <v>5</v>
      </c>
      <c r="N317" s="123">
        <v>2</v>
      </c>
      <c r="O317" s="123">
        <v>3</v>
      </c>
      <c r="P317" s="123">
        <v>0</v>
      </c>
      <c r="Q317" s="123">
        <v>0</v>
      </c>
      <c r="R317" s="123">
        <v>0</v>
      </c>
      <c r="S317" s="7" t="s">
        <v>13</v>
      </c>
      <c r="T317" s="9"/>
      <c r="U317" s="1"/>
    </row>
    <row r="318" spans="1:21" ht="13.5" thickBot="1" x14ac:dyDescent="0.25">
      <c r="A318" s="123">
        <v>5</v>
      </c>
      <c r="B318" s="123">
        <v>0</v>
      </c>
      <c r="C318" s="123">
        <v>5</v>
      </c>
      <c r="D318" s="123">
        <v>0</v>
      </c>
      <c r="E318" s="123">
        <v>0</v>
      </c>
      <c r="F318" s="123">
        <v>0</v>
      </c>
      <c r="G318" s="123">
        <v>3</v>
      </c>
      <c r="H318" s="123">
        <v>0</v>
      </c>
      <c r="I318" s="123">
        <v>3</v>
      </c>
      <c r="J318" s="123">
        <v>2</v>
      </c>
      <c r="K318" s="123">
        <v>0</v>
      </c>
      <c r="L318" s="123">
        <v>2</v>
      </c>
      <c r="M318" s="123">
        <v>0</v>
      </c>
      <c r="N318" s="123">
        <v>0</v>
      </c>
      <c r="O318" s="123">
        <v>0</v>
      </c>
      <c r="P318" s="123">
        <v>0</v>
      </c>
      <c r="Q318" s="123">
        <v>0</v>
      </c>
      <c r="R318" s="123">
        <v>0</v>
      </c>
      <c r="S318" s="7" t="s">
        <v>163</v>
      </c>
      <c r="T318" s="124"/>
      <c r="U318" s="1"/>
    </row>
    <row r="319" spans="1:21" ht="13.5" thickBot="1" x14ac:dyDescent="0.25">
      <c r="A319" s="123">
        <v>4</v>
      </c>
      <c r="B319" s="123">
        <v>0</v>
      </c>
      <c r="C319" s="123">
        <v>4</v>
      </c>
      <c r="D319" s="123">
        <v>0</v>
      </c>
      <c r="E319" s="123">
        <v>0</v>
      </c>
      <c r="F319" s="123">
        <v>0</v>
      </c>
      <c r="G319" s="123">
        <v>0</v>
      </c>
      <c r="H319" s="123">
        <v>0</v>
      </c>
      <c r="I319" s="123">
        <v>0</v>
      </c>
      <c r="J319" s="123">
        <v>4</v>
      </c>
      <c r="K319" s="123">
        <v>0</v>
      </c>
      <c r="L319" s="123">
        <v>4</v>
      </c>
      <c r="M319" s="123">
        <v>0</v>
      </c>
      <c r="N319" s="123">
        <v>0</v>
      </c>
      <c r="O319" s="123">
        <v>0</v>
      </c>
      <c r="P319" s="123">
        <v>0</v>
      </c>
      <c r="Q319" s="123">
        <v>0</v>
      </c>
      <c r="R319" s="123">
        <v>0</v>
      </c>
      <c r="S319" s="7" t="s">
        <v>162</v>
      </c>
      <c r="T319" s="124" t="s">
        <v>403</v>
      </c>
      <c r="U319" s="1"/>
    </row>
    <row r="320" spans="1:21" ht="13.5" thickBot="1" x14ac:dyDescent="0.25">
      <c r="A320" s="123">
        <v>9</v>
      </c>
      <c r="B320" s="123">
        <v>0</v>
      </c>
      <c r="C320" s="123">
        <v>9</v>
      </c>
      <c r="D320" s="123">
        <v>0</v>
      </c>
      <c r="E320" s="123">
        <v>0</v>
      </c>
      <c r="F320" s="123">
        <v>0</v>
      </c>
      <c r="G320" s="123">
        <v>3</v>
      </c>
      <c r="H320" s="123">
        <v>0</v>
      </c>
      <c r="I320" s="123">
        <v>3</v>
      </c>
      <c r="J320" s="123">
        <v>6</v>
      </c>
      <c r="K320" s="123">
        <v>0</v>
      </c>
      <c r="L320" s="123">
        <v>6</v>
      </c>
      <c r="M320" s="123">
        <v>0</v>
      </c>
      <c r="N320" s="123">
        <v>0</v>
      </c>
      <c r="O320" s="123">
        <v>0</v>
      </c>
      <c r="P320" s="123">
        <v>0</v>
      </c>
      <c r="Q320" s="123">
        <v>0</v>
      </c>
      <c r="R320" s="123">
        <v>0</v>
      </c>
      <c r="S320" s="7" t="s">
        <v>13</v>
      </c>
      <c r="T320" s="9"/>
      <c r="U320" s="1"/>
    </row>
    <row r="321" spans="1:21" ht="13.5" thickBot="1" x14ac:dyDescent="0.25">
      <c r="A321" s="123">
        <v>15</v>
      </c>
      <c r="B321" s="123">
        <v>7</v>
      </c>
      <c r="C321" s="123">
        <v>8</v>
      </c>
      <c r="D321" s="123">
        <v>0</v>
      </c>
      <c r="E321" s="123">
        <v>0</v>
      </c>
      <c r="F321" s="123">
        <v>0</v>
      </c>
      <c r="G321" s="123">
        <v>8</v>
      </c>
      <c r="H321" s="123">
        <v>2</v>
      </c>
      <c r="I321" s="123">
        <v>6</v>
      </c>
      <c r="J321" s="123">
        <v>7</v>
      </c>
      <c r="K321" s="123">
        <v>5</v>
      </c>
      <c r="L321" s="123">
        <v>2</v>
      </c>
      <c r="M321" s="123">
        <v>0</v>
      </c>
      <c r="N321" s="123">
        <v>0</v>
      </c>
      <c r="O321" s="123">
        <v>0</v>
      </c>
      <c r="P321" s="123">
        <v>0</v>
      </c>
      <c r="Q321" s="123">
        <v>0</v>
      </c>
      <c r="R321" s="123">
        <v>0</v>
      </c>
      <c r="S321" s="7" t="s">
        <v>163</v>
      </c>
      <c r="T321" s="124"/>
      <c r="U321" s="1"/>
    </row>
    <row r="322" spans="1:21" ht="13.5" thickBot="1" x14ac:dyDescent="0.25">
      <c r="A322" s="123">
        <v>0</v>
      </c>
      <c r="B322" s="123">
        <v>0</v>
      </c>
      <c r="C322" s="123">
        <v>0</v>
      </c>
      <c r="D322" s="123">
        <v>0</v>
      </c>
      <c r="E322" s="123">
        <v>0</v>
      </c>
      <c r="F322" s="123">
        <v>0</v>
      </c>
      <c r="G322" s="123">
        <v>0</v>
      </c>
      <c r="H322" s="123">
        <v>0</v>
      </c>
      <c r="I322" s="123">
        <v>0</v>
      </c>
      <c r="J322" s="123">
        <v>0</v>
      </c>
      <c r="K322" s="123">
        <v>0</v>
      </c>
      <c r="L322" s="123">
        <v>0</v>
      </c>
      <c r="M322" s="123">
        <v>0</v>
      </c>
      <c r="N322" s="123">
        <v>0</v>
      </c>
      <c r="O322" s="123">
        <v>0</v>
      </c>
      <c r="P322" s="123">
        <v>0</v>
      </c>
      <c r="Q322" s="123">
        <v>0</v>
      </c>
      <c r="R322" s="123">
        <v>0</v>
      </c>
      <c r="S322" s="7" t="s">
        <v>162</v>
      </c>
      <c r="T322" s="124" t="s">
        <v>404</v>
      </c>
      <c r="U322" s="1"/>
    </row>
    <row r="323" spans="1:21" ht="13.5" thickBot="1" x14ac:dyDescent="0.25">
      <c r="A323" s="123">
        <v>15</v>
      </c>
      <c r="B323" s="123">
        <v>7</v>
      </c>
      <c r="C323" s="123">
        <v>8</v>
      </c>
      <c r="D323" s="123">
        <v>0</v>
      </c>
      <c r="E323" s="123">
        <v>0</v>
      </c>
      <c r="F323" s="123">
        <v>0</v>
      </c>
      <c r="G323" s="123">
        <v>8</v>
      </c>
      <c r="H323" s="123">
        <v>2</v>
      </c>
      <c r="I323" s="123">
        <v>6</v>
      </c>
      <c r="J323" s="123">
        <v>7</v>
      </c>
      <c r="K323" s="123">
        <v>5</v>
      </c>
      <c r="L323" s="123">
        <v>2</v>
      </c>
      <c r="M323" s="123">
        <v>0</v>
      </c>
      <c r="N323" s="123">
        <v>0</v>
      </c>
      <c r="O323" s="123">
        <v>0</v>
      </c>
      <c r="P323" s="123">
        <v>0</v>
      </c>
      <c r="Q323" s="123">
        <v>0</v>
      </c>
      <c r="R323" s="123">
        <v>0</v>
      </c>
      <c r="S323" s="7" t="s">
        <v>13</v>
      </c>
      <c r="T323" s="9"/>
      <c r="U323" s="1"/>
    </row>
    <row r="324" spans="1:21" ht="13.5" thickBot="1" x14ac:dyDescent="0.25">
      <c r="A324" s="123">
        <v>99</v>
      </c>
      <c r="B324" s="123">
        <v>62</v>
      </c>
      <c r="C324" s="123">
        <v>37</v>
      </c>
      <c r="D324" s="123">
        <v>0</v>
      </c>
      <c r="E324" s="123">
        <v>0</v>
      </c>
      <c r="F324" s="123">
        <v>0</v>
      </c>
      <c r="G324" s="123">
        <v>49</v>
      </c>
      <c r="H324" s="123">
        <v>30</v>
      </c>
      <c r="I324" s="123">
        <v>19</v>
      </c>
      <c r="J324" s="123">
        <v>50</v>
      </c>
      <c r="K324" s="123">
        <v>32</v>
      </c>
      <c r="L324" s="123">
        <v>18</v>
      </c>
      <c r="M324" s="123">
        <v>0</v>
      </c>
      <c r="N324" s="123">
        <v>0</v>
      </c>
      <c r="O324" s="123">
        <v>0</v>
      </c>
      <c r="P324" s="123">
        <v>0</v>
      </c>
      <c r="Q324" s="123">
        <v>0</v>
      </c>
      <c r="R324" s="123">
        <v>0</v>
      </c>
      <c r="S324" s="7" t="s">
        <v>163</v>
      </c>
      <c r="T324" s="124"/>
      <c r="U324" s="1"/>
    </row>
    <row r="325" spans="1:21" ht="13.5" thickBot="1" x14ac:dyDescent="0.25">
      <c r="A325" s="123">
        <v>0</v>
      </c>
      <c r="B325" s="123">
        <v>0</v>
      </c>
      <c r="C325" s="123">
        <v>0</v>
      </c>
      <c r="D325" s="123">
        <v>0</v>
      </c>
      <c r="E325" s="123">
        <v>0</v>
      </c>
      <c r="F325" s="123">
        <v>0</v>
      </c>
      <c r="G325" s="123">
        <v>0</v>
      </c>
      <c r="H325" s="123">
        <v>0</v>
      </c>
      <c r="I325" s="123">
        <v>0</v>
      </c>
      <c r="J325" s="123">
        <v>0</v>
      </c>
      <c r="K325" s="123">
        <v>0</v>
      </c>
      <c r="L325" s="123">
        <v>0</v>
      </c>
      <c r="M325" s="123">
        <v>0</v>
      </c>
      <c r="N325" s="123">
        <v>0</v>
      </c>
      <c r="O325" s="123">
        <v>0</v>
      </c>
      <c r="P325" s="123">
        <v>0</v>
      </c>
      <c r="Q325" s="123">
        <v>0</v>
      </c>
      <c r="R325" s="123">
        <v>0</v>
      </c>
      <c r="S325" s="7" t="s">
        <v>162</v>
      </c>
      <c r="T325" s="124" t="s">
        <v>77</v>
      </c>
      <c r="U325" s="1"/>
    </row>
    <row r="326" spans="1:21" ht="13.5" thickBot="1" x14ac:dyDescent="0.25">
      <c r="A326" s="123">
        <v>99</v>
      </c>
      <c r="B326" s="123">
        <v>62</v>
      </c>
      <c r="C326" s="123">
        <v>37</v>
      </c>
      <c r="D326" s="123">
        <v>0</v>
      </c>
      <c r="E326" s="123">
        <v>0</v>
      </c>
      <c r="F326" s="123">
        <v>0</v>
      </c>
      <c r="G326" s="123">
        <v>49</v>
      </c>
      <c r="H326" s="123">
        <v>30</v>
      </c>
      <c r="I326" s="123">
        <v>19</v>
      </c>
      <c r="J326" s="123">
        <v>50</v>
      </c>
      <c r="K326" s="123">
        <v>32</v>
      </c>
      <c r="L326" s="123">
        <v>18</v>
      </c>
      <c r="M326" s="123">
        <v>0</v>
      </c>
      <c r="N326" s="123">
        <v>0</v>
      </c>
      <c r="O326" s="123">
        <v>0</v>
      </c>
      <c r="P326" s="123">
        <v>0</v>
      </c>
      <c r="Q326" s="123">
        <v>0</v>
      </c>
      <c r="R326" s="123">
        <v>0</v>
      </c>
      <c r="S326" s="7" t="s">
        <v>13</v>
      </c>
      <c r="T326" s="9"/>
      <c r="U326" s="1"/>
    </row>
    <row r="327" spans="1:21" ht="13.5" thickBot="1" x14ac:dyDescent="0.25">
      <c r="A327" s="123">
        <v>668</v>
      </c>
      <c r="B327" s="123">
        <v>41</v>
      </c>
      <c r="C327" s="123">
        <v>627</v>
      </c>
      <c r="D327" s="123">
        <v>121</v>
      </c>
      <c r="E327" s="123">
        <v>12</v>
      </c>
      <c r="F327" s="123">
        <v>109</v>
      </c>
      <c r="G327" s="123">
        <v>282</v>
      </c>
      <c r="H327" s="123">
        <v>13</v>
      </c>
      <c r="I327" s="123">
        <v>269</v>
      </c>
      <c r="J327" s="123">
        <v>263</v>
      </c>
      <c r="K327" s="123">
        <v>16</v>
      </c>
      <c r="L327" s="123">
        <v>247</v>
      </c>
      <c r="M327" s="123">
        <v>2</v>
      </c>
      <c r="N327" s="123">
        <v>0</v>
      </c>
      <c r="O327" s="123">
        <v>2</v>
      </c>
      <c r="P327" s="123">
        <v>0</v>
      </c>
      <c r="Q327" s="123">
        <v>0</v>
      </c>
      <c r="R327" s="123">
        <v>0</v>
      </c>
      <c r="S327" s="7" t="s">
        <v>163</v>
      </c>
      <c r="T327" s="124"/>
      <c r="U327" s="1"/>
    </row>
    <row r="328" spans="1:21" ht="13.5" thickBot="1" x14ac:dyDescent="0.25">
      <c r="A328" s="123">
        <v>5</v>
      </c>
      <c r="B328" s="123">
        <v>0</v>
      </c>
      <c r="C328" s="123">
        <v>5</v>
      </c>
      <c r="D328" s="123">
        <v>0</v>
      </c>
      <c r="E328" s="123">
        <v>0</v>
      </c>
      <c r="F328" s="123">
        <v>0</v>
      </c>
      <c r="G328" s="123">
        <v>0</v>
      </c>
      <c r="H328" s="123">
        <v>0</v>
      </c>
      <c r="I328" s="123">
        <v>0</v>
      </c>
      <c r="J328" s="123">
        <v>5</v>
      </c>
      <c r="K328" s="123">
        <v>0</v>
      </c>
      <c r="L328" s="123">
        <v>5</v>
      </c>
      <c r="M328" s="123">
        <v>0</v>
      </c>
      <c r="N328" s="123">
        <v>0</v>
      </c>
      <c r="O328" s="123">
        <v>0</v>
      </c>
      <c r="P328" s="123">
        <v>0</v>
      </c>
      <c r="Q328" s="123">
        <v>0</v>
      </c>
      <c r="R328" s="123">
        <v>0</v>
      </c>
      <c r="S328" s="7" t="s">
        <v>162</v>
      </c>
      <c r="T328" s="124" t="s">
        <v>654</v>
      </c>
      <c r="U328" s="1"/>
    </row>
    <row r="329" spans="1:21" ht="13.5" thickBot="1" x14ac:dyDescent="0.25">
      <c r="A329" s="123">
        <v>673</v>
      </c>
      <c r="B329" s="123">
        <v>41</v>
      </c>
      <c r="C329" s="123">
        <v>632</v>
      </c>
      <c r="D329" s="123">
        <v>121</v>
      </c>
      <c r="E329" s="123">
        <v>12</v>
      </c>
      <c r="F329" s="123">
        <v>109</v>
      </c>
      <c r="G329" s="123">
        <v>282</v>
      </c>
      <c r="H329" s="123">
        <v>13</v>
      </c>
      <c r="I329" s="123">
        <v>269</v>
      </c>
      <c r="J329" s="123">
        <v>268</v>
      </c>
      <c r="K329" s="123">
        <v>16</v>
      </c>
      <c r="L329" s="123">
        <v>252</v>
      </c>
      <c r="M329" s="123">
        <v>2</v>
      </c>
      <c r="N329" s="123">
        <v>0</v>
      </c>
      <c r="O329" s="123">
        <v>2</v>
      </c>
      <c r="P329" s="123">
        <v>0</v>
      </c>
      <c r="Q329" s="123">
        <v>0</v>
      </c>
      <c r="R329" s="123">
        <v>0</v>
      </c>
      <c r="S329" s="7" t="s">
        <v>13</v>
      </c>
      <c r="T329" s="9"/>
      <c r="U329" s="1"/>
    </row>
    <row r="330" spans="1:21" ht="13.5" thickBot="1" x14ac:dyDescent="0.25">
      <c r="A330" s="123">
        <v>53</v>
      </c>
      <c r="B330" s="123">
        <v>0</v>
      </c>
      <c r="C330" s="123">
        <v>53</v>
      </c>
      <c r="D330" s="123">
        <v>4</v>
      </c>
      <c r="E330" s="123">
        <v>0</v>
      </c>
      <c r="F330" s="123">
        <v>4</v>
      </c>
      <c r="G330" s="123">
        <v>15</v>
      </c>
      <c r="H330" s="123">
        <v>0</v>
      </c>
      <c r="I330" s="123">
        <v>15</v>
      </c>
      <c r="J330" s="123">
        <v>29</v>
      </c>
      <c r="K330" s="123">
        <v>0</v>
      </c>
      <c r="L330" s="123">
        <v>29</v>
      </c>
      <c r="M330" s="123">
        <v>5</v>
      </c>
      <c r="N330" s="123">
        <v>0</v>
      </c>
      <c r="O330" s="123">
        <v>5</v>
      </c>
      <c r="P330" s="123">
        <v>0</v>
      </c>
      <c r="Q330" s="123">
        <v>0</v>
      </c>
      <c r="R330" s="123">
        <v>0</v>
      </c>
      <c r="S330" s="7" t="s">
        <v>163</v>
      </c>
      <c r="T330" s="124"/>
      <c r="U330" s="1"/>
    </row>
    <row r="331" spans="1:21" ht="12.75" customHeight="1" thickBot="1" x14ac:dyDescent="0.25">
      <c r="A331" s="123">
        <v>0</v>
      </c>
      <c r="B331" s="123">
        <v>0</v>
      </c>
      <c r="C331" s="123">
        <v>0</v>
      </c>
      <c r="D331" s="123">
        <v>0</v>
      </c>
      <c r="E331" s="123">
        <v>0</v>
      </c>
      <c r="F331" s="123">
        <v>0</v>
      </c>
      <c r="G331" s="123">
        <v>0</v>
      </c>
      <c r="H331" s="123">
        <v>0</v>
      </c>
      <c r="I331" s="123">
        <v>0</v>
      </c>
      <c r="J331" s="123">
        <v>0</v>
      </c>
      <c r="K331" s="123">
        <v>0</v>
      </c>
      <c r="L331" s="123">
        <v>0</v>
      </c>
      <c r="M331" s="123">
        <v>0</v>
      </c>
      <c r="N331" s="123">
        <v>0</v>
      </c>
      <c r="O331" s="123">
        <v>0</v>
      </c>
      <c r="P331" s="123">
        <v>0</v>
      </c>
      <c r="Q331" s="123">
        <v>0</v>
      </c>
      <c r="R331" s="123">
        <v>0</v>
      </c>
      <c r="S331" s="7" t="s">
        <v>162</v>
      </c>
      <c r="T331" s="124" t="s">
        <v>655</v>
      </c>
      <c r="U331" s="1"/>
    </row>
    <row r="332" spans="1:21" ht="13.5" thickBot="1" x14ac:dyDescent="0.25">
      <c r="A332" s="123">
        <v>53</v>
      </c>
      <c r="B332" s="123">
        <v>0</v>
      </c>
      <c r="C332" s="123">
        <v>53</v>
      </c>
      <c r="D332" s="123">
        <v>4</v>
      </c>
      <c r="E332" s="123">
        <v>0</v>
      </c>
      <c r="F332" s="123">
        <v>4</v>
      </c>
      <c r="G332" s="123">
        <v>15</v>
      </c>
      <c r="H332" s="123">
        <v>0</v>
      </c>
      <c r="I332" s="123">
        <v>15</v>
      </c>
      <c r="J332" s="123">
        <v>29</v>
      </c>
      <c r="K332" s="123">
        <v>0</v>
      </c>
      <c r="L332" s="123">
        <v>29</v>
      </c>
      <c r="M332" s="123">
        <v>5</v>
      </c>
      <c r="N332" s="123">
        <v>0</v>
      </c>
      <c r="O332" s="123">
        <v>5</v>
      </c>
      <c r="P332" s="123">
        <v>0</v>
      </c>
      <c r="Q332" s="123">
        <v>0</v>
      </c>
      <c r="R332" s="123">
        <v>0</v>
      </c>
      <c r="S332" s="7" t="s">
        <v>13</v>
      </c>
      <c r="T332" s="9"/>
      <c r="U332" s="1"/>
    </row>
    <row r="333" spans="1:21" ht="13.5" thickBot="1" x14ac:dyDescent="0.25">
      <c r="A333" s="123">
        <v>198</v>
      </c>
      <c r="B333" s="123">
        <v>33</v>
      </c>
      <c r="C333" s="123">
        <v>165</v>
      </c>
      <c r="D333" s="123">
        <v>0</v>
      </c>
      <c r="E333" s="123">
        <v>0</v>
      </c>
      <c r="F333" s="123">
        <v>0</v>
      </c>
      <c r="G333" s="123">
        <v>119</v>
      </c>
      <c r="H333" s="123">
        <v>7</v>
      </c>
      <c r="I333" s="123">
        <v>112</v>
      </c>
      <c r="J333" s="123">
        <v>77</v>
      </c>
      <c r="K333" s="123">
        <v>26</v>
      </c>
      <c r="L333" s="123">
        <v>51</v>
      </c>
      <c r="M333" s="123">
        <v>2</v>
      </c>
      <c r="N333" s="123">
        <v>0</v>
      </c>
      <c r="O333" s="123">
        <v>2</v>
      </c>
      <c r="P333" s="123">
        <v>0</v>
      </c>
      <c r="Q333" s="123">
        <v>0</v>
      </c>
      <c r="R333" s="123">
        <v>0</v>
      </c>
      <c r="S333" s="7" t="s">
        <v>163</v>
      </c>
      <c r="T333" s="124"/>
      <c r="U333" s="1"/>
    </row>
    <row r="334" spans="1:21" ht="13.5" thickBot="1" x14ac:dyDescent="0.25">
      <c r="A334" s="123">
        <v>10</v>
      </c>
      <c r="B334" s="123">
        <v>0</v>
      </c>
      <c r="C334" s="123">
        <v>10</v>
      </c>
      <c r="D334" s="123">
        <v>0</v>
      </c>
      <c r="E334" s="123">
        <v>0</v>
      </c>
      <c r="F334" s="123">
        <v>0</v>
      </c>
      <c r="G334" s="123">
        <v>0</v>
      </c>
      <c r="H334" s="123">
        <v>0</v>
      </c>
      <c r="I334" s="123">
        <v>0</v>
      </c>
      <c r="J334" s="123">
        <v>10</v>
      </c>
      <c r="K334" s="123">
        <v>0</v>
      </c>
      <c r="L334" s="123">
        <v>10</v>
      </c>
      <c r="M334" s="123">
        <v>0</v>
      </c>
      <c r="N334" s="123">
        <v>0</v>
      </c>
      <c r="O334" s="123">
        <v>0</v>
      </c>
      <c r="P334" s="123">
        <v>0</v>
      </c>
      <c r="Q334" s="123">
        <v>0</v>
      </c>
      <c r="R334" s="123">
        <v>0</v>
      </c>
      <c r="S334" s="7" t="s">
        <v>162</v>
      </c>
      <c r="T334" s="124" t="s">
        <v>656</v>
      </c>
      <c r="U334" s="1"/>
    </row>
    <row r="335" spans="1:21" ht="13.5" thickBot="1" x14ac:dyDescent="0.25">
      <c r="A335" s="123">
        <v>208</v>
      </c>
      <c r="B335" s="123">
        <v>33</v>
      </c>
      <c r="C335" s="123">
        <v>175</v>
      </c>
      <c r="D335" s="123">
        <v>0</v>
      </c>
      <c r="E335" s="123">
        <v>0</v>
      </c>
      <c r="F335" s="123">
        <v>0</v>
      </c>
      <c r="G335" s="123">
        <v>119</v>
      </c>
      <c r="H335" s="123">
        <v>7</v>
      </c>
      <c r="I335" s="123">
        <v>112</v>
      </c>
      <c r="J335" s="123">
        <v>87</v>
      </c>
      <c r="K335" s="123">
        <v>26</v>
      </c>
      <c r="L335" s="123">
        <v>61</v>
      </c>
      <c r="M335" s="123">
        <v>2</v>
      </c>
      <c r="N335" s="123">
        <v>0</v>
      </c>
      <c r="O335" s="123">
        <v>2</v>
      </c>
      <c r="P335" s="123">
        <v>0</v>
      </c>
      <c r="Q335" s="123">
        <v>0</v>
      </c>
      <c r="R335" s="123">
        <v>0</v>
      </c>
      <c r="S335" s="7" t="s">
        <v>13</v>
      </c>
      <c r="T335" s="9"/>
      <c r="U335" s="1"/>
    </row>
    <row r="336" spans="1:21" ht="13.5" thickBot="1" x14ac:dyDescent="0.25">
      <c r="A336" s="123">
        <v>10</v>
      </c>
      <c r="B336" s="123">
        <v>1</v>
      </c>
      <c r="C336" s="123">
        <v>9</v>
      </c>
      <c r="D336" s="123">
        <v>1</v>
      </c>
      <c r="E336" s="123">
        <v>0</v>
      </c>
      <c r="F336" s="123">
        <v>1</v>
      </c>
      <c r="G336" s="123">
        <v>2</v>
      </c>
      <c r="H336" s="123">
        <v>0</v>
      </c>
      <c r="I336" s="123">
        <v>2</v>
      </c>
      <c r="J336" s="123">
        <v>7</v>
      </c>
      <c r="K336" s="123">
        <v>1</v>
      </c>
      <c r="L336" s="123">
        <v>6</v>
      </c>
      <c r="M336" s="123">
        <v>0</v>
      </c>
      <c r="N336" s="123">
        <v>0</v>
      </c>
      <c r="O336" s="123">
        <v>0</v>
      </c>
      <c r="P336" s="123">
        <v>0</v>
      </c>
      <c r="Q336" s="123">
        <v>0</v>
      </c>
      <c r="R336" s="123">
        <v>0</v>
      </c>
      <c r="S336" s="7" t="s">
        <v>163</v>
      </c>
      <c r="T336" s="124"/>
      <c r="U336" s="1"/>
    </row>
    <row r="337" spans="1:21" ht="13.5" thickBot="1" x14ac:dyDescent="0.25">
      <c r="A337" s="123">
        <v>0</v>
      </c>
      <c r="B337" s="123">
        <v>0</v>
      </c>
      <c r="C337" s="123">
        <v>0</v>
      </c>
      <c r="D337" s="123">
        <v>0</v>
      </c>
      <c r="E337" s="123">
        <v>0</v>
      </c>
      <c r="F337" s="123">
        <v>0</v>
      </c>
      <c r="G337" s="123">
        <v>0</v>
      </c>
      <c r="H337" s="123">
        <v>0</v>
      </c>
      <c r="I337" s="123">
        <v>0</v>
      </c>
      <c r="J337" s="123">
        <v>0</v>
      </c>
      <c r="K337" s="123">
        <v>0</v>
      </c>
      <c r="L337" s="123">
        <v>0</v>
      </c>
      <c r="M337" s="123">
        <v>0</v>
      </c>
      <c r="N337" s="123">
        <v>0</v>
      </c>
      <c r="O337" s="123">
        <v>0</v>
      </c>
      <c r="P337" s="123">
        <v>0</v>
      </c>
      <c r="Q337" s="123">
        <v>0</v>
      </c>
      <c r="R337" s="123">
        <v>0</v>
      </c>
      <c r="S337" s="7" t="s">
        <v>162</v>
      </c>
      <c r="T337" s="124" t="s">
        <v>633</v>
      </c>
      <c r="U337" s="1"/>
    </row>
    <row r="338" spans="1:21" ht="13.5" thickBot="1" x14ac:dyDescent="0.25">
      <c r="A338" s="123">
        <v>10</v>
      </c>
      <c r="B338" s="123">
        <v>1</v>
      </c>
      <c r="C338" s="123">
        <v>9</v>
      </c>
      <c r="D338" s="123">
        <v>1</v>
      </c>
      <c r="E338" s="123">
        <v>0</v>
      </c>
      <c r="F338" s="123">
        <v>1</v>
      </c>
      <c r="G338" s="123">
        <v>2</v>
      </c>
      <c r="H338" s="123">
        <v>0</v>
      </c>
      <c r="I338" s="123">
        <v>2</v>
      </c>
      <c r="J338" s="123">
        <v>7</v>
      </c>
      <c r="K338" s="123">
        <v>1</v>
      </c>
      <c r="L338" s="123">
        <v>6</v>
      </c>
      <c r="M338" s="123">
        <v>0</v>
      </c>
      <c r="N338" s="123">
        <v>0</v>
      </c>
      <c r="O338" s="123">
        <v>0</v>
      </c>
      <c r="P338" s="123">
        <v>0</v>
      </c>
      <c r="Q338" s="123">
        <v>0</v>
      </c>
      <c r="R338" s="123">
        <v>0</v>
      </c>
      <c r="S338" s="7" t="s">
        <v>13</v>
      </c>
      <c r="T338" s="9"/>
      <c r="U338" s="1"/>
    </row>
    <row r="339" spans="1:21" ht="13.5" thickBot="1" x14ac:dyDescent="0.25">
      <c r="A339" s="123">
        <v>27</v>
      </c>
      <c r="B339" s="123">
        <v>27</v>
      </c>
      <c r="C339" s="123">
        <v>0</v>
      </c>
      <c r="D339" s="123">
        <v>5</v>
      </c>
      <c r="E339" s="123">
        <v>5</v>
      </c>
      <c r="F339" s="123">
        <v>0</v>
      </c>
      <c r="G339" s="123">
        <v>13</v>
      </c>
      <c r="H339" s="123">
        <v>13</v>
      </c>
      <c r="I339" s="123">
        <v>0</v>
      </c>
      <c r="J339" s="123">
        <v>9</v>
      </c>
      <c r="K339" s="123">
        <v>9</v>
      </c>
      <c r="L339" s="123">
        <v>0</v>
      </c>
      <c r="M339" s="123">
        <v>0</v>
      </c>
      <c r="N339" s="123">
        <v>0</v>
      </c>
      <c r="O339" s="123">
        <v>0</v>
      </c>
      <c r="P339" s="123">
        <v>0</v>
      </c>
      <c r="Q339" s="123">
        <v>0</v>
      </c>
      <c r="R339" s="123">
        <v>0</v>
      </c>
      <c r="S339" s="7" t="s">
        <v>163</v>
      </c>
      <c r="T339" s="124"/>
      <c r="U339" s="1"/>
    </row>
    <row r="340" spans="1:21" ht="13.5" thickBot="1" x14ac:dyDescent="0.25">
      <c r="A340" s="123">
        <v>0</v>
      </c>
      <c r="B340" s="123">
        <v>0</v>
      </c>
      <c r="C340" s="123">
        <v>0</v>
      </c>
      <c r="D340" s="123">
        <v>0</v>
      </c>
      <c r="E340" s="123">
        <v>0</v>
      </c>
      <c r="F340" s="123">
        <v>0</v>
      </c>
      <c r="G340" s="123">
        <v>0</v>
      </c>
      <c r="H340" s="123">
        <v>0</v>
      </c>
      <c r="I340" s="123">
        <v>0</v>
      </c>
      <c r="J340" s="123">
        <v>0</v>
      </c>
      <c r="K340" s="123">
        <v>0</v>
      </c>
      <c r="L340" s="123">
        <v>0</v>
      </c>
      <c r="M340" s="123">
        <v>0</v>
      </c>
      <c r="N340" s="123">
        <v>0</v>
      </c>
      <c r="O340" s="123">
        <v>0</v>
      </c>
      <c r="P340" s="123">
        <v>0</v>
      </c>
      <c r="Q340" s="123">
        <v>0</v>
      </c>
      <c r="R340" s="123">
        <v>0</v>
      </c>
      <c r="S340" s="7" t="s">
        <v>162</v>
      </c>
      <c r="T340" s="124" t="s">
        <v>407</v>
      </c>
      <c r="U340" s="1"/>
    </row>
    <row r="341" spans="1:21" ht="13.5" thickBot="1" x14ac:dyDescent="0.25">
      <c r="A341" s="123">
        <v>27</v>
      </c>
      <c r="B341" s="123">
        <v>27</v>
      </c>
      <c r="C341" s="123">
        <v>0</v>
      </c>
      <c r="D341" s="123">
        <v>5</v>
      </c>
      <c r="E341" s="123">
        <v>5</v>
      </c>
      <c r="F341" s="123">
        <v>0</v>
      </c>
      <c r="G341" s="123">
        <v>13</v>
      </c>
      <c r="H341" s="123">
        <v>13</v>
      </c>
      <c r="I341" s="123">
        <v>0</v>
      </c>
      <c r="J341" s="123">
        <v>9</v>
      </c>
      <c r="K341" s="123">
        <v>9</v>
      </c>
      <c r="L341" s="123">
        <v>0</v>
      </c>
      <c r="M341" s="123">
        <v>0</v>
      </c>
      <c r="N341" s="123">
        <v>0</v>
      </c>
      <c r="O341" s="123">
        <v>0</v>
      </c>
      <c r="P341" s="123">
        <v>0</v>
      </c>
      <c r="Q341" s="123">
        <v>0</v>
      </c>
      <c r="R341" s="123">
        <v>0</v>
      </c>
      <c r="S341" s="7" t="s">
        <v>13</v>
      </c>
      <c r="T341" s="9"/>
      <c r="U341" s="1"/>
    </row>
    <row r="342" spans="1:21" ht="13.5" thickBot="1" x14ac:dyDescent="0.25">
      <c r="A342" s="123">
        <v>10</v>
      </c>
      <c r="B342" s="123">
        <v>9</v>
      </c>
      <c r="C342" s="123">
        <v>1</v>
      </c>
      <c r="D342" s="123">
        <v>0</v>
      </c>
      <c r="E342" s="123">
        <v>0</v>
      </c>
      <c r="F342" s="123">
        <v>0</v>
      </c>
      <c r="G342" s="123">
        <v>2</v>
      </c>
      <c r="H342" s="123">
        <v>1</v>
      </c>
      <c r="I342" s="123">
        <v>1</v>
      </c>
      <c r="J342" s="123">
        <v>8</v>
      </c>
      <c r="K342" s="123">
        <v>8</v>
      </c>
      <c r="L342" s="123">
        <v>0</v>
      </c>
      <c r="M342" s="123">
        <v>0</v>
      </c>
      <c r="N342" s="123">
        <v>0</v>
      </c>
      <c r="O342" s="123">
        <v>0</v>
      </c>
      <c r="P342" s="123">
        <v>0</v>
      </c>
      <c r="Q342" s="123">
        <v>0</v>
      </c>
      <c r="R342" s="123">
        <v>0</v>
      </c>
      <c r="S342" s="7" t="s">
        <v>163</v>
      </c>
      <c r="T342" s="124"/>
      <c r="U342" s="1"/>
    </row>
    <row r="343" spans="1:21" ht="13.5" thickBot="1" x14ac:dyDescent="0.25">
      <c r="A343" s="123">
        <v>0</v>
      </c>
      <c r="B343" s="123">
        <v>0</v>
      </c>
      <c r="C343" s="123">
        <v>0</v>
      </c>
      <c r="D343" s="123">
        <v>0</v>
      </c>
      <c r="E343" s="123">
        <v>0</v>
      </c>
      <c r="F343" s="123">
        <v>0</v>
      </c>
      <c r="G343" s="123">
        <v>0</v>
      </c>
      <c r="H343" s="123">
        <v>0</v>
      </c>
      <c r="I343" s="123">
        <v>0</v>
      </c>
      <c r="J343" s="123">
        <v>0</v>
      </c>
      <c r="K343" s="123">
        <v>0</v>
      </c>
      <c r="L343" s="123">
        <v>0</v>
      </c>
      <c r="M343" s="123">
        <v>0</v>
      </c>
      <c r="N343" s="123">
        <v>0</v>
      </c>
      <c r="O343" s="123">
        <v>0</v>
      </c>
      <c r="P343" s="123">
        <v>0</v>
      </c>
      <c r="Q343" s="123">
        <v>0</v>
      </c>
      <c r="R343" s="123">
        <v>0</v>
      </c>
      <c r="S343" s="7" t="s">
        <v>162</v>
      </c>
      <c r="T343" s="124" t="s">
        <v>408</v>
      </c>
      <c r="U343" s="1"/>
    </row>
    <row r="344" spans="1:21" ht="13.5" thickBot="1" x14ac:dyDescent="0.25">
      <c r="A344" s="123">
        <v>10</v>
      </c>
      <c r="B344" s="123">
        <v>9</v>
      </c>
      <c r="C344" s="123">
        <v>1</v>
      </c>
      <c r="D344" s="123">
        <v>0</v>
      </c>
      <c r="E344" s="123">
        <v>0</v>
      </c>
      <c r="F344" s="123">
        <v>0</v>
      </c>
      <c r="G344" s="123">
        <v>2</v>
      </c>
      <c r="H344" s="123">
        <v>1</v>
      </c>
      <c r="I344" s="123">
        <v>1</v>
      </c>
      <c r="J344" s="123">
        <v>8</v>
      </c>
      <c r="K344" s="123">
        <v>8</v>
      </c>
      <c r="L344" s="123">
        <v>0</v>
      </c>
      <c r="M344" s="123">
        <v>0</v>
      </c>
      <c r="N344" s="123">
        <v>0</v>
      </c>
      <c r="O344" s="123">
        <v>0</v>
      </c>
      <c r="P344" s="123">
        <v>0</v>
      </c>
      <c r="Q344" s="123">
        <v>0</v>
      </c>
      <c r="R344" s="123">
        <v>0</v>
      </c>
      <c r="S344" s="7" t="s">
        <v>13</v>
      </c>
      <c r="T344" s="9"/>
      <c r="U344" s="1"/>
    </row>
    <row r="345" spans="1:21" ht="13.5" thickBot="1" x14ac:dyDescent="0.25">
      <c r="A345" s="123">
        <v>4</v>
      </c>
      <c r="B345" s="123">
        <v>4</v>
      </c>
      <c r="C345" s="123">
        <v>0</v>
      </c>
      <c r="D345" s="123">
        <v>1</v>
      </c>
      <c r="E345" s="123">
        <v>1</v>
      </c>
      <c r="F345" s="123">
        <v>0</v>
      </c>
      <c r="G345" s="123">
        <v>1</v>
      </c>
      <c r="H345" s="123">
        <v>1</v>
      </c>
      <c r="I345" s="123">
        <v>0</v>
      </c>
      <c r="J345" s="123">
        <v>2</v>
      </c>
      <c r="K345" s="123">
        <v>2</v>
      </c>
      <c r="L345" s="123">
        <v>0</v>
      </c>
      <c r="M345" s="123">
        <v>0</v>
      </c>
      <c r="N345" s="123">
        <v>0</v>
      </c>
      <c r="O345" s="123">
        <v>0</v>
      </c>
      <c r="P345" s="123">
        <v>0</v>
      </c>
      <c r="Q345" s="123">
        <v>0</v>
      </c>
      <c r="R345" s="123">
        <v>0</v>
      </c>
      <c r="S345" s="7" t="s">
        <v>163</v>
      </c>
      <c r="T345" s="124"/>
      <c r="U345" s="1"/>
    </row>
    <row r="346" spans="1:21" ht="13.5" thickBot="1" x14ac:dyDescent="0.25">
      <c r="A346" s="123">
        <v>0</v>
      </c>
      <c r="B346" s="123">
        <v>0</v>
      </c>
      <c r="C346" s="123">
        <v>0</v>
      </c>
      <c r="D346" s="123">
        <v>0</v>
      </c>
      <c r="E346" s="123">
        <v>0</v>
      </c>
      <c r="F346" s="123">
        <v>0</v>
      </c>
      <c r="G346" s="123">
        <v>0</v>
      </c>
      <c r="H346" s="123">
        <v>0</v>
      </c>
      <c r="I346" s="123">
        <v>0</v>
      </c>
      <c r="J346" s="123">
        <v>0</v>
      </c>
      <c r="K346" s="123">
        <v>0</v>
      </c>
      <c r="L346" s="123">
        <v>0</v>
      </c>
      <c r="M346" s="123">
        <v>0</v>
      </c>
      <c r="N346" s="123">
        <v>0</v>
      </c>
      <c r="O346" s="123">
        <v>0</v>
      </c>
      <c r="P346" s="123">
        <v>0</v>
      </c>
      <c r="Q346" s="123">
        <v>0</v>
      </c>
      <c r="R346" s="123">
        <v>0</v>
      </c>
      <c r="S346" s="7" t="s">
        <v>162</v>
      </c>
      <c r="T346" s="124" t="s">
        <v>409</v>
      </c>
      <c r="U346" s="1"/>
    </row>
    <row r="347" spans="1:21" ht="13.5" thickBot="1" x14ac:dyDescent="0.25">
      <c r="A347" s="123">
        <v>4</v>
      </c>
      <c r="B347" s="123">
        <v>4</v>
      </c>
      <c r="C347" s="123">
        <v>0</v>
      </c>
      <c r="D347" s="123">
        <v>1</v>
      </c>
      <c r="E347" s="123">
        <v>1</v>
      </c>
      <c r="F347" s="123">
        <v>0</v>
      </c>
      <c r="G347" s="123">
        <v>1</v>
      </c>
      <c r="H347" s="123">
        <v>1</v>
      </c>
      <c r="I347" s="123">
        <v>0</v>
      </c>
      <c r="J347" s="123">
        <v>2</v>
      </c>
      <c r="K347" s="123">
        <v>2</v>
      </c>
      <c r="L347" s="123">
        <v>0</v>
      </c>
      <c r="M347" s="123">
        <v>0</v>
      </c>
      <c r="N347" s="123">
        <v>0</v>
      </c>
      <c r="O347" s="123">
        <v>0</v>
      </c>
      <c r="P347" s="123">
        <v>0</v>
      </c>
      <c r="Q347" s="123">
        <v>0</v>
      </c>
      <c r="R347" s="123">
        <v>0</v>
      </c>
      <c r="S347" s="7" t="s">
        <v>13</v>
      </c>
      <c r="T347" s="9"/>
      <c r="U347" s="1"/>
    </row>
    <row r="348" spans="1:21" ht="13.5" thickBot="1" x14ac:dyDescent="0.25">
      <c r="A348" s="123">
        <v>12</v>
      </c>
      <c r="B348" s="123">
        <v>12</v>
      </c>
      <c r="C348" s="123">
        <v>0</v>
      </c>
      <c r="D348" s="123">
        <v>2</v>
      </c>
      <c r="E348" s="123">
        <v>2</v>
      </c>
      <c r="F348" s="123">
        <v>0</v>
      </c>
      <c r="G348" s="123">
        <v>4</v>
      </c>
      <c r="H348" s="123">
        <v>4</v>
      </c>
      <c r="I348" s="123">
        <v>0</v>
      </c>
      <c r="J348" s="123">
        <v>6</v>
      </c>
      <c r="K348" s="123">
        <v>6</v>
      </c>
      <c r="L348" s="123">
        <v>0</v>
      </c>
      <c r="M348" s="123">
        <v>0</v>
      </c>
      <c r="N348" s="123">
        <v>0</v>
      </c>
      <c r="O348" s="123">
        <v>0</v>
      </c>
      <c r="P348" s="123">
        <v>0</v>
      </c>
      <c r="Q348" s="123">
        <v>0</v>
      </c>
      <c r="R348" s="123">
        <v>0</v>
      </c>
      <c r="S348" s="7" t="s">
        <v>163</v>
      </c>
      <c r="T348" s="124"/>
      <c r="U348" s="1"/>
    </row>
    <row r="349" spans="1:21" ht="13.5" thickBot="1" x14ac:dyDescent="0.25">
      <c r="A349" s="123">
        <v>0</v>
      </c>
      <c r="B349" s="123">
        <v>0</v>
      </c>
      <c r="C349" s="123">
        <v>0</v>
      </c>
      <c r="D349" s="123">
        <v>0</v>
      </c>
      <c r="E349" s="123">
        <v>0</v>
      </c>
      <c r="F349" s="123">
        <v>0</v>
      </c>
      <c r="G349" s="123">
        <v>0</v>
      </c>
      <c r="H349" s="123">
        <v>0</v>
      </c>
      <c r="I349" s="123">
        <v>0</v>
      </c>
      <c r="J349" s="123">
        <v>0</v>
      </c>
      <c r="K349" s="123">
        <v>0</v>
      </c>
      <c r="L349" s="123">
        <v>0</v>
      </c>
      <c r="M349" s="123">
        <v>0</v>
      </c>
      <c r="N349" s="123">
        <v>0</v>
      </c>
      <c r="O349" s="123">
        <v>0</v>
      </c>
      <c r="P349" s="123">
        <v>0</v>
      </c>
      <c r="Q349" s="123">
        <v>0</v>
      </c>
      <c r="R349" s="123">
        <v>0</v>
      </c>
      <c r="S349" s="7" t="s">
        <v>162</v>
      </c>
      <c r="T349" s="124" t="s">
        <v>410</v>
      </c>
      <c r="U349" s="1"/>
    </row>
    <row r="350" spans="1:21" ht="13.5" thickBot="1" x14ac:dyDescent="0.25">
      <c r="A350" s="123">
        <v>12</v>
      </c>
      <c r="B350" s="123">
        <v>12</v>
      </c>
      <c r="C350" s="123">
        <v>0</v>
      </c>
      <c r="D350" s="123">
        <v>2</v>
      </c>
      <c r="E350" s="123">
        <v>2</v>
      </c>
      <c r="F350" s="123">
        <v>0</v>
      </c>
      <c r="G350" s="123">
        <v>4</v>
      </c>
      <c r="H350" s="123">
        <v>4</v>
      </c>
      <c r="I350" s="123">
        <v>0</v>
      </c>
      <c r="J350" s="123">
        <v>6</v>
      </c>
      <c r="K350" s="123">
        <v>6</v>
      </c>
      <c r="L350" s="123">
        <v>0</v>
      </c>
      <c r="M350" s="123">
        <v>0</v>
      </c>
      <c r="N350" s="123">
        <v>0</v>
      </c>
      <c r="O350" s="123">
        <v>0</v>
      </c>
      <c r="P350" s="123">
        <v>0</v>
      </c>
      <c r="Q350" s="123">
        <v>0</v>
      </c>
      <c r="R350" s="123">
        <v>0</v>
      </c>
      <c r="S350" s="7" t="s">
        <v>13</v>
      </c>
      <c r="T350" s="9"/>
      <c r="U350" s="1"/>
    </row>
    <row r="351" spans="1:21" ht="13.5" thickBot="1" x14ac:dyDescent="0.25">
      <c r="A351" s="123">
        <v>79</v>
      </c>
      <c r="B351" s="123">
        <v>79</v>
      </c>
      <c r="C351" s="123">
        <v>0</v>
      </c>
      <c r="D351" s="123">
        <v>23</v>
      </c>
      <c r="E351" s="123">
        <v>23</v>
      </c>
      <c r="F351" s="123">
        <v>0</v>
      </c>
      <c r="G351" s="123">
        <v>17</v>
      </c>
      <c r="H351" s="123">
        <v>17</v>
      </c>
      <c r="I351" s="123">
        <v>0</v>
      </c>
      <c r="J351" s="123">
        <v>39</v>
      </c>
      <c r="K351" s="123">
        <v>39</v>
      </c>
      <c r="L351" s="123">
        <v>0</v>
      </c>
      <c r="M351" s="123">
        <v>0</v>
      </c>
      <c r="N351" s="123">
        <v>0</v>
      </c>
      <c r="O351" s="123">
        <v>0</v>
      </c>
      <c r="P351" s="123">
        <v>0</v>
      </c>
      <c r="Q351" s="123">
        <v>0</v>
      </c>
      <c r="R351" s="123">
        <v>0</v>
      </c>
      <c r="S351" s="7" t="s">
        <v>163</v>
      </c>
      <c r="T351" s="124"/>
      <c r="U351" s="1"/>
    </row>
    <row r="352" spans="1:21" ht="13.5" thickBot="1" x14ac:dyDescent="0.25">
      <c r="A352" s="123">
        <v>0</v>
      </c>
      <c r="B352" s="123">
        <v>0</v>
      </c>
      <c r="C352" s="123">
        <v>0</v>
      </c>
      <c r="D352" s="123">
        <v>0</v>
      </c>
      <c r="E352" s="123">
        <v>0</v>
      </c>
      <c r="F352" s="123">
        <v>0</v>
      </c>
      <c r="G352" s="123">
        <v>0</v>
      </c>
      <c r="H352" s="123">
        <v>0</v>
      </c>
      <c r="I352" s="123">
        <v>0</v>
      </c>
      <c r="J352" s="123">
        <v>0</v>
      </c>
      <c r="K352" s="123">
        <v>0</v>
      </c>
      <c r="L352" s="123">
        <v>0</v>
      </c>
      <c r="M352" s="123">
        <v>0</v>
      </c>
      <c r="N352" s="123">
        <v>0</v>
      </c>
      <c r="O352" s="123">
        <v>0</v>
      </c>
      <c r="P352" s="123">
        <v>0</v>
      </c>
      <c r="Q352" s="123">
        <v>0</v>
      </c>
      <c r="R352" s="123">
        <v>0</v>
      </c>
      <c r="S352" s="7" t="s">
        <v>162</v>
      </c>
      <c r="T352" s="124" t="s">
        <v>411</v>
      </c>
      <c r="U352" s="1"/>
    </row>
    <row r="353" spans="1:21" ht="13.5" thickBot="1" x14ac:dyDescent="0.25">
      <c r="A353" s="123">
        <v>79</v>
      </c>
      <c r="B353" s="123">
        <v>79</v>
      </c>
      <c r="C353" s="123">
        <v>0</v>
      </c>
      <c r="D353" s="123">
        <v>23</v>
      </c>
      <c r="E353" s="123">
        <v>23</v>
      </c>
      <c r="F353" s="123">
        <v>0</v>
      </c>
      <c r="G353" s="123">
        <v>17</v>
      </c>
      <c r="H353" s="123">
        <v>17</v>
      </c>
      <c r="I353" s="123">
        <v>0</v>
      </c>
      <c r="J353" s="123">
        <v>39</v>
      </c>
      <c r="K353" s="123">
        <v>39</v>
      </c>
      <c r="L353" s="123">
        <v>0</v>
      </c>
      <c r="M353" s="123">
        <v>0</v>
      </c>
      <c r="N353" s="123">
        <v>0</v>
      </c>
      <c r="O353" s="123">
        <v>0</v>
      </c>
      <c r="P353" s="123">
        <v>0</v>
      </c>
      <c r="Q353" s="123">
        <v>0</v>
      </c>
      <c r="R353" s="123">
        <v>0</v>
      </c>
      <c r="S353" s="7" t="s">
        <v>13</v>
      </c>
      <c r="T353" s="9"/>
      <c r="U353" s="1"/>
    </row>
    <row r="354" spans="1:21" ht="13.5" thickBot="1" x14ac:dyDescent="0.25">
      <c r="A354" s="123">
        <v>4</v>
      </c>
      <c r="B354" s="123">
        <v>4</v>
      </c>
      <c r="C354" s="123">
        <v>0</v>
      </c>
      <c r="D354" s="123">
        <v>0</v>
      </c>
      <c r="E354" s="123">
        <v>0</v>
      </c>
      <c r="F354" s="123">
        <v>0</v>
      </c>
      <c r="G354" s="123">
        <v>0</v>
      </c>
      <c r="H354" s="123">
        <v>0</v>
      </c>
      <c r="I354" s="123">
        <v>0</v>
      </c>
      <c r="J354" s="123">
        <v>4</v>
      </c>
      <c r="K354" s="123">
        <v>4</v>
      </c>
      <c r="L354" s="123">
        <v>0</v>
      </c>
      <c r="M354" s="123">
        <v>0</v>
      </c>
      <c r="N354" s="123">
        <v>0</v>
      </c>
      <c r="O354" s="123">
        <v>0</v>
      </c>
      <c r="P354" s="123">
        <v>0</v>
      </c>
      <c r="Q354" s="123">
        <v>0</v>
      </c>
      <c r="R354" s="123">
        <v>0</v>
      </c>
      <c r="S354" s="7" t="s">
        <v>163</v>
      </c>
      <c r="T354" s="124"/>
      <c r="U354" s="1"/>
    </row>
    <row r="355" spans="1:21" ht="13.5" thickBot="1" x14ac:dyDescent="0.25">
      <c r="A355" s="123">
        <v>0</v>
      </c>
      <c r="B355" s="123">
        <v>0</v>
      </c>
      <c r="C355" s="123">
        <v>0</v>
      </c>
      <c r="D355" s="123">
        <v>0</v>
      </c>
      <c r="E355" s="123">
        <v>0</v>
      </c>
      <c r="F355" s="123">
        <v>0</v>
      </c>
      <c r="G355" s="123">
        <v>0</v>
      </c>
      <c r="H355" s="123">
        <v>0</v>
      </c>
      <c r="I355" s="123">
        <v>0</v>
      </c>
      <c r="J355" s="123">
        <v>0</v>
      </c>
      <c r="K355" s="123">
        <v>0</v>
      </c>
      <c r="L355" s="123">
        <v>0</v>
      </c>
      <c r="M355" s="123">
        <v>0</v>
      </c>
      <c r="N355" s="123">
        <v>0</v>
      </c>
      <c r="O355" s="123">
        <v>0</v>
      </c>
      <c r="P355" s="123">
        <v>0</v>
      </c>
      <c r="Q355" s="123">
        <v>0</v>
      </c>
      <c r="R355" s="123">
        <v>0</v>
      </c>
      <c r="S355" s="7" t="s">
        <v>162</v>
      </c>
      <c r="T355" s="124" t="s">
        <v>100</v>
      </c>
      <c r="U355" s="1"/>
    </row>
    <row r="356" spans="1:21" ht="13.5" thickBot="1" x14ac:dyDescent="0.25">
      <c r="A356" s="123">
        <v>4</v>
      </c>
      <c r="B356" s="123">
        <v>4</v>
      </c>
      <c r="C356" s="123">
        <v>0</v>
      </c>
      <c r="D356" s="123">
        <v>0</v>
      </c>
      <c r="E356" s="123">
        <v>0</v>
      </c>
      <c r="F356" s="123">
        <v>0</v>
      </c>
      <c r="G356" s="123">
        <v>0</v>
      </c>
      <c r="H356" s="123">
        <v>0</v>
      </c>
      <c r="I356" s="123">
        <v>0</v>
      </c>
      <c r="J356" s="123">
        <v>4</v>
      </c>
      <c r="K356" s="123">
        <v>4</v>
      </c>
      <c r="L356" s="123">
        <v>0</v>
      </c>
      <c r="M356" s="123">
        <v>0</v>
      </c>
      <c r="N356" s="123">
        <v>0</v>
      </c>
      <c r="O356" s="123">
        <v>0</v>
      </c>
      <c r="P356" s="123">
        <v>0</v>
      </c>
      <c r="Q356" s="123">
        <v>0</v>
      </c>
      <c r="R356" s="123">
        <v>0</v>
      </c>
      <c r="S356" s="7" t="s">
        <v>13</v>
      </c>
      <c r="T356" s="9"/>
      <c r="U356" s="1"/>
    </row>
    <row r="357" spans="1:21" ht="13.5" thickBot="1" x14ac:dyDescent="0.25">
      <c r="A357" s="123">
        <v>22</v>
      </c>
      <c r="B357" s="123">
        <v>22</v>
      </c>
      <c r="C357" s="123">
        <v>0</v>
      </c>
      <c r="D357" s="123">
        <v>2</v>
      </c>
      <c r="E357" s="123">
        <v>2</v>
      </c>
      <c r="F357" s="123">
        <v>0</v>
      </c>
      <c r="G357" s="123">
        <v>9</v>
      </c>
      <c r="H357" s="123">
        <v>9</v>
      </c>
      <c r="I357" s="123">
        <v>0</v>
      </c>
      <c r="J357" s="123">
        <v>11</v>
      </c>
      <c r="K357" s="123">
        <v>11</v>
      </c>
      <c r="L357" s="123">
        <v>0</v>
      </c>
      <c r="M357" s="123">
        <v>0</v>
      </c>
      <c r="N357" s="123">
        <v>0</v>
      </c>
      <c r="O357" s="123">
        <v>0</v>
      </c>
      <c r="P357" s="123">
        <v>0</v>
      </c>
      <c r="Q357" s="123">
        <v>0</v>
      </c>
      <c r="R357" s="123">
        <v>0</v>
      </c>
      <c r="S357" s="7" t="s">
        <v>163</v>
      </c>
      <c r="T357" s="124"/>
      <c r="U357" s="1"/>
    </row>
    <row r="358" spans="1:21" ht="13.5" thickBot="1" x14ac:dyDescent="0.25">
      <c r="A358" s="123">
        <v>0</v>
      </c>
      <c r="B358" s="123">
        <v>0</v>
      </c>
      <c r="C358" s="123">
        <v>0</v>
      </c>
      <c r="D358" s="123">
        <v>0</v>
      </c>
      <c r="E358" s="123">
        <v>0</v>
      </c>
      <c r="F358" s="123">
        <v>0</v>
      </c>
      <c r="G358" s="123">
        <v>0</v>
      </c>
      <c r="H358" s="123">
        <v>0</v>
      </c>
      <c r="I358" s="123">
        <v>0</v>
      </c>
      <c r="J358" s="123">
        <v>0</v>
      </c>
      <c r="K358" s="123">
        <v>0</v>
      </c>
      <c r="L358" s="123">
        <v>0</v>
      </c>
      <c r="M358" s="123">
        <v>0</v>
      </c>
      <c r="N358" s="123">
        <v>0</v>
      </c>
      <c r="O358" s="123">
        <v>0</v>
      </c>
      <c r="P358" s="123">
        <v>0</v>
      </c>
      <c r="Q358" s="123">
        <v>0</v>
      </c>
      <c r="R358" s="123">
        <v>0</v>
      </c>
      <c r="S358" s="7" t="s">
        <v>162</v>
      </c>
      <c r="T358" s="124" t="s">
        <v>412</v>
      </c>
      <c r="U358" s="1"/>
    </row>
    <row r="359" spans="1:21" ht="13.5" thickBot="1" x14ac:dyDescent="0.25">
      <c r="A359" s="123">
        <v>22</v>
      </c>
      <c r="B359" s="123">
        <v>22</v>
      </c>
      <c r="C359" s="123">
        <v>0</v>
      </c>
      <c r="D359" s="123">
        <v>2</v>
      </c>
      <c r="E359" s="123">
        <v>2</v>
      </c>
      <c r="F359" s="123">
        <v>0</v>
      </c>
      <c r="G359" s="123">
        <v>9</v>
      </c>
      <c r="H359" s="123">
        <v>9</v>
      </c>
      <c r="I359" s="123">
        <v>0</v>
      </c>
      <c r="J359" s="123">
        <v>11</v>
      </c>
      <c r="K359" s="123">
        <v>11</v>
      </c>
      <c r="L359" s="123">
        <v>0</v>
      </c>
      <c r="M359" s="123">
        <v>0</v>
      </c>
      <c r="N359" s="123">
        <v>0</v>
      </c>
      <c r="O359" s="123">
        <v>0</v>
      </c>
      <c r="P359" s="123">
        <v>0</v>
      </c>
      <c r="Q359" s="123">
        <v>0</v>
      </c>
      <c r="R359" s="123">
        <v>0</v>
      </c>
      <c r="S359" s="7" t="s">
        <v>13</v>
      </c>
      <c r="T359" s="9"/>
      <c r="U359" s="1"/>
    </row>
    <row r="360" spans="1:21" ht="13.5" thickBot="1" x14ac:dyDescent="0.25">
      <c r="A360" s="123">
        <v>33</v>
      </c>
      <c r="B360" s="123">
        <v>33</v>
      </c>
      <c r="C360" s="123">
        <v>0</v>
      </c>
      <c r="D360" s="123">
        <v>2</v>
      </c>
      <c r="E360" s="123">
        <v>2</v>
      </c>
      <c r="F360" s="123">
        <v>0</v>
      </c>
      <c r="G360" s="123">
        <v>7</v>
      </c>
      <c r="H360" s="123">
        <v>7</v>
      </c>
      <c r="I360" s="123">
        <v>0</v>
      </c>
      <c r="J360" s="123">
        <v>23</v>
      </c>
      <c r="K360" s="123">
        <v>23</v>
      </c>
      <c r="L360" s="123">
        <v>0</v>
      </c>
      <c r="M360" s="123">
        <v>1</v>
      </c>
      <c r="N360" s="123">
        <v>1</v>
      </c>
      <c r="O360" s="123">
        <v>0</v>
      </c>
      <c r="P360" s="123">
        <v>0</v>
      </c>
      <c r="Q360" s="123">
        <v>0</v>
      </c>
      <c r="R360" s="123">
        <v>0</v>
      </c>
      <c r="S360" s="7" t="s">
        <v>163</v>
      </c>
      <c r="T360" s="124"/>
      <c r="U360" s="1"/>
    </row>
    <row r="361" spans="1:21" ht="13.5" thickBot="1" x14ac:dyDescent="0.25">
      <c r="A361" s="123">
        <v>0</v>
      </c>
      <c r="B361" s="123">
        <v>0</v>
      </c>
      <c r="C361" s="123">
        <v>0</v>
      </c>
      <c r="D361" s="123">
        <v>0</v>
      </c>
      <c r="E361" s="123">
        <v>0</v>
      </c>
      <c r="F361" s="123">
        <v>0</v>
      </c>
      <c r="G361" s="123">
        <v>0</v>
      </c>
      <c r="H361" s="123">
        <v>0</v>
      </c>
      <c r="I361" s="123">
        <v>0</v>
      </c>
      <c r="J361" s="123">
        <v>0</v>
      </c>
      <c r="K361" s="123">
        <v>0</v>
      </c>
      <c r="L361" s="123">
        <v>0</v>
      </c>
      <c r="M361" s="123">
        <v>0</v>
      </c>
      <c r="N361" s="123">
        <v>0</v>
      </c>
      <c r="O361" s="123">
        <v>0</v>
      </c>
      <c r="P361" s="123">
        <v>0</v>
      </c>
      <c r="Q361" s="123">
        <v>0</v>
      </c>
      <c r="R361" s="123">
        <v>0</v>
      </c>
      <c r="S361" s="7" t="s">
        <v>162</v>
      </c>
      <c r="T361" s="124" t="s">
        <v>413</v>
      </c>
      <c r="U361" s="1"/>
    </row>
    <row r="362" spans="1:21" ht="13.5" thickBot="1" x14ac:dyDescent="0.25">
      <c r="A362" s="123">
        <v>33</v>
      </c>
      <c r="B362" s="123">
        <v>33</v>
      </c>
      <c r="C362" s="123">
        <v>0</v>
      </c>
      <c r="D362" s="123">
        <v>2</v>
      </c>
      <c r="E362" s="123">
        <v>2</v>
      </c>
      <c r="F362" s="123">
        <v>0</v>
      </c>
      <c r="G362" s="123">
        <v>7</v>
      </c>
      <c r="H362" s="123">
        <v>7</v>
      </c>
      <c r="I362" s="123">
        <v>0</v>
      </c>
      <c r="J362" s="123">
        <v>23</v>
      </c>
      <c r="K362" s="123">
        <v>23</v>
      </c>
      <c r="L362" s="123">
        <v>0</v>
      </c>
      <c r="M362" s="123">
        <v>1</v>
      </c>
      <c r="N362" s="123">
        <v>1</v>
      </c>
      <c r="O362" s="123">
        <v>0</v>
      </c>
      <c r="P362" s="123">
        <v>0</v>
      </c>
      <c r="Q362" s="123">
        <v>0</v>
      </c>
      <c r="R362" s="123">
        <v>0</v>
      </c>
      <c r="S362" s="7" t="s">
        <v>13</v>
      </c>
      <c r="T362" s="9"/>
      <c r="U362" s="1"/>
    </row>
    <row r="363" spans="1:21" ht="13.5" thickBot="1" x14ac:dyDescent="0.25">
      <c r="A363" s="123">
        <v>16</v>
      </c>
      <c r="B363" s="123">
        <v>16</v>
      </c>
      <c r="C363" s="123">
        <v>0</v>
      </c>
      <c r="D363" s="123">
        <v>1</v>
      </c>
      <c r="E363" s="123">
        <v>1</v>
      </c>
      <c r="F363" s="123">
        <v>0</v>
      </c>
      <c r="G363" s="123">
        <v>2</v>
      </c>
      <c r="H363" s="123">
        <v>2</v>
      </c>
      <c r="I363" s="123">
        <v>0</v>
      </c>
      <c r="J363" s="123">
        <v>13</v>
      </c>
      <c r="K363" s="123">
        <v>13</v>
      </c>
      <c r="L363" s="123">
        <v>0</v>
      </c>
      <c r="M363" s="123">
        <v>0</v>
      </c>
      <c r="N363" s="123">
        <v>0</v>
      </c>
      <c r="O363" s="123">
        <v>0</v>
      </c>
      <c r="P363" s="123">
        <v>0</v>
      </c>
      <c r="Q363" s="123">
        <v>0</v>
      </c>
      <c r="R363" s="123">
        <v>0</v>
      </c>
      <c r="S363" s="7" t="s">
        <v>163</v>
      </c>
      <c r="T363" s="124"/>
      <c r="U363" s="1"/>
    </row>
    <row r="364" spans="1:21" ht="13.5" thickBot="1" x14ac:dyDescent="0.25">
      <c r="A364" s="123">
        <v>0</v>
      </c>
      <c r="B364" s="123">
        <v>0</v>
      </c>
      <c r="C364" s="123">
        <v>0</v>
      </c>
      <c r="D364" s="123">
        <v>0</v>
      </c>
      <c r="E364" s="123">
        <v>0</v>
      </c>
      <c r="F364" s="123">
        <v>0</v>
      </c>
      <c r="G364" s="123">
        <v>0</v>
      </c>
      <c r="H364" s="123">
        <v>0</v>
      </c>
      <c r="I364" s="123">
        <v>0</v>
      </c>
      <c r="J364" s="123">
        <v>0</v>
      </c>
      <c r="K364" s="123">
        <v>0</v>
      </c>
      <c r="L364" s="123">
        <v>0</v>
      </c>
      <c r="M364" s="123">
        <v>0</v>
      </c>
      <c r="N364" s="123">
        <v>0</v>
      </c>
      <c r="O364" s="123">
        <v>0</v>
      </c>
      <c r="P364" s="123">
        <v>0</v>
      </c>
      <c r="Q364" s="123">
        <v>0</v>
      </c>
      <c r="R364" s="123">
        <v>0</v>
      </c>
      <c r="S364" s="7" t="s">
        <v>162</v>
      </c>
      <c r="T364" s="124" t="s">
        <v>414</v>
      </c>
      <c r="U364" s="1"/>
    </row>
    <row r="365" spans="1:21" ht="13.5" thickBot="1" x14ac:dyDescent="0.25">
      <c r="A365" s="123">
        <v>16</v>
      </c>
      <c r="B365" s="123">
        <v>16</v>
      </c>
      <c r="C365" s="123">
        <v>0</v>
      </c>
      <c r="D365" s="123">
        <v>1</v>
      </c>
      <c r="E365" s="123">
        <v>1</v>
      </c>
      <c r="F365" s="123">
        <v>0</v>
      </c>
      <c r="G365" s="123">
        <v>2</v>
      </c>
      <c r="H365" s="123">
        <v>2</v>
      </c>
      <c r="I365" s="123">
        <v>0</v>
      </c>
      <c r="J365" s="123">
        <v>13</v>
      </c>
      <c r="K365" s="123">
        <v>13</v>
      </c>
      <c r="L365" s="123">
        <v>0</v>
      </c>
      <c r="M365" s="123">
        <v>0</v>
      </c>
      <c r="N365" s="123">
        <v>0</v>
      </c>
      <c r="O365" s="123">
        <v>0</v>
      </c>
      <c r="P365" s="123">
        <v>0</v>
      </c>
      <c r="Q365" s="123">
        <v>0</v>
      </c>
      <c r="R365" s="123">
        <v>0</v>
      </c>
      <c r="S365" s="7" t="s">
        <v>13</v>
      </c>
      <c r="T365" s="9"/>
      <c r="U365" s="1"/>
    </row>
    <row r="366" spans="1:21" ht="13.5" thickBot="1" x14ac:dyDescent="0.25">
      <c r="A366" s="123">
        <v>31</v>
      </c>
      <c r="B366" s="123">
        <v>31</v>
      </c>
      <c r="C366" s="123">
        <v>0</v>
      </c>
      <c r="D366" s="123">
        <v>8</v>
      </c>
      <c r="E366" s="123">
        <v>8</v>
      </c>
      <c r="F366" s="123">
        <v>0</v>
      </c>
      <c r="G366" s="123">
        <v>10</v>
      </c>
      <c r="H366" s="123">
        <v>10</v>
      </c>
      <c r="I366" s="123">
        <v>0</v>
      </c>
      <c r="J366" s="123">
        <v>13</v>
      </c>
      <c r="K366" s="123">
        <v>13</v>
      </c>
      <c r="L366" s="123">
        <v>0</v>
      </c>
      <c r="M366" s="123">
        <v>0</v>
      </c>
      <c r="N366" s="123">
        <v>0</v>
      </c>
      <c r="O366" s="123">
        <v>0</v>
      </c>
      <c r="P366" s="123">
        <v>0</v>
      </c>
      <c r="Q366" s="123">
        <v>0</v>
      </c>
      <c r="R366" s="123">
        <v>0</v>
      </c>
      <c r="S366" s="7" t="s">
        <v>163</v>
      </c>
      <c r="T366" s="124"/>
      <c r="U366" s="1"/>
    </row>
    <row r="367" spans="1:21" ht="13.5" thickBot="1" x14ac:dyDescent="0.25">
      <c r="A367" s="123">
        <v>0</v>
      </c>
      <c r="B367" s="123">
        <v>0</v>
      </c>
      <c r="C367" s="123">
        <v>0</v>
      </c>
      <c r="D367" s="123">
        <v>0</v>
      </c>
      <c r="E367" s="123">
        <v>0</v>
      </c>
      <c r="F367" s="123">
        <v>0</v>
      </c>
      <c r="G367" s="123">
        <v>0</v>
      </c>
      <c r="H367" s="123">
        <v>0</v>
      </c>
      <c r="I367" s="123">
        <v>0</v>
      </c>
      <c r="J367" s="123">
        <v>0</v>
      </c>
      <c r="K367" s="123">
        <v>0</v>
      </c>
      <c r="L367" s="123">
        <v>0</v>
      </c>
      <c r="M367" s="123">
        <v>0</v>
      </c>
      <c r="N367" s="123">
        <v>0</v>
      </c>
      <c r="O367" s="123">
        <v>0</v>
      </c>
      <c r="P367" s="123">
        <v>0</v>
      </c>
      <c r="Q367" s="123">
        <v>0</v>
      </c>
      <c r="R367" s="123">
        <v>0</v>
      </c>
      <c r="S367" s="7" t="s">
        <v>162</v>
      </c>
      <c r="T367" s="124" t="s">
        <v>415</v>
      </c>
      <c r="U367" s="1"/>
    </row>
    <row r="368" spans="1:21" ht="13.5" thickBot="1" x14ac:dyDescent="0.25">
      <c r="A368" s="123">
        <v>31</v>
      </c>
      <c r="B368" s="123">
        <v>31</v>
      </c>
      <c r="C368" s="123">
        <v>0</v>
      </c>
      <c r="D368" s="123">
        <v>8</v>
      </c>
      <c r="E368" s="123">
        <v>8</v>
      </c>
      <c r="F368" s="123">
        <v>0</v>
      </c>
      <c r="G368" s="123">
        <v>10</v>
      </c>
      <c r="H368" s="123">
        <v>10</v>
      </c>
      <c r="I368" s="123">
        <v>0</v>
      </c>
      <c r="J368" s="123">
        <v>13</v>
      </c>
      <c r="K368" s="123">
        <v>13</v>
      </c>
      <c r="L368" s="123">
        <v>0</v>
      </c>
      <c r="M368" s="123">
        <v>0</v>
      </c>
      <c r="N368" s="123">
        <v>0</v>
      </c>
      <c r="O368" s="123">
        <v>0</v>
      </c>
      <c r="P368" s="123">
        <v>0</v>
      </c>
      <c r="Q368" s="123">
        <v>0</v>
      </c>
      <c r="R368" s="123">
        <v>0</v>
      </c>
      <c r="S368" s="7" t="s">
        <v>13</v>
      </c>
      <c r="T368" s="9"/>
      <c r="U368" s="1"/>
    </row>
    <row r="369" spans="1:21" ht="13.5" thickBot="1" x14ac:dyDescent="0.25">
      <c r="A369" s="123">
        <v>16</v>
      </c>
      <c r="B369" s="123">
        <v>16</v>
      </c>
      <c r="C369" s="123">
        <v>0</v>
      </c>
      <c r="D369" s="123">
        <v>2</v>
      </c>
      <c r="E369" s="123">
        <v>2</v>
      </c>
      <c r="F369" s="123">
        <v>0</v>
      </c>
      <c r="G369" s="123">
        <v>6</v>
      </c>
      <c r="H369" s="123">
        <v>6</v>
      </c>
      <c r="I369" s="123">
        <v>0</v>
      </c>
      <c r="J369" s="123">
        <v>5</v>
      </c>
      <c r="K369" s="123">
        <v>5</v>
      </c>
      <c r="L369" s="123">
        <v>0</v>
      </c>
      <c r="M369" s="123">
        <v>3</v>
      </c>
      <c r="N369" s="123">
        <v>3</v>
      </c>
      <c r="O369" s="123">
        <v>0</v>
      </c>
      <c r="P369" s="123">
        <v>0</v>
      </c>
      <c r="Q369" s="123">
        <v>0</v>
      </c>
      <c r="R369" s="123">
        <v>0</v>
      </c>
      <c r="S369" s="7" t="s">
        <v>163</v>
      </c>
      <c r="T369" s="124"/>
      <c r="U369" s="1"/>
    </row>
    <row r="370" spans="1:21" ht="13.5" thickBot="1" x14ac:dyDescent="0.25">
      <c r="A370" s="123">
        <v>0</v>
      </c>
      <c r="B370" s="123">
        <v>0</v>
      </c>
      <c r="C370" s="123">
        <v>0</v>
      </c>
      <c r="D370" s="123">
        <v>0</v>
      </c>
      <c r="E370" s="123">
        <v>0</v>
      </c>
      <c r="F370" s="123">
        <v>0</v>
      </c>
      <c r="G370" s="123">
        <v>0</v>
      </c>
      <c r="H370" s="123">
        <v>0</v>
      </c>
      <c r="I370" s="123">
        <v>0</v>
      </c>
      <c r="J370" s="123">
        <v>0</v>
      </c>
      <c r="K370" s="123">
        <v>0</v>
      </c>
      <c r="L370" s="123">
        <v>0</v>
      </c>
      <c r="M370" s="123">
        <v>0</v>
      </c>
      <c r="N370" s="123">
        <v>0</v>
      </c>
      <c r="O370" s="123">
        <v>0</v>
      </c>
      <c r="P370" s="123">
        <v>0</v>
      </c>
      <c r="Q370" s="123">
        <v>0</v>
      </c>
      <c r="R370" s="123">
        <v>0</v>
      </c>
      <c r="S370" s="7" t="s">
        <v>162</v>
      </c>
      <c r="T370" s="124" t="s">
        <v>251</v>
      </c>
      <c r="U370" s="1"/>
    </row>
    <row r="371" spans="1:21" ht="13.5" thickBot="1" x14ac:dyDescent="0.25">
      <c r="A371" s="123">
        <v>16</v>
      </c>
      <c r="B371" s="123">
        <v>16</v>
      </c>
      <c r="C371" s="123">
        <v>0</v>
      </c>
      <c r="D371" s="123">
        <v>2</v>
      </c>
      <c r="E371" s="123">
        <v>2</v>
      </c>
      <c r="F371" s="123">
        <v>0</v>
      </c>
      <c r="G371" s="123">
        <v>6</v>
      </c>
      <c r="H371" s="123">
        <v>6</v>
      </c>
      <c r="I371" s="123">
        <v>0</v>
      </c>
      <c r="J371" s="123">
        <v>5</v>
      </c>
      <c r="K371" s="123">
        <v>5</v>
      </c>
      <c r="L371" s="123">
        <v>0</v>
      </c>
      <c r="M371" s="123">
        <v>3</v>
      </c>
      <c r="N371" s="123">
        <v>3</v>
      </c>
      <c r="O371" s="123">
        <v>0</v>
      </c>
      <c r="P371" s="123">
        <v>0</v>
      </c>
      <c r="Q371" s="123">
        <v>0</v>
      </c>
      <c r="R371" s="123">
        <v>0</v>
      </c>
      <c r="S371" s="7" t="s">
        <v>13</v>
      </c>
      <c r="T371" s="9"/>
      <c r="U371" s="1"/>
    </row>
    <row r="372" spans="1:21" ht="13.5" thickBot="1" x14ac:dyDescent="0.25">
      <c r="A372" s="123">
        <v>6</v>
      </c>
      <c r="B372" s="123">
        <v>6</v>
      </c>
      <c r="C372" s="123">
        <v>0</v>
      </c>
      <c r="D372" s="123">
        <v>0</v>
      </c>
      <c r="E372" s="123">
        <v>0</v>
      </c>
      <c r="F372" s="123">
        <v>0</v>
      </c>
      <c r="G372" s="123">
        <v>5</v>
      </c>
      <c r="H372" s="123">
        <v>5</v>
      </c>
      <c r="I372" s="123">
        <v>0</v>
      </c>
      <c r="J372" s="123">
        <v>1</v>
      </c>
      <c r="K372" s="123">
        <v>1</v>
      </c>
      <c r="L372" s="123">
        <v>0</v>
      </c>
      <c r="M372" s="123">
        <v>0</v>
      </c>
      <c r="N372" s="123">
        <v>0</v>
      </c>
      <c r="O372" s="123">
        <v>0</v>
      </c>
      <c r="P372" s="123">
        <v>0</v>
      </c>
      <c r="Q372" s="123">
        <v>0</v>
      </c>
      <c r="R372" s="123">
        <v>0</v>
      </c>
      <c r="S372" s="7" t="s">
        <v>163</v>
      </c>
      <c r="T372" s="124"/>
      <c r="U372" s="1"/>
    </row>
    <row r="373" spans="1:21" ht="13.5" thickBot="1" x14ac:dyDescent="0.25">
      <c r="A373" s="123">
        <v>0</v>
      </c>
      <c r="B373" s="123">
        <v>0</v>
      </c>
      <c r="C373" s="123">
        <v>0</v>
      </c>
      <c r="D373" s="123">
        <v>0</v>
      </c>
      <c r="E373" s="123">
        <v>0</v>
      </c>
      <c r="F373" s="123">
        <v>0</v>
      </c>
      <c r="G373" s="123">
        <v>0</v>
      </c>
      <c r="H373" s="123">
        <v>0</v>
      </c>
      <c r="I373" s="123">
        <v>0</v>
      </c>
      <c r="J373" s="123">
        <v>0</v>
      </c>
      <c r="K373" s="123">
        <v>0</v>
      </c>
      <c r="L373" s="123">
        <v>0</v>
      </c>
      <c r="M373" s="123">
        <v>0</v>
      </c>
      <c r="N373" s="123">
        <v>0</v>
      </c>
      <c r="O373" s="123">
        <v>0</v>
      </c>
      <c r="P373" s="123">
        <v>0</v>
      </c>
      <c r="Q373" s="123">
        <v>0</v>
      </c>
      <c r="R373" s="123">
        <v>0</v>
      </c>
      <c r="S373" s="7" t="s">
        <v>162</v>
      </c>
      <c r="T373" s="124" t="s">
        <v>252</v>
      </c>
      <c r="U373" s="1"/>
    </row>
    <row r="374" spans="1:21" ht="13.5" thickBot="1" x14ac:dyDescent="0.25">
      <c r="A374" s="123">
        <v>6</v>
      </c>
      <c r="B374" s="123">
        <v>6</v>
      </c>
      <c r="C374" s="123">
        <v>0</v>
      </c>
      <c r="D374" s="123">
        <v>0</v>
      </c>
      <c r="E374" s="123">
        <v>0</v>
      </c>
      <c r="F374" s="123">
        <v>0</v>
      </c>
      <c r="G374" s="123">
        <v>5</v>
      </c>
      <c r="H374" s="123">
        <v>5</v>
      </c>
      <c r="I374" s="123">
        <v>0</v>
      </c>
      <c r="J374" s="123">
        <v>1</v>
      </c>
      <c r="K374" s="123">
        <v>1</v>
      </c>
      <c r="L374" s="123">
        <v>0</v>
      </c>
      <c r="M374" s="123">
        <v>0</v>
      </c>
      <c r="N374" s="123">
        <v>0</v>
      </c>
      <c r="O374" s="123">
        <v>0</v>
      </c>
      <c r="P374" s="123">
        <v>0</v>
      </c>
      <c r="Q374" s="123">
        <v>0</v>
      </c>
      <c r="R374" s="123">
        <v>0</v>
      </c>
      <c r="S374" s="7" t="s">
        <v>13</v>
      </c>
      <c r="T374" s="9"/>
      <c r="U374" s="1"/>
    </row>
    <row r="375" spans="1:21" ht="13.5" thickBot="1" x14ac:dyDescent="0.25">
      <c r="A375" s="123">
        <v>7</v>
      </c>
      <c r="B375" s="123">
        <v>7</v>
      </c>
      <c r="C375" s="123">
        <v>0</v>
      </c>
      <c r="D375" s="123">
        <v>4</v>
      </c>
      <c r="E375" s="123">
        <v>4</v>
      </c>
      <c r="F375" s="123">
        <v>0</v>
      </c>
      <c r="G375" s="123">
        <v>0</v>
      </c>
      <c r="H375" s="123">
        <v>0</v>
      </c>
      <c r="I375" s="123">
        <v>0</v>
      </c>
      <c r="J375" s="123">
        <v>3</v>
      </c>
      <c r="K375" s="123">
        <v>3</v>
      </c>
      <c r="L375" s="123">
        <v>0</v>
      </c>
      <c r="M375" s="123">
        <v>0</v>
      </c>
      <c r="N375" s="123">
        <v>0</v>
      </c>
      <c r="O375" s="123">
        <v>0</v>
      </c>
      <c r="P375" s="123">
        <v>0</v>
      </c>
      <c r="Q375" s="123">
        <v>0</v>
      </c>
      <c r="R375" s="123">
        <v>0</v>
      </c>
      <c r="S375" s="7" t="s">
        <v>163</v>
      </c>
      <c r="T375" s="124"/>
      <c r="U375" s="1"/>
    </row>
    <row r="376" spans="1:21" ht="13.5" thickBot="1" x14ac:dyDescent="0.25">
      <c r="A376" s="123">
        <v>0</v>
      </c>
      <c r="B376" s="123">
        <v>0</v>
      </c>
      <c r="C376" s="123">
        <v>0</v>
      </c>
      <c r="D376" s="123">
        <v>0</v>
      </c>
      <c r="E376" s="123">
        <v>0</v>
      </c>
      <c r="F376" s="123">
        <v>0</v>
      </c>
      <c r="G376" s="123">
        <v>0</v>
      </c>
      <c r="H376" s="123">
        <v>0</v>
      </c>
      <c r="I376" s="123">
        <v>0</v>
      </c>
      <c r="J376" s="123">
        <v>0</v>
      </c>
      <c r="K376" s="123">
        <v>0</v>
      </c>
      <c r="L376" s="123">
        <v>0</v>
      </c>
      <c r="M376" s="123">
        <v>0</v>
      </c>
      <c r="N376" s="123">
        <v>0</v>
      </c>
      <c r="O376" s="123">
        <v>0</v>
      </c>
      <c r="P376" s="123">
        <v>0</v>
      </c>
      <c r="Q376" s="123">
        <v>0</v>
      </c>
      <c r="R376" s="123">
        <v>0</v>
      </c>
      <c r="S376" s="7" t="s">
        <v>162</v>
      </c>
      <c r="T376" s="124" t="s">
        <v>253</v>
      </c>
      <c r="U376" s="1"/>
    </row>
    <row r="377" spans="1:21" ht="13.5" thickBot="1" x14ac:dyDescent="0.25">
      <c r="A377" s="123">
        <v>7</v>
      </c>
      <c r="B377" s="123">
        <v>7</v>
      </c>
      <c r="C377" s="123">
        <v>0</v>
      </c>
      <c r="D377" s="123">
        <v>4</v>
      </c>
      <c r="E377" s="123">
        <v>4</v>
      </c>
      <c r="F377" s="123">
        <v>0</v>
      </c>
      <c r="G377" s="123">
        <v>0</v>
      </c>
      <c r="H377" s="123">
        <v>0</v>
      </c>
      <c r="I377" s="123">
        <v>0</v>
      </c>
      <c r="J377" s="123">
        <v>3</v>
      </c>
      <c r="K377" s="123">
        <v>3</v>
      </c>
      <c r="L377" s="123">
        <v>0</v>
      </c>
      <c r="M377" s="123">
        <v>0</v>
      </c>
      <c r="N377" s="123">
        <v>0</v>
      </c>
      <c r="O377" s="123">
        <v>0</v>
      </c>
      <c r="P377" s="123">
        <v>0</v>
      </c>
      <c r="Q377" s="123">
        <v>0</v>
      </c>
      <c r="R377" s="123">
        <v>0</v>
      </c>
      <c r="S377" s="7" t="s">
        <v>13</v>
      </c>
      <c r="T377" s="9"/>
      <c r="U377" s="1"/>
    </row>
    <row r="378" spans="1:21" ht="13.5" thickBot="1" x14ac:dyDescent="0.25">
      <c r="A378" s="123">
        <v>2</v>
      </c>
      <c r="B378" s="123">
        <v>2</v>
      </c>
      <c r="C378" s="123">
        <v>0</v>
      </c>
      <c r="D378" s="123">
        <v>0</v>
      </c>
      <c r="E378" s="123">
        <v>0</v>
      </c>
      <c r="F378" s="123">
        <v>0</v>
      </c>
      <c r="G378" s="123">
        <v>0</v>
      </c>
      <c r="H378" s="123">
        <v>0</v>
      </c>
      <c r="I378" s="123">
        <v>0</v>
      </c>
      <c r="J378" s="123">
        <v>2</v>
      </c>
      <c r="K378" s="123">
        <v>2</v>
      </c>
      <c r="L378" s="123">
        <v>0</v>
      </c>
      <c r="M378" s="123">
        <v>0</v>
      </c>
      <c r="N378" s="123">
        <v>0</v>
      </c>
      <c r="O378" s="123">
        <v>0</v>
      </c>
      <c r="P378" s="123">
        <v>0</v>
      </c>
      <c r="Q378" s="123">
        <v>0</v>
      </c>
      <c r="R378" s="123">
        <v>0</v>
      </c>
      <c r="S378" s="7" t="s">
        <v>163</v>
      </c>
      <c r="T378" s="124"/>
      <c r="U378" s="1"/>
    </row>
    <row r="379" spans="1:21" ht="13.5" thickBot="1" x14ac:dyDescent="0.25">
      <c r="A379" s="123">
        <v>0</v>
      </c>
      <c r="B379" s="123">
        <v>0</v>
      </c>
      <c r="C379" s="123">
        <v>0</v>
      </c>
      <c r="D379" s="123">
        <v>0</v>
      </c>
      <c r="E379" s="123">
        <v>0</v>
      </c>
      <c r="F379" s="123">
        <v>0</v>
      </c>
      <c r="G379" s="123">
        <v>0</v>
      </c>
      <c r="H379" s="123">
        <v>0</v>
      </c>
      <c r="I379" s="123">
        <v>0</v>
      </c>
      <c r="J379" s="123">
        <v>0</v>
      </c>
      <c r="K379" s="123">
        <v>0</v>
      </c>
      <c r="L379" s="123">
        <v>0</v>
      </c>
      <c r="M379" s="123">
        <v>0</v>
      </c>
      <c r="N379" s="123">
        <v>0</v>
      </c>
      <c r="O379" s="123">
        <v>0</v>
      </c>
      <c r="P379" s="123">
        <v>0</v>
      </c>
      <c r="Q379" s="123">
        <v>0</v>
      </c>
      <c r="R379" s="123">
        <v>0</v>
      </c>
      <c r="S379" s="7" t="s">
        <v>162</v>
      </c>
      <c r="T379" s="124" t="s">
        <v>254</v>
      </c>
      <c r="U379" s="1"/>
    </row>
    <row r="380" spans="1:21" ht="13.5" thickBot="1" x14ac:dyDescent="0.25">
      <c r="A380" s="123">
        <v>2</v>
      </c>
      <c r="B380" s="123">
        <v>2</v>
      </c>
      <c r="C380" s="123">
        <v>0</v>
      </c>
      <c r="D380" s="123">
        <v>0</v>
      </c>
      <c r="E380" s="123">
        <v>0</v>
      </c>
      <c r="F380" s="123">
        <v>0</v>
      </c>
      <c r="G380" s="123">
        <v>0</v>
      </c>
      <c r="H380" s="123">
        <v>0</v>
      </c>
      <c r="I380" s="123">
        <v>0</v>
      </c>
      <c r="J380" s="123">
        <v>2</v>
      </c>
      <c r="K380" s="123">
        <v>2</v>
      </c>
      <c r="L380" s="123">
        <v>0</v>
      </c>
      <c r="M380" s="123">
        <v>0</v>
      </c>
      <c r="N380" s="123">
        <v>0</v>
      </c>
      <c r="O380" s="123">
        <v>0</v>
      </c>
      <c r="P380" s="123">
        <v>0</v>
      </c>
      <c r="Q380" s="123">
        <v>0</v>
      </c>
      <c r="R380" s="123">
        <v>0</v>
      </c>
      <c r="S380" s="7" t="s">
        <v>13</v>
      </c>
      <c r="T380" s="9"/>
      <c r="U380" s="1"/>
    </row>
    <row r="381" spans="1:21" ht="13.5" thickBot="1" x14ac:dyDescent="0.25">
      <c r="A381" s="123">
        <v>16</v>
      </c>
      <c r="B381" s="123">
        <v>0</v>
      </c>
      <c r="C381" s="123">
        <v>16</v>
      </c>
      <c r="D381" s="123">
        <v>13</v>
      </c>
      <c r="E381" s="123">
        <v>0</v>
      </c>
      <c r="F381" s="123">
        <v>13</v>
      </c>
      <c r="G381" s="123">
        <v>0</v>
      </c>
      <c r="H381" s="123">
        <v>0</v>
      </c>
      <c r="I381" s="123">
        <v>0</v>
      </c>
      <c r="J381" s="123">
        <v>3</v>
      </c>
      <c r="K381" s="123">
        <v>0</v>
      </c>
      <c r="L381" s="123">
        <v>3</v>
      </c>
      <c r="M381" s="123">
        <v>0</v>
      </c>
      <c r="N381" s="123">
        <v>0</v>
      </c>
      <c r="O381" s="123">
        <v>0</v>
      </c>
      <c r="P381" s="123">
        <v>0</v>
      </c>
      <c r="Q381" s="123">
        <v>0</v>
      </c>
      <c r="R381" s="123">
        <v>0</v>
      </c>
      <c r="S381" s="7" t="s">
        <v>163</v>
      </c>
      <c r="T381" s="124"/>
      <c r="U381" s="1"/>
    </row>
    <row r="382" spans="1:21" ht="13.5" thickBot="1" x14ac:dyDescent="0.25">
      <c r="A382" s="123">
        <v>0</v>
      </c>
      <c r="B382" s="123">
        <v>0</v>
      </c>
      <c r="C382" s="123">
        <v>0</v>
      </c>
      <c r="D382" s="123">
        <v>0</v>
      </c>
      <c r="E382" s="123">
        <v>0</v>
      </c>
      <c r="F382" s="123">
        <v>0</v>
      </c>
      <c r="G382" s="123">
        <v>0</v>
      </c>
      <c r="H382" s="123">
        <v>0</v>
      </c>
      <c r="I382" s="123">
        <v>0</v>
      </c>
      <c r="J382" s="123">
        <v>0</v>
      </c>
      <c r="K382" s="123">
        <v>0</v>
      </c>
      <c r="L382" s="123">
        <v>0</v>
      </c>
      <c r="M382" s="123">
        <v>0</v>
      </c>
      <c r="N382" s="123">
        <v>0</v>
      </c>
      <c r="O382" s="123">
        <v>0</v>
      </c>
      <c r="P382" s="123">
        <v>0</v>
      </c>
      <c r="Q382" s="123">
        <v>0</v>
      </c>
      <c r="R382" s="123">
        <v>0</v>
      </c>
      <c r="S382" s="7" t="s">
        <v>162</v>
      </c>
      <c r="T382" s="124" t="s">
        <v>255</v>
      </c>
      <c r="U382" s="1"/>
    </row>
    <row r="383" spans="1:21" ht="13.5" thickBot="1" x14ac:dyDescent="0.25">
      <c r="A383" s="123">
        <v>16</v>
      </c>
      <c r="B383" s="123">
        <v>0</v>
      </c>
      <c r="C383" s="123">
        <v>16</v>
      </c>
      <c r="D383" s="123">
        <v>13</v>
      </c>
      <c r="E383" s="123">
        <v>0</v>
      </c>
      <c r="F383" s="123">
        <v>13</v>
      </c>
      <c r="G383" s="123">
        <v>0</v>
      </c>
      <c r="H383" s="123">
        <v>0</v>
      </c>
      <c r="I383" s="123">
        <v>0</v>
      </c>
      <c r="J383" s="123">
        <v>3</v>
      </c>
      <c r="K383" s="123">
        <v>0</v>
      </c>
      <c r="L383" s="123">
        <v>3</v>
      </c>
      <c r="M383" s="123">
        <v>0</v>
      </c>
      <c r="N383" s="123">
        <v>0</v>
      </c>
      <c r="O383" s="123">
        <v>0</v>
      </c>
      <c r="P383" s="123">
        <v>0</v>
      </c>
      <c r="Q383" s="123">
        <v>0</v>
      </c>
      <c r="R383" s="123">
        <v>0</v>
      </c>
      <c r="S383" s="7" t="s">
        <v>13</v>
      </c>
      <c r="T383" s="9"/>
      <c r="U383" s="1"/>
    </row>
    <row r="384" spans="1:21" ht="13.5" thickBot="1" x14ac:dyDescent="0.25">
      <c r="A384" s="123">
        <v>20</v>
      </c>
      <c r="B384" s="123">
        <v>0</v>
      </c>
      <c r="C384" s="123">
        <v>20</v>
      </c>
      <c r="D384" s="123">
        <v>18</v>
      </c>
      <c r="E384" s="123">
        <v>0</v>
      </c>
      <c r="F384" s="123">
        <v>18</v>
      </c>
      <c r="G384" s="123">
        <v>1</v>
      </c>
      <c r="H384" s="123">
        <v>0</v>
      </c>
      <c r="I384" s="123">
        <v>1</v>
      </c>
      <c r="J384" s="123">
        <v>1</v>
      </c>
      <c r="K384" s="123">
        <v>0</v>
      </c>
      <c r="L384" s="123">
        <v>1</v>
      </c>
      <c r="M384" s="123">
        <v>0</v>
      </c>
      <c r="N384" s="123">
        <v>0</v>
      </c>
      <c r="O384" s="123">
        <v>0</v>
      </c>
      <c r="P384" s="123">
        <v>0</v>
      </c>
      <c r="Q384" s="123">
        <v>0</v>
      </c>
      <c r="R384" s="123">
        <v>0</v>
      </c>
      <c r="S384" s="7" t="s">
        <v>163</v>
      </c>
      <c r="T384" s="124"/>
      <c r="U384" s="1"/>
    </row>
    <row r="385" spans="1:21" ht="13.5" thickBot="1" x14ac:dyDescent="0.25">
      <c r="A385" s="123">
        <v>0</v>
      </c>
      <c r="B385" s="123">
        <v>0</v>
      </c>
      <c r="C385" s="123">
        <v>0</v>
      </c>
      <c r="D385" s="123">
        <v>0</v>
      </c>
      <c r="E385" s="123">
        <v>0</v>
      </c>
      <c r="F385" s="123">
        <v>0</v>
      </c>
      <c r="G385" s="123">
        <v>0</v>
      </c>
      <c r="H385" s="123">
        <v>0</v>
      </c>
      <c r="I385" s="123">
        <v>0</v>
      </c>
      <c r="J385" s="123">
        <v>0</v>
      </c>
      <c r="K385" s="123">
        <v>0</v>
      </c>
      <c r="L385" s="123">
        <v>0</v>
      </c>
      <c r="M385" s="123">
        <v>0</v>
      </c>
      <c r="N385" s="123">
        <v>0</v>
      </c>
      <c r="O385" s="123">
        <v>0</v>
      </c>
      <c r="P385" s="123">
        <v>0</v>
      </c>
      <c r="Q385" s="123">
        <v>0</v>
      </c>
      <c r="R385" s="123">
        <v>0</v>
      </c>
      <c r="S385" s="7" t="s">
        <v>162</v>
      </c>
      <c r="T385" s="124" t="s">
        <v>256</v>
      </c>
      <c r="U385" s="1"/>
    </row>
    <row r="386" spans="1:21" ht="13.5" thickBot="1" x14ac:dyDescent="0.25">
      <c r="A386" s="123">
        <v>20</v>
      </c>
      <c r="B386" s="123">
        <v>0</v>
      </c>
      <c r="C386" s="123">
        <v>20</v>
      </c>
      <c r="D386" s="123">
        <v>18</v>
      </c>
      <c r="E386" s="123">
        <v>0</v>
      </c>
      <c r="F386" s="123">
        <v>18</v>
      </c>
      <c r="G386" s="123">
        <v>1</v>
      </c>
      <c r="H386" s="123">
        <v>0</v>
      </c>
      <c r="I386" s="123">
        <v>1</v>
      </c>
      <c r="J386" s="123">
        <v>1</v>
      </c>
      <c r="K386" s="123">
        <v>0</v>
      </c>
      <c r="L386" s="123">
        <v>1</v>
      </c>
      <c r="M386" s="123">
        <v>0</v>
      </c>
      <c r="N386" s="123">
        <v>0</v>
      </c>
      <c r="O386" s="123">
        <v>0</v>
      </c>
      <c r="P386" s="123">
        <v>0</v>
      </c>
      <c r="Q386" s="123">
        <v>0</v>
      </c>
      <c r="R386" s="123">
        <v>0</v>
      </c>
      <c r="S386" s="7" t="s">
        <v>13</v>
      </c>
      <c r="T386" s="9"/>
      <c r="U386" s="1"/>
    </row>
    <row r="387" spans="1:21" ht="13.5" thickBot="1" x14ac:dyDescent="0.25">
      <c r="A387" s="123">
        <v>1650</v>
      </c>
      <c r="B387" s="123">
        <v>505</v>
      </c>
      <c r="C387" s="123">
        <v>1145</v>
      </c>
      <c r="D387" s="123">
        <v>225</v>
      </c>
      <c r="E387" s="123">
        <v>64</v>
      </c>
      <c r="F387" s="123">
        <v>161</v>
      </c>
      <c r="G387" s="123">
        <v>652</v>
      </c>
      <c r="H387" s="123">
        <v>141</v>
      </c>
      <c r="I387" s="123">
        <v>511</v>
      </c>
      <c r="J387" s="123">
        <v>760</v>
      </c>
      <c r="K387" s="123">
        <v>296</v>
      </c>
      <c r="L387" s="123">
        <v>464</v>
      </c>
      <c r="M387" s="123">
        <v>13</v>
      </c>
      <c r="N387" s="123">
        <v>4</v>
      </c>
      <c r="O387" s="123">
        <v>9</v>
      </c>
      <c r="P387" s="123">
        <v>0</v>
      </c>
      <c r="Q387" s="123">
        <v>0</v>
      </c>
      <c r="R387" s="123">
        <v>0</v>
      </c>
      <c r="S387" s="7" t="s">
        <v>163</v>
      </c>
      <c r="T387" s="3"/>
      <c r="U387" s="1"/>
    </row>
    <row r="388" spans="1:21" ht="13.5" thickBot="1" x14ac:dyDescent="0.25">
      <c r="A388" s="123">
        <v>42</v>
      </c>
      <c r="B388" s="123">
        <v>7</v>
      </c>
      <c r="C388" s="123">
        <v>35</v>
      </c>
      <c r="D388" s="123">
        <v>0</v>
      </c>
      <c r="E388" s="123">
        <v>0</v>
      </c>
      <c r="F388" s="123">
        <v>0</v>
      </c>
      <c r="G388" s="123">
        <v>0</v>
      </c>
      <c r="H388" s="123">
        <v>0</v>
      </c>
      <c r="I388" s="123">
        <v>0</v>
      </c>
      <c r="J388" s="123">
        <v>37</v>
      </c>
      <c r="K388" s="123">
        <v>5</v>
      </c>
      <c r="L388" s="123">
        <v>32</v>
      </c>
      <c r="M388" s="123">
        <v>5</v>
      </c>
      <c r="N388" s="123">
        <v>2</v>
      </c>
      <c r="O388" s="123">
        <v>3</v>
      </c>
      <c r="P388" s="123">
        <v>0</v>
      </c>
      <c r="Q388" s="123">
        <v>0</v>
      </c>
      <c r="R388" s="123">
        <v>0</v>
      </c>
      <c r="S388" s="7" t="s">
        <v>162</v>
      </c>
      <c r="T388" s="11" t="s">
        <v>211</v>
      </c>
      <c r="U388" s="1"/>
    </row>
    <row r="389" spans="1:21" ht="13.5" thickBot="1" x14ac:dyDescent="0.25">
      <c r="A389" s="123">
        <v>1692</v>
      </c>
      <c r="B389" s="123">
        <v>512</v>
      </c>
      <c r="C389" s="123">
        <v>1180</v>
      </c>
      <c r="D389" s="123">
        <v>225</v>
      </c>
      <c r="E389" s="123">
        <v>64</v>
      </c>
      <c r="F389" s="123">
        <v>161</v>
      </c>
      <c r="G389" s="123">
        <v>652</v>
      </c>
      <c r="H389" s="123">
        <v>141</v>
      </c>
      <c r="I389" s="123">
        <v>511</v>
      </c>
      <c r="J389" s="123">
        <v>797</v>
      </c>
      <c r="K389" s="123">
        <v>301</v>
      </c>
      <c r="L389" s="123">
        <v>496</v>
      </c>
      <c r="M389" s="123">
        <v>18</v>
      </c>
      <c r="N389" s="123">
        <v>6</v>
      </c>
      <c r="O389" s="123">
        <v>12</v>
      </c>
      <c r="P389" s="123">
        <v>0</v>
      </c>
      <c r="Q389" s="123">
        <v>0</v>
      </c>
      <c r="R389" s="123">
        <v>0</v>
      </c>
      <c r="S389" s="7" t="s">
        <v>13</v>
      </c>
      <c r="T389" s="5"/>
      <c r="U389" s="1"/>
    </row>
    <row r="390" spans="1:21" ht="18" customHeight="1" x14ac:dyDescent="0.2">
      <c r="A390" s="207"/>
      <c r="B390" s="207"/>
      <c r="C390" s="207"/>
      <c r="D390" s="207"/>
      <c r="E390" s="207"/>
      <c r="F390" s="207"/>
      <c r="G390" s="207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1"/>
    </row>
    <row r="391" spans="1:21" ht="18" customHeight="1" x14ac:dyDescent="0.2">
      <c r="A391" s="159" t="s">
        <v>665</v>
      </c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"/>
    </row>
    <row r="392" spans="1:21" ht="18" customHeight="1" thickBot="1" x14ac:dyDescent="0.25">
      <c r="A392" s="160" t="s">
        <v>667</v>
      </c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"/>
    </row>
    <row r="393" spans="1:21" ht="13.5" thickBot="1" x14ac:dyDescent="0.25">
      <c r="A393" s="204" t="s">
        <v>5</v>
      </c>
      <c r="B393" s="204"/>
      <c r="C393" s="204"/>
      <c r="D393" s="204" t="s">
        <v>57</v>
      </c>
      <c r="E393" s="204"/>
      <c r="F393" s="204"/>
      <c r="G393" s="204" t="s">
        <v>66</v>
      </c>
      <c r="H393" s="204"/>
      <c r="I393" s="204"/>
      <c r="J393" s="204" t="s">
        <v>65</v>
      </c>
      <c r="K393" s="204"/>
      <c r="L393" s="204"/>
      <c r="M393" s="204" t="s">
        <v>62</v>
      </c>
      <c r="N393" s="204"/>
      <c r="O393" s="204"/>
      <c r="P393" s="204" t="s">
        <v>61</v>
      </c>
      <c r="Q393" s="204"/>
      <c r="R393" s="204"/>
      <c r="S393" s="205" t="s">
        <v>645</v>
      </c>
      <c r="T393" s="47" t="s">
        <v>161</v>
      </c>
      <c r="U393" s="1"/>
    </row>
    <row r="394" spans="1:21" ht="13.5" thickBot="1" x14ac:dyDescent="0.25">
      <c r="A394" s="47" t="s">
        <v>216</v>
      </c>
      <c r="B394" s="47" t="s">
        <v>11</v>
      </c>
      <c r="C394" s="47" t="s">
        <v>10</v>
      </c>
      <c r="D394" s="47" t="s">
        <v>216</v>
      </c>
      <c r="E394" s="47" t="s">
        <v>11</v>
      </c>
      <c r="F394" s="47" t="s">
        <v>10</v>
      </c>
      <c r="G394" s="47" t="s">
        <v>216</v>
      </c>
      <c r="H394" s="47" t="s">
        <v>11</v>
      </c>
      <c r="I394" s="47" t="s">
        <v>10</v>
      </c>
      <c r="J394" s="47" t="s">
        <v>216</v>
      </c>
      <c r="K394" s="47" t="s">
        <v>11</v>
      </c>
      <c r="L394" s="47" t="s">
        <v>10</v>
      </c>
      <c r="M394" s="47" t="s">
        <v>216</v>
      </c>
      <c r="N394" s="47" t="s">
        <v>11</v>
      </c>
      <c r="O394" s="47" t="s">
        <v>10</v>
      </c>
      <c r="P394" s="47" t="s">
        <v>216</v>
      </c>
      <c r="Q394" s="47" t="s">
        <v>11</v>
      </c>
      <c r="R394" s="47" t="s">
        <v>10</v>
      </c>
      <c r="S394" s="206"/>
      <c r="T394" s="5" t="s">
        <v>81</v>
      </c>
      <c r="U394" s="1"/>
    </row>
    <row r="395" spans="1:21" ht="13.5" thickBot="1" x14ac:dyDescent="0.25">
      <c r="A395" s="123">
        <v>25</v>
      </c>
      <c r="B395" s="123">
        <v>0</v>
      </c>
      <c r="C395" s="123">
        <v>25</v>
      </c>
      <c r="D395" s="123">
        <v>24</v>
      </c>
      <c r="E395" s="123">
        <v>0</v>
      </c>
      <c r="F395" s="123">
        <v>24</v>
      </c>
      <c r="G395" s="123">
        <v>0</v>
      </c>
      <c r="H395" s="123">
        <v>0</v>
      </c>
      <c r="I395" s="123">
        <v>0</v>
      </c>
      <c r="J395" s="123">
        <v>1</v>
      </c>
      <c r="K395" s="123">
        <v>0</v>
      </c>
      <c r="L395" s="123">
        <v>1</v>
      </c>
      <c r="M395" s="123">
        <v>0</v>
      </c>
      <c r="N395" s="123">
        <v>0</v>
      </c>
      <c r="O395" s="123">
        <v>0</v>
      </c>
      <c r="P395" s="123">
        <v>0</v>
      </c>
      <c r="Q395" s="123">
        <v>0</v>
      </c>
      <c r="R395" s="123">
        <v>0</v>
      </c>
      <c r="S395" s="7" t="s">
        <v>163</v>
      </c>
      <c r="T395" s="124"/>
      <c r="U395" s="1"/>
    </row>
    <row r="396" spans="1:21" ht="13.5" thickBot="1" x14ac:dyDescent="0.25">
      <c r="A396" s="123">
        <v>0</v>
      </c>
      <c r="B396" s="123">
        <v>0</v>
      </c>
      <c r="C396" s="123">
        <v>0</v>
      </c>
      <c r="D396" s="123">
        <v>0</v>
      </c>
      <c r="E396" s="123">
        <v>0</v>
      </c>
      <c r="F396" s="123">
        <v>0</v>
      </c>
      <c r="G396" s="123">
        <v>0</v>
      </c>
      <c r="H396" s="123">
        <v>0</v>
      </c>
      <c r="I396" s="123">
        <v>0</v>
      </c>
      <c r="J396" s="123">
        <v>0</v>
      </c>
      <c r="K396" s="123">
        <v>0</v>
      </c>
      <c r="L396" s="123">
        <v>0</v>
      </c>
      <c r="M396" s="123">
        <v>0</v>
      </c>
      <c r="N396" s="123">
        <v>0</v>
      </c>
      <c r="O396" s="123">
        <v>0</v>
      </c>
      <c r="P396" s="123">
        <v>0</v>
      </c>
      <c r="Q396" s="123">
        <v>0</v>
      </c>
      <c r="R396" s="123">
        <v>0</v>
      </c>
      <c r="S396" s="7" t="s">
        <v>162</v>
      </c>
      <c r="T396" s="124" t="s">
        <v>417</v>
      </c>
      <c r="U396" s="1"/>
    </row>
    <row r="397" spans="1:21" ht="13.5" thickBot="1" x14ac:dyDescent="0.25">
      <c r="A397" s="123">
        <v>25</v>
      </c>
      <c r="B397" s="123">
        <v>0</v>
      </c>
      <c r="C397" s="123">
        <v>25</v>
      </c>
      <c r="D397" s="123">
        <v>24</v>
      </c>
      <c r="E397" s="123">
        <v>0</v>
      </c>
      <c r="F397" s="123">
        <v>24</v>
      </c>
      <c r="G397" s="123">
        <v>0</v>
      </c>
      <c r="H397" s="123">
        <v>0</v>
      </c>
      <c r="I397" s="123">
        <v>0</v>
      </c>
      <c r="J397" s="123">
        <v>1</v>
      </c>
      <c r="K397" s="123">
        <v>0</v>
      </c>
      <c r="L397" s="123">
        <v>1</v>
      </c>
      <c r="M397" s="123">
        <v>0</v>
      </c>
      <c r="N397" s="123">
        <v>0</v>
      </c>
      <c r="O397" s="123">
        <v>0</v>
      </c>
      <c r="P397" s="123">
        <v>0</v>
      </c>
      <c r="Q397" s="123">
        <v>0</v>
      </c>
      <c r="R397" s="123">
        <v>0</v>
      </c>
      <c r="S397" s="7" t="s">
        <v>13</v>
      </c>
      <c r="T397" s="9"/>
      <c r="U397" s="1"/>
    </row>
    <row r="398" spans="1:21" ht="13.5" thickBot="1" x14ac:dyDescent="0.25">
      <c r="A398" s="123">
        <v>7</v>
      </c>
      <c r="B398" s="123">
        <v>0</v>
      </c>
      <c r="C398" s="123">
        <v>7</v>
      </c>
      <c r="D398" s="123">
        <v>1</v>
      </c>
      <c r="E398" s="123">
        <v>0</v>
      </c>
      <c r="F398" s="123">
        <v>1</v>
      </c>
      <c r="G398" s="123">
        <v>6</v>
      </c>
      <c r="H398" s="123">
        <v>0</v>
      </c>
      <c r="I398" s="123">
        <v>6</v>
      </c>
      <c r="J398" s="123">
        <v>0</v>
      </c>
      <c r="K398" s="123">
        <v>0</v>
      </c>
      <c r="L398" s="123">
        <v>0</v>
      </c>
      <c r="M398" s="123">
        <v>0</v>
      </c>
      <c r="N398" s="123">
        <v>0</v>
      </c>
      <c r="O398" s="123">
        <v>0</v>
      </c>
      <c r="P398" s="123">
        <v>0</v>
      </c>
      <c r="Q398" s="123">
        <v>0</v>
      </c>
      <c r="R398" s="123">
        <v>0</v>
      </c>
      <c r="S398" s="7" t="s">
        <v>163</v>
      </c>
      <c r="T398" s="124"/>
      <c r="U398" s="1"/>
    </row>
    <row r="399" spans="1:21" ht="13.5" thickBot="1" x14ac:dyDescent="0.25">
      <c r="A399" s="123">
        <v>0</v>
      </c>
      <c r="B399" s="123">
        <v>0</v>
      </c>
      <c r="C399" s="123">
        <v>0</v>
      </c>
      <c r="D399" s="123">
        <v>0</v>
      </c>
      <c r="E399" s="123">
        <v>0</v>
      </c>
      <c r="F399" s="123">
        <v>0</v>
      </c>
      <c r="G399" s="123">
        <v>0</v>
      </c>
      <c r="H399" s="123">
        <v>0</v>
      </c>
      <c r="I399" s="123">
        <v>0</v>
      </c>
      <c r="J399" s="123">
        <v>0</v>
      </c>
      <c r="K399" s="123">
        <v>0</v>
      </c>
      <c r="L399" s="123">
        <v>0</v>
      </c>
      <c r="M399" s="123">
        <v>0</v>
      </c>
      <c r="N399" s="123">
        <v>0</v>
      </c>
      <c r="O399" s="123">
        <v>0</v>
      </c>
      <c r="P399" s="123">
        <v>0</v>
      </c>
      <c r="Q399" s="123">
        <v>0</v>
      </c>
      <c r="R399" s="123">
        <v>0</v>
      </c>
      <c r="S399" s="7" t="s">
        <v>162</v>
      </c>
      <c r="T399" s="124" t="s">
        <v>257</v>
      </c>
      <c r="U399" s="1"/>
    </row>
    <row r="400" spans="1:21" ht="13.5" thickBot="1" x14ac:dyDescent="0.25">
      <c r="A400" s="123">
        <v>7</v>
      </c>
      <c r="B400" s="123">
        <v>0</v>
      </c>
      <c r="C400" s="123">
        <v>7</v>
      </c>
      <c r="D400" s="123">
        <v>1</v>
      </c>
      <c r="E400" s="123">
        <v>0</v>
      </c>
      <c r="F400" s="123">
        <v>1</v>
      </c>
      <c r="G400" s="123">
        <v>6</v>
      </c>
      <c r="H400" s="123">
        <v>0</v>
      </c>
      <c r="I400" s="123">
        <v>6</v>
      </c>
      <c r="J400" s="123">
        <v>0</v>
      </c>
      <c r="K400" s="123">
        <v>0</v>
      </c>
      <c r="L400" s="123">
        <v>0</v>
      </c>
      <c r="M400" s="123">
        <v>0</v>
      </c>
      <c r="N400" s="123">
        <v>0</v>
      </c>
      <c r="O400" s="123">
        <v>0</v>
      </c>
      <c r="P400" s="123">
        <v>0</v>
      </c>
      <c r="Q400" s="123">
        <v>0</v>
      </c>
      <c r="R400" s="123">
        <v>0</v>
      </c>
      <c r="S400" s="7" t="s">
        <v>13</v>
      </c>
      <c r="T400" s="9"/>
      <c r="U400" s="1"/>
    </row>
    <row r="401" spans="1:21" ht="13.5" thickBot="1" x14ac:dyDescent="0.25">
      <c r="A401" s="123">
        <v>9</v>
      </c>
      <c r="B401" s="123">
        <v>0</v>
      </c>
      <c r="C401" s="123">
        <v>9</v>
      </c>
      <c r="D401" s="123">
        <v>1</v>
      </c>
      <c r="E401" s="123">
        <v>0</v>
      </c>
      <c r="F401" s="123">
        <v>1</v>
      </c>
      <c r="G401" s="123">
        <v>4</v>
      </c>
      <c r="H401" s="123">
        <v>0</v>
      </c>
      <c r="I401" s="123">
        <v>4</v>
      </c>
      <c r="J401" s="123">
        <v>4</v>
      </c>
      <c r="K401" s="123">
        <v>0</v>
      </c>
      <c r="L401" s="123">
        <v>4</v>
      </c>
      <c r="M401" s="123">
        <v>0</v>
      </c>
      <c r="N401" s="123">
        <v>0</v>
      </c>
      <c r="O401" s="123">
        <v>0</v>
      </c>
      <c r="P401" s="123">
        <v>0</v>
      </c>
      <c r="Q401" s="123">
        <v>0</v>
      </c>
      <c r="R401" s="123">
        <v>0</v>
      </c>
      <c r="S401" s="7" t="s">
        <v>163</v>
      </c>
      <c r="T401" s="124"/>
      <c r="U401" s="1"/>
    </row>
    <row r="402" spans="1:21" ht="13.5" thickBot="1" x14ac:dyDescent="0.25">
      <c r="A402" s="123">
        <v>0</v>
      </c>
      <c r="B402" s="123">
        <v>0</v>
      </c>
      <c r="C402" s="123">
        <v>0</v>
      </c>
      <c r="D402" s="123">
        <v>0</v>
      </c>
      <c r="E402" s="123">
        <v>0</v>
      </c>
      <c r="F402" s="123">
        <v>0</v>
      </c>
      <c r="G402" s="123">
        <v>0</v>
      </c>
      <c r="H402" s="123">
        <v>0</v>
      </c>
      <c r="I402" s="123">
        <v>0</v>
      </c>
      <c r="J402" s="123">
        <v>0</v>
      </c>
      <c r="K402" s="123">
        <v>0</v>
      </c>
      <c r="L402" s="123">
        <v>0</v>
      </c>
      <c r="M402" s="123">
        <v>0</v>
      </c>
      <c r="N402" s="123">
        <v>0</v>
      </c>
      <c r="O402" s="123">
        <v>0</v>
      </c>
      <c r="P402" s="123">
        <v>0</v>
      </c>
      <c r="Q402" s="123">
        <v>0</v>
      </c>
      <c r="R402" s="123">
        <v>0</v>
      </c>
      <c r="S402" s="7" t="s">
        <v>162</v>
      </c>
      <c r="T402" s="124" t="s">
        <v>419</v>
      </c>
      <c r="U402" s="1"/>
    </row>
    <row r="403" spans="1:21" ht="13.5" thickBot="1" x14ac:dyDescent="0.25">
      <c r="A403" s="123">
        <v>9</v>
      </c>
      <c r="B403" s="123">
        <v>0</v>
      </c>
      <c r="C403" s="123">
        <v>9</v>
      </c>
      <c r="D403" s="123">
        <v>1</v>
      </c>
      <c r="E403" s="123">
        <v>0</v>
      </c>
      <c r="F403" s="123">
        <v>1</v>
      </c>
      <c r="G403" s="123">
        <v>4</v>
      </c>
      <c r="H403" s="123">
        <v>0</v>
      </c>
      <c r="I403" s="123">
        <v>4</v>
      </c>
      <c r="J403" s="123">
        <v>4</v>
      </c>
      <c r="K403" s="123">
        <v>0</v>
      </c>
      <c r="L403" s="123">
        <v>4</v>
      </c>
      <c r="M403" s="123">
        <v>0</v>
      </c>
      <c r="N403" s="123">
        <v>0</v>
      </c>
      <c r="O403" s="123">
        <v>0</v>
      </c>
      <c r="P403" s="123">
        <v>0</v>
      </c>
      <c r="Q403" s="123">
        <v>0</v>
      </c>
      <c r="R403" s="123">
        <v>0</v>
      </c>
      <c r="S403" s="7" t="s">
        <v>13</v>
      </c>
      <c r="T403" s="9"/>
      <c r="U403" s="1"/>
    </row>
    <row r="404" spans="1:21" ht="13.5" thickBot="1" x14ac:dyDescent="0.25">
      <c r="A404" s="123">
        <v>9</v>
      </c>
      <c r="B404" s="123">
        <v>0</v>
      </c>
      <c r="C404" s="123">
        <v>9</v>
      </c>
      <c r="D404" s="123">
        <v>5</v>
      </c>
      <c r="E404" s="123">
        <v>0</v>
      </c>
      <c r="F404" s="123">
        <v>5</v>
      </c>
      <c r="G404" s="123">
        <v>4</v>
      </c>
      <c r="H404" s="123">
        <v>0</v>
      </c>
      <c r="I404" s="123">
        <v>4</v>
      </c>
      <c r="J404" s="123">
        <v>0</v>
      </c>
      <c r="K404" s="123">
        <v>0</v>
      </c>
      <c r="L404" s="123">
        <v>0</v>
      </c>
      <c r="M404" s="123">
        <v>0</v>
      </c>
      <c r="N404" s="123">
        <v>0</v>
      </c>
      <c r="O404" s="123">
        <v>0</v>
      </c>
      <c r="P404" s="123">
        <v>0</v>
      </c>
      <c r="Q404" s="123">
        <v>0</v>
      </c>
      <c r="R404" s="123">
        <v>0</v>
      </c>
      <c r="S404" s="7" t="s">
        <v>163</v>
      </c>
      <c r="T404" s="124"/>
      <c r="U404" s="1"/>
    </row>
    <row r="405" spans="1:21" ht="13.5" thickBot="1" x14ac:dyDescent="0.25">
      <c r="A405" s="123">
        <v>0</v>
      </c>
      <c r="B405" s="123">
        <v>0</v>
      </c>
      <c r="C405" s="123">
        <v>0</v>
      </c>
      <c r="D405" s="123">
        <v>0</v>
      </c>
      <c r="E405" s="123">
        <v>0</v>
      </c>
      <c r="F405" s="123">
        <v>0</v>
      </c>
      <c r="G405" s="123">
        <v>0</v>
      </c>
      <c r="H405" s="123">
        <v>0</v>
      </c>
      <c r="I405" s="123">
        <v>0</v>
      </c>
      <c r="J405" s="123">
        <v>0</v>
      </c>
      <c r="K405" s="123">
        <v>0</v>
      </c>
      <c r="L405" s="123">
        <v>0</v>
      </c>
      <c r="M405" s="123">
        <v>0</v>
      </c>
      <c r="N405" s="123">
        <v>0</v>
      </c>
      <c r="O405" s="123">
        <v>0</v>
      </c>
      <c r="P405" s="123">
        <v>0</v>
      </c>
      <c r="Q405" s="123">
        <v>0</v>
      </c>
      <c r="R405" s="123">
        <v>0</v>
      </c>
      <c r="S405" s="7" t="s">
        <v>162</v>
      </c>
      <c r="T405" s="124" t="s">
        <v>244</v>
      </c>
      <c r="U405" s="1"/>
    </row>
    <row r="406" spans="1:21" ht="13.5" thickBot="1" x14ac:dyDescent="0.25">
      <c r="A406" s="123">
        <v>9</v>
      </c>
      <c r="B406" s="123">
        <v>0</v>
      </c>
      <c r="C406" s="123">
        <v>9</v>
      </c>
      <c r="D406" s="123">
        <v>5</v>
      </c>
      <c r="E406" s="123">
        <v>0</v>
      </c>
      <c r="F406" s="123">
        <v>5</v>
      </c>
      <c r="G406" s="123">
        <v>4</v>
      </c>
      <c r="H406" s="123">
        <v>0</v>
      </c>
      <c r="I406" s="123">
        <v>4</v>
      </c>
      <c r="J406" s="123">
        <v>0</v>
      </c>
      <c r="K406" s="123">
        <v>0</v>
      </c>
      <c r="L406" s="123">
        <v>0</v>
      </c>
      <c r="M406" s="123">
        <v>0</v>
      </c>
      <c r="N406" s="123">
        <v>0</v>
      </c>
      <c r="O406" s="123">
        <v>0</v>
      </c>
      <c r="P406" s="123">
        <v>0</v>
      </c>
      <c r="Q406" s="123">
        <v>0</v>
      </c>
      <c r="R406" s="123">
        <v>0</v>
      </c>
      <c r="S406" s="7" t="s">
        <v>13</v>
      </c>
      <c r="T406" s="9"/>
      <c r="U406" s="1"/>
    </row>
    <row r="407" spans="1:21" ht="13.5" thickBot="1" x14ac:dyDescent="0.25">
      <c r="A407" s="123">
        <v>12</v>
      </c>
      <c r="B407" s="123">
        <v>0</v>
      </c>
      <c r="C407" s="123">
        <v>12</v>
      </c>
      <c r="D407" s="123">
        <v>9</v>
      </c>
      <c r="E407" s="123">
        <v>0</v>
      </c>
      <c r="F407" s="123">
        <v>9</v>
      </c>
      <c r="G407" s="123">
        <v>1</v>
      </c>
      <c r="H407" s="123">
        <v>0</v>
      </c>
      <c r="I407" s="123">
        <v>1</v>
      </c>
      <c r="J407" s="123">
        <v>0</v>
      </c>
      <c r="K407" s="123">
        <v>0</v>
      </c>
      <c r="L407" s="123">
        <v>0</v>
      </c>
      <c r="M407" s="123">
        <v>0</v>
      </c>
      <c r="N407" s="123">
        <v>0</v>
      </c>
      <c r="O407" s="123">
        <v>0</v>
      </c>
      <c r="P407" s="123">
        <v>2</v>
      </c>
      <c r="Q407" s="123">
        <v>0</v>
      </c>
      <c r="R407" s="123">
        <v>2</v>
      </c>
      <c r="S407" s="7" t="s">
        <v>163</v>
      </c>
      <c r="T407" s="124"/>
      <c r="U407" s="1"/>
    </row>
    <row r="408" spans="1:21" ht="13.5" thickBot="1" x14ac:dyDescent="0.25">
      <c r="A408" s="123">
        <v>1</v>
      </c>
      <c r="B408" s="123">
        <v>0</v>
      </c>
      <c r="C408" s="123">
        <v>1</v>
      </c>
      <c r="D408" s="123">
        <v>0</v>
      </c>
      <c r="E408" s="123">
        <v>0</v>
      </c>
      <c r="F408" s="123">
        <v>0</v>
      </c>
      <c r="G408" s="123">
        <v>1</v>
      </c>
      <c r="H408" s="123">
        <v>0</v>
      </c>
      <c r="I408" s="123">
        <v>1</v>
      </c>
      <c r="J408" s="123">
        <v>0</v>
      </c>
      <c r="K408" s="123">
        <v>0</v>
      </c>
      <c r="L408" s="123">
        <v>0</v>
      </c>
      <c r="M408" s="123">
        <v>0</v>
      </c>
      <c r="N408" s="123">
        <v>0</v>
      </c>
      <c r="O408" s="123">
        <v>0</v>
      </c>
      <c r="P408" s="123">
        <v>0</v>
      </c>
      <c r="Q408" s="123">
        <v>0</v>
      </c>
      <c r="R408" s="123">
        <v>0</v>
      </c>
      <c r="S408" s="7" t="s">
        <v>162</v>
      </c>
      <c r="T408" s="124" t="s">
        <v>337</v>
      </c>
      <c r="U408" s="1"/>
    </row>
    <row r="409" spans="1:21" ht="13.5" thickBot="1" x14ac:dyDescent="0.25">
      <c r="A409" s="123">
        <v>13</v>
      </c>
      <c r="B409" s="123">
        <v>0</v>
      </c>
      <c r="C409" s="123">
        <v>13</v>
      </c>
      <c r="D409" s="123">
        <v>9</v>
      </c>
      <c r="E409" s="123">
        <v>0</v>
      </c>
      <c r="F409" s="123">
        <v>9</v>
      </c>
      <c r="G409" s="123">
        <v>2</v>
      </c>
      <c r="H409" s="123">
        <v>0</v>
      </c>
      <c r="I409" s="123">
        <v>2</v>
      </c>
      <c r="J409" s="123">
        <v>0</v>
      </c>
      <c r="K409" s="123">
        <v>0</v>
      </c>
      <c r="L409" s="123">
        <v>0</v>
      </c>
      <c r="M409" s="123">
        <v>0</v>
      </c>
      <c r="N409" s="123">
        <v>0</v>
      </c>
      <c r="O409" s="123">
        <v>0</v>
      </c>
      <c r="P409" s="123">
        <v>2</v>
      </c>
      <c r="Q409" s="123">
        <v>0</v>
      </c>
      <c r="R409" s="123">
        <v>2</v>
      </c>
      <c r="S409" s="7" t="s">
        <v>13</v>
      </c>
      <c r="T409" s="9"/>
      <c r="U409" s="1"/>
    </row>
    <row r="410" spans="1:21" ht="13.5" thickBot="1" x14ac:dyDescent="0.25">
      <c r="A410" s="123">
        <v>1</v>
      </c>
      <c r="B410" s="123">
        <v>0</v>
      </c>
      <c r="C410" s="123">
        <v>1</v>
      </c>
      <c r="D410" s="123">
        <v>0</v>
      </c>
      <c r="E410" s="123">
        <v>0</v>
      </c>
      <c r="F410" s="123">
        <v>0</v>
      </c>
      <c r="G410" s="123">
        <v>1</v>
      </c>
      <c r="H410" s="123">
        <v>0</v>
      </c>
      <c r="I410" s="123">
        <v>1</v>
      </c>
      <c r="J410" s="123">
        <v>0</v>
      </c>
      <c r="K410" s="123">
        <v>0</v>
      </c>
      <c r="L410" s="123">
        <v>0</v>
      </c>
      <c r="M410" s="123">
        <v>0</v>
      </c>
      <c r="N410" s="123">
        <v>0</v>
      </c>
      <c r="O410" s="123">
        <v>0</v>
      </c>
      <c r="P410" s="123">
        <v>0</v>
      </c>
      <c r="Q410" s="123">
        <v>0</v>
      </c>
      <c r="R410" s="123">
        <v>0</v>
      </c>
      <c r="S410" s="7" t="s">
        <v>163</v>
      </c>
      <c r="T410" s="124"/>
      <c r="U410" s="1"/>
    </row>
    <row r="411" spans="1:21" ht="13.5" thickBot="1" x14ac:dyDescent="0.25">
      <c r="A411" s="123">
        <v>4</v>
      </c>
      <c r="B411" s="123">
        <v>0</v>
      </c>
      <c r="C411" s="123">
        <v>4</v>
      </c>
      <c r="D411" s="123">
        <v>0</v>
      </c>
      <c r="E411" s="123">
        <v>0</v>
      </c>
      <c r="F411" s="123">
        <v>0</v>
      </c>
      <c r="G411" s="123">
        <v>1</v>
      </c>
      <c r="H411" s="123">
        <v>0</v>
      </c>
      <c r="I411" s="123">
        <v>1</v>
      </c>
      <c r="J411" s="123">
        <v>3</v>
      </c>
      <c r="K411" s="123">
        <v>0</v>
      </c>
      <c r="L411" s="123">
        <v>3</v>
      </c>
      <c r="M411" s="123">
        <v>0</v>
      </c>
      <c r="N411" s="123">
        <v>0</v>
      </c>
      <c r="O411" s="123">
        <v>0</v>
      </c>
      <c r="P411" s="123">
        <v>0</v>
      </c>
      <c r="Q411" s="123">
        <v>0</v>
      </c>
      <c r="R411" s="123">
        <v>0</v>
      </c>
      <c r="S411" s="7" t="s">
        <v>162</v>
      </c>
      <c r="T411" s="124" t="s">
        <v>264</v>
      </c>
      <c r="U411" s="1"/>
    </row>
    <row r="412" spans="1:21" ht="13.5" thickBot="1" x14ac:dyDescent="0.25">
      <c r="A412" s="123">
        <v>5</v>
      </c>
      <c r="B412" s="123">
        <v>0</v>
      </c>
      <c r="C412" s="123">
        <v>5</v>
      </c>
      <c r="D412" s="123">
        <v>0</v>
      </c>
      <c r="E412" s="123">
        <v>0</v>
      </c>
      <c r="F412" s="123">
        <v>0</v>
      </c>
      <c r="G412" s="123">
        <v>2</v>
      </c>
      <c r="H412" s="123">
        <v>0</v>
      </c>
      <c r="I412" s="123">
        <v>2</v>
      </c>
      <c r="J412" s="123">
        <v>3</v>
      </c>
      <c r="K412" s="123">
        <v>0</v>
      </c>
      <c r="L412" s="123">
        <v>3</v>
      </c>
      <c r="M412" s="123">
        <v>0</v>
      </c>
      <c r="N412" s="123">
        <v>0</v>
      </c>
      <c r="O412" s="123">
        <v>0</v>
      </c>
      <c r="P412" s="123">
        <v>0</v>
      </c>
      <c r="Q412" s="123">
        <v>0</v>
      </c>
      <c r="R412" s="123">
        <v>0</v>
      </c>
      <c r="S412" s="7" t="s">
        <v>13</v>
      </c>
      <c r="T412" s="9"/>
      <c r="U412" s="1"/>
    </row>
    <row r="413" spans="1:21" ht="13.5" thickBot="1" x14ac:dyDescent="0.25">
      <c r="A413" s="123">
        <v>10</v>
      </c>
      <c r="B413" s="123">
        <v>0</v>
      </c>
      <c r="C413" s="123">
        <v>10</v>
      </c>
      <c r="D413" s="123">
        <v>7</v>
      </c>
      <c r="E413" s="123">
        <v>0</v>
      </c>
      <c r="F413" s="123">
        <v>7</v>
      </c>
      <c r="G413" s="123">
        <v>0</v>
      </c>
      <c r="H413" s="123">
        <v>0</v>
      </c>
      <c r="I413" s="123">
        <v>0</v>
      </c>
      <c r="J413" s="123">
        <v>2</v>
      </c>
      <c r="K413" s="123">
        <v>0</v>
      </c>
      <c r="L413" s="123">
        <v>2</v>
      </c>
      <c r="M413" s="123">
        <v>0</v>
      </c>
      <c r="N413" s="123">
        <v>0</v>
      </c>
      <c r="O413" s="123">
        <v>0</v>
      </c>
      <c r="P413" s="123">
        <v>1</v>
      </c>
      <c r="Q413" s="123">
        <v>0</v>
      </c>
      <c r="R413" s="123">
        <v>1</v>
      </c>
      <c r="S413" s="7" t="s">
        <v>163</v>
      </c>
      <c r="T413" s="124"/>
      <c r="U413" s="1"/>
    </row>
    <row r="414" spans="1:21" ht="13.5" thickBot="1" x14ac:dyDescent="0.25">
      <c r="A414" s="123">
        <v>0</v>
      </c>
      <c r="B414" s="123">
        <v>0</v>
      </c>
      <c r="C414" s="123">
        <v>0</v>
      </c>
      <c r="D414" s="123">
        <v>0</v>
      </c>
      <c r="E414" s="123">
        <v>0</v>
      </c>
      <c r="F414" s="123">
        <v>0</v>
      </c>
      <c r="G414" s="123">
        <v>0</v>
      </c>
      <c r="H414" s="123">
        <v>0</v>
      </c>
      <c r="I414" s="123">
        <v>0</v>
      </c>
      <c r="J414" s="123">
        <v>0</v>
      </c>
      <c r="K414" s="123">
        <v>0</v>
      </c>
      <c r="L414" s="123">
        <v>0</v>
      </c>
      <c r="M414" s="123">
        <v>0</v>
      </c>
      <c r="N414" s="123">
        <v>0</v>
      </c>
      <c r="O414" s="123">
        <v>0</v>
      </c>
      <c r="P414" s="123">
        <v>0</v>
      </c>
      <c r="Q414" s="123">
        <v>0</v>
      </c>
      <c r="R414" s="123">
        <v>0</v>
      </c>
      <c r="S414" s="7" t="s">
        <v>162</v>
      </c>
      <c r="T414" s="124" t="s">
        <v>377</v>
      </c>
      <c r="U414" s="1"/>
    </row>
    <row r="415" spans="1:21" ht="13.5" thickBot="1" x14ac:dyDescent="0.25">
      <c r="A415" s="123">
        <v>10</v>
      </c>
      <c r="B415" s="123">
        <v>0</v>
      </c>
      <c r="C415" s="123">
        <v>10</v>
      </c>
      <c r="D415" s="123">
        <v>7</v>
      </c>
      <c r="E415" s="123">
        <v>0</v>
      </c>
      <c r="F415" s="123">
        <v>7</v>
      </c>
      <c r="G415" s="123">
        <v>0</v>
      </c>
      <c r="H415" s="123">
        <v>0</v>
      </c>
      <c r="I415" s="123">
        <v>0</v>
      </c>
      <c r="J415" s="123">
        <v>2</v>
      </c>
      <c r="K415" s="123">
        <v>0</v>
      </c>
      <c r="L415" s="123">
        <v>2</v>
      </c>
      <c r="M415" s="123">
        <v>0</v>
      </c>
      <c r="N415" s="123">
        <v>0</v>
      </c>
      <c r="O415" s="123">
        <v>0</v>
      </c>
      <c r="P415" s="123">
        <v>1</v>
      </c>
      <c r="Q415" s="123">
        <v>0</v>
      </c>
      <c r="R415" s="123">
        <v>1</v>
      </c>
      <c r="S415" s="7" t="s">
        <v>13</v>
      </c>
      <c r="T415" s="9"/>
      <c r="U415" s="1"/>
    </row>
    <row r="416" spans="1:21" ht="13.5" thickBot="1" x14ac:dyDescent="0.25">
      <c r="A416" s="123">
        <v>7</v>
      </c>
      <c r="B416" s="123">
        <v>7</v>
      </c>
      <c r="C416" s="123">
        <v>0</v>
      </c>
      <c r="D416" s="123">
        <v>0</v>
      </c>
      <c r="E416" s="123">
        <v>0</v>
      </c>
      <c r="F416" s="123">
        <v>0</v>
      </c>
      <c r="G416" s="123">
        <v>0</v>
      </c>
      <c r="H416" s="123">
        <v>0</v>
      </c>
      <c r="I416" s="123">
        <v>0</v>
      </c>
      <c r="J416" s="123">
        <v>7</v>
      </c>
      <c r="K416" s="123">
        <v>7</v>
      </c>
      <c r="L416" s="123">
        <v>0</v>
      </c>
      <c r="M416" s="123">
        <v>0</v>
      </c>
      <c r="N416" s="123">
        <v>0</v>
      </c>
      <c r="O416" s="123">
        <v>0</v>
      </c>
      <c r="P416" s="123">
        <v>0</v>
      </c>
      <c r="Q416" s="123">
        <v>0</v>
      </c>
      <c r="R416" s="123">
        <v>0</v>
      </c>
      <c r="S416" s="7" t="s">
        <v>163</v>
      </c>
      <c r="T416" s="124"/>
      <c r="U416" s="1"/>
    </row>
    <row r="417" spans="1:21" ht="13.5" thickBot="1" x14ac:dyDescent="0.25">
      <c r="A417" s="123">
        <v>22</v>
      </c>
      <c r="B417" s="123">
        <v>22</v>
      </c>
      <c r="C417" s="123">
        <v>0</v>
      </c>
      <c r="D417" s="123">
        <v>0</v>
      </c>
      <c r="E417" s="123">
        <v>0</v>
      </c>
      <c r="F417" s="123">
        <v>0</v>
      </c>
      <c r="G417" s="123">
        <v>0</v>
      </c>
      <c r="H417" s="123">
        <v>0</v>
      </c>
      <c r="I417" s="123">
        <v>0</v>
      </c>
      <c r="J417" s="123">
        <v>1</v>
      </c>
      <c r="K417" s="123">
        <v>1</v>
      </c>
      <c r="L417" s="123">
        <v>0</v>
      </c>
      <c r="M417" s="123">
        <v>15</v>
      </c>
      <c r="N417" s="123">
        <v>15</v>
      </c>
      <c r="O417" s="123">
        <v>0</v>
      </c>
      <c r="P417" s="123">
        <v>6</v>
      </c>
      <c r="Q417" s="123">
        <v>6</v>
      </c>
      <c r="R417" s="123">
        <v>0</v>
      </c>
      <c r="S417" s="7" t="s">
        <v>162</v>
      </c>
      <c r="T417" s="124" t="s">
        <v>354</v>
      </c>
      <c r="U417" s="1"/>
    </row>
    <row r="418" spans="1:21" ht="13.5" thickBot="1" x14ac:dyDescent="0.25">
      <c r="A418" s="123">
        <v>29</v>
      </c>
      <c r="B418" s="123">
        <v>29</v>
      </c>
      <c r="C418" s="123">
        <v>0</v>
      </c>
      <c r="D418" s="123">
        <v>0</v>
      </c>
      <c r="E418" s="123">
        <v>0</v>
      </c>
      <c r="F418" s="123">
        <v>0</v>
      </c>
      <c r="G418" s="123">
        <v>0</v>
      </c>
      <c r="H418" s="123">
        <v>0</v>
      </c>
      <c r="I418" s="123">
        <v>0</v>
      </c>
      <c r="J418" s="123">
        <v>8</v>
      </c>
      <c r="K418" s="123">
        <v>8</v>
      </c>
      <c r="L418" s="123">
        <v>0</v>
      </c>
      <c r="M418" s="123">
        <v>15</v>
      </c>
      <c r="N418" s="123">
        <v>15</v>
      </c>
      <c r="O418" s="123">
        <v>0</v>
      </c>
      <c r="P418" s="123">
        <v>6</v>
      </c>
      <c r="Q418" s="123">
        <v>6</v>
      </c>
      <c r="R418" s="123">
        <v>0</v>
      </c>
      <c r="S418" s="7" t="s">
        <v>13</v>
      </c>
      <c r="T418" s="9"/>
      <c r="U418" s="1"/>
    </row>
    <row r="419" spans="1:21" ht="13.5" thickBot="1" x14ac:dyDescent="0.25">
      <c r="A419" s="123">
        <v>5</v>
      </c>
      <c r="B419" s="123">
        <v>0</v>
      </c>
      <c r="C419" s="123">
        <v>5</v>
      </c>
      <c r="D419" s="123">
        <v>5</v>
      </c>
      <c r="E419" s="123">
        <v>0</v>
      </c>
      <c r="F419" s="123">
        <v>5</v>
      </c>
      <c r="G419" s="123">
        <v>0</v>
      </c>
      <c r="H419" s="123">
        <v>0</v>
      </c>
      <c r="I419" s="123">
        <v>0</v>
      </c>
      <c r="J419" s="123">
        <v>0</v>
      </c>
      <c r="K419" s="123">
        <v>0</v>
      </c>
      <c r="L419" s="123">
        <v>0</v>
      </c>
      <c r="M419" s="123">
        <v>0</v>
      </c>
      <c r="N419" s="123">
        <v>0</v>
      </c>
      <c r="O419" s="123">
        <v>0</v>
      </c>
      <c r="P419" s="123">
        <v>0</v>
      </c>
      <c r="Q419" s="123">
        <v>0</v>
      </c>
      <c r="R419" s="123">
        <v>0</v>
      </c>
      <c r="S419" s="7" t="s">
        <v>163</v>
      </c>
      <c r="T419" s="124"/>
      <c r="U419" s="1"/>
    </row>
    <row r="420" spans="1:21" ht="13.5" thickBot="1" x14ac:dyDescent="0.25">
      <c r="A420" s="123">
        <v>2</v>
      </c>
      <c r="B420" s="123">
        <v>0</v>
      </c>
      <c r="C420" s="123">
        <v>2</v>
      </c>
      <c r="D420" s="123">
        <v>0</v>
      </c>
      <c r="E420" s="123">
        <v>0</v>
      </c>
      <c r="F420" s="123">
        <v>0</v>
      </c>
      <c r="G420" s="123">
        <v>0</v>
      </c>
      <c r="H420" s="123">
        <v>0</v>
      </c>
      <c r="I420" s="123">
        <v>0</v>
      </c>
      <c r="J420" s="123">
        <v>2</v>
      </c>
      <c r="K420" s="123">
        <v>0</v>
      </c>
      <c r="L420" s="123">
        <v>2</v>
      </c>
      <c r="M420" s="123">
        <v>0</v>
      </c>
      <c r="N420" s="123">
        <v>0</v>
      </c>
      <c r="O420" s="123">
        <v>0</v>
      </c>
      <c r="P420" s="123">
        <v>0</v>
      </c>
      <c r="Q420" s="123">
        <v>0</v>
      </c>
      <c r="R420" s="123">
        <v>0</v>
      </c>
      <c r="S420" s="7" t="s">
        <v>162</v>
      </c>
      <c r="T420" s="124" t="s">
        <v>102</v>
      </c>
      <c r="U420" s="1"/>
    </row>
    <row r="421" spans="1:21" ht="13.5" thickBot="1" x14ac:dyDescent="0.25">
      <c r="A421" s="123">
        <v>7</v>
      </c>
      <c r="B421" s="123">
        <v>0</v>
      </c>
      <c r="C421" s="123">
        <v>7</v>
      </c>
      <c r="D421" s="123">
        <v>5</v>
      </c>
      <c r="E421" s="123">
        <v>0</v>
      </c>
      <c r="F421" s="123">
        <v>5</v>
      </c>
      <c r="G421" s="123">
        <v>0</v>
      </c>
      <c r="H421" s="123">
        <v>0</v>
      </c>
      <c r="I421" s="123">
        <v>0</v>
      </c>
      <c r="J421" s="123">
        <v>2</v>
      </c>
      <c r="K421" s="123">
        <v>0</v>
      </c>
      <c r="L421" s="123">
        <v>2</v>
      </c>
      <c r="M421" s="123">
        <v>0</v>
      </c>
      <c r="N421" s="123">
        <v>0</v>
      </c>
      <c r="O421" s="123">
        <v>0</v>
      </c>
      <c r="P421" s="123">
        <v>0</v>
      </c>
      <c r="Q421" s="123">
        <v>0</v>
      </c>
      <c r="R421" s="123">
        <v>0</v>
      </c>
      <c r="S421" s="7" t="s">
        <v>13</v>
      </c>
      <c r="T421" s="9"/>
      <c r="U421" s="1"/>
    </row>
    <row r="422" spans="1:21" ht="13.5" thickBot="1" x14ac:dyDescent="0.25">
      <c r="A422" s="123">
        <v>0</v>
      </c>
      <c r="B422" s="123">
        <v>0</v>
      </c>
      <c r="C422" s="123">
        <v>0</v>
      </c>
      <c r="D422" s="123">
        <v>0</v>
      </c>
      <c r="E422" s="123">
        <v>0</v>
      </c>
      <c r="F422" s="123">
        <v>0</v>
      </c>
      <c r="G422" s="123">
        <v>0</v>
      </c>
      <c r="H422" s="123">
        <v>0</v>
      </c>
      <c r="I422" s="123">
        <v>0</v>
      </c>
      <c r="J422" s="123">
        <v>0</v>
      </c>
      <c r="K422" s="123">
        <v>0</v>
      </c>
      <c r="L422" s="123">
        <v>0</v>
      </c>
      <c r="M422" s="123">
        <v>0</v>
      </c>
      <c r="N422" s="123">
        <v>0</v>
      </c>
      <c r="O422" s="123">
        <v>0</v>
      </c>
      <c r="P422" s="123">
        <v>0</v>
      </c>
      <c r="Q422" s="123">
        <v>0</v>
      </c>
      <c r="R422" s="123">
        <v>0</v>
      </c>
      <c r="S422" s="7" t="s">
        <v>163</v>
      </c>
      <c r="T422" s="124"/>
      <c r="U422" s="1"/>
    </row>
    <row r="423" spans="1:21" ht="13.5" thickBot="1" x14ac:dyDescent="0.25">
      <c r="A423" s="123">
        <v>1</v>
      </c>
      <c r="B423" s="123">
        <v>1</v>
      </c>
      <c r="C423" s="123">
        <v>0</v>
      </c>
      <c r="D423" s="123">
        <v>0</v>
      </c>
      <c r="E423" s="123">
        <v>0</v>
      </c>
      <c r="F423" s="123">
        <v>0</v>
      </c>
      <c r="G423" s="123">
        <v>0</v>
      </c>
      <c r="H423" s="123">
        <v>0</v>
      </c>
      <c r="I423" s="123">
        <v>0</v>
      </c>
      <c r="J423" s="123">
        <v>0</v>
      </c>
      <c r="K423" s="123">
        <v>0</v>
      </c>
      <c r="L423" s="123">
        <v>0</v>
      </c>
      <c r="M423" s="123">
        <v>1</v>
      </c>
      <c r="N423" s="123">
        <v>1</v>
      </c>
      <c r="O423" s="123">
        <v>0</v>
      </c>
      <c r="P423" s="123">
        <v>0</v>
      </c>
      <c r="Q423" s="123">
        <v>0</v>
      </c>
      <c r="R423" s="123">
        <v>0</v>
      </c>
      <c r="S423" s="7" t="s">
        <v>162</v>
      </c>
      <c r="T423" s="124" t="s">
        <v>263</v>
      </c>
      <c r="U423" s="1"/>
    </row>
    <row r="424" spans="1:21" ht="13.5" thickBot="1" x14ac:dyDescent="0.25">
      <c r="A424" s="123">
        <v>1</v>
      </c>
      <c r="B424" s="123">
        <v>1</v>
      </c>
      <c r="C424" s="123">
        <v>0</v>
      </c>
      <c r="D424" s="123">
        <v>0</v>
      </c>
      <c r="E424" s="123">
        <v>0</v>
      </c>
      <c r="F424" s="123">
        <v>0</v>
      </c>
      <c r="G424" s="123">
        <v>0</v>
      </c>
      <c r="H424" s="123">
        <v>0</v>
      </c>
      <c r="I424" s="123">
        <v>0</v>
      </c>
      <c r="J424" s="123">
        <v>0</v>
      </c>
      <c r="K424" s="123">
        <v>0</v>
      </c>
      <c r="L424" s="123">
        <v>0</v>
      </c>
      <c r="M424" s="123">
        <v>1</v>
      </c>
      <c r="N424" s="123">
        <v>1</v>
      </c>
      <c r="O424" s="123">
        <v>0</v>
      </c>
      <c r="P424" s="123">
        <v>0</v>
      </c>
      <c r="Q424" s="123">
        <v>0</v>
      </c>
      <c r="R424" s="123">
        <v>0</v>
      </c>
      <c r="S424" s="7" t="s">
        <v>13</v>
      </c>
      <c r="T424" s="9"/>
      <c r="U424" s="1"/>
    </row>
    <row r="425" spans="1:21" ht="13.5" thickBot="1" x14ac:dyDescent="0.25">
      <c r="A425" s="123">
        <v>5</v>
      </c>
      <c r="B425" s="123">
        <v>0</v>
      </c>
      <c r="C425" s="123">
        <v>5</v>
      </c>
      <c r="D425" s="123">
        <v>4</v>
      </c>
      <c r="E425" s="123">
        <v>0</v>
      </c>
      <c r="F425" s="123">
        <v>4</v>
      </c>
      <c r="G425" s="123">
        <v>0</v>
      </c>
      <c r="H425" s="123">
        <v>0</v>
      </c>
      <c r="I425" s="123">
        <v>0</v>
      </c>
      <c r="J425" s="123">
        <v>1</v>
      </c>
      <c r="K425" s="123">
        <v>0</v>
      </c>
      <c r="L425" s="123">
        <v>1</v>
      </c>
      <c r="M425" s="123">
        <v>0</v>
      </c>
      <c r="N425" s="123">
        <v>0</v>
      </c>
      <c r="O425" s="123">
        <v>0</v>
      </c>
      <c r="P425" s="123">
        <v>0</v>
      </c>
      <c r="Q425" s="123">
        <v>0</v>
      </c>
      <c r="R425" s="123">
        <v>0</v>
      </c>
      <c r="S425" s="7" t="s">
        <v>163</v>
      </c>
      <c r="T425" s="124"/>
      <c r="U425" s="1"/>
    </row>
    <row r="426" spans="1:21" ht="13.5" thickBot="1" x14ac:dyDescent="0.25">
      <c r="A426" s="123">
        <v>0</v>
      </c>
      <c r="B426" s="123">
        <v>0</v>
      </c>
      <c r="C426" s="123">
        <v>0</v>
      </c>
      <c r="D426" s="123">
        <v>0</v>
      </c>
      <c r="E426" s="123">
        <v>0</v>
      </c>
      <c r="F426" s="123">
        <v>0</v>
      </c>
      <c r="G426" s="123">
        <v>0</v>
      </c>
      <c r="H426" s="123">
        <v>0</v>
      </c>
      <c r="I426" s="123">
        <v>0</v>
      </c>
      <c r="J426" s="123">
        <v>0</v>
      </c>
      <c r="K426" s="123">
        <v>0</v>
      </c>
      <c r="L426" s="123">
        <v>0</v>
      </c>
      <c r="M426" s="123">
        <v>0</v>
      </c>
      <c r="N426" s="123">
        <v>0</v>
      </c>
      <c r="O426" s="123">
        <v>0</v>
      </c>
      <c r="P426" s="123">
        <v>0</v>
      </c>
      <c r="Q426" s="123">
        <v>0</v>
      </c>
      <c r="R426" s="123">
        <v>0</v>
      </c>
      <c r="S426" s="7" t="s">
        <v>162</v>
      </c>
      <c r="T426" s="124" t="s">
        <v>103</v>
      </c>
      <c r="U426" s="1"/>
    </row>
    <row r="427" spans="1:21" ht="13.5" thickBot="1" x14ac:dyDescent="0.25">
      <c r="A427" s="123">
        <v>5</v>
      </c>
      <c r="B427" s="123">
        <v>0</v>
      </c>
      <c r="C427" s="123">
        <v>5</v>
      </c>
      <c r="D427" s="123">
        <v>4</v>
      </c>
      <c r="E427" s="123">
        <v>0</v>
      </c>
      <c r="F427" s="123">
        <v>4</v>
      </c>
      <c r="G427" s="123">
        <v>0</v>
      </c>
      <c r="H427" s="123">
        <v>0</v>
      </c>
      <c r="I427" s="123">
        <v>0</v>
      </c>
      <c r="J427" s="123">
        <v>1</v>
      </c>
      <c r="K427" s="123">
        <v>0</v>
      </c>
      <c r="L427" s="123">
        <v>1</v>
      </c>
      <c r="M427" s="123">
        <v>0</v>
      </c>
      <c r="N427" s="123">
        <v>0</v>
      </c>
      <c r="O427" s="123">
        <v>0</v>
      </c>
      <c r="P427" s="123">
        <v>0</v>
      </c>
      <c r="Q427" s="123">
        <v>0</v>
      </c>
      <c r="R427" s="123">
        <v>0</v>
      </c>
      <c r="S427" s="7" t="s">
        <v>13</v>
      </c>
      <c r="T427" s="9"/>
      <c r="U427" s="1"/>
    </row>
    <row r="428" spans="1:21" ht="13.5" thickBot="1" x14ac:dyDescent="0.25">
      <c r="A428" s="123">
        <v>9</v>
      </c>
      <c r="B428" s="123">
        <v>0</v>
      </c>
      <c r="C428" s="123">
        <v>9</v>
      </c>
      <c r="D428" s="123">
        <v>0</v>
      </c>
      <c r="E428" s="123">
        <v>0</v>
      </c>
      <c r="F428" s="123">
        <v>0</v>
      </c>
      <c r="G428" s="123">
        <v>0</v>
      </c>
      <c r="H428" s="123">
        <v>0</v>
      </c>
      <c r="I428" s="123">
        <v>0</v>
      </c>
      <c r="J428" s="123">
        <v>5</v>
      </c>
      <c r="K428" s="123">
        <v>0</v>
      </c>
      <c r="L428" s="123">
        <v>5</v>
      </c>
      <c r="M428" s="123">
        <v>3</v>
      </c>
      <c r="N428" s="123">
        <v>0</v>
      </c>
      <c r="O428" s="123">
        <v>3</v>
      </c>
      <c r="P428" s="123">
        <v>1</v>
      </c>
      <c r="Q428" s="123">
        <v>0</v>
      </c>
      <c r="R428" s="123">
        <v>1</v>
      </c>
      <c r="S428" s="7" t="s">
        <v>163</v>
      </c>
      <c r="T428" s="124"/>
      <c r="U428" s="1"/>
    </row>
    <row r="429" spans="1:21" ht="13.5" thickBot="1" x14ac:dyDescent="0.25">
      <c r="A429" s="123">
        <v>15</v>
      </c>
      <c r="B429" s="123">
        <v>0</v>
      </c>
      <c r="C429" s="123">
        <v>15</v>
      </c>
      <c r="D429" s="123">
        <v>0</v>
      </c>
      <c r="E429" s="123">
        <v>0</v>
      </c>
      <c r="F429" s="123">
        <v>0</v>
      </c>
      <c r="G429" s="123">
        <v>0</v>
      </c>
      <c r="H429" s="123">
        <v>0</v>
      </c>
      <c r="I429" s="123">
        <v>0</v>
      </c>
      <c r="J429" s="123">
        <v>3</v>
      </c>
      <c r="K429" s="123">
        <v>0</v>
      </c>
      <c r="L429" s="123">
        <v>3</v>
      </c>
      <c r="M429" s="123">
        <v>7</v>
      </c>
      <c r="N429" s="123">
        <v>0</v>
      </c>
      <c r="O429" s="123">
        <v>7</v>
      </c>
      <c r="P429" s="123">
        <v>5</v>
      </c>
      <c r="Q429" s="123">
        <v>0</v>
      </c>
      <c r="R429" s="123">
        <v>5</v>
      </c>
      <c r="S429" s="7" t="s">
        <v>162</v>
      </c>
      <c r="T429" s="124" t="s">
        <v>259</v>
      </c>
      <c r="U429" s="1"/>
    </row>
    <row r="430" spans="1:21" ht="13.5" thickBot="1" x14ac:dyDescent="0.25">
      <c r="A430" s="123">
        <v>24</v>
      </c>
      <c r="B430" s="123">
        <v>0</v>
      </c>
      <c r="C430" s="123">
        <v>24</v>
      </c>
      <c r="D430" s="123">
        <v>0</v>
      </c>
      <c r="E430" s="123">
        <v>0</v>
      </c>
      <c r="F430" s="123">
        <v>0</v>
      </c>
      <c r="G430" s="123">
        <v>0</v>
      </c>
      <c r="H430" s="123">
        <v>0</v>
      </c>
      <c r="I430" s="123">
        <v>0</v>
      </c>
      <c r="J430" s="123">
        <v>8</v>
      </c>
      <c r="K430" s="123">
        <v>0</v>
      </c>
      <c r="L430" s="123">
        <v>8</v>
      </c>
      <c r="M430" s="123">
        <v>10</v>
      </c>
      <c r="N430" s="123">
        <v>0</v>
      </c>
      <c r="O430" s="123">
        <v>10</v>
      </c>
      <c r="P430" s="123">
        <v>6</v>
      </c>
      <c r="Q430" s="123">
        <v>0</v>
      </c>
      <c r="R430" s="123">
        <v>6</v>
      </c>
      <c r="S430" s="7" t="s">
        <v>13</v>
      </c>
      <c r="T430" s="9"/>
      <c r="U430" s="1"/>
    </row>
    <row r="431" spans="1:21" ht="13.5" thickBot="1" x14ac:dyDescent="0.25">
      <c r="A431" s="123">
        <v>13</v>
      </c>
      <c r="B431" s="123">
        <v>0</v>
      </c>
      <c r="C431" s="123">
        <v>13</v>
      </c>
      <c r="D431" s="123">
        <v>12</v>
      </c>
      <c r="E431" s="123">
        <v>0</v>
      </c>
      <c r="F431" s="123">
        <v>12</v>
      </c>
      <c r="G431" s="123">
        <v>0</v>
      </c>
      <c r="H431" s="123">
        <v>0</v>
      </c>
      <c r="I431" s="123">
        <v>0</v>
      </c>
      <c r="J431" s="123">
        <v>1</v>
      </c>
      <c r="K431" s="123">
        <v>0</v>
      </c>
      <c r="L431" s="123">
        <v>1</v>
      </c>
      <c r="M431" s="123">
        <v>0</v>
      </c>
      <c r="N431" s="123">
        <v>0</v>
      </c>
      <c r="O431" s="123">
        <v>0</v>
      </c>
      <c r="P431" s="123">
        <v>0</v>
      </c>
      <c r="Q431" s="123">
        <v>0</v>
      </c>
      <c r="R431" s="123">
        <v>0</v>
      </c>
      <c r="S431" s="7" t="s">
        <v>163</v>
      </c>
      <c r="T431" s="124"/>
      <c r="U431" s="1"/>
    </row>
    <row r="432" spans="1:21" ht="13.5" thickBot="1" x14ac:dyDescent="0.25">
      <c r="A432" s="123">
        <v>0</v>
      </c>
      <c r="B432" s="123">
        <v>0</v>
      </c>
      <c r="C432" s="123">
        <v>0</v>
      </c>
      <c r="D432" s="123">
        <v>0</v>
      </c>
      <c r="E432" s="123">
        <v>0</v>
      </c>
      <c r="F432" s="123">
        <v>0</v>
      </c>
      <c r="G432" s="123">
        <v>0</v>
      </c>
      <c r="H432" s="123">
        <v>0</v>
      </c>
      <c r="I432" s="123">
        <v>0</v>
      </c>
      <c r="J432" s="123">
        <v>0</v>
      </c>
      <c r="K432" s="123">
        <v>0</v>
      </c>
      <c r="L432" s="123">
        <v>0</v>
      </c>
      <c r="M432" s="123">
        <v>0</v>
      </c>
      <c r="N432" s="123">
        <v>0</v>
      </c>
      <c r="O432" s="123">
        <v>0</v>
      </c>
      <c r="P432" s="123">
        <v>0</v>
      </c>
      <c r="Q432" s="123">
        <v>0</v>
      </c>
      <c r="R432" s="123">
        <v>0</v>
      </c>
      <c r="S432" s="7" t="s">
        <v>162</v>
      </c>
      <c r="T432" s="124" t="s">
        <v>433</v>
      </c>
      <c r="U432" s="1"/>
    </row>
    <row r="433" spans="1:21" ht="13.5" thickBot="1" x14ac:dyDescent="0.25">
      <c r="A433" s="123">
        <v>13</v>
      </c>
      <c r="B433" s="123">
        <v>0</v>
      </c>
      <c r="C433" s="123">
        <v>13</v>
      </c>
      <c r="D433" s="123">
        <v>12</v>
      </c>
      <c r="E433" s="123">
        <v>0</v>
      </c>
      <c r="F433" s="123">
        <v>12</v>
      </c>
      <c r="G433" s="123">
        <v>0</v>
      </c>
      <c r="H433" s="123">
        <v>0</v>
      </c>
      <c r="I433" s="123">
        <v>0</v>
      </c>
      <c r="J433" s="123">
        <v>1</v>
      </c>
      <c r="K433" s="123">
        <v>0</v>
      </c>
      <c r="L433" s="123">
        <v>1</v>
      </c>
      <c r="M433" s="123">
        <v>0</v>
      </c>
      <c r="N433" s="123">
        <v>0</v>
      </c>
      <c r="O433" s="123">
        <v>0</v>
      </c>
      <c r="P433" s="123">
        <v>0</v>
      </c>
      <c r="Q433" s="123">
        <v>0</v>
      </c>
      <c r="R433" s="123">
        <v>0</v>
      </c>
      <c r="S433" s="7" t="s">
        <v>13</v>
      </c>
      <c r="T433" s="9"/>
      <c r="U433" s="1"/>
    </row>
    <row r="434" spans="1:21" ht="13.5" thickBot="1" x14ac:dyDescent="0.25">
      <c r="A434" s="123">
        <v>3</v>
      </c>
      <c r="B434" s="123">
        <v>0</v>
      </c>
      <c r="C434" s="123">
        <v>3</v>
      </c>
      <c r="D434" s="123">
        <v>3</v>
      </c>
      <c r="E434" s="123">
        <v>0</v>
      </c>
      <c r="F434" s="123">
        <v>3</v>
      </c>
      <c r="G434" s="123">
        <v>0</v>
      </c>
      <c r="H434" s="123">
        <v>0</v>
      </c>
      <c r="I434" s="123">
        <v>0</v>
      </c>
      <c r="J434" s="123">
        <v>0</v>
      </c>
      <c r="K434" s="123">
        <v>0</v>
      </c>
      <c r="L434" s="123">
        <v>0</v>
      </c>
      <c r="M434" s="123">
        <v>0</v>
      </c>
      <c r="N434" s="123">
        <v>0</v>
      </c>
      <c r="O434" s="123">
        <v>0</v>
      </c>
      <c r="P434" s="123">
        <v>0</v>
      </c>
      <c r="Q434" s="123">
        <v>0</v>
      </c>
      <c r="R434" s="123">
        <v>0</v>
      </c>
      <c r="S434" s="7" t="s">
        <v>163</v>
      </c>
      <c r="T434" s="124"/>
      <c r="U434" s="1"/>
    </row>
    <row r="435" spans="1:21" ht="13.5" thickBot="1" x14ac:dyDescent="0.25">
      <c r="A435" s="123">
        <v>0</v>
      </c>
      <c r="B435" s="123">
        <v>0</v>
      </c>
      <c r="C435" s="123">
        <v>0</v>
      </c>
      <c r="D435" s="123">
        <v>0</v>
      </c>
      <c r="E435" s="123">
        <v>0</v>
      </c>
      <c r="F435" s="123">
        <v>0</v>
      </c>
      <c r="G435" s="123">
        <v>0</v>
      </c>
      <c r="H435" s="123">
        <v>0</v>
      </c>
      <c r="I435" s="123">
        <v>0</v>
      </c>
      <c r="J435" s="123">
        <v>0</v>
      </c>
      <c r="K435" s="123">
        <v>0</v>
      </c>
      <c r="L435" s="123">
        <v>0</v>
      </c>
      <c r="M435" s="123">
        <v>0</v>
      </c>
      <c r="N435" s="123">
        <v>0</v>
      </c>
      <c r="O435" s="123">
        <v>0</v>
      </c>
      <c r="P435" s="123">
        <v>0</v>
      </c>
      <c r="Q435" s="123">
        <v>0</v>
      </c>
      <c r="R435" s="123">
        <v>0</v>
      </c>
      <c r="S435" s="7" t="s">
        <v>162</v>
      </c>
      <c r="T435" s="124" t="s">
        <v>260</v>
      </c>
      <c r="U435" s="1"/>
    </row>
    <row r="436" spans="1:21" ht="13.5" thickBot="1" x14ac:dyDescent="0.25">
      <c r="A436" s="123">
        <v>3</v>
      </c>
      <c r="B436" s="123">
        <v>0</v>
      </c>
      <c r="C436" s="123">
        <v>3</v>
      </c>
      <c r="D436" s="123">
        <v>3</v>
      </c>
      <c r="E436" s="123">
        <v>0</v>
      </c>
      <c r="F436" s="123">
        <v>3</v>
      </c>
      <c r="G436" s="123">
        <v>0</v>
      </c>
      <c r="H436" s="123">
        <v>0</v>
      </c>
      <c r="I436" s="123">
        <v>0</v>
      </c>
      <c r="J436" s="123">
        <v>0</v>
      </c>
      <c r="K436" s="123">
        <v>0</v>
      </c>
      <c r="L436" s="123">
        <v>0</v>
      </c>
      <c r="M436" s="123">
        <v>0</v>
      </c>
      <c r="N436" s="123">
        <v>0</v>
      </c>
      <c r="O436" s="123">
        <v>0</v>
      </c>
      <c r="P436" s="123">
        <v>0</v>
      </c>
      <c r="Q436" s="123">
        <v>0</v>
      </c>
      <c r="R436" s="123">
        <v>0</v>
      </c>
      <c r="S436" s="7" t="s">
        <v>13</v>
      </c>
      <c r="T436" s="9"/>
      <c r="U436" s="1"/>
    </row>
    <row r="437" spans="1:21" ht="13.5" thickBot="1" x14ac:dyDescent="0.25">
      <c r="A437" s="123">
        <f t="shared" ref="A437:C438" si="3">P437+M437+J437+G437+D437</f>
        <v>2266</v>
      </c>
      <c r="B437" s="123">
        <f t="shared" si="3"/>
        <v>584</v>
      </c>
      <c r="C437" s="123">
        <f t="shared" si="3"/>
        <v>1682</v>
      </c>
      <c r="D437" s="123">
        <f>F437+E437</f>
        <v>500</v>
      </c>
      <c r="E437" s="123">
        <v>200</v>
      </c>
      <c r="F437" s="123">
        <v>300</v>
      </c>
      <c r="G437" s="123">
        <f>I437+H437</f>
        <v>220</v>
      </c>
      <c r="H437" s="123">
        <v>100</v>
      </c>
      <c r="I437" s="123">
        <v>120</v>
      </c>
      <c r="J437" s="123">
        <f>L437+K437</f>
        <v>108</v>
      </c>
      <c r="K437" s="123">
        <v>28</v>
      </c>
      <c r="L437" s="123">
        <v>80</v>
      </c>
      <c r="M437" s="123">
        <f>O437+N437</f>
        <v>759</v>
      </c>
      <c r="N437" s="123">
        <v>256</v>
      </c>
      <c r="O437" s="123">
        <v>503</v>
      </c>
      <c r="P437" s="123">
        <f>R437+Q437</f>
        <v>679</v>
      </c>
      <c r="Q437" s="123">
        <v>0</v>
      </c>
      <c r="R437" s="123">
        <v>679</v>
      </c>
      <c r="S437" s="7" t="s">
        <v>163</v>
      </c>
      <c r="T437" s="124"/>
      <c r="U437" s="1"/>
    </row>
    <row r="438" spans="1:21" ht="13.5" thickBot="1" x14ac:dyDescent="0.25">
      <c r="A438" s="123">
        <f t="shared" si="3"/>
        <v>0</v>
      </c>
      <c r="B438" s="123">
        <f t="shared" si="3"/>
        <v>0</v>
      </c>
      <c r="C438" s="123">
        <f t="shared" si="3"/>
        <v>0</v>
      </c>
      <c r="D438" s="123">
        <f>F438+E438</f>
        <v>0</v>
      </c>
      <c r="E438" s="123">
        <v>0</v>
      </c>
      <c r="F438" s="123">
        <v>0</v>
      </c>
      <c r="G438" s="123">
        <f>I438+H438</f>
        <v>0</v>
      </c>
      <c r="H438" s="123">
        <v>0</v>
      </c>
      <c r="I438" s="123">
        <v>0</v>
      </c>
      <c r="J438" s="123">
        <f>L438+K438</f>
        <v>0</v>
      </c>
      <c r="K438" s="123">
        <v>0</v>
      </c>
      <c r="L438" s="123">
        <v>0</v>
      </c>
      <c r="M438" s="123">
        <f>O438+N438</f>
        <v>0</v>
      </c>
      <c r="N438" s="123">
        <v>0</v>
      </c>
      <c r="O438" s="123">
        <v>0</v>
      </c>
      <c r="P438" s="123">
        <f>R438+Q438</f>
        <v>0</v>
      </c>
      <c r="Q438" s="123">
        <v>0</v>
      </c>
      <c r="R438" s="123">
        <v>0</v>
      </c>
      <c r="S438" s="7" t="s">
        <v>162</v>
      </c>
      <c r="T438" s="124" t="s">
        <v>634</v>
      </c>
      <c r="U438" s="1"/>
    </row>
    <row r="439" spans="1:21" ht="13.5" thickBot="1" x14ac:dyDescent="0.25">
      <c r="A439" s="123">
        <f t="shared" ref="A439:Q439" si="4">A437+A438</f>
        <v>2266</v>
      </c>
      <c r="B439" s="123">
        <f t="shared" si="4"/>
        <v>584</v>
      </c>
      <c r="C439" s="123">
        <f t="shared" si="4"/>
        <v>1682</v>
      </c>
      <c r="D439" s="123">
        <f t="shared" si="4"/>
        <v>500</v>
      </c>
      <c r="E439" s="123">
        <f t="shared" si="4"/>
        <v>200</v>
      </c>
      <c r="F439" s="123">
        <f t="shared" si="4"/>
        <v>300</v>
      </c>
      <c r="G439" s="123">
        <f t="shared" si="4"/>
        <v>220</v>
      </c>
      <c r="H439" s="123">
        <f t="shared" si="4"/>
        <v>100</v>
      </c>
      <c r="I439" s="123">
        <f t="shared" si="4"/>
        <v>120</v>
      </c>
      <c r="J439" s="123">
        <f t="shared" si="4"/>
        <v>108</v>
      </c>
      <c r="K439" s="123">
        <f t="shared" si="4"/>
        <v>28</v>
      </c>
      <c r="L439" s="123">
        <f t="shared" si="4"/>
        <v>80</v>
      </c>
      <c r="M439" s="123">
        <f t="shared" si="4"/>
        <v>759</v>
      </c>
      <c r="N439" s="123">
        <f t="shared" si="4"/>
        <v>256</v>
      </c>
      <c r="O439" s="123">
        <f t="shared" si="4"/>
        <v>503</v>
      </c>
      <c r="P439" s="123">
        <f t="shared" si="4"/>
        <v>679</v>
      </c>
      <c r="Q439" s="123">
        <f t="shared" si="4"/>
        <v>0</v>
      </c>
      <c r="R439" s="123">
        <f>R437+R438</f>
        <v>679</v>
      </c>
      <c r="S439" s="7" t="s">
        <v>13</v>
      </c>
      <c r="T439" s="9"/>
      <c r="U439" s="1"/>
    </row>
    <row r="440" spans="1:21" ht="13.5" thickBot="1" x14ac:dyDescent="0.25">
      <c r="A440" s="123">
        <f t="shared" ref="A440:Q442" si="5">A395+A398+A401+A404+A407+A410+A413+A416+A419+A422+A425+A428+A431+A434+A437</f>
        <v>2381</v>
      </c>
      <c r="B440" s="123">
        <f t="shared" si="5"/>
        <v>591</v>
      </c>
      <c r="C440" s="123">
        <f t="shared" si="5"/>
        <v>1790</v>
      </c>
      <c r="D440" s="123">
        <f t="shared" si="5"/>
        <v>571</v>
      </c>
      <c r="E440" s="123">
        <f t="shared" si="5"/>
        <v>200</v>
      </c>
      <c r="F440" s="123">
        <f t="shared" si="5"/>
        <v>371</v>
      </c>
      <c r="G440" s="123">
        <f t="shared" si="5"/>
        <v>236</v>
      </c>
      <c r="H440" s="123">
        <f t="shared" si="5"/>
        <v>100</v>
      </c>
      <c r="I440" s="123">
        <f t="shared" si="5"/>
        <v>136</v>
      </c>
      <c r="J440" s="123">
        <f t="shared" si="5"/>
        <v>129</v>
      </c>
      <c r="K440" s="123">
        <f t="shared" si="5"/>
        <v>35</v>
      </c>
      <c r="L440" s="123">
        <f t="shared" si="5"/>
        <v>94</v>
      </c>
      <c r="M440" s="123">
        <f t="shared" si="5"/>
        <v>762</v>
      </c>
      <c r="N440" s="123">
        <f t="shared" si="5"/>
        <v>256</v>
      </c>
      <c r="O440" s="123">
        <f t="shared" si="5"/>
        <v>506</v>
      </c>
      <c r="P440" s="123">
        <f t="shared" si="5"/>
        <v>683</v>
      </c>
      <c r="Q440" s="123">
        <f t="shared" si="5"/>
        <v>0</v>
      </c>
      <c r="R440" s="123">
        <f>R395+R398+R401+R404+R407+R410+R413+R416+R419+R422+R425+R428+R431+R434+R437</f>
        <v>683</v>
      </c>
      <c r="S440" s="7" t="s">
        <v>163</v>
      </c>
      <c r="T440" s="3"/>
      <c r="U440" s="1"/>
    </row>
    <row r="441" spans="1:21" ht="13.5" thickBot="1" x14ac:dyDescent="0.25">
      <c r="A441" s="123">
        <f t="shared" si="5"/>
        <v>45</v>
      </c>
      <c r="B441" s="123">
        <f t="shared" si="5"/>
        <v>23</v>
      </c>
      <c r="C441" s="123">
        <f t="shared" si="5"/>
        <v>22</v>
      </c>
      <c r="D441" s="123">
        <f t="shared" si="5"/>
        <v>0</v>
      </c>
      <c r="E441" s="123">
        <f t="shared" si="5"/>
        <v>0</v>
      </c>
      <c r="F441" s="123">
        <f t="shared" si="5"/>
        <v>0</v>
      </c>
      <c r="G441" s="123">
        <f t="shared" si="5"/>
        <v>2</v>
      </c>
      <c r="H441" s="123">
        <f t="shared" si="5"/>
        <v>0</v>
      </c>
      <c r="I441" s="123">
        <f t="shared" si="5"/>
        <v>2</v>
      </c>
      <c r="J441" s="123">
        <f t="shared" si="5"/>
        <v>9</v>
      </c>
      <c r="K441" s="123">
        <f t="shared" si="5"/>
        <v>1</v>
      </c>
      <c r="L441" s="123">
        <f t="shared" si="5"/>
        <v>8</v>
      </c>
      <c r="M441" s="123">
        <f t="shared" si="5"/>
        <v>23</v>
      </c>
      <c r="N441" s="123">
        <f t="shared" si="5"/>
        <v>16</v>
      </c>
      <c r="O441" s="123">
        <f t="shared" si="5"/>
        <v>7</v>
      </c>
      <c r="P441" s="123">
        <f t="shared" si="5"/>
        <v>11</v>
      </c>
      <c r="Q441" s="123">
        <f t="shared" si="5"/>
        <v>6</v>
      </c>
      <c r="R441" s="123">
        <f>R396+R399+R402+R405+R408+R411+R414+R417+R420+R423+R426+R429+R432+R435+R438</f>
        <v>5</v>
      </c>
      <c r="S441" s="7" t="s">
        <v>162</v>
      </c>
      <c r="T441" s="11" t="s">
        <v>211</v>
      </c>
      <c r="U441" s="1"/>
    </row>
    <row r="442" spans="1:21" ht="13.5" thickBot="1" x14ac:dyDescent="0.25">
      <c r="A442" s="123">
        <f t="shared" si="5"/>
        <v>2426</v>
      </c>
      <c r="B442" s="123">
        <f t="shared" si="5"/>
        <v>614</v>
      </c>
      <c r="C442" s="123">
        <f t="shared" si="5"/>
        <v>1812</v>
      </c>
      <c r="D442" s="123">
        <f t="shared" si="5"/>
        <v>571</v>
      </c>
      <c r="E442" s="123">
        <f t="shared" si="5"/>
        <v>200</v>
      </c>
      <c r="F442" s="123">
        <f t="shared" si="5"/>
        <v>371</v>
      </c>
      <c r="G442" s="123">
        <f t="shared" si="5"/>
        <v>238</v>
      </c>
      <c r="H442" s="123">
        <f t="shared" si="5"/>
        <v>100</v>
      </c>
      <c r="I442" s="123">
        <f t="shared" si="5"/>
        <v>138</v>
      </c>
      <c r="J442" s="123">
        <f t="shared" si="5"/>
        <v>138</v>
      </c>
      <c r="K442" s="123">
        <f t="shared" si="5"/>
        <v>36</v>
      </c>
      <c r="L442" s="123">
        <f t="shared" si="5"/>
        <v>102</v>
      </c>
      <c r="M442" s="123">
        <f t="shared" si="5"/>
        <v>785</v>
      </c>
      <c r="N442" s="123">
        <f t="shared" si="5"/>
        <v>272</v>
      </c>
      <c r="O442" s="123">
        <f t="shared" si="5"/>
        <v>513</v>
      </c>
      <c r="P442" s="123">
        <f t="shared" si="5"/>
        <v>694</v>
      </c>
      <c r="Q442" s="123">
        <f t="shared" si="5"/>
        <v>6</v>
      </c>
      <c r="R442" s="123">
        <f>R397+R400+R403+R406+R409+R412+R415+R418+R421+R424+R427+R430+R433+R436+R439</f>
        <v>688</v>
      </c>
      <c r="S442" s="7" t="s">
        <v>13</v>
      </c>
      <c r="T442" s="5"/>
      <c r="U442" s="1"/>
    </row>
    <row r="443" spans="1:21" ht="18" customHeight="1" x14ac:dyDescent="0.2">
      <c r="A443" s="207"/>
      <c r="B443" s="207"/>
      <c r="C443" s="207"/>
      <c r="D443" s="207"/>
      <c r="E443" s="207"/>
      <c r="F443" s="207"/>
      <c r="G443" s="207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1"/>
    </row>
    <row r="444" spans="1:21" ht="18" customHeight="1" x14ac:dyDescent="0.2">
      <c r="A444" s="159" t="s">
        <v>665</v>
      </c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"/>
    </row>
    <row r="445" spans="1:21" ht="18" customHeight="1" thickBot="1" x14ac:dyDescent="0.25">
      <c r="A445" s="160" t="s">
        <v>667</v>
      </c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"/>
    </row>
    <row r="446" spans="1:21" ht="13.5" thickBot="1" x14ac:dyDescent="0.25">
      <c r="A446" s="204" t="s">
        <v>5</v>
      </c>
      <c r="B446" s="204"/>
      <c r="C446" s="204"/>
      <c r="D446" s="204" t="s">
        <v>57</v>
      </c>
      <c r="E446" s="204"/>
      <c r="F446" s="204"/>
      <c r="G446" s="204" t="s">
        <v>66</v>
      </c>
      <c r="H446" s="204"/>
      <c r="I446" s="204"/>
      <c r="J446" s="204" t="s">
        <v>65</v>
      </c>
      <c r="K446" s="204"/>
      <c r="L446" s="204"/>
      <c r="M446" s="204" t="s">
        <v>62</v>
      </c>
      <c r="N446" s="204"/>
      <c r="O446" s="204"/>
      <c r="P446" s="204" t="s">
        <v>61</v>
      </c>
      <c r="Q446" s="204"/>
      <c r="R446" s="204"/>
      <c r="S446" s="205" t="s">
        <v>614</v>
      </c>
      <c r="T446" s="47" t="s">
        <v>161</v>
      </c>
      <c r="U446" s="1"/>
    </row>
    <row r="447" spans="1:21" ht="15" customHeight="1" thickBot="1" x14ac:dyDescent="0.25">
      <c r="A447" s="47" t="s">
        <v>216</v>
      </c>
      <c r="B447" s="47" t="s">
        <v>11</v>
      </c>
      <c r="C447" s="47" t="s">
        <v>10</v>
      </c>
      <c r="D447" s="47" t="s">
        <v>216</v>
      </c>
      <c r="E447" s="47" t="s">
        <v>11</v>
      </c>
      <c r="F447" s="47" t="s">
        <v>10</v>
      </c>
      <c r="G447" s="47" t="s">
        <v>216</v>
      </c>
      <c r="H447" s="47" t="s">
        <v>11</v>
      </c>
      <c r="I447" s="47" t="s">
        <v>10</v>
      </c>
      <c r="J447" s="47" t="s">
        <v>216</v>
      </c>
      <c r="K447" s="47" t="s">
        <v>11</v>
      </c>
      <c r="L447" s="47" t="s">
        <v>10</v>
      </c>
      <c r="M447" s="47" t="s">
        <v>216</v>
      </c>
      <c r="N447" s="47" t="s">
        <v>11</v>
      </c>
      <c r="O447" s="47" t="s">
        <v>10</v>
      </c>
      <c r="P447" s="47" t="s">
        <v>216</v>
      </c>
      <c r="Q447" s="47" t="s">
        <v>11</v>
      </c>
      <c r="R447" s="47" t="s">
        <v>10</v>
      </c>
      <c r="S447" s="206"/>
      <c r="T447" s="5" t="s">
        <v>108</v>
      </c>
      <c r="U447" s="1"/>
    </row>
    <row r="448" spans="1:21" ht="13.5" thickBot="1" x14ac:dyDescent="0.25">
      <c r="A448" s="123">
        <v>3</v>
      </c>
      <c r="B448" s="123">
        <v>0</v>
      </c>
      <c r="C448" s="123">
        <v>3</v>
      </c>
      <c r="D448" s="123">
        <v>1</v>
      </c>
      <c r="E448" s="123">
        <v>0</v>
      </c>
      <c r="F448" s="123">
        <v>1</v>
      </c>
      <c r="G448" s="123">
        <v>1</v>
      </c>
      <c r="H448" s="123">
        <v>0</v>
      </c>
      <c r="I448" s="123">
        <v>1</v>
      </c>
      <c r="J448" s="123">
        <v>1</v>
      </c>
      <c r="K448" s="123">
        <v>0</v>
      </c>
      <c r="L448" s="123">
        <v>1</v>
      </c>
      <c r="M448" s="123">
        <v>0</v>
      </c>
      <c r="N448" s="123">
        <v>0</v>
      </c>
      <c r="O448" s="123">
        <v>0</v>
      </c>
      <c r="P448" s="123">
        <v>0</v>
      </c>
      <c r="Q448" s="123">
        <v>0</v>
      </c>
      <c r="R448" s="123">
        <v>0</v>
      </c>
      <c r="S448" s="7" t="s">
        <v>163</v>
      </c>
      <c r="T448" s="124"/>
      <c r="U448" s="1"/>
    </row>
    <row r="449" spans="1:21" ht="13.5" thickBot="1" x14ac:dyDescent="0.25">
      <c r="A449" s="123">
        <v>0</v>
      </c>
      <c r="B449" s="123">
        <v>0</v>
      </c>
      <c r="C449" s="123">
        <v>0</v>
      </c>
      <c r="D449" s="123">
        <v>0</v>
      </c>
      <c r="E449" s="123">
        <v>0</v>
      </c>
      <c r="F449" s="123">
        <v>0</v>
      </c>
      <c r="G449" s="123">
        <v>0</v>
      </c>
      <c r="H449" s="123">
        <v>0</v>
      </c>
      <c r="I449" s="123">
        <v>0</v>
      </c>
      <c r="J449" s="123">
        <v>0</v>
      </c>
      <c r="K449" s="123">
        <v>0</v>
      </c>
      <c r="L449" s="123">
        <v>0</v>
      </c>
      <c r="M449" s="123">
        <v>0</v>
      </c>
      <c r="N449" s="123">
        <v>0</v>
      </c>
      <c r="O449" s="123">
        <v>0</v>
      </c>
      <c r="P449" s="123">
        <v>0</v>
      </c>
      <c r="Q449" s="123">
        <v>0</v>
      </c>
      <c r="R449" s="123">
        <v>0</v>
      </c>
      <c r="S449" s="7" t="s">
        <v>162</v>
      </c>
      <c r="T449" s="124" t="s">
        <v>419</v>
      </c>
      <c r="U449" s="1"/>
    </row>
    <row r="450" spans="1:21" ht="13.5" thickBot="1" x14ac:dyDescent="0.25">
      <c r="A450" s="123">
        <v>3</v>
      </c>
      <c r="B450" s="123">
        <v>0</v>
      </c>
      <c r="C450" s="123">
        <v>3</v>
      </c>
      <c r="D450" s="123">
        <v>1</v>
      </c>
      <c r="E450" s="123">
        <v>0</v>
      </c>
      <c r="F450" s="123">
        <v>1</v>
      </c>
      <c r="G450" s="123">
        <v>1</v>
      </c>
      <c r="H450" s="123">
        <v>0</v>
      </c>
      <c r="I450" s="123">
        <v>1</v>
      </c>
      <c r="J450" s="123">
        <v>1</v>
      </c>
      <c r="K450" s="123">
        <v>0</v>
      </c>
      <c r="L450" s="123">
        <v>1</v>
      </c>
      <c r="M450" s="123">
        <v>0</v>
      </c>
      <c r="N450" s="123">
        <v>0</v>
      </c>
      <c r="O450" s="123">
        <v>0</v>
      </c>
      <c r="P450" s="123">
        <v>0</v>
      </c>
      <c r="Q450" s="123">
        <v>0</v>
      </c>
      <c r="R450" s="123">
        <v>0</v>
      </c>
      <c r="S450" s="7" t="s">
        <v>13</v>
      </c>
      <c r="T450" s="9"/>
      <c r="U450" s="1"/>
    </row>
    <row r="451" spans="1:21" ht="13.5" thickBot="1" x14ac:dyDescent="0.25">
      <c r="A451" s="123">
        <v>19</v>
      </c>
      <c r="B451" s="123">
        <v>0</v>
      </c>
      <c r="C451" s="123">
        <v>19</v>
      </c>
      <c r="D451" s="123">
        <v>9</v>
      </c>
      <c r="E451" s="123">
        <v>0</v>
      </c>
      <c r="F451" s="123">
        <v>9</v>
      </c>
      <c r="G451" s="123">
        <v>5</v>
      </c>
      <c r="H451" s="123">
        <v>0</v>
      </c>
      <c r="I451" s="123">
        <v>5</v>
      </c>
      <c r="J451" s="123">
        <v>4</v>
      </c>
      <c r="K451" s="123">
        <v>0</v>
      </c>
      <c r="L451" s="123">
        <v>4</v>
      </c>
      <c r="M451" s="123">
        <v>1</v>
      </c>
      <c r="N451" s="123">
        <v>0</v>
      </c>
      <c r="O451" s="123">
        <v>1</v>
      </c>
      <c r="P451" s="123">
        <v>0</v>
      </c>
      <c r="Q451" s="123">
        <v>0</v>
      </c>
      <c r="R451" s="123">
        <v>0</v>
      </c>
      <c r="S451" s="7" t="s">
        <v>163</v>
      </c>
      <c r="T451" s="124"/>
      <c r="U451" s="1"/>
    </row>
    <row r="452" spans="1:21" ht="13.5" thickBot="1" x14ac:dyDescent="0.25">
      <c r="A452" s="123">
        <v>0</v>
      </c>
      <c r="B452" s="123">
        <v>0</v>
      </c>
      <c r="C452" s="123">
        <v>0</v>
      </c>
      <c r="D452" s="123">
        <v>0</v>
      </c>
      <c r="E452" s="123">
        <v>0</v>
      </c>
      <c r="F452" s="123">
        <v>0</v>
      </c>
      <c r="G452" s="123">
        <v>0</v>
      </c>
      <c r="H452" s="123">
        <v>0</v>
      </c>
      <c r="I452" s="123">
        <v>0</v>
      </c>
      <c r="J452" s="123">
        <v>0</v>
      </c>
      <c r="K452" s="123">
        <v>0</v>
      </c>
      <c r="L452" s="123">
        <v>0</v>
      </c>
      <c r="M452" s="123">
        <v>0</v>
      </c>
      <c r="N452" s="123">
        <v>0</v>
      </c>
      <c r="O452" s="123">
        <v>0</v>
      </c>
      <c r="P452" s="123">
        <v>0</v>
      </c>
      <c r="Q452" s="123">
        <v>0</v>
      </c>
      <c r="R452" s="123">
        <v>0</v>
      </c>
      <c r="S452" s="7" t="s">
        <v>162</v>
      </c>
      <c r="T452" s="124" t="s">
        <v>438</v>
      </c>
      <c r="U452" s="1"/>
    </row>
    <row r="453" spans="1:21" ht="13.5" thickBot="1" x14ac:dyDescent="0.25">
      <c r="A453" s="123">
        <v>19</v>
      </c>
      <c r="B453" s="123">
        <v>0</v>
      </c>
      <c r="C453" s="123">
        <v>19</v>
      </c>
      <c r="D453" s="123">
        <v>9</v>
      </c>
      <c r="E453" s="123">
        <v>0</v>
      </c>
      <c r="F453" s="123">
        <v>9</v>
      </c>
      <c r="G453" s="123">
        <v>5</v>
      </c>
      <c r="H453" s="123">
        <v>0</v>
      </c>
      <c r="I453" s="123">
        <v>5</v>
      </c>
      <c r="J453" s="123">
        <v>4</v>
      </c>
      <c r="K453" s="123">
        <v>0</v>
      </c>
      <c r="L453" s="123">
        <v>4</v>
      </c>
      <c r="M453" s="123">
        <v>1</v>
      </c>
      <c r="N453" s="123">
        <v>0</v>
      </c>
      <c r="O453" s="123">
        <v>1</v>
      </c>
      <c r="P453" s="123">
        <v>0</v>
      </c>
      <c r="Q453" s="123">
        <v>0</v>
      </c>
      <c r="R453" s="123">
        <v>0</v>
      </c>
      <c r="S453" s="7" t="s">
        <v>13</v>
      </c>
      <c r="T453" s="9"/>
      <c r="U453" s="1"/>
    </row>
    <row r="454" spans="1:21" ht="13.5" thickBot="1" x14ac:dyDescent="0.25">
      <c r="A454" s="123">
        <v>33</v>
      </c>
      <c r="B454" s="123">
        <v>1</v>
      </c>
      <c r="C454" s="123">
        <v>32</v>
      </c>
      <c r="D454" s="123">
        <v>16</v>
      </c>
      <c r="E454" s="123">
        <v>1</v>
      </c>
      <c r="F454" s="123">
        <v>15</v>
      </c>
      <c r="G454" s="123">
        <v>10</v>
      </c>
      <c r="H454" s="123">
        <v>0</v>
      </c>
      <c r="I454" s="123">
        <v>10</v>
      </c>
      <c r="J454" s="123">
        <v>7</v>
      </c>
      <c r="K454" s="123">
        <v>0</v>
      </c>
      <c r="L454" s="123">
        <v>7</v>
      </c>
      <c r="M454" s="123">
        <v>0</v>
      </c>
      <c r="N454" s="123">
        <v>0</v>
      </c>
      <c r="O454" s="123">
        <v>0</v>
      </c>
      <c r="P454" s="123">
        <v>0</v>
      </c>
      <c r="Q454" s="123">
        <v>0</v>
      </c>
      <c r="R454" s="123">
        <v>0</v>
      </c>
      <c r="S454" s="7" t="s">
        <v>163</v>
      </c>
      <c r="T454" s="124"/>
      <c r="U454" s="1"/>
    </row>
    <row r="455" spans="1:21" ht="13.5" thickBot="1" x14ac:dyDescent="0.25">
      <c r="A455" s="123">
        <v>0</v>
      </c>
      <c r="B455" s="123">
        <v>0</v>
      </c>
      <c r="C455" s="123">
        <v>0</v>
      </c>
      <c r="D455" s="123">
        <v>0</v>
      </c>
      <c r="E455" s="123">
        <v>0</v>
      </c>
      <c r="F455" s="123">
        <v>0</v>
      </c>
      <c r="G455" s="123">
        <v>0</v>
      </c>
      <c r="H455" s="123">
        <v>0</v>
      </c>
      <c r="I455" s="123">
        <v>0</v>
      </c>
      <c r="J455" s="123">
        <v>0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123">
        <v>0</v>
      </c>
      <c r="Q455" s="123">
        <v>0</v>
      </c>
      <c r="R455" s="123">
        <v>0</v>
      </c>
      <c r="S455" s="7" t="s">
        <v>162</v>
      </c>
      <c r="T455" s="124" t="s">
        <v>439</v>
      </c>
      <c r="U455" s="1"/>
    </row>
    <row r="456" spans="1:21" ht="13.5" thickBot="1" x14ac:dyDescent="0.25">
      <c r="A456" s="123">
        <v>33</v>
      </c>
      <c r="B456" s="123">
        <v>1</v>
      </c>
      <c r="C456" s="123">
        <v>32</v>
      </c>
      <c r="D456" s="123">
        <v>16</v>
      </c>
      <c r="E456" s="123">
        <v>1</v>
      </c>
      <c r="F456" s="123">
        <v>15</v>
      </c>
      <c r="G456" s="123">
        <v>10</v>
      </c>
      <c r="H456" s="123">
        <v>0</v>
      </c>
      <c r="I456" s="123">
        <v>10</v>
      </c>
      <c r="J456" s="123">
        <v>7</v>
      </c>
      <c r="K456" s="123">
        <v>0</v>
      </c>
      <c r="L456" s="123">
        <v>7</v>
      </c>
      <c r="M456" s="123">
        <v>0</v>
      </c>
      <c r="N456" s="123">
        <v>0</v>
      </c>
      <c r="O456" s="123">
        <v>0</v>
      </c>
      <c r="P456" s="123">
        <v>0</v>
      </c>
      <c r="Q456" s="123">
        <v>0</v>
      </c>
      <c r="R456" s="123">
        <v>0</v>
      </c>
      <c r="S456" s="7" t="s">
        <v>13</v>
      </c>
      <c r="T456" s="9"/>
      <c r="U456" s="1"/>
    </row>
    <row r="457" spans="1:21" ht="13.5" thickBot="1" x14ac:dyDescent="0.25">
      <c r="A457" s="123">
        <v>60</v>
      </c>
      <c r="B457" s="123">
        <v>0</v>
      </c>
      <c r="C457" s="123">
        <v>60</v>
      </c>
      <c r="D457" s="123">
        <v>16</v>
      </c>
      <c r="E457" s="123">
        <v>0</v>
      </c>
      <c r="F457" s="123">
        <v>16</v>
      </c>
      <c r="G457" s="123">
        <v>24</v>
      </c>
      <c r="H457" s="123">
        <v>0</v>
      </c>
      <c r="I457" s="123">
        <v>24</v>
      </c>
      <c r="J457" s="123">
        <v>17</v>
      </c>
      <c r="K457" s="123">
        <v>0</v>
      </c>
      <c r="L457" s="123">
        <v>17</v>
      </c>
      <c r="M457" s="123">
        <v>3</v>
      </c>
      <c r="N457" s="123">
        <v>0</v>
      </c>
      <c r="O457" s="123">
        <v>3</v>
      </c>
      <c r="P457" s="123">
        <v>0</v>
      </c>
      <c r="Q457" s="123">
        <v>0</v>
      </c>
      <c r="R457" s="123">
        <v>0</v>
      </c>
      <c r="S457" s="7" t="s">
        <v>163</v>
      </c>
      <c r="T457" s="124"/>
      <c r="U457" s="1"/>
    </row>
    <row r="458" spans="1:21" ht="13.5" thickBot="1" x14ac:dyDescent="0.25">
      <c r="A458" s="123">
        <v>8</v>
      </c>
      <c r="B458" s="123">
        <v>0</v>
      </c>
      <c r="C458" s="123">
        <v>8</v>
      </c>
      <c r="D458" s="123">
        <v>0</v>
      </c>
      <c r="E458" s="123">
        <v>0</v>
      </c>
      <c r="F458" s="123">
        <v>0</v>
      </c>
      <c r="G458" s="123">
        <v>0</v>
      </c>
      <c r="H458" s="123">
        <v>0</v>
      </c>
      <c r="I458" s="123">
        <v>0</v>
      </c>
      <c r="J458" s="123">
        <v>1</v>
      </c>
      <c r="K458" s="123">
        <v>0</v>
      </c>
      <c r="L458" s="123">
        <v>1</v>
      </c>
      <c r="M458" s="123">
        <v>6</v>
      </c>
      <c r="N458" s="123">
        <v>0</v>
      </c>
      <c r="O458" s="123">
        <v>6</v>
      </c>
      <c r="P458" s="123">
        <v>1</v>
      </c>
      <c r="Q458" s="123">
        <v>0</v>
      </c>
      <c r="R458" s="123">
        <v>1</v>
      </c>
      <c r="S458" s="7" t="s">
        <v>162</v>
      </c>
      <c r="T458" s="124" t="s">
        <v>440</v>
      </c>
      <c r="U458" s="1"/>
    </row>
    <row r="459" spans="1:21" ht="13.5" thickBot="1" x14ac:dyDescent="0.25">
      <c r="A459" s="123">
        <v>68</v>
      </c>
      <c r="B459" s="123">
        <v>0</v>
      </c>
      <c r="C459" s="123">
        <v>68</v>
      </c>
      <c r="D459" s="123">
        <v>16</v>
      </c>
      <c r="E459" s="123">
        <v>0</v>
      </c>
      <c r="F459" s="123">
        <v>16</v>
      </c>
      <c r="G459" s="123">
        <v>24</v>
      </c>
      <c r="H459" s="123">
        <v>0</v>
      </c>
      <c r="I459" s="123">
        <v>24</v>
      </c>
      <c r="J459" s="123">
        <v>18</v>
      </c>
      <c r="K459" s="123">
        <v>0</v>
      </c>
      <c r="L459" s="123">
        <v>18</v>
      </c>
      <c r="M459" s="123">
        <v>9</v>
      </c>
      <c r="N459" s="123">
        <v>0</v>
      </c>
      <c r="O459" s="123">
        <v>9</v>
      </c>
      <c r="P459" s="123">
        <v>1</v>
      </c>
      <c r="Q459" s="123">
        <v>0</v>
      </c>
      <c r="R459" s="123">
        <v>1</v>
      </c>
      <c r="S459" s="7" t="s">
        <v>13</v>
      </c>
      <c r="T459" s="9"/>
      <c r="U459" s="1"/>
    </row>
    <row r="460" spans="1:21" ht="13.5" thickBot="1" x14ac:dyDescent="0.25">
      <c r="A460" s="123">
        <v>11</v>
      </c>
      <c r="B460" s="123">
        <v>1</v>
      </c>
      <c r="C460" s="123">
        <v>10</v>
      </c>
      <c r="D460" s="123">
        <v>9</v>
      </c>
      <c r="E460" s="123">
        <v>1</v>
      </c>
      <c r="F460" s="123">
        <v>8</v>
      </c>
      <c r="G460" s="123">
        <v>1</v>
      </c>
      <c r="H460" s="123">
        <v>0</v>
      </c>
      <c r="I460" s="123">
        <v>1</v>
      </c>
      <c r="J460" s="123">
        <v>1</v>
      </c>
      <c r="K460" s="123">
        <v>0</v>
      </c>
      <c r="L460" s="123">
        <v>1</v>
      </c>
      <c r="M460" s="123">
        <v>0</v>
      </c>
      <c r="N460" s="123">
        <v>0</v>
      </c>
      <c r="O460" s="123">
        <v>0</v>
      </c>
      <c r="P460" s="123">
        <v>0</v>
      </c>
      <c r="Q460" s="123">
        <v>0</v>
      </c>
      <c r="R460" s="123">
        <v>0</v>
      </c>
      <c r="S460" s="7" t="s">
        <v>163</v>
      </c>
      <c r="T460" s="124"/>
      <c r="U460" s="1"/>
    </row>
    <row r="461" spans="1:21" ht="13.5" thickBot="1" x14ac:dyDescent="0.25">
      <c r="A461" s="123">
        <v>23</v>
      </c>
      <c r="B461" s="123">
        <v>8</v>
      </c>
      <c r="C461" s="123">
        <v>15</v>
      </c>
      <c r="D461" s="123">
        <v>0</v>
      </c>
      <c r="E461" s="123">
        <v>0</v>
      </c>
      <c r="F461" s="123">
        <v>0</v>
      </c>
      <c r="G461" s="123">
        <v>2</v>
      </c>
      <c r="H461" s="123">
        <v>0</v>
      </c>
      <c r="I461" s="123">
        <v>2</v>
      </c>
      <c r="J461" s="123">
        <v>17</v>
      </c>
      <c r="K461" s="123">
        <v>7</v>
      </c>
      <c r="L461" s="123">
        <v>10</v>
      </c>
      <c r="M461" s="123">
        <v>4</v>
      </c>
      <c r="N461" s="123">
        <v>1</v>
      </c>
      <c r="O461" s="123">
        <v>3</v>
      </c>
      <c r="P461" s="123">
        <v>0</v>
      </c>
      <c r="Q461" s="123">
        <v>0</v>
      </c>
      <c r="R461" s="123">
        <v>0</v>
      </c>
      <c r="S461" s="7" t="s">
        <v>162</v>
      </c>
      <c r="T461" s="124" t="s">
        <v>441</v>
      </c>
      <c r="U461" s="1"/>
    </row>
    <row r="462" spans="1:21" ht="13.5" thickBot="1" x14ac:dyDescent="0.25">
      <c r="A462" s="123">
        <v>34</v>
      </c>
      <c r="B462" s="123">
        <v>9</v>
      </c>
      <c r="C462" s="123">
        <v>25</v>
      </c>
      <c r="D462" s="123">
        <v>9</v>
      </c>
      <c r="E462" s="123">
        <v>1</v>
      </c>
      <c r="F462" s="123">
        <v>8</v>
      </c>
      <c r="G462" s="123">
        <v>3</v>
      </c>
      <c r="H462" s="123">
        <v>0</v>
      </c>
      <c r="I462" s="123">
        <v>3</v>
      </c>
      <c r="J462" s="123">
        <v>18</v>
      </c>
      <c r="K462" s="123">
        <v>7</v>
      </c>
      <c r="L462" s="123">
        <v>11</v>
      </c>
      <c r="M462" s="123">
        <v>4</v>
      </c>
      <c r="N462" s="123">
        <v>1</v>
      </c>
      <c r="O462" s="123">
        <v>3</v>
      </c>
      <c r="P462" s="123">
        <v>0</v>
      </c>
      <c r="Q462" s="123">
        <v>0</v>
      </c>
      <c r="R462" s="123">
        <v>0</v>
      </c>
      <c r="S462" s="7" t="s">
        <v>13</v>
      </c>
      <c r="T462" s="9"/>
      <c r="U462" s="1"/>
    </row>
    <row r="463" spans="1:21" ht="13.5" thickBot="1" x14ac:dyDescent="0.25">
      <c r="A463" s="123">
        <v>5</v>
      </c>
      <c r="B463" s="123">
        <v>0</v>
      </c>
      <c r="C463" s="123">
        <v>5</v>
      </c>
      <c r="D463" s="123">
        <v>3</v>
      </c>
      <c r="E463" s="123">
        <v>0</v>
      </c>
      <c r="F463" s="123">
        <v>3</v>
      </c>
      <c r="G463" s="123">
        <v>1</v>
      </c>
      <c r="H463" s="123">
        <v>0</v>
      </c>
      <c r="I463" s="123">
        <v>1</v>
      </c>
      <c r="J463" s="123">
        <v>1</v>
      </c>
      <c r="K463" s="123">
        <v>0</v>
      </c>
      <c r="L463" s="123">
        <v>1</v>
      </c>
      <c r="M463" s="123">
        <v>0</v>
      </c>
      <c r="N463" s="123">
        <v>0</v>
      </c>
      <c r="O463" s="123">
        <v>0</v>
      </c>
      <c r="P463" s="123">
        <v>0</v>
      </c>
      <c r="Q463" s="123">
        <v>0</v>
      </c>
      <c r="R463" s="123">
        <v>0</v>
      </c>
      <c r="S463" s="7" t="s">
        <v>163</v>
      </c>
      <c r="T463" s="124"/>
      <c r="U463" s="1"/>
    </row>
    <row r="464" spans="1:21" ht="13.5" thickBot="1" x14ac:dyDescent="0.25">
      <c r="A464" s="123">
        <v>1</v>
      </c>
      <c r="B464" s="123">
        <v>0</v>
      </c>
      <c r="C464" s="123">
        <v>1</v>
      </c>
      <c r="D464" s="123">
        <v>0</v>
      </c>
      <c r="E464" s="123">
        <v>0</v>
      </c>
      <c r="F464" s="123">
        <v>0</v>
      </c>
      <c r="G464" s="123">
        <v>0</v>
      </c>
      <c r="H464" s="123">
        <v>0</v>
      </c>
      <c r="I464" s="123">
        <v>0</v>
      </c>
      <c r="J464" s="123">
        <v>1</v>
      </c>
      <c r="K464" s="123">
        <v>0</v>
      </c>
      <c r="L464" s="123">
        <v>1</v>
      </c>
      <c r="M464" s="123">
        <v>0</v>
      </c>
      <c r="N464" s="123">
        <v>0</v>
      </c>
      <c r="O464" s="123">
        <v>0</v>
      </c>
      <c r="P464" s="123">
        <v>0</v>
      </c>
      <c r="Q464" s="123">
        <v>0</v>
      </c>
      <c r="R464" s="123">
        <v>0</v>
      </c>
      <c r="S464" s="7" t="s">
        <v>162</v>
      </c>
      <c r="T464" s="124" t="s">
        <v>377</v>
      </c>
      <c r="U464" s="1"/>
    </row>
    <row r="465" spans="1:21" ht="13.5" thickBot="1" x14ac:dyDescent="0.25">
      <c r="A465" s="123">
        <v>6</v>
      </c>
      <c r="B465" s="123">
        <v>0</v>
      </c>
      <c r="C465" s="123">
        <v>6</v>
      </c>
      <c r="D465" s="123">
        <v>3</v>
      </c>
      <c r="E465" s="123">
        <v>0</v>
      </c>
      <c r="F465" s="123">
        <v>3</v>
      </c>
      <c r="G465" s="123">
        <v>1</v>
      </c>
      <c r="H465" s="123">
        <v>0</v>
      </c>
      <c r="I465" s="123">
        <v>1</v>
      </c>
      <c r="J465" s="123">
        <v>2</v>
      </c>
      <c r="K465" s="123">
        <v>0</v>
      </c>
      <c r="L465" s="123">
        <v>2</v>
      </c>
      <c r="M465" s="123">
        <v>0</v>
      </c>
      <c r="N465" s="123">
        <v>0</v>
      </c>
      <c r="O465" s="123">
        <v>0</v>
      </c>
      <c r="P465" s="123">
        <v>0</v>
      </c>
      <c r="Q465" s="123">
        <v>0</v>
      </c>
      <c r="R465" s="123">
        <v>0</v>
      </c>
      <c r="S465" s="7" t="s">
        <v>13</v>
      </c>
      <c r="T465" s="9"/>
      <c r="U465" s="1"/>
    </row>
    <row r="466" spans="1:21" ht="13.5" thickBot="1" x14ac:dyDescent="0.25">
      <c r="A466" s="123">
        <v>8</v>
      </c>
      <c r="B466" s="123">
        <v>0</v>
      </c>
      <c r="C466" s="123">
        <v>8</v>
      </c>
      <c r="D466" s="123">
        <v>2</v>
      </c>
      <c r="E466" s="123">
        <v>0</v>
      </c>
      <c r="F466" s="123">
        <v>2</v>
      </c>
      <c r="G466" s="123">
        <v>0</v>
      </c>
      <c r="H466" s="123">
        <v>0</v>
      </c>
      <c r="I466" s="123">
        <v>0</v>
      </c>
      <c r="J466" s="123">
        <v>6</v>
      </c>
      <c r="K466" s="123">
        <v>0</v>
      </c>
      <c r="L466" s="123">
        <v>6</v>
      </c>
      <c r="M466" s="123">
        <v>0</v>
      </c>
      <c r="N466" s="123">
        <v>0</v>
      </c>
      <c r="O466" s="123">
        <v>0</v>
      </c>
      <c r="P466" s="123">
        <v>0</v>
      </c>
      <c r="Q466" s="123">
        <v>0</v>
      </c>
      <c r="R466" s="123">
        <v>0</v>
      </c>
      <c r="S466" s="7" t="s">
        <v>163</v>
      </c>
      <c r="T466" s="124"/>
      <c r="U466" s="1"/>
    </row>
    <row r="467" spans="1:21" ht="13.5" thickBot="1" x14ac:dyDescent="0.25">
      <c r="A467" s="123">
        <v>0</v>
      </c>
      <c r="B467" s="123">
        <v>0</v>
      </c>
      <c r="C467" s="123">
        <v>0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123">
        <v>0</v>
      </c>
      <c r="S467" s="7" t="s">
        <v>162</v>
      </c>
      <c r="T467" s="124" t="s">
        <v>359</v>
      </c>
      <c r="U467" s="1"/>
    </row>
    <row r="468" spans="1:21" ht="13.5" thickBot="1" x14ac:dyDescent="0.25">
      <c r="A468" s="123">
        <v>8</v>
      </c>
      <c r="B468" s="123">
        <v>0</v>
      </c>
      <c r="C468" s="123">
        <v>8</v>
      </c>
      <c r="D468" s="123">
        <v>2</v>
      </c>
      <c r="E468" s="123">
        <v>0</v>
      </c>
      <c r="F468" s="123">
        <v>2</v>
      </c>
      <c r="G468" s="123">
        <v>0</v>
      </c>
      <c r="H468" s="123">
        <v>0</v>
      </c>
      <c r="I468" s="123">
        <v>0</v>
      </c>
      <c r="J468" s="123">
        <v>6</v>
      </c>
      <c r="K468" s="123">
        <v>0</v>
      </c>
      <c r="L468" s="123">
        <v>6</v>
      </c>
      <c r="M468" s="123">
        <v>0</v>
      </c>
      <c r="N468" s="123">
        <v>0</v>
      </c>
      <c r="O468" s="123">
        <v>0</v>
      </c>
      <c r="P468" s="123">
        <v>0</v>
      </c>
      <c r="Q468" s="123">
        <v>0</v>
      </c>
      <c r="R468" s="123">
        <v>0</v>
      </c>
      <c r="S468" s="7" t="s">
        <v>13</v>
      </c>
      <c r="T468" s="9"/>
      <c r="U468" s="1"/>
    </row>
    <row r="469" spans="1:21" ht="13.5" thickBot="1" x14ac:dyDescent="0.25">
      <c r="A469" s="123">
        <v>531</v>
      </c>
      <c r="B469" s="123">
        <v>20</v>
      </c>
      <c r="C469" s="123">
        <v>511</v>
      </c>
      <c r="D469" s="123">
        <v>334</v>
      </c>
      <c r="E469" s="123">
        <v>10</v>
      </c>
      <c r="F469" s="123">
        <v>324</v>
      </c>
      <c r="G469" s="123">
        <v>82</v>
      </c>
      <c r="H469" s="123">
        <v>0</v>
      </c>
      <c r="I469" s="123">
        <v>82</v>
      </c>
      <c r="J469" s="123">
        <v>111</v>
      </c>
      <c r="K469" s="123">
        <v>10</v>
      </c>
      <c r="L469" s="123">
        <v>101</v>
      </c>
      <c r="M469" s="123">
        <v>2</v>
      </c>
      <c r="N469" s="123">
        <v>0</v>
      </c>
      <c r="O469" s="123">
        <v>2</v>
      </c>
      <c r="P469" s="123">
        <v>2</v>
      </c>
      <c r="Q469" s="123">
        <v>0</v>
      </c>
      <c r="R469" s="123">
        <v>2</v>
      </c>
      <c r="S469" s="7" t="s">
        <v>163</v>
      </c>
      <c r="T469" s="124"/>
      <c r="U469" s="1"/>
    </row>
    <row r="470" spans="1:21" ht="13.5" thickBot="1" x14ac:dyDescent="0.25">
      <c r="A470" s="123">
        <v>4</v>
      </c>
      <c r="B470" s="123">
        <v>0</v>
      </c>
      <c r="C470" s="123">
        <v>4</v>
      </c>
      <c r="D470" s="123">
        <v>0</v>
      </c>
      <c r="E470" s="123">
        <v>0</v>
      </c>
      <c r="F470" s="123">
        <v>0</v>
      </c>
      <c r="G470" s="123">
        <v>0</v>
      </c>
      <c r="H470" s="123">
        <v>0</v>
      </c>
      <c r="I470" s="123">
        <v>0</v>
      </c>
      <c r="J470" s="123">
        <v>4</v>
      </c>
      <c r="K470" s="123">
        <v>0</v>
      </c>
      <c r="L470" s="123">
        <v>4</v>
      </c>
      <c r="M470" s="123">
        <v>0</v>
      </c>
      <c r="N470" s="123">
        <v>0</v>
      </c>
      <c r="O470" s="123">
        <v>0</v>
      </c>
      <c r="P470" s="123">
        <v>0</v>
      </c>
      <c r="Q470" s="123">
        <v>0</v>
      </c>
      <c r="R470" s="123">
        <v>0</v>
      </c>
      <c r="S470" s="7" t="s">
        <v>162</v>
      </c>
      <c r="T470" s="124" t="s">
        <v>626</v>
      </c>
      <c r="U470" s="1"/>
    </row>
    <row r="471" spans="1:21" ht="13.5" thickBot="1" x14ac:dyDescent="0.25">
      <c r="A471" s="123">
        <v>535</v>
      </c>
      <c r="B471" s="123">
        <v>20</v>
      </c>
      <c r="C471" s="123">
        <v>515</v>
      </c>
      <c r="D471" s="123">
        <v>334</v>
      </c>
      <c r="E471" s="123">
        <v>10</v>
      </c>
      <c r="F471" s="123">
        <v>324</v>
      </c>
      <c r="G471" s="123">
        <v>82</v>
      </c>
      <c r="H471" s="123">
        <v>0</v>
      </c>
      <c r="I471" s="123">
        <v>82</v>
      </c>
      <c r="J471" s="123">
        <v>115</v>
      </c>
      <c r="K471" s="123">
        <v>10</v>
      </c>
      <c r="L471" s="123">
        <v>105</v>
      </c>
      <c r="M471" s="123">
        <v>2</v>
      </c>
      <c r="N471" s="123">
        <v>0</v>
      </c>
      <c r="O471" s="123">
        <v>2</v>
      </c>
      <c r="P471" s="123">
        <v>2</v>
      </c>
      <c r="Q471" s="123">
        <v>0</v>
      </c>
      <c r="R471" s="123">
        <v>2</v>
      </c>
      <c r="S471" s="7" t="s">
        <v>13</v>
      </c>
      <c r="T471" s="9"/>
      <c r="U471" s="1"/>
    </row>
    <row r="472" spans="1:21" ht="13.5" thickBot="1" x14ac:dyDescent="0.25">
      <c r="A472" s="123">
        <v>17</v>
      </c>
      <c r="B472" s="123">
        <v>0</v>
      </c>
      <c r="C472" s="123">
        <v>17</v>
      </c>
      <c r="D472" s="123">
        <v>2</v>
      </c>
      <c r="E472" s="123">
        <v>0</v>
      </c>
      <c r="F472" s="123">
        <v>2</v>
      </c>
      <c r="G472" s="123">
        <v>2</v>
      </c>
      <c r="H472" s="123">
        <v>0</v>
      </c>
      <c r="I472" s="123">
        <v>2</v>
      </c>
      <c r="J472" s="123">
        <v>13</v>
      </c>
      <c r="K472" s="123">
        <v>0</v>
      </c>
      <c r="L472" s="123">
        <v>13</v>
      </c>
      <c r="M472" s="123">
        <v>0</v>
      </c>
      <c r="N472" s="123">
        <v>0</v>
      </c>
      <c r="O472" s="123">
        <v>0</v>
      </c>
      <c r="P472" s="123">
        <v>0</v>
      </c>
      <c r="Q472" s="123">
        <v>0</v>
      </c>
      <c r="R472" s="123">
        <v>0</v>
      </c>
      <c r="S472" s="7" t="s">
        <v>163</v>
      </c>
      <c r="T472" s="124"/>
      <c r="U472" s="1"/>
    </row>
    <row r="473" spans="1:21" ht="13.5" thickBot="1" x14ac:dyDescent="0.25">
      <c r="A473" s="123">
        <v>0</v>
      </c>
      <c r="B473" s="123">
        <v>0</v>
      </c>
      <c r="C473" s="123">
        <v>0</v>
      </c>
      <c r="D473" s="123">
        <v>0</v>
      </c>
      <c r="E473" s="123">
        <v>0</v>
      </c>
      <c r="F473" s="123">
        <v>0</v>
      </c>
      <c r="G473" s="123">
        <v>0</v>
      </c>
      <c r="H473" s="123">
        <v>0</v>
      </c>
      <c r="I473" s="123">
        <v>0</v>
      </c>
      <c r="J473" s="123">
        <v>0</v>
      </c>
      <c r="K473" s="123">
        <v>0</v>
      </c>
      <c r="L473" s="123">
        <v>0</v>
      </c>
      <c r="M473" s="123">
        <v>0</v>
      </c>
      <c r="N473" s="123">
        <v>0</v>
      </c>
      <c r="O473" s="123">
        <v>0</v>
      </c>
      <c r="P473" s="123">
        <v>0</v>
      </c>
      <c r="Q473" s="123">
        <v>0</v>
      </c>
      <c r="R473" s="123">
        <v>0</v>
      </c>
      <c r="S473" s="7" t="s">
        <v>162</v>
      </c>
      <c r="T473" s="124" t="s">
        <v>443</v>
      </c>
      <c r="U473" s="1"/>
    </row>
    <row r="474" spans="1:21" ht="13.5" thickBot="1" x14ac:dyDescent="0.25">
      <c r="A474" s="123">
        <v>17</v>
      </c>
      <c r="B474" s="123">
        <v>0</v>
      </c>
      <c r="C474" s="123">
        <v>17</v>
      </c>
      <c r="D474" s="123">
        <v>2</v>
      </c>
      <c r="E474" s="123">
        <v>0</v>
      </c>
      <c r="F474" s="123">
        <v>2</v>
      </c>
      <c r="G474" s="123">
        <v>2</v>
      </c>
      <c r="H474" s="123">
        <v>0</v>
      </c>
      <c r="I474" s="123">
        <v>2</v>
      </c>
      <c r="J474" s="123">
        <v>13</v>
      </c>
      <c r="K474" s="123">
        <v>0</v>
      </c>
      <c r="L474" s="123">
        <v>13</v>
      </c>
      <c r="M474" s="123">
        <v>0</v>
      </c>
      <c r="N474" s="123">
        <v>0</v>
      </c>
      <c r="O474" s="123">
        <v>0</v>
      </c>
      <c r="P474" s="123">
        <v>0</v>
      </c>
      <c r="Q474" s="123">
        <v>0</v>
      </c>
      <c r="R474" s="123">
        <v>0</v>
      </c>
      <c r="S474" s="7" t="s">
        <v>13</v>
      </c>
      <c r="T474" s="9"/>
      <c r="U474" s="1"/>
    </row>
    <row r="475" spans="1:21" ht="13.5" thickBot="1" x14ac:dyDescent="0.25">
      <c r="A475" s="123">
        <v>19</v>
      </c>
      <c r="B475" s="123">
        <v>0</v>
      </c>
      <c r="C475" s="123">
        <v>19</v>
      </c>
      <c r="D475" s="123">
        <v>6</v>
      </c>
      <c r="E475" s="123">
        <v>0</v>
      </c>
      <c r="F475" s="123">
        <v>6</v>
      </c>
      <c r="G475" s="123">
        <v>5</v>
      </c>
      <c r="H475" s="123">
        <v>0</v>
      </c>
      <c r="I475" s="123">
        <v>5</v>
      </c>
      <c r="J475" s="123">
        <v>8</v>
      </c>
      <c r="K475" s="123">
        <v>0</v>
      </c>
      <c r="L475" s="123">
        <v>8</v>
      </c>
      <c r="M475" s="123">
        <v>0</v>
      </c>
      <c r="N475" s="123">
        <v>0</v>
      </c>
      <c r="O475" s="123">
        <v>0</v>
      </c>
      <c r="P475" s="123">
        <v>0</v>
      </c>
      <c r="Q475" s="123">
        <v>0</v>
      </c>
      <c r="R475" s="123">
        <v>0</v>
      </c>
      <c r="S475" s="7" t="s">
        <v>163</v>
      </c>
      <c r="T475" s="124"/>
      <c r="U475" s="1"/>
    </row>
    <row r="476" spans="1:21" ht="13.5" thickBot="1" x14ac:dyDescent="0.25">
      <c r="A476" s="123">
        <v>0</v>
      </c>
      <c r="B476" s="123">
        <v>0</v>
      </c>
      <c r="C476" s="123">
        <v>0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123">
        <v>0</v>
      </c>
      <c r="S476" s="7" t="s">
        <v>162</v>
      </c>
      <c r="T476" s="124" t="s">
        <v>569</v>
      </c>
      <c r="U476" s="1"/>
    </row>
    <row r="477" spans="1:21" ht="13.5" thickBot="1" x14ac:dyDescent="0.25">
      <c r="A477" s="123">
        <v>19</v>
      </c>
      <c r="B477" s="123">
        <v>0</v>
      </c>
      <c r="C477" s="123">
        <v>19</v>
      </c>
      <c r="D477" s="123">
        <v>6</v>
      </c>
      <c r="E477" s="123">
        <v>0</v>
      </c>
      <c r="F477" s="123">
        <v>6</v>
      </c>
      <c r="G477" s="123">
        <v>5</v>
      </c>
      <c r="H477" s="123">
        <v>0</v>
      </c>
      <c r="I477" s="123">
        <v>5</v>
      </c>
      <c r="J477" s="123">
        <v>8</v>
      </c>
      <c r="K477" s="123">
        <v>0</v>
      </c>
      <c r="L477" s="123">
        <v>8</v>
      </c>
      <c r="M477" s="123">
        <v>0</v>
      </c>
      <c r="N477" s="123">
        <v>0</v>
      </c>
      <c r="O477" s="123">
        <v>0</v>
      </c>
      <c r="P477" s="123">
        <v>0</v>
      </c>
      <c r="Q477" s="123">
        <v>0</v>
      </c>
      <c r="R477" s="123">
        <v>0</v>
      </c>
      <c r="S477" s="7" t="s">
        <v>13</v>
      </c>
      <c r="T477" s="9"/>
      <c r="U477" s="1"/>
    </row>
    <row r="478" spans="1:21" ht="13.5" thickBot="1" x14ac:dyDescent="0.25">
      <c r="A478" s="123">
        <v>2</v>
      </c>
      <c r="B478" s="123">
        <v>1</v>
      </c>
      <c r="C478" s="123">
        <v>1</v>
      </c>
      <c r="D478" s="123">
        <v>1</v>
      </c>
      <c r="E478" s="123">
        <v>0</v>
      </c>
      <c r="F478" s="123">
        <v>1</v>
      </c>
      <c r="G478" s="123">
        <v>0</v>
      </c>
      <c r="H478" s="123">
        <v>0</v>
      </c>
      <c r="I478" s="123">
        <v>0</v>
      </c>
      <c r="J478" s="123">
        <v>1</v>
      </c>
      <c r="K478" s="123">
        <v>1</v>
      </c>
      <c r="L478" s="123">
        <v>0</v>
      </c>
      <c r="M478" s="123">
        <v>0</v>
      </c>
      <c r="N478" s="123">
        <v>0</v>
      </c>
      <c r="O478" s="123">
        <v>0</v>
      </c>
      <c r="P478" s="123">
        <v>0</v>
      </c>
      <c r="Q478" s="123">
        <v>0</v>
      </c>
      <c r="R478" s="123">
        <v>0</v>
      </c>
      <c r="S478" s="7" t="s">
        <v>163</v>
      </c>
      <c r="T478" s="124"/>
      <c r="U478" s="1"/>
    </row>
    <row r="479" spans="1:21" ht="13.5" thickBot="1" x14ac:dyDescent="0.25">
      <c r="A479" s="123">
        <v>28</v>
      </c>
      <c r="B479" s="123">
        <v>0</v>
      </c>
      <c r="C479" s="123">
        <v>28</v>
      </c>
      <c r="D479" s="123">
        <v>28</v>
      </c>
      <c r="E479" s="123">
        <v>0</v>
      </c>
      <c r="F479" s="123">
        <v>28</v>
      </c>
      <c r="G479" s="123">
        <v>0</v>
      </c>
      <c r="H479" s="123">
        <v>0</v>
      </c>
      <c r="I479" s="123">
        <v>0</v>
      </c>
      <c r="J479" s="123">
        <v>0</v>
      </c>
      <c r="K479" s="123">
        <v>0</v>
      </c>
      <c r="L479" s="123">
        <v>0</v>
      </c>
      <c r="M479" s="123">
        <v>0</v>
      </c>
      <c r="N479" s="123">
        <v>0</v>
      </c>
      <c r="O479" s="123">
        <v>0</v>
      </c>
      <c r="P479" s="123">
        <v>0</v>
      </c>
      <c r="Q479" s="123">
        <v>0</v>
      </c>
      <c r="R479" s="123">
        <v>0</v>
      </c>
      <c r="S479" s="7" t="s">
        <v>162</v>
      </c>
      <c r="T479" s="124" t="s">
        <v>570</v>
      </c>
      <c r="U479" s="1"/>
    </row>
    <row r="480" spans="1:21" ht="13.5" thickBot="1" x14ac:dyDescent="0.25">
      <c r="A480" s="123">
        <v>30</v>
      </c>
      <c r="B480" s="123">
        <v>1</v>
      </c>
      <c r="C480" s="123">
        <v>29</v>
      </c>
      <c r="D480" s="123">
        <v>29</v>
      </c>
      <c r="E480" s="123">
        <v>0</v>
      </c>
      <c r="F480" s="123">
        <v>29</v>
      </c>
      <c r="G480" s="123">
        <v>0</v>
      </c>
      <c r="H480" s="123">
        <v>0</v>
      </c>
      <c r="I480" s="123">
        <v>0</v>
      </c>
      <c r="J480" s="123">
        <v>1</v>
      </c>
      <c r="K480" s="123">
        <v>1</v>
      </c>
      <c r="L480" s="123">
        <v>0</v>
      </c>
      <c r="M480" s="123">
        <v>0</v>
      </c>
      <c r="N480" s="123">
        <v>0</v>
      </c>
      <c r="O480" s="123">
        <v>0</v>
      </c>
      <c r="P480" s="123">
        <v>0</v>
      </c>
      <c r="Q480" s="123">
        <v>0</v>
      </c>
      <c r="R480" s="123">
        <v>0</v>
      </c>
      <c r="S480" s="7" t="s">
        <v>13</v>
      </c>
      <c r="T480" s="9"/>
      <c r="U480" s="1"/>
    </row>
    <row r="481" spans="1:21" ht="13.5" thickBot="1" x14ac:dyDescent="0.25">
      <c r="A481" s="123">
        <v>3</v>
      </c>
      <c r="B481" s="123">
        <v>0</v>
      </c>
      <c r="C481" s="123">
        <v>3</v>
      </c>
      <c r="D481" s="123">
        <v>2</v>
      </c>
      <c r="E481" s="123">
        <v>0</v>
      </c>
      <c r="F481" s="123">
        <v>2</v>
      </c>
      <c r="G481" s="123">
        <v>0</v>
      </c>
      <c r="H481" s="123">
        <v>0</v>
      </c>
      <c r="I481" s="123">
        <v>0</v>
      </c>
      <c r="J481" s="123">
        <v>1</v>
      </c>
      <c r="K481" s="123">
        <v>0</v>
      </c>
      <c r="L481" s="123">
        <v>1</v>
      </c>
      <c r="M481" s="123">
        <v>0</v>
      </c>
      <c r="N481" s="123">
        <v>0</v>
      </c>
      <c r="O481" s="123">
        <v>0</v>
      </c>
      <c r="P481" s="123">
        <v>0</v>
      </c>
      <c r="Q481" s="123">
        <v>0</v>
      </c>
      <c r="R481" s="123">
        <v>0</v>
      </c>
      <c r="S481" s="7" t="s">
        <v>163</v>
      </c>
      <c r="T481" s="124"/>
      <c r="U481" s="1"/>
    </row>
    <row r="482" spans="1:21" ht="13.5" thickBot="1" x14ac:dyDescent="0.25">
      <c r="A482" s="123">
        <v>29</v>
      </c>
      <c r="B482" s="123">
        <v>28</v>
      </c>
      <c r="C482" s="123">
        <v>1</v>
      </c>
      <c r="D482" s="123">
        <v>28</v>
      </c>
      <c r="E482" s="123">
        <v>27</v>
      </c>
      <c r="F482" s="123">
        <v>1</v>
      </c>
      <c r="G482" s="123">
        <v>1</v>
      </c>
      <c r="H482" s="123">
        <v>1</v>
      </c>
      <c r="I482" s="123">
        <v>0</v>
      </c>
      <c r="J482" s="123">
        <v>0</v>
      </c>
      <c r="K482" s="123">
        <v>0</v>
      </c>
      <c r="L482" s="123">
        <v>0</v>
      </c>
      <c r="M482" s="123">
        <v>0</v>
      </c>
      <c r="N482" s="123">
        <v>0</v>
      </c>
      <c r="O482" s="123">
        <v>0</v>
      </c>
      <c r="P482" s="123">
        <v>0</v>
      </c>
      <c r="Q482" s="123">
        <v>0</v>
      </c>
      <c r="R482" s="123">
        <v>0</v>
      </c>
      <c r="S482" s="7" t="s">
        <v>162</v>
      </c>
      <c r="T482" s="124" t="s">
        <v>444</v>
      </c>
      <c r="U482" s="1"/>
    </row>
    <row r="483" spans="1:21" ht="13.5" thickBot="1" x14ac:dyDescent="0.25">
      <c r="A483" s="123">
        <v>32</v>
      </c>
      <c r="B483" s="123">
        <v>28</v>
      </c>
      <c r="C483" s="123">
        <v>4</v>
      </c>
      <c r="D483" s="123">
        <v>30</v>
      </c>
      <c r="E483" s="123">
        <v>27</v>
      </c>
      <c r="F483" s="123">
        <v>3</v>
      </c>
      <c r="G483" s="123">
        <v>1</v>
      </c>
      <c r="H483" s="123">
        <v>1</v>
      </c>
      <c r="I483" s="123">
        <v>0</v>
      </c>
      <c r="J483" s="123">
        <v>1</v>
      </c>
      <c r="K483" s="123">
        <v>0</v>
      </c>
      <c r="L483" s="123">
        <v>1</v>
      </c>
      <c r="M483" s="123">
        <v>0</v>
      </c>
      <c r="N483" s="123">
        <v>0</v>
      </c>
      <c r="O483" s="123">
        <v>0</v>
      </c>
      <c r="P483" s="123">
        <v>0</v>
      </c>
      <c r="Q483" s="123">
        <v>0</v>
      </c>
      <c r="R483" s="123">
        <v>0</v>
      </c>
      <c r="S483" s="7" t="s">
        <v>13</v>
      </c>
      <c r="T483" s="9"/>
      <c r="U483" s="1"/>
    </row>
    <row r="484" spans="1:21" ht="13.5" thickBot="1" x14ac:dyDescent="0.25">
      <c r="A484" s="123">
        <v>27</v>
      </c>
      <c r="B484" s="123">
        <v>25</v>
      </c>
      <c r="C484" s="123">
        <v>2</v>
      </c>
      <c r="D484" s="123">
        <v>26</v>
      </c>
      <c r="E484" s="123">
        <v>25</v>
      </c>
      <c r="F484" s="123">
        <v>1</v>
      </c>
      <c r="G484" s="123">
        <v>1</v>
      </c>
      <c r="H484" s="123">
        <v>0</v>
      </c>
      <c r="I484" s="123">
        <v>1</v>
      </c>
      <c r="J484" s="123">
        <v>0</v>
      </c>
      <c r="K484" s="123">
        <v>0</v>
      </c>
      <c r="L484" s="123">
        <v>0</v>
      </c>
      <c r="M484" s="123">
        <v>0</v>
      </c>
      <c r="N484" s="123">
        <v>0</v>
      </c>
      <c r="O484" s="123">
        <v>0</v>
      </c>
      <c r="P484" s="123">
        <v>0</v>
      </c>
      <c r="Q484" s="123">
        <v>0</v>
      </c>
      <c r="R484" s="123">
        <v>0</v>
      </c>
      <c r="S484" s="7" t="s">
        <v>163</v>
      </c>
      <c r="T484" s="124"/>
      <c r="U484" s="1"/>
    </row>
    <row r="485" spans="1:21" ht="13.5" thickBot="1" x14ac:dyDescent="0.25">
      <c r="A485" s="123">
        <v>0</v>
      </c>
      <c r="B485" s="123">
        <v>0</v>
      </c>
      <c r="C485" s="123">
        <v>0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0</v>
      </c>
      <c r="J485" s="123">
        <v>0</v>
      </c>
      <c r="K485" s="123">
        <v>0</v>
      </c>
      <c r="L485" s="123">
        <v>0</v>
      </c>
      <c r="M485" s="123">
        <v>0</v>
      </c>
      <c r="N485" s="123">
        <v>0</v>
      </c>
      <c r="O485" s="123">
        <v>0</v>
      </c>
      <c r="P485" s="123">
        <v>0</v>
      </c>
      <c r="Q485" s="123">
        <v>0</v>
      </c>
      <c r="R485" s="123">
        <v>0</v>
      </c>
      <c r="S485" s="7" t="s">
        <v>162</v>
      </c>
      <c r="T485" s="124" t="s">
        <v>449</v>
      </c>
      <c r="U485" s="1"/>
    </row>
    <row r="486" spans="1:21" ht="13.5" thickBot="1" x14ac:dyDescent="0.25">
      <c r="A486" s="123">
        <v>27</v>
      </c>
      <c r="B486" s="123">
        <v>25</v>
      </c>
      <c r="C486" s="123">
        <v>2</v>
      </c>
      <c r="D486" s="123">
        <v>26</v>
      </c>
      <c r="E486" s="123">
        <v>25</v>
      </c>
      <c r="F486" s="123">
        <v>1</v>
      </c>
      <c r="G486" s="123">
        <v>1</v>
      </c>
      <c r="H486" s="123">
        <v>0</v>
      </c>
      <c r="I486" s="123">
        <v>1</v>
      </c>
      <c r="J486" s="123">
        <v>0</v>
      </c>
      <c r="K486" s="123">
        <v>0</v>
      </c>
      <c r="L486" s="123">
        <v>0</v>
      </c>
      <c r="M486" s="123">
        <v>0</v>
      </c>
      <c r="N486" s="123">
        <v>0</v>
      </c>
      <c r="O486" s="123">
        <v>0</v>
      </c>
      <c r="P486" s="123">
        <v>0</v>
      </c>
      <c r="Q486" s="123">
        <v>0</v>
      </c>
      <c r="R486" s="123">
        <v>0</v>
      </c>
      <c r="S486" s="7" t="s">
        <v>13</v>
      </c>
      <c r="T486" s="9"/>
      <c r="U486" s="1"/>
    </row>
    <row r="487" spans="1:21" ht="13.5" thickBot="1" x14ac:dyDescent="0.25">
      <c r="A487" s="123">
        <v>7</v>
      </c>
      <c r="B487" s="123">
        <v>0</v>
      </c>
      <c r="C487" s="123">
        <v>7</v>
      </c>
      <c r="D487" s="123">
        <v>1</v>
      </c>
      <c r="E487" s="123">
        <v>0</v>
      </c>
      <c r="F487" s="123">
        <v>1</v>
      </c>
      <c r="G487" s="123">
        <v>3</v>
      </c>
      <c r="H487" s="123">
        <v>0</v>
      </c>
      <c r="I487" s="123">
        <v>3</v>
      </c>
      <c r="J487" s="123">
        <v>3</v>
      </c>
      <c r="K487" s="123">
        <v>0</v>
      </c>
      <c r="L487" s="123">
        <v>3</v>
      </c>
      <c r="M487" s="123">
        <v>0</v>
      </c>
      <c r="N487" s="123">
        <v>0</v>
      </c>
      <c r="O487" s="123">
        <v>0</v>
      </c>
      <c r="P487" s="123">
        <v>0</v>
      </c>
      <c r="Q487" s="123">
        <v>0</v>
      </c>
      <c r="R487" s="123">
        <v>0</v>
      </c>
      <c r="S487" s="7" t="s">
        <v>163</v>
      </c>
      <c r="T487" s="124"/>
      <c r="U487" s="1"/>
    </row>
    <row r="488" spans="1:21" ht="13.5" thickBot="1" x14ac:dyDescent="0.25">
      <c r="A488" s="123">
        <v>0</v>
      </c>
      <c r="B488" s="123">
        <v>0</v>
      </c>
      <c r="C488" s="123">
        <v>0</v>
      </c>
      <c r="D488" s="123">
        <v>0</v>
      </c>
      <c r="E488" s="123">
        <v>0</v>
      </c>
      <c r="F488" s="123">
        <v>0</v>
      </c>
      <c r="G488" s="123">
        <v>0</v>
      </c>
      <c r="H488" s="123">
        <v>0</v>
      </c>
      <c r="I488" s="123">
        <v>0</v>
      </c>
      <c r="J488" s="123">
        <v>0</v>
      </c>
      <c r="K488" s="123">
        <v>0</v>
      </c>
      <c r="L488" s="123">
        <v>0</v>
      </c>
      <c r="M488" s="123">
        <v>0</v>
      </c>
      <c r="N488" s="123">
        <v>0</v>
      </c>
      <c r="O488" s="123">
        <v>0</v>
      </c>
      <c r="P488" s="123">
        <v>0</v>
      </c>
      <c r="Q488" s="123">
        <v>0</v>
      </c>
      <c r="R488" s="123">
        <v>0</v>
      </c>
      <c r="S488" s="7" t="s">
        <v>162</v>
      </c>
      <c r="T488" s="124" t="s">
        <v>376</v>
      </c>
      <c r="U488" s="1"/>
    </row>
    <row r="489" spans="1:21" ht="13.5" thickBot="1" x14ac:dyDescent="0.25">
      <c r="A489" s="123">
        <v>7</v>
      </c>
      <c r="B489" s="123">
        <v>0</v>
      </c>
      <c r="C489" s="123">
        <v>7</v>
      </c>
      <c r="D489" s="123">
        <v>1</v>
      </c>
      <c r="E489" s="123">
        <v>0</v>
      </c>
      <c r="F489" s="123">
        <v>1</v>
      </c>
      <c r="G489" s="123">
        <v>3</v>
      </c>
      <c r="H489" s="123">
        <v>0</v>
      </c>
      <c r="I489" s="123">
        <v>3</v>
      </c>
      <c r="J489" s="123">
        <v>3</v>
      </c>
      <c r="K489" s="123">
        <v>0</v>
      </c>
      <c r="L489" s="123">
        <v>3</v>
      </c>
      <c r="M489" s="123">
        <v>0</v>
      </c>
      <c r="N489" s="123">
        <v>0</v>
      </c>
      <c r="O489" s="123">
        <v>0</v>
      </c>
      <c r="P489" s="123">
        <v>0</v>
      </c>
      <c r="Q489" s="123">
        <v>0</v>
      </c>
      <c r="R489" s="123">
        <v>0</v>
      </c>
      <c r="S489" s="7" t="s">
        <v>13</v>
      </c>
      <c r="T489" s="9"/>
      <c r="U489" s="1"/>
    </row>
    <row r="490" spans="1:21" ht="13.5" thickBot="1" x14ac:dyDescent="0.25">
      <c r="A490" s="123">
        <v>11</v>
      </c>
      <c r="B490" s="123">
        <v>0</v>
      </c>
      <c r="C490" s="123">
        <v>11</v>
      </c>
      <c r="D490" s="123">
        <v>3</v>
      </c>
      <c r="E490" s="123">
        <v>0</v>
      </c>
      <c r="F490" s="123">
        <v>3</v>
      </c>
      <c r="G490" s="123">
        <v>3</v>
      </c>
      <c r="H490" s="123">
        <v>0</v>
      </c>
      <c r="I490" s="123">
        <v>3</v>
      </c>
      <c r="J490" s="123">
        <v>4</v>
      </c>
      <c r="K490" s="123">
        <v>0</v>
      </c>
      <c r="L490" s="123">
        <v>4</v>
      </c>
      <c r="M490" s="123">
        <v>0</v>
      </c>
      <c r="N490" s="123">
        <v>0</v>
      </c>
      <c r="O490" s="123">
        <v>0</v>
      </c>
      <c r="P490" s="123">
        <v>1</v>
      </c>
      <c r="Q490" s="123">
        <v>0</v>
      </c>
      <c r="R490" s="123">
        <v>1</v>
      </c>
      <c r="S490" s="7" t="s">
        <v>163</v>
      </c>
      <c r="T490" s="124"/>
      <c r="U490" s="1"/>
    </row>
    <row r="491" spans="1:21" ht="13.5" thickBot="1" x14ac:dyDescent="0.25">
      <c r="A491" s="123">
        <v>1</v>
      </c>
      <c r="B491" s="123">
        <v>0</v>
      </c>
      <c r="C491" s="123">
        <v>1</v>
      </c>
      <c r="D491" s="123">
        <v>0</v>
      </c>
      <c r="E491" s="123">
        <v>0</v>
      </c>
      <c r="F491" s="123">
        <v>0</v>
      </c>
      <c r="G491" s="123">
        <v>0</v>
      </c>
      <c r="H491" s="123">
        <v>0</v>
      </c>
      <c r="I491" s="123">
        <v>0</v>
      </c>
      <c r="J491" s="123">
        <v>1</v>
      </c>
      <c r="K491" s="123">
        <v>0</v>
      </c>
      <c r="L491" s="123">
        <v>1</v>
      </c>
      <c r="M491" s="123">
        <v>0</v>
      </c>
      <c r="N491" s="123">
        <v>0</v>
      </c>
      <c r="O491" s="123">
        <v>0</v>
      </c>
      <c r="P491" s="123">
        <v>0</v>
      </c>
      <c r="Q491" s="123">
        <v>0</v>
      </c>
      <c r="R491" s="123">
        <v>0</v>
      </c>
      <c r="S491" s="7" t="s">
        <v>162</v>
      </c>
      <c r="T491" s="124" t="s">
        <v>337</v>
      </c>
      <c r="U491" s="1"/>
    </row>
    <row r="492" spans="1:21" ht="13.5" thickBot="1" x14ac:dyDescent="0.25">
      <c r="A492" s="123">
        <v>12</v>
      </c>
      <c r="B492" s="123">
        <v>0</v>
      </c>
      <c r="C492" s="123">
        <v>12</v>
      </c>
      <c r="D492" s="123">
        <v>3</v>
      </c>
      <c r="E492" s="123">
        <v>0</v>
      </c>
      <c r="F492" s="123">
        <v>3</v>
      </c>
      <c r="G492" s="123">
        <v>3</v>
      </c>
      <c r="H492" s="123">
        <v>0</v>
      </c>
      <c r="I492" s="123">
        <v>3</v>
      </c>
      <c r="J492" s="123">
        <v>5</v>
      </c>
      <c r="K492" s="123">
        <v>0</v>
      </c>
      <c r="L492" s="123">
        <v>5</v>
      </c>
      <c r="M492" s="123">
        <v>0</v>
      </c>
      <c r="N492" s="123">
        <v>0</v>
      </c>
      <c r="O492" s="123">
        <v>0</v>
      </c>
      <c r="P492" s="123">
        <v>1</v>
      </c>
      <c r="Q492" s="123">
        <v>0</v>
      </c>
      <c r="R492" s="123">
        <v>1</v>
      </c>
      <c r="S492" s="7" t="s">
        <v>13</v>
      </c>
      <c r="T492" s="9"/>
      <c r="U492" s="1"/>
    </row>
    <row r="493" spans="1:21" ht="13.5" thickBot="1" x14ac:dyDescent="0.25">
      <c r="A493" s="123">
        <v>16</v>
      </c>
      <c r="B493" s="123">
        <v>16</v>
      </c>
      <c r="C493" s="123">
        <v>0</v>
      </c>
      <c r="D493" s="123">
        <v>16</v>
      </c>
      <c r="E493" s="123">
        <v>16</v>
      </c>
      <c r="F493" s="123">
        <v>0</v>
      </c>
      <c r="G493" s="123">
        <v>0</v>
      </c>
      <c r="H493" s="123">
        <v>0</v>
      </c>
      <c r="I493" s="123">
        <v>0</v>
      </c>
      <c r="J493" s="123">
        <v>0</v>
      </c>
      <c r="K493" s="123">
        <v>0</v>
      </c>
      <c r="L493" s="123">
        <v>0</v>
      </c>
      <c r="M493" s="123">
        <v>0</v>
      </c>
      <c r="N493" s="123">
        <v>0</v>
      </c>
      <c r="O493" s="123">
        <v>0</v>
      </c>
      <c r="P493" s="123">
        <v>0</v>
      </c>
      <c r="Q493" s="123">
        <v>0</v>
      </c>
      <c r="R493" s="123">
        <v>0</v>
      </c>
      <c r="S493" s="7" t="s">
        <v>163</v>
      </c>
      <c r="T493" s="124"/>
      <c r="U493" s="1"/>
    </row>
    <row r="494" spans="1:21" ht="13.5" thickBot="1" x14ac:dyDescent="0.25">
      <c r="A494" s="123">
        <v>0</v>
      </c>
      <c r="B494" s="123">
        <v>0</v>
      </c>
      <c r="C494" s="123">
        <v>0</v>
      </c>
      <c r="D494" s="123">
        <v>0</v>
      </c>
      <c r="E494" s="123">
        <v>0</v>
      </c>
      <c r="F494" s="123">
        <v>0</v>
      </c>
      <c r="G494" s="123">
        <v>0</v>
      </c>
      <c r="H494" s="123">
        <v>0</v>
      </c>
      <c r="I494" s="123">
        <v>0</v>
      </c>
      <c r="J494" s="123">
        <v>0</v>
      </c>
      <c r="K494" s="123">
        <v>0</v>
      </c>
      <c r="L494" s="123">
        <v>0</v>
      </c>
      <c r="M494" s="123">
        <v>0</v>
      </c>
      <c r="N494" s="123">
        <v>0</v>
      </c>
      <c r="O494" s="123">
        <v>0</v>
      </c>
      <c r="P494" s="123">
        <v>0</v>
      </c>
      <c r="Q494" s="123">
        <v>0</v>
      </c>
      <c r="R494" s="123">
        <v>0</v>
      </c>
      <c r="S494" s="7" t="s">
        <v>162</v>
      </c>
      <c r="T494" s="124" t="s">
        <v>451</v>
      </c>
      <c r="U494" s="1"/>
    </row>
    <row r="495" spans="1:21" ht="13.5" thickBot="1" x14ac:dyDescent="0.25">
      <c r="A495" s="123">
        <v>16</v>
      </c>
      <c r="B495" s="123">
        <v>16</v>
      </c>
      <c r="C495" s="123">
        <v>0</v>
      </c>
      <c r="D495" s="123">
        <v>16</v>
      </c>
      <c r="E495" s="123">
        <v>16</v>
      </c>
      <c r="F495" s="123">
        <v>0</v>
      </c>
      <c r="G495" s="123">
        <v>0</v>
      </c>
      <c r="H495" s="123">
        <v>0</v>
      </c>
      <c r="I495" s="123">
        <v>0</v>
      </c>
      <c r="J495" s="123">
        <v>0</v>
      </c>
      <c r="K495" s="123">
        <v>0</v>
      </c>
      <c r="L495" s="123">
        <v>0</v>
      </c>
      <c r="M495" s="123">
        <v>0</v>
      </c>
      <c r="N495" s="123">
        <v>0</v>
      </c>
      <c r="O495" s="123">
        <v>0</v>
      </c>
      <c r="P495" s="123">
        <v>0</v>
      </c>
      <c r="Q495" s="123">
        <v>0</v>
      </c>
      <c r="R495" s="123">
        <v>0</v>
      </c>
      <c r="S495" s="7" t="s">
        <v>13</v>
      </c>
      <c r="T495" s="9"/>
      <c r="U495" s="1"/>
    </row>
    <row r="496" spans="1:21" ht="13.5" thickBot="1" x14ac:dyDescent="0.25">
      <c r="A496" s="123">
        <v>7</v>
      </c>
      <c r="B496" s="123">
        <v>7</v>
      </c>
      <c r="C496" s="123">
        <v>0</v>
      </c>
      <c r="D496" s="123">
        <v>6</v>
      </c>
      <c r="E496" s="123">
        <v>6</v>
      </c>
      <c r="F496" s="123">
        <v>0</v>
      </c>
      <c r="G496" s="123">
        <v>0</v>
      </c>
      <c r="H496" s="123">
        <v>0</v>
      </c>
      <c r="I496" s="123">
        <v>0</v>
      </c>
      <c r="J496" s="123">
        <v>1</v>
      </c>
      <c r="K496" s="123">
        <v>1</v>
      </c>
      <c r="L496" s="123">
        <v>0</v>
      </c>
      <c r="M496" s="123">
        <v>0</v>
      </c>
      <c r="N496" s="123">
        <v>0</v>
      </c>
      <c r="O496" s="123">
        <v>0</v>
      </c>
      <c r="P496" s="123">
        <v>0</v>
      </c>
      <c r="Q496" s="123">
        <v>0</v>
      </c>
      <c r="R496" s="123">
        <v>0</v>
      </c>
      <c r="S496" s="7" t="s">
        <v>163</v>
      </c>
      <c r="T496" s="124"/>
      <c r="U496" s="1"/>
    </row>
    <row r="497" spans="1:21" ht="13.5" thickBot="1" x14ac:dyDescent="0.25">
      <c r="A497" s="123">
        <v>0</v>
      </c>
      <c r="B497" s="123">
        <v>0</v>
      </c>
      <c r="C497" s="123">
        <v>0</v>
      </c>
      <c r="D497" s="123">
        <v>0</v>
      </c>
      <c r="E497" s="123">
        <v>0</v>
      </c>
      <c r="F497" s="123">
        <v>0</v>
      </c>
      <c r="G497" s="123">
        <v>0</v>
      </c>
      <c r="H497" s="123">
        <v>0</v>
      </c>
      <c r="I497" s="123">
        <v>0</v>
      </c>
      <c r="J497" s="123">
        <v>0</v>
      </c>
      <c r="K497" s="123">
        <v>0</v>
      </c>
      <c r="L497" s="123">
        <v>0</v>
      </c>
      <c r="M497" s="123">
        <v>0</v>
      </c>
      <c r="N497" s="123">
        <v>0</v>
      </c>
      <c r="O497" s="123">
        <v>0</v>
      </c>
      <c r="P497" s="123">
        <v>0</v>
      </c>
      <c r="Q497" s="123">
        <v>0</v>
      </c>
      <c r="R497" s="123">
        <v>0</v>
      </c>
      <c r="S497" s="7" t="s">
        <v>162</v>
      </c>
      <c r="T497" s="124" t="s">
        <v>452</v>
      </c>
      <c r="U497" s="1"/>
    </row>
    <row r="498" spans="1:21" ht="13.5" thickBot="1" x14ac:dyDescent="0.25">
      <c r="A498" s="123">
        <v>7</v>
      </c>
      <c r="B498" s="123">
        <v>7</v>
      </c>
      <c r="C498" s="123">
        <v>0</v>
      </c>
      <c r="D498" s="123">
        <v>6</v>
      </c>
      <c r="E498" s="123">
        <v>6</v>
      </c>
      <c r="F498" s="123">
        <v>0</v>
      </c>
      <c r="G498" s="123">
        <v>0</v>
      </c>
      <c r="H498" s="123">
        <v>0</v>
      </c>
      <c r="I498" s="123">
        <v>0</v>
      </c>
      <c r="J498" s="123">
        <v>1</v>
      </c>
      <c r="K498" s="123">
        <v>1</v>
      </c>
      <c r="L498" s="123">
        <v>0</v>
      </c>
      <c r="M498" s="123">
        <v>0</v>
      </c>
      <c r="N498" s="123">
        <v>0</v>
      </c>
      <c r="O498" s="123">
        <v>0</v>
      </c>
      <c r="P498" s="123">
        <v>0</v>
      </c>
      <c r="Q498" s="123">
        <v>0</v>
      </c>
      <c r="R498" s="123">
        <v>0</v>
      </c>
      <c r="S498" s="7" t="s">
        <v>13</v>
      </c>
      <c r="T498" s="9"/>
      <c r="U498" s="1"/>
    </row>
    <row r="499" spans="1:21" ht="13.5" thickBot="1" x14ac:dyDescent="0.25">
      <c r="A499" s="123">
        <v>1</v>
      </c>
      <c r="B499" s="123">
        <v>0</v>
      </c>
      <c r="C499" s="123">
        <v>1</v>
      </c>
      <c r="D499" s="123">
        <v>1</v>
      </c>
      <c r="E499" s="123">
        <v>0</v>
      </c>
      <c r="F499" s="123">
        <v>1</v>
      </c>
      <c r="G499" s="123">
        <v>0</v>
      </c>
      <c r="H499" s="123">
        <v>0</v>
      </c>
      <c r="I499" s="123">
        <v>0</v>
      </c>
      <c r="J499" s="123">
        <v>0</v>
      </c>
      <c r="K499" s="123">
        <v>0</v>
      </c>
      <c r="L499" s="123">
        <v>0</v>
      </c>
      <c r="M499" s="123">
        <v>0</v>
      </c>
      <c r="N499" s="123">
        <v>0</v>
      </c>
      <c r="O499" s="123">
        <v>0</v>
      </c>
      <c r="P499" s="123">
        <v>0</v>
      </c>
      <c r="Q499" s="123">
        <v>0</v>
      </c>
      <c r="R499" s="123">
        <v>0</v>
      </c>
      <c r="S499" s="7" t="s">
        <v>163</v>
      </c>
      <c r="T499" s="124"/>
      <c r="U499" s="1"/>
    </row>
    <row r="500" spans="1:21" ht="13.5" thickBot="1" x14ac:dyDescent="0.25">
      <c r="A500" s="123">
        <v>0</v>
      </c>
      <c r="B500" s="123">
        <v>0</v>
      </c>
      <c r="C500" s="123">
        <v>0</v>
      </c>
      <c r="D500" s="123">
        <v>0</v>
      </c>
      <c r="E500" s="123">
        <v>0</v>
      </c>
      <c r="F500" s="123">
        <v>0</v>
      </c>
      <c r="G500" s="123">
        <v>0</v>
      </c>
      <c r="H500" s="123">
        <v>0</v>
      </c>
      <c r="I500" s="123">
        <v>0</v>
      </c>
      <c r="J500" s="123">
        <v>0</v>
      </c>
      <c r="K500" s="123">
        <v>0</v>
      </c>
      <c r="L500" s="123">
        <v>0</v>
      </c>
      <c r="M500" s="123">
        <v>0</v>
      </c>
      <c r="N500" s="123">
        <v>0</v>
      </c>
      <c r="O500" s="123">
        <v>0</v>
      </c>
      <c r="P500" s="123">
        <v>0</v>
      </c>
      <c r="Q500" s="123">
        <v>0</v>
      </c>
      <c r="R500" s="123">
        <v>0</v>
      </c>
      <c r="S500" s="7" t="s">
        <v>162</v>
      </c>
      <c r="T500" s="124" t="s">
        <v>453</v>
      </c>
      <c r="U500" s="1"/>
    </row>
    <row r="501" spans="1:21" ht="13.5" thickBot="1" x14ac:dyDescent="0.25">
      <c r="A501" s="123">
        <v>1</v>
      </c>
      <c r="B501" s="123">
        <v>0</v>
      </c>
      <c r="C501" s="123">
        <v>1</v>
      </c>
      <c r="D501" s="123">
        <v>1</v>
      </c>
      <c r="E501" s="123">
        <v>0</v>
      </c>
      <c r="F501" s="123">
        <v>1</v>
      </c>
      <c r="G501" s="123">
        <v>0</v>
      </c>
      <c r="H501" s="123">
        <v>0</v>
      </c>
      <c r="I501" s="123">
        <v>0</v>
      </c>
      <c r="J501" s="123">
        <v>0</v>
      </c>
      <c r="K501" s="123">
        <v>0</v>
      </c>
      <c r="L501" s="123">
        <v>0</v>
      </c>
      <c r="M501" s="123">
        <v>0</v>
      </c>
      <c r="N501" s="123">
        <v>0</v>
      </c>
      <c r="O501" s="123">
        <v>0</v>
      </c>
      <c r="P501" s="123">
        <v>0</v>
      </c>
      <c r="Q501" s="123">
        <v>0</v>
      </c>
      <c r="R501" s="123">
        <v>0</v>
      </c>
      <c r="S501" s="7" t="s">
        <v>13</v>
      </c>
      <c r="T501" s="9"/>
      <c r="U501" s="1"/>
    </row>
    <row r="502" spans="1:21" ht="13.5" thickBot="1" x14ac:dyDescent="0.25">
      <c r="A502" s="123">
        <v>18</v>
      </c>
      <c r="B502" s="123">
        <v>0</v>
      </c>
      <c r="C502" s="123">
        <v>18</v>
      </c>
      <c r="D502" s="123">
        <v>18</v>
      </c>
      <c r="E502" s="123">
        <v>0</v>
      </c>
      <c r="F502" s="123">
        <v>18</v>
      </c>
      <c r="G502" s="123">
        <v>0</v>
      </c>
      <c r="H502" s="123">
        <v>0</v>
      </c>
      <c r="I502" s="123">
        <v>0</v>
      </c>
      <c r="J502" s="123">
        <v>0</v>
      </c>
      <c r="K502" s="123">
        <v>0</v>
      </c>
      <c r="L502" s="123">
        <v>0</v>
      </c>
      <c r="M502" s="123">
        <v>0</v>
      </c>
      <c r="N502" s="123">
        <v>0</v>
      </c>
      <c r="O502" s="123">
        <v>0</v>
      </c>
      <c r="P502" s="123">
        <v>0</v>
      </c>
      <c r="Q502" s="123">
        <v>0</v>
      </c>
      <c r="R502" s="123">
        <v>0</v>
      </c>
      <c r="S502" s="7" t="s">
        <v>163</v>
      </c>
      <c r="T502" s="124"/>
      <c r="U502" s="1"/>
    </row>
    <row r="503" spans="1:21" ht="13.5" thickBot="1" x14ac:dyDescent="0.25">
      <c r="A503" s="123">
        <v>0</v>
      </c>
      <c r="B503" s="123">
        <v>0</v>
      </c>
      <c r="C503" s="123">
        <v>0</v>
      </c>
      <c r="D503" s="123">
        <v>0</v>
      </c>
      <c r="E503" s="123">
        <v>0</v>
      </c>
      <c r="F503" s="123">
        <v>0</v>
      </c>
      <c r="G503" s="123">
        <v>0</v>
      </c>
      <c r="H503" s="123">
        <v>0</v>
      </c>
      <c r="I503" s="123">
        <v>0</v>
      </c>
      <c r="J503" s="123">
        <v>0</v>
      </c>
      <c r="K503" s="123">
        <v>0</v>
      </c>
      <c r="L503" s="123">
        <v>0</v>
      </c>
      <c r="M503" s="123">
        <v>0</v>
      </c>
      <c r="N503" s="123">
        <v>0</v>
      </c>
      <c r="O503" s="123">
        <v>0</v>
      </c>
      <c r="P503" s="123">
        <v>0</v>
      </c>
      <c r="Q503" s="123">
        <v>0</v>
      </c>
      <c r="R503" s="123">
        <v>0</v>
      </c>
      <c r="S503" s="7" t="s">
        <v>162</v>
      </c>
      <c r="T503" s="124" t="s">
        <v>657</v>
      </c>
      <c r="U503" s="1"/>
    </row>
    <row r="504" spans="1:21" ht="13.5" thickBot="1" x14ac:dyDescent="0.25">
      <c r="A504" s="123">
        <v>18</v>
      </c>
      <c r="B504" s="123">
        <v>0</v>
      </c>
      <c r="C504" s="123">
        <v>18</v>
      </c>
      <c r="D504" s="123">
        <v>18</v>
      </c>
      <c r="E504" s="123">
        <v>0</v>
      </c>
      <c r="F504" s="123">
        <v>18</v>
      </c>
      <c r="G504" s="123">
        <v>0</v>
      </c>
      <c r="H504" s="123">
        <v>0</v>
      </c>
      <c r="I504" s="123">
        <v>0</v>
      </c>
      <c r="J504" s="123">
        <v>0</v>
      </c>
      <c r="K504" s="123">
        <v>0</v>
      </c>
      <c r="L504" s="123">
        <v>0</v>
      </c>
      <c r="M504" s="123">
        <v>0</v>
      </c>
      <c r="N504" s="123">
        <v>0</v>
      </c>
      <c r="O504" s="123">
        <v>0</v>
      </c>
      <c r="P504" s="123">
        <v>0</v>
      </c>
      <c r="Q504" s="123">
        <v>0</v>
      </c>
      <c r="R504" s="123">
        <v>0</v>
      </c>
      <c r="S504" s="7" t="s">
        <v>13</v>
      </c>
      <c r="T504" s="9"/>
      <c r="U504" s="1"/>
    </row>
    <row r="505" spans="1:21" ht="13.5" thickBot="1" x14ac:dyDescent="0.25">
      <c r="A505" s="123">
        <v>16</v>
      </c>
      <c r="B505" s="123">
        <v>15</v>
      </c>
      <c r="C505" s="123">
        <v>1</v>
      </c>
      <c r="D505" s="123">
        <v>16</v>
      </c>
      <c r="E505" s="123">
        <v>15</v>
      </c>
      <c r="F505" s="123">
        <v>1</v>
      </c>
      <c r="G505" s="123">
        <v>0</v>
      </c>
      <c r="H505" s="123">
        <v>0</v>
      </c>
      <c r="I505" s="123">
        <v>0</v>
      </c>
      <c r="J505" s="123">
        <v>0</v>
      </c>
      <c r="K505" s="123">
        <v>0</v>
      </c>
      <c r="L505" s="123">
        <v>0</v>
      </c>
      <c r="M505" s="123">
        <v>0</v>
      </c>
      <c r="N505" s="123">
        <v>0</v>
      </c>
      <c r="O505" s="123">
        <v>0</v>
      </c>
      <c r="P505" s="123">
        <v>0</v>
      </c>
      <c r="Q505" s="123">
        <v>0</v>
      </c>
      <c r="R505" s="123">
        <v>0</v>
      </c>
      <c r="S505" s="7" t="s">
        <v>163</v>
      </c>
      <c r="T505" s="124"/>
      <c r="U505" s="1"/>
    </row>
    <row r="506" spans="1:21" ht="13.5" thickBot="1" x14ac:dyDescent="0.25">
      <c r="A506" s="123">
        <v>0</v>
      </c>
      <c r="B506" s="123">
        <v>0</v>
      </c>
      <c r="C506" s="123">
        <v>0</v>
      </c>
      <c r="D506" s="123">
        <v>0</v>
      </c>
      <c r="E506" s="123">
        <v>0</v>
      </c>
      <c r="F506" s="123">
        <v>0</v>
      </c>
      <c r="G506" s="123">
        <v>0</v>
      </c>
      <c r="H506" s="123">
        <v>0</v>
      </c>
      <c r="I506" s="123">
        <v>0</v>
      </c>
      <c r="J506" s="123">
        <v>0</v>
      </c>
      <c r="K506" s="123">
        <v>0</v>
      </c>
      <c r="L506" s="123">
        <v>0</v>
      </c>
      <c r="M506" s="123">
        <v>0</v>
      </c>
      <c r="N506" s="123">
        <v>0</v>
      </c>
      <c r="O506" s="123">
        <v>0</v>
      </c>
      <c r="P506" s="123">
        <v>0</v>
      </c>
      <c r="Q506" s="123">
        <v>0</v>
      </c>
      <c r="R506" s="123">
        <v>0</v>
      </c>
      <c r="S506" s="7" t="s">
        <v>162</v>
      </c>
      <c r="T506" s="124" t="s">
        <v>658</v>
      </c>
      <c r="U506" s="1"/>
    </row>
    <row r="507" spans="1:21" ht="13.5" thickBot="1" x14ac:dyDescent="0.25">
      <c r="A507" s="123">
        <v>16</v>
      </c>
      <c r="B507" s="123">
        <v>15</v>
      </c>
      <c r="C507" s="123">
        <v>1</v>
      </c>
      <c r="D507" s="123">
        <v>16</v>
      </c>
      <c r="E507" s="123">
        <v>15</v>
      </c>
      <c r="F507" s="123">
        <v>1</v>
      </c>
      <c r="G507" s="123">
        <v>0</v>
      </c>
      <c r="H507" s="123">
        <v>0</v>
      </c>
      <c r="I507" s="123">
        <v>0</v>
      </c>
      <c r="J507" s="123">
        <v>0</v>
      </c>
      <c r="K507" s="123">
        <v>0</v>
      </c>
      <c r="L507" s="123">
        <v>0</v>
      </c>
      <c r="M507" s="123">
        <v>0</v>
      </c>
      <c r="N507" s="123">
        <v>0</v>
      </c>
      <c r="O507" s="123">
        <v>0</v>
      </c>
      <c r="P507" s="123">
        <v>0</v>
      </c>
      <c r="Q507" s="123">
        <v>0</v>
      </c>
      <c r="R507" s="123">
        <v>0</v>
      </c>
      <c r="S507" s="7" t="s">
        <v>13</v>
      </c>
      <c r="T507" s="9"/>
      <c r="U507" s="1"/>
    </row>
    <row r="508" spans="1:21" ht="13.5" thickBot="1" x14ac:dyDescent="0.25">
      <c r="A508" s="123">
        <v>1</v>
      </c>
      <c r="B508" s="123">
        <v>0</v>
      </c>
      <c r="C508" s="123">
        <v>1</v>
      </c>
      <c r="D508" s="123">
        <v>1</v>
      </c>
      <c r="E508" s="123">
        <v>0</v>
      </c>
      <c r="F508" s="123">
        <v>1</v>
      </c>
      <c r="G508" s="123">
        <v>0</v>
      </c>
      <c r="H508" s="123">
        <v>0</v>
      </c>
      <c r="I508" s="123">
        <v>0</v>
      </c>
      <c r="J508" s="123">
        <v>0</v>
      </c>
      <c r="K508" s="123">
        <v>0</v>
      </c>
      <c r="L508" s="123">
        <v>0</v>
      </c>
      <c r="M508" s="123">
        <v>0</v>
      </c>
      <c r="N508" s="123">
        <v>0</v>
      </c>
      <c r="O508" s="123">
        <v>0</v>
      </c>
      <c r="P508" s="123">
        <v>0</v>
      </c>
      <c r="Q508" s="123">
        <v>0</v>
      </c>
      <c r="R508" s="123">
        <v>0</v>
      </c>
      <c r="S508" s="7" t="s">
        <v>163</v>
      </c>
      <c r="T508" s="124"/>
      <c r="U508" s="1"/>
    </row>
    <row r="509" spans="1:21" ht="13.5" thickBot="1" x14ac:dyDescent="0.25">
      <c r="A509" s="123">
        <v>0</v>
      </c>
      <c r="B509" s="123">
        <v>0</v>
      </c>
      <c r="C509" s="123">
        <v>0</v>
      </c>
      <c r="D509" s="123">
        <v>0</v>
      </c>
      <c r="E509" s="123">
        <v>0</v>
      </c>
      <c r="F509" s="123">
        <v>0</v>
      </c>
      <c r="G509" s="123">
        <v>0</v>
      </c>
      <c r="H509" s="123">
        <v>0</v>
      </c>
      <c r="I509" s="123">
        <v>0</v>
      </c>
      <c r="J509" s="123">
        <v>0</v>
      </c>
      <c r="K509" s="123">
        <v>0</v>
      </c>
      <c r="L509" s="123">
        <v>0</v>
      </c>
      <c r="M509" s="123">
        <v>0</v>
      </c>
      <c r="N509" s="123">
        <v>0</v>
      </c>
      <c r="O509" s="123">
        <v>0</v>
      </c>
      <c r="P509" s="123">
        <v>0</v>
      </c>
      <c r="Q509" s="123">
        <v>0</v>
      </c>
      <c r="R509" s="123">
        <v>0</v>
      </c>
      <c r="S509" s="7" t="s">
        <v>162</v>
      </c>
      <c r="T509" s="124" t="s">
        <v>367</v>
      </c>
      <c r="U509" s="1"/>
    </row>
    <row r="510" spans="1:21" ht="13.5" thickBot="1" x14ac:dyDescent="0.25">
      <c r="A510" s="123">
        <v>1</v>
      </c>
      <c r="B510" s="123">
        <v>0</v>
      </c>
      <c r="C510" s="123">
        <v>1</v>
      </c>
      <c r="D510" s="123">
        <v>1</v>
      </c>
      <c r="E510" s="123">
        <v>0</v>
      </c>
      <c r="F510" s="123">
        <v>1</v>
      </c>
      <c r="G510" s="123">
        <v>0</v>
      </c>
      <c r="H510" s="123">
        <v>0</v>
      </c>
      <c r="I510" s="123">
        <v>0</v>
      </c>
      <c r="J510" s="123">
        <v>0</v>
      </c>
      <c r="K510" s="123">
        <v>0</v>
      </c>
      <c r="L510" s="123">
        <v>0</v>
      </c>
      <c r="M510" s="123">
        <v>0</v>
      </c>
      <c r="N510" s="123">
        <v>0</v>
      </c>
      <c r="O510" s="123">
        <v>0</v>
      </c>
      <c r="P510" s="123">
        <v>0</v>
      </c>
      <c r="Q510" s="123">
        <v>0</v>
      </c>
      <c r="R510" s="123">
        <v>0</v>
      </c>
      <c r="S510" s="7" t="s">
        <v>13</v>
      </c>
      <c r="T510" s="9"/>
      <c r="U510" s="1"/>
    </row>
    <row r="511" spans="1:21" ht="13.5" thickBot="1" x14ac:dyDescent="0.25">
      <c r="A511" s="123">
        <v>1</v>
      </c>
      <c r="B511" s="123">
        <v>1</v>
      </c>
      <c r="C511" s="123">
        <v>0</v>
      </c>
      <c r="D511" s="123">
        <v>1</v>
      </c>
      <c r="E511" s="123">
        <v>1</v>
      </c>
      <c r="F511" s="123">
        <v>0</v>
      </c>
      <c r="G511" s="123">
        <v>0</v>
      </c>
      <c r="H511" s="123">
        <v>0</v>
      </c>
      <c r="I511" s="123">
        <v>0</v>
      </c>
      <c r="J511" s="123">
        <v>0</v>
      </c>
      <c r="K511" s="123">
        <v>0</v>
      </c>
      <c r="L511" s="123">
        <v>0</v>
      </c>
      <c r="M511" s="123">
        <v>0</v>
      </c>
      <c r="N511" s="123">
        <v>0</v>
      </c>
      <c r="O511" s="123">
        <v>0</v>
      </c>
      <c r="P511" s="123">
        <v>0</v>
      </c>
      <c r="Q511" s="123">
        <v>0</v>
      </c>
      <c r="R511" s="123">
        <v>0</v>
      </c>
      <c r="S511" s="7" t="s">
        <v>163</v>
      </c>
      <c r="T511" s="124"/>
      <c r="U511" s="1"/>
    </row>
    <row r="512" spans="1:21" ht="13.5" thickBot="1" x14ac:dyDescent="0.25">
      <c r="A512" s="123">
        <v>1</v>
      </c>
      <c r="B512" s="123">
        <v>1</v>
      </c>
      <c r="C512" s="123">
        <v>0</v>
      </c>
      <c r="D512" s="123">
        <v>0</v>
      </c>
      <c r="E512" s="123">
        <v>0</v>
      </c>
      <c r="F512" s="123">
        <v>0</v>
      </c>
      <c r="G512" s="123">
        <v>0</v>
      </c>
      <c r="H512" s="123">
        <v>0</v>
      </c>
      <c r="I512" s="123">
        <v>0</v>
      </c>
      <c r="J512" s="123">
        <v>1</v>
      </c>
      <c r="K512" s="123">
        <v>1</v>
      </c>
      <c r="L512" s="123">
        <v>0</v>
      </c>
      <c r="M512" s="123">
        <v>0</v>
      </c>
      <c r="N512" s="123">
        <v>0</v>
      </c>
      <c r="O512" s="123">
        <v>0</v>
      </c>
      <c r="P512" s="123">
        <v>0</v>
      </c>
      <c r="Q512" s="123">
        <v>0</v>
      </c>
      <c r="R512" s="123">
        <v>0</v>
      </c>
      <c r="S512" s="7" t="s">
        <v>162</v>
      </c>
      <c r="T512" s="124" t="s">
        <v>659</v>
      </c>
      <c r="U512" s="1"/>
    </row>
    <row r="513" spans="1:21" ht="13.5" thickBot="1" x14ac:dyDescent="0.25">
      <c r="A513" s="123">
        <v>2</v>
      </c>
      <c r="B513" s="123">
        <v>2</v>
      </c>
      <c r="C513" s="123">
        <v>0</v>
      </c>
      <c r="D513" s="123">
        <v>1</v>
      </c>
      <c r="E513" s="123">
        <v>1</v>
      </c>
      <c r="F513" s="123">
        <v>0</v>
      </c>
      <c r="G513" s="123">
        <v>0</v>
      </c>
      <c r="H513" s="123">
        <v>0</v>
      </c>
      <c r="I513" s="123">
        <v>0</v>
      </c>
      <c r="J513" s="123">
        <v>1</v>
      </c>
      <c r="K513" s="123">
        <v>1</v>
      </c>
      <c r="L513" s="123">
        <v>0</v>
      </c>
      <c r="M513" s="123">
        <v>0</v>
      </c>
      <c r="N513" s="123">
        <v>0</v>
      </c>
      <c r="O513" s="123">
        <v>0</v>
      </c>
      <c r="P513" s="123">
        <v>0</v>
      </c>
      <c r="Q513" s="123">
        <v>0</v>
      </c>
      <c r="R513" s="123">
        <v>0</v>
      </c>
      <c r="S513" s="7" t="s">
        <v>13</v>
      </c>
      <c r="T513" s="9"/>
      <c r="U513" s="1"/>
    </row>
    <row r="514" spans="1:21" ht="13.5" thickBot="1" x14ac:dyDescent="0.25">
      <c r="A514" s="123">
        <v>1</v>
      </c>
      <c r="B514" s="123">
        <v>1</v>
      </c>
      <c r="C514" s="123">
        <v>0</v>
      </c>
      <c r="D514" s="123">
        <v>1</v>
      </c>
      <c r="E514" s="123">
        <v>1</v>
      </c>
      <c r="F514" s="123">
        <v>0</v>
      </c>
      <c r="G514" s="123">
        <v>0</v>
      </c>
      <c r="H514" s="123">
        <v>0</v>
      </c>
      <c r="I514" s="123">
        <v>0</v>
      </c>
      <c r="J514" s="123">
        <v>0</v>
      </c>
      <c r="K514" s="123">
        <v>0</v>
      </c>
      <c r="L514" s="123">
        <v>0</v>
      </c>
      <c r="M514" s="123">
        <v>0</v>
      </c>
      <c r="N514" s="123">
        <v>0</v>
      </c>
      <c r="O514" s="123">
        <v>0</v>
      </c>
      <c r="P514" s="123">
        <v>0</v>
      </c>
      <c r="Q514" s="123">
        <v>0</v>
      </c>
      <c r="R514" s="123">
        <v>0</v>
      </c>
      <c r="S514" s="7" t="s">
        <v>163</v>
      </c>
      <c r="T514" s="124"/>
      <c r="U514" s="1"/>
    </row>
    <row r="515" spans="1:21" ht="13.5" thickBot="1" x14ac:dyDescent="0.25">
      <c r="A515" s="123">
        <v>1</v>
      </c>
      <c r="B515" s="123">
        <v>1</v>
      </c>
      <c r="C515" s="123">
        <v>0</v>
      </c>
      <c r="D515" s="123">
        <v>0</v>
      </c>
      <c r="E515" s="123">
        <v>0</v>
      </c>
      <c r="F515" s="123">
        <v>0</v>
      </c>
      <c r="G515" s="123">
        <v>0</v>
      </c>
      <c r="H515" s="123">
        <v>0</v>
      </c>
      <c r="I515" s="123">
        <v>0</v>
      </c>
      <c r="J515" s="123">
        <v>1</v>
      </c>
      <c r="K515" s="123">
        <v>1</v>
      </c>
      <c r="L515" s="123">
        <v>0</v>
      </c>
      <c r="M515" s="123">
        <v>0</v>
      </c>
      <c r="N515" s="123">
        <v>0</v>
      </c>
      <c r="O515" s="123">
        <v>0</v>
      </c>
      <c r="P515" s="123">
        <v>0</v>
      </c>
      <c r="Q515" s="123">
        <v>0</v>
      </c>
      <c r="R515" s="123">
        <v>0</v>
      </c>
      <c r="S515" s="7" t="s">
        <v>162</v>
      </c>
      <c r="T515" s="124" t="s">
        <v>660</v>
      </c>
      <c r="U515" s="1"/>
    </row>
    <row r="516" spans="1:21" ht="13.5" thickBot="1" x14ac:dyDescent="0.25">
      <c r="A516" s="123">
        <v>2</v>
      </c>
      <c r="B516" s="123">
        <v>2</v>
      </c>
      <c r="C516" s="123">
        <v>0</v>
      </c>
      <c r="D516" s="123">
        <v>1</v>
      </c>
      <c r="E516" s="123">
        <v>1</v>
      </c>
      <c r="F516" s="123">
        <v>0</v>
      </c>
      <c r="G516" s="123">
        <v>0</v>
      </c>
      <c r="H516" s="123">
        <v>0</v>
      </c>
      <c r="I516" s="123">
        <v>0</v>
      </c>
      <c r="J516" s="123">
        <v>1</v>
      </c>
      <c r="K516" s="123">
        <v>1</v>
      </c>
      <c r="L516" s="123">
        <v>0</v>
      </c>
      <c r="M516" s="123">
        <v>0</v>
      </c>
      <c r="N516" s="123">
        <v>0</v>
      </c>
      <c r="O516" s="123">
        <v>0</v>
      </c>
      <c r="P516" s="123">
        <v>0</v>
      </c>
      <c r="Q516" s="123">
        <v>0</v>
      </c>
      <c r="R516" s="123">
        <v>0</v>
      </c>
      <c r="S516" s="7" t="s">
        <v>13</v>
      </c>
      <c r="T516" s="9"/>
      <c r="U516" s="1"/>
    </row>
    <row r="517" spans="1:21" ht="13.5" thickBot="1" x14ac:dyDescent="0.25">
      <c r="A517" s="123">
        <v>4</v>
      </c>
      <c r="B517" s="123">
        <v>0</v>
      </c>
      <c r="C517" s="123">
        <v>4</v>
      </c>
      <c r="D517" s="123">
        <v>2</v>
      </c>
      <c r="E517" s="123">
        <v>0</v>
      </c>
      <c r="F517" s="123">
        <v>2</v>
      </c>
      <c r="G517" s="123">
        <v>0</v>
      </c>
      <c r="H517" s="123">
        <v>0</v>
      </c>
      <c r="I517" s="123">
        <v>0</v>
      </c>
      <c r="J517" s="123">
        <v>2</v>
      </c>
      <c r="K517" s="123">
        <v>0</v>
      </c>
      <c r="L517" s="123">
        <v>2</v>
      </c>
      <c r="M517" s="123">
        <v>0</v>
      </c>
      <c r="N517" s="123">
        <v>0</v>
      </c>
      <c r="O517" s="123">
        <v>0</v>
      </c>
      <c r="P517" s="123">
        <v>0</v>
      </c>
      <c r="Q517" s="123">
        <v>0</v>
      </c>
      <c r="R517" s="123">
        <v>0</v>
      </c>
      <c r="S517" s="7" t="s">
        <v>163</v>
      </c>
      <c r="T517" s="124"/>
      <c r="U517" s="1"/>
    </row>
    <row r="518" spans="1:21" ht="13.5" thickBot="1" x14ac:dyDescent="0.25">
      <c r="A518" s="123">
        <v>0</v>
      </c>
      <c r="B518" s="123">
        <v>0</v>
      </c>
      <c r="C518" s="123">
        <v>0</v>
      </c>
      <c r="D518" s="123">
        <v>0</v>
      </c>
      <c r="E518" s="123">
        <v>0</v>
      </c>
      <c r="F518" s="123">
        <v>0</v>
      </c>
      <c r="G518" s="123">
        <v>0</v>
      </c>
      <c r="H518" s="123">
        <v>0</v>
      </c>
      <c r="I518" s="123">
        <v>0</v>
      </c>
      <c r="J518" s="123">
        <v>0</v>
      </c>
      <c r="K518" s="123">
        <v>0</v>
      </c>
      <c r="L518" s="123">
        <v>0</v>
      </c>
      <c r="M518" s="123">
        <v>0</v>
      </c>
      <c r="N518" s="123">
        <v>0</v>
      </c>
      <c r="O518" s="123">
        <v>0</v>
      </c>
      <c r="P518" s="123">
        <v>0</v>
      </c>
      <c r="Q518" s="123">
        <v>0</v>
      </c>
      <c r="R518" s="123">
        <v>0</v>
      </c>
      <c r="S518" s="7" t="s">
        <v>162</v>
      </c>
      <c r="T518" s="124" t="s">
        <v>661</v>
      </c>
      <c r="U518" s="1"/>
    </row>
    <row r="519" spans="1:21" ht="13.5" thickBot="1" x14ac:dyDescent="0.25">
      <c r="A519" s="123">
        <v>4</v>
      </c>
      <c r="B519" s="123">
        <v>0</v>
      </c>
      <c r="C519" s="123">
        <v>4</v>
      </c>
      <c r="D519" s="123">
        <v>2</v>
      </c>
      <c r="E519" s="123">
        <v>0</v>
      </c>
      <c r="F519" s="123">
        <v>2</v>
      </c>
      <c r="G519" s="123">
        <v>0</v>
      </c>
      <c r="H519" s="123">
        <v>0</v>
      </c>
      <c r="I519" s="123">
        <v>0</v>
      </c>
      <c r="J519" s="123">
        <v>2</v>
      </c>
      <c r="K519" s="123">
        <v>0</v>
      </c>
      <c r="L519" s="123">
        <v>2</v>
      </c>
      <c r="M519" s="123">
        <v>0</v>
      </c>
      <c r="N519" s="123">
        <v>0</v>
      </c>
      <c r="O519" s="123">
        <v>0</v>
      </c>
      <c r="P519" s="123">
        <v>0</v>
      </c>
      <c r="Q519" s="123">
        <v>0</v>
      </c>
      <c r="R519" s="123">
        <v>0</v>
      </c>
      <c r="S519" s="7" t="s">
        <v>13</v>
      </c>
      <c r="T519" s="9"/>
      <c r="U519" s="1"/>
    </row>
    <row r="520" spans="1:21" ht="13.5" thickBot="1" x14ac:dyDescent="0.25">
      <c r="A520" s="123">
        <v>7</v>
      </c>
      <c r="B520" s="123">
        <v>0</v>
      </c>
      <c r="C520" s="123">
        <v>7</v>
      </c>
      <c r="D520" s="123">
        <v>7</v>
      </c>
      <c r="E520" s="123">
        <v>0</v>
      </c>
      <c r="F520" s="123">
        <v>7</v>
      </c>
      <c r="G520" s="123">
        <v>0</v>
      </c>
      <c r="H520" s="123">
        <v>0</v>
      </c>
      <c r="I520" s="123">
        <v>0</v>
      </c>
      <c r="J520" s="123">
        <v>0</v>
      </c>
      <c r="K520" s="123">
        <v>0</v>
      </c>
      <c r="L520" s="123">
        <v>0</v>
      </c>
      <c r="M520" s="123">
        <v>0</v>
      </c>
      <c r="N520" s="123">
        <v>0</v>
      </c>
      <c r="O520" s="123">
        <v>0</v>
      </c>
      <c r="P520" s="123">
        <v>0</v>
      </c>
      <c r="Q520" s="123">
        <v>0</v>
      </c>
      <c r="R520" s="123">
        <v>0</v>
      </c>
      <c r="S520" s="7" t="s">
        <v>163</v>
      </c>
      <c r="T520" s="124"/>
      <c r="U520" s="1"/>
    </row>
    <row r="521" spans="1:21" ht="13.5" thickBot="1" x14ac:dyDescent="0.25">
      <c r="A521" s="123">
        <v>1</v>
      </c>
      <c r="B521" s="123">
        <v>0</v>
      </c>
      <c r="C521" s="123">
        <v>1</v>
      </c>
      <c r="D521" s="123">
        <v>0</v>
      </c>
      <c r="E521" s="123">
        <v>0</v>
      </c>
      <c r="F521" s="123">
        <v>0</v>
      </c>
      <c r="G521" s="123">
        <v>0</v>
      </c>
      <c r="H521" s="123">
        <v>0</v>
      </c>
      <c r="I521" s="123">
        <v>0</v>
      </c>
      <c r="J521" s="123">
        <v>1</v>
      </c>
      <c r="K521" s="123">
        <v>0</v>
      </c>
      <c r="L521" s="123">
        <v>1</v>
      </c>
      <c r="M521" s="123">
        <v>0</v>
      </c>
      <c r="N521" s="123">
        <v>0</v>
      </c>
      <c r="O521" s="123">
        <v>0</v>
      </c>
      <c r="P521" s="123">
        <v>0</v>
      </c>
      <c r="Q521" s="123">
        <v>0</v>
      </c>
      <c r="R521" s="123">
        <v>0</v>
      </c>
      <c r="S521" s="7" t="s">
        <v>162</v>
      </c>
      <c r="T521" s="124" t="s">
        <v>662</v>
      </c>
      <c r="U521" s="1"/>
    </row>
    <row r="522" spans="1:21" ht="13.5" thickBot="1" x14ac:dyDescent="0.25">
      <c r="A522" s="123">
        <v>8</v>
      </c>
      <c r="B522" s="123">
        <v>0</v>
      </c>
      <c r="C522" s="123">
        <v>8</v>
      </c>
      <c r="D522" s="123">
        <v>7</v>
      </c>
      <c r="E522" s="123">
        <v>0</v>
      </c>
      <c r="F522" s="123">
        <v>7</v>
      </c>
      <c r="G522" s="123">
        <v>0</v>
      </c>
      <c r="H522" s="123">
        <v>0</v>
      </c>
      <c r="I522" s="123">
        <v>0</v>
      </c>
      <c r="J522" s="123">
        <v>1</v>
      </c>
      <c r="K522" s="123">
        <v>0</v>
      </c>
      <c r="L522" s="123">
        <v>1</v>
      </c>
      <c r="M522" s="123">
        <v>0</v>
      </c>
      <c r="N522" s="123">
        <v>0</v>
      </c>
      <c r="O522" s="123">
        <v>0</v>
      </c>
      <c r="P522" s="123">
        <v>0</v>
      </c>
      <c r="Q522" s="123">
        <v>0</v>
      </c>
      <c r="R522" s="123">
        <v>0</v>
      </c>
      <c r="S522" s="7" t="s">
        <v>13</v>
      </c>
      <c r="T522" s="9"/>
      <c r="U522" s="1"/>
    </row>
    <row r="523" spans="1:21" ht="13.5" thickBot="1" x14ac:dyDescent="0.25">
      <c r="A523" s="123">
        <v>1</v>
      </c>
      <c r="B523" s="123">
        <v>0</v>
      </c>
      <c r="C523" s="123">
        <v>1</v>
      </c>
      <c r="D523" s="123">
        <v>1</v>
      </c>
      <c r="E523" s="123">
        <v>0</v>
      </c>
      <c r="F523" s="123">
        <v>1</v>
      </c>
      <c r="G523" s="123">
        <v>0</v>
      </c>
      <c r="H523" s="123">
        <v>0</v>
      </c>
      <c r="I523" s="123">
        <v>0</v>
      </c>
      <c r="J523" s="123">
        <v>0</v>
      </c>
      <c r="K523" s="123">
        <v>0</v>
      </c>
      <c r="L523" s="123">
        <v>0</v>
      </c>
      <c r="M523" s="123">
        <v>0</v>
      </c>
      <c r="N523" s="123">
        <v>0</v>
      </c>
      <c r="O523" s="123">
        <v>0</v>
      </c>
      <c r="P523" s="123">
        <v>0</v>
      </c>
      <c r="Q523" s="123">
        <v>0</v>
      </c>
      <c r="R523" s="123">
        <v>0</v>
      </c>
      <c r="S523" s="7" t="s">
        <v>163</v>
      </c>
      <c r="T523" s="124"/>
      <c r="U523" s="1"/>
    </row>
    <row r="524" spans="1:21" ht="13.5" thickBot="1" x14ac:dyDescent="0.25">
      <c r="A524" s="123">
        <v>0</v>
      </c>
      <c r="B524" s="123">
        <v>0</v>
      </c>
      <c r="C524" s="123">
        <v>0</v>
      </c>
      <c r="D524" s="123">
        <v>0</v>
      </c>
      <c r="E524" s="123">
        <v>0</v>
      </c>
      <c r="F524" s="123">
        <v>0</v>
      </c>
      <c r="G524" s="123">
        <v>0</v>
      </c>
      <c r="H524" s="123">
        <v>0</v>
      </c>
      <c r="I524" s="123">
        <v>0</v>
      </c>
      <c r="J524" s="123">
        <v>0</v>
      </c>
      <c r="K524" s="123">
        <v>0</v>
      </c>
      <c r="L524" s="123">
        <v>0</v>
      </c>
      <c r="M524" s="123">
        <v>0</v>
      </c>
      <c r="N524" s="123">
        <v>0</v>
      </c>
      <c r="O524" s="123">
        <v>0</v>
      </c>
      <c r="P524" s="123">
        <v>0</v>
      </c>
      <c r="Q524" s="123">
        <v>0</v>
      </c>
      <c r="R524" s="123">
        <v>0</v>
      </c>
      <c r="S524" s="7" t="s">
        <v>162</v>
      </c>
      <c r="T524" s="124" t="s">
        <v>663</v>
      </c>
      <c r="U524" s="1"/>
    </row>
    <row r="525" spans="1:21" ht="13.5" thickBot="1" x14ac:dyDescent="0.25">
      <c r="A525" s="123">
        <v>1</v>
      </c>
      <c r="B525" s="123">
        <v>0</v>
      </c>
      <c r="C525" s="123">
        <v>1</v>
      </c>
      <c r="D525" s="123">
        <v>1</v>
      </c>
      <c r="E525" s="123">
        <v>0</v>
      </c>
      <c r="F525" s="123">
        <v>1</v>
      </c>
      <c r="G525" s="123">
        <v>0</v>
      </c>
      <c r="H525" s="123">
        <v>0</v>
      </c>
      <c r="I525" s="123">
        <v>0</v>
      </c>
      <c r="J525" s="123">
        <v>0</v>
      </c>
      <c r="K525" s="123">
        <v>0</v>
      </c>
      <c r="L525" s="123">
        <v>0</v>
      </c>
      <c r="M525" s="123">
        <v>0</v>
      </c>
      <c r="N525" s="123">
        <v>0</v>
      </c>
      <c r="O525" s="123">
        <v>0</v>
      </c>
      <c r="P525" s="123">
        <v>0</v>
      </c>
      <c r="Q525" s="123">
        <v>0</v>
      </c>
      <c r="R525" s="123">
        <v>0</v>
      </c>
      <c r="S525" s="7" t="s">
        <v>13</v>
      </c>
      <c r="T525" s="9"/>
      <c r="U525" s="1"/>
    </row>
    <row r="526" spans="1:21" ht="13.5" thickBot="1" x14ac:dyDescent="0.25">
      <c r="A526" s="123">
        <v>829</v>
      </c>
      <c r="B526" s="123">
        <v>88</v>
      </c>
      <c r="C526" s="123">
        <v>741</v>
      </c>
      <c r="D526" s="123">
        <v>501</v>
      </c>
      <c r="E526" s="123">
        <v>76</v>
      </c>
      <c r="F526" s="123">
        <v>425</v>
      </c>
      <c r="G526" s="123">
        <v>138</v>
      </c>
      <c r="H526" s="123">
        <v>0</v>
      </c>
      <c r="I526" s="123">
        <v>138</v>
      </c>
      <c r="J526" s="123">
        <v>181</v>
      </c>
      <c r="K526" s="123">
        <v>12</v>
      </c>
      <c r="L526" s="123">
        <v>169</v>
      </c>
      <c r="M526" s="123">
        <v>6</v>
      </c>
      <c r="N526" s="123">
        <v>0</v>
      </c>
      <c r="O526" s="123">
        <v>6</v>
      </c>
      <c r="P526" s="123">
        <v>3</v>
      </c>
      <c r="Q526" s="123">
        <v>0</v>
      </c>
      <c r="R526" s="123">
        <v>3</v>
      </c>
      <c r="S526" s="7" t="s">
        <v>163</v>
      </c>
      <c r="T526" s="3"/>
      <c r="U526" s="1"/>
    </row>
    <row r="527" spans="1:21" ht="13.5" thickBot="1" x14ac:dyDescent="0.25">
      <c r="A527" s="123">
        <v>97</v>
      </c>
      <c r="B527" s="123">
        <v>38</v>
      </c>
      <c r="C527" s="123">
        <v>59</v>
      </c>
      <c r="D527" s="123">
        <v>56</v>
      </c>
      <c r="E527" s="123">
        <v>27</v>
      </c>
      <c r="F527" s="123">
        <v>29</v>
      </c>
      <c r="G527" s="123">
        <v>3</v>
      </c>
      <c r="H527" s="123">
        <v>1</v>
      </c>
      <c r="I527" s="123">
        <v>2</v>
      </c>
      <c r="J527" s="123">
        <v>27</v>
      </c>
      <c r="K527" s="123">
        <v>9</v>
      </c>
      <c r="L527" s="123">
        <v>18</v>
      </c>
      <c r="M527" s="123">
        <v>10</v>
      </c>
      <c r="N527" s="123">
        <v>1</v>
      </c>
      <c r="O527" s="123">
        <v>9</v>
      </c>
      <c r="P527" s="123">
        <v>1</v>
      </c>
      <c r="Q527" s="123">
        <v>0</v>
      </c>
      <c r="R527" s="123">
        <v>1</v>
      </c>
      <c r="S527" s="7" t="s">
        <v>162</v>
      </c>
      <c r="T527" s="11" t="s">
        <v>211</v>
      </c>
      <c r="U527" s="1"/>
    </row>
    <row r="528" spans="1:21" ht="13.5" thickBot="1" x14ac:dyDescent="0.25">
      <c r="A528" s="123">
        <v>926</v>
      </c>
      <c r="B528" s="123">
        <v>126</v>
      </c>
      <c r="C528" s="123">
        <v>800</v>
      </c>
      <c r="D528" s="123">
        <v>557</v>
      </c>
      <c r="E528" s="123">
        <v>103</v>
      </c>
      <c r="F528" s="123">
        <v>454</v>
      </c>
      <c r="G528" s="123">
        <v>141</v>
      </c>
      <c r="H528" s="123">
        <v>1</v>
      </c>
      <c r="I528" s="123">
        <v>140</v>
      </c>
      <c r="J528" s="123">
        <v>208</v>
      </c>
      <c r="K528" s="123">
        <v>21</v>
      </c>
      <c r="L528" s="123">
        <v>187</v>
      </c>
      <c r="M528" s="123">
        <v>16</v>
      </c>
      <c r="N528" s="123">
        <v>1</v>
      </c>
      <c r="O528" s="123">
        <v>15</v>
      </c>
      <c r="P528" s="123">
        <v>4</v>
      </c>
      <c r="Q528" s="123">
        <v>0</v>
      </c>
      <c r="R528" s="123">
        <v>4</v>
      </c>
      <c r="S528" s="7" t="s">
        <v>13</v>
      </c>
      <c r="T528" s="5"/>
      <c r="U528" s="1"/>
    </row>
    <row r="529" spans="1:21" ht="18" customHeight="1" x14ac:dyDescent="0.2">
      <c r="A529" s="207"/>
      <c r="B529" s="207"/>
      <c r="C529" s="207"/>
      <c r="D529" s="207"/>
      <c r="E529" s="207"/>
      <c r="F529" s="207"/>
      <c r="G529" s="207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1"/>
    </row>
    <row r="530" spans="1:21" ht="18" customHeight="1" x14ac:dyDescent="0.2">
      <c r="A530" s="159" t="s">
        <v>665</v>
      </c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"/>
    </row>
    <row r="531" spans="1:21" ht="18" customHeight="1" thickBot="1" x14ac:dyDescent="0.25">
      <c r="A531" s="160" t="s">
        <v>667</v>
      </c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"/>
    </row>
    <row r="532" spans="1:21" ht="13.5" thickBot="1" x14ac:dyDescent="0.25">
      <c r="A532" s="204" t="s">
        <v>5</v>
      </c>
      <c r="B532" s="204"/>
      <c r="C532" s="204"/>
      <c r="D532" s="204" t="s">
        <v>57</v>
      </c>
      <c r="E532" s="204"/>
      <c r="F532" s="204"/>
      <c r="G532" s="204" t="s">
        <v>66</v>
      </c>
      <c r="H532" s="204"/>
      <c r="I532" s="204"/>
      <c r="J532" s="204" t="s">
        <v>65</v>
      </c>
      <c r="K532" s="204"/>
      <c r="L532" s="204"/>
      <c r="M532" s="204" t="s">
        <v>62</v>
      </c>
      <c r="N532" s="204"/>
      <c r="O532" s="204"/>
      <c r="P532" s="204" t="s">
        <v>61</v>
      </c>
      <c r="Q532" s="204"/>
      <c r="R532" s="204"/>
      <c r="S532" s="205" t="s">
        <v>614</v>
      </c>
      <c r="T532" s="47" t="s">
        <v>161</v>
      </c>
      <c r="U532" s="1"/>
    </row>
    <row r="533" spans="1:21" ht="13.5" thickBot="1" x14ac:dyDescent="0.25">
      <c r="A533" s="47" t="s">
        <v>216</v>
      </c>
      <c r="B533" s="47" t="s">
        <v>11</v>
      </c>
      <c r="C533" s="47" t="s">
        <v>10</v>
      </c>
      <c r="D533" s="47" t="s">
        <v>216</v>
      </c>
      <c r="E533" s="47" t="s">
        <v>11</v>
      </c>
      <c r="F533" s="47" t="s">
        <v>10</v>
      </c>
      <c r="G533" s="47" t="s">
        <v>216</v>
      </c>
      <c r="H533" s="47" t="s">
        <v>11</v>
      </c>
      <c r="I533" s="47" t="s">
        <v>10</v>
      </c>
      <c r="J533" s="47" t="s">
        <v>216</v>
      </c>
      <c r="K533" s="47" t="s">
        <v>11</v>
      </c>
      <c r="L533" s="47" t="s">
        <v>10</v>
      </c>
      <c r="M533" s="47" t="s">
        <v>216</v>
      </c>
      <c r="N533" s="47" t="s">
        <v>11</v>
      </c>
      <c r="O533" s="47" t="s">
        <v>10</v>
      </c>
      <c r="P533" s="47" t="s">
        <v>216</v>
      </c>
      <c r="Q533" s="47" t="s">
        <v>11</v>
      </c>
      <c r="R533" s="47" t="s">
        <v>10</v>
      </c>
      <c r="S533" s="206"/>
      <c r="T533" s="5" t="s">
        <v>82</v>
      </c>
      <c r="U533" s="1"/>
    </row>
    <row r="534" spans="1:21" ht="13.5" thickBot="1" x14ac:dyDescent="0.25">
      <c r="A534" s="123">
        <v>476</v>
      </c>
      <c r="B534" s="123">
        <v>65</v>
      </c>
      <c r="C534" s="123">
        <v>411</v>
      </c>
      <c r="D534" s="123">
        <v>0</v>
      </c>
      <c r="E534" s="123">
        <v>0</v>
      </c>
      <c r="F534" s="123">
        <v>0</v>
      </c>
      <c r="G534" s="123">
        <v>308</v>
      </c>
      <c r="H534" s="123">
        <v>13</v>
      </c>
      <c r="I534" s="123">
        <v>295</v>
      </c>
      <c r="J534" s="123">
        <v>161</v>
      </c>
      <c r="K534" s="123">
        <v>51</v>
      </c>
      <c r="L534" s="123">
        <v>110</v>
      </c>
      <c r="M534" s="123">
        <v>6</v>
      </c>
      <c r="N534" s="123">
        <v>1</v>
      </c>
      <c r="O534" s="123">
        <v>5</v>
      </c>
      <c r="P534" s="123">
        <v>1</v>
      </c>
      <c r="Q534" s="123">
        <v>0</v>
      </c>
      <c r="R534" s="123">
        <v>1</v>
      </c>
      <c r="S534" s="7" t="s">
        <v>163</v>
      </c>
      <c r="T534" s="124"/>
      <c r="U534" s="1"/>
    </row>
    <row r="535" spans="1:21" ht="13.5" thickBot="1" x14ac:dyDescent="0.25">
      <c r="A535" s="123">
        <v>14</v>
      </c>
      <c r="B535" s="123">
        <v>0</v>
      </c>
      <c r="C535" s="123">
        <v>14</v>
      </c>
      <c r="D535" s="123">
        <v>0</v>
      </c>
      <c r="E535" s="123">
        <v>0</v>
      </c>
      <c r="F535" s="123">
        <v>0</v>
      </c>
      <c r="G535" s="123">
        <v>0</v>
      </c>
      <c r="H535" s="123">
        <v>0</v>
      </c>
      <c r="I535" s="123">
        <v>0</v>
      </c>
      <c r="J535" s="123">
        <v>8</v>
      </c>
      <c r="K535" s="123">
        <v>0</v>
      </c>
      <c r="L535" s="123">
        <v>8</v>
      </c>
      <c r="M535" s="123">
        <v>5</v>
      </c>
      <c r="N535" s="123">
        <v>0</v>
      </c>
      <c r="O535" s="123">
        <v>5</v>
      </c>
      <c r="P535" s="123">
        <v>1</v>
      </c>
      <c r="Q535" s="123">
        <v>0</v>
      </c>
      <c r="R535" s="123">
        <v>1</v>
      </c>
      <c r="S535" s="7" t="s">
        <v>162</v>
      </c>
      <c r="T535" s="124" t="s">
        <v>634</v>
      </c>
      <c r="U535" s="1"/>
    </row>
    <row r="536" spans="1:21" ht="13.5" thickBot="1" x14ac:dyDescent="0.25">
      <c r="A536" s="123">
        <v>490</v>
      </c>
      <c r="B536" s="123">
        <v>65</v>
      </c>
      <c r="C536" s="123">
        <v>425</v>
      </c>
      <c r="D536" s="123">
        <v>0</v>
      </c>
      <c r="E536" s="123">
        <v>0</v>
      </c>
      <c r="F536" s="123">
        <v>0</v>
      </c>
      <c r="G536" s="123">
        <v>308</v>
      </c>
      <c r="H536" s="123">
        <v>13</v>
      </c>
      <c r="I536" s="123">
        <v>295</v>
      </c>
      <c r="J536" s="123">
        <v>169</v>
      </c>
      <c r="K536" s="123">
        <v>51</v>
      </c>
      <c r="L536" s="123">
        <v>118</v>
      </c>
      <c r="M536" s="123">
        <v>11</v>
      </c>
      <c r="N536" s="123">
        <v>1</v>
      </c>
      <c r="O536" s="123">
        <v>10</v>
      </c>
      <c r="P536" s="123">
        <v>2</v>
      </c>
      <c r="Q536" s="123">
        <v>0</v>
      </c>
      <c r="R536" s="123">
        <v>2</v>
      </c>
      <c r="S536" s="7" t="s">
        <v>13</v>
      </c>
      <c r="T536" s="9"/>
      <c r="U536" s="1"/>
    </row>
    <row r="537" spans="1:21" ht="13.5" thickBot="1" x14ac:dyDescent="0.25">
      <c r="A537" s="123">
        <v>3</v>
      </c>
      <c r="B537" s="123">
        <v>3</v>
      </c>
      <c r="C537" s="123">
        <v>0</v>
      </c>
      <c r="D537" s="123">
        <v>0</v>
      </c>
      <c r="E537" s="123">
        <v>0</v>
      </c>
      <c r="F537" s="123">
        <v>0</v>
      </c>
      <c r="G537" s="123">
        <v>0</v>
      </c>
      <c r="H537" s="123">
        <v>0</v>
      </c>
      <c r="I537" s="123">
        <v>0</v>
      </c>
      <c r="J537" s="123">
        <v>3</v>
      </c>
      <c r="K537" s="123">
        <v>3</v>
      </c>
      <c r="L537" s="123">
        <v>0</v>
      </c>
      <c r="M537" s="123">
        <v>0</v>
      </c>
      <c r="N537" s="123">
        <v>0</v>
      </c>
      <c r="O537" s="123">
        <v>0</v>
      </c>
      <c r="P537" s="123">
        <v>0</v>
      </c>
      <c r="Q537" s="123">
        <v>0</v>
      </c>
      <c r="R537" s="123">
        <v>0</v>
      </c>
      <c r="S537" s="7" t="s">
        <v>163</v>
      </c>
      <c r="T537" s="124"/>
      <c r="U537" s="1"/>
    </row>
    <row r="538" spans="1:21" ht="13.5" thickBot="1" x14ac:dyDescent="0.25">
      <c r="A538" s="123">
        <v>0</v>
      </c>
      <c r="B538" s="123">
        <v>0</v>
      </c>
      <c r="C538" s="123">
        <v>0</v>
      </c>
      <c r="D538" s="123">
        <v>0</v>
      </c>
      <c r="E538" s="123">
        <v>0</v>
      </c>
      <c r="F538" s="123">
        <v>0</v>
      </c>
      <c r="G538" s="123">
        <v>0</v>
      </c>
      <c r="H538" s="123">
        <v>0</v>
      </c>
      <c r="I538" s="123">
        <v>0</v>
      </c>
      <c r="J538" s="123">
        <v>0</v>
      </c>
      <c r="K538" s="123">
        <v>0</v>
      </c>
      <c r="L538" s="123">
        <v>0</v>
      </c>
      <c r="M538" s="123">
        <v>0</v>
      </c>
      <c r="N538" s="123">
        <v>0</v>
      </c>
      <c r="O538" s="123">
        <v>0</v>
      </c>
      <c r="P538" s="123">
        <v>0</v>
      </c>
      <c r="Q538" s="123">
        <v>0</v>
      </c>
      <c r="R538" s="123">
        <v>0</v>
      </c>
      <c r="S538" s="7" t="s">
        <v>162</v>
      </c>
      <c r="T538" s="124" t="s">
        <v>111</v>
      </c>
      <c r="U538" s="1"/>
    </row>
    <row r="539" spans="1:21" ht="13.5" thickBot="1" x14ac:dyDescent="0.25">
      <c r="A539" s="123">
        <v>3</v>
      </c>
      <c r="B539" s="123">
        <v>3</v>
      </c>
      <c r="C539" s="123">
        <v>0</v>
      </c>
      <c r="D539" s="123">
        <v>0</v>
      </c>
      <c r="E539" s="123">
        <v>0</v>
      </c>
      <c r="F539" s="123">
        <v>0</v>
      </c>
      <c r="G539" s="123">
        <v>0</v>
      </c>
      <c r="H539" s="123">
        <v>0</v>
      </c>
      <c r="I539" s="123">
        <v>0</v>
      </c>
      <c r="J539" s="123">
        <v>3</v>
      </c>
      <c r="K539" s="123">
        <v>3</v>
      </c>
      <c r="L539" s="123">
        <v>0</v>
      </c>
      <c r="M539" s="123">
        <v>0</v>
      </c>
      <c r="N539" s="123">
        <v>0</v>
      </c>
      <c r="O539" s="123">
        <v>0</v>
      </c>
      <c r="P539" s="123">
        <v>0</v>
      </c>
      <c r="Q539" s="123">
        <v>0</v>
      </c>
      <c r="R539" s="123">
        <v>0</v>
      </c>
      <c r="S539" s="7" t="s">
        <v>13</v>
      </c>
      <c r="T539" s="9"/>
      <c r="U539" s="1"/>
    </row>
    <row r="540" spans="1:21" ht="13.5" thickBot="1" x14ac:dyDescent="0.25">
      <c r="A540" s="123">
        <v>3</v>
      </c>
      <c r="B540" s="123">
        <v>3</v>
      </c>
      <c r="C540" s="123">
        <v>0</v>
      </c>
      <c r="D540" s="123">
        <v>0</v>
      </c>
      <c r="E540" s="123">
        <v>0</v>
      </c>
      <c r="F540" s="123">
        <v>0</v>
      </c>
      <c r="G540" s="123">
        <v>0</v>
      </c>
      <c r="H540" s="123">
        <v>0</v>
      </c>
      <c r="I540" s="123">
        <v>0</v>
      </c>
      <c r="J540" s="123">
        <v>3</v>
      </c>
      <c r="K540" s="123">
        <v>3</v>
      </c>
      <c r="L540" s="123">
        <v>0</v>
      </c>
      <c r="M540" s="123">
        <v>0</v>
      </c>
      <c r="N540" s="123">
        <v>0</v>
      </c>
      <c r="O540" s="123">
        <v>0</v>
      </c>
      <c r="P540" s="123">
        <v>0</v>
      </c>
      <c r="Q540" s="123">
        <v>0</v>
      </c>
      <c r="R540" s="123">
        <v>0</v>
      </c>
      <c r="S540" s="7" t="s">
        <v>163</v>
      </c>
      <c r="T540" s="124"/>
      <c r="U540" s="1"/>
    </row>
    <row r="541" spans="1:21" ht="13.5" thickBot="1" x14ac:dyDescent="0.25">
      <c r="A541" s="123">
        <v>0</v>
      </c>
      <c r="B541" s="123">
        <v>0</v>
      </c>
      <c r="C541" s="123">
        <v>0</v>
      </c>
      <c r="D541" s="123">
        <v>0</v>
      </c>
      <c r="E541" s="123">
        <v>0</v>
      </c>
      <c r="F541" s="123">
        <v>0</v>
      </c>
      <c r="G541" s="123">
        <v>0</v>
      </c>
      <c r="H541" s="123">
        <v>0</v>
      </c>
      <c r="I541" s="123">
        <v>0</v>
      </c>
      <c r="J541" s="123">
        <v>0</v>
      </c>
      <c r="K541" s="123">
        <v>0</v>
      </c>
      <c r="L541" s="123">
        <v>0</v>
      </c>
      <c r="M541" s="123">
        <v>0</v>
      </c>
      <c r="N541" s="123">
        <v>0</v>
      </c>
      <c r="O541" s="123">
        <v>0</v>
      </c>
      <c r="P541" s="123">
        <v>0</v>
      </c>
      <c r="Q541" s="123">
        <v>0</v>
      </c>
      <c r="R541" s="123">
        <v>0</v>
      </c>
      <c r="S541" s="7" t="s">
        <v>162</v>
      </c>
      <c r="T541" s="124" t="s">
        <v>457</v>
      </c>
      <c r="U541" s="1"/>
    </row>
    <row r="542" spans="1:21" ht="13.5" thickBot="1" x14ac:dyDescent="0.25">
      <c r="A542" s="123">
        <v>3</v>
      </c>
      <c r="B542" s="123">
        <v>3</v>
      </c>
      <c r="C542" s="123">
        <v>0</v>
      </c>
      <c r="D542" s="123">
        <v>0</v>
      </c>
      <c r="E542" s="123">
        <v>0</v>
      </c>
      <c r="F542" s="123">
        <v>0</v>
      </c>
      <c r="G542" s="123">
        <v>0</v>
      </c>
      <c r="H542" s="123">
        <v>0</v>
      </c>
      <c r="I542" s="123">
        <v>0</v>
      </c>
      <c r="J542" s="123">
        <v>3</v>
      </c>
      <c r="K542" s="123">
        <v>3</v>
      </c>
      <c r="L542" s="123">
        <v>0</v>
      </c>
      <c r="M542" s="123">
        <v>0</v>
      </c>
      <c r="N542" s="123">
        <v>0</v>
      </c>
      <c r="O542" s="123">
        <v>0</v>
      </c>
      <c r="P542" s="123">
        <v>0</v>
      </c>
      <c r="Q542" s="123">
        <v>0</v>
      </c>
      <c r="R542" s="123">
        <v>0</v>
      </c>
      <c r="S542" s="7" t="s">
        <v>13</v>
      </c>
      <c r="T542" s="9"/>
      <c r="U542" s="1"/>
    </row>
    <row r="543" spans="1:21" ht="13.5" thickBot="1" x14ac:dyDescent="0.25">
      <c r="A543" s="123">
        <v>12</v>
      </c>
      <c r="B543" s="123">
        <v>11</v>
      </c>
      <c r="C543" s="123">
        <v>1</v>
      </c>
      <c r="D543" s="123">
        <v>3</v>
      </c>
      <c r="E543" s="123">
        <v>3</v>
      </c>
      <c r="F543" s="123">
        <v>0</v>
      </c>
      <c r="G543" s="123">
        <v>2</v>
      </c>
      <c r="H543" s="123">
        <v>1</v>
      </c>
      <c r="I543" s="123">
        <v>1</v>
      </c>
      <c r="J543" s="123">
        <v>7</v>
      </c>
      <c r="K543" s="123">
        <v>7</v>
      </c>
      <c r="L543" s="123">
        <v>0</v>
      </c>
      <c r="M543" s="123">
        <v>0</v>
      </c>
      <c r="N543" s="123">
        <v>0</v>
      </c>
      <c r="O543" s="123">
        <v>0</v>
      </c>
      <c r="P543" s="123">
        <v>0</v>
      </c>
      <c r="Q543" s="123">
        <v>0</v>
      </c>
      <c r="R543" s="123">
        <v>0</v>
      </c>
      <c r="S543" s="7" t="s">
        <v>163</v>
      </c>
      <c r="T543" s="124"/>
      <c r="U543" s="1"/>
    </row>
    <row r="544" spans="1:21" ht="13.5" thickBot="1" x14ac:dyDescent="0.25">
      <c r="A544" s="123">
        <v>0</v>
      </c>
      <c r="B544" s="123">
        <v>0</v>
      </c>
      <c r="C544" s="123">
        <v>0</v>
      </c>
      <c r="D544" s="123">
        <v>0</v>
      </c>
      <c r="E544" s="123">
        <v>0</v>
      </c>
      <c r="F544" s="123">
        <v>0</v>
      </c>
      <c r="G544" s="123">
        <v>0</v>
      </c>
      <c r="H544" s="123">
        <v>0</v>
      </c>
      <c r="I544" s="123">
        <v>0</v>
      </c>
      <c r="J544" s="123">
        <v>0</v>
      </c>
      <c r="K544" s="123">
        <v>0</v>
      </c>
      <c r="L544" s="123">
        <v>0</v>
      </c>
      <c r="M544" s="123">
        <v>0</v>
      </c>
      <c r="N544" s="123">
        <v>0</v>
      </c>
      <c r="O544" s="123">
        <v>0</v>
      </c>
      <c r="P544" s="123">
        <v>0</v>
      </c>
      <c r="Q544" s="123">
        <v>0</v>
      </c>
      <c r="R544" s="123">
        <v>0</v>
      </c>
      <c r="S544" s="7" t="s">
        <v>162</v>
      </c>
      <c r="T544" s="124" t="s">
        <v>458</v>
      </c>
      <c r="U544" s="1"/>
    </row>
    <row r="545" spans="1:21" ht="13.5" thickBot="1" x14ac:dyDescent="0.25">
      <c r="A545" s="123">
        <v>12</v>
      </c>
      <c r="B545" s="123">
        <v>11</v>
      </c>
      <c r="C545" s="123">
        <v>1</v>
      </c>
      <c r="D545" s="123">
        <v>3</v>
      </c>
      <c r="E545" s="123">
        <v>3</v>
      </c>
      <c r="F545" s="123">
        <v>0</v>
      </c>
      <c r="G545" s="123">
        <v>2</v>
      </c>
      <c r="H545" s="123">
        <v>1</v>
      </c>
      <c r="I545" s="123">
        <v>1</v>
      </c>
      <c r="J545" s="123">
        <v>7</v>
      </c>
      <c r="K545" s="123">
        <v>7</v>
      </c>
      <c r="L545" s="123">
        <v>0</v>
      </c>
      <c r="M545" s="123">
        <v>0</v>
      </c>
      <c r="N545" s="123">
        <v>0</v>
      </c>
      <c r="O545" s="123">
        <v>0</v>
      </c>
      <c r="P545" s="123">
        <v>0</v>
      </c>
      <c r="Q545" s="123">
        <v>0</v>
      </c>
      <c r="R545" s="123">
        <v>0</v>
      </c>
      <c r="S545" s="7" t="s">
        <v>13</v>
      </c>
      <c r="T545" s="9"/>
      <c r="U545" s="1"/>
    </row>
    <row r="546" spans="1:21" ht="13.5" thickBot="1" x14ac:dyDescent="0.25">
      <c r="A546" s="123">
        <v>18</v>
      </c>
      <c r="B546" s="123">
        <v>18</v>
      </c>
      <c r="C546" s="123">
        <v>0</v>
      </c>
      <c r="D546" s="123">
        <v>3</v>
      </c>
      <c r="E546" s="123">
        <v>3</v>
      </c>
      <c r="F546" s="123">
        <v>0</v>
      </c>
      <c r="G546" s="123">
        <v>0</v>
      </c>
      <c r="H546" s="123">
        <v>0</v>
      </c>
      <c r="I546" s="123">
        <v>0</v>
      </c>
      <c r="J546" s="123">
        <v>15</v>
      </c>
      <c r="K546" s="123">
        <v>15</v>
      </c>
      <c r="L546" s="123">
        <v>0</v>
      </c>
      <c r="M546" s="123">
        <v>0</v>
      </c>
      <c r="N546" s="123">
        <v>0</v>
      </c>
      <c r="O546" s="123">
        <v>0</v>
      </c>
      <c r="P546" s="123">
        <v>0</v>
      </c>
      <c r="Q546" s="123">
        <v>0</v>
      </c>
      <c r="R546" s="123">
        <v>0</v>
      </c>
      <c r="S546" s="7" t="s">
        <v>163</v>
      </c>
      <c r="T546" s="124"/>
      <c r="U546" s="1"/>
    </row>
    <row r="547" spans="1:21" ht="13.5" thickBot="1" x14ac:dyDescent="0.25">
      <c r="A547" s="123">
        <v>0</v>
      </c>
      <c r="B547" s="123">
        <v>0</v>
      </c>
      <c r="C547" s="123">
        <v>0</v>
      </c>
      <c r="D547" s="123">
        <v>0</v>
      </c>
      <c r="E547" s="123">
        <v>0</v>
      </c>
      <c r="F547" s="123">
        <v>0</v>
      </c>
      <c r="G547" s="123">
        <v>0</v>
      </c>
      <c r="H547" s="123">
        <v>0</v>
      </c>
      <c r="I547" s="123">
        <v>0</v>
      </c>
      <c r="J547" s="123">
        <v>0</v>
      </c>
      <c r="K547" s="123">
        <v>0</v>
      </c>
      <c r="L547" s="123">
        <v>0</v>
      </c>
      <c r="M547" s="123">
        <v>0</v>
      </c>
      <c r="N547" s="123">
        <v>0</v>
      </c>
      <c r="O547" s="123">
        <v>0</v>
      </c>
      <c r="P547" s="123">
        <v>0</v>
      </c>
      <c r="Q547" s="123">
        <v>0</v>
      </c>
      <c r="R547" s="123">
        <v>0</v>
      </c>
      <c r="S547" s="7" t="s">
        <v>162</v>
      </c>
      <c r="T547" s="124" t="s">
        <v>459</v>
      </c>
      <c r="U547" s="1"/>
    </row>
    <row r="548" spans="1:21" ht="13.5" thickBot="1" x14ac:dyDescent="0.25">
      <c r="A548" s="123">
        <v>18</v>
      </c>
      <c r="B548" s="123">
        <v>18</v>
      </c>
      <c r="C548" s="123">
        <v>0</v>
      </c>
      <c r="D548" s="123">
        <v>3</v>
      </c>
      <c r="E548" s="123">
        <v>3</v>
      </c>
      <c r="F548" s="123">
        <v>0</v>
      </c>
      <c r="G548" s="123">
        <v>0</v>
      </c>
      <c r="H548" s="123">
        <v>0</v>
      </c>
      <c r="I548" s="123">
        <v>0</v>
      </c>
      <c r="J548" s="123">
        <v>15</v>
      </c>
      <c r="K548" s="123">
        <v>15</v>
      </c>
      <c r="L548" s="123">
        <v>0</v>
      </c>
      <c r="M548" s="123">
        <v>0</v>
      </c>
      <c r="N548" s="123">
        <v>0</v>
      </c>
      <c r="O548" s="123">
        <v>0</v>
      </c>
      <c r="P548" s="123">
        <v>0</v>
      </c>
      <c r="Q548" s="123">
        <v>0</v>
      </c>
      <c r="R548" s="123">
        <v>0</v>
      </c>
      <c r="S548" s="7" t="s">
        <v>13</v>
      </c>
      <c r="T548" s="9"/>
      <c r="U548" s="1"/>
    </row>
    <row r="549" spans="1:21" ht="13.5" thickBot="1" x14ac:dyDescent="0.25">
      <c r="A549" s="123">
        <v>7</v>
      </c>
      <c r="B549" s="123">
        <v>7</v>
      </c>
      <c r="C549" s="123">
        <v>0</v>
      </c>
      <c r="D549" s="123">
        <v>0</v>
      </c>
      <c r="E549" s="123">
        <v>0</v>
      </c>
      <c r="F549" s="123">
        <v>0</v>
      </c>
      <c r="G549" s="123">
        <v>2</v>
      </c>
      <c r="H549" s="123">
        <v>2</v>
      </c>
      <c r="I549" s="123">
        <v>0</v>
      </c>
      <c r="J549" s="123">
        <v>5</v>
      </c>
      <c r="K549" s="123">
        <v>5</v>
      </c>
      <c r="L549" s="123">
        <v>0</v>
      </c>
      <c r="M549" s="123">
        <v>0</v>
      </c>
      <c r="N549" s="123">
        <v>0</v>
      </c>
      <c r="O549" s="123">
        <v>0</v>
      </c>
      <c r="P549" s="123">
        <v>0</v>
      </c>
      <c r="Q549" s="123">
        <v>0</v>
      </c>
      <c r="R549" s="123">
        <v>0</v>
      </c>
      <c r="S549" s="7" t="s">
        <v>163</v>
      </c>
      <c r="T549" s="124"/>
      <c r="U549" s="1"/>
    </row>
    <row r="550" spans="1:21" ht="13.5" thickBot="1" x14ac:dyDescent="0.25">
      <c r="A550" s="123">
        <v>0</v>
      </c>
      <c r="B550" s="123">
        <v>0</v>
      </c>
      <c r="C550" s="123">
        <v>0</v>
      </c>
      <c r="D550" s="123">
        <v>0</v>
      </c>
      <c r="E550" s="123">
        <v>0</v>
      </c>
      <c r="F550" s="123">
        <v>0</v>
      </c>
      <c r="G550" s="123">
        <v>0</v>
      </c>
      <c r="H550" s="123">
        <v>0</v>
      </c>
      <c r="I550" s="123">
        <v>0</v>
      </c>
      <c r="J550" s="123">
        <v>0</v>
      </c>
      <c r="K550" s="123">
        <v>0</v>
      </c>
      <c r="L550" s="123">
        <v>0</v>
      </c>
      <c r="M550" s="123">
        <v>0</v>
      </c>
      <c r="N550" s="123">
        <v>0</v>
      </c>
      <c r="O550" s="123">
        <v>0</v>
      </c>
      <c r="P550" s="123">
        <v>0</v>
      </c>
      <c r="Q550" s="123">
        <v>0</v>
      </c>
      <c r="R550" s="123">
        <v>0</v>
      </c>
      <c r="S550" s="7" t="s">
        <v>162</v>
      </c>
      <c r="T550" s="124" t="s">
        <v>460</v>
      </c>
      <c r="U550" s="1"/>
    </row>
    <row r="551" spans="1:21" ht="13.5" thickBot="1" x14ac:dyDescent="0.25">
      <c r="A551" s="123">
        <v>7</v>
      </c>
      <c r="B551" s="123">
        <v>7</v>
      </c>
      <c r="C551" s="123">
        <v>0</v>
      </c>
      <c r="D551" s="123">
        <v>0</v>
      </c>
      <c r="E551" s="123">
        <v>0</v>
      </c>
      <c r="F551" s="123">
        <v>0</v>
      </c>
      <c r="G551" s="123">
        <v>2</v>
      </c>
      <c r="H551" s="123">
        <v>2</v>
      </c>
      <c r="I551" s="123">
        <v>0</v>
      </c>
      <c r="J551" s="123">
        <v>5</v>
      </c>
      <c r="K551" s="123">
        <v>5</v>
      </c>
      <c r="L551" s="123">
        <v>0</v>
      </c>
      <c r="M551" s="123">
        <v>0</v>
      </c>
      <c r="N551" s="123">
        <v>0</v>
      </c>
      <c r="O551" s="123">
        <v>0</v>
      </c>
      <c r="P551" s="123">
        <v>0</v>
      </c>
      <c r="Q551" s="123">
        <v>0</v>
      </c>
      <c r="R551" s="123">
        <v>0</v>
      </c>
      <c r="S551" s="7" t="s">
        <v>13</v>
      </c>
      <c r="T551" s="9"/>
      <c r="U551" s="1"/>
    </row>
    <row r="552" spans="1:21" ht="13.5" thickBot="1" x14ac:dyDescent="0.25">
      <c r="A552" s="123">
        <v>7</v>
      </c>
      <c r="B552" s="123">
        <v>7</v>
      </c>
      <c r="C552" s="123">
        <v>0</v>
      </c>
      <c r="D552" s="123">
        <v>0</v>
      </c>
      <c r="E552" s="123">
        <v>0</v>
      </c>
      <c r="F552" s="123">
        <v>0</v>
      </c>
      <c r="G552" s="123">
        <v>0</v>
      </c>
      <c r="H552" s="123">
        <v>0</v>
      </c>
      <c r="I552" s="123">
        <v>0</v>
      </c>
      <c r="J552" s="123">
        <v>7</v>
      </c>
      <c r="K552" s="123">
        <v>7</v>
      </c>
      <c r="L552" s="123">
        <v>0</v>
      </c>
      <c r="M552" s="123">
        <v>0</v>
      </c>
      <c r="N552" s="123">
        <v>0</v>
      </c>
      <c r="O552" s="123">
        <v>0</v>
      </c>
      <c r="P552" s="123">
        <v>0</v>
      </c>
      <c r="Q552" s="123">
        <v>0</v>
      </c>
      <c r="R552" s="123">
        <v>0</v>
      </c>
      <c r="S552" s="7" t="s">
        <v>163</v>
      </c>
      <c r="T552" s="124"/>
      <c r="U552" s="1"/>
    </row>
    <row r="553" spans="1:21" ht="13.5" thickBot="1" x14ac:dyDescent="0.25">
      <c r="A553" s="123">
        <v>0</v>
      </c>
      <c r="B553" s="123">
        <v>0</v>
      </c>
      <c r="C553" s="123">
        <v>0</v>
      </c>
      <c r="D553" s="123">
        <v>0</v>
      </c>
      <c r="E553" s="123">
        <v>0</v>
      </c>
      <c r="F553" s="123">
        <v>0</v>
      </c>
      <c r="G553" s="123">
        <v>0</v>
      </c>
      <c r="H553" s="123">
        <v>0</v>
      </c>
      <c r="I553" s="123">
        <v>0</v>
      </c>
      <c r="J553" s="123">
        <v>0</v>
      </c>
      <c r="K553" s="123">
        <v>0</v>
      </c>
      <c r="L553" s="123">
        <v>0</v>
      </c>
      <c r="M553" s="123">
        <v>0</v>
      </c>
      <c r="N553" s="123">
        <v>0</v>
      </c>
      <c r="O553" s="123">
        <v>0</v>
      </c>
      <c r="P553" s="123">
        <v>0</v>
      </c>
      <c r="Q553" s="123">
        <v>0</v>
      </c>
      <c r="R553" s="123">
        <v>0</v>
      </c>
      <c r="S553" s="7" t="s">
        <v>162</v>
      </c>
      <c r="T553" s="124" t="s">
        <v>461</v>
      </c>
      <c r="U553" s="1"/>
    </row>
    <row r="554" spans="1:21" ht="13.5" thickBot="1" x14ac:dyDescent="0.25">
      <c r="A554" s="123">
        <v>7</v>
      </c>
      <c r="B554" s="123">
        <v>7</v>
      </c>
      <c r="C554" s="123">
        <v>0</v>
      </c>
      <c r="D554" s="123">
        <v>0</v>
      </c>
      <c r="E554" s="123">
        <v>0</v>
      </c>
      <c r="F554" s="123">
        <v>0</v>
      </c>
      <c r="G554" s="123">
        <v>0</v>
      </c>
      <c r="H554" s="123">
        <v>0</v>
      </c>
      <c r="I554" s="123">
        <v>0</v>
      </c>
      <c r="J554" s="123">
        <v>7</v>
      </c>
      <c r="K554" s="123">
        <v>7</v>
      </c>
      <c r="L554" s="123">
        <v>0</v>
      </c>
      <c r="M554" s="123">
        <v>0</v>
      </c>
      <c r="N554" s="123">
        <v>0</v>
      </c>
      <c r="O554" s="123">
        <v>0</v>
      </c>
      <c r="P554" s="123">
        <v>0</v>
      </c>
      <c r="Q554" s="123">
        <v>0</v>
      </c>
      <c r="R554" s="123">
        <v>0</v>
      </c>
      <c r="S554" s="7" t="s">
        <v>13</v>
      </c>
      <c r="T554" s="9"/>
      <c r="U554" s="1"/>
    </row>
    <row r="555" spans="1:21" ht="13.5" thickBot="1" x14ac:dyDescent="0.25">
      <c r="A555" s="123">
        <v>526</v>
      </c>
      <c r="B555" s="123">
        <v>114</v>
      </c>
      <c r="C555" s="123">
        <v>412</v>
      </c>
      <c r="D555" s="123">
        <v>6</v>
      </c>
      <c r="E555" s="123">
        <v>6</v>
      </c>
      <c r="F555" s="123">
        <v>0</v>
      </c>
      <c r="G555" s="123">
        <v>312</v>
      </c>
      <c r="H555" s="123">
        <v>16</v>
      </c>
      <c r="I555" s="123">
        <v>296</v>
      </c>
      <c r="J555" s="123">
        <v>201</v>
      </c>
      <c r="K555" s="123">
        <v>91</v>
      </c>
      <c r="L555" s="123">
        <v>110</v>
      </c>
      <c r="M555" s="123">
        <v>6</v>
      </c>
      <c r="N555" s="123">
        <v>1</v>
      </c>
      <c r="O555" s="123">
        <v>5</v>
      </c>
      <c r="P555" s="123">
        <v>1</v>
      </c>
      <c r="Q555" s="123">
        <v>0</v>
      </c>
      <c r="R555" s="123">
        <v>1</v>
      </c>
      <c r="S555" s="7" t="s">
        <v>163</v>
      </c>
      <c r="T555" s="3"/>
      <c r="U555" s="1"/>
    </row>
    <row r="556" spans="1:21" ht="13.5" thickBot="1" x14ac:dyDescent="0.25">
      <c r="A556" s="123">
        <v>14</v>
      </c>
      <c r="B556" s="123">
        <v>0</v>
      </c>
      <c r="C556" s="123">
        <v>14</v>
      </c>
      <c r="D556" s="123">
        <v>0</v>
      </c>
      <c r="E556" s="123">
        <v>0</v>
      </c>
      <c r="F556" s="123">
        <v>0</v>
      </c>
      <c r="G556" s="123">
        <v>0</v>
      </c>
      <c r="H556" s="123">
        <v>0</v>
      </c>
      <c r="I556" s="123">
        <v>0</v>
      </c>
      <c r="J556" s="123">
        <v>8</v>
      </c>
      <c r="K556" s="123">
        <v>0</v>
      </c>
      <c r="L556" s="123">
        <v>8</v>
      </c>
      <c r="M556" s="123">
        <v>5</v>
      </c>
      <c r="N556" s="123">
        <v>0</v>
      </c>
      <c r="O556" s="123">
        <v>5</v>
      </c>
      <c r="P556" s="123">
        <v>1</v>
      </c>
      <c r="Q556" s="123">
        <v>0</v>
      </c>
      <c r="R556" s="123">
        <v>1</v>
      </c>
      <c r="S556" s="7" t="s">
        <v>162</v>
      </c>
      <c r="T556" s="11" t="s">
        <v>211</v>
      </c>
      <c r="U556" s="1"/>
    </row>
    <row r="557" spans="1:21" ht="13.5" thickBot="1" x14ac:dyDescent="0.25">
      <c r="A557" s="123">
        <v>540</v>
      </c>
      <c r="B557" s="123">
        <v>114</v>
      </c>
      <c r="C557" s="123">
        <v>426</v>
      </c>
      <c r="D557" s="123">
        <v>6</v>
      </c>
      <c r="E557" s="123">
        <v>6</v>
      </c>
      <c r="F557" s="123">
        <v>0</v>
      </c>
      <c r="G557" s="123">
        <v>312</v>
      </c>
      <c r="H557" s="123">
        <v>16</v>
      </c>
      <c r="I557" s="123">
        <v>296</v>
      </c>
      <c r="J557" s="123">
        <v>209</v>
      </c>
      <c r="K557" s="123">
        <v>91</v>
      </c>
      <c r="L557" s="123">
        <v>118</v>
      </c>
      <c r="M557" s="123">
        <v>11</v>
      </c>
      <c r="N557" s="123">
        <v>1</v>
      </c>
      <c r="O557" s="123">
        <v>10</v>
      </c>
      <c r="P557" s="123">
        <v>2</v>
      </c>
      <c r="Q557" s="123">
        <v>0</v>
      </c>
      <c r="R557" s="123">
        <v>2</v>
      </c>
      <c r="S557" s="7" t="s">
        <v>13</v>
      </c>
      <c r="T557" s="5"/>
      <c r="U557" s="1"/>
    </row>
    <row r="558" spans="1:21" ht="18" customHeight="1" x14ac:dyDescent="0.2">
      <c r="A558" s="207"/>
      <c r="B558" s="207"/>
      <c r="C558" s="207"/>
      <c r="D558" s="207"/>
      <c r="E558" s="207"/>
      <c r="F558" s="207"/>
      <c r="G558" s="207"/>
      <c r="H558" s="207"/>
      <c r="I558" s="207"/>
      <c r="J558" s="207"/>
      <c r="K558" s="207"/>
      <c r="L558" s="207"/>
      <c r="M558" s="207"/>
      <c r="N558" s="207"/>
      <c r="O558" s="207"/>
      <c r="P558" s="207"/>
      <c r="Q558" s="207"/>
      <c r="R558" s="207"/>
      <c r="S558" s="207"/>
      <c r="T558" s="207"/>
      <c r="U558" s="1"/>
    </row>
    <row r="559" spans="1:21" ht="18" customHeight="1" x14ac:dyDescent="0.2">
      <c r="A559" s="159" t="s">
        <v>665</v>
      </c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"/>
    </row>
    <row r="560" spans="1:21" ht="18" customHeight="1" thickBot="1" x14ac:dyDescent="0.25">
      <c r="A560" s="160" t="s">
        <v>667</v>
      </c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"/>
    </row>
    <row r="561" spans="1:21" ht="13.5" thickBot="1" x14ac:dyDescent="0.25">
      <c r="A561" s="204" t="s">
        <v>5</v>
      </c>
      <c r="B561" s="204"/>
      <c r="C561" s="204"/>
      <c r="D561" s="204" t="s">
        <v>57</v>
      </c>
      <c r="E561" s="204"/>
      <c r="F561" s="204"/>
      <c r="G561" s="204" t="s">
        <v>66</v>
      </c>
      <c r="H561" s="204"/>
      <c r="I561" s="204"/>
      <c r="J561" s="204" t="s">
        <v>65</v>
      </c>
      <c r="K561" s="204"/>
      <c r="L561" s="204"/>
      <c r="M561" s="204" t="s">
        <v>62</v>
      </c>
      <c r="N561" s="204"/>
      <c r="O561" s="204"/>
      <c r="P561" s="204" t="s">
        <v>61</v>
      </c>
      <c r="Q561" s="204"/>
      <c r="R561" s="204"/>
      <c r="S561" s="205" t="s">
        <v>614</v>
      </c>
      <c r="T561" s="47" t="s">
        <v>161</v>
      </c>
      <c r="U561" s="1"/>
    </row>
    <row r="562" spans="1:21" ht="13.5" thickBot="1" x14ac:dyDescent="0.25">
      <c r="A562" s="47" t="s">
        <v>216</v>
      </c>
      <c r="B562" s="47" t="s">
        <v>11</v>
      </c>
      <c r="C562" s="47" t="s">
        <v>10</v>
      </c>
      <c r="D562" s="47" t="s">
        <v>216</v>
      </c>
      <c r="E562" s="47" t="s">
        <v>11</v>
      </c>
      <c r="F562" s="47" t="s">
        <v>10</v>
      </c>
      <c r="G562" s="47" t="s">
        <v>216</v>
      </c>
      <c r="H562" s="47" t="s">
        <v>11</v>
      </c>
      <c r="I562" s="47" t="s">
        <v>10</v>
      </c>
      <c r="J562" s="47" t="s">
        <v>216</v>
      </c>
      <c r="K562" s="47" t="s">
        <v>11</v>
      </c>
      <c r="L562" s="47" t="s">
        <v>10</v>
      </c>
      <c r="M562" s="47" t="s">
        <v>216</v>
      </c>
      <c r="N562" s="47" t="s">
        <v>11</v>
      </c>
      <c r="O562" s="47" t="s">
        <v>10</v>
      </c>
      <c r="P562" s="47" t="s">
        <v>216</v>
      </c>
      <c r="Q562" s="47" t="s">
        <v>11</v>
      </c>
      <c r="R562" s="47" t="s">
        <v>10</v>
      </c>
      <c r="S562" s="206"/>
      <c r="T562" s="5" t="s">
        <v>83</v>
      </c>
      <c r="U562" s="1"/>
    </row>
    <row r="563" spans="1:21" ht="13.5" thickBot="1" x14ac:dyDescent="0.25">
      <c r="A563" s="123">
        <v>473</v>
      </c>
      <c r="B563" s="123">
        <v>174</v>
      </c>
      <c r="C563" s="123">
        <v>299</v>
      </c>
      <c r="D563" s="123">
        <v>156</v>
      </c>
      <c r="E563" s="123">
        <v>50</v>
      </c>
      <c r="F563" s="123">
        <v>106</v>
      </c>
      <c r="G563" s="123">
        <v>88</v>
      </c>
      <c r="H563" s="123">
        <v>28</v>
      </c>
      <c r="I563" s="123">
        <v>60</v>
      </c>
      <c r="J563" s="123">
        <v>224</v>
      </c>
      <c r="K563" s="123">
        <v>96</v>
      </c>
      <c r="L563" s="123">
        <v>128</v>
      </c>
      <c r="M563" s="123">
        <v>3</v>
      </c>
      <c r="N563" s="123">
        <v>0</v>
      </c>
      <c r="O563" s="123">
        <v>3</v>
      </c>
      <c r="P563" s="123">
        <v>2</v>
      </c>
      <c r="Q563" s="123">
        <v>0</v>
      </c>
      <c r="R563" s="123">
        <v>2</v>
      </c>
      <c r="S563" s="7" t="s">
        <v>163</v>
      </c>
      <c r="T563" s="124"/>
      <c r="U563" s="1"/>
    </row>
    <row r="564" spans="1:21" ht="13.5" thickBot="1" x14ac:dyDescent="0.25">
      <c r="A564" s="123">
        <v>6</v>
      </c>
      <c r="B564" s="123">
        <v>0</v>
      </c>
      <c r="C564" s="123">
        <v>6</v>
      </c>
      <c r="D564" s="123">
        <v>0</v>
      </c>
      <c r="E564" s="123">
        <v>0</v>
      </c>
      <c r="F564" s="123">
        <v>0</v>
      </c>
      <c r="G564" s="123">
        <v>1</v>
      </c>
      <c r="H564" s="123">
        <v>0</v>
      </c>
      <c r="I564" s="123">
        <v>1</v>
      </c>
      <c r="J564" s="123">
        <v>3</v>
      </c>
      <c r="K564" s="123">
        <v>0</v>
      </c>
      <c r="L564" s="123">
        <v>3</v>
      </c>
      <c r="M564" s="123">
        <v>2</v>
      </c>
      <c r="N564" s="123">
        <v>0</v>
      </c>
      <c r="O564" s="123">
        <v>2</v>
      </c>
      <c r="P564" s="123">
        <v>0</v>
      </c>
      <c r="Q564" s="123">
        <v>0</v>
      </c>
      <c r="R564" s="123">
        <v>0</v>
      </c>
      <c r="S564" s="7" t="s">
        <v>162</v>
      </c>
      <c r="T564" s="124" t="s">
        <v>664</v>
      </c>
      <c r="U564" s="1"/>
    </row>
    <row r="565" spans="1:21" ht="13.5" thickBot="1" x14ac:dyDescent="0.25">
      <c r="A565" s="123">
        <v>479</v>
      </c>
      <c r="B565" s="123">
        <v>174</v>
      </c>
      <c r="C565" s="123">
        <v>305</v>
      </c>
      <c r="D565" s="123">
        <v>156</v>
      </c>
      <c r="E565" s="123">
        <v>50</v>
      </c>
      <c r="F565" s="123">
        <v>106</v>
      </c>
      <c r="G565" s="123">
        <v>89</v>
      </c>
      <c r="H565" s="123">
        <v>28</v>
      </c>
      <c r="I565" s="123">
        <v>61</v>
      </c>
      <c r="J565" s="123">
        <v>227</v>
      </c>
      <c r="K565" s="123">
        <v>96</v>
      </c>
      <c r="L565" s="123">
        <v>131</v>
      </c>
      <c r="M565" s="123">
        <v>5</v>
      </c>
      <c r="N565" s="123">
        <v>0</v>
      </c>
      <c r="O565" s="123">
        <v>5</v>
      </c>
      <c r="P565" s="123">
        <v>2</v>
      </c>
      <c r="Q565" s="123">
        <v>0</v>
      </c>
      <c r="R565" s="123">
        <v>2</v>
      </c>
      <c r="S565" s="7" t="s">
        <v>13</v>
      </c>
      <c r="T565" s="9"/>
      <c r="U565" s="1"/>
    </row>
    <row r="566" spans="1:21" ht="13.5" thickBot="1" x14ac:dyDescent="0.25">
      <c r="A566" s="123">
        <v>473</v>
      </c>
      <c r="B566" s="123">
        <v>174</v>
      </c>
      <c r="C566" s="123">
        <v>299</v>
      </c>
      <c r="D566" s="123">
        <v>156</v>
      </c>
      <c r="E566" s="123">
        <v>50</v>
      </c>
      <c r="F566" s="123">
        <v>106</v>
      </c>
      <c r="G566" s="123">
        <v>88</v>
      </c>
      <c r="H566" s="123">
        <v>28</v>
      </c>
      <c r="I566" s="123">
        <v>60</v>
      </c>
      <c r="J566" s="123">
        <v>224</v>
      </c>
      <c r="K566" s="123">
        <v>96</v>
      </c>
      <c r="L566" s="123">
        <v>128</v>
      </c>
      <c r="M566" s="123">
        <v>3</v>
      </c>
      <c r="N566" s="123">
        <v>0</v>
      </c>
      <c r="O566" s="123">
        <v>3</v>
      </c>
      <c r="P566" s="123">
        <v>2</v>
      </c>
      <c r="Q566" s="123">
        <v>0</v>
      </c>
      <c r="R566" s="123">
        <v>2</v>
      </c>
      <c r="S566" s="7" t="s">
        <v>163</v>
      </c>
      <c r="T566" s="3"/>
      <c r="U566" s="1"/>
    </row>
    <row r="567" spans="1:21" ht="13.5" thickBot="1" x14ac:dyDescent="0.25">
      <c r="A567" s="123">
        <v>6</v>
      </c>
      <c r="B567" s="123">
        <v>0</v>
      </c>
      <c r="C567" s="123">
        <v>6</v>
      </c>
      <c r="D567" s="123">
        <v>0</v>
      </c>
      <c r="E567" s="123">
        <v>0</v>
      </c>
      <c r="F567" s="123">
        <v>0</v>
      </c>
      <c r="G567" s="123">
        <v>1</v>
      </c>
      <c r="H567" s="123">
        <v>0</v>
      </c>
      <c r="I567" s="123">
        <v>1</v>
      </c>
      <c r="J567" s="123">
        <v>3</v>
      </c>
      <c r="K567" s="123">
        <v>0</v>
      </c>
      <c r="L567" s="123">
        <v>3</v>
      </c>
      <c r="M567" s="123">
        <v>2</v>
      </c>
      <c r="N567" s="123">
        <v>0</v>
      </c>
      <c r="O567" s="123">
        <v>2</v>
      </c>
      <c r="P567" s="123">
        <v>0</v>
      </c>
      <c r="Q567" s="123">
        <v>0</v>
      </c>
      <c r="R567" s="123">
        <v>0</v>
      </c>
      <c r="S567" s="7" t="s">
        <v>162</v>
      </c>
      <c r="T567" s="11" t="s">
        <v>211</v>
      </c>
      <c r="U567" s="1"/>
    </row>
    <row r="568" spans="1:21" ht="13.5" thickBot="1" x14ac:dyDescent="0.25">
      <c r="A568" s="123">
        <v>479</v>
      </c>
      <c r="B568" s="123">
        <v>174</v>
      </c>
      <c r="C568" s="123">
        <v>305</v>
      </c>
      <c r="D568" s="123">
        <v>156</v>
      </c>
      <c r="E568" s="123">
        <v>50</v>
      </c>
      <c r="F568" s="123">
        <v>106</v>
      </c>
      <c r="G568" s="123">
        <v>89</v>
      </c>
      <c r="H568" s="123">
        <v>28</v>
      </c>
      <c r="I568" s="123">
        <v>61</v>
      </c>
      <c r="J568" s="123">
        <v>227</v>
      </c>
      <c r="K568" s="123">
        <v>96</v>
      </c>
      <c r="L568" s="123">
        <v>131</v>
      </c>
      <c r="M568" s="123">
        <v>5</v>
      </c>
      <c r="N568" s="123">
        <v>0</v>
      </c>
      <c r="O568" s="123">
        <v>5</v>
      </c>
      <c r="P568" s="123">
        <v>2</v>
      </c>
      <c r="Q568" s="123">
        <v>0</v>
      </c>
      <c r="R568" s="123">
        <v>2</v>
      </c>
      <c r="S568" s="7" t="s">
        <v>13</v>
      </c>
      <c r="T568" s="5"/>
      <c r="U568" s="1"/>
    </row>
    <row r="569" spans="1:21" ht="18" customHeight="1" x14ac:dyDescent="0.2">
      <c r="A569" s="207"/>
      <c r="B569" s="207"/>
      <c r="C569" s="207"/>
      <c r="D569" s="207"/>
      <c r="E569" s="207"/>
      <c r="F569" s="207"/>
      <c r="G569" s="207"/>
      <c r="H569" s="207"/>
      <c r="I569" s="207"/>
      <c r="J569" s="207"/>
      <c r="K569" s="207"/>
      <c r="L569" s="207"/>
      <c r="M569" s="207"/>
      <c r="N569" s="207"/>
      <c r="O569" s="207"/>
      <c r="P569" s="207"/>
      <c r="Q569" s="207"/>
      <c r="R569" s="207"/>
      <c r="S569" s="207"/>
      <c r="T569" s="207"/>
      <c r="U569" s="1"/>
    </row>
    <row r="570" spans="1:21" ht="18" customHeight="1" x14ac:dyDescent="0.2">
      <c r="A570" s="159" t="s">
        <v>665</v>
      </c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"/>
    </row>
    <row r="571" spans="1:21" ht="18" customHeight="1" thickBot="1" x14ac:dyDescent="0.25">
      <c r="A571" s="160" t="s">
        <v>667</v>
      </c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"/>
    </row>
    <row r="572" spans="1:21" ht="13.5" thickBot="1" x14ac:dyDescent="0.25">
      <c r="A572" s="204" t="s">
        <v>5</v>
      </c>
      <c r="B572" s="204"/>
      <c r="C572" s="204"/>
      <c r="D572" s="204" t="s">
        <v>57</v>
      </c>
      <c r="E572" s="204"/>
      <c r="F572" s="204"/>
      <c r="G572" s="204" t="s">
        <v>66</v>
      </c>
      <c r="H572" s="204"/>
      <c r="I572" s="204"/>
      <c r="J572" s="204" t="s">
        <v>65</v>
      </c>
      <c r="K572" s="204"/>
      <c r="L572" s="204"/>
      <c r="M572" s="204" t="s">
        <v>62</v>
      </c>
      <c r="N572" s="204"/>
      <c r="O572" s="204"/>
      <c r="P572" s="204" t="s">
        <v>61</v>
      </c>
      <c r="Q572" s="204"/>
      <c r="R572" s="204"/>
      <c r="S572" s="205" t="s">
        <v>614</v>
      </c>
      <c r="T572" s="47" t="s">
        <v>161</v>
      </c>
      <c r="U572" s="1"/>
    </row>
    <row r="573" spans="1:21" ht="13.5" thickBot="1" x14ac:dyDescent="0.25">
      <c r="A573" s="47" t="s">
        <v>216</v>
      </c>
      <c r="B573" s="47" t="s">
        <v>11</v>
      </c>
      <c r="C573" s="47" t="s">
        <v>10</v>
      </c>
      <c r="D573" s="47" t="s">
        <v>216</v>
      </c>
      <c r="E573" s="47" t="s">
        <v>11</v>
      </c>
      <c r="F573" s="47" t="s">
        <v>10</v>
      </c>
      <c r="G573" s="47" t="s">
        <v>216</v>
      </c>
      <c r="H573" s="47" t="s">
        <v>11</v>
      </c>
      <c r="I573" s="47" t="s">
        <v>10</v>
      </c>
      <c r="J573" s="47" t="s">
        <v>216</v>
      </c>
      <c r="K573" s="47" t="s">
        <v>11</v>
      </c>
      <c r="L573" s="47" t="s">
        <v>10</v>
      </c>
      <c r="M573" s="47" t="s">
        <v>216</v>
      </c>
      <c r="N573" s="47" t="s">
        <v>11</v>
      </c>
      <c r="O573" s="47" t="s">
        <v>10</v>
      </c>
      <c r="P573" s="47" t="s">
        <v>216</v>
      </c>
      <c r="Q573" s="47" t="s">
        <v>11</v>
      </c>
      <c r="R573" s="47" t="s">
        <v>10</v>
      </c>
      <c r="S573" s="206"/>
      <c r="T573" s="5" t="s">
        <v>165</v>
      </c>
      <c r="U573" s="1"/>
    </row>
    <row r="574" spans="1:21" ht="13.5" thickBot="1" x14ac:dyDescent="0.25">
      <c r="A574" s="123">
        <v>5</v>
      </c>
      <c r="B574" s="123">
        <v>3</v>
      </c>
      <c r="C574" s="123">
        <v>2</v>
      </c>
      <c r="D574" s="123">
        <v>0</v>
      </c>
      <c r="E574" s="123">
        <v>0</v>
      </c>
      <c r="F574" s="123">
        <v>0</v>
      </c>
      <c r="G574" s="123">
        <v>3</v>
      </c>
      <c r="H574" s="123">
        <v>1</v>
      </c>
      <c r="I574" s="123">
        <v>2</v>
      </c>
      <c r="J574" s="123">
        <v>2</v>
      </c>
      <c r="K574" s="123">
        <v>2</v>
      </c>
      <c r="L574" s="123">
        <v>0</v>
      </c>
      <c r="M574" s="123">
        <v>0</v>
      </c>
      <c r="N574" s="123">
        <v>0</v>
      </c>
      <c r="O574" s="123">
        <v>0</v>
      </c>
      <c r="P574" s="123">
        <v>0</v>
      </c>
      <c r="Q574" s="123">
        <v>0</v>
      </c>
      <c r="R574" s="123">
        <v>0</v>
      </c>
      <c r="S574" s="7" t="s">
        <v>163</v>
      </c>
      <c r="T574" s="124"/>
      <c r="U574" s="1"/>
    </row>
    <row r="575" spans="1:21" ht="13.5" thickBot="1" x14ac:dyDescent="0.25">
      <c r="A575" s="123">
        <v>2</v>
      </c>
      <c r="B575" s="123">
        <v>1</v>
      </c>
      <c r="C575" s="123">
        <v>1</v>
      </c>
      <c r="D575" s="123">
        <v>0</v>
      </c>
      <c r="E575" s="123">
        <v>0</v>
      </c>
      <c r="F575" s="123">
        <v>0</v>
      </c>
      <c r="G575" s="123">
        <v>0</v>
      </c>
      <c r="H575" s="123">
        <v>0</v>
      </c>
      <c r="I575" s="123">
        <v>0</v>
      </c>
      <c r="J575" s="123">
        <v>1</v>
      </c>
      <c r="K575" s="123">
        <v>1</v>
      </c>
      <c r="L575" s="123">
        <v>0</v>
      </c>
      <c r="M575" s="123">
        <v>1</v>
      </c>
      <c r="N575" s="123">
        <v>0</v>
      </c>
      <c r="O575" s="123">
        <v>1</v>
      </c>
      <c r="P575" s="123">
        <v>0</v>
      </c>
      <c r="Q575" s="123">
        <v>0</v>
      </c>
      <c r="R575" s="123">
        <v>0</v>
      </c>
      <c r="S575" s="7" t="s">
        <v>162</v>
      </c>
      <c r="T575" s="124" t="s">
        <v>542</v>
      </c>
      <c r="U575" s="1"/>
    </row>
    <row r="576" spans="1:21" ht="13.5" thickBot="1" x14ac:dyDescent="0.25">
      <c r="A576" s="123">
        <v>7</v>
      </c>
      <c r="B576" s="123">
        <v>4</v>
      </c>
      <c r="C576" s="123">
        <v>3</v>
      </c>
      <c r="D576" s="123">
        <v>0</v>
      </c>
      <c r="E576" s="123">
        <v>0</v>
      </c>
      <c r="F576" s="123">
        <v>0</v>
      </c>
      <c r="G576" s="123">
        <v>3</v>
      </c>
      <c r="H576" s="123">
        <v>1</v>
      </c>
      <c r="I576" s="123">
        <v>2</v>
      </c>
      <c r="J576" s="123">
        <v>3</v>
      </c>
      <c r="K576" s="123">
        <v>3</v>
      </c>
      <c r="L576" s="123">
        <v>0</v>
      </c>
      <c r="M576" s="123">
        <v>1</v>
      </c>
      <c r="N576" s="123">
        <v>0</v>
      </c>
      <c r="O576" s="123">
        <v>1</v>
      </c>
      <c r="P576" s="123">
        <v>0</v>
      </c>
      <c r="Q576" s="123">
        <v>0</v>
      </c>
      <c r="R576" s="123">
        <v>0</v>
      </c>
      <c r="S576" s="7" t="s">
        <v>13</v>
      </c>
      <c r="T576" s="9"/>
      <c r="U576" s="1"/>
    </row>
    <row r="577" spans="1:21" ht="13.5" thickBot="1" x14ac:dyDescent="0.25">
      <c r="A577" s="123">
        <v>5</v>
      </c>
      <c r="B577" s="123">
        <v>2</v>
      </c>
      <c r="C577" s="123">
        <v>3</v>
      </c>
      <c r="D577" s="123">
        <v>0</v>
      </c>
      <c r="E577" s="123">
        <v>0</v>
      </c>
      <c r="F577" s="123">
        <v>0</v>
      </c>
      <c r="G577" s="123">
        <v>0</v>
      </c>
      <c r="H577" s="123">
        <v>0</v>
      </c>
      <c r="I577" s="123">
        <v>0</v>
      </c>
      <c r="J577" s="123">
        <v>2</v>
      </c>
      <c r="K577" s="123">
        <v>1</v>
      </c>
      <c r="L577" s="123">
        <v>1</v>
      </c>
      <c r="M577" s="123">
        <v>0</v>
      </c>
      <c r="N577" s="123">
        <v>0</v>
      </c>
      <c r="O577" s="123">
        <v>0</v>
      </c>
      <c r="P577" s="123">
        <v>3</v>
      </c>
      <c r="Q577" s="123">
        <v>1</v>
      </c>
      <c r="R577" s="123">
        <v>2</v>
      </c>
      <c r="S577" s="7" t="s">
        <v>163</v>
      </c>
      <c r="T577" s="124"/>
      <c r="U577" s="1"/>
    </row>
    <row r="578" spans="1:21" ht="13.5" thickBot="1" x14ac:dyDescent="0.25">
      <c r="A578" s="123">
        <v>1</v>
      </c>
      <c r="B578" s="123">
        <v>1</v>
      </c>
      <c r="C578" s="123">
        <v>0</v>
      </c>
      <c r="D578" s="123">
        <v>0</v>
      </c>
      <c r="E578" s="123">
        <v>0</v>
      </c>
      <c r="F578" s="123">
        <v>0</v>
      </c>
      <c r="G578" s="123">
        <v>0</v>
      </c>
      <c r="H578" s="123">
        <v>0</v>
      </c>
      <c r="I578" s="123">
        <v>0</v>
      </c>
      <c r="J578" s="123">
        <v>1</v>
      </c>
      <c r="K578" s="123">
        <v>1</v>
      </c>
      <c r="L578" s="123">
        <v>0</v>
      </c>
      <c r="M578" s="123">
        <v>0</v>
      </c>
      <c r="N578" s="123">
        <v>0</v>
      </c>
      <c r="O578" s="123">
        <v>0</v>
      </c>
      <c r="P578" s="123">
        <v>0</v>
      </c>
      <c r="Q578" s="123">
        <v>0</v>
      </c>
      <c r="R578" s="123">
        <v>0</v>
      </c>
      <c r="S578" s="7" t="s">
        <v>162</v>
      </c>
      <c r="T578" s="124" t="s">
        <v>543</v>
      </c>
      <c r="U578" s="1"/>
    </row>
    <row r="579" spans="1:21" ht="13.5" thickBot="1" x14ac:dyDescent="0.25">
      <c r="A579" s="123">
        <v>6</v>
      </c>
      <c r="B579" s="123">
        <v>3</v>
      </c>
      <c r="C579" s="123">
        <v>3</v>
      </c>
      <c r="D579" s="123">
        <v>0</v>
      </c>
      <c r="E579" s="123">
        <v>0</v>
      </c>
      <c r="F579" s="123">
        <v>0</v>
      </c>
      <c r="G579" s="123">
        <v>0</v>
      </c>
      <c r="H579" s="123">
        <v>0</v>
      </c>
      <c r="I579" s="123">
        <v>0</v>
      </c>
      <c r="J579" s="123">
        <v>3</v>
      </c>
      <c r="K579" s="123">
        <v>2</v>
      </c>
      <c r="L579" s="123">
        <v>1</v>
      </c>
      <c r="M579" s="123">
        <v>0</v>
      </c>
      <c r="N579" s="123">
        <v>0</v>
      </c>
      <c r="O579" s="123">
        <v>0</v>
      </c>
      <c r="P579" s="123">
        <v>3</v>
      </c>
      <c r="Q579" s="123">
        <v>1</v>
      </c>
      <c r="R579" s="123">
        <v>2</v>
      </c>
      <c r="S579" s="7" t="s">
        <v>13</v>
      </c>
      <c r="T579" s="9"/>
      <c r="U579" s="1"/>
    </row>
    <row r="580" spans="1:21" ht="13.5" thickBot="1" x14ac:dyDescent="0.25">
      <c r="A580" s="123">
        <v>38</v>
      </c>
      <c r="B580" s="123">
        <v>38</v>
      </c>
      <c r="C580" s="123">
        <v>0</v>
      </c>
      <c r="D580" s="123">
        <v>0</v>
      </c>
      <c r="E580" s="123">
        <v>0</v>
      </c>
      <c r="F580" s="123">
        <v>0</v>
      </c>
      <c r="G580" s="123">
        <v>13</v>
      </c>
      <c r="H580" s="123">
        <v>13</v>
      </c>
      <c r="I580" s="123">
        <v>0</v>
      </c>
      <c r="J580" s="123">
        <v>23</v>
      </c>
      <c r="K580" s="123">
        <v>23</v>
      </c>
      <c r="L580" s="123">
        <v>0</v>
      </c>
      <c r="M580" s="123">
        <v>2</v>
      </c>
      <c r="N580" s="123">
        <v>2</v>
      </c>
      <c r="O580" s="123">
        <v>0</v>
      </c>
      <c r="P580" s="123">
        <v>0</v>
      </c>
      <c r="Q580" s="123">
        <v>0</v>
      </c>
      <c r="R580" s="123">
        <v>0</v>
      </c>
      <c r="S580" s="7" t="s">
        <v>163</v>
      </c>
      <c r="T580" s="124"/>
      <c r="U580" s="1"/>
    </row>
    <row r="581" spans="1:21" ht="13.5" thickBot="1" x14ac:dyDescent="0.25">
      <c r="A581" s="123">
        <v>13</v>
      </c>
      <c r="B581" s="123">
        <v>13</v>
      </c>
      <c r="C581" s="123">
        <v>0</v>
      </c>
      <c r="D581" s="123">
        <v>0</v>
      </c>
      <c r="E581" s="123">
        <v>0</v>
      </c>
      <c r="F581" s="123">
        <v>0</v>
      </c>
      <c r="G581" s="123">
        <v>0</v>
      </c>
      <c r="H581" s="123">
        <v>0</v>
      </c>
      <c r="I581" s="123">
        <v>0</v>
      </c>
      <c r="J581" s="123">
        <v>11</v>
      </c>
      <c r="K581" s="123">
        <v>11</v>
      </c>
      <c r="L581" s="123">
        <v>0</v>
      </c>
      <c r="M581" s="123">
        <v>1</v>
      </c>
      <c r="N581" s="123">
        <v>1</v>
      </c>
      <c r="O581" s="123">
        <v>0</v>
      </c>
      <c r="P581" s="123">
        <v>1</v>
      </c>
      <c r="Q581" s="123">
        <v>1</v>
      </c>
      <c r="R581" s="123">
        <v>0</v>
      </c>
      <c r="S581" s="7" t="s">
        <v>162</v>
      </c>
      <c r="T581" s="124" t="s">
        <v>477</v>
      </c>
      <c r="U581" s="1"/>
    </row>
    <row r="582" spans="1:21" ht="13.5" thickBot="1" x14ac:dyDescent="0.25">
      <c r="A582" s="123">
        <v>51</v>
      </c>
      <c r="B582" s="123">
        <v>51</v>
      </c>
      <c r="C582" s="123">
        <v>0</v>
      </c>
      <c r="D582" s="123">
        <v>0</v>
      </c>
      <c r="E582" s="123">
        <v>0</v>
      </c>
      <c r="F582" s="123">
        <v>0</v>
      </c>
      <c r="G582" s="123">
        <v>13</v>
      </c>
      <c r="H582" s="123">
        <v>13</v>
      </c>
      <c r="I582" s="123">
        <v>0</v>
      </c>
      <c r="J582" s="123">
        <v>34</v>
      </c>
      <c r="K582" s="123">
        <v>34</v>
      </c>
      <c r="L582" s="123">
        <v>0</v>
      </c>
      <c r="M582" s="123">
        <v>3</v>
      </c>
      <c r="N582" s="123">
        <v>3</v>
      </c>
      <c r="O582" s="123">
        <v>0</v>
      </c>
      <c r="P582" s="123">
        <v>1</v>
      </c>
      <c r="Q582" s="123">
        <v>1</v>
      </c>
      <c r="R582" s="123">
        <v>0</v>
      </c>
      <c r="S582" s="7" t="s">
        <v>13</v>
      </c>
      <c r="T582" s="9"/>
      <c r="U582" s="1"/>
    </row>
    <row r="583" spans="1:21" ht="13.5" thickBot="1" x14ac:dyDescent="0.25">
      <c r="A583" s="123">
        <v>13</v>
      </c>
      <c r="B583" s="123">
        <v>13</v>
      </c>
      <c r="C583" s="123">
        <v>0</v>
      </c>
      <c r="D583" s="123">
        <v>0</v>
      </c>
      <c r="E583" s="123">
        <v>0</v>
      </c>
      <c r="F583" s="123">
        <v>0</v>
      </c>
      <c r="G583" s="123">
        <v>0</v>
      </c>
      <c r="H583" s="123">
        <v>0</v>
      </c>
      <c r="I583" s="123">
        <v>0</v>
      </c>
      <c r="J583" s="123">
        <v>11</v>
      </c>
      <c r="K583" s="123">
        <v>11</v>
      </c>
      <c r="L583" s="123">
        <v>0</v>
      </c>
      <c r="M583" s="123">
        <v>2</v>
      </c>
      <c r="N583" s="123">
        <v>2</v>
      </c>
      <c r="O583" s="123">
        <v>0</v>
      </c>
      <c r="P583" s="123">
        <v>0</v>
      </c>
      <c r="Q583" s="123">
        <v>0</v>
      </c>
      <c r="R583" s="123">
        <v>0</v>
      </c>
      <c r="S583" s="7" t="s">
        <v>163</v>
      </c>
      <c r="T583" s="124"/>
      <c r="U583" s="1"/>
    </row>
    <row r="584" spans="1:21" ht="13.5" thickBot="1" x14ac:dyDescent="0.25">
      <c r="A584" s="123">
        <v>4</v>
      </c>
      <c r="B584" s="123">
        <v>3</v>
      </c>
      <c r="C584" s="123">
        <v>1</v>
      </c>
      <c r="D584" s="123">
        <v>0</v>
      </c>
      <c r="E584" s="123">
        <v>0</v>
      </c>
      <c r="F584" s="123">
        <v>0</v>
      </c>
      <c r="G584" s="123">
        <v>0</v>
      </c>
      <c r="H584" s="123">
        <v>0</v>
      </c>
      <c r="I584" s="123">
        <v>0</v>
      </c>
      <c r="J584" s="123">
        <v>3</v>
      </c>
      <c r="K584" s="123">
        <v>2</v>
      </c>
      <c r="L584" s="123">
        <v>1</v>
      </c>
      <c r="M584" s="123">
        <v>1</v>
      </c>
      <c r="N584" s="123">
        <v>1</v>
      </c>
      <c r="O584" s="123">
        <v>0</v>
      </c>
      <c r="P584" s="123">
        <v>0</v>
      </c>
      <c r="Q584" s="123">
        <v>0</v>
      </c>
      <c r="R584" s="123">
        <v>0</v>
      </c>
      <c r="S584" s="7" t="s">
        <v>162</v>
      </c>
      <c r="T584" s="124" t="s">
        <v>478</v>
      </c>
      <c r="U584" s="1"/>
    </row>
    <row r="585" spans="1:21" ht="13.5" thickBot="1" x14ac:dyDescent="0.25">
      <c r="A585" s="123">
        <v>17</v>
      </c>
      <c r="B585" s="123">
        <v>16</v>
      </c>
      <c r="C585" s="123">
        <v>1</v>
      </c>
      <c r="D585" s="123">
        <v>0</v>
      </c>
      <c r="E585" s="123">
        <v>0</v>
      </c>
      <c r="F585" s="123">
        <v>0</v>
      </c>
      <c r="G585" s="123">
        <v>0</v>
      </c>
      <c r="H585" s="123">
        <v>0</v>
      </c>
      <c r="I585" s="123">
        <v>0</v>
      </c>
      <c r="J585" s="123">
        <v>14</v>
      </c>
      <c r="K585" s="123">
        <v>13</v>
      </c>
      <c r="L585" s="123">
        <v>1</v>
      </c>
      <c r="M585" s="123">
        <v>3</v>
      </c>
      <c r="N585" s="123">
        <v>3</v>
      </c>
      <c r="O585" s="123">
        <v>0</v>
      </c>
      <c r="P585" s="123">
        <v>0</v>
      </c>
      <c r="Q585" s="123">
        <v>0</v>
      </c>
      <c r="R585" s="123">
        <v>0</v>
      </c>
      <c r="S585" s="7" t="s">
        <v>13</v>
      </c>
      <c r="T585" s="9"/>
      <c r="U585" s="1"/>
    </row>
    <row r="586" spans="1:21" ht="13.5" thickBot="1" x14ac:dyDescent="0.25">
      <c r="A586" s="123">
        <v>61</v>
      </c>
      <c r="B586" s="123">
        <v>56</v>
      </c>
      <c r="C586" s="123">
        <v>5</v>
      </c>
      <c r="D586" s="123">
        <v>0</v>
      </c>
      <c r="E586" s="123">
        <v>0</v>
      </c>
      <c r="F586" s="123">
        <v>0</v>
      </c>
      <c r="G586" s="123">
        <v>16</v>
      </c>
      <c r="H586" s="123">
        <v>14</v>
      </c>
      <c r="I586" s="123">
        <v>2</v>
      </c>
      <c r="J586" s="123">
        <v>38</v>
      </c>
      <c r="K586" s="123">
        <v>37</v>
      </c>
      <c r="L586" s="123">
        <v>1</v>
      </c>
      <c r="M586" s="123">
        <v>4</v>
      </c>
      <c r="N586" s="123">
        <v>4</v>
      </c>
      <c r="O586" s="123">
        <v>0</v>
      </c>
      <c r="P586" s="123">
        <v>3</v>
      </c>
      <c r="Q586" s="123">
        <v>1</v>
      </c>
      <c r="R586" s="123">
        <v>2</v>
      </c>
      <c r="S586" s="7" t="s">
        <v>163</v>
      </c>
      <c r="T586" s="3"/>
      <c r="U586" s="1"/>
    </row>
    <row r="587" spans="1:21" ht="13.5" thickBot="1" x14ac:dyDescent="0.25">
      <c r="A587" s="123">
        <v>20</v>
      </c>
      <c r="B587" s="123">
        <v>18</v>
      </c>
      <c r="C587" s="123">
        <v>2</v>
      </c>
      <c r="D587" s="123">
        <v>0</v>
      </c>
      <c r="E587" s="123">
        <v>0</v>
      </c>
      <c r="F587" s="123">
        <v>0</v>
      </c>
      <c r="G587" s="123">
        <v>0</v>
      </c>
      <c r="H587" s="123">
        <v>0</v>
      </c>
      <c r="I587" s="123">
        <v>0</v>
      </c>
      <c r="J587" s="123">
        <v>16</v>
      </c>
      <c r="K587" s="123">
        <v>15</v>
      </c>
      <c r="L587" s="123">
        <v>1</v>
      </c>
      <c r="M587" s="123">
        <v>3</v>
      </c>
      <c r="N587" s="123">
        <v>2</v>
      </c>
      <c r="O587" s="123">
        <v>1</v>
      </c>
      <c r="P587" s="123">
        <v>1</v>
      </c>
      <c r="Q587" s="123">
        <v>1</v>
      </c>
      <c r="R587" s="123">
        <v>0</v>
      </c>
      <c r="S587" s="7" t="s">
        <v>162</v>
      </c>
      <c r="T587" s="11" t="s">
        <v>211</v>
      </c>
      <c r="U587" s="1"/>
    </row>
    <row r="588" spans="1:21" ht="13.5" thickBot="1" x14ac:dyDescent="0.25">
      <c r="A588" s="123">
        <v>81</v>
      </c>
      <c r="B588" s="123">
        <v>74</v>
      </c>
      <c r="C588" s="123">
        <v>7</v>
      </c>
      <c r="D588" s="123">
        <v>0</v>
      </c>
      <c r="E588" s="123">
        <v>0</v>
      </c>
      <c r="F588" s="123">
        <v>0</v>
      </c>
      <c r="G588" s="123">
        <v>16</v>
      </c>
      <c r="H588" s="123">
        <v>14</v>
      </c>
      <c r="I588" s="123">
        <v>2</v>
      </c>
      <c r="J588" s="123">
        <v>54</v>
      </c>
      <c r="K588" s="123">
        <v>52</v>
      </c>
      <c r="L588" s="123">
        <v>2</v>
      </c>
      <c r="M588" s="123">
        <v>7</v>
      </c>
      <c r="N588" s="123">
        <v>6</v>
      </c>
      <c r="O588" s="123">
        <v>1</v>
      </c>
      <c r="P588" s="123">
        <v>4</v>
      </c>
      <c r="Q588" s="123">
        <v>2</v>
      </c>
      <c r="R588" s="123">
        <v>2</v>
      </c>
      <c r="S588" s="7" t="s">
        <v>13</v>
      </c>
      <c r="T588" s="5"/>
      <c r="U588" s="1"/>
    </row>
    <row r="589" spans="1:21" ht="18" customHeight="1" x14ac:dyDescent="0.2">
      <c r="A589" s="207"/>
      <c r="B589" s="207"/>
      <c r="C589" s="207"/>
      <c r="D589" s="207"/>
      <c r="E589" s="207"/>
      <c r="F589" s="207"/>
      <c r="G589" s="207"/>
      <c r="H589" s="207"/>
      <c r="I589" s="207"/>
      <c r="J589" s="207"/>
      <c r="K589" s="207"/>
      <c r="L589" s="207"/>
      <c r="M589" s="207"/>
      <c r="N589" s="207"/>
      <c r="O589" s="207"/>
      <c r="P589" s="207"/>
      <c r="Q589" s="207"/>
      <c r="R589" s="207"/>
      <c r="S589" s="207"/>
      <c r="T589" s="207"/>
      <c r="U589" s="1"/>
    </row>
    <row r="590" spans="1:21" ht="18" customHeight="1" x14ac:dyDescent="0.2">
      <c r="A590" s="159" t="s">
        <v>665</v>
      </c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"/>
    </row>
    <row r="591" spans="1:21" ht="18" customHeight="1" thickBot="1" x14ac:dyDescent="0.25">
      <c r="A591" s="160" t="s">
        <v>667</v>
      </c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"/>
    </row>
    <row r="592" spans="1:21" ht="13.5" thickBot="1" x14ac:dyDescent="0.25">
      <c r="A592" s="204" t="s">
        <v>5</v>
      </c>
      <c r="B592" s="204"/>
      <c r="C592" s="204"/>
      <c r="D592" s="204" t="s">
        <v>57</v>
      </c>
      <c r="E592" s="204"/>
      <c r="F592" s="204"/>
      <c r="G592" s="204" t="s">
        <v>66</v>
      </c>
      <c r="H592" s="204"/>
      <c r="I592" s="204"/>
      <c r="J592" s="204" t="s">
        <v>65</v>
      </c>
      <c r="K592" s="204"/>
      <c r="L592" s="204"/>
      <c r="M592" s="204" t="s">
        <v>62</v>
      </c>
      <c r="N592" s="204"/>
      <c r="O592" s="204"/>
      <c r="P592" s="204" t="s">
        <v>61</v>
      </c>
      <c r="Q592" s="204"/>
      <c r="R592" s="204"/>
      <c r="S592" s="205" t="s">
        <v>614</v>
      </c>
      <c r="T592" s="47" t="s">
        <v>161</v>
      </c>
      <c r="U592" s="1"/>
    </row>
    <row r="593" spans="1:21" ht="13.5" thickBot="1" x14ac:dyDescent="0.25">
      <c r="A593" s="47" t="s">
        <v>216</v>
      </c>
      <c r="B593" s="47" t="s">
        <v>11</v>
      </c>
      <c r="C593" s="47" t="s">
        <v>10</v>
      </c>
      <c r="D593" s="47" t="s">
        <v>216</v>
      </c>
      <c r="E593" s="47" t="s">
        <v>11</v>
      </c>
      <c r="F593" s="47" t="s">
        <v>10</v>
      </c>
      <c r="G593" s="47" t="s">
        <v>216</v>
      </c>
      <c r="H593" s="47" t="s">
        <v>11</v>
      </c>
      <c r="I593" s="47" t="s">
        <v>10</v>
      </c>
      <c r="J593" s="47" t="s">
        <v>216</v>
      </c>
      <c r="K593" s="47" t="s">
        <v>11</v>
      </c>
      <c r="L593" s="47" t="s">
        <v>10</v>
      </c>
      <c r="M593" s="47" t="s">
        <v>216</v>
      </c>
      <c r="N593" s="47" t="s">
        <v>11</v>
      </c>
      <c r="O593" s="47" t="s">
        <v>10</v>
      </c>
      <c r="P593" s="47" t="s">
        <v>216</v>
      </c>
      <c r="Q593" s="47" t="s">
        <v>11</v>
      </c>
      <c r="R593" s="47" t="s">
        <v>10</v>
      </c>
      <c r="S593" s="206"/>
      <c r="T593" s="5" t="s">
        <v>115</v>
      </c>
      <c r="U593" s="1"/>
    </row>
    <row r="594" spans="1:21" ht="13.5" thickBot="1" x14ac:dyDescent="0.25">
      <c r="A594" s="123">
        <v>57</v>
      </c>
      <c r="B594" s="123">
        <v>0</v>
      </c>
      <c r="C594" s="123">
        <v>57</v>
      </c>
      <c r="D594" s="123">
        <v>7</v>
      </c>
      <c r="E594" s="123">
        <v>0</v>
      </c>
      <c r="F594" s="123">
        <v>7</v>
      </c>
      <c r="G594" s="123">
        <v>35</v>
      </c>
      <c r="H594" s="123">
        <v>0</v>
      </c>
      <c r="I594" s="123">
        <v>35</v>
      </c>
      <c r="J594" s="123">
        <v>15</v>
      </c>
      <c r="K594" s="123">
        <v>0</v>
      </c>
      <c r="L594" s="123">
        <v>15</v>
      </c>
      <c r="M594" s="123">
        <v>0</v>
      </c>
      <c r="N594" s="123">
        <v>0</v>
      </c>
      <c r="O594" s="123">
        <v>0</v>
      </c>
      <c r="P594" s="123">
        <v>0</v>
      </c>
      <c r="Q594" s="123">
        <v>0</v>
      </c>
      <c r="R594" s="123">
        <v>0</v>
      </c>
      <c r="S594" s="7" t="s">
        <v>163</v>
      </c>
      <c r="T594" s="124"/>
      <c r="U594" s="1"/>
    </row>
    <row r="595" spans="1:21" ht="13.5" thickBot="1" x14ac:dyDescent="0.25">
      <c r="A595" s="123">
        <v>50</v>
      </c>
      <c r="B595" s="123">
        <v>0</v>
      </c>
      <c r="C595" s="123">
        <v>50</v>
      </c>
      <c r="D595" s="123">
        <v>0</v>
      </c>
      <c r="E595" s="123">
        <v>0</v>
      </c>
      <c r="F595" s="123">
        <v>0</v>
      </c>
      <c r="G595" s="123">
        <v>40</v>
      </c>
      <c r="H595" s="123">
        <v>0</v>
      </c>
      <c r="I595" s="123">
        <v>40</v>
      </c>
      <c r="J595" s="123">
        <v>10</v>
      </c>
      <c r="K595" s="123">
        <v>0</v>
      </c>
      <c r="L595" s="123">
        <v>10</v>
      </c>
      <c r="M595" s="123">
        <v>0</v>
      </c>
      <c r="N595" s="123">
        <v>0</v>
      </c>
      <c r="O595" s="123">
        <v>0</v>
      </c>
      <c r="P595" s="123">
        <v>0</v>
      </c>
      <c r="Q595" s="123">
        <v>0</v>
      </c>
      <c r="R595" s="123">
        <v>0</v>
      </c>
      <c r="S595" s="7" t="s">
        <v>162</v>
      </c>
      <c r="T595" s="124" t="s">
        <v>265</v>
      </c>
      <c r="U595" s="1"/>
    </row>
    <row r="596" spans="1:21" ht="13.5" thickBot="1" x14ac:dyDescent="0.25">
      <c r="A596" s="123">
        <v>107</v>
      </c>
      <c r="B596" s="123">
        <v>0</v>
      </c>
      <c r="C596" s="123">
        <v>107</v>
      </c>
      <c r="D596" s="123">
        <v>7</v>
      </c>
      <c r="E596" s="123">
        <v>0</v>
      </c>
      <c r="F596" s="123">
        <v>7</v>
      </c>
      <c r="G596" s="123">
        <v>75</v>
      </c>
      <c r="H596" s="123">
        <v>0</v>
      </c>
      <c r="I596" s="123">
        <v>75</v>
      </c>
      <c r="J596" s="123">
        <v>25</v>
      </c>
      <c r="K596" s="123">
        <v>0</v>
      </c>
      <c r="L596" s="123">
        <v>25</v>
      </c>
      <c r="M596" s="123">
        <v>0</v>
      </c>
      <c r="N596" s="123">
        <v>0</v>
      </c>
      <c r="O596" s="123">
        <v>0</v>
      </c>
      <c r="P596" s="123">
        <v>0</v>
      </c>
      <c r="Q596" s="123">
        <v>0</v>
      </c>
      <c r="R596" s="123">
        <v>0</v>
      </c>
      <c r="S596" s="7" t="s">
        <v>13</v>
      </c>
      <c r="T596" s="9"/>
      <c r="U596" s="1"/>
    </row>
    <row r="597" spans="1:21" ht="13.5" thickBot="1" x14ac:dyDescent="0.25">
      <c r="A597" s="123">
        <v>193</v>
      </c>
      <c r="B597" s="123">
        <v>38</v>
      </c>
      <c r="C597" s="123">
        <v>155</v>
      </c>
      <c r="D597" s="123">
        <v>23</v>
      </c>
      <c r="E597" s="123">
        <v>4</v>
      </c>
      <c r="F597" s="123">
        <v>19</v>
      </c>
      <c r="G597" s="123">
        <v>150</v>
      </c>
      <c r="H597" s="123">
        <v>30</v>
      </c>
      <c r="I597" s="123">
        <v>120</v>
      </c>
      <c r="J597" s="123">
        <v>20</v>
      </c>
      <c r="K597" s="123">
        <v>4</v>
      </c>
      <c r="L597" s="123">
        <v>16</v>
      </c>
      <c r="M597" s="123">
        <v>0</v>
      </c>
      <c r="N597" s="123">
        <v>0</v>
      </c>
      <c r="O597" s="123">
        <v>0</v>
      </c>
      <c r="P597" s="123">
        <v>0</v>
      </c>
      <c r="Q597" s="123">
        <v>0</v>
      </c>
      <c r="R597" s="123">
        <v>0</v>
      </c>
      <c r="S597" s="7" t="s">
        <v>163</v>
      </c>
      <c r="T597" s="124"/>
      <c r="U597" s="1"/>
    </row>
    <row r="598" spans="1:21" ht="13.5" thickBot="1" x14ac:dyDescent="0.25">
      <c r="A598" s="123">
        <v>76</v>
      </c>
      <c r="B598" s="123">
        <v>18</v>
      </c>
      <c r="C598" s="123">
        <v>58</v>
      </c>
      <c r="D598" s="123">
        <v>0</v>
      </c>
      <c r="E598" s="123">
        <v>0</v>
      </c>
      <c r="F598" s="123">
        <v>0</v>
      </c>
      <c r="G598" s="123">
        <v>50</v>
      </c>
      <c r="H598" s="123">
        <v>12</v>
      </c>
      <c r="I598" s="123">
        <v>38</v>
      </c>
      <c r="J598" s="123">
        <v>26</v>
      </c>
      <c r="K598" s="123">
        <v>6</v>
      </c>
      <c r="L598" s="123">
        <v>20</v>
      </c>
      <c r="M598" s="123">
        <v>0</v>
      </c>
      <c r="N598" s="123">
        <v>0</v>
      </c>
      <c r="O598" s="123">
        <v>0</v>
      </c>
      <c r="P598" s="123">
        <v>0</v>
      </c>
      <c r="Q598" s="123">
        <v>0</v>
      </c>
      <c r="R598" s="123">
        <v>0</v>
      </c>
      <c r="S598" s="7" t="s">
        <v>162</v>
      </c>
      <c r="T598" s="124" t="s">
        <v>634</v>
      </c>
      <c r="U598" s="1"/>
    </row>
    <row r="599" spans="1:21" ht="13.5" thickBot="1" x14ac:dyDescent="0.25">
      <c r="A599" s="123">
        <v>269</v>
      </c>
      <c r="B599" s="123">
        <v>56</v>
      </c>
      <c r="C599" s="123">
        <v>213</v>
      </c>
      <c r="D599" s="123">
        <v>23</v>
      </c>
      <c r="E599" s="123">
        <v>4</v>
      </c>
      <c r="F599" s="123">
        <v>19</v>
      </c>
      <c r="G599" s="123">
        <v>200</v>
      </c>
      <c r="H599" s="123">
        <v>42</v>
      </c>
      <c r="I599" s="123">
        <v>158</v>
      </c>
      <c r="J599" s="123">
        <v>46</v>
      </c>
      <c r="K599" s="123">
        <v>10</v>
      </c>
      <c r="L599" s="123">
        <v>36</v>
      </c>
      <c r="M599" s="123">
        <v>0</v>
      </c>
      <c r="N599" s="123">
        <v>0</v>
      </c>
      <c r="O599" s="123">
        <v>0</v>
      </c>
      <c r="P599" s="123">
        <v>0</v>
      </c>
      <c r="Q599" s="123">
        <v>0</v>
      </c>
      <c r="R599" s="123">
        <v>0</v>
      </c>
      <c r="S599" s="7" t="s">
        <v>13</v>
      </c>
      <c r="T599" s="9"/>
      <c r="U599" s="1"/>
    </row>
    <row r="600" spans="1:21" ht="13.5" thickBot="1" x14ac:dyDescent="0.25">
      <c r="A600" s="123">
        <v>18</v>
      </c>
      <c r="B600" s="123">
        <v>0</v>
      </c>
      <c r="C600" s="123">
        <v>18</v>
      </c>
      <c r="D600" s="123">
        <v>3</v>
      </c>
      <c r="E600" s="123">
        <v>0</v>
      </c>
      <c r="F600" s="123">
        <v>3</v>
      </c>
      <c r="G600" s="123">
        <v>8</v>
      </c>
      <c r="H600" s="123">
        <v>0</v>
      </c>
      <c r="I600" s="123">
        <v>8</v>
      </c>
      <c r="J600" s="123">
        <v>7</v>
      </c>
      <c r="K600" s="123">
        <v>0</v>
      </c>
      <c r="L600" s="123">
        <v>7</v>
      </c>
      <c r="M600" s="123">
        <v>0</v>
      </c>
      <c r="N600" s="123">
        <v>0</v>
      </c>
      <c r="O600" s="123">
        <v>0</v>
      </c>
      <c r="P600" s="123">
        <v>0</v>
      </c>
      <c r="Q600" s="123">
        <v>0</v>
      </c>
      <c r="R600" s="123">
        <v>0</v>
      </c>
      <c r="S600" s="7" t="s">
        <v>163</v>
      </c>
      <c r="T600" s="124"/>
      <c r="U600" s="1"/>
    </row>
    <row r="601" spans="1:21" ht="13.5" thickBot="1" x14ac:dyDescent="0.25">
      <c r="A601" s="123">
        <v>53</v>
      </c>
      <c r="B601" s="123">
        <v>0</v>
      </c>
      <c r="C601" s="123">
        <v>53</v>
      </c>
      <c r="D601" s="123">
        <v>0</v>
      </c>
      <c r="E601" s="123">
        <v>0</v>
      </c>
      <c r="F601" s="123">
        <v>0</v>
      </c>
      <c r="G601" s="123">
        <v>42</v>
      </c>
      <c r="H601" s="123">
        <v>0</v>
      </c>
      <c r="I601" s="123">
        <v>42</v>
      </c>
      <c r="J601" s="123">
        <v>11</v>
      </c>
      <c r="K601" s="123">
        <v>0</v>
      </c>
      <c r="L601" s="123">
        <v>11</v>
      </c>
      <c r="M601" s="123">
        <v>0</v>
      </c>
      <c r="N601" s="123">
        <v>0</v>
      </c>
      <c r="O601" s="123">
        <v>0</v>
      </c>
      <c r="P601" s="123">
        <v>0</v>
      </c>
      <c r="Q601" s="123">
        <v>0</v>
      </c>
      <c r="R601" s="123">
        <v>0</v>
      </c>
      <c r="S601" s="7" t="s">
        <v>162</v>
      </c>
      <c r="T601" s="124" t="s">
        <v>416</v>
      </c>
      <c r="U601" s="1"/>
    </row>
    <row r="602" spans="1:21" ht="13.5" thickBot="1" x14ac:dyDescent="0.25">
      <c r="A602" s="123">
        <v>71</v>
      </c>
      <c r="B602" s="123">
        <v>0</v>
      </c>
      <c r="C602" s="123">
        <v>71</v>
      </c>
      <c r="D602" s="123">
        <v>3</v>
      </c>
      <c r="E602" s="123">
        <v>0</v>
      </c>
      <c r="F602" s="123">
        <v>3</v>
      </c>
      <c r="G602" s="123">
        <v>50</v>
      </c>
      <c r="H602" s="123">
        <v>0</v>
      </c>
      <c r="I602" s="123">
        <v>50</v>
      </c>
      <c r="J602" s="123">
        <v>18</v>
      </c>
      <c r="K602" s="123">
        <v>0</v>
      </c>
      <c r="L602" s="123">
        <v>18</v>
      </c>
      <c r="M602" s="123">
        <v>0</v>
      </c>
      <c r="N602" s="123">
        <v>0</v>
      </c>
      <c r="O602" s="123">
        <v>0</v>
      </c>
      <c r="P602" s="123">
        <v>0</v>
      </c>
      <c r="Q602" s="123">
        <v>0</v>
      </c>
      <c r="R602" s="123">
        <v>0</v>
      </c>
      <c r="S602" s="7" t="s">
        <v>13</v>
      </c>
      <c r="T602" s="9"/>
      <c r="U602" s="1"/>
    </row>
    <row r="603" spans="1:21" ht="13.5" thickBot="1" x14ac:dyDescent="0.25">
      <c r="A603" s="123">
        <v>20</v>
      </c>
      <c r="B603" s="123">
        <v>0</v>
      </c>
      <c r="C603" s="123">
        <v>20</v>
      </c>
      <c r="D603" s="123">
        <v>4</v>
      </c>
      <c r="E603" s="123">
        <v>0</v>
      </c>
      <c r="F603" s="123">
        <v>4</v>
      </c>
      <c r="G603" s="123">
        <v>10</v>
      </c>
      <c r="H603" s="123">
        <v>0</v>
      </c>
      <c r="I603" s="123">
        <v>10</v>
      </c>
      <c r="J603" s="123">
        <v>6</v>
      </c>
      <c r="K603" s="123">
        <v>0</v>
      </c>
      <c r="L603" s="123">
        <v>6</v>
      </c>
      <c r="M603" s="123">
        <v>0</v>
      </c>
      <c r="N603" s="123">
        <v>0</v>
      </c>
      <c r="O603" s="123">
        <v>0</v>
      </c>
      <c r="P603" s="123">
        <v>0</v>
      </c>
      <c r="Q603" s="123">
        <v>0</v>
      </c>
      <c r="R603" s="123">
        <v>0</v>
      </c>
      <c r="S603" s="7" t="s">
        <v>163</v>
      </c>
      <c r="T603" s="124"/>
      <c r="U603" s="1"/>
    </row>
    <row r="604" spans="1:21" ht="13.5" thickBot="1" x14ac:dyDescent="0.25">
      <c r="A604" s="123">
        <v>36</v>
      </c>
      <c r="B604" s="123">
        <v>0</v>
      </c>
      <c r="C604" s="123">
        <v>36</v>
      </c>
      <c r="D604" s="123">
        <v>0</v>
      </c>
      <c r="E604" s="123">
        <v>0</v>
      </c>
      <c r="F604" s="123">
        <v>0</v>
      </c>
      <c r="G604" s="123">
        <v>28</v>
      </c>
      <c r="H604" s="123">
        <v>0</v>
      </c>
      <c r="I604" s="123">
        <v>28</v>
      </c>
      <c r="J604" s="123">
        <v>8</v>
      </c>
      <c r="K604" s="123">
        <v>0</v>
      </c>
      <c r="L604" s="123">
        <v>8</v>
      </c>
      <c r="M604" s="123">
        <v>0</v>
      </c>
      <c r="N604" s="123">
        <v>0</v>
      </c>
      <c r="O604" s="123">
        <v>0</v>
      </c>
      <c r="P604" s="123">
        <v>0</v>
      </c>
      <c r="Q604" s="123">
        <v>0</v>
      </c>
      <c r="R604" s="123">
        <v>0</v>
      </c>
      <c r="S604" s="7" t="s">
        <v>162</v>
      </c>
      <c r="T604" s="124" t="s">
        <v>377</v>
      </c>
      <c r="U604" s="1"/>
    </row>
    <row r="605" spans="1:21" ht="13.5" thickBot="1" x14ac:dyDescent="0.25">
      <c r="A605" s="123">
        <v>56</v>
      </c>
      <c r="B605" s="123">
        <v>0</v>
      </c>
      <c r="C605" s="123">
        <v>56</v>
      </c>
      <c r="D605" s="123">
        <v>4</v>
      </c>
      <c r="E605" s="123">
        <v>0</v>
      </c>
      <c r="F605" s="123">
        <v>4</v>
      </c>
      <c r="G605" s="123">
        <v>38</v>
      </c>
      <c r="H605" s="123">
        <v>0</v>
      </c>
      <c r="I605" s="123">
        <v>38</v>
      </c>
      <c r="J605" s="123">
        <v>14</v>
      </c>
      <c r="K605" s="123">
        <v>0</v>
      </c>
      <c r="L605" s="123">
        <v>14</v>
      </c>
      <c r="M605" s="123">
        <v>0</v>
      </c>
      <c r="N605" s="123">
        <v>0</v>
      </c>
      <c r="O605" s="123">
        <v>0</v>
      </c>
      <c r="P605" s="123">
        <v>0</v>
      </c>
      <c r="Q605" s="123">
        <v>0</v>
      </c>
      <c r="R605" s="123">
        <v>0</v>
      </c>
      <c r="S605" s="7" t="s">
        <v>13</v>
      </c>
      <c r="T605" s="9"/>
      <c r="U605" s="1"/>
    </row>
    <row r="606" spans="1:21" ht="13.5" thickBot="1" x14ac:dyDescent="0.25">
      <c r="A606" s="123">
        <v>35</v>
      </c>
      <c r="B606" s="123">
        <v>5</v>
      </c>
      <c r="C606" s="123">
        <v>30</v>
      </c>
      <c r="D606" s="123">
        <v>35</v>
      </c>
      <c r="E606" s="123">
        <v>5</v>
      </c>
      <c r="F606" s="123">
        <v>30</v>
      </c>
      <c r="G606" s="123">
        <v>0</v>
      </c>
      <c r="H606" s="123">
        <v>0</v>
      </c>
      <c r="I606" s="123">
        <v>0</v>
      </c>
      <c r="J606" s="123">
        <v>0</v>
      </c>
      <c r="K606" s="123">
        <v>0</v>
      </c>
      <c r="L606" s="123">
        <v>0</v>
      </c>
      <c r="M606" s="123">
        <v>0</v>
      </c>
      <c r="N606" s="123">
        <v>0</v>
      </c>
      <c r="O606" s="123">
        <v>0</v>
      </c>
      <c r="P606" s="123">
        <v>0</v>
      </c>
      <c r="Q606" s="123">
        <v>0</v>
      </c>
      <c r="R606" s="123">
        <v>0</v>
      </c>
      <c r="S606" s="7" t="s">
        <v>163</v>
      </c>
      <c r="T606" s="124"/>
      <c r="U606" s="1"/>
    </row>
    <row r="607" spans="1:21" ht="13.5" thickBot="1" x14ac:dyDescent="0.25">
      <c r="A607" s="123">
        <v>65</v>
      </c>
      <c r="B607" s="123">
        <v>25</v>
      </c>
      <c r="C607" s="123">
        <v>40</v>
      </c>
      <c r="D607" s="123">
        <v>65</v>
      </c>
      <c r="E607" s="123">
        <v>25</v>
      </c>
      <c r="F607" s="123">
        <v>40</v>
      </c>
      <c r="G607" s="123">
        <v>0</v>
      </c>
      <c r="H607" s="123">
        <v>0</v>
      </c>
      <c r="I607" s="123">
        <v>0</v>
      </c>
      <c r="J607" s="123">
        <v>0</v>
      </c>
      <c r="K607" s="123">
        <v>0</v>
      </c>
      <c r="L607" s="123">
        <v>0</v>
      </c>
      <c r="M607" s="123">
        <v>0</v>
      </c>
      <c r="N607" s="123">
        <v>0</v>
      </c>
      <c r="O607" s="123">
        <v>0</v>
      </c>
      <c r="P607" s="123">
        <v>0</v>
      </c>
      <c r="Q607" s="123">
        <v>0</v>
      </c>
      <c r="R607" s="123">
        <v>0</v>
      </c>
      <c r="S607" s="7" t="s">
        <v>162</v>
      </c>
      <c r="T607" s="124" t="s">
        <v>263</v>
      </c>
      <c r="U607" s="1"/>
    </row>
    <row r="608" spans="1:21" ht="13.5" thickBot="1" x14ac:dyDescent="0.25">
      <c r="A608" s="123">
        <v>100</v>
      </c>
      <c r="B608" s="123">
        <v>30</v>
      </c>
      <c r="C608" s="123">
        <v>70</v>
      </c>
      <c r="D608" s="123">
        <v>100</v>
      </c>
      <c r="E608" s="123">
        <v>30</v>
      </c>
      <c r="F608" s="123">
        <v>70</v>
      </c>
      <c r="G608" s="123">
        <v>0</v>
      </c>
      <c r="H608" s="123">
        <v>0</v>
      </c>
      <c r="I608" s="123">
        <v>0</v>
      </c>
      <c r="J608" s="123">
        <v>0</v>
      </c>
      <c r="K608" s="123">
        <v>0</v>
      </c>
      <c r="L608" s="123">
        <v>0</v>
      </c>
      <c r="M608" s="123">
        <v>0</v>
      </c>
      <c r="N608" s="123">
        <v>0</v>
      </c>
      <c r="O608" s="123">
        <v>0</v>
      </c>
      <c r="P608" s="123">
        <v>0</v>
      </c>
      <c r="Q608" s="123">
        <v>0</v>
      </c>
      <c r="R608" s="123">
        <v>0</v>
      </c>
      <c r="S608" s="7" t="s">
        <v>13</v>
      </c>
      <c r="T608" s="9"/>
      <c r="U608" s="1"/>
    </row>
    <row r="609" spans="1:21" ht="13.5" thickBot="1" x14ac:dyDescent="0.25">
      <c r="A609" s="123">
        <v>20</v>
      </c>
      <c r="B609" s="123">
        <v>0</v>
      </c>
      <c r="C609" s="123">
        <v>20</v>
      </c>
      <c r="D609" s="123">
        <v>6</v>
      </c>
      <c r="E609" s="123">
        <v>0</v>
      </c>
      <c r="F609" s="123">
        <v>6</v>
      </c>
      <c r="G609" s="123">
        <v>5</v>
      </c>
      <c r="H609" s="123">
        <v>0</v>
      </c>
      <c r="I609" s="123">
        <v>5</v>
      </c>
      <c r="J609" s="123">
        <v>9</v>
      </c>
      <c r="K609" s="123">
        <v>0</v>
      </c>
      <c r="L609" s="123">
        <v>9</v>
      </c>
      <c r="M609" s="123">
        <v>0</v>
      </c>
      <c r="N609" s="123">
        <v>0</v>
      </c>
      <c r="O609" s="123">
        <v>0</v>
      </c>
      <c r="P609" s="123">
        <v>0</v>
      </c>
      <c r="Q609" s="123">
        <v>0</v>
      </c>
      <c r="R609" s="123">
        <v>0</v>
      </c>
      <c r="S609" s="7" t="s">
        <v>163</v>
      </c>
      <c r="T609" s="124"/>
      <c r="U609" s="1"/>
    </row>
    <row r="610" spans="1:21" ht="13.5" thickBot="1" x14ac:dyDescent="0.25">
      <c r="A610" s="123">
        <v>36</v>
      </c>
      <c r="B610" s="123">
        <v>0</v>
      </c>
      <c r="C610" s="123">
        <v>36</v>
      </c>
      <c r="D610" s="123">
        <v>0</v>
      </c>
      <c r="E610" s="123">
        <v>0</v>
      </c>
      <c r="F610" s="123">
        <v>0</v>
      </c>
      <c r="G610" s="123">
        <v>31</v>
      </c>
      <c r="H610" s="123">
        <v>0</v>
      </c>
      <c r="I610" s="123">
        <v>31</v>
      </c>
      <c r="J610" s="123">
        <v>5</v>
      </c>
      <c r="K610" s="123">
        <v>0</v>
      </c>
      <c r="L610" s="123">
        <v>5</v>
      </c>
      <c r="M610" s="123">
        <v>0</v>
      </c>
      <c r="N610" s="123">
        <v>0</v>
      </c>
      <c r="O610" s="123">
        <v>0</v>
      </c>
      <c r="P610" s="123">
        <v>0</v>
      </c>
      <c r="Q610" s="123">
        <v>0</v>
      </c>
      <c r="R610" s="123">
        <v>0</v>
      </c>
      <c r="S610" s="7" t="s">
        <v>162</v>
      </c>
      <c r="T610" s="124" t="s">
        <v>114</v>
      </c>
      <c r="U610" s="1"/>
    </row>
    <row r="611" spans="1:21" ht="13.5" thickBot="1" x14ac:dyDescent="0.25">
      <c r="A611" s="123">
        <v>56</v>
      </c>
      <c r="B611" s="123">
        <v>0</v>
      </c>
      <c r="C611" s="123">
        <v>56</v>
      </c>
      <c r="D611" s="123">
        <v>6</v>
      </c>
      <c r="E611" s="123">
        <v>0</v>
      </c>
      <c r="F611" s="123">
        <v>6</v>
      </c>
      <c r="G611" s="123">
        <v>36</v>
      </c>
      <c r="H611" s="123">
        <v>0</v>
      </c>
      <c r="I611" s="123">
        <v>36</v>
      </c>
      <c r="J611" s="123">
        <v>14</v>
      </c>
      <c r="K611" s="123">
        <v>0</v>
      </c>
      <c r="L611" s="123">
        <v>14</v>
      </c>
      <c r="M611" s="123">
        <v>0</v>
      </c>
      <c r="N611" s="123">
        <v>0</v>
      </c>
      <c r="O611" s="123">
        <v>0</v>
      </c>
      <c r="P611" s="123">
        <v>0</v>
      </c>
      <c r="Q611" s="123">
        <v>0</v>
      </c>
      <c r="R611" s="123">
        <v>0</v>
      </c>
      <c r="S611" s="7" t="s">
        <v>13</v>
      </c>
      <c r="T611" s="9"/>
      <c r="U611" s="1"/>
    </row>
    <row r="612" spans="1:21" ht="13.5" thickBot="1" x14ac:dyDescent="0.25">
      <c r="A612" s="123">
        <v>27</v>
      </c>
      <c r="B612" s="123">
        <v>7</v>
      </c>
      <c r="C612" s="123">
        <v>20</v>
      </c>
      <c r="D612" s="123">
        <v>10</v>
      </c>
      <c r="E612" s="123">
        <v>3</v>
      </c>
      <c r="F612" s="123">
        <v>7</v>
      </c>
      <c r="G612" s="123">
        <v>11</v>
      </c>
      <c r="H612" s="123">
        <v>2</v>
      </c>
      <c r="I612" s="123">
        <v>9</v>
      </c>
      <c r="J612" s="123">
        <v>6</v>
      </c>
      <c r="K612" s="123">
        <v>2</v>
      </c>
      <c r="L612" s="123">
        <v>4</v>
      </c>
      <c r="M612" s="123">
        <v>0</v>
      </c>
      <c r="N612" s="123">
        <v>0</v>
      </c>
      <c r="O612" s="123">
        <v>0</v>
      </c>
      <c r="P612" s="123">
        <v>0</v>
      </c>
      <c r="Q612" s="123">
        <v>0</v>
      </c>
      <c r="R612" s="123">
        <v>0</v>
      </c>
      <c r="S612" s="7" t="s">
        <v>163</v>
      </c>
      <c r="T612" s="124"/>
      <c r="U612" s="1"/>
    </row>
    <row r="613" spans="1:21" ht="13.5" thickBot="1" x14ac:dyDescent="0.25">
      <c r="A613" s="123">
        <v>35</v>
      </c>
      <c r="B613" s="123">
        <v>12</v>
      </c>
      <c r="C613" s="123">
        <v>23</v>
      </c>
      <c r="D613" s="123">
        <v>0</v>
      </c>
      <c r="E613" s="123">
        <v>0</v>
      </c>
      <c r="F613" s="123">
        <v>0</v>
      </c>
      <c r="G613" s="123">
        <v>16</v>
      </c>
      <c r="H613" s="123">
        <v>7</v>
      </c>
      <c r="I613" s="123">
        <v>9</v>
      </c>
      <c r="J613" s="123">
        <v>19</v>
      </c>
      <c r="K613" s="123">
        <v>5</v>
      </c>
      <c r="L613" s="123">
        <v>14</v>
      </c>
      <c r="M613" s="123">
        <v>0</v>
      </c>
      <c r="N613" s="123">
        <v>0</v>
      </c>
      <c r="O613" s="123">
        <v>0</v>
      </c>
      <c r="P613" s="123">
        <v>0</v>
      </c>
      <c r="Q613" s="123">
        <v>0</v>
      </c>
      <c r="R613" s="123">
        <v>0</v>
      </c>
      <c r="S613" s="7" t="s">
        <v>162</v>
      </c>
      <c r="T613" s="124" t="s">
        <v>359</v>
      </c>
      <c r="U613" s="1"/>
    </row>
    <row r="614" spans="1:21" ht="13.5" thickBot="1" x14ac:dyDescent="0.25">
      <c r="A614" s="123">
        <v>62</v>
      </c>
      <c r="B614" s="123">
        <v>19</v>
      </c>
      <c r="C614" s="123">
        <v>43</v>
      </c>
      <c r="D614" s="123">
        <v>10</v>
      </c>
      <c r="E614" s="123">
        <v>3</v>
      </c>
      <c r="F614" s="123">
        <v>7</v>
      </c>
      <c r="G614" s="123">
        <v>27</v>
      </c>
      <c r="H614" s="123">
        <v>9</v>
      </c>
      <c r="I614" s="123">
        <v>18</v>
      </c>
      <c r="J614" s="123">
        <v>25</v>
      </c>
      <c r="K614" s="123">
        <v>7</v>
      </c>
      <c r="L614" s="123">
        <v>18</v>
      </c>
      <c r="M614" s="123">
        <v>0</v>
      </c>
      <c r="N614" s="123">
        <v>0</v>
      </c>
      <c r="O614" s="123">
        <v>0</v>
      </c>
      <c r="P614" s="123">
        <v>0</v>
      </c>
      <c r="Q614" s="123">
        <v>0</v>
      </c>
      <c r="R614" s="123">
        <v>0</v>
      </c>
      <c r="S614" s="7" t="s">
        <v>13</v>
      </c>
      <c r="T614" s="9"/>
      <c r="U614" s="1"/>
    </row>
    <row r="615" spans="1:21" ht="13.5" thickBot="1" x14ac:dyDescent="0.25">
      <c r="A615" s="123">
        <v>40</v>
      </c>
      <c r="B615" s="123">
        <v>5</v>
      </c>
      <c r="C615" s="123">
        <v>35</v>
      </c>
      <c r="D615" s="123">
        <v>6</v>
      </c>
      <c r="E615" s="123">
        <v>0</v>
      </c>
      <c r="F615" s="123">
        <v>6</v>
      </c>
      <c r="G615" s="123">
        <v>18</v>
      </c>
      <c r="H615" s="123">
        <v>3</v>
      </c>
      <c r="I615" s="123">
        <v>15</v>
      </c>
      <c r="J615" s="123">
        <v>16</v>
      </c>
      <c r="K615" s="123">
        <v>2</v>
      </c>
      <c r="L615" s="123">
        <v>14</v>
      </c>
      <c r="M615" s="123">
        <v>0</v>
      </c>
      <c r="N615" s="123">
        <v>0</v>
      </c>
      <c r="O615" s="123">
        <v>0</v>
      </c>
      <c r="P615" s="123">
        <v>0</v>
      </c>
      <c r="Q615" s="123">
        <v>0</v>
      </c>
      <c r="R615" s="123">
        <v>0</v>
      </c>
      <c r="S615" s="7" t="s">
        <v>163</v>
      </c>
      <c r="T615" s="124"/>
      <c r="U615" s="1"/>
    </row>
    <row r="616" spans="1:21" ht="13.5" thickBot="1" x14ac:dyDescent="0.25">
      <c r="A616" s="123">
        <v>65</v>
      </c>
      <c r="B616" s="123">
        <v>25</v>
      </c>
      <c r="C616" s="123">
        <v>40</v>
      </c>
      <c r="D616" s="123">
        <v>0</v>
      </c>
      <c r="E616" s="123">
        <v>0</v>
      </c>
      <c r="F616" s="123">
        <v>0</v>
      </c>
      <c r="G616" s="123">
        <v>36</v>
      </c>
      <c r="H616" s="123">
        <v>12</v>
      </c>
      <c r="I616" s="123">
        <v>24</v>
      </c>
      <c r="J616" s="123">
        <v>29</v>
      </c>
      <c r="K616" s="123">
        <v>13</v>
      </c>
      <c r="L616" s="123">
        <v>16</v>
      </c>
      <c r="M616" s="123">
        <v>0</v>
      </c>
      <c r="N616" s="123">
        <v>0</v>
      </c>
      <c r="O616" s="123">
        <v>0</v>
      </c>
      <c r="P616" s="123">
        <v>0</v>
      </c>
      <c r="Q616" s="123">
        <v>0</v>
      </c>
      <c r="R616" s="123">
        <v>0</v>
      </c>
      <c r="S616" s="7" t="s">
        <v>162</v>
      </c>
      <c r="T616" s="124" t="s">
        <v>264</v>
      </c>
      <c r="U616" s="1"/>
    </row>
    <row r="617" spans="1:21" ht="13.5" thickBot="1" x14ac:dyDescent="0.25">
      <c r="A617" s="123">
        <v>105</v>
      </c>
      <c r="B617" s="123">
        <v>30</v>
      </c>
      <c r="C617" s="123">
        <v>75</v>
      </c>
      <c r="D617" s="123">
        <v>6</v>
      </c>
      <c r="E617" s="123">
        <v>0</v>
      </c>
      <c r="F617" s="123">
        <v>6</v>
      </c>
      <c r="G617" s="123">
        <v>54</v>
      </c>
      <c r="H617" s="123">
        <v>15</v>
      </c>
      <c r="I617" s="123">
        <v>39</v>
      </c>
      <c r="J617" s="123">
        <v>45</v>
      </c>
      <c r="K617" s="123">
        <v>15</v>
      </c>
      <c r="L617" s="123">
        <v>30</v>
      </c>
      <c r="M617" s="123">
        <v>0</v>
      </c>
      <c r="N617" s="123">
        <v>0</v>
      </c>
      <c r="O617" s="123">
        <v>0</v>
      </c>
      <c r="P617" s="123">
        <v>0</v>
      </c>
      <c r="Q617" s="123">
        <v>0</v>
      </c>
      <c r="R617" s="123">
        <v>0</v>
      </c>
      <c r="S617" s="7" t="s">
        <v>13</v>
      </c>
      <c r="T617" s="9"/>
      <c r="U617" s="1"/>
    </row>
    <row r="618" spans="1:21" ht="13.5" thickBot="1" x14ac:dyDescent="0.25">
      <c r="A618" s="123">
        <v>26</v>
      </c>
      <c r="B618" s="123">
        <v>0</v>
      </c>
      <c r="C618" s="123">
        <v>26</v>
      </c>
      <c r="D618" s="123">
        <v>6</v>
      </c>
      <c r="E618" s="123">
        <v>0</v>
      </c>
      <c r="F618" s="123">
        <v>6</v>
      </c>
      <c r="G618" s="123">
        <v>13</v>
      </c>
      <c r="H618" s="123">
        <v>0</v>
      </c>
      <c r="I618" s="123">
        <v>13</v>
      </c>
      <c r="J618" s="123">
        <v>7</v>
      </c>
      <c r="K618" s="123">
        <v>0</v>
      </c>
      <c r="L618" s="123">
        <v>7</v>
      </c>
      <c r="M618" s="123">
        <v>0</v>
      </c>
      <c r="N618" s="123">
        <v>0</v>
      </c>
      <c r="O618" s="123">
        <v>0</v>
      </c>
      <c r="P618" s="123">
        <v>0</v>
      </c>
      <c r="Q618" s="123">
        <v>0</v>
      </c>
      <c r="R618" s="123">
        <v>0</v>
      </c>
      <c r="S618" s="7" t="s">
        <v>163</v>
      </c>
      <c r="T618" s="124"/>
      <c r="U618" s="1"/>
    </row>
    <row r="619" spans="1:21" ht="13.5" thickBot="1" x14ac:dyDescent="0.25">
      <c r="A619" s="123">
        <v>15</v>
      </c>
      <c r="B619" s="123">
        <v>0</v>
      </c>
      <c r="C619" s="123">
        <v>15</v>
      </c>
      <c r="D619" s="123">
        <v>0</v>
      </c>
      <c r="E619" s="123">
        <v>0</v>
      </c>
      <c r="F619" s="123">
        <v>0</v>
      </c>
      <c r="G619" s="123">
        <v>7</v>
      </c>
      <c r="H619" s="123">
        <v>0</v>
      </c>
      <c r="I619" s="123">
        <v>7</v>
      </c>
      <c r="J619" s="123">
        <v>8</v>
      </c>
      <c r="K619" s="123">
        <v>0</v>
      </c>
      <c r="L619" s="123">
        <v>8</v>
      </c>
      <c r="M619" s="123">
        <v>0</v>
      </c>
      <c r="N619" s="123">
        <v>0</v>
      </c>
      <c r="O619" s="123">
        <v>0</v>
      </c>
      <c r="P619" s="123">
        <v>0</v>
      </c>
      <c r="Q619" s="123">
        <v>0</v>
      </c>
      <c r="R619" s="123">
        <v>0</v>
      </c>
      <c r="S619" s="7" t="s">
        <v>162</v>
      </c>
      <c r="T619" s="124" t="s">
        <v>266</v>
      </c>
      <c r="U619" s="1"/>
    </row>
    <row r="620" spans="1:21" ht="13.5" thickBot="1" x14ac:dyDescent="0.25">
      <c r="A620" s="123">
        <v>41</v>
      </c>
      <c r="B620" s="123">
        <v>0</v>
      </c>
      <c r="C620" s="123">
        <v>41</v>
      </c>
      <c r="D620" s="123">
        <v>6</v>
      </c>
      <c r="E620" s="123">
        <v>0</v>
      </c>
      <c r="F620" s="123">
        <v>6</v>
      </c>
      <c r="G620" s="123">
        <v>20</v>
      </c>
      <c r="H620" s="123">
        <v>0</v>
      </c>
      <c r="I620" s="123">
        <v>20</v>
      </c>
      <c r="J620" s="123">
        <v>15</v>
      </c>
      <c r="K620" s="123">
        <v>0</v>
      </c>
      <c r="L620" s="123">
        <v>15</v>
      </c>
      <c r="M620" s="123">
        <v>0</v>
      </c>
      <c r="N620" s="123">
        <v>0</v>
      </c>
      <c r="O620" s="123">
        <v>0</v>
      </c>
      <c r="P620" s="123">
        <v>0</v>
      </c>
      <c r="Q620" s="123">
        <v>0</v>
      </c>
      <c r="R620" s="123">
        <v>0</v>
      </c>
      <c r="S620" s="7" t="s">
        <v>13</v>
      </c>
      <c r="T620" s="9"/>
      <c r="U620" s="1"/>
    </row>
    <row r="621" spans="1:21" ht="13.5" thickBot="1" x14ac:dyDescent="0.25">
      <c r="A621" s="123">
        <v>13</v>
      </c>
      <c r="B621" s="123">
        <v>13</v>
      </c>
      <c r="C621" s="123">
        <v>0</v>
      </c>
      <c r="D621" s="123">
        <v>4</v>
      </c>
      <c r="E621" s="123">
        <v>4</v>
      </c>
      <c r="F621" s="123">
        <v>0</v>
      </c>
      <c r="G621" s="123">
        <v>5</v>
      </c>
      <c r="H621" s="123">
        <v>5</v>
      </c>
      <c r="I621" s="123">
        <v>0</v>
      </c>
      <c r="J621" s="123">
        <v>4</v>
      </c>
      <c r="K621" s="123">
        <v>4</v>
      </c>
      <c r="L621" s="123">
        <v>0</v>
      </c>
      <c r="M621" s="123">
        <v>0</v>
      </c>
      <c r="N621" s="123">
        <v>0</v>
      </c>
      <c r="O621" s="123">
        <v>0</v>
      </c>
      <c r="P621" s="123">
        <v>0</v>
      </c>
      <c r="Q621" s="123">
        <v>0</v>
      </c>
      <c r="R621" s="123">
        <v>0</v>
      </c>
      <c r="S621" s="7" t="s">
        <v>163</v>
      </c>
      <c r="T621" s="124"/>
      <c r="U621" s="1"/>
    </row>
    <row r="622" spans="1:21" ht="13.5" thickBot="1" x14ac:dyDescent="0.25">
      <c r="A622" s="123">
        <v>11</v>
      </c>
      <c r="B622" s="123">
        <v>11</v>
      </c>
      <c r="C622" s="123">
        <v>0</v>
      </c>
      <c r="D622" s="123">
        <v>0</v>
      </c>
      <c r="E622" s="123">
        <v>0</v>
      </c>
      <c r="F622" s="123">
        <v>0</v>
      </c>
      <c r="G622" s="123">
        <v>10</v>
      </c>
      <c r="H622" s="123">
        <v>10</v>
      </c>
      <c r="I622" s="123">
        <v>0</v>
      </c>
      <c r="J622" s="123">
        <v>1</v>
      </c>
      <c r="K622" s="123">
        <v>1</v>
      </c>
      <c r="L622" s="123">
        <v>0</v>
      </c>
      <c r="M622" s="123">
        <v>0</v>
      </c>
      <c r="N622" s="123">
        <v>0</v>
      </c>
      <c r="O622" s="123">
        <v>0</v>
      </c>
      <c r="P622" s="123">
        <v>0</v>
      </c>
      <c r="Q622" s="123">
        <v>0</v>
      </c>
      <c r="R622" s="123">
        <v>0</v>
      </c>
      <c r="S622" s="7" t="s">
        <v>162</v>
      </c>
      <c r="T622" s="124" t="s">
        <v>267</v>
      </c>
      <c r="U622" s="1"/>
    </row>
    <row r="623" spans="1:21" ht="13.5" thickBot="1" x14ac:dyDescent="0.25">
      <c r="A623" s="123">
        <v>24</v>
      </c>
      <c r="B623" s="123">
        <v>24</v>
      </c>
      <c r="C623" s="123">
        <v>0</v>
      </c>
      <c r="D623" s="123">
        <v>4</v>
      </c>
      <c r="E623" s="123">
        <v>4</v>
      </c>
      <c r="F623" s="123">
        <v>0</v>
      </c>
      <c r="G623" s="123">
        <v>15</v>
      </c>
      <c r="H623" s="123">
        <v>15</v>
      </c>
      <c r="I623" s="123">
        <v>0</v>
      </c>
      <c r="J623" s="123">
        <v>5</v>
      </c>
      <c r="K623" s="123">
        <v>5</v>
      </c>
      <c r="L623" s="123">
        <v>0</v>
      </c>
      <c r="M623" s="123">
        <v>0</v>
      </c>
      <c r="N623" s="123">
        <v>0</v>
      </c>
      <c r="O623" s="123">
        <v>0</v>
      </c>
      <c r="P623" s="123">
        <v>0</v>
      </c>
      <c r="Q623" s="123">
        <v>0</v>
      </c>
      <c r="R623" s="123">
        <v>0</v>
      </c>
      <c r="S623" s="7" t="s">
        <v>13</v>
      </c>
      <c r="T623" s="9"/>
      <c r="U623" s="1"/>
    </row>
    <row r="624" spans="1:21" ht="13.5" thickBot="1" x14ac:dyDescent="0.25">
      <c r="A624" s="123">
        <v>37</v>
      </c>
      <c r="B624" s="123">
        <v>37</v>
      </c>
      <c r="C624" s="123">
        <v>0</v>
      </c>
      <c r="D624" s="123">
        <v>7</v>
      </c>
      <c r="E624" s="123">
        <v>7</v>
      </c>
      <c r="F624" s="123">
        <v>0</v>
      </c>
      <c r="G624" s="123">
        <v>17</v>
      </c>
      <c r="H624" s="123">
        <v>17</v>
      </c>
      <c r="I624" s="123">
        <v>0</v>
      </c>
      <c r="J624" s="123">
        <v>13</v>
      </c>
      <c r="K624" s="123">
        <v>13</v>
      </c>
      <c r="L624" s="123">
        <v>0</v>
      </c>
      <c r="M624" s="123">
        <v>0</v>
      </c>
      <c r="N624" s="123">
        <v>0</v>
      </c>
      <c r="O624" s="123">
        <v>0</v>
      </c>
      <c r="P624" s="123">
        <v>0</v>
      </c>
      <c r="Q624" s="123">
        <v>0</v>
      </c>
      <c r="R624" s="123">
        <v>0</v>
      </c>
      <c r="S624" s="7" t="s">
        <v>163</v>
      </c>
      <c r="T624" s="124"/>
      <c r="U624" s="1"/>
    </row>
    <row r="625" spans="1:21" ht="13.5" thickBot="1" x14ac:dyDescent="0.25">
      <c r="A625" s="123">
        <v>33</v>
      </c>
      <c r="B625" s="123">
        <v>33</v>
      </c>
      <c r="C625" s="123">
        <v>0</v>
      </c>
      <c r="D625" s="123">
        <v>0</v>
      </c>
      <c r="E625" s="123">
        <v>0</v>
      </c>
      <c r="F625" s="123">
        <v>0</v>
      </c>
      <c r="G625" s="123">
        <v>23</v>
      </c>
      <c r="H625" s="123">
        <v>23</v>
      </c>
      <c r="I625" s="123">
        <v>0</v>
      </c>
      <c r="J625" s="123">
        <v>10</v>
      </c>
      <c r="K625" s="123">
        <v>10</v>
      </c>
      <c r="L625" s="123">
        <v>0</v>
      </c>
      <c r="M625" s="123">
        <v>0</v>
      </c>
      <c r="N625" s="123">
        <v>0</v>
      </c>
      <c r="O625" s="123">
        <v>0</v>
      </c>
      <c r="P625" s="123">
        <v>0</v>
      </c>
      <c r="Q625" s="123">
        <v>0</v>
      </c>
      <c r="R625" s="123">
        <v>0</v>
      </c>
      <c r="S625" s="7" t="s">
        <v>162</v>
      </c>
      <c r="T625" s="124" t="s">
        <v>479</v>
      </c>
      <c r="U625" s="1"/>
    </row>
    <row r="626" spans="1:21" ht="13.5" thickBot="1" x14ac:dyDescent="0.25">
      <c r="A626" s="123">
        <v>70</v>
      </c>
      <c r="B626" s="123">
        <v>70</v>
      </c>
      <c r="C626" s="123">
        <v>0</v>
      </c>
      <c r="D626" s="123">
        <v>7</v>
      </c>
      <c r="E626" s="123">
        <v>7</v>
      </c>
      <c r="F626" s="123">
        <v>0</v>
      </c>
      <c r="G626" s="123">
        <v>40</v>
      </c>
      <c r="H626" s="123">
        <v>40</v>
      </c>
      <c r="I626" s="123">
        <v>0</v>
      </c>
      <c r="J626" s="123">
        <v>23</v>
      </c>
      <c r="K626" s="123">
        <v>23</v>
      </c>
      <c r="L626" s="123">
        <v>0</v>
      </c>
      <c r="M626" s="123">
        <v>0</v>
      </c>
      <c r="N626" s="123">
        <v>0</v>
      </c>
      <c r="O626" s="123">
        <v>0</v>
      </c>
      <c r="P626" s="123">
        <v>0</v>
      </c>
      <c r="Q626" s="123">
        <v>0</v>
      </c>
      <c r="R626" s="123">
        <v>0</v>
      </c>
      <c r="S626" s="7" t="s">
        <v>13</v>
      </c>
      <c r="T626" s="9"/>
      <c r="U626" s="1"/>
    </row>
    <row r="627" spans="1:21" ht="13.5" thickBot="1" x14ac:dyDescent="0.25">
      <c r="A627" s="123">
        <v>2</v>
      </c>
      <c r="B627" s="123">
        <v>2</v>
      </c>
      <c r="C627" s="123">
        <v>0</v>
      </c>
      <c r="D627" s="123">
        <v>0</v>
      </c>
      <c r="E627" s="123">
        <v>0</v>
      </c>
      <c r="F627" s="123">
        <v>0</v>
      </c>
      <c r="G627" s="123">
        <v>2</v>
      </c>
      <c r="H627" s="123">
        <v>2</v>
      </c>
      <c r="I627" s="123">
        <v>0</v>
      </c>
      <c r="J627" s="123">
        <v>0</v>
      </c>
      <c r="K627" s="123">
        <v>0</v>
      </c>
      <c r="L627" s="123">
        <v>0</v>
      </c>
      <c r="M627" s="123">
        <v>0</v>
      </c>
      <c r="N627" s="123">
        <v>0</v>
      </c>
      <c r="O627" s="123">
        <v>0</v>
      </c>
      <c r="P627" s="123">
        <v>0</v>
      </c>
      <c r="Q627" s="123">
        <v>0</v>
      </c>
      <c r="R627" s="123">
        <v>0</v>
      </c>
      <c r="S627" s="7" t="s">
        <v>163</v>
      </c>
      <c r="T627" s="124"/>
      <c r="U627" s="1"/>
    </row>
    <row r="628" spans="1:21" ht="13.5" thickBot="1" x14ac:dyDescent="0.25">
      <c r="A628" s="123">
        <v>1</v>
      </c>
      <c r="B628" s="123">
        <v>1</v>
      </c>
      <c r="C628" s="123">
        <v>0</v>
      </c>
      <c r="D628" s="123">
        <v>0</v>
      </c>
      <c r="E628" s="123">
        <v>0</v>
      </c>
      <c r="F628" s="123">
        <v>0</v>
      </c>
      <c r="G628" s="123">
        <v>1</v>
      </c>
      <c r="H628" s="123">
        <v>1</v>
      </c>
      <c r="I628" s="123">
        <v>0</v>
      </c>
      <c r="J628" s="123">
        <v>0</v>
      </c>
      <c r="K628" s="123">
        <v>0</v>
      </c>
      <c r="L628" s="123">
        <v>0</v>
      </c>
      <c r="M628" s="123">
        <v>0</v>
      </c>
      <c r="N628" s="123">
        <v>0</v>
      </c>
      <c r="O628" s="123">
        <v>0</v>
      </c>
      <c r="P628" s="123">
        <v>0</v>
      </c>
      <c r="Q628" s="123">
        <v>0</v>
      </c>
      <c r="R628" s="123">
        <v>0</v>
      </c>
      <c r="S628" s="7" t="s">
        <v>162</v>
      </c>
      <c r="T628" s="124" t="s">
        <v>116</v>
      </c>
      <c r="U628" s="1"/>
    </row>
    <row r="629" spans="1:21" ht="13.5" thickBot="1" x14ac:dyDescent="0.25">
      <c r="A629" s="123">
        <v>3</v>
      </c>
      <c r="B629" s="123">
        <v>3</v>
      </c>
      <c r="C629" s="123">
        <v>0</v>
      </c>
      <c r="D629" s="123">
        <v>0</v>
      </c>
      <c r="E629" s="123">
        <v>0</v>
      </c>
      <c r="F629" s="123">
        <v>0</v>
      </c>
      <c r="G629" s="123">
        <v>3</v>
      </c>
      <c r="H629" s="123">
        <v>3</v>
      </c>
      <c r="I629" s="123">
        <v>0</v>
      </c>
      <c r="J629" s="123">
        <v>0</v>
      </c>
      <c r="K629" s="123">
        <v>0</v>
      </c>
      <c r="L629" s="123">
        <v>0</v>
      </c>
      <c r="M629" s="123">
        <v>0</v>
      </c>
      <c r="N629" s="123">
        <v>0</v>
      </c>
      <c r="O629" s="123">
        <v>0</v>
      </c>
      <c r="P629" s="123">
        <v>0</v>
      </c>
      <c r="Q629" s="123">
        <v>0</v>
      </c>
      <c r="R629" s="123">
        <v>0</v>
      </c>
      <c r="S629" s="7" t="s">
        <v>13</v>
      </c>
      <c r="T629" s="9"/>
      <c r="U629" s="1"/>
    </row>
    <row r="630" spans="1:21" ht="13.5" thickBot="1" x14ac:dyDescent="0.25">
      <c r="A630" s="123">
        <v>3</v>
      </c>
      <c r="B630" s="123">
        <v>3</v>
      </c>
      <c r="C630" s="123">
        <v>0</v>
      </c>
      <c r="D630" s="123">
        <v>0</v>
      </c>
      <c r="E630" s="123">
        <v>0</v>
      </c>
      <c r="F630" s="123">
        <v>0</v>
      </c>
      <c r="G630" s="123">
        <v>2</v>
      </c>
      <c r="H630" s="123">
        <v>2</v>
      </c>
      <c r="I630" s="123">
        <v>0</v>
      </c>
      <c r="J630" s="123">
        <v>1</v>
      </c>
      <c r="K630" s="123">
        <v>1</v>
      </c>
      <c r="L630" s="123">
        <v>0</v>
      </c>
      <c r="M630" s="123">
        <v>0</v>
      </c>
      <c r="N630" s="123">
        <v>0</v>
      </c>
      <c r="O630" s="123">
        <v>0</v>
      </c>
      <c r="P630" s="123">
        <v>0</v>
      </c>
      <c r="Q630" s="123">
        <v>0</v>
      </c>
      <c r="R630" s="123">
        <v>0</v>
      </c>
      <c r="S630" s="7" t="s">
        <v>163</v>
      </c>
      <c r="T630" s="124"/>
      <c r="U630" s="1"/>
    </row>
    <row r="631" spans="1:21" ht="13.5" thickBot="1" x14ac:dyDescent="0.25">
      <c r="A631" s="123">
        <v>5</v>
      </c>
      <c r="B631" s="123">
        <v>5</v>
      </c>
      <c r="C631" s="123">
        <v>0</v>
      </c>
      <c r="D631" s="123">
        <v>0</v>
      </c>
      <c r="E631" s="123">
        <v>0</v>
      </c>
      <c r="F631" s="123">
        <v>0</v>
      </c>
      <c r="G631" s="123">
        <v>4</v>
      </c>
      <c r="H631" s="123">
        <v>4</v>
      </c>
      <c r="I631" s="123">
        <v>0</v>
      </c>
      <c r="J631" s="123">
        <v>1</v>
      </c>
      <c r="K631" s="123">
        <v>1</v>
      </c>
      <c r="L631" s="123">
        <v>0</v>
      </c>
      <c r="M631" s="123">
        <v>0</v>
      </c>
      <c r="N631" s="123">
        <v>0</v>
      </c>
      <c r="O631" s="123">
        <v>0</v>
      </c>
      <c r="P631" s="123">
        <v>0</v>
      </c>
      <c r="Q631" s="123">
        <v>0</v>
      </c>
      <c r="R631" s="123">
        <v>0</v>
      </c>
      <c r="S631" s="7" t="s">
        <v>162</v>
      </c>
      <c r="T631" s="124" t="s">
        <v>480</v>
      </c>
      <c r="U631" s="1"/>
    </row>
    <row r="632" spans="1:21" ht="13.5" thickBot="1" x14ac:dyDescent="0.25">
      <c r="A632" s="123">
        <v>8</v>
      </c>
      <c r="B632" s="123">
        <v>8</v>
      </c>
      <c r="C632" s="123">
        <v>0</v>
      </c>
      <c r="D632" s="123">
        <v>0</v>
      </c>
      <c r="E632" s="123">
        <v>0</v>
      </c>
      <c r="F632" s="123">
        <v>0</v>
      </c>
      <c r="G632" s="123">
        <v>6</v>
      </c>
      <c r="H632" s="123">
        <v>6</v>
      </c>
      <c r="I632" s="123">
        <v>0</v>
      </c>
      <c r="J632" s="123">
        <v>2</v>
      </c>
      <c r="K632" s="123">
        <v>2</v>
      </c>
      <c r="L632" s="123">
        <v>0</v>
      </c>
      <c r="M632" s="123">
        <v>0</v>
      </c>
      <c r="N632" s="123">
        <v>0</v>
      </c>
      <c r="O632" s="123">
        <v>0</v>
      </c>
      <c r="P632" s="123">
        <v>0</v>
      </c>
      <c r="Q632" s="123">
        <v>0</v>
      </c>
      <c r="R632" s="123">
        <v>0</v>
      </c>
      <c r="S632" s="7" t="s">
        <v>13</v>
      </c>
      <c r="T632" s="9"/>
      <c r="U632" s="1"/>
    </row>
    <row r="633" spans="1:21" ht="13.5" thickBot="1" x14ac:dyDescent="0.25">
      <c r="A633" s="123">
        <v>37</v>
      </c>
      <c r="B633" s="123">
        <v>37</v>
      </c>
      <c r="C633" s="123">
        <v>0</v>
      </c>
      <c r="D633" s="123">
        <v>7</v>
      </c>
      <c r="E633" s="123">
        <v>7</v>
      </c>
      <c r="F633" s="123">
        <v>0</v>
      </c>
      <c r="G633" s="123">
        <v>17</v>
      </c>
      <c r="H633" s="123">
        <v>17</v>
      </c>
      <c r="I633" s="123">
        <v>0</v>
      </c>
      <c r="J633" s="123">
        <v>13</v>
      </c>
      <c r="K633" s="123">
        <v>13</v>
      </c>
      <c r="L633" s="123">
        <v>0</v>
      </c>
      <c r="M633" s="123">
        <v>0</v>
      </c>
      <c r="N633" s="123">
        <v>0</v>
      </c>
      <c r="O633" s="123">
        <v>0</v>
      </c>
      <c r="P633" s="123">
        <v>0</v>
      </c>
      <c r="Q633" s="123">
        <v>0</v>
      </c>
      <c r="R633" s="123">
        <v>0</v>
      </c>
      <c r="S633" s="7" t="s">
        <v>163</v>
      </c>
      <c r="T633" s="124"/>
      <c r="U633" s="1"/>
    </row>
    <row r="634" spans="1:21" ht="13.5" thickBot="1" x14ac:dyDescent="0.25">
      <c r="A634" s="123">
        <v>33</v>
      </c>
      <c r="B634" s="123">
        <v>33</v>
      </c>
      <c r="C634" s="123">
        <v>0</v>
      </c>
      <c r="D634" s="123">
        <v>0</v>
      </c>
      <c r="E634" s="123">
        <v>0</v>
      </c>
      <c r="F634" s="123">
        <v>0</v>
      </c>
      <c r="G634" s="123">
        <v>23</v>
      </c>
      <c r="H634" s="123">
        <v>23</v>
      </c>
      <c r="I634" s="123">
        <v>0</v>
      </c>
      <c r="J634" s="123">
        <v>10</v>
      </c>
      <c r="K634" s="123">
        <v>10</v>
      </c>
      <c r="L634" s="123">
        <v>0</v>
      </c>
      <c r="M634" s="123">
        <v>0</v>
      </c>
      <c r="N634" s="123">
        <v>0</v>
      </c>
      <c r="O634" s="123">
        <v>0</v>
      </c>
      <c r="P634" s="123">
        <v>0</v>
      </c>
      <c r="Q634" s="123">
        <v>0</v>
      </c>
      <c r="R634" s="123">
        <v>0</v>
      </c>
      <c r="S634" s="7" t="s">
        <v>162</v>
      </c>
      <c r="T634" s="124" t="s">
        <v>481</v>
      </c>
      <c r="U634" s="1"/>
    </row>
    <row r="635" spans="1:21" ht="13.5" thickBot="1" x14ac:dyDescent="0.25">
      <c r="A635" s="123">
        <v>70</v>
      </c>
      <c r="B635" s="123">
        <v>70</v>
      </c>
      <c r="C635" s="123">
        <v>0</v>
      </c>
      <c r="D635" s="123">
        <v>7</v>
      </c>
      <c r="E635" s="123">
        <v>7</v>
      </c>
      <c r="F635" s="123">
        <v>0</v>
      </c>
      <c r="G635" s="123">
        <v>40</v>
      </c>
      <c r="H635" s="123">
        <v>40</v>
      </c>
      <c r="I635" s="123">
        <v>0</v>
      </c>
      <c r="J635" s="123">
        <v>23</v>
      </c>
      <c r="K635" s="123">
        <v>23</v>
      </c>
      <c r="L635" s="123">
        <v>0</v>
      </c>
      <c r="M635" s="123">
        <v>0</v>
      </c>
      <c r="N635" s="123">
        <v>0</v>
      </c>
      <c r="O635" s="123">
        <v>0</v>
      </c>
      <c r="P635" s="123">
        <v>0</v>
      </c>
      <c r="Q635" s="123">
        <v>0</v>
      </c>
      <c r="R635" s="123">
        <v>0</v>
      </c>
      <c r="S635" s="7" t="s">
        <v>13</v>
      </c>
      <c r="T635" s="9"/>
      <c r="U635" s="1"/>
    </row>
    <row r="636" spans="1:21" ht="13.5" thickBot="1" x14ac:dyDescent="0.25">
      <c r="A636" s="123">
        <v>26</v>
      </c>
      <c r="B636" s="123">
        <v>26</v>
      </c>
      <c r="C636" s="123">
        <v>0</v>
      </c>
      <c r="D636" s="123">
        <v>0</v>
      </c>
      <c r="E636" s="123">
        <v>0</v>
      </c>
      <c r="F636" s="123">
        <v>0</v>
      </c>
      <c r="G636" s="123">
        <v>17</v>
      </c>
      <c r="H636" s="123">
        <v>17</v>
      </c>
      <c r="I636" s="123">
        <v>0</v>
      </c>
      <c r="J636" s="123">
        <v>9</v>
      </c>
      <c r="K636" s="123">
        <v>9</v>
      </c>
      <c r="L636" s="123">
        <v>0</v>
      </c>
      <c r="M636" s="123">
        <v>0</v>
      </c>
      <c r="N636" s="123">
        <v>0</v>
      </c>
      <c r="O636" s="123">
        <v>0</v>
      </c>
      <c r="P636" s="123">
        <v>0</v>
      </c>
      <c r="Q636" s="123">
        <v>0</v>
      </c>
      <c r="R636" s="123">
        <v>0</v>
      </c>
      <c r="S636" s="7" t="s">
        <v>163</v>
      </c>
      <c r="T636" s="124"/>
      <c r="U636" s="1"/>
    </row>
    <row r="637" spans="1:21" ht="13.5" thickBot="1" x14ac:dyDescent="0.25">
      <c r="A637" s="123">
        <v>10</v>
      </c>
      <c r="B637" s="123">
        <v>10</v>
      </c>
      <c r="C637" s="123">
        <v>0</v>
      </c>
      <c r="D637" s="123">
        <v>0</v>
      </c>
      <c r="E637" s="123">
        <v>0</v>
      </c>
      <c r="F637" s="123">
        <v>0</v>
      </c>
      <c r="G637" s="123">
        <v>3</v>
      </c>
      <c r="H637" s="123">
        <v>3</v>
      </c>
      <c r="I637" s="123">
        <v>0</v>
      </c>
      <c r="J637" s="123">
        <v>7</v>
      </c>
      <c r="K637" s="123">
        <v>7</v>
      </c>
      <c r="L637" s="123">
        <v>0</v>
      </c>
      <c r="M637" s="123">
        <v>0</v>
      </c>
      <c r="N637" s="123">
        <v>0</v>
      </c>
      <c r="O637" s="123">
        <v>0</v>
      </c>
      <c r="P637" s="123">
        <v>0</v>
      </c>
      <c r="Q637" s="123">
        <v>0</v>
      </c>
      <c r="R637" s="123">
        <v>0</v>
      </c>
      <c r="S637" s="7" t="s">
        <v>162</v>
      </c>
      <c r="T637" s="124" t="s">
        <v>482</v>
      </c>
      <c r="U637" s="1"/>
    </row>
    <row r="638" spans="1:21" ht="13.5" thickBot="1" x14ac:dyDescent="0.25">
      <c r="A638" s="123">
        <v>36</v>
      </c>
      <c r="B638" s="123">
        <v>36</v>
      </c>
      <c r="C638" s="123">
        <v>0</v>
      </c>
      <c r="D638" s="123">
        <v>0</v>
      </c>
      <c r="E638" s="123">
        <v>0</v>
      </c>
      <c r="F638" s="123">
        <v>0</v>
      </c>
      <c r="G638" s="123">
        <v>20</v>
      </c>
      <c r="H638" s="123">
        <v>20</v>
      </c>
      <c r="I638" s="123">
        <v>0</v>
      </c>
      <c r="J638" s="123">
        <v>16</v>
      </c>
      <c r="K638" s="123">
        <v>16</v>
      </c>
      <c r="L638" s="123">
        <v>0</v>
      </c>
      <c r="M638" s="123">
        <v>0</v>
      </c>
      <c r="N638" s="123">
        <v>0</v>
      </c>
      <c r="O638" s="123">
        <v>0</v>
      </c>
      <c r="P638" s="123">
        <v>0</v>
      </c>
      <c r="Q638" s="123">
        <v>0</v>
      </c>
      <c r="R638" s="123">
        <v>0</v>
      </c>
      <c r="S638" s="7" t="s">
        <v>13</v>
      </c>
      <c r="T638" s="9"/>
      <c r="U638" s="1"/>
    </row>
    <row r="639" spans="1:21" ht="13.5" thickBot="1" x14ac:dyDescent="0.25">
      <c r="A639" s="123">
        <v>79</v>
      </c>
      <c r="B639" s="123">
        <v>76</v>
      </c>
      <c r="C639" s="123">
        <v>3</v>
      </c>
      <c r="D639" s="123">
        <v>17</v>
      </c>
      <c r="E639" s="123">
        <v>14</v>
      </c>
      <c r="F639" s="123">
        <v>3</v>
      </c>
      <c r="G639" s="123">
        <v>2</v>
      </c>
      <c r="H639" s="123">
        <v>2</v>
      </c>
      <c r="I639" s="123">
        <v>0</v>
      </c>
      <c r="J639" s="123">
        <v>60</v>
      </c>
      <c r="K639" s="123">
        <v>60</v>
      </c>
      <c r="L639" s="123">
        <v>0</v>
      </c>
      <c r="M639" s="123">
        <v>0</v>
      </c>
      <c r="N639" s="123">
        <v>0</v>
      </c>
      <c r="O639" s="123">
        <v>0</v>
      </c>
      <c r="P639" s="123">
        <v>0</v>
      </c>
      <c r="Q639" s="123">
        <v>0</v>
      </c>
      <c r="R639" s="123">
        <v>0</v>
      </c>
      <c r="S639" s="7" t="s">
        <v>163</v>
      </c>
      <c r="T639" s="124"/>
      <c r="U639" s="1"/>
    </row>
    <row r="640" spans="1:21" ht="13.5" thickBot="1" x14ac:dyDescent="0.25">
      <c r="A640" s="123">
        <v>0</v>
      </c>
      <c r="B640" s="123">
        <v>0</v>
      </c>
      <c r="C640" s="123">
        <v>0</v>
      </c>
      <c r="D640" s="123">
        <v>0</v>
      </c>
      <c r="E640" s="123">
        <v>0</v>
      </c>
      <c r="F640" s="123">
        <v>0</v>
      </c>
      <c r="G640" s="123">
        <v>0</v>
      </c>
      <c r="H640" s="123">
        <v>0</v>
      </c>
      <c r="I640" s="123">
        <v>0</v>
      </c>
      <c r="J640" s="123">
        <v>0</v>
      </c>
      <c r="K640" s="123">
        <v>0</v>
      </c>
      <c r="L640" s="123">
        <v>0</v>
      </c>
      <c r="M640" s="123">
        <v>0</v>
      </c>
      <c r="N640" s="123">
        <v>0</v>
      </c>
      <c r="O640" s="123">
        <v>0</v>
      </c>
      <c r="P640" s="123">
        <v>0</v>
      </c>
      <c r="Q640" s="123">
        <v>0</v>
      </c>
      <c r="R640" s="123">
        <v>0</v>
      </c>
      <c r="S640" s="7" t="s">
        <v>162</v>
      </c>
      <c r="T640" s="124" t="s">
        <v>483</v>
      </c>
      <c r="U640" s="1"/>
    </row>
    <row r="641" spans="1:21" ht="13.5" thickBot="1" x14ac:dyDescent="0.25">
      <c r="A641" s="123">
        <v>79</v>
      </c>
      <c r="B641" s="123">
        <v>76</v>
      </c>
      <c r="C641" s="123">
        <v>3</v>
      </c>
      <c r="D641" s="123">
        <v>17</v>
      </c>
      <c r="E641" s="123">
        <v>14</v>
      </c>
      <c r="F641" s="123">
        <v>3</v>
      </c>
      <c r="G641" s="123">
        <v>2</v>
      </c>
      <c r="H641" s="123">
        <v>2</v>
      </c>
      <c r="I641" s="123">
        <v>0</v>
      </c>
      <c r="J641" s="123">
        <v>60</v>
      </c>
      <c r="K641" s="123">
        <v>60</v>
      </c>
      <c r="L641" s="123">
        <v>0</v>
      </c>
      <c r="M641" s="123">
        <v>0</v>
      </c>
      <c r="N641" s="123">
        <v>0</v>
      </c>
      <c r="O641" s="123">
        <v>0</v>
      </c>
      <c r="P641" s="123">
        <v>0</v>
      </c>
      <c r="Q641" s="123">
        <v>0</v>
      </c>
      <c r="R641" s="123">
        <v>0</v>
      </c>
      <c r="S641" s="7" t="s">
        <v>13</v>
      </c>
      <c r="T641" s="9"/>
      <c r="U641" s="1"/>
    </row>
    <row r="642" spans="1:21" ht="13.5" thickBot="1" x14ac:dyDescent="0.25">
      <c r="A642" s="123">
        <v>633</v>
      </c>
      <c r="B642" s="123">
        <v>249</v>
      </c>
      <c r="C642" s="123">
        <v>384</v>
      </c>
      <c r="D642" s="123">
        <v>135</v>
      </c>
      <c r="E642" s="123">
        <v>44</v>
      </c>
      <c r="F642" s="123">
        <v>91</v>
      </c>
      <c r="G642" s="123">
        <v>312</v>
      </c>
      <c r="H642" s="123">
        <v>97</v>
      </c>
      <c r="I642" s="123">
        <v>215</v>
      </c>
      <c r="J642" s="123">
        <v>186</v>
      </c>
      <c r="K642" s="123">
        <v>108</v>
      </c>
      <c r="L642" s="123">
        <v>78</v>
      </c>
      <c r="M642" s="123">
        <v>0</v>
      </c>
      <c r="N642" s="123">
        <v>0</v>
      </c>
      <c r="O642" s="123">
        <v>0</v>
      </c>
      <c r="P642" s="123">
        <v>0</v>
      </c>
      <c r="Q642" s="123">
        <v>0</v>
      </c>
      <c r="R642" s="123">
        <v>0</v>
      </c>
      <c r="S642" s="7" t="s">
        <v>163</v>
      </c>
      <c r="T642" s="3"/>
      <c r="U642" s="1"/>
    </row>
    <row r="643" spans="1:21" ht="13.5" thickBot="1" x14ac:dyDescent="0.25">
      <c r="A643" s="123">
        <v>524</v>
      </c>
      <c r="B643" s="123">
        <v>173</v>
      </c>
      <c r="C643" s="123">
        <v>351</v>
      </c>
      <c r="D643" s="123">
        <v>65</v>
      </c>
      <c r="E643" s="123">
        <v>25</v>
      </c>
      <c r="F643" s="123">
        <v>40</v>
      </c>
      <c r="G643" s="123">
        <v>314</v>
      </c>
      <c r="H643" s="123">
        <v>95</v>
      </c>
      <c r="I643" s="123">
        <v>219</v>
      </c>
      <c r="J643" s="123">
        <v>145</v>
      </c>
      <c r="K643" s="123">
        <v>53</v>
      </c>
      <c r="L643" s="123">
        <v>92</v>
      </c>
      <c r="M643" s="123">
        <v>0</v>
      </c>
      <c r="N643" s="123">
        <v>0</v>
      </c>
      <c r="O643" s="123">
        <v>0</v>
      </c>
      <c r="P643" s="123">
        <v>0</v>
      </c>
      <c r="Q643" s="123">
        <v>0</v>
      </c>
      <c r="R643" s="123">
        <v>0</v>
      </c>
      <c r="S643" s="7" t="s">
        <v>162</v>
      </c>
      <c r="T643" s="11" t="s">
        <v>211</v>
      </c>
      <c r="U643" s="1"/>
    </row>
    <row r="644" spans="1:21" ht="13.5" thickBot="1" x14ac:dyDescent="0.25">
      <c r="A644" s="123">
        <v>1157</v>
      </c>
      <c r="B644" s="123">
        <v>422</v>
      </c>
      <c r="C644" s="123">
        <v>735</v>
      </c>
      <c r="D644" s="123">
        <v>200</v>
      </c>
      <c r="E644" s="123">
        <v>69</v>
      </c>
      <c r="F644" s="123">
        <v>131</v>
      </c>
      <c r="G644" s="123">
        <v>626</v>
      </c>
      <c r="H644" s="123">
        <v>192</v>
      </c>
      <c r="I644" s="123">
        <v>434</v>
      </c>
      <c r="J644" s="123">
        <v>331</v>
      </c>
      <c r="K644" s="123">
        <v>161</v>
      </c>
      <c r="L644" s="123">
        <v>170</v>
      </c>
      <c r="M644" s="123">
        <v>0</v>
      </c>
      <c r="N644" s="123">
        <v>0</v>
      </c>
      <c r="O644" s="123">
        <v>0</v>
      </c>
      <c r="P644" s="123">
        <v>0</v>
      </c>
      <c r="Q644" s="123">
        <v>0</v>
      </c>
      <c r="R644" s="123">
        <v>0</v>
      </c>
      <c r="S644" s="7" t="s">
        <v>13</v>
      </c>
      <c r="T644" s="5"/>
      <c r="U644" s="1"/>
    </row>
    <row r="645" spans="1:21" ht="18" customHeight="1" x14ac:dyDescent="0.2">
      <c r="A645" s="207"/>
      <c r="B645" s="207"/>
      <c r="C645" s="207"/>
      <c r="D645" s="207"/>
      <c r="E645" s="207"/>
      <c r="F645" s="207"/>
      <c r="G645" s="207"/>
      <c r="H645" s="207"/>
      <c r="I645" s="207"/>
      <c r="J645" s="207"/>
      <c r="K645" s="207"/>
      <c r="L645" s="207"/>
      <c r="M645" s="207"/>
      <c r="N645" s="207"/>
      <c r="O645" s="207"/>
      <c r="P645" s="207"/>
      <c r="Q645" s="207"/>
      <c r="R645" s="207"/>
      <c r="S645" s="207"/>
      <c r="T645" s="207"/>
      <c r="U645" s="1"/>
    </row>
    <row r="646" spans="1:21" ht="18" customHeight="1" x14ac:dyDescent="0.2">
      <c r="A646" s="159" t="s">
        <v>665</v>
      </c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"/>
    </row>
    <row r="647" spans="1:21" ht="18" customHeight="1" thickBot="1" x14ac:dyDescent="0.25">
      <c r="A647" s="160" t="s">
        <v>667</v>
      </c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"/>
    </row>
    <row r="648" spans="1:21" ht="13.5" thickBot="1" x14ac:dyDescent="0.25">
      <c r="A648" s="204" t="s">
        <v>5</v>
      </c>
      <c r="B648" s="204"/>
      <c r="C648" s="204"/>
      <c r="D648" s="204" t="s">
        <v>57</v>
      </c>
      <c r="E648" s="204"/>
      <c r="F648" s="204"/>
      <c r="G648" s="204" t="s">
        <v>66</v>
      </c>
      <c r="H648" s="204"/>
      <c r="I648" s="204"/>
      <c r="J648" s="204" t="s">
        <v>65</v>
      </c>
      <c r="K648" s="204"/>
      <c r="L648" s="204"/>
      <c r="M648" s="204" t="s">
        <v>62</v>
      </c>
      <c r="N648" s="204"/>
      <c r="O648" s="204"/>
      <c r="P648" s="204" t="s">
        <v>61</v>
      </c>
      <c r="Q648" s="204"/>
      <c r="R648" s="204"/>
      <c r="S648" s="205" t="s">
        <v>614</v>
      </c>
      <c r="T648" s="47" t="s">
        <v>161</v>
      </c>
      <c r="U648" s="1"/>
    </row>
    <row r="649" spans="1:21" ht="13.5" thickBot="1" x14ac:dyDescent="0.25">
      <c r="A649" s="47" t="s">
        <v>216</v>
      </c>
      <c r="B649" s="47" t="s">
        <v>11</v>
      </c>
      <c r="C649" s="47" t="s">
        <v>10</v>
      </c>
      <c r="D649" s="47" t="s">
        <v>216</v>
      </c>
      <c r="E649" s="47" t="s">
        <v>11</v>
      </c>
      <c r="F649" s="47" t="s">
        <v>10</v>
      </c>
      <c r="G649" s="47" t="s">
        <v>216</v>
      </c>
      <c r="H649" s="47" t="s">
        <v>11</v>
      </c>
      <c r="I649" s="47" t="s">
        <v>10</v>
      </c>
      <c r="J649" s="47" t="s">
        <v>216</v>
      </c>
      <c r="K649" s="47" t="s">
        <v>11</v>
      </c>
      <c r="L649" s="47" t="s">
        <v>10</v>
      </c>
      <c r="M649" s="47" t="s">
        <v>216</v>
      </c>
      <c r="N649" s="47" t="s">
        <v>11</v>
      </c>
      <c r="O649" s="47" t="s">
        <v>10</v>
      </c>
      <c r="P649" s="47" t="s">
        <v>216</v>
      </c>
      <c r="Q649" s="47" t="s">
        <v>11</v>
      </c>
      <c r="R649" s="47" t="s">
        <v>10</v>
      </c>
      <c r="S649" s="206"/>
      <c r="T649" s="5" t="s">
        <v>118</v>
      </c>
      <c r="U649" s="1"/>
    </row>
    <row r="650" spans="1:21" ht="13.5" thickBot="1" x14ac:dyDescent="0.25">
      <c r="A650" s="123">
        <v>1</v>
      </c>
      <c r="B650" s="123">
        <v>0</v>
      </c>
      <c r="C650" s="123">
        <v>1</v>
      </c>
      <c r="D650" s="123">
        <v>0</v>
      </c>
      <c r="E650" s="123">
        <v>0</v>
      </c>
      <c r="F650" s="123">
        <v>0</v>
      </c>
      <c r="G650" s="123">
        <v>1</v>
      </c>
      <c r="H650" s="123">
        <v>0</v>
      </c>
      <c r="I650" s="123">
        <v>1</v>
      </c>
      <c r="J650" s="123">
        <v>0</v>
      </c>
      <c r="K650" s="123">
        <v>0</v>
      </c>
      <c r="L650" s="123">
        <v>0</v>
      </c>
      <c r="M650" s="123">
        <v>0</v>
      </c>
      <c r="N650" s="123">
        <v>0</v>
      </c>
      <c r="O650" s="123">
        <v>0</v>
      </c>
      <c r="P650" s="123">
        <v>0</v>
      </c>
      <c r="Q650" s="123">
        <v>0</v>
      </c>
      <c r="R650" s="123">
        <v>0</v>
      </c>
      <c r="S650" s="7" t="s">
        <v>163</v>
      </c>
      <c r="T650" s="124"/>
      <c r="U650" s="1"/>
    </row>
    <row r="651" spans="1:21" ht="13.5" thickBot="1" x14ac:dyDescent="0.25">
      <c r="A651" s="123">
        <v>0</v>
      </c>
      <c r="B651" s="123">
        <v>0</v>
      </c>
      <c r="C651" s="123">
        <v>0</v>
      </c>
      <c r="D651" s="123">
        <v>0</v>
      </c>
      <c r="E651" s="123">
        <v>0</v>
      </c>
      <c r="F651" s="123">
        <v>0</v>
      </c>
      <c r="G651" s="123">
        <v>0</v>
      </c>
      <c r="H651" s="123">
        <v>0</v>
      </c>
      <c r="I651" s="123">
        <v>0</v>
      </c>
      <c r="J651" s="123">
        <v>0</v>
      </c>
      <c r="K651" s="123">
        <v>0</v>
      </c>
      <c r="L651" s="123">
        <v>0</v>
      </c>
      <c r="M651" s="123">
        <v>0</v>
      </c>
      <c r="N651" s="123">
        <v>0</v>
      </c>
      <c r="O651" s="123">
        <v>0</v>
      </c>
      <c r="P651" s="123">
        <v>0</v>
      </c>
      <c r="Q651" s="123">
        <v>0</v>
      </c>
      <c r="R651" s="123">
        <v>0</v>
      </c>
      <c r="S651" s="7" t="s">
        <v>162</v>
      </c>
      <c r="T651" s="124" t="s">
        <v>377</v>
      </c>
      <c r="U651" s="1"/>
    </row>
    <row r="652" spans="1:21" ht="13.5" thickBot="1" x14ac:dyDescent="0.25">
      <c r="A652" s="123">
        <v>1</v>
      </c>
      <c r="B652" s="123">
        <v>0</v>
      </c>
      <c r="C652" s="123">
        <v>1</v>
      </c>
      <c r="D652" s="123">
        <v>0</v>
      </c>
      <c r="E652" s="123">
        <v>0</v>
      </c>
      <c r="F652" s="123">
        <v>0</v>
      </c>
      <c r="G652" s="123">
        <v>1</v>
      </c>
      <c r="H652" s="123">
        <v>0</v>
      </c>
      <c r="I652" s="123">
        <v>1</v>
      </c>
      <c r="J652" s="123">
        <v>0</v>
      </c>
      <c r="K652" s="123">
        <v>0</v>
      </c>
      <c r="L652" s="123">
        <v>0</v>
      </c>
      <c r="M652" s="123">
        <v>0</v>
      </c>
      <c r="N652" s="123">
        <v>0</v>
      </c>
      <c r="O652" s="123">
        <v>0</v>
      </c>
      <c r="P652" s="123">
        <v>0</v>
      </c>
      <c r="Q652" s="123">
        <v>0</v>
      </c>
      <c r="R652" s="123">
        <v>0</v>
      </c>
      <c r="S652" s="7" t="s">
        <v>13</v>
      </c>
      <c r="T652" s="9"/>
      <c r="U652" s="1"/>
    </row>
    <row r="653" spans="1:21" ht="13.5" thickBot="1" x14ac:dyDescent="0.25">
      <c r="A653" s="123">
        <v>13</v>
      </c>
      <c r="B653" s="123">
        <v>6</v>
      </c>
      <c r="C653" s="123">
        <v>7</v>
      </c>
      <c r="D653" s="123">
        <v>11</v>
      </c>
      <c r="E653" s="123">
        <v>5</v>
      </c>
      <c r="F653" s="123">
        <v>6</v>
      </c>
      <c r="G653" s="123">
        <v>0</v>
      </c>
      <c r="H653" s="123">
        <v>0</v>
      </c>
      <c r="I653" s="123">
        <v>0</v>
      </c>
      <c r="J653" s="123">
        <v>2</v>
      </c>
      <c r="K653" s="123">
        <v>1</v>
      </c>
      <c r="L653" s="123">
        <v>1</v>
      </c>
      <c r="M653" s="123">
        <v>0</v>
      </c>
      <c r="N653" s="123">
        <v>0</v>
      </c>
      <c r="O653" s="123">
        <v>0</v>
      </c>
      <c r="P653" s="123">
        <v>0</v>
      </c>
      <c r="Q653" s="123">
        <v>0</v>
      </c>
      <c r="R653" s="123">
        <v>0</v>
      </c>
      <c r="S653" s="7" t="s">
        <v>163</v>
      </c>
      <c r="T653" s="124"/>
      <c r="U653" s="1"/>
    </row>
    <row r="654" spans="1:21" ht="13.5" thickBot="1" x14ac:dyDescent="0.25">
      <c r="A654" s="123">
        <v>0</v>
      </c>
      <c r="B654" s="123">
        <v>0</v>
      </c>
      <c r="C654" s="123">
        <v>0</v>
      </c>
      <c r="D654" s="123">
        <v>0</v>
      </c>
      <c r="E654" s="123">
        <v>0</v>
      </c>
      <c r="F654" s="123">
        <v>0</v>
      </c>
      <c r="G654" s="123">
        <v>0</v>
      </c>
      <c r="H654" s="123">
        <v>0</v>
      </c>
      <c r="I654" s="123">
        <v>0</v>
      </c>
      <c r="J654" s="123">
        <v>0</v>
      </c>
      <c r="K654" s="123">
        <v>0</v>
      </c>
      <c r="L654" s="123">
        <v>0</v>
      </c>
      <c r="M654" s="123">
        <v>0</v>
      </c>
      <c r="N654" s="123">
        <v>0</v>
      </c>
      <c r="O654" s="123">
        <v>0</v>
      </c>
      <c r="P654" s="123">
        <v>0</v>
      </c>
      <c r="Q654" s="123">
        <v>0</v>
      </c>
      <c r="R654" s="123">
        <v>0</v>
      </c>
      <c r="S654" s="7" t="s">
        <v>162</v>
      </c>
      <c r="T654" s="124" t="s">
        <v>268</v>
      </c>
      <c r="U654" s="1"/>
    </row>
    <row r="655" spans="1:21" ht="13.5" thickBot="1" x14ac:dyDescent="0.25">
      <c r="A655" s="123">
        <v>13</v>
      </c>
      <c r="B655" s="123">
        <v>6</v>
      </c>
      <c r="C655" s="123">
        <v>7</v>
      </c>
      <c r="D655" s="123">
        <v>11</v>
      </c>
      <c r="E655" s="123">
        <v>5</v>
      </c>
      <c r="F655" s="123">
        <v>6</v>
      </c>
      <c r="G655" s="123">
        <v>0</v>
      </c>
      <c r="H655" s="123">
        <v>0</v>
      </c>
      <c r="I655" s="123">
        <v>0</v>
      </c>
      <c r="J655" s="123">
        <v>2</v>
      </c>
      <c r="K655" s="123">
        <v>1</v>
      </c>
      <c r="L655" s="123">
        <v>1</v>
      </c>
      <c r="M655" s="123">
        <v>0</v>
      </c>
      <c r="N655" s="123">
        <v>0</v>
      </c>
      <c r="O655" s="123">
        <v>0</v>
      </c>
      <c r="P655" s="123">
        <v>0</v>
      </c>
      <c r="Q655" s="123">
        <v>0</v>
      </c>
      <c r="R655" s="123">
        <v>0</v>
      </c>
      <c r="S655" s="7" t="s">
        <v>13</v>
      </c>
      <c r="T655" s="9"/>
      <c r="U655" s="1"/>
    </row>
    <row r="656" spans="1:21" ht="13.5" thickBot="1" x14ac:dyDescent="0.25">
      <c r="A656" s="123">
        <v>17</v>
      </c>
      <c r="B656" s="123">
        <v>17</v>
      </c>
      <c r="C656" s="123">
        <v>0</v>
      </c>
      <c r="D656" s="123">
        <v>6</v>
      </c>
      <c r="E656" s="123">
        <v>6</v>
      </c>
      <c r="F656" s="123">
        <v>0</v>
      </c>
      <c r="G656" s="123">
        <v>2</v>
      </c>
      <c r="H656" s="123">
        <v>2</v>
      </c>
      <c r="I656" s="123">
        <v>0</v>
      </c>
      <c r="J656" s="123">
        <v>9</v>
      </c>
      <c r="K656" s="123">
        <v>9</v>
      </c>
      <c r="L656" s="123">
        <v>0</v>
      </c>
      <c r="M656" s="123">
        <v>0</v>
      </c>
      <c r="N656" s="123">
        <v>0</v>
      </c>
      <c r="O656" s="123">
        <v>0</v>
      </c>
      <c r="P656" s="123">
        <v>0</v>
      </c>
      <c r="Q656" s="123">
        <v>0</v>
      </c>
      <c r="R656" s="123">
        <v>0</v>
      </c>
      <c r="S656" s="7" t="s">
        <v>163</v>
      </c>
      <c r="T656" s="124"/>
      <c r="U656" s="1"/>
    </row>
    <row r="657" spans="1:21" ht="13.5" thickBot="1" x14ac:dyDescent="0.25">
      <c r="A657" s="123">
        <v>0</v>
      </c>
      <c r="B657" s="123">
        <v>0</v>
      </c>
      <c r="C657" s="123">
        <v>0</v>
      </c>
      <c r="D657" s="123">
        <v>0</v>
      </c>
      <c r="E657" s="123">
        <v>0</v>
      </c>
      <c r="F657" s="123">
        <v>0</v>
      </c>
      <c r="G657" s="123">
        <v>0</v>
      </c>
      <c r="H657" s="123">
        <v>0</v>
      </c>
      <c r="I657" s="123">
        <v>0</v>
      </c>
      <c r="J657" s="123">
        <v>0</v>
      </c>
      <c r="K657" s="123">
        <v>0</v>
      </c>
      <c r="L657" s="123">
        <v>0</v>
      </c>
      <c r="M657" s="123">
        <v>0</v>
      </c>
      <c r="N657" s="123">
        <v>0</v>
      </c>
      <c r="O657" s="123">
        <v>0</v>
      </c>
      <c r="P657" s="123">
        <v>0</v>
      </c>
      <c r="Q657" s="123">
        <v>0</v>
      </c>
      <c r="R657" s="123">
        <v>0</v>
      </c>
      <c r="S657" s="7" t="s">
        <v>162</v>
      </c>
      <c r="T657" s="124" t="s">
        <v>484</v>
      </c>
      <c r="U657" s="1"/>
    </row>
    <row r="658" spans="1:21" ht="13.5" thickBot="1" x14ac:dyDescent="0.25">
      <c r="A658" s="123">
        <v>17</v>
      </c>
      <c r="B658" s="123">
        <v>17</v>
      </c>
      <c r="C658" s="123">
        <v>0</v>
      </c>
      <c r="D658" s="123">
        <v>6</v>
      </c>
      <c r="E658" s="123">
        <v>6</v>
      </c>
      <c r="F658" s="123">
        <v>0</v>
      </c>
      <c r="G658" s="123">
        <v>2</v>
      </c>
      <c r="H658" s="123">
        <v>2</v>
      </c>
      <c r="I658" s="123">
        <v>0</v>
      </c>
      <c r="J658" s="123">
        <v>9</v>
      </c>
      <c r="K658" s="123">
        <v>9</v>
      </c>
      <c r="L658" s="123">
        <v>0</v>
      </c>
      <c r="M658" s="123">
        <v>0</v>
      </c>
      <c r="N658" s="123">
        <v>0</v>
      </c>
      <c r="O658" s="123">
        <v>0</v>
      </c>
      <c r="P658" s="123">
        <v>0</v>
      </c>
      <c r="Q658" s="123">
        <v>0</v>
      </c>
      <c r="R658" s="123">
        <v>0</v>
      </c>
      <c r="S658" s="7" t="s">
        <v>13</v>
      </c>
      <c r="T658" s="9"/>
      <c r="U658" s="1"/>
    </row>
    <row r="659" spans="1:21" ht="13.5" thickBot="1" x14ac:dyDescent="0.25">
      <c r="A659" s="123">
        <v>3</v>
      </c>
      <c r="B659" s="123">
        <v>0</v>
      </c>
      <c r="C659" s="123">
        <v>3</v>
      </c>
      <c r="D659" s="123">
        <v>0</v>
      </c>
      <c r="E659" s="123">
        <v>0</v>
      </c>
      <c r="F659" s="123">
        <v>0</v>
      </c>
      <c r="G659" s="123">
        <v>1</v>
      </c>
      <c r="H659" s="123">
        <v>0</v>
      </c>
      <c r="I659" s="123">
        <v>1</v>
      </c>
      <c r="J659" s="123">
        <v>1</v>
      </c>
      <c r="K659" s="123">
        <v>0</v>
      </c>
      <c r="L659" s="123">
        <v>1</v>
      </c>
      <c r="M659" s="123">
        <v>0</v>
      </c>
      <c r="N659" s="123">
        <v>0</v>
      </c>
      <c r="O659" s="123">
        <v>0</v>
      </c>
      <c r="P659" s="123">
        <v>1</v>
      </c>
      <c r="Q659" s="123">
        <v>0</v>
      </c>
      <c r="R659" s="123">
        <v>1</v>
      </c>
      <c r="S659" s="7" t="s">
        <v>163</v>
      </c>
      <c r="T659" s="124"/>
      <c r="U659" s="1"/>
    </row>
    <row r="660" spans="1:21" ht="13.5" thickBot="1" x14ac:dyDescent="0.25">
      <c r="A660" s="123">
        <v>0</v>
      </c>
      <c r="B660" s="123">
        <v>0</v>
      </c>
      <c r="C660" s="123">
        <v>0</v>
      </c>
      <c r="D660" s="123">
        <v>0</v>
      </c>
      <c r="E660" s="123">
        <v>0</v>
      </c>
      <c r="F660" s="123">
        <v>0</v>
      </c>
      <c r="G660" s="123">
        <v>0</v>
      </c>
      <c r="H660" s="123">
        <v>0</v>
      </c>
      <c r="I660" s="123">
        <v>0</v>
      </c>
      <c r="J660" s="123">
        <v>0</v>
      </c>
      <c r="K660" s="123">
        <v>0</v>
      </c>
      <c r="L660" s="123">
        <v>0</v>
      </c>
      <c r="M660" s="123">
        <v>0</v>
      </c>
      <c r="N660" s="123">
        <v>0</v>
      </c>
      <c r="O660" s="123">
        <v>0</v>
      </c>
      <c r="P660" s="123">
        <v>0</v>
      </c>
      <c r="Q660" s="123">
        <v>0</v>
      </c>
      <c r="R660" s="123">
        <v>0</v>
      </c>
      <c r="S660" s="7" t="s">
        <v>162</v>
      </c>
      <c r="T660" s="124" t="s">
        <v>117</v>
      </c>
      <c r="U660" s="1"/>
    </row>
    <row r="661" spans="1:21" ht="13.5" thickBot="1" x14ac:dyDescent="0.25">
      <c r="A661" s="123">
        <v>3</v>
      </c>
      <c r="B661" s="123">
        <v>0</v>
      </c>
      <c r="C661" s="123">
        <v>3</v>
      </c>
      <c r="D661" s="123">
        <v>0</v>
      </c>
      <c r="E661" s="123">
        <v>0</v>
      </c>
      <c r="F661" s="123">
        <v>0</v>
      </c>
      <c r="G661" s="123">
        <v>1</v>
      </c>
      <c r="H661" s="123">
        <v>0</v>
      </c>
      <c r="I661" s="123">
        <v>1</v>
      </c>
      <c r="J661" s="123">
        <v>1</v>
      </c>
      <c r="K661" s="123">
        <v>0</v>
      </c>
      <c r="L661" s="123">
        <v>1</v>
      </c>
      <c r="M661" s="123">
        <v>0</v>
      </c>
      <c r="N661" s="123">
        <v>0</v>
      </c>
      <c r="O661" s="123">
        <v>0</v>
      </c>
      <c r="P661" s="123">
        <v>1</v>
      </c>
      <c r="Q661" s="123">
        <v>0</v>
      </c>
      <c r="R661" s="123">
        <v>1</v>
      </c>
      <c r="S661" s="7" t="s">
        <v>13</v>
      </c>
      <c r="T661" s="9"/>
      <c r="U661" s="1"/>
    </row>
    <row r="662" spans="1:21" ht="13.5" thickBot="1" x14ac:dyDescent="0.25">
      <c r="A662" s="123">
        <v>13</v>
      </c>
      <c r="B662" s="123">
        <v>6</v>
      </c>
      <c r="C662" s="123">
        <v>7</v>
      </c>
      <c r="D662" s="123">
        <v>11</v>
      </c>
      <c r="E662" s="123">
        <v>5</v>
      </c>
      <c r="F662" s="123">
        <v>6</v>
      </c>
      <c r="G662" s="123">
        <v>0</v>
      </c>
      <c r="H662" s="123">
        <v>0</v>
      </c>
      <c r="I662" s="123">
        <v>0</v>
      </c>
      <c r="J662" s="123">
        <v>2</v>
      </c>
      <c r="K662" s="123">
        <v>1</v>
      </c>
      <c r="L662" s="123">
        <v>1</v>
      </c>
      <c r="M662" s="123">
        <v>0</v>
      </c>
      <c r="N662" s="123">
        <v>0</v>
      </c>
      <c r="O662" s="123">
        <v>0</v>
      </c>
      <c r="P662" s="123">
        <v>0</v>
      </c>
      <c r="Q662" s="123">
        <v>0</v>
      </c>
      <c r="R662" s="123">
        <v>0</v>
      </c>
      <c r="S662" s="7" t="s">
        <v>163</v>
      </c>
      <c r="T662" s="124"/>
      <c r="U662" s="1"/>
    </row>
    <row r="663" spans="1:21" ht="13.5" thickBot="1" x14ac:dyDescent="0.25">
      <c r="A663" s="123">
        <v>0</v>
      </c>
      <c r="B663" s="123">
        <v>0</v>
      </c>
      <c r="C663" s="123">
        <v>0</v>
      </c>
      <c r="D663" s="123">
        <v>0</v>
      </c>
      <c r="E663" s="123">
        <v>0</v>
      </c>
      <c r="F663" s="123">
        <v>0</v>
      </c>
      <c r="G663" s="123">
        <v>0</v>
      </c>
      <c r="H663" s="123">
        <v>0</v>
      </c>
      <c r="I663" s="123">
        <v>0</v>
      </c>
      <c r="J663" s="123">
        <v>0</v>
      </c>
      <c r="K663" s="123">
        <v>0</v>
      </c>
      <c r="L663" s="123">
        <v>0</v>
      </c>
      <c r="M663" s="123">
        <v>0</v>
      </c>
      <c r="N663" s="123">
        <v>0</v>
      </c>
      <c r="O663" s="123">
        <v>0</v>
      </c>
      <c r="P663" s="123">
        <v>0</v>
      </c>
      <c r="Q663" s="123">
        <v>0</v>
      </c>
      <c r="R663" s="123">
        <v>0</v>
      </c>
      <c r="S663" s="7" t="s">
        <v>162</v>
      </c>
      <c r="T663" s="124" t="s">
        <v>269</v>
      </c>
      <c r="U663" s="1"/>
    </row>
    <row r="664" spans="1:21" ht="13.5" thickBot="1" x14ac:dyDescent="0.25">
      <c r="A664" s="123">
        <v>13</v>
      </c>
      <c r="B664" s="123">
        <v>6</v>
      </c>
      <c r="C664" s="123">
        <v>7</v>
      </c>
      <c r="D664" s="123">
        <v>11</v>
      </c>
      <c r="E664" s="123">
        <v>5</v>
      </c>
      <c r="F664" s="123">
        <v>6</v>
      </c>
      <c r="G664" s="123">
        <v>0</v>
      </c>
      <c r="H664" s="123">
        <v>0</v>
      </c>
      <c r="I664" s="123">
        <v>0</v>
      </c>
      <c r="J664" s="123">
        <v>2</v>
      </c>
      <c r="K664" s="123">
        <v>1</v>
      </c>
      <c r="L664" s="123">
        <v>1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123">
        <v>0</v>
      </c>
      <c r="S664" s="7" t="s">
        <v>13</v>
      </c>
      <c r="T664" s="9"/>
      <c r="U664" s="1"/>
    </row>
    <row r="665" spans="1:21" ht="13.5" thickBot="1" x14ac:dyDescent="0.25">
      <c r="A665" s="123">
        <v>22</v>
      </c>
      <c r="B665" s="123">
        <v>0</v>
      </c>
      <c r="C665" s="123">
        <v>22</v>
      </c>
      <c r="D665" s="123">
        <v>14</v>
      </c>
      <c r="E665" s="123">
        <v>0</v>
      </c>
      <c r="F665" s="123">
        <v>14</v>
      </c>
      <c r="G665" s="123">
        <v>5</v>
      </c>
      <c r="H665" s="123">
        <v>0</v>
      </c>
      <c r="I665" s="123">
        <v>5</v>
      </c>
      <c r="J665" s="123">
        <v>3</v>
      </c>
      <c r="K665" s="123">
        <v>0</v>
      </c>
      <c r="L665" s="123">
        <v>3</v>
      </c>
      <c r="M665" s="123">
        <v>0</v>
      </c>
      <c r="N665" s="123">
        <v>0</v>
      </c>
      <c r="O665" s="123">
        <v>0</v>
      </c>
      <c r="P665" s="123">
        <v>0</v>
      </c>
      <c r="Q665" s="123">
        <v>0</v>
      </c>
      <c r="R665" s="123">
        <v>0</v>
      </c>
      <c r="S665" s="7" t="s">
        <v>163</v>
      </c>
      <c r="T665" s="124"/>
      <c r="U665" s="1"/>
    </row>
    <row r="666" spans="1:21" ht="13.5" thickBot="1" x14ac:dyDescent="0.25">
      <c r="A666" s="123">
        <v>0</v>
      </c>
      <c r="B666" s="123">
        <v>0</v>
      </c>
      <c r="C666" s="123">
        <v>0</v>
      </c>
      <c r="D666" s="123">
        <v>0</v>
      </c>
      <c r="E666" s="123">
        <v>0</v>
      </c>
      <c r="F666" s="123">
        <v>0</v>
      </c>
      <c r="G666" s="123">
        <v>0</v>
      </c>
      <c r="H666" s="123">
        <v>0</v>
      </c>
      <c r="I666" s="123">
        <v>0</v>
      </c>
      <c r="J666" s="123">
        <v>0</v>
      </c>
      <c r="K666" s="123">
        <v>0</v>
      </c>
      <c r="L666" s="123">
        <v>0</v>
      </c>
      <c r="M666" s="123">
        <v>0</v>
      </c>
      <c r="N666" s="123">
        <v>0</v>
      </c>
      <c r="O666" s="123">
        <v>0</v>
      </c>
      <c r="P666" s="123">
        <v>0</v>
      </c>
      <c r="Q666" s="123">
        <v>0</v>
      </c>
      <c r="R666" s="123">
        <v>0</v>
      </c>
      <c r="S666" s="7" t="s">
        <v>162</v>
      </c>
      <c r="T666" s="124" t="s">
        <v>486</v>
      </c>
      <c r="U666" s="1"/>
    </row>
    <row r="667" spans="1:21" ht="13.5" thickBot="1" x14ac:dyDescent="0.25">
      <c r="A667" s="123">
        <v>22</v>
      </c>
      <c r="B667" s="123">
        <v>0</v>
      </c>
      <c r="C667" s="123">
        <v>22</v>
      </c>
      <c r="D667" s="123">
        <v>14</v>
      </c>
      <c r="E667" s="123">
        <v>0</v>
      </c>
      <c r="F667" s="123">
        <v>14</v>
      </c>
      <c r="G667" s="123">
        <v>5</v>
      </c>
      <c r="H667" s="123">
        <v>0</v>
      </c>
      <c r="I667" s="123">
        <v>5</v>
      </c>
      <c r="J667" s="123">
        <v>3</v>
      </c>
      <c r="K667" s="123">
        <v>0</v>
      </c>
      <c r="L667" s="123">
        <v>3</v>
      </c>
      <c r="M667" s="123">
        <v>0</v>
      </c>
      <c r="N667" s="123">
        <v>0</v>
      </c>
      <c r="O667" s="123">
        <v>0</v>
      </c>
      <c r="P667" s="123">
        <v>0</v>
      </c>
      <c r="Q667" s="123">
        <v>0</v>
      </c>
      <c r="R667" s="123">
        <v>0</v>
      </c>
      <c r="S667" s="7" t="s">
        <v>13</v>
      </c>
      <c r="T667" s="9"/>
      <c r="U667" s="1"/>
    </row>
    <row r="668" spans="1:21" ht="13.5" thickBot="1" x14ac:dyDescent="0.25">
      <c r="A668" s="123">
        <v>4</v>
      </c>
      <c r="B668" s="123">
        <v>0</v>
      </c>
      <c r="C668" s="123">
        <v>4</v>
      </c>
      <c r="D668" s="123">
        <v>0</v>
      </c>
      <c r="E668" s="123">
        <v>0</v>
      </c>
      <c r="F668" s="123">
        <v>0</v>
      </c>
      <c r="G668" s="123">
        <v>4</v>
      </c>
      <c r="H668" s="123">
        <v>0</v>
      </c>
      <c r="I668" s="123">
        <v>4</v>
      </c>
      <c r="J668" s="123">
        <v>0</v>
      </c>
      <c r="K668" s="123">
        <v>0</v>
      </c>
      <c r="L668" s="123">
        <v>0</v>
      </c>
      <c r="M668" s="123">
        <v>0</v>
      </c>
      <c r="N668" s="123">
        <v>0</v>
      </c>
      <c r="O668" s="123">
        <v>0</v>
      </c>
      <c r="P668" s="123">
        <v>0</v>
      </c>
      <c r="Q668" s="123">
        <v>0</v>
      </c>
      <c r="R668" s="123">
        <v>0</v>
      </c>
      <c r="S668" s="7" t="s">
        <v>163</v>
      </c>
      <c r="T668" s="124"/>
      <c r="U668" s="1"/>
    </row>
    <row r="669" spans="1:21" ht="13.5" thickBot="1" x14ac:dyDescent="0.25">
      <c r="A669" s="123">
        <v>1</v>
      </c>
      <c r="B669" s="123">
        <v>0</v>
      </c>
      <c r="C669" s="123">
        <v>1</v>
      </c>
      <c r="D669" s="123">
        <v>0</v>
      </c>
      <c r="E669" s="123">
        <v>0</v>
      </c>
      <c r="F669" s="123">
        <v>0</v>
      </c>
      <c r="G669" s="123">
        <v>0</v>
      </c>
      <c r="H669" s="123">
        <v>0</v>
      </c>
      <c r="I669" s="123">
        <v>0</v>
      </c>
      <c r="J669" s="123">
        <v>1</v>
      </c>
      <c r="K669" s="123">
        <v>0</v>
      </c>
      <c r="L669" s="123">
        <v>1</v>
      </c>
      <c r="M669" s="123">
        <v>0</v>
      </c>
      <c r="N669" s="123">
        <v>0</v>
      </c>
      <c r="O669" s="123">
        <v>0</v>
      </c>
      <c r="P669" s="123">
        <v>0</v>
      </c>
      <c r="Q669" s="123">
        <v>0</v>
      </c>
      <c r="R669" s="123">
        <v>0</v>
      </c>
      <c r="S669" s="7" t="s">
        <v>162</v>
      </c>
      <c r="T669" s="124" t="s">
        <v>365</v>
      </c>
      <c r="U669" s="1"/>
    </row>
    <row r="670" spans="1:21" ht="13.5" thickBot="1" x14ac:dyDescent="0.25">
      <c r="A670" s="123">
        <v>5</v>
      </c>
      <c r="B670" s="123">
        <v>0</v>
      </c>
      <c r="C670" s="123">
        <v>5</v>
      </c>
      <c r="D670" s="123">
        <v>0</v>
      </c>
      <c r="E670" s="123">
        <v>0</v>
      </c>
      <c r="F670" s="123">
        <v>0</v>
      </c>
      <c r="G670" s="123">
        <v>4</v>
      </c>
      <c r="H670" s="123">
        <v>0</v>
      </c>
      <c r="I670" s="123">
        <v>4</v>
      </c>
      <c r="J670" s="123">
        <v>1</v>
      </c>
      <c r="K670" s="123">
        <v>0</v>
      </c>
      <c r="L670" s="123">
        <v>1</v>
      </c>
      <c r="M670" s="123">
        <v>0</v>
      </c>
      <c r="N670" s="123">
        <v>0</v>
      </c>
      <c r="O670" s="123">
        <v>0</v>
      </c>
      <c r="P670" s="123">
        <v>0</v>
      </c>
      <c r="Q670" s="123">
        <v>0</v>
      </c>
      <c r="R670" s="123">
        <v>0</v>
      </c>
      <c r="S670" s="7" t="s">
        <v>13</v>
      </c>
      <c r="T670" s="9"/>
      <c r="U670" s="1"/>
    </row>
    <row r="671" spans="1:21" ht="13.5" thickBot="1" x14ac:dyDescent="0.25">
      <c r="A671" s="123">
        <v>73</v>
      </c>
      <c r="B671" s="123">
        <v>29</v>
      </c>
      <c r="C671" s="123">
        <v>44</v>
      </c>
      <c r="D671" s="123">
        <v>42</v>
      </c>
      <c r="E671" s="123">
        <v>16</v>
      </c>
      <c r="F671" s="123">
        <v>26</v>
      </c>
      <c r="G671" s="123">
        <v>13</v>
      </c>
      <c r="H671" s="123">
        <v>2</v>
      </c>
      <c r="I671" s="123">
        <v>11</v>
      </c>
      <c r="J671" s="123">
        <v>17</v>
      </c>
      <c r="K671" s="123">
        <v>11</v>
      </c>
      <c r="L671" s="123">
        <v>6</v>
      </c>
      <c r="M671" s="123">
        <v>0</v>
      </c>
      <c r="N671" s="123">
        <v>0</v>
      </c>
      <c r="O671" s="123">
        <v>0</v>
      </c>
      <c r="P671" s="123">
        <v>1</v>
      </c>
      <c r="Q671" s="123">
        <v>0</v>
      </c>
      <c r="R671" s="123">
        <v>1</v>
      </c>
      <c r="S671" s="7" t="s">
        <v>163</v>
      </c>
      <c r="T671" s="3"/>
      <c r="U671" s="1"/>
    </row>
    <row r="672" spans="1:21" ht="13.5" thickBot="1" x14ac:dyDescent="0.25">
      <c r="A672" s="123">
        <v>1</v>
      </c>
      <c r="B672" s="123">
        <v>0</v>
      </c>
      <c r="C672" s="123">
        <v>1</v>
      </c>
      <c r="D672" s="123">
        <v>0</v>
      </c>
      <c r="E672" s="123">
        <v>0</v>
      </c>
      <c r="F672" s="123">
        <v>0</v>
      </c>
      <c r="G672" s="123">
        <v>0</v>
      </c>
      <c r="H672" s="123">
        <v>0</v>
      </c>
      <c r="I672" s="123">
        <v>0</v>
      </c>
      <c r="J672" s="123">
        <v>1</v>
      </c>
      <c r="K672" s="123">
        <v>0</v>
      </c>
      <c r="L672" s="123">
        <v>1</v>
      </c>
      <c r="M672" s="123">
        <v>0</v>
      </c>
      <c r="N672" s="123">
        <v>0</v>
      </c>
      <c r="O672" s="123">
        <v>0</v>
      </c>
      <c r="P672" s="123">
        <v>0</v>
      </c>
      <c r="Q672" s="123">
        <v>0</v>
      </c>
      <c r="R672" s="123">
        <v>0</v>
      </c>
      <c r="S672" s="7" t="s">
        <v>162</v>
      </c>
      <c r="T672" s="11" t="s">
        <v>211</v>
      </c>
      <c r="U672" s="1"/>
    </row>
    <row r="673" spans="1:21" ht="13.5" thickBot="1" x14ac:dyDescent="0.25">
      <c r="A673" s="123">
        <v>74</v>
      </c>
      <c r="B673" s="123">
        <v>29</v>
      </c>
      <c r="C673" s="123">
        <v>45</v>
      </c>
      <c r="D673" s="123">
        <v>42</v>
      </c>
      <c r="E673" s="123">
        <v>16</v>
      </c>
      <c r="F673" s="123">
        <v>26</v>
      </c>
      <c r="G673" s="123">
        <v>13</v>
      </c>
      <c r="H673" s="123">
        <v>2</v>
      </c>
      <c r="I673" s="123">
        <v>11</v>
      </c>
      <c r="J673" s="123">
        <v>18</v>
      </c>
      <c r="K673" s="123">
        <v>11</v>
      </c>
      <c r="L673" s="123">
        <v>7</v>
      </c>
      <c r="M673" s="123">
        <v>0</v>
      </c>
      <c r="N673" s="123">
        <v>0</v>
      </c>
      <c r="O673" s="123">
        <v>0</v>
      </c>
      <c r="P673" s="123">
        <v>1</v>
      </c>
      <c r="Q673" s="123">
        <v>0</v>
      </c>
      <c r="R673" s="123">
        <v>1</v>
      </c>
      <c r="S673" s="7" t="s">
        <v>13</v>
      </c>
      <c r="T673" s="5"/>
      <c r="U673" s="1"/>
    </row>
    <row r="674" spans="1:21" ht="18" customHeight="1" x14ac:dyDescent="0.2">
      <c r="A674" s="207"/>
      <c r="B674" s="207"/>
      <c r="C674" s="207"/>
      <c r="D674" s="207"/>
      <c r="E674" s="207"/>
      <c r="F674" s="207"/>
      <c r="G674" s="207"/>
      <c r="H674" s="207"/>
      <c r="I674" s="207"/>
      <c r="J674" s="207"/>
      <c r="K674" s="207"/>
      <c r="L674" s="207"/>
      <c r="M674" s="207"/>
      <c r="N674" s="207"/>
      <c r="O674" s="207"/>
      <c r="P674" s="207"/>
      <c r="Q674" s="207"/>
      <c r="R674" s="207"/>
      <c r="S674" s="207"/>
      <c r="T674" s="207"/>
      <c r="U674" s="1"/>
    </row>
    <row r="675" spans="1:21" ht="18" customHeight="1" x14ac:dyDescent="0.2">
      <c r="A675" s="159" t="s">
        <v>665</v>
      </c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"/>
    </row>
    <row r="676" spans="1:21" ht="18" customHeight="1" thickBot="1" x14ac:dyDescent="0.25">
      <c r="A676" s="160" t="s">
        <v>667</v>
      </c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"/>
    </row>
    <row r="677" spans="1:21" ht="13.5" thickBot="1" x14ac:dyDescent="0.25">
      <c r="A677" s="204" t="s">
        <v>5</v>
      </c>
      <c r="B677" s="204"/>
      <c r="C677" s="204"/>
      <c r="D677" s="204" t="s">
        <v>57</v>
      </c>
      <c r="E677" s="204"/>
      <c r="F677" s="204"/>
      <c r="G677" s="204" t="s">
        <v>66</v>
      </c>
      <c r="H677" s="204"/>
      <c r="I677" s="204"/>
      <c r="J677" s="204" t="s">
        <v>65</v>
      </c>
      <c r="K677" s="204"/>
      <c r="L677" s="204"/>
      <c r="M677" s="204" t="s">
        <v>62</v>
      </c>
      <c r="N677" s="204"/>
      <c r="O677" s="204"/>
      <c r="P677" s="204" t="s">
        <v>61</v>
      </c>
      <c r="Q677" s="204"/>
      <c r="R677" s="204"/>
      <c r="S677" s="205" t="s">
        <v>614</v>
      </c>
      <c r="T677" s="47" t="s">
        <v>161</v>
      </c>
      <c r="U677" s="1"/>
    </row>
    <row r="678" spans="1:21" ht="13.5" thickBot="1" x14ac:dyDescent="0.25">
      <c r="A678" s="47" t="s">
        <v>216</v>
      </c>
      <c r="B678" s="47" t="s">
        <v>11</v>
      </c>
      <c r="C678" s="47" t="s">
        <v>10</v>
      </c>
      <c r="D678" s="47" t="s">
        <v>216</v>
      </c>
      <c r="E678" s="47" t="s">
        <v>11</v>
      </c>
      <c r="F678" s="47" t="s">
        <v>10</v>
      </c>
      <c r="G678" s="47" t="s">
        <v>216</v>
      </c>
      <c r="H678" s="47" t="s">
        <v>11</v>
      </c>
      <c r="I678" s="47" t="s">
        <v>10</v>
      </c>
      <c r="J678" s="47" t="s">
        <v>216</v>
      </c>
      <c r="K678" s="47" t="s">
        <v>11</v>
      </c>
      <c r="L678" s="47" t="s">
        <v>10</v>
      </c>
      <c r="M678" s="47" t="s">
        <v>216</v>
      </c>
      <c r="N678" s="47" t="s">
        <v>11</v>
      </c>
      <c r="O678" s="47" t="s">
        <v>10</v>
      </c>
      <c r="P678" s="47" t="s">
        <v>216</v>
      </c>
      <c r="Q678" s="47" t="s">
        <v>11</v>
      </c>
      <c r="R678" s="47" t="s">
        <v>10</v>
      </c>
      <c r="S678" s="206"/>
      <c r="T678" s="5" t="s">
        <v>120</v>
      </c>
      <c r="U678" s="1"/>
    </row>
    <row r="679" spans="1:21" ht="13.5" thickBot="1" x14ac:dyDescent="0.25">
      <c r="A679" s="123">
        <v>1</v>
      </c>
      <c r="B679" s="123">
        <v>0</v>
      </c>
      <c r="C679" s="123">
        <v>1</v>
      </c>
      <c r="D679" s="123">
        <v>0</v>
      </c>
      <c r="E679" s="123">
        <v>0</v>
      </c>
      <c r="F679" s="123">
        <v>0</v>
      </c>
      <c r="G679" s="123">
        <v>0</v>
      </c>
      <c r="H679" s="123">
        <v>0</v>
      </c>
      <c r="I679" s="123">
        <v>0</v>
      </c>
      <c r="J679" s="123">
        <v>1</v>
      </c>
      <c r="K679" s="123">
        <v>0</v>
      </c>
      <c r="L679" s="123">
        <v>1</v>
      </c>
      <c r="M679" s="123">
        <v>0</v>
      </c>
      <c r="N679" s="123">
        <v>0</v>
      </c>
      <c r="O679" s="123">
        <v>0</v>
      </c>
      <c r="P679" s="123">
        <v>0</v>
      </c>
      <c r="Q679" s="123">
        <v>0</v>
      </c>
      <c r="R679" s="123">
        <v>0</v>
      </c>
      <c r="S679" s="7" t="s">
        <v>163</v>
      </c>
      <c r="T679" s="124"/>
      <c r="U679" s="1"/>
    </row>
    <row r="680" spans="1:21" ht="13.5" thickBot="1" x14ac:dyDescent="0.25">
      <c r="A680" s="123">
        <v>1</v>
      </c>
      <c r="B680" s="123">
        <v>0</v>
      </c>
      <c r="C680" s="123">
        <v>1</v>
      </c>
      <c r="D680" s="123">
        <v>0</v>
      </c>
      <c r="E680" s="123">
        <v>0</v>
      </c>
      <c r="F680" s="123">
        <v>0</v>
      </c>
      <c r="G680" s="123">
        <v>0</v>
      </c>
      <c r="H680" s="123">
        <v>0</v>
      </c>
      <c r="I680" s="123">
        <v>0</v>
      </c>
      <c r="J680" s="123">
        <v>1</v>
      </c>
      <c r="K680" s="123">
        <v>0</v>
      </c>
      <c r="L680" s="123">
        <v>1</v>
      </c>
      <c r="M680" s="123">
        <v>0</v>
      </c>
      <c r="N680" s="123">
        <v>0</v>
      </c>
      <c r="O680" s="123">
        <v>0</v>
      </c>
      <c r="P680" s="123">
        <v>0</v>
      </c>
      <c r="Q680" s="123">
        <v>0</v>
      </c>
      <c r="R680" s="123">
        <v>0</v>
      </c>
      <c r="S680" s="7" t="s">
        <v>162</v>
      </c>
      <c r="T680" s="124" t="s">
        <v>359</v>
      </c>
      <c r="U680" s="1"/>
    </row>
    <row r="681" spans="1:21" ht="13.5" thickBot="1" x14ac:dyDescent="0.25">
      <c r="A681" s="123">
        <v>2</v>
      </c>
      <c r="B681" s="123">
        <v>0</v>
      </c>
      <c r="C681" s="123">
        <v>2</v>
      </c>
      <c r="D681" s="123">
        <v>0</v>
      </c>
      <c r="E681" s="123">
        <v>0</v>
      </c>
      <c r="F681" s="123">
        <v>0</v>
      </c>
      <c r="G681" s="123">
        <v>0</v>
      </c>
      <c r="H681" s="123">
        <v>0</v>
      </c>
      <c r="I681" s="123">
        <v>0</v>
      </c>
      <c r="J681" s="123">
        <v>2</v>
      </c>
      <c r="K681" s="123">
        <v>0</v>
      </c>
      <c r="L681" s="123">
        <v>2</v>
      </c>
      <c r="M681" s="123">
        <v>0</v>
      </c>
      <c r="N681" s="123">
        <v>0</v>
      </c>
      <c r="O681" s="123">
        <v>0</v>
      </c>
      <c r="P681" s="123">
        <v>0</v>
      </c>
      <c r="Q681" s="123">
        <v>0</v>
      </c>
      <c r="R681" s="123">
        <v>0</v>
      </c>
      <c r="S681" s="7" t="s">
        <v>13</v>
      </c>
      <c r="T681" s="9"/>
      <c r="U681" s="1"/>
    </row>
    <row r="682" spans="1:21" ht="13.5" thickBot="1" x14ac:dyDescent="0.25">
      <c r="A682" s="123">
        <v>4</v>
      </c>
      <c r="B682" s="123">
        <v>0</v>
      </c>
      <c r="C682" s="123">
        <v>4</v>
      </c>
      <c r="D682" s="123">
        <v>2</v>
      </c>
      <c r="E682" s="123">
        <v>0</v>
      </c>
      <c r="F682" s="123">
        <v>2</v>
      </c>
      <c r="G682" s="123">
        <v>1</v>
      </c>
      <c r="H682" s="123">
        <v>0</v>
      </c>
      <c r="I682" s="123">
        <v>1</v>
      </c>
      <c r="J682" s="123">
        <v>1</v>
      </c>
      <c r="K682" s="123">
        <v>0</v>
      </c>
      <c r="L682" s="123">
        <v>1</v>
      </c>
      <c r="M682" s="123">
        <v>0</v>
      </c>
      <c r="N682" s="123">
        <v>0</v>
      </c>
      <c r="O682" s="123">
        <v>0</v>
      </c>
      <c r="P682" s="123">
        <v>0</v>
      </c>
      <c r="Q682" s="123">
        <v>0</v>
      </c>
      <c r="R682" s="123">
        <v>0</v>
      </c>
      <c r="S682" s="7" t="s">
        <v>163</v>
      </c>
      <c r="T682" s="124"/>
      <c r="U682" s="1"/>
    </row>
    <row r="683" spans="1:21" ht="13.5" thickBot="1" x14ac:dyDescent="0.25">
      <c r="A683" s="123">
        <v>0</v>
      </c>
      <c r="B683" s="123">
        <v>0</v>
      </c>
      <c r="C683" s="123">
        <v>0</v>
      </c>
      <c r="D683" s="123">
        <v>0</v>
      </c>
      <c r="E683" s="123">
        <v>0</v>
      </c>
      <c r="F683" s="123">
        <v>0</v>
      </c>
      <c r="G683" s="123">
        <v>0</v>
      </c>
      <c r="H683" s="123">
        <v>0</v>
      </c>
      <c r="I683" s="123">
        <v>0</v>
      </c>
      <c r="J683" s="123">
        <v>0</v>
      </c>
      <c r="K683" s="123">
        <v>0</v>
      </c>
      <c r="L683" s="123">
        <v>0</v>
      </c>
      <c r="M683" s="123">
        <v>0</v>
      </c>
      <c r="N683" s="123">
        <v>0</v>
      </c>
      <c r="O683" s="123">
        <v>0</v>
      </c>
      <c r="P683" s="123">
        <v>0</v>
      </c>
      <c r="Q683" s="123">
        <v>0</v>
      </c>
      <c r="R683" s="123">
        <v>0</v>
      </c>
      <c r="S683" s="7" t="s">
        <v>162</v>
      </c>
      <c r="T683" s="124" t="s">
        <v>264</v>
      </c>
      <c r="U683" s="1"/>
    </row>
    <row r="684" spans="1:21" ht="13.5" thickBot="1" x14ac:dyDescent="0.25">
      <c r="A684" s="123">
        <v>4</v>
      </c>
      <c r="B684" s="123">
        <v>0</v>
      </c>
      <c r="C684" s="123">
        <v>4</v>
      </c>
      <c r="D684" s="123">
        <v>2</v>
      </c>
      <c r="E684" s="123">
        <v>0</v>
      </c>
      <c r="F684" s="123">
        <v>2</v>
      </c>
      <c r="G684" s="123">
        <v>1</v>
      </c>
      <c r="H684" s="123">
        <v>0</v>
      </c>
      <c r="I684" s="123">
        <v>1</v>
      </c>
      <c r="J684" s="123">
        <v>1</v>
      </c>
      <c r="K684" s="123">
        <v>0</v>
      </c>
      <c r="L684" s="123">
        <v>1</v>
      </c>
      <c r="M684" s="123">
        <v>0</v>
      </c>
      <c r="N684" s="123">
        <v>0</v>
      </c>
      <c r="O684" s="123">
        <v>0</v>
      </c>
      <c r="P684" s="123">
        <v>0</v>
      </c>
      <c r="Q684" s="123">
        <v>0</v>
      </c>
      <c r="R684" s="123">
        <v>0</v>
      </c>
      <c r="S684" s="7" t="s">
        <v>13</v>
      </c>
      <c r="T684" s="9"/>
      <c r="U684" s="1"/>
    </row>
    <row r="685" spans="1:21" ht="13.5" thickBot="1" x14ac:dyDescent="0.25">
      <c r="A685" s="123">
        <v>5</v>
      </c>
      <c r="B685" s="123">
        <v>0</v>
      </c>
      <c r="C685" s="123">
        <v>5</v>
      </c>
      <c r="D685" s="123">
        <v>0</v>
      </c>
      <c r="E685" s="123">
        <v>0</v>
      </c>
      <c r="F685" s="123">
        <v>0</v>
      </c>
      <c r="G685" s="123">
        <v>4</v>
      </c>
      <c r="H685" s="123">
        <v>0</v>
      </c>
      <c r="I685" s="123">
        <v>4</v>
      </c>
      <c r="J685" s="123">
        <v>0</v>
      </c>
      <c r="K685" s="123">
        <v>0</v>
      </c>
      <c r="L685" s="123">
        <v>0</v>
      </c>
      <c r="M685" s="123">
        <v>1</v>
      </c>
      <c r="N685" s="123">
        <v>0</v>
      </c>
      <c r="O685" s="123">
        <v>1</v>
      </c>
      <c r="P685" s="123">
        <v>0</v>
      </c>
      <c r="Q685" s="123">
        <v>0</v>
      </c>
      <c r="R685" s="123">
        <v>0</v>
      </c>
      <c r="S685" s="7" t="s">
        <v>163</v>
      </c>
      <c r="T685" s="124"/>
      <c r="U685" s="1"/>
    </row>
    <row r="686" spans="1:21" ht="13.5" thickBot="1" x14ac:dyDescent="0.25">
      <c r="A686" s="123">
        <v>0</v>
      </c>
      <c r="B686" s="123">
        <v>0</v>
      </c>
      <c r="C686" s="123">
        <v>0</v>
      </c>
      <c r="D686" s="123">
        <v>0</v>
      </c>
      <c r="E686" s="123">
        <v>0</v>
      </c>
      <c r="F686" s="123">
        <v>0</v>
      </c>
      <c r="G686" s="123">
        <v>0</v>
      </c>
      <c r="H686" s="123">
        <v>0</v>
      </c>
      <c r="I686" s="123">
        <v>0</v>
      </c>
      <c r="J686" s="123">
        <v>0</v>
      </c>
      <c r="K686" s="123">
        <v>0</v>
      </c>
      <c r="L686" s="123">
        <v>0</v>
      </c>
      <c r="M686" s="123">
        <v>0</v>
      </c>
      <c r="N686" s="123">
        <v>0</v>
      </c>
      <c r="O686" s="123">
        <v>0</v>
      </c>
      <c r="P686" s="123">
        <v>0</v>
      </c>
      <c r="Q686" s="123">
        <v>0</v>
      </c>
      <c r="R686" s="123">
        <v>0</v>
      </c>
      <c r="S686" s="7" t="s">
        <v>162</v>
      </c>
      <c r="T686" s="124" t="s">
        <v>377</v>
      </c>
      <c r="U686" s="1"/>
    </row>
    <row r="687" spans="1:21" ht="13.5" thickBot="1" x14ac:dyDescent="0.25">
      <c r="A687" s="123">
        <v>5</v>
      </c>
      <c r="B687" s="123">
        <v>0</v>
      </c>
      <c r="C687" s="123">
        <v>5</v>
      </c>
      <c r="D687" s="123">
        <v>0</v>
      </c>
      <c r="E687" s="123">
        <v>0</v>
      </c>
      <c r="F687" s="123">
        <v>0</v>
      </c>
      <c r="G687" s="123">
        <v>4</v>
      </c>
      <c r="H687" s="123">
        <v>0</v>
      </c>
      <c r="I687" s="123">
        <v>4</v>
      </c>
      <c r="J687" s="123">
        <v>0</v>
      </c>
      <c r="K687" s="123">
        <v>0</v>
      </c>
      <c r="L687" s="123">
        <v>0</v>
      </c>
      <c r="M687" s="123">
        <v>1</v>
      </c>
      <c r="N687" s="123">
        <v>0</v>
      </c>
      <c r="O687" s="123">
        <v>1</v>
      </c>
      <c r="P687" s="123">
        <v>0</v>
      </c>
      <c r="Q687" s="123">
        <v>0</v>
      </c>
      <c r="R687" s="123">
        <v>0</v>
      </c>
      <c r="S687" s="7" t="s">
        <v>13</v>
      </c>
      <c r="T687" s="9"/>
      <c r="U687" s="1"/>
    </row>
    <row r="688" spans="1:21" ht="13.5" thickBot="1" x14ac:dyDescent="0.25">
      <c r="A688" s="123">
        <v>11</v>
      </c>
      <c r="B688" s="123">
        <v>0</v>
      </c>
      <c r="C688" s="123">
        <v>11</v>
      </c>
      <c r="D688" s="123">
        <v>0</v>
      </c>
      <c r="E688" s="123">
        <v>0</v>
      </c>
      <c r="F688" s="123">
        <v>0</v>
      </c>
      <c r="G688" s="123">
        <v>6</v>
      </c>
      <c r="H688" s="123">
        <v>0</v>
      </c>
      <c r="I688" s="123">
        <v>6</v>
      </c>
      <c r="J688" s="123">
        <v>5</v>
      </c>
      <c r="K688" s="123">
        <v>0</v>
      </c>
      <c r="L688" s="123">
        <v>5</v>
      </c>
      <c r="M688" s="123">
        <v>0</v>
      </c>
      <c r="N688" s="123">
        <v>0</v>
      </c>
      <c r="O688" s="123">
        <v>0</v>
      </c>
      <c r="P688" s="123">
        <v>0</v>
      </c>
      <c r="Q688" s="123">
        <v>0</v>
      </c>
      <c r="R688" s="123">
        <v>0</v>
      </c>
      <c r="S688" s="7" t="s">
        <v>163</v>
      </c>
      <c r="T688" s="124"/>
      <c r="U688" s="1"/>
    </row>
    <row r="689" spans="1:21" ht="13.5" thickBot="1" x14ac:dyDescent="0.25">
      <c r="A689" s="123">
        <v>0</v>
      </c>
      <c r="B689" s="123">
        <v>0</v>
      </c>
      <c r="C689" s="123">
        <v>0</v>
      </c>
      <c r="D689" s="123">
        <v>0</v>
      </c>
      <c r="E689" s="123">
        <v>0</v>
      </c>
      <c r="F689" s="123">
        <v>0</v>
      </c>
      <c r="G689" s="123">
        <v>0</v>
      </c>
      <c r="H689" s="123">
        <v>0</v>
      </c>
      <c r="I689" s="123">
        <v>0</v>
      </c>
      <c r="J689" s="123">
        <v>0</v>
      </c>
      <c r="K689" s="123">
        <v>0</v>
      </c>
      <c r="L689" s="123">
        <v>0</v>
      </c>
      <c r="M689" s="123">
        <v>0</v>
      </c>
      <c r="N689" s="123">
        <v>0</v>
      </c>
      <c r="O689" s="123">
        <v>0</v>
      </c>
      <c r="P689" s="123">
        <v>0</v>
      </c>
      <c r="Q689" s="123">
        <v>0</v>
      </c>
      <c r="R689" s="123">
        <v>0</v>
      </c>
      <c r="S689" s="7" t="s">
        <v>162</v>
      </c>
      <c r="T689" s="124" t="s">
        <v>119</v>
      </c>
      <c r="U689" s="1"/>
    </row>
    <row r="690" spans="1:21" ht="13.5" thickBot="1" x14ac:dyDescent="0.25">
      <c r="A690" s="123">
        <v>11</v>
      </c>
      <c r="B690" s="123">
        <v>0</v>
      </c>
      <c r="C690" s="123">
        <v>11</v>
      </c>
      <c r="D690" s="123">
        <v>0</v>
      </c>
      <c r="E690" s="123">
        <v>0</v>
      </c>
      <c r="F690" s="123">
        <v>0</v>
      </c>
      <c r="G690" s="123">
        <v>6</v>
      </c>
      <c r="H690" s="123">
        <v>0</v>
      </c>
      <c r="I690" s="123">
        <v>6</v>
      </c>
      <c r="J690" s="123">
        <v>5</v>
      </c>
      <c r="K690" s="123">
        <v>0</v>
      </c>
      <c r="L690" s="123">
        <v>5</v>
      </c>
      <c r="M690" s="123">
        <v>0</v>
      </c>
      <c r="N690" s="123">
        <v>0</v>
      </c>
      <c r="O690" s="123">
        <v>0</v>
      </c>
      <c r="P690" s="123">
        <v>0</v>
      </c>
      <c r="Q690" s="123">
        <v>0</v>
      </c>
      <c r="R690" s="123">
        <v>0</v>
      </c>
      <c r="S690" s="7" t="s">
        <v>13</v>
      </c>
      <c r="T690" s="9"/>
      <c r="U690" s="1"/>
    </row>
    <row r="691" spans="1:21" ht="13.5" thickBot="1" x14ac:dyDescent="0.25">
      <c r="A691" s="123">
        <v>73</v>
      </c>
      <c r="B691" s="123">
        <v>72</v>
      </c>
      <c r="C691" s="123">
        <v>1</v>
      </c>
      <c r="D691" s="123">
        <v>0</v>
      </c>
      <c r="E691" s="123">
        <v>0</v>
      </c>
      <c r="F691" s="123">
        <v>0</v>
      </c>
      <c r="G691" s="123">
        <v>22</v>
      </c>
      <c r="H691" s="123">
        <v>22</v>
      </c>
      <c r="I691" s="123">
        <v>0</v>
      </c>
      <c r="J691" s="123">
        <v>51</v>
      </c>
      <c r="K691" s="123">
        <v>50</v>
      </c>
      <c r="L691" s="123">
        <v>1</v>
      </c>
      <c r="M691" s="123">
        <v>0</v>
      </c>
      <c r="N691" s="123">
        <v>0</v>
      </c>
      <c r="O691" s="123">
        <v>0</v>
      </c>
      <c r="P691" s="123">
        <v>0</v>
      </c>
      <c r="Q691" s="123">
        <v>0</v>
      </c>
      <c r="R691" s="123">
        <v>0</v>
      </c>
      <c r="S691" s="7" t="s">
        <v>163</v>
      </c>
      <c r="T691" s="124"/>
      <c r="U691" s="1"/>
    </row>
    <row r="692" spans="1:21" ht="13.5" thickBot="1" x14ac:dyDescent="0.25">
      <c r="A692" s="123">
        <v>0</v>
      </c>
      <c r="B692" s="123">
        <v>0</v>
      </c>
      <c r="C692" s="123">
        <v>0</v>
      </c>
      <c r="D692" s="123">
        <v>0</v>
      </c>
      <c r="E692" s="123">
        <v>0</v>
      </c>
      <c r="F692" s="123">
        <v>0</v>
      </c>
      <c r="G692" s="123">
        <v>0</v>
      </c>
      <c r="H692" s="123">
        <v>0</v>
      </c>
      <c r="I692" s="123">
        <v>0</v>
      </c>
      <c r="J692" s="123">
        <v>0</v>
      </c>
      <c r="K692" s="123">
        <v>0</v>
      </c>
      <c r="L692" s="123">
        <v>0</v>
      </c>
      <c r="M692" s="123">
        <v>0</v>
      </c>
      <c r="N692" s="123">
        <v>0</v>
      </c>
      <c r="O692" s="123">
        <v>0</v>
      </c>
      <c r="P692" s="123">
        <v>0</v>
      </c>
      <c r="Q692" s="123">
        <v>0</v>
      </c>
      <c r="R692" s="123">
        <v>0</v>
      </c>
      <c r="S692" s="7" t="s">
        <v>162</v>
      </c>
      <c r="T692" s="124" t="s">
        <v>488</v>
      </c>
      <c r="U692" s="1"/>
    </row>
    <row r="693" spans="1:21" ht="13.5" thickBot="1" x14ac:dyDescent="0.25">
      <c r="A693" s="123">
        <v>73</v>
      </c>
      <c r="B693" s="123">
        <v>72</v>
      </c>
      <c r="C693" s="123">
        <v>1</v>
      </c>
      <c r="D693" s="123">
        <v>0</v>
      </c>
      <c r="E693" s="123">
        <v>0</v>
      </c>
      <c r="F693" s="123">
        <v>0</v>
      </c>
      <c r="G693" s="123">
        <v>22</v>
      </c>
      <c r="H693" s="123">
        <v>22</v>
      </c>
      <c r="I693" s="123">
        <v>0</v>
      </c>
      <c r="J693" s="123">
        <v>51</v>
      </c>
      <c r="K693" s="123">
        <v>50</v>
      </c>
      <c r="L693" s="123">
        <v>1</v>
      </c>
      <c r="M693" s="123">
        <v>0</v>
      </c>
      <c r="N693" s="123">
        <v>0</v>
      </c>
      <c r="O693" s="123">
        <v>0</v>
      </c>
      <c r="P693" s="123">
        <v>0</v>
      </c>
      <c r="Q693" s="123">
        <v>0</v>
      </c>
      <c r="R693" s="123">
        <v>0</v>
      </c>
      <c r="S693" s="7" t="s">
        <v>13</v>
      </c>
      <c r="T693" s="9"/>
      <c r="U693" s="1"/>
    </row>
    <row r="694" spans="1:21" ht="13.5" thickBot="1" x14ac:dyDescent="0.25">
      <c r="A694" s="123">
        <v>12</v>
      </c>
      <c r="B694" s="123">
        <v>0</v>
      </c>
      <c r="C694" s="123">
        <v>12</v>
      </c>
      <c r="D694" s="123">
        <v>12</v>
      </c>
      <c r="E694" s="123">
        <v>0</v>
      </c>
      <c r="F694" s="123">
        <v>12</v>
      </c>
      <c r="G694" s="123">
        <v>0</v>
      </c>
      <c r="H694" s="123">
        <v>0</v>
      </c>
      <c r="I694" s="123">
        <v>0</v>
      </c>
      <c r="J694" s="123">
        <v>0</v>
      </c>
      <c r="K694" s="123">
        <v>0</v>
      </c>
      <c r="L694" s="123">
        <v>0</v>
      </c>
      <c r="M694" s="123">
        <v>0</v>
      </c>
      <c r="N694" s="123">
        <v>0</v>
      </c>
      <c r="O694" s="123">
        <v>0</v>
      </c>
      <c r="P694" s="123">
        <v>0</v>
      </c>
      <c r="Q694" s="123">
        <v>0</v>
      </c>
      <c r="R694" s="123">
        <v>0</v>
      </c>
      <c r="S694" s="7" t="s">
        <v>163</v>
      </c>
      <c r="T694" s="124"/>
      <c r="U694" s="1"/>
    </row>
    <row r="695" spans="1:21" ht="13.5" thickBot="1" x14ac:dyDescent="0.25">
      <c r="A695" s="123">
        <v>0</v>
      </c>
      <c r="B695" s="123">
        <v>0</v>
      </c>
      <c r="C695" s="123">
        <v>0</v>
      </c>
      <c r="D695" s="123">
        <v>0</v>
      </c>
      <c r="E695" s="123">
        <v>0</v>
      </c>
      <c r="F695" s="123">
        <v>0</v>
      </c>
      <c r="G695" s="123">
        <v>0</v>
      </c>
      <c r="H695" s="123">
        <v>0</v>
      </c>
      <c r="I695" s="123">
        <v>0</v>
      </c>
      <c r="J695" s="123">
        <v>0</v>
      </c>
      <c r="K695" s="123">
        <v>0</v>
      </c>
      <c r="L695" s="123">
        <v>0</v>
      </c>
      <c r="M695" s="123">
        <v>0</v>
      </c>
      <c r="N695" s="123">
        <v>0</v>
      </c>
      <c r="O695" s="123">
        <v>0</v>
      </c>
      <c r="P695" s="123">
        <v>0</v>
      </c>
      <c r="Q695" s="123">
        <v>0</v>
      </c>
      <c r="R695" s="123">
        <v>0</v>
      </c>
      <c r="S695" s="7" t="s">
        <v>162</v>
      </c>
      <c r="T695" s="124" t="s">
        <v>270</v>
      </c>
      <c r="U695" s="1"/>
    </row>
    <row r="696" spans="1:21" ht="13.5" thickBot="1" x14ac:dyDescent="0.25">
      <c r="A696" s="123">
        <v>12</v>
      </c>
      <c r="B696" s="123">
        <v>0</v>
      </c>
      <c r="C696" s="123">
        <v>12</v>
      </c>
      <c r="D696" s="123">
        <v>12</v>
      </c>
      <c r="E696" s="123">
        <v>0</v>
      </c>
      <c r="F696" s="123">
        <v>12</v>
      </c>
      <c r="G696" s="123">
        <v>0</v>
      </c>
      <c r="H696" s="123">
        <v>0</v>
      </c>
      <c r="I696" s="123">
        <v>0</v>
      </c>
      <c r="J696" s="123">
        <v>0</v>
      </c>
      <c r="K696" s="123">
        <v>0</v>
      </c>
      <c r="L696" s="123">
        <v>0</v>
      </c>
      <c r="M696" s="123">
        <v>0</v>
      </c>
      <c r="N696" s="123">
        <v>0</v>
      </c>
      <c r="O696" s="123">
        <v>0</v>
      </c>
      <c r="P696" s="123">
        <v>0</v>
      </c>
      <c r="Q696" s="123">
        <v>0</v>
      </c>
      <c r="R696" s="123">
        <v>0</v>
      </c>
      <c r="S696" s="7" t="s">
        <v>13</v>
      </c>
      <c r="T696" s="9"/>
      <c r="U696" s="1"/>
    </row>
    <row r="697" spans="1:21" ht="13.5" thickBot="1" x14ac:dyDescent="0.25">
      <c r="A697" s="123">
        <v>20</v>
      </c>
      <c r="B697" s="123">
        <v>20</v>
      </c>
      <c r="C697" s="123">
        <v>0</v>
      </c>
      <c r="D697" s="123">
        <v>14</v>
      </c>
      <c r="E697" s="123">
        <v>14</v>
      </c>
      <c r="F697" s="123">
        <v>0</v>
      </c>
      <c r="G697" s="123">
        <v>3</v>
      </c>
      <c r="H697" s="123">
        <v>3</v>
      </c>
      <c r="I697" s="123">
        <v>0</v>
      </c>
      <c r="J697" s="123">
        <v>3</v>
      </c>
      <c r="K697" s="123">
        <v>3</v>
      </c>
      <c r="L697" s="123">
        <v>0</v>
      </c>
      <c r="M697" s="123">
        <v>0</v>
      </c>
      <c r="N697" s="123">
        <v>0</v>
      </c>
      <c r="O697" s="123">
        <v>0</v>
      </c>
      <c r="P697" s="123">
        <v>0</v>
      </c>
      <c r="Q697" s="123">
        <v>0</v>
      </c>
      <c r="R697" s="123">
        <v>0</v>
      </c>
      <c r="S697" s="7" t="s">
        <v>163</v>
      </c>
      <c r="T697" s="124"/>
      <c r="U697" s="1"/>
    </row>
    <row r="698" spans="1:21" ht="13.5" thickBot="1" x14ac:dyDescent="0.25">
      <c r="A698" s="123">
        <v>0</v>
      </c>
      <c r="B698" s="123">
        <v>0</v>
      </c>
      <c r="C698" s="123">
        <v>0</v>
      </c>
      <c r="D698" s="123">
        <v>0</v>
      </c>
      <c r="E698" s="123">
        <v>0</v>
      </c>
      <c r="F698" s="123">
        <v>0</v>
      </c>
      <c r="G698" s="123">
        <v>0</v>
      </c>
      <c r="H698" s="123">
        <v>0</v>
      </c>
      <c r="I698" s="123">
        <v>0</v>
      </c>
      <c r="J698" s="123">
        <v>0</v>
      </c>
      <c r="K698" s="123">
        <v>0</v>
      </c>
      <c r="L698" s="123">
        <v>0</v>
      </c>
      <c r="M698" s="123">
        <v>0</v>
      </c>
      <c r="N698" s="123">
        <v>0</v>
      </c>
      <c r="O698" s="123">
        <v>0</v>
      </c>
      <c r="P698" s="123">
        <v>0</v>
      </c>
      <c r="Q698" s="123">
        <v>0</v>
      </c>
      <c r="R698" s="123">
        <v>0</v>
      </c>
      <c r="S698" s="7" t="s">
        <v>162</v>
      </c>
      <c r="T698" s="124" t="s">
        <v>489</v>
      </c>
      <c r="U698" s="1"/>
    </row>
    <row r="699" spans="1:21" ht="13.5" thickBot="1" x14ac:dyDescent="0.25">
      <c r="A699" s="123">
        <v>20</v>
      </c>
      <c r="B699" s="123">
        <v>20</v>
      </c>
      <c r="C699" s="123">
        <v>0</v>
      </c>
      <c r="D699" s="123">
        <v>14</v>
      </c>
      <c r="E699" s="123">
        <v>14</v>
      </c>
      <c r="F699" s="123">
        <v>0</v>
      </c>
      <c r="G699" s="123">
        <v>3</v>
      </c>
      <c r="H699" s="123">
        <v>3</v>
      </c>
      <c r="I699" s="123">
        <v>0</v>
      </c>
      <c r="J699" s="123">
        <v>3</v>
      </c>
      <c r="K699" s="123">
        <v>3</v>
      </c>
      <c r="L699" s="123">
        <v>0</v>
      </c>
      <c r="M699" s="123">
        <v>0</v>
      </c>
      <c r="N699" s="123">
        <v>0</v>
      </c>
      <c r="O699" s="123">
        <v>0</v>
      </c>
      <c r="P699" s="123">
        <v>0</v>
      </c>
      <c r="Q699" s="123">
        <v>0</v>
      </c>
      <c r="R699" s="123">
        <v>0</v>
      </c>
      <c r="S699" s="7" t="s">
        <v>13</v>
      </c>
      <c r="T699" s="9"/>
      <c r="U699" s="1"/>
    </row>
    <row r="700" spans="1:21" ht="13.5" thickBot="1" x14ac:dyDescent="0.25">
      <c r="A700" s="123">
        <v>8</v>
      </c>
      <c r="B700" s="123">
        <v>8</v>
      </c>
      <c r="C700" s="123">
        <v>0</v>
      </c>
      <c r="D700" s="123">
        <v>1</v>
      </c>
      <c r="E700" s="123">
        <v>1</v>
      </c>
      <c r="F700" s="123">
        <v>0</v>
      </c>
      <c r="G700" s="123">
        <v>5</v>
      </c>
      <c r="H700" s="123">
        <v>5</v>
      </c>
      <c r="I700" s="123">
        <v>0</v>
      </c>
      <c r="J700" s="123">
        <v>2</v>
      </c>
      <c r="K700" s="123">
        <v>2</v>
      </c>
      <c r="L700" s="123">
        <v>0</v>
      </c>
      <c r="M700" s="123">
        <v>0</v>
      </c>
      <c r="N700" s="123">
        <v>0</v>
      </c>
      <c r="O700" s="123">
        <v>0</v>
      </c>
      <c r="P700" s="123">
        <v>0</v>
      </c>
      <c r="Q700" s="123">
        <v>0</v>
      </c>
      <c r="R700" s="123">
        <v>0</v>
      </c>
      <c r="S700" s="7" t="s">
        <v>163</v>
      </c>
      <c r="T700" s="124"/>
      <c r="U700" s="1"/>
    </row>
    <row r="701" spans="1:21" ht="13.5" thickBot="1" x14ac:dyDescent="0.25">
      <c r="A701" s="123">
        <v>0</v>
      </c>
      <c r="B701" s="123">
        <v>0</v>
      </c>
      <c r="C701" s="123">
        <v>0</v>
      </c>
      <c r="D701" s="123">
        <v>0</v>
      </c>
      <c r="E701" s="123">
        <v>0</v>
      </c>
      <c r="F701" s="123">
        <v>0</v>
      </c>
      <c r="G701" s="123">
        <v>0</v>
      </c>
      <c r="H701" s="123">
        <v>0</v>
      </c>
      <c r="I701" s="123">
        <v>0</v>
      </c>
      <c r="J701" s="123">
        <v>0</v>
      </c>
      <c r="K701" s="123">
        <v>0</v>
      </c>
      <c r="L701" s="123">
        <v>0</v>
      </c>
      <c r="M701" s="123">
        <v>0</v>
      </c>
      <c r="N701" s="123">
        <v>0</v>
      </c>
      <c r="O701" s="123">
        <v>0</v>
      </c>
      <c r="P701" s="123">
        <v>0</v>
      </c>
      <c r="Q701" s="123">
        <v>0</v>
      </c>
      <c r="R701" s="123">
        <v>0</v>
      </c>
      <c r="S701" s="7" t="s">
        <v>162</v>
      </c>
      <c r="T701" s="124" t="s">
        <v>271</v>
      </c>
      <c r="U701" s="1"/>
    </row>
    <row r="702" spans="1:21" ht="13.5" thickBot="1" x14ac:dyDescent="0.25">
      <c r="A702" s="123">
        <v>8</v>
      </c>
      <c r="B702" s="123">
        <v>8</v>
      </c>
      <c r="C702" s="123">
        <v>0</v>
      </c>
      <c r="D702" s="123">
        <v>1</v>
      </c>
      <c r="E702" s="123">
        <v>1</v>
      </c>
      <c r="F702" s="123">
        <v>0</v>
      </c>
      <c r="G702" s="123">
        <v>5</v>
      </c>
      <c r="H702" s="123">
        <v>5</v>
      </c>
      <c r="I702" s="123">
        <v>0</v>
      </c>
      <c r="J702" s="123">
        <v>2</v>
      </c>
      <c r="K702" s="123">
        <v>2</v>
      </c>
      <c r="L702" s="123">
        <v>0</v>
      </c>
      <c r="M702" s="123">
        <v>0</v>
      </c>
      <c r="N702" s="123">
        <v>0</v>
      </c>
      <c r="O702" s="123">
        <v>0</v>
      </c>
      <c r="P702" s="123">
        <v>0</v>
      </c>
      <c r="Q702" s="123">
        <v>0</v>
      </c>
      <c r="R702" s="123">
        <v>0</v>
      </c>
      <c r="S702" s="7" t="s">
        <v>13</v>
      </c>
      <c r="T702" s="9"/>
      <c r="U702" s="1"/>
    </row>
    <row r="703" spans="1:21" ht="13.5" thickBot="1" x14ac:dyDescent="0.25">
      <c r="A703" s="123">
        <v>12</v>
      </c>
      <c r="B703" s="123">
        <v>0</v>
      </c>
      <c r="C703" s="123">
        <v>12</v>
      </c>
      <c r="D703" s="123">
        <v>11</v>
      </c>
      <c r="E703" s="123">
        <v>0</v>
      </c>
      <c r="F703" s="123">
        <v>11</v>
      </c>
      <c r="G703" s="123">
        <v>0</v>
      </c>
      <c r="H703" s="123">
        <v>0</v>
      </c>
      <c r="I703" s="123">
        <v>0</v>
      </c>
      <c r="J703" s="123">
        <v>0</v>
      </c>
      <c r="K703" s="123">
        <v>0</v>
      </c>
      <c r="L703" s="123">
        <v>0</v>
      </c>
      <c r="M703" s="123">
        <v>0</v>
      </c>
      <c r="N703" s="123">
        <v>0</v>
      </c>
      <c r="O703" s="123">
        <v>0</v>
      </c>
      <c r="P703" s="123">
        <v>1</v>
      </c>
      <c r="Q703" s="123">
        <v>0</v>
      </c>
      <c r="R703" s="123">
        <v>1</v>
      </c>
      <c r="S703" s="7" t="s">
        <v>163</v>
      </c>
      <c r="T703" s="124"/>
      <c r="U703" s="1"/>
    </row>
    <row r="704" spans="1:21" ht="13.5" thickBot="1" x14ac:dyDescent="0.25">
      <c r="A704" s="123">
        <v>0</v>
      </c>
      <c r="B704" s="123">
        <v>0</v>
      </c>
      <c r="C704" s="123">
        <v>0</v>
      </c>
      <c r="D704" s="123">
        <v>0</v>
      </c>
      <c r="E704" s="123">
        <v>0</v>
      </c>
      <c r="F704" s="123">
        <v>0</v>
      </c>
      <c r="G704" s="123">
        <v>0</v>
      </c>
      <c r="H704" s="123">
        <v>0</v>
      </c>
      <c r="I704" s="123">
        <v>0</v>
      </c>
      <c r="J704" s="123">
        <v>0</v>
      </c>
      <c r="K704" s="123">
        <v>0</v>
      </c>
      <c r="L704" s="123">
        <v>0</v>
      </c>
      <c r="M704" s="123">
        <v>0</v>
      </c>
      <c r="N704" s="123">
        <v>0</v>
      </c>
      <c r="O704" s="123">
        <v>0</v>
      </c>
      <c r="P704" s="123">
        <v>0</v>
      </c>
      <c r="Q704" s="123">
        <v>0</v>
      </c>
      <c r="R704" s="123">
        <v>0</v>
      </c>
      <c r="S704" s="7" t="s">
        <v>162</v>
      </c>
      <c r="T704" s="124" t="s">
        <v>596</v>
      </c>
      <c r="U704" s="1"/>
    </row>
    <row r="705" spans="1:21" ht="13.5" thickBot="1" x14ac:dyDescent="0.25">
      <c r="A705" s="123">
        <v>12</v>
      </c>
      <c r="B705" s="123">
        <v>0</v>
      </c>
      <c r="C705" s="123">
        <v>12</v>
      </c>
      <c r="D705" s="123">
        <v>11</v>
      </c>
      <c r="E705" s="123">
        <v>0</v>
      </c>
      <c r="F705" s="123">
        <v>11</v>
      </c>
      <c r="G705" s="123">
        <v>0</v>
      </c>
      <c r="H705" s="123">
        <v>0</v>
      </c>
      <c r="I705" s="123">
        <v>0</v>
      </c>
      <c r="J705" s="123">
        <v>0</v>
      </c>
      <c r="K705" s="123">
        <v>0</v>
      </c>
      <c r="L705" s="123">
        <v>0</v>
      </c>
      <c r="M705" s="123">
        <v>0</v>
      </c>
      <c r="N705" s="123">
        <v>0</v>
      </c>
      <c r="O705" s="123">
        <v>0</v>
      </c>
      <c r="P705" s="123">
        <v>1</v>
      </c>
      <c r="Q705" s="123">
        <v>0</v>
      </c>
      <c r="R705" s="123">
        <v>1</v>
      </c>
      <c r="S705" s="7" t="s">
        <v>13</v>
      </c>
      <c r="T705" s="9"/>
      <c r="U705" s="1"/>
    </row>
    <row r="706" spans="1:21" ht="13.5" thickBot="1" x14ac:dyDescent="0.25">
      <c r="A706" s="123">
        <v>20</v>
      </c>
      <c r="B706" s="123">
        <v>14</v>
      </c>
      <c r="C706" s="123">
        <v>6</v>
      </c>
      <c r="D706" s="123">
        <v>5</v>
      </c>
      <c r="E706" s="123">
        <v>5</v>
      </c>
      <c r="F706" s="123">
        <v>0</v>
      </c>
      <c r="G706" s="123">
        <v>9</v>
      </c>
      <c r="H706" s="123">
        <v>9</v>
      </c>
      <c r="I706" s="123">
        <v>0</v>
      </c>
      <c r="J706" s="123">
        <v>6</v>
      </c>
      <c r="K706" s="123">
        <v>0</v>
      </c>
      <c r="L706" s="123">
        <v>6</v>
      </c>
      <c r="M706" s="123">
        <v>0</v>
      </c>
      <c r="N706" s="123">
        <v>0</v>
      </c>
      <c r="O706" s="123">
        <v>0</v>
      </c>
      <c r="P706" s="123">
        <v>0</v>
      </c>
      <c r="Q706" s="123">
        <v>0</v>
      </c>
      <c r="R706" s="123">
        <v>0</v>
      </c>
      <c r="S706" s="7" t="s">
        <v>163</v>
      </c>
      <c r="T706" s="124"/>
      <c r="U706" s="1"/>
    </row>
    <row r="707" spans="1:21" ht="13.5" thickBot="1" x14ac:dyDescent="0.25">
      <c r="A707" s="123">
        <v>4</v>
      </c>
      <c r="B707" s="123">
        <v>1</v>
      </c>
      <c r="C707" s="123">
        <v>3</v>
      </c>
      <c r="D707" s="123">
        <v>0</v>
      </c>
      <c r="E707" s="123">
        <v>0</v>
      </c>
      <c r="F707" s="123">
        <v>0</v>
      </c>
      <c r="G707" s="123">
        <v>1</v>
      </c>
      <c r="H707" s="123">
        <v>1</v>
      </c>
      <c r="I707" s="123">
        <v>0</v>
      </c>
      <c r="J707" s="123">
        <v>3</v>
      </c>
      <c r="K707" s="123">
        <v>0</v>
      </c>
      <c r="L707" s="123">
        <v>3</v>
      </c>
      <c r="M707" s="123">
        <v>0</v>
      </c>
      <c r="N707" s="123">
        <v>0</v>
      </c>
      <c r="O707" s="123">
        <v>0</v>
      </c>
      <c r="P707" s="123">
        <v>0</v>
      </c>
      <c r="Q707" s="123">
        <v>0</v>
      </c>
      <c r="R707" s="123">
        <v>0</v>
      </c>
      <c r="S707" s="7" t="s">
        <v>162</v>
      </c>
      <c r="T707" s="124" t="s">
        <v>273</v>
      </c>
      <c r="U707" s="1"/>
    </row>
    <row r="708" spans="1:21" ht="13.5" thickBot="1" x14ac:dyDescent="0.25">
      <c r="A708" s="123">
        <v>24</v>
      </c>
      <c r="B708" s="123">
        <v>15</v>
      </c>
      <c r="C708" s="123">
        <v>9</v>
      </c>
      <c r="D708" s="123">
        <v>5</v>
      </c>
      <c r="E708" s="123">
        <v>5</v>
      </c>
      <c r="F708" s="123">
        <v>0</v>
      </c>
      <c r="G708" s="123">
        <v>10</v>
      </c>
      <c r="H708" s="123">
        <v>10</v>
      </c>
      <c r="I708" s="123">
        <v>0</v>
      </c>
      <c r="J708" s="123">
        <v>9</v>
      </c>
      <c r="K708" s="123">
        <v>0</v>
      </c>
      <c r="L708" s="123">
        <v>9</v>
      </c>
      <c r="M708" s="123">
        <v>0</v>
      </c>
      <c r="N708" s="123">
        <v>0</v>
      </c>
      <c r="O708" s="123">
        <v>0</v>
      </c>
      <c r="P708" s="123">
        <v>0</v>
      </c>
      <c r="Q708" s="123">
        <v>0</v>
      </c>
      <c r="R708" s="123">
        <v>0</v>
      </c>
      <c r="S708" s="7" t="s">
        <v>13</v>
      </c>
      <c r="T708" s="9"/>
      <c r="U708" s="1"/>
    </row>
    <row r="709" spans="1:21" ht="13.5" thickBot="1" x14ac:dyDescent="0.25">
      <c r="A709" s="123">
        <v>166</v>
      </c>
      <c r="B709" s="123">
        <v>114</v>
      </c>
      <c r="C709" s="123">
        <v>52</v>
      </c>
      <c r="D709" s="123">
        <v>45</v>
      </c>
      <c r="E709" s="123">
        <v>20</v>
      </c>
      <c r="F709" s="123">
        <v>25</v>
      </c>
      <c r="G709" s="123">
        <v>50</v>
      </c>
      <c r="H709" s="123">
        <v>39</v>
      </c>
      <c r="I709" s="123">
        <v>11</v>
      </c>
      <c r="J709" s="123">
        <v>69</v>
      </c>
      <c r="K709" s="123">
        <v>55</v>
      </c>
      <c r="L709" s="123">
        <v>14</v>
      </c>
      <c r="M709" s="123">
        <v>1</v>
      </c>
      <c r="N709" s="123">
        <v>0</v>
      </c>
      <c r="O709" s="123">
        <v>1</v>
      </c>
      <c r="P709" s="123">
        <v>1</v>
      </c>
      <c r="Q709" s="123">
        <v>0</v>
      </c>
      <c r="R709" s="123">
        <v>1</v>
      </c>
      <c r="S709" s="7" t="s">
        <v>163</v>
      </c>
      <c r="T709" s="3"/>
      <c r="U709" s="1"/>
    </row>
    <row r="710" spans="1:21" ht="13.5" thickBot="1" x14ac:dyDescent="0.25">
      <c r="A710" s="123">
        <v>5</v>
      </c>
      <c r="B710" s="123">
        <v>1</v>
      </c>
      <c r="C710" s="123">
        <v>4</v>
      </c>
      <c r="D710" s="123">
        <v>0</v>
      </c>
      <c r="E710" s="123">
        <v>0</v>
      </c>
      <c r="F710" s="123">
        <v>0</v>
      </c>
      <c r="G710" s="123">
        <v>1</v>
      </c>
      <c r="H710" s="123">
        <v>1</v>
      </c>
      <c r="I710" s="123">
        <v>0</v>
      </c>
      <c r="J710" s="123">
        <v>4</v>
      </c>
      <c r="K710" s="123">
        <v>0</v>
      </c>
      <c r="L710" s="123">
        <v>4</v>
      </c>
      <c r="M710" s="123">
        <v>0</v>
      </c>
      <c r="N710" s="123">
        <v>0</v>
      </c>
      <c r="O710" s="123">
        <v>0</v>
      </c>
      <c r="P710" s="123">
        <v>0</v>
      </c>
      <c r="Q710" s="123">
        <v>0</v>
      </c>
      <c r="R710" s="123">
        <v>0</v>
      </c>
      <c r="S710" s="7" t="s">
        <v>162</v>
      </c>
      <c r="T710" s="11" t="s">
        <v>211</v>
      </c>
      <c r="U710" s="1"/>
    </row>
    <row r="711" spans="1:21" ht="13.5" thickBot="1" x14ac:dyDescent="0.25">
      <c r="A711" s="123">
        <v>171</v>
      </c>
      <c r="B711" s="123">
        <v>115</v>
      </c>
      <c r="C711" s="123">
        <v>56</v>
      </c>
      <c r="D711" s="123">
        <v>45</v>
      </c>
      <c r="E711" s="123">
        <v>20</v>
      </c>
      <c r="F711" s="123">
        <v>25</v>
      </c>
      <c r="G711" s="123">
        <v>51</v>
      </c>
      <c r="H711" s="123">
        <v>40</v>
      </c>
      <c r="I711" s="123">
        <v>11</v>
      </c>
      <c r="J711" s="123">
        <v>73</v>
      </c>
      <c r="K711" s="123">
        <v>55</v>
      </c>
      <c r="L711" s="123">
        <v>18</v>
      </c>
      <c r="M711" s="123">
        <v>1</v>
      </c>
      <c r="N711" s="123">
        <v>0</v>
      </c>
      <c r="O711" s="123">
        <v>1</v>
      </c>
      <c r="P711" s="123">
        <v>1</v>
      </c>
      <c r="Q711" s="123">
        <v>0</v>
      </c>
      <c r="R711" s="123">
        <v>1</v>
      </c>
      <c r="S711" s="7" t="s">
        <v>13</v>
      </c>
      <c r="T711" s="5"/>
      <c r="U711" s="1"/>
    </row>
    <row r="712" spans="1:21" ht="18" customHeight="1" x14ac:dyDescent="0.2">
      <c r="A712" s="207"/>
      <c r="B712" s="207"/>
      <c r="C712" s="207"/>
      <c r="D712" s="207"/>
      <c r="E712" s="207"/>
      <c r="F712" s="207"/>
      <c r="G712" s="207"/>
      <c r="H712" s="207"/>
      <c r="I712" s="207"/>
      <c r="J712" s="207"/>
      <c r="K712" s="207"/>
      <c r="L712" s="207"/>
      <c r="M712" s="207"/>
      <c r="N712" s="207"/>
      <c r="O712" s="207"/>
      <c r="P712" s="207"/>
      <c r="Q712" s="207"/>
      <c r="R712" s="207"/>
      <c r="S712" s="207"/>
      <c r="T712" s="207"/>
      <c r="U712" s="1"/>
    </row>
    <row r="713" spans="1:21" ht="18" customHeight="1" x14ac:dyDescent="0.2">
      <c r="A713" s="159" t="s">
        <v>665</v>
      </c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"/>
    </row>
    <row r="714" spans="1:21" ht="18" customHeight="1" thickBot="1" x14ac:dyDescent="0.25">
      <c r="A714" s="160" t="s">
        <v>667</v>
      </c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"/>
    </row>
    <row r="715" spans="1:21" ht="13.5" thickBot="1" x14ac:dyDescent="0.25">
      <c r="A715" s="204" t="s">
        <v>5</v>
      </c>
      <c r="B715" s="204"/>
      <c r="C715" s="204"/>
      <c r="D715" s="204" t="s">
        <v>57</v>
      </c>
      <c r="E715" s="204"/>
      <c r="F715" s="204"/>
      <c r="G715" s="204" t="s">
        <v>66</v>
      </c>
      <c r="H715" s="204"/>
      <c r="I715" s="204"/>
      <c r="J715" s="204" t="s">
        <v>65</v>
      </c>
      <c r="K715" s="204"/>
      <c r="L715" s="204"/>
      <c r="M715" s="204" t="s">
        <v>62</v>
      </c>
      <c r="N715" s="204"/>
      <c r="O715" s="204"/>
      <c r="P715" s="204" t="s">
        <v>61</v>
      </c>
      <c r="Q715" s="204"/>
      <c r="R715" s="204"/>
      <c r="S715" s="205" t="s">
        <v>614</v>
      </c>
      <c r="T715" s="47" t="s">
        <v>161</v>
      </c>
      <c r="U715" s="1"/>
    </row>
    <row r="716" spans="1:21" ht="13.5" thickBot="1" x14ac:dyDescent="0.25">
      <c r="A716" s="47" t="s">
        <v>216</v>
      </c>
      <c r="B716" s="47" t="s">
        <v>11</v>
      </c>
      <c r="C716" s="47" t="s">
        <v>10</v>
      </c>
      <c r="D716" s="47" t="s">
        <v>216</v>
      </c>
      <c r="E716" s="47" t="s">
        <v>11</v>
      </c>
      <c r="F716" s="47" t="s">
        <v>10</v>
      </c>
      <c r="G716" s="47" t="s">
        <v>216</v>
      </c>
      <c r="H716" s="47" t="s">
        <v>11</v>
      </c>
      <c r="I716" s="47" t="s">
        <v>10</v>
      </c>
      <c r="J716" s="47" t="s">
        <v>216</v>
      </c>
      <c r="K716" s="47" t="s">
        <v>11</v>
      </c>
      <c r="L716" s="47" t="s">
        <v>10</v>
      </c>
      <c r="M716" s="47" t="s">
        <v>216</v>
      </c>
      <c r="N716" s="47" t="s">
        <v>11</v>
      </c>
      <c r="O716" s="47" t="s">
        <v>10</v>
      </c>
      <c r="P716" s="47" t="s">
        <v>216</v>
      </c>
      <c r="Q716" s="47" t="s">
        <v>11</v>
      </c>
      <c r="R716" s="47" t="s">
        <v>10</v>
      </c>
      <c r="S716" s="206"/>
      <c r="T716" s="5" t="s">
        <v>124</v>
      </c>
      <c r="U716" s="1"/>
    </row>
    <row r="717" spans="1:21" ht="13.5" thickBot="1" x14ac:dyDescent="0.25">
      <c r="A717" s="123">
        <v>6</v>
      </c>
      <c r="B717" s="123">
        <v>0</v>
      </c>
      <c r="C717" s="123">
        <v>6</v>
      </c>
      <c r="D717" s="123">
        <v>4</v>
      </c>
      <c r="E717" s="123">
        <v>0</v>
      </c>
      <c r="F717" s="123">
        <v>4</v>
      </c>
      <c r="G717" s="123">
        <v>1</v>
      </c>
      <c r="H717" s="123">
        <v>0</v>
      </c>
      <c r="I717" s="123">
        <v>1</v>
      </c>
      <c r="J717" s="123">
        <v>1</v>
      </c>
      <c r="K717" s="123">
        <v>0</v>
      </c>
      <c r="L717" s="123">
        <v>1</v>
      </c>
      <c r="M717" s="123">
        <v>0</v>
      </c>
      <c r="N717" s="123">
        <v>0</v>
      </c>
      <c r="O717" s="123">
        <v>0</v>
      </c>
      <c r="P717" s="123">
        <v>0</v>
      </c>
      <c r="Q717" s="123">
        <v>0</v>
      </c>
      <c r="R717" s="123">
        <v>0</v>
      </c>
      <c r="S717" s="7" t="s">
        <v>163</v>
      </c>
      <c r="T717" s="124"/>
      <c r="U717" s="1"/>
    </row>
    <row r="718" spans="1:21" ht="13.5" thickBot="1" x14ac:dyDescent="0.25">
      <c r="A718" s="123">
        <v>0</v>
      </c>
      <c r="B718" s="123">
        <v>0</v>
      </c>
      <c r="C718" s="123">
        <v>0</v>
      </c>
      <c r="D718" s="123">
        <v>0</v>
      </c>
      <c r="E718" s="123">
        <v>0</v>
      </c>
      <c r="F718" s="123">
        <v>0</v>
      </c>
      <c r="G718" s="123">
        <v>0</v>
      </c>
      <c r="H718" s="123">
        <v>0</v>
      </c>
      <c r="I718" s="123">
        <v>0</v>
      </c>
      <c r="J718" s="123">
        <v>0</v>
      </c>
      <c r="K718" s="123">
        <v>0</v>
      </c>
      <c r="L718" s="123">
        <v>0</v>
      </c>
      <c r="M718" s="123">
        <v>0</v>
      </c>
      <c r="N718" s="123">
        <v>0</v>
      </c>
      <c r="O718" s="123">
        <v>0</v>
      </c>
      <c r="P718" s="123">
        <v>0</v>
      </c>
      <c r="Q718" s="123">
        <v>0</v>
      </c>
      <c r="R718" s="123">
        <v>0</v>
      </c>
      <c r="S718" s="7" t="s">
        <v>162</v>
      </c>
      <c r="T718" s="124" t="s">
        <v>359</v>
      </c>
      <c r="U718" s="1"/>
    </row>
    <row r="719" spans="1:21" ht="13.5" thickBot="1" x14ac:dyDescent="0.25">
      <c r="A719" s="123">
        <v>6</v>
      </c>
      <c r="B719" s="123">
        <v>0</v>
      </c>
      <c r="C719" s="123">
        <v>6</v>
      </c>
      <c r="D719" s="123">
        <v>4</v>
      </c>
      <c r="E719" s="123">
        <v>0</v>
      </c>
      <c r="F719" s="123">
        <v>4</v>
      </c>
      <c r="G719" s="123">
        <v>1</v>
      </c>
      <c r="H719" s="123">
        <v>0</v>
      </c>
      <c r="I719" s="123">
        <v>1</v>
      </c>
      <c r="J719" s="123">
        <v>1</v>
      </c>
      <c r="K719" s="123">
        <v>0</v>
      </c>
      <c r="L719" s="123">
        <v>1</v>
      </c>
      <c r="M719" s="123">
        <v>0</v>
      </c>
      <c r="N719" s="123">
        <v>0</v>
      </c>
      <c r="O719" s="123">
        <v>0</v>
      </c>
      <c r="P719" s="123">
        <v>0</v>
      </c>
      <c r="Q719" s="123">
        <v>0</v>
      </c>
      <c r="R719" s="123">
        <v>0</v>
      </c>
      <c r="S719" s="7" t="s">
        <v>13</v>
      </c>
      <c r="T719" s="9"/>
      <c r="U719" s="1"/>
    </row>
    <row r="720" spans="1:21" ht="13.5" thickBot="1" x14ac:dyDescent="0.25">
      <c r="A720" s="123">
        <v>4</v>
      </c>
      <c r="B720" s="123">
        <v>2</v>
      </c>
      <c r="C720" s="123">
        <v>2</v>
      </c>
      <c r="D720" s="123">
        <v>1</v>
      </c>
      <c r="E720" s="123">
        <v>0</v>
      </c>
      <c r="F720" s="123">
        <v>1</v>
      </c>
      <c r="G720" s="123">
        <v>0</v>
      </c>
      <c r="H720" s="123">
        <v>0</v>
      </c>
      <c r="I720" s="123">
        <v>0</v>
      </c>
      <c r="J720" s="123">
        <v>2</v>
      </c>
      <c r="K720" s="123">
        <v>2</v>
      </c>
      <c r="L720" s="123">
        <v>0</v>
      </c>
      <c r="M720" s="123">
        <v>1</v>
      </c>
      <c r="N720" s="123">
        <v>0</v>
      </c>
      <c r="O720" s="123">
        <v>1</v>
      </c>
      <c r="P720" s="123">
        <v>0</v>
      </c>
      <c r="Q720" s="123">
        <v>0</v>
      </c>
      <c r="R720" s="123">
        <v>0</v>
      </c>
      <c r="S720" s="7" t="s">
        <v>163</v>
      </c>
      <c r="T720" s="124"/>
      <c r="U720" s="1"/>
    </row>
    <row r="721" spans="1:21" ht="13.5" thickBot="1" x14ac:dyDescent="0.25">
      <c r="A721" s="123">
        <v>0</v>
      </c>
      <c r="B721" s="123">
        <v>0</v>
      </c>
      <c r="C721" s="123">
        <v>0</v>
      </c>
      <c r="D721" s="123">
        <v>0</v>
      </c>
      <c r="E721" s="123">
        <v>0</v>
      </c>
      <c r="F721" s="123">
        <v>0</v>
      </c>
      <c r="G721" s="123">
        <v>0</v>
      </c>
      <c r="H721" s="123">
        <v>0</v>
      </c>
      <c r="I721" s="123">
        <v>0</v>
      </c>
      <c r="J721" s="123">
        <v>0</v>
      </c>
      <c r="K721" s="123">
        <v>0</v>
      </c>
      <c r="L721" s="123">
        <v>0</v>
      </c>
      <c r="M721" s="123">
        <v>0</v>
      </c>
      <c r="N721" s="123">
        <v>0</v>
      </c>
      <c r="O721" s="123">
        <v>0</v>
      </c>
      <c r="P721" s="123">
        <v>0</v>
      </c>
      <c r="Q721" s="123">
        <v>0</v>
      </c>
      <c r="R721" s="123">
        <v>0</v>
      </c>
      <c r="S721" s="7" t="s">
        <v>162</v>
      </c>
      <c r="T721" s="124" t="s">
        <v>264</v>
      </c>
      <c r="U721" s="1"/>
    </row>
    <row r="722" spans="1:21" ht="13.5" thickBot="1" x14ac:dyDescent="0.25">
      <c r="A722" s="123">
        <v>4</v>
      </c>
      <c r="B722" s="123">
        <v>2</v>
      </c>
      <c r="C722" s="123">
        <v>2</v>
      </c>
      <c r="D722" s="123">
        <v>1</v>
      </c>
      <c r="E722" s="123">
        <v>0</v>
      </c>
      <c r="F722" s="123">
        <v>1</v>
      </c>
      <c r="G722" s="123">
        <v>0</v>
      </c>
      <c r="H722" s="123">
        <v>0</v>
      </c>
      <c r="I722" s="123">
        <v>0</v>
      </c>
      <c r="J722" s="123">
        <v>2</v>
      </c>
      <c r="K722" s="123">
        <v>2</v>
      </c>
      <c r="L722" s="123">
        <v>0</v>
      </c>
      <c r="M722" s="123">
        <v>1</v>
      </c>
      <c r="N722" s="123">
        <v>0</v>
      </c>
      <c r="O722" s="123">
        <v>1</v>
      </c>
      <c r="P722" s="123">
        <v>0</v>
      </c>
      <c r="Q722" s="123">
        <v>0</v>
      </c>
      <c r="R722" s="123">
        <v>0</v>
      </c>
      <c r="S722" s="7" t="s">
        <v>13</v>
      </c>
      <c r="T722" s="9"/>
      <c r="U722" s="1"/>
    </row>
    <row r="723" spans="1:21" ht="13.5" thickBot="1" x14ac:dyDescent="0.25">
      <c r="A723" s="123">
        <v>9</v>
      </c>
      <c r="B723" s="123">
        <v>7</v>
      </c>
      <c r="C723" s="123">
        <v>2</v>
      </c>
      <c r="D723" s="123">
        <v>2</v>
      </c>
      <c r="E723" s="123">
        <v>0</v>
      </c>
      <c r="F723" s="123">
        <v>2</v>
      </c>
      <c r="G723" s="123">
        <v>1</v>
      </c>
      <c r="H723" s="123">
        <v>1</v>
      </c>
      <c r="I723" s="123">
        <v>0</v>
      </c>
      <c r="J723" s="123">
        <v>6</v>
      </c>
      <c r="K723" s="123">
        <v>6</v>
      </c>
      <c r="L723" s="123">
        <v>0</v>
      </c>
      <c r="M723" s="123">
        <v>0</v>
      </c>
      <c r="N723" s="123">
        <v>0</v>
      </c>
      <c r="O723" s="123">
        <v>0</v>
      </c>
      <c r="P723" s="123">
        <v>0</v>
      </c>
      <c r="Q723" s="123">
        <v>0</v>
      </c>
      <c r="R723" s="123">
        <v>0</v>
      </c>
      <c r="S723" s="7" t="s">
        <v>163</v>
      </c>
      <c r="T723" s="124"/>
      <c r="U723" s="1"/>
    </row>
    <row r="724" spans="1:21" ht="13.5" thickBot="1" x14ac:dyDescent="0.25">
      <c r="A724" s="123">
        <v>0</v>
      </c>
      <c r="B724" s="123">
        <v>0</v>
      </c>
      <c r="C724" s="123">
        <v>0</v>
      </c>
      <c r="D724" s="123">
        <v>0</v>
      </c>
      <c r="E724" s="123">
        <v>0</v>
      </c>
      <c r="F724" s="123">
        <v>0</v>
      </c>
      <c r="G724" s="123">
        <v>0</v>
      </c>
      <c r="H724" s="123">
        <v>0</v>
      </c>
      <c r="I724" s="123">
        <v>0</v>
      </c>
      <c r="J724" s="123">
        <v>0</v>
      </c>
      <c r="K724" s="123">
        <v>0</v>
      </c>
      <c r="L724" s="123">
        <v>0</v>
      </c>
      <c r="M724" s="123">
        <v>0</v>
      </c>
      <c r="N724" s="123">
        <v>0</v>
      </c>
      <c r="O724" s="123">
        <v>0</v>
      </c>
      <c r="P724" s="123">
        <v>0</v>
      </c>
      <c r="Q724" s="123">
        <v>0</v>
      </c>
      <c r="R724" s="123">
        <v>0</v>
      </c>
      <c r="S724" s="7" t="s">
        <v>162</v>
      </c>
      <c r="T724" s="124" t="s">
        <v>123</v>
      </c>
      <c r="U724" s="1"/>
    </row>
    <row r="725" spans="1:21" ht="13.5" thickBot="1" x14ac:dyDescent="0.25">
      <c r="A725" s="123">
        <v>9</v>
      </c>
      <c r="B725" s="123">
        <v>7</v>
      </c>
      <c r="C725" s="123">
        <v>2</v>
      </c>
      <c r="D725" s="123">
        <v>2</v>
      </c>
      <c r="E725" s="123">
        <v>0</v>
      </c>
      <c r="F725" s="123">
        <v>2</v>
      </c>
      <c r="G725" s="123">
        <v>1</v>
      </c>
      <c r="H725" s="123">
        <v>1</v>
      </c>
      <c r="I725" s="123">
        <v>0</v>
      </c>
      <c r="J725" s="123">
        <v>6</v>
      </c>
      <c r="K725" s="123">
        <v>6</v>
      </c>
      <c r="L725" s="123">
        <v>0</v>
      </c>
      <c r="M725" s="123">
        <v>0</v>
      </c>
      <c r="N725" s="123">
        <v>0</v>
      </c>
      <c r="O725" s="123">
        <v>0</v>
      </c>
      <c r="P725" s="123">
        <v>0</v>
      </c>
      <c r="Q725" s="123">
        <v>0</v>
      </c>
      <c r="R725" s="123">
        <v>0</v>
      </c>
      <c r="S725" s="7" t="s">
        <v>13</v>
      </c>
      <c r="T725" s="9"/>
      <c r="U725" s="1"/>
    </row>
    <row r="726" spans="1:21" ht="13.5" thickBot="1" x14ac:dyDescent="0.25">
      <c r="A726" s="123">
        <v>9</v>
      </c>
      <c r="B726" s="123">
        <v>9</v>
      </c>
      <c r="C726" s="123">
        <v>0</v>
      </c>
      <c r="D726" s="123">
        <v>3</v>
      </c>
      <c r="E726" s="123">
        <v>3</v>
      </c>
      <c r="F726" s="123">
        <v>0</v>
      </c>
      <c r="G726" s="123">
        <v>1</v>
      </c>
      <c r="H726" s="123">
        <v>1</v>
      </c>
      <c r="I726" s="123">
        <v>0</v>
      </c>
      <c r="J726" s="123">
        <v>5</v>
      </c>
      <c r="K726" s="123">
        <v>5</v>
      </c>
      <c r="L726" s="123">
        <v>0</v>
      </c>
      <c r="M726" s="123">
        <v>0</v>
      </c>
      <c r="N726" s="123">
        <v>0</v>
      </c>
      <c r="O726" s="123">
        <v>0</v>
      </c>
      <c r="P726" s="123">
        <v>0</v>
      </c>
      <c r="Q726" s="123">
        <v>0</v>
      </c>
      <c r="R726" s="123">
        <v>0</v>
      </c>
      <c r="S726" s="7" t="s">
        <v>163</v>
      </c>
      <c r="T726" s="124"/>
      <c r="U726" s="1"/>
    </row>
    <row r="727" spans="1:21" ht="13.5" thickBot="1" x14ac:dyDescent="0.25">
      <c r="A727" s="123">
        <v>0</v>
      </c>
      <c r="B727" s="123">
        <v>0</v>
      </c>
      <c r="C727" s="123">
        <v>0</v>
      </c>
      <c r="D727" s="123">
        <v>0</v>
      </c>
      <c r="E727" s="123">
        <v>0</v>
      </c>
      <c r="F727" s="123">
        <v>0</v>
      </c>
      <c r="G727" s="123">
        <v>0</v>
      </c>
      <c r="H727" s="123">
        <v>0</v>
      </c>
      <c r="I727" s="123">
        <v>0</v>
      </c>
      <c r="J727" s="123">
        <v>0</v>
      </c>
      <c r="K727" s="123">
        <v>0</v>
      </c>
      <c r="L727" s="123">
        <v>0</v>
      </c>
      <c r="M727" s="123">
        <v>0</v>
      </c>
      <c r="N727" s="123">
        <v>0</v>
      </c>
      <c r="O727" s="123">
        <v>0</v>
      </c>
      <c r="P727" s="123">
        <v>0</v>
      </c>
      <c r="Q727" s="123">
        <v>0</v>
      </c>
      <c r="R727" s="123">
        <v>0</v>
      </c>
      <c r="S727" s="7" t="s">
        <v>162</v>
      </c>
      <c r="T727" s="124" t="s">
        <v>491</v>
      </c>
      <c r="U727" s="1"/>
    </row>
    <row r="728" spans="1:21" ht="13.5" thickBot="1" x14ac:dyDescent="0.25">
      <c r="A728" s="123">
        <v>9</v>
      </c>
      <c r="B728" s="123">
        <v>9</v>
      </c>
      <c r="C728" s="123">
        <v>0</v>
      </c>
      <c r="D728" s="123">
        <v>3</v>
      </c>
      <c r="E728" s="123">
        <v>3</v>
      </c>
      <c r="F728" s="123">
        <v>0</v>
      </c>
      <c r="G728" s="123">
        <v>1</v>
      </c>
      <c r="H728" s="123">
        <v>1</v>
      </c>
      <c r="I728" s="123">
        <v>0</v>
      </c>
      <c r="J728" s="123">
        <v>5</v>
      </c>
      <c r="K728" s="123">
        <v>5</v>
      </c>
      <c r="L728" s="123">
        <v>0</v>
      </c>
      <c r="M728" s="123">
        <v>0</v>
      </c>
      <c r="N728" s="123">
        <v>0</v>
      </c>
      <c r="O728" s="123">
        <v>0</v>
      </c>
      <c r="P728" s="123">
        <v>0</v>
      </c>
      <c r="Q728" s="123">
        <v>0</v>
      </c>
      <c r="R728" s="123">
        <v>0</v>
      </c>
      <c r="S728" s="7" t="s">
        <v>13</v>
      </c>
      <c r="T728" s="9"/>
      <c r="U728" s="1"/>
    </row>
    <row r="729" spans="1:21" ht="13.5" thickBot="1" x14ac:dyDescent="0.25">
      <c r="A729" s="123">
        <v>9</v>
      </c>
      <c r="B729" s="123">
        <v>9</v>
      </c>
      <c r="C729" s="123">
        <v>0</v>
      </c>
      <c r="D729" s="123">
        <v>1</v>
      </c>
      <c r="E729" s="123">
        <v>1</v>
      </c>
      <c r="F729" s="123">
        <v>0</v>
      </c>
      <c r="G729" s="123">
        <v>0</v>
      </c>
      <c r="H729" s="123">
        <v>0</v>
      </c>
      <c r="I729" s="123">
        <v>0</v>
      </c>
      <c r="J729" s="123">
        <v>8</v>
      </c>
      <c r="K729" s="123">
        <v>8</v>
      </c>
      <c r="L729" s="123">
        <v>0</v>
      </c>
      <c r="M729" s="123">
        <v>0</v>
      </c>
      <c r="N729" s="123">
        <v>0</v>
      </c>
      <c r="O729" s="123">
        <v>0</v>
      </c>
      <c r="P729" s="123">
        <v>0</v>
      </c>
      <c r="Q729" s="123">
        <v>0</v>
      </c>
      <c r="R729" s="123">
        <v>0</v>
      </c>
      <c r="S729" s="7" t="s">
        <v>163</v>
      </c>
      <c r="T729" s="124"/>
      <c r="U729" s="1"/>
    </row>
    <row r="730" spans="1:21" ht="13.5" thickBot="1" x14ac:dyDescent="0.25">
      <c r="A730" s="123">
        <v>0</v>
      </c>
      <c r="B730" s="123">
        <v>0</v>
      </c>
      <c r="C730" s="123">
        <v>0</v>
      </c>
      <c r="D730" s="123">
        <v>0</v>
      </c>
      <c r="E730" s="123">
        <v>0</v>
      </c>
      <c r="F730" s="123">
        <v>0</v>
      </c>
      <c r="G730" s="123">
        <v>0</v>
      </c>
      <c r="H730" s="123">
        <v>0</v>
      </c>
      <c r="I730" s="123">
        <v>0</v>
      </c>
      <c r="J730" s="123">
        <v>0</v>
      </c>
      <c r="K730" s="123">
        <v>0</v>
      </c>
      <c r="L730" s="123">
        <v>0</v>
      </c>
      <c r="M730" s="123">
        <v>0</v>
      </c>
      <c r="N730" s="123">
        <v>0</v>
      </c>
      <c r="O730" s="123">
        <v>0</v>
      </c>
      <c r="P730" s="123">
        <v>0</v>
      </c>
      <c r="Q730" s="123">
        <v>0</v>
      </c>
      <c r="R730" s="123">
        <v>0</v>
      </c>
      <c r="S730" s="7" t="s">
        <v>162</v>
      </c>
      <c r="T730" s="124" t="s">
        <v>492</v>
      </c>
      <c r="U730" s="1"/>
    </row>
    <row r="731" spans="1:21" ht="13.5" thickBot="1" x14ac:dyDescent="0.25">
      <c r="A731" s="123">
        <v>9</v>
      </c>
      <c r="B731" s="123">
        <v>9</v>
      </c>
      <c r="C731" s="123">
        <v>0</v>
      </c>
      <c r="D731" s="123">
        <v>1</v>
      </c>
      <c r="E731" s="123">
        <v>1</v>
      </c>
      <c r="F731" s="123">
        <v>0</v>
      </c>
      <c r="G731" s="123">
        <v>0</v>
      </c>
      <c r="H731" s="123">
        <v>0</v>
      </c>
      <c r="I731" s="123">
        <v>0</v>
      </c>
      <c r="J731" s="123">
        <v>8</v>
      </c>
      <c r="K731" s="123">
        <v>8</v>
      </c>
      <c r="L731" s="123">
        <v>0</v>
      </c>
      <c r="M731" s="123">
        <v>0</v>
      </c>
      <c r="N731" s="123">
        <v>0</v>
      </c>
      <c r="O731" s="123">
        <v>0</v>
      </c>
      <c r="P731" s="123">
        <v>0</v>
      </c>
      <c r="Q731" s="123">
        <v>0</v>
      </c>
      <c r="R731" s="123">
        <v>0</v>
      </c>
      <c r="S731" s="7" t="s">
        <v>13</v>
      </c>
      <c r="T731" s="9"/>
      <c r="U731" s="1"/>
    </row>
    <row r="732" spans="1:21" ht="13.5" thickBot="1" x14ac:dyDescent="0.25">
      <c r="A732" s="123">
        <v>30</v>
      </c>
      <c r="B732" s="123">
        <v>0</v>
      </c>
      <c r="C732" s="123">
        <v>30</v>
      </c>
      <c r="D732" s="123">
        <v>25</v>
      </c>
      <c r="E732" s="123">
        <v>0</v>
      </c>
      <c r="F732" s="123">
        <v>25</v>
      </c>
      <c r="G732" s="123">
        <v>1</v>
      </c>
      <c r="H732" s="123">
        <v>0</v>
      </c>
      <c r="I732" s="123">
        <v>1</v>
      </c>
      <c r="J732" s="123">
        <v>4</v>
      </c>
      <c r="K732" s="123">
        <v>0</v>
      </c>
      <c r="L732" s="123">
        <v>4</v>
      </c>
      <c r="M732" s="123">
        <v>0</v>
      </c>
      <c r="N732" s="123">
        <v>0</v>
      </c>
      <c r="O732" s="123">
        <v>0</v>
      </c>
      <c r="P732" s="123">
        <v>0</v>
      </c>
      <c r="Q732" s="123">
        <v>0</v>
      </c>
      <c r="R732" s="123">
        <v>0</v>
      </c>
      <c r="S732" s="7" t="s">
        <v>163</v>
      </c>
      <c r="T732" s="124"/>
      <c r="U732" s="1"/>
    </row>
    <row r="733" spans="1:21" ht="13.5" thickBot="1" x14ac:dyDescent="0.25">
      <c r="A733" s="123">
        <v>0</v>
      </c>
      <c r="B733" s="123">
        <v>0</v>
      </c>
      <c r="C733" s="123">
        <v>0</v>
      </c>
      <c r="D733" s="123">
        <v>0</v>
      </c>
      <c r="E733" s="123">
        <v>0</v>
      </c>
      <c r="F733" s="123">
        <v>0</v>
      </c>
      <c r="G733" s="123">
        <v>0</v>
      </c>
      <c r="H733" s="123">
        <v>0</v>
      </c>
      <c r="I733" s="123">
        <v>0</v>
      </c>
      <c r="J733" s="123">
        <v>0</v>
      </c>
      <c r="K733" s="123">
        <v>0</v>
      </c>
      <c r="L733" s="123">
        <v>0</v>
      </c>
      <c r="M733" s="123">
        <v>0</v>
      </c>
      <c r="N733" s="123">
        <v>0</v>
      </c>
      <c r="O733" s="123">
        <v>0</v>
      </c>
      <c r="P733" s="123">
        <v>0</v>
      </c>
      <c r="Q733" s="123">
        <v>0</v>
      </c>
      <c r="R733" s="123">
        <v>0</v>
      </c>
      <c r="S733" s="7" t="s">
        <v>162</v>
      </c>
      <c r="T733" s="124" t="s">
        <v>247</v>
      </c>
      <c r="U733" s="1"/>
    </row>
    <row r="734" spans="1:21" ht="13.5" thickBot="1" x14ac:dyDescent="0.25">
      <c r="A734" s="123">
        <v>30</v>
      </c>
      <c r="B734" s="123">
        <v>0</v>
      </c>
      <c r="C734" s="123">
        <v>30</v>
      </c>
      <c r="D734" s="123">
        <v>25</v>
      </c>
      <c r="E734" s="123">
        <v>0</v>
      </c>
      <c r="F734" s="123">
        <v>25</v>
      </c>
      <c r="G734" s="123">
        <v>1</v>
      </c>
      <c r="H734" s="123">
        <v>0</v>
      </c>
      <c r="I734" s="123">
        <v>1</v>
      </c>
      <c r="J734" s="123">
        <v>4</v>
      </c>
      <c r="K734" s="123">
        <v>0</v>
      </c>
      <c r="L734" s="123">
        <v>4</v>
      </c>
      <c r="M734" s="123">
        <v>0</v>
      </c>
      <c r="N734" s="123">
        <v>0</v>
      </c>
      <c r="O734" s="123">
        <v>0</v>
      </c>
      <c r="P734" s="123">
        <v>0</v>
      </c>
      <c r="Q734" s="123">
        <v>0</v>
      </c>
      <c r="R734" s="123">
        <v>0</v>
      </c>
      <c r="S734" s="7" t="s">
        <v>13</v>
      </c>
      <c r="T734" s="9"/>
      <c r="U734" s="1"/>
    </row>
    <row r="735" spans="1:21" ht="13.5" thickBot="1" x14ac:dyDescent="0.25">
      <c r="A735" s="123">
        <v>11</v>
      </c>
      <c r="B735" s="123">
        <v>0</v>
      </c>
      <c r="C735" s="123">
        <v>11</v>
      </c>
      <c r="D735" s="123">
        <v>8</v>
      </c>
      <c r="E735" s="123">
        <v>0</v>
      </c>
      <c r="F735" s="123">
        <v>8</v>
      </c>
      <c r="G735" s="123">
        <v>3</v>
      </c>
      <c r="H735" s="123">
        <v>0</v>
      </c>
      <c r="I735" s="123">
        <v>3</v>
      </c>
      <c r="J735" s="123">
        <v>0</v>
      </c>
      <c r="K735" s="123">
        <v>0</v>
      </c>
      <c r="L735" s="123">
        <v>0</v>
      </c>
      <c r="M735" s="123">
        <v>0</v>
      </c>
      <c r="N735" s="123">
        <v>0</v>
      </c>
      <c r="O735" s="123">
        <v>0</v>
      </c>
      <c r="P735" s="123">
        <v>0</v>
      </c>
      <c r="Q735" s="123">
        <v>0</v>
      </c>
      <c r="R735" s="123">
        <v>0</v>
      </c>
      <c r="S735" s="7" t="s">
        <v>163</v>
      </c>
      <c r="T735" s="124"/>
      <c r="U735" s="1"/>
    </row>
    <row r="736" spans="1:21" ht="13.5" thickBot="1" x14ac:dyDescent="0.25">
      <c r="A736" s="123">
        <v>0</v>
      </c>
      <c r="B736" s="123">
        <v>0</v>
      </c>
      <c r="C736" s="123">
        <v>0</v>
      </c>
      <c r="D736" s="123">
        <v>0</v>
      </c>
      <c r="E736" s="123">
        <v>0</v>
      </c>
      <c r="F736" s="123">
        <v>0</v>
      </c>
      <c r="G736" s="123">
        <v>0</v>
      </c>
      <c r="H736" s="123">
        <v>0</v>
      </c>
      <c r="I736" s="123">
        <v>0</v>
      </c>
      <c r="J736" s="123">
        <v>0</v>
      </c>
      <c r="K736" s="123">
        <v>0</v>
      </c>
      <c r="L736" s="123">
        <v>0</v>
      </c>
      <c r="M736" s="123">
        <v>0</v>
      </c>
      <c r="N736" s="123">
        <v>0</v>
      </c>
      <c r="O736" s="123">
        <v>0</v>
      </c>
      <c r="P736" s="123">
        <v>0</v>
      </c>
      <c r="Q736" s="123">
        <v>0</v>
      </c>
      <c r="R736" s="123">
        <v>0</v>
      </c>
      <c r="S736" s="7" t="s">
        <v>162</v>
      </c>
      <c r="T736" s="124" t="s">
        <v>274</v>
      </c>
      <c r="U736" s="1"/>
    </row>
    <row r="737" spans="1:21" ht="13.5" thickBot="1" x14ac:dyDescent="0.25">
      <c r="A737" s="123">
        <v>11</v>
      </c>
      <c r="B737" s="123">
        <v>0</v>
      </c>
      <c r="C737" s="123">
        <v>11</v>
      </c>
      <c r="D737" s="123">
        <v>8</v>
      </c>
      <c r="E737" s="123">
        <v>0</v>
      </c>
      <c r="F737" s="123">
        <v>8</v>
      </c>
      <c r="G737" s="123">
        <v>3</v>
      </c>
      <c r="H737" s="123">
        <v>0</v>
      </c>
      <c r="I737" s="123">
        <v>3</v>
      </c>
      <c r="J737" s="123">
        <v>0</v>
      </c>
      <c r="K737" s="123">
        <v>0</v>
      </c>
      <c r="L737" s="123">
        <v>0</v>
      </c>
      <c r="M737" s="123">
        <v>0</v>
      </c>
      <c r="N737" s="123">
        <v>0</v>
      </c>
      <c r="O737" s="123">
        <v>0</v>
      </c>
      <c r="P737" s="123">
        <v>0</v>
      </c>
      <c r="Q737" s="123">
        <v>0</v>
      </c>
      <c r="R737" s="123">
        <v>0</v>
      </c>
      <c r="S737" s="7" t="s">
        <v>13</v>
      </c>
      <c r="T737" s="9"/>
      <c r="U737" s="1"/>
    </row>
    <row r="738" spans="1:21" ht="13.5" thickBot="1" x14ac:dyDescent="0.25">
      <c r="A738" s="123">
        <v>1</v>
      </c>
      <c r="B738" s="123">
        <v>1</v>
      </c>
      <c r="C738" s="123">
        <v>0</v>
      </c>
      <c r="D738" s="123">
        <v>0</v>
      </c>
      <c r="E738" s="123">
        <v>0</v>
      </c>
      <c r="F738" s="123">
        <v>0</v>
      </c>
      <c r="G738" s="123">
        <v>1</v>
      </c>
      <c r="H738" s="123">
        <v>1</v>
      </c>
      <c r="I738" s="123">
        <v>0</v>
      </c>
      <c r="J738" s="123">
        <v>0</v>
      </c>
      <c r="K738" s="123">
        <v>0</v>
      </c>
      <c r="L738" s="123">
        <v>0</v>
      </c>
      <c r="M738" s="123">
        <v>0</v>
      </c>
      <c r="N738" s="123">
        <v>0</v>
      </c>
      <c r="O738" s="123">
        <v>0</v>
      </c>
      <c r="P738" s="123">
        <v>0</v>
      </c>
      <c r="Q738" s="123">
        <v>0</v>
      </c>
      <c r="R738" s="123">
        <v>0</v>
      </c>
      <c r="S738" s="7" t="s">
        <v>163</v>
      </c>
      <c r="T738" s="124"/>
      <c r="U738" s="1"/>
    </row>
    <row r="739" spans="1:21" ht="13.5" thickBot="1" x14ac:dyDescent="0.25">
      <c r="A739" s="123">
        <v>0</v>
      </c>
      <c r="B739" s="123">
        <v>0</v>
      </c>
      <c r="C739" s="123">
        <v>0</v>
      </c>
      <c r="D739" s="123">
        <v>0</v>
      </c>
      <c r="E739" s="123">
        <v>0</v>
      </c>
      <c r="F739" s="123">
        <v>0</v>
      </c>
      <c r="G739" s="123">
        <v>0</v>
      </c>
      <c r="H739" s="123">
        <v>0</v>
      </c>
      <c r="I739" s="123">
        <v>0</v>
      </c>
      <c r="J739" s="123">
        <v>0</v>
      </c>
      <c r="K739" s="123">
        <v>0</v>
      </c>
      <c r="L739" s="123">
        <v>0</v>
      </c>
      <c r="M739" s="123">
        <v>0</v>
      </c>
      <c r="N739" s="123">
        <v>0</v>
      </c>
      <c r="O739" s="123">
        <v>0</v>
      </c>
      <c r="P739" s="123">
        <v>0</v>
      </c>
      <c r="Q739" s="123">
        <v>0</v>
      </c>
      <c r="R739" s="123">
        <v>0</v>
      </c>
      <c r="S739" s="7" t="s">
        <v>162</v>
      </c>
      <c r="T739" s="124" t="s">
        <v>275</v>
      </c>
      <c r="U739" s="1"/>
    </row>
    <row r="740" spans="1:21" ht="13.5" thickBot="1" x14ac:dyDescent="0.25">
      <c r="A740" s="123">
        <v>1</v>
      </c>
      <c r="B740" s="123">
        <v>1</v>
      </c>
      <c r="C740" s="123">
        <v>0</v>
      </c>
      <c r="D740" s="123">
        <v>0</v>
      </c>
      <c r="E740" s="123">
        <v>0</v>
      </c>
      <c r="F740" s="123">
        <v>0</v>
      </c>
      <c r="G740" s="123">
        <v>1</v>
      </c>
      <c r="H740" s="123">
        <v>1</v>
      </c>
      <c r="I740" s="123">
        <v>0</v>
      </c>
      <c r="J740" s="123">
        <v>0</v>
      </c>
      <c r="K740" s="123">
        <v>0</v>
      </c>
      <c r="L740" s="123">
        <v>0</v>
      </c>
      <c r="M740" s="123">
        <v>0</v>
      </c>
      <c r="N740" s="123">
        <v>0</v>
      </c>
      <c r="O740" s="123">
        <v>0</v>
      </c>
      <c r="P740" s="123">
        <v>0</v>
      </c>
      <c r="Q740" s="123">
        <v>0</v>
      </c>
      <c r="R740" s="123">
        <v>0</v>
      </c>
      <c r="S740" s="7" t="s">
        <v>13</v>
      </c>
      <c r="T740" s="9"/>
      <c r="U740" s="1"/>
    </row>
    <row r="741" spans="1:21" ht="13.5" thickBot="1" x14ac:dyDescent="0.25">
      <c r="A741" s="123">
        <v>2</v>
      </c>
      <c r="B741" s="123">
        <v>2</v>
      </c>
      <c r="C741" s="123">
        <v>0</v>
      </c>
      <c r="D741" s="123">
        <v>1</v>
      </c>
      <c r="E741" s="123">
        <v>1</v>
      </c>
      <c r="F741" s="123">
        <v>0</v>
      </c>
      <c r="G741" s="123">
        <v>0</v>
      </c>
      <c r="H741" s="123">
        <v>0</v>
      </c>
      <c r="I741" s="123">
        <v>0</v>
      </c>
      <c r="J741" s="123">
        <v>1</v>
      </c>
      <c r="K741" s="123">
        <v>1</v>
      </c>
      <c r="L741" s="123">
        <v>0</v>
      </c>
      <c r="M741" s="123">
        <v>0</v>
      </c>
      <c r="N741" s="123">
        <v>0</v>
      </c>
      <c r="O741" s="123">
        <v>0</v>
      </c>
      <c r="P741" s="123">
        <v>0</v>
      </c>
      <c r="Q741" s="123">
        <v>0</v>
      </c>
      <c r="R741" s="123">
        <v>0</v>
      </c>
      <c r="S741" s="7" t="s">
        <v>163</v>
      </c>
      <c r="T741" s="124"/>
      <c r="U741" s="1"/>
    </row>
    <row r="742" spans="1:21" ht="13.5" thickBot="1" x14ac:dyDescent="0.25">
      <c r="A742" s="123">
        <v>0</v>
      </c>
      <c r="B742" s="123">
        <v>0</v>
      </c>
      <c r="C742" s="123">
        <v>0</v>
      </c>
      <c r="D742" s="123">
        <v>0</v>
      </c>
      <c r="E742" s="123">
        <v>0</v>
      </c>
      <c r="F742" s="123">
        <v>0</v>
      </c>
      <c r="G742" s="123">
        <v>0</v>
      </c>
      <c r="H742" s="123">
        <v>0</v>
      </c>
      <c r="I742" s="123">
        <v>0</v>
      </c>
      <c r="J742" s="123">
        <v>0</v>
      </c>
      <c r="K742" s="123">
        <v>0</v>
      </c>
      <c r="L742" s="123">
        <v>0</v>
      </c>
      <c r="M742" s="123">
        <v>0</v>
      </c>
      <c r="N742" s="123">
        <v>0</v>
      </c>
      <c r="O742" s="123">
        <v>0</v>
      </c>
      <c r="P742" s="123">
        <v>0</v>
      </c>
      <c r="Q742" s="123">
        <v>0</v>
      </c>
      <c r="R742" s="123">
        <v>0</v>
      </c>
      <c r="S742" s="7" t="s">
        <v>162</v>
      </c>
      <c r="T742" s="124" t="s">
        <v>276</v>
      </c>
      <c r="U742" s="1"/>
    </row>
    <row r="743" spans="1:21" ht="13.5" thickBot="1" x14ac:dyDescent="0.25">
      <c r="A743" s="123">
        <v>2</v>
      </c>
      <c r="B743" s="123">
        <v>2</v>
      </c>
      <c r="C743" s="123">
        <v>0</v>
      </c>
      <c r="D743" s="123">
        <v>1</v>
      </c>
      <c r="E743" s="123">
        <v>1</v>
      </c>
      <c r="F743" s="123">
        <v>0</v>
      </c>
      <c r="G743" s="123">
        <v>0</v>
      </c>
      <c r="H743" s="123">
        <v>0</v>
      </c>
      <c r="I743" s="123">
        <v>0</v>
      </c>
      <c r="J743" s="123">
        <v>1</v>
      </c>
      <c r="K743" s="123">
        <v>1</v>
      </c>
      <c r="L743" s="123">
        <v>0</v>
      </c>
      <c r="M743" s="123">
        <v>0</v>
      </c>
      <c r="N743" s="123">
        <v>0</v>
      </c>
      <c r="O743" s="123">
        <v>0</v>
      </c>
      <c r="P743" s="123">
        <v>0</v>
      </c>
      <c r="Q743" s="123">
        <v>0</v>
      </c>
      <c r="R743" s="123">
        <v>0</v>
      </c>
      <c r="S743" s="7" t="s">
        <v>13</v>
      </c>
      <c r="T743" s="9"/>
      <c r="U743" s="1"/>
    </row>
    <row r="744" spans="1:21" ht="13.5" thickBot="1" x14ac:dyDescent="0.25">
      <c r="A744" s="123">
        <v>7</v>
      </c>
      <c r="B744" s="123">
        <v>7</v>
      </c>
      <c r="C744" s="123">
        <v>0</v>
      </c>
      <c r="D744" s="123">
        <v>3</v>
      </c>
      <c r="E744" s="123">
        <v>3</v>
      </c>
      <c r="F744" s="123">
        <v>0</v>
      </c>
      <c r="G744" s="123">
        <v>1</v>
      </c>
      <c r="H744" s="123">
        <v>1</v>
      </c>
      <c r="I744" s="123">
        <v>0</v>
      </c>
      <c r="J744" s="123">
        <v>3</v>
      </c>
      <c r="K744" s="123">
        <v>3</v>
      </c>
      <c r="L744" s="123">
        <v>0</v>
      </c>
      <c r="M744" s="123">
        <v>0</v>
      </c>
      <c r="N744" s="123">
        <v>0</v>
      </c>
      <c r="O744" s="123">
        <v>0</v>
      </c>
      <c r="P744" s="123">
        <v>0</v>
      </c>
      <c r="Q744" s="123">
        <v>0</v>
      </c>
      <c r="R744" s="123">
        <v>0</v>
      </c>
      <c r="S744" s="7" t="s">
        <v>163</v>
      </c>
      <c r="T744" s="124"/>
      <c r="U744" s="1"/>
    </row>
    <row r="745" spans="1:21" ht="13.5" thickBot="1" x14ac:dyDescent="0.25">
      <c r="A745" s="123">
        <v>0</v>
      </c>
      <c r="B745" s="123">
        <v>0</v>
      </c>
      <c r="C745" s="123">
        <v>0</v>
      </c>
      <c r="D745" s="123">
        <v>0</v>
      </c>
      <c r="E745" s="123">
        <v>0</v>
      </c>
      <c r="F745" s="123">
        <v>0</v>
      </c>
      <c r="G745" s="123">
        <v>0</v>
      </c>
      <c r="H745" s="123">
        <v>0</v>
      </c>
      <c r="I745" s="123">
        <v>0</v>
      </c>
      <c r="J745" s="123">
        <v>0</v>
      </c>
      <c r="K745" s="123">
        <v>0</v>
      </c>
      <c r="L745" s="123">
        <v>0</v>
      </c>
      <c r="M745" s="123">
        <v>0</v>
      </c>
      <c r="N745" s="123">
        <v>0</v>
      </c>
      <c r="O745" s="123">
        <v>0</v>
      </c>
      <c r="P745" s="123">
        <v>0</v>
      </c>
      <c r="Q745" s="123">
        <v>0</v>
      </c>
      <c r="R745" s="123">
        <v>0</v>
      </c>
      <c r="S745" s="7" t="s">
        <v>162</v>
      </c>
      <c r="T745" s="124" t="s">
        <v>493</v>
      </c>
      <c r="U745" s="1"/>
    </row>
    <row r="746" spans="1:21" ht="13.5" thickBot="1" x14ac:dyDescent="0.25">
      <c r="A746" s="123">
        <v>7</v>
      </c>
      <c r="B746" s="123">
        <v>7</v>
      </c>
      <c r="C746" s="123">
        <v>0</v>
      </c>
      <c r="D746" s="123">
        <v>3</v>
      </c>
      <c r="E746" s="123">
        <v>3</v>
      </c>
      <c r="F746" s="123">
        <v>0</v>
      </c>
      <c r="G746" s="123">
        <v>1</v>
      </c>
      <c r="H746" s="123">
        <v>1</v>
      </c>
      <c r="I746" s="123">
        <v>0</v>
      </c>
      <c r="J746" s="123">
        <v>3</v>
      </c>
      <c r="K746" s="123">
        <v>3</v>
      </c>
      <c r="L746" s="123">
        <v>0</v>
      </c>
      <c r="M746" s="123">
        <v>0</v>
      </c>
      <c r="N746" s="123">
        <v>0</v>
      </c>
      <c r="O746" s="123">
        <v>0</v>
      </c>
      <c r="P746" s="123">
        <v>0</v>
      </c>
      <c r="Q746" s="123">
        <v>0</v>
      </c>
      <c r="R746" s="123">
        <v>0</v>
      </c>
      <c r="S746" s="7" t="s">
        <v>13</v>
      </c>
      <c r="T746" s="9"/>
      <c r="U746" s="1"/>
    </row>
    <row r="747" spans="1:21" ht="13.5" thickBot="1" x14ac:dyDescent="0.25">
      <c r="A747" s="123">
        <v>88</v>
      </c>
      <c r="B747" s="123">
        <v>37</v>
      </c>
      <c r="C747" s="123">
        <v>51</v>
      </c>
      <c r="D747" s="123">
        <v>48</v>
      </c>
      <c r="E747" s="123">
        <v>8</v>
      </c>
      <c r="F747" s="123">
        <v>40</v>
      </c>
      <c r="G747" s="123">
        <v>9</v>
      </c>
      <c r="H747" s="123">
        <v>4</v>
      </c>
      <c r="I747" s="123">
        <v>5</v>
      </c>
      <c r="J747" s="123">
        <v>30</v>
      </c>
      <c r="K747" s="123">
        <v>25</v>
      </c>
      <c r="L747" s="123">
        <v>5</v>
      </c>
      <c r="M747" s="123">
        <v>1</v>
      </c>
      <c r="N747" s="123">
        <v>0</v>
      </c>
      <c r="O747" s="123">
        <v>1</v>
      </c>
      <c r="P747" s="123">
        <v>0</v>
      </c>
      <c r="Q747" s="123">
        <v>0</v>
      </c>
      <c r="R747" s="123">
        <v>0</v>
      </c>
      <c r="S747" s="7" t="s">
        <v>163</v>
      </c>
      <c r="T747" s="3"/>
      <c r="U747" s="1"/>
    </row>
    <row r="748" spans="1:21" ht="13.5" thickBot="1" x14ac:dyDescent="0.25">
      <c r="A748" s="123">
        <v>0</v>
      </c>
      <c r="B748" s="123">
        <v>0</v>
      </c>
      <c r="C748" s="123">
        <v>0</v>
      </c>
      <c r="D748" s="123">
        <v>0</v>
      </c>
      <c r="E748" s="123">
        <v>0</v>
      </c>
      <c r="F748" s="123">
        <v>0</v>
      </c>
      <c r="G748" s="123">
        <v>0</v>
      </c>
      <c r="H748" s="123">
        <v>0</v>
      </c>
      <c r="I748" s="123">
        <v>0</v>
      </c>
      <c r="J748" s="123">
        <v>0</v>
      </c>
      <c r="K748" s="123">
        <v>0</v>
      </c>
      <c r="L748" s="123">
        <v>0</v>
      </c>
      <c r="M748" s="123">
        <v>0</v>
      </c>
      <c r="N748" s="123">
        <v>0</v>
      </c>
      <c r="O748" s="123">
        <v>0</v>
      </c>
      <c r="P748" s="123">
        <v>0</v>
      </c>
      <c r="Q748" s="123">
        <v>0</v>
      </c>
      <c r="R748" s="123">
        <v>0</v>
      </c>
      <c r="S748" s="7" t="s">
        <v>162</v>
      </c>
      <c r="T748" s="11" t="s">
        <v>211</v>
      </c>
      <c r="U748" s="1"/>
    </row>
    <row r="749" spans="1:21" ht="13.5" thickBot="1" x14ac:dyDescent="0.25">
      <c r="A749" s="123">
        <v>88</v>
      </c>
      <c r="B749" s="123">
        <v>37</v>
      </c>
      <c r="C749" s="123">
        <v>51</v>
      </c>
      <c r="D749" s="123">
        <v>48</v>
      </c>
      <c r="E749" s="123">
        <v>8</v>
      </c>
      <c r="F749" s="123">
        <v>40</v>
      </c>
      <c r="G749" s="123">
        <v>9</v>
      </c>
      <c r="H749" s="123">
        <v>4</v>
      </c>
      <c r="I749" s="123">
        <v>5</v>
      </c>
      <c r="J749" s="123">
        <v>30</v>
      </c>
      <c r="K749" s="123">
        <v>25</v>
      </c>
      <c r="L749" s="123">
        <v>5</v>
      </c>
      <c r="M749" s="123">
        <v>1</v>
      </c>
      <c r="N749" s="123">
        <v>0</v>
      </c>
      <c r="O749" s="123">
        <v>1</v>
      </c>
      <c r="P749" s="123">
        <v>0</v>
      </c>
      <c r="Q749" s="123">
        <v>0</v>
      </c>
      <c r="R749" s="123">
        <v>0</v>
      </c>
      <c r="S749" s="7" t="s">
        <v>13</v>
      </c>
      <c r="T749" s="5"/>
      <c r="U749" s="1"/>
    </row>
    <row r="750" spans="1:21" ht="18" customHeight="1" x14ac:dyDescent="0.2">
      <c r="A750" s="207"/>
      <c r="B750" s="207"/>
      <c r="C750" s="207"/>
      <c r="D750" s="207"/>
      <c r="E750" s="207"/>
      <c r="F750" s="207"/>
      <c r="G750" s="207"/>
      <c r="H750" s="207"/>
      <c r="I750" s="207"/>
      <c r="J750" s="207"/>
      <c r="K750" s="207"/>
      <c r="L750" s="207"/>
      <c r="M750" s="207"/>
      <c r="N750" s="207"/>
      <c r="O750" s="207"/>
      <c r="P750" s="207"/>
      <c r="Q750" s="207"/>
      <c r="R750" s="207"/>
      <c r="S750" s="207"/>
      <c r="T750" s="207"/>
      <c r="U750" s="1"/>
    </row>
    <row r="751" spans="1:21" ht="18" customHeight="1" x14ac:dyDescent="0.2">
      <c r="A751" s="159" t="s">
        <v>665</v>
      </c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"/>
    </row>
    <row r="752" spans="1:21" ht="18" customHeight="1" thickBot="1" x14ac:dyDescent="0.25">
      <c r="A752" s="160" t="s">
        <v>667</v>
      </c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"/>
    </row>
    <row r="753" spans="1:21" ht="13.5" thickBot="1" x14ac:dyDescent="0.25">
      <c r="A753" s="204" t="s">
        <v>5</v>
      </c>
      <c r="B753" s="204"/>
      <c r="C753" s="204"/>
      <c r="D753" s="204" t="s">
        <v>57</v>
      </c>
      <c r="E753" s="204"/>
      <c r="F753" s="204"/>
      <c r="G753" s="204" t="s">
        <v>66</v>
      </c>
      <c r="H753" s="204"/>
      <c r="I753" s="204"/>
      <c r="J753" s="204" t="s">
        <v>65</v>
      </c>
      <c r="K753" s="204"/>
      <c r="L753" s="204"/>
      <c r="M753" s="204" t="s">
        <v>62</v>
      </c>
      <c r="N753" s="204"/>
      <c r="O753" s="204"/>
      <c r="P753" s="204" t="s">
        <v>61</v>
      </c>
      <c r="Q753" s="204"/>
      <c r="R753" s="204"/>
      <c r="S753" s="205" t="s">
        <v>614</v>
      </c>
      <c r="T753" s="47" t="s">
        <v>161</v>
      </c>
      <c r="U753" s="1"/>
    </row>
    <row r="754" spans="1:21" ht="13.5" thickBot="1" x14ac:dyDescent="0.25">
      <c r="A754" s="47" t="s">
        <v>216</v>
      </c>
      <c r="B754" s="47" t="s">
        <v>11</v>
      </c>
      <c r="C754" s="47" t="s">
        <v>10</v>
      </c>
      <c r="D754" s="47" t="s">
        <v>216</v>
      </c>
      <c r="E754" s="47" t="s">
        <v>11</v>
      </c>
      <c r="F754" s="47" t="s">
        <v>10</v>
      </c>
      <c r="G754" s="47" t="s">
        <v>216</v>
      </c>
      <c r="H754" s="47" t="s">
        <v>11</v>
      </c>
      <c r="I754" s="47" t="s">
        <v>10</v>
      </c>
      <c r="J754" s="47" t="s">
        <v>216</v>
      </c>
      <c r="K754" s="47" t="s">
        <v>11</v>
      </c>
      <c r="L754" s="47" t="s">
        <v>10</v>
      </c>
      <c r="M754" s="47" t="s">
        <v>216</v>
      </c>
      <c r="N754" s="47" t="s">
        <v>11</v>
      </c>
      <c r="O754" s="47" t="s">
        <v>10</v>
      </c>
      <c r="P754" s="47" t="s">
        <v>216</v>
      </c>
      <c r="Q754" s="47" t="s">
        <v>11</v>
      </c>
      <c r="R754" s="47" t="s">
        <v>10</v>
      </c>
      <c r="S754" s="206"/>
      <c r="T754" s="5" t="s">
        <v>126</v>
      </c>
      <c r="U754" s="1"/>
    </row>
    <row r="755" spans="1:21" ht="13.5" thickBot="1" x14ac:dyDescent="0.25">
      <c r="A755" s="123">
        <v>10</v>
      </c>
      <c r="B755" s="123">
        <v>1</v>
      </c>
      <c r="C755" s="123">
        <v>9</v>
      </c>
      <c r="D755" s="123">
        <v>0</v>
      </c>
      <c r="E755" s="123">
        <v>0</v>
      </c>
      <c r="F755" s="123">
        <v>0</v>
      </c>
      <c r="G755" s="123">
        <v>7</v>
      </c>
      <c r="H755" s="123">
        <v>1</v>
      </c>
      <c r="I755" s="123">
        <v>6</v>
      </c>
      <c r="J755" s="123">
        <v>2</v>
      </c>
      <c r="K755" s="123">
        <v>0</v>
      </c>
      <c r="L755" s="123">
        <v>2</v>
      </c>
      <c r="M755" s="123">
        <v>1</v>
      </c>
      <c r="N755" s="123">
        <v>0</v>
      </c>
      <c r="O755" s="123">
        <v>1</v>
      </c>
      <c r="P755" s="123">
        <v>0</v>
      </c>
      <c r="Q755" s="123">
        <v>0</v>
      </c>
      <c r="R755" s="123">
        <v>0</v>
      </c>
      <c r="S755" s="7" t="s">
        <v>163</v>
      </c>
      <c r="T755" s="124"/>
      <c r="U755" s="1"/>
    </row>
    <row r="756" spans="1:21" ht="13.5" thickBot="1" x14ac:dyDescent="0.25">
      <c r="A756" s="123">
        <v>0</v>
      </c>
      <c r="B756" s="123">
        <v>0</v>
      </c>
      <c r="C756" s="123">
        <v>0</v>
      </c>
      <c r="D756" s="123">
        <v>0</v>
      </c>
      <c r="E756" s="123">
        <v>0</v>
      </c>
      <c r="F756" s="123">
        <v>0</v>
      </c>
      <c r="G756" s="123">
        <v>0</v>
      </c>
      <c r="H756" s="123">
        <v>0</v>
      </c>
      <c r="I756" s="123">
        <v>0</v>
      </c>
      <c r="J756" s="123">
        <v>0</v>
      </c>
      <c r="K756" s="123">
        <v>0</v>
      </c>
      <c r="L756" s="123">
        <v>0</v>
      </c>
      <c r="M756" s="123">
        <v>0</v>
      </c>
      <c r="N756" s="123">
        <v>0</v>
      </c>
      <c r="O756" s="123">
        <v>0</v>
      </c>
      <c r="P756" s="123">
        <v>0</v>
      </c>
      <c r="Q756" s="123">
        <v>0</v>
      </c>
      <c r="R756" s="123">
        <v>0</v>
      </c>
      <c r="S756" s="7" t="s">
        <v>162</v>
      </c>
      <c r="T756" s="124" t="s">
        <v>359</v>
      </c>
      <c r="U756" s="1"/>
    </row>
    <row r="757" spans="1:21" ht="13.5" thickBot="1" x14ac:dyDescent="0.25">
      <c r="A757" s="123">
        <v>10</v>
      </c>
      <c r="B757" s="123">
        <v>1</v>
      </c>
      <c r="C757" s="123">
        <v>9</v>
      </c>
      <c r="D757" s="123">
        <v>0</v>
      </c>
      <c r="E757" s="123">
        <v>0</v>
      </c>
      <c r="F757" s="123">
        <v>0</v>
      </c>
      <c r="G757" s="123">
        <v>7</v>
      </c>
      <c r="H757" s="123">
        <v>1</v>
      </c>
      <c r="I757" s="123">
        <v>6</v>
      </c>
      <c r="J757" s="123">
        <v>2</v>
      </c>
      <c r="K757" s="123">
        <v>0</v>
      </c>
      <c r="L757" s="123">
        <v>2</v>
      </c>
      <c r="M757" s="123">
        <v>1</v>
      </c>
      <c r="N757" s="123">
        <v>0</v>
      </c>
      <c r="O757" s="123">
        <v>1</v>
      </c>
      <c r="P757" s="123">
        <v>0</v>
      </c>
      <c r="Q757" s="123">
        <v>0</v>
      </c>
      <c r="R757" s="123">
        <v>0</v>
      </c>
      <c r="S757" s="7" t="s">
        <v>13</v>
      </c>
      <c r="T757" s="9"/>
      <c r="U757" s="1"/>
    </row>
    <row r="758" spans="1:21" ht="13.5" thickBot="1" x14ac:dyDescent="0.25">
      <c r="A758" s="123">
        <v>14</v>
      </c>
      <c r="B758" s="123">
        <v>0</v>
      </c>
      <c r="C758" s="123">
        <v>14</v>
      </c>
      <c r="D758" s="123">
        <v>4</v>
      </c>
      <c r="E758" s="123">
        <v>0</v>
      </c>
      <c r="F758" s="123">
        <v>4</v>
      </c>
      <c r="G758" s="123">
        <v>8</v>
      </c>
      <c r="H758" s="123">
        <v>0</v>
      </c>
      <c r="I758" s="123">
        <v>8</v>
      </c>
      <c r="J758" s="123">
        <v>2</v>
      </c>
      <c r="K758" s="123">
        <v>0</v>
      </c>
      <c r="L758" s="123">
        <v>2</v>
      </c>
      <c r="M758" s="123">
        <v>0</v>
      </c>
      <c r="N758" s="123">
        <v>0</v>
      </c>
      <c r="O758" s="123">
        <v>0</v>
      </c>
      <c r="P758" s="123">
        <v>0</v>
      </c>
      <c r="Q758" s="123">
        <v>0</v>
      </c>
      <c r="R758" s="123">
        <v>0</v>
      </c>
      <c r="S758" s="7" t="s">
        <v>163</v>
      </c>
      <c r="T758" s="124"/>
      <c r="U758" s="1"/>
    </row>
    <row r="759" spans="1:21" ht="13.5" thickBot="1" x14ac:dyDescent="0.25">
      <c r="A759" s="123">
        <v>0</v>
      </c>
      <c r="B759" s="123">
        <v>0</v>
      </c>
      <c r="C759" s="123">
        <v>0</v>
      </c>
      <c r="D759" s="123">
        <v>0</v>
      </c>
      <c r="E759" s="123">
        <v>0</v>
      </c>
      <c r="F759" s="123">
        <v>0</v>
      </c>
      <c r="G759" s="123">
        <v>0</v>
      </c>
      <c r="H759" s="123">
        <v>0</v>
      </c>
      <c r="I759" s="123">
        <v>0</v>
      </c>
      <c r="J759" s="123">
        <v>0</v>
      </c>
      <c r="K759" s="123">
        <v>0</v>
      </c>
      <c r="L759" s="123">
        <v>0</v>
      </c>
      <c r="M759" s="123">
        <v>0</v>
      </c>
      <c r="N759" s="123">
        <v>0</v>
      </c>
      <c r="O759" s="123">
        <v>0</v>
      </c>
      <c r="P759" s="123">
        <v>0</v>
      </c>
      <c r="Q759" s="123">
        <v>0</v>
      </c>
      <c r="R759" s="123">
        <v>0</v>
      </c>
      <c r="S759" s="7" t="s">
        <v>162</v>
      </c>
      <c r="T759" s="124" t="s">
        <v>377</v>
      </c>
      <c r="U759" s="1"/>
    </row>
    <row r="760" spans="1:21" ht="13.5" thickBot="1" x14ac:dyDescent="0.25">
      <c r="A760" s="123">
        <v>14</v>
      </c>
      <c r="B760" s="123">
        <v>0</v>
      </c>
      <c r="C760" s="123">
        <v>14</v>
      </c>
      <c r="D760" s="123">
        <v>4</v>
      </c>
      <c r="E760" s="123">
        <v>0</v>
      </c>
      <c r="F760" s="123">
        <v>4</v>
      </c>
      <c r="G760" s="123">
        <v>8</v>
      </c>
      <c r="H760" s="123">
        <v>0</v>
      </c>
      <c r="I760" s="123">
        <v>8</v>
      </c>
      <c r="J760" s="123">
        <v>2</v>
      </c>
      <c r="K760" s="123">
        <v>0</v>
      </c>
      <c r="L760" s="123">
        <v>2</v>
      </c>
      <c r="M760" s="123">
        <v>0</v>
      </c>
      <c r="N760" s="123">
        <v>0</v>
      </c>
      <c r="O760" s="123">
        <v>0</v>
      </c>
      <c r="P760" s="123">
        <v>0</v>
      </c>
      <c r="Q760" s="123">
        <v>0</v>
      </c>
      <c r="R760" s="123">
        <v>0</v>
      </c>
      <c r="S760" s="7" t="s">
        <v>13</v>
      </c>
      <c r="T760" s="9"/>
      <c r="U760" s="1"/>
    </row>
    <row r="761" spans="1:21" ht="13.5" thickBot="1" x14ac:dyDescent="0.25">
      <c r="A761" s="123">
        <v>12</v>
      </c>
      <c r="B761" s="123">
        <v>3</v>
      </c>
      <c r="C761" s="123">
        <v>9</v>
      </c>
      <c r="D761" s="123">
        <v>2</v>
      </c>
      <c r="E761" s="123">
        <v>0</v>
      </c>
      <c r="F761" s="123">
        <v>2</v>
      </c>
      <c r="G761" s="123">
        <v>1</v>
      </c>
      <c r="H761" s="123">
        <v>1</v>
      </c>
      <c r="I761" s="123">
        <v>0</v>
      </c>
      <c r="J761" s="123">
        <v>9</v>
      </c>
      <c r="K761" s="123">
        <v>2</v>
      </c>
      <c r="L761" s="123">
        <v>7</v>
      </c>
      <c r="M761" s="123">
        <v>0</v>
      </c>
      <c r="N761" s="123">
        <v>0</v>
      </c>
      <c r="O761" s="123">
        <v>0</v>
      </c>
      <c r="P761" s="123">
        <v>0</v>
      </c>
      <c r="Q761" s="123">
        <v>0</v>
      </c>
      <c r="R761" s="123">
        <v>0</v>
      </c>
      <c r="S761" s="7" t="s">
        <v>163</v>
      </c>
      <c r="T761" s="124"/>
      <c r="U761" s="1"/>
    </row>
    <row r="762" spans="1:21" ht="13.5" thickBot="1" x14ac:dyDescent="0.25">
      <c r="A762" s="123">
        <v>0</v>
      </c>
      <c r="B762" s="123">
        <v>0</v>
      </c>
      <c r="C762" s="123">
        <v>0</v>
      </c>
      <c r="D762" s="123">
        <v>0</v>
      </c>
      <c r="E762" s="123">
        <v>0</v>
      </c>
      <c r="F762" s="123">
        <v>0</v>
      </c>
      <c r="G762" s="123">
        <v>0</v>
      </c>
      <c r="H762" s="123">
        <v>0</v>
      </c>
      <c r="I762" s="123">
        <v>0</v>
      </c>
      <c r="J762" s="123">
        <v>0</v>
      </c>
      <c r="K762" s="123">
        <v>0</v>
      </c>
      <c r="L762" s="123">
        <v>0</v>
      </c>
      <c r="M762" s="123">
        <v>0</v>
      </c>
      <c r="N762" s="123">
        <v>0</v>
      </c>
      <c r="O762" s="123">
        <v>0</v>
      </c>
      <c r="P762" s="123">
        <v>0</v>
      </c>
      <c r="Q762" s="123">
        <v>0</v>
      </c>
      <c r="R762" s="123">
        <v>0</v>
      </c>
      <c r="S762" s="7" t="s">
        <v>162</v>
      </c>
      <c r="T762" s="124" t="s">
        <v>264</v>
      </c>
      <c r="U762" s="1"/>
    </row>
    <row r="763" spans="1:21" ht="13.5" thickBot="1" x14ac:dyDescent="0.25">
      <c r="A763" s="123">
        <v>12</v>
      </c>
      <c r="B763" s="123">
        <v>3</v>
      </c>
      <c r="C763" s="123">
        <v>9</v>
      </c>
      <c r="D763" s="123">
        <v>2</v>
      </c>
      <c r="E763" s="123">
        <v>0</v>
      </c>
      <c r="F763" s="123">
        <v>2</v>
      </c>
      <c r="G763" s="123">
        <v>1</v>
      </c>
      <c r="H763" s="123">
        <v>1</v>
      </c>
      <c r="I763" s="123">
        <v>0</v>
      </c>
      <c r="J763" s="123">
        <v>9</v>
      </c>
      <c r="K763" s="123">
        <v>2</v>
      </c>
      <c r="L763" s="123">
        <v>7</v>
      </c>
      <c r="M763" s="123">
        <v>0</v>
      </c>
      <c r="N763" s="123">
        <v>0</v>
      </c>
      <c r="O763" s="123">
        <v>0</v>
      </c>
      <c r="P763" s="123">
        <v>0</v>
      </c>
      <c r="Q763" s="123">
        <v>0</v>
      </c>
      <c r="R763" s="123">
        <v>0</v>
      </c>
      <c r="S763" s="7" t="s">
        <v>13</v>
      </c>
      <c r="T763" s="9"/>
      <c r="U763" s="1"/>
    </row>
    <row r="764" spans="1:21" ht="13.5" thickBot="1" x14ac:dyDescent="0.25">
      <c r="A764" s="123">
        <v>8</v>
      </c>
      <c r="B764" s="123">
        <v>0</v>
      </c>
      <c r="C764" s="123">
        <v>8</v>
      </c>
      <c r="D764" s="123">
        <v>1</v>
      </c>
      <c r="E764" s="123">
        <v>0</v>
      </c>
      <c r="F764" s="123">
        <v>1</v>
      </c>
      <c r="G764" s="123">
        <v>5</v>
      </c>
      <c r="H764" s="123">
        <v>0</v>
      </c>
      <c r="I764" s="123">
        <v>5</v>
      </c>
      <c r="J764" s="123">
        <v>2</v>
      </c>
      <c r="K764" s="123">
        <v>0</v>
      </c>
      <c r="L764" s="123">
        <v>2</v>
      </c>
      <c r="M764" s="123">
        <v>0</v>
      </c>
      <c r="N764" s="123">
        <v>0</v>
      </c>
      <c r="O764" s="123">
        <v>0</v>
      </c>
      <c r="P764" s="123">
        <v>0</v>
      </c>
      <c r="Q764" s="123">
        <v>0</v>
      </c>
      <c r="R764" s="123">
        <v>0</v>
      </c>
      <c r="S764" s="7" t="s">
        <v>163</v>
      </c>
      <c r="T764" s="124"/>
      <c r="U764" s="1"/>
    </row>
    <row r="765" spans="1:21" ht="13.5" thickBot="1" x14ac:dyDescent="0.25">
      <c r="A765" s="123">
        <v>0</v>
      </c>
      <c r="B765" s="123">
        <v>0</v>
      </c>
      <c r="C765" s="123">
        <v>0</v>
      </c>
      <c r="D765" s="123">
        <v>0</v>
      </c>
      <c r="E765" s="123">
        <v>0</v>
      </c>
      <c r="F765" s="123">
        <v>0</v>
      </c>
      <c r="G765" s="123">
        <v>0</v>
      </c>
      <c r="H765" s="123">
        <v>0</v>
      </c>
      <c r="I765" s="123">
        <v>0</v>
      </c>
      <c r="J765" s="123">
        <v>0</v>
      </c>
      <c r="K765" s="123">
        <v>0</v>
      </c>
      <c r="L765" s="123">
        <v>0</v>
      </c>
      <c r="M765" s="123">
        <v>0</v>
      </c>
      <c r="N765" s="123">
        <v>0</v>
      </c>
      <c r="O765" s="123">
        <v>0</v>
      </c>
      <c r="P765" s="123">
        <v>0</v>
      </c>
      <c r="Q765" s="123">
        <v>0</v>
      </c>
      <c r="R765" s="123">
        <v>0</v>
      </c>
      <c r="S765" s="7" t="s">
        <v>162</v>
      </c>
      <c r="T765" s="124" t="s">
        <v>125</v>
      </c>
      <c r="U765" s="1"/>
    </row>
    <row r="766" spans="1:21" ht="13.5" thickBot="1" x14ac:dyDescent="0.25">
      <c r="A766" s="123">
        <v>8</v>
      </c>
      <c r="B766" s="123">
        <v>0</v>
      </c>
      <c r="C766" s="123">
        <v>8</v>
      </c>
      <c r="D766" s="123">
        <v>1</v>
      </c>
      <c r="E766" s="123">
        <v>0</v>
      </c>
      <c r="F766" s="123">
        <v>1</v>
      </c>
      <c r="G766" s="123">
        <v>5</v>
      </c>
      <c r="H766" s="123">
        <v>0</v>
      </c>
      <c r="I766" s="123">
        <v>5</v>
      </c>
      <c r="J766" s="123">
        <v>2</v>
      </c>
      <c r="K766" s="123">
        <v>0</v>
      </c>
      <c r="L766" s="123">
        <v>2</v>
      </c>
      <c r="M766" s="123">
        <v>0</v>
      </c>
      <c r="N766" s="123">
        <v>0</v>
      </c>
      <c r="O766" s="123">
        <v>0</v>
      </c>
      <c r="P766" s="123">
        <v>0</v>
      </c>
      <c r="Q766" s="123">
        <v>0</v>
      </c>
      <c r="R766" s="123">
        <v>0</v>
      </c>
      <c r="S766" s="7" t="s">
        <v>13</v>
      </c>
      <c r="T766" s="9"/>
      <c r="U766" s="1"/>
    </row>
    <row r="767" spans="1:21" ht="13.5" thickBot="1" x14ac:dyDescent="0.25">
      <c r="A767" s="123">
        <v>1</v>
      </c>
      <c r="B767" s="123">
        <v>1</v>
      </c>
      <c r="C767" s="123">
        <v>0</v>
      </c>
      <c r="D767" s="123">
        <v>0</v>
      </c>
      <c r="E767" s="123">
        <v>0</v>
      </c>
      <c r="F767" s="123">
        <v>0</v>
      </c>
      <c r="G767" s="123">
        <v>0</v>
      </c>
      <c r="H767" s="123">
        <v>0</v>
      </c>
      <c r="I767" s="123">
        <v>0</v>
      </c>
      <c r="J767" s="123">
        <v>1</v>
      </c>
      <c r="K767" s="123">
        <v>1</v>
      </c>
      <c r="L767" s="123">
        <v>0</v>
      </c>
      <c r="M767" s="123">
        <v>0</v>
      </c>
      <c r="N767" s="123">
        <v>0</v>
      </c>
      <c r="O767" s="123">
        <v>0</v>
      </c>
      <c r="P767" s="123">
        <v>0</v>
      </c>
      <c r="Q767" s="123">
        <v>0</v>
      </c>
      <c r="R767" s="123">
        <v>0</v>
      </c>
      <c r="S767" s="7" t="s">
        <v>163</v>
      </c>
      <c r="T767" s="124"/>
      <c r="U767" s="1"/>
    </row>
    <row r="768" spans="1:21" ht="13.5" thickBot="1" x14ac:dyDescent="0.25">
      <c r="A768" s="123">
        <v>0</v>
      </c>
      <c r="B768" s="123">
        <v>0</v>
      </c>
      <c r="C768" s="123">
        <v>0</v>
      </c>
      <c r="D768" s="123">
        <v>0</v>
      </c>
      <c r="E768" s="123">
        <v>0</v>
      </c>
      <c r="F768" s="123">
        <v>0</v>
      </c>
      <c r="G768" s="123">
        <v>0</v>
      </c>
      <c r="H768" s="123">
        <v>0</v>
      </c>
      <c r="I768" s="123">
        <v>0</v>
      </c>
      <c r="J768" s="123">
        <v>0</v>
      </c>
      <c r="K768" s="123">
        <v>0</v>
      </c>
      <c r="L768" s="123">
        <v>0</v>
      </c>
      <c r="M768" s="123">
        <v>0</v>
      </c>
      <c r="N768" s="123">
        <v>0</v>
      </c>
      <c r="O768" s="123">
        <v>0</v>
      </c>
      <c r="P768" s="123">
        <v>0</v>
      </c>
      <c r="Q768" s="123">
        <v>0</v>
      </c>
      <c r="R768" s="123">
        <v>0</v>
      </c>
      <c r="S768" s="7" t="s">
        <v>162</v>
      </c>
      <c r="T768" s="124" t="s">
        <v>495</v>
      </c>
      <c r="U768" s="1"/>
    </row>
    <row r="769" spans="1:21" ht="13.5" thickBot="1" x14ac:dyDescent="0.25">
      <c r="A769" s="123">
        <v>1</v>
      </c>
      <c r="B769" s="123">
        <v>1</v>
      </c>
      <c r="C769" s="123">
        <v>0</v>
      </c>
      <c r="D769" s="123">
        <v>0</v>
      </c>
      <c r="E769" s="123">
        <v>0</v>
      </c>
      <c r="F769" s="123">
        <v>0</v>
      </c>
      <c r="G769" s="123">
        <v>0</v>
      </c>
      <c r="H769" s="123">
        <v>0</v>
      </c>
      <c r="I769" s="123">
        <v>0</v>
      </c>
      <c r="J769" s="123">
        <v>1</v>
      </c>
      <c r="K769" s="123">
        <v>1</v>
      </c>
      <c r="L769" s="123">
        <v>0</v>
      </c>
      <c r="M769" s="123">
        <v>0</v>
      </c>
      <c r="N769" s="123">
        <v>0</v>
      </c>
      <c r="O769" s="123">
        <v>0</v>
      </c>
      <c r="P769" s="123">
        <v>0</v>
      </c>
      <c r="Q769" s="123">
        <v>0</v>
      </c>
      <c r="R769" s="123">
        <v>0</v>
      </c>
      <c r="S769" s="7" t="s">
        <v>13</v>
      </c>
      <c r="T769" s="9"/>
      <c r="U769" s="1"/>
    </row>
    <row r="770" spans="1:21" ht="13.5" thickBot="1" x14ac:dyDescent="0.25">
      <c r="A770" s="123">
        <v>7</v>
      </c>
      <c r="B770" s="123">
        <v>7</v>
      </c>
      <c r="C770" s="123">
        <v>0</v>
      </c>
      <c r="D770" s="123">
        <v>2</v>
      </c>
      <c r="E770" s="123">
        <v>2</v>
      </c>
      <c r="F770" s="123">
        <v>0</v>
      </c>
      <c r="G770" s="123">
        <v>1</v>
      </c>
      <c r="H770" s="123">
        <v>1</v>
      </c>
      <c r="I770" s="123">
        <v>0</v>
      </c>
      <c r="J770" s="123">
        <v>4</v>
      </c>
      <c r="K770" s="123">
        <v>4</v>
      </c>
      <c r="L770" s="123">
        <v>0</v>
      </c>
      <c r="M770" s="123">
        <v>0</v>
      </c>
      <c r="N770" s="123">
        <v>0</v>
      </c>
      <c r="O770" s="123">
        <v>0</v>
      </c>
      <c r="P770" s="123">
        <v>0</v>
      </c>
      <c r="Q770" s="123">
        <v>0</v>
      </c>
      <c r="R770" s="123">
        <v>0</v>
      </c>
      <c r="S770" s="7" t="s">
        <v>163</v>
      </c>
      <c r="T770" s="124"/>
      <c r="U770" s="1"/>
    </row>
    <row r="771" spans="1:21" ht="13.5" thickBot="1" x14ac:dyDescent="0.25">
      <c r="A771" s="123">
        <v>0</v>
      </c>
      <c r="B771" s="123">
        <v>0</v>
      </c>
      <c r="C771" s="123">
        <v>0</v>
      </c>
      <c r="D771" s="123">
        <v>0</v>
      </c>
      <c r="E771" s="123">
        <v>0</v>
      </c>
      <c r="F771" s="123">
        <v>0</v>
      </c>
      <c r="G771" s="123">
        <v>0</v>
      </c>
      <c r="H771" s="123">
        <v>0</v>
      </c>
      <c r="I771" s="123">
        <v>0</v>
      </c>
      <c r="J771" s="123">
        <v>0</v>
      </c>
      <c r="K771" s="123">
        <v>0</v>
      </c>
      <c r="L771" s="123">
        <v>0</v>
      </c>
      <c r="M771" s="123">
        <v>0</v>
      </c>
      <c r="N771" s="123">
        <v>0</v>
      </c>
      <c r="O771" s="123">
        <v>0</v>
      </c>
      <c r="P771" s="123">
        <v>0</v>
      </c>
      <c r="Q771" s="123">
        <v>0</v>
      </c>
      <c r="R771" s="123">
        <v>0</v>
      </c>
      <c r="S771" s="7" t="s">
        <v>162</v>
      </c>
      <c r="T771" s="124" t="s">
        <v>497</v>
      </c>
      <c r="U771" s="1"/>
    </row>
    <row r="772" spans="1:21" ht="13.5" thickBot="1" x14ac:dyDescent="0.25">
      <c r="A772" s="123">
        <v>7</v>
      </c>
      <c r="B772" s="123">
        <v>7</v>
      </c>
      <c r="C772" s="123">
        <v>0</v>
      </c>
      <c r="D772" s="123">
        <v>2</v>
      </c>
      <c r="E772" s="123">
        <v>2</v>
      </c>
      <c r="F772" s="123">
        <v>0</v>
      </c>
      <c r="G772" s="123">
        <v>1</v>
      </c>
      <c r="H772" s="123">
        <v>1</v>
      </c>
      <c r="I772" s="123">
        <v>0</v>
      </c>
      <c r="J772" s="123">
        <v>4</v>
      </c>
      <c r="K772" s="123">
        <v>4</v>
      </c>
      <c r="L772" s="123">
        <v>0</v>
      </c>
      <c r="M772" s="123">
        <v>0</v>
      </c>
      <c r="N772" s="123">
        <v>0</v>
      </c>
      <c r="O772" s="123">
        <v>0</v>
      </c>
      <c r="P772" s="123">
        <v>0</v>
      </c>
      <c r="Q772" s="123">
        <v>0</v>
      </c>
      <c r="R772" s="123">
        <v>0</v>
      </c>
      <c r="S772" s="7" t="s">
        <v>13</v>
      </c>
      <c r="T772" s="9"/>
      <c r="U772" s="1"/>
    </row>
    <row r="773" spans="1:21" ht="13.5" thickBot="1" x14ac:dyDescent="0.25">
      <c r="A773" s="123">
        <v>5</v>
      </c>
      <c r="B773" s="123">
        <v>4</v>
      </c>
      <c r="C773" s="123">
        <v>1</v>
      </c>
      <c r="D773" s="123">
        <v>0</v>
      </c>
      <c r="E773" s="123">
        <v>0</v>
      </c>
      <c r="F773" s="123">
        <v>0</v>
      </c>
      <c r="G773" s="123">
        <v>1</v>
      </c>
      <c r="H773" s="123">
        <v>0</v>
      </c>
      <c r="I773" s="123">
        <v>1</v>
      </c>
      <c r="J773" s="123">
        <v>4</v>
      </c>
      <c r="K773" s="123">
        <v>4</v>
      </c>
      <c r="L773" s="123">
        <v>0</v>
      </c>
      <c r="M773" s="123">
        <v>0</v>
      </c>
      <c r="N773" s="123">
        <v>0</v>
      </c>
      <c r="O773" s="123">
        <v>0</v>
      </c>
      <c r="P773" s="123">
        <v>0</v>
      </c>
      <c r="Q773" s="123">
        <v>0</v>
      </c>
      <c r="R773" s="123">
        <v>0</v>
      </c>
      <c r="S773" s="7" t="s">
        <v>163</v>
      </c>
      <c r="T773" s="124"/>
      <c r="U773" s="1"/>
    </row>
    <row r="774" spans="1:21" ht="13.5" thickBot="1" x14ac:dyDescent="0.25">
      <c r="A774" s="123">
        <v>0</v>
      </c>
      <c r="B774" s="123">
        <v>0</v>
      </c>
      <c r="C774" s="123">
        <v>0</v>
      </c>
      <c r="D774" s="123">
        <v>0</v>
      </c>
      <c r="E774" s="123">
        <v>0</v>
      </c>
      <c r="F774" s="123">
        <v>0</v>
      </c>
      <c r="G774" s="123">
        <v>0</v>
      </c>
      <c r="H774" s="123">
        <v>0</v>
      </c>
      <c r="I774" s="123">
        <v>0</v>
      </c>
      <c r="J774" s="123">
        <v>0</v>
      </c>
      <c r="K774" s="123">
        <v>0</v>
      </c>
      <c r="L774" s="123">
        <v>0</v>
      </c>
      <c r="M774" s="123">
        <v>0</v>
      </c>
      <c r="N774" s="123">
        <v>0</v>
      </c>
      <c r="O774" s="123">
        <v>0</v>
      </c>
      <c r="P774" s="123">
        <v>0</v>
      </c>
      <c r="Q774" s="123">
        <v>0</v>
      </c>
      <c r="R774" s="123">
        <v>0</v>
      </c>
      <c r="S774" s="7" t="s">
        <v>162</v>
      </c>
      <c r="T774" s="124" t="s">
        <v>498</v>
      </c>
      <c r="U774" s="1"/>
    </row>
    <row r="775" spans="1:21" ht="13.5" thickBot="1" x14ac:dyDescent="0.25">
      <c r="A775" s="123">
        <v>5</v>
      </c>
      <c r="B775" s="123">
        <v>4</v>
      </c>
      <c r="C775" s="123">
        <v>1</v>
      </c>
      <c r="D775" s="123">
        <v>0</v>
      </c>
      <c r="E775" s="123">
        <v>0</v>
      </c>
      <c r="F775" s="123">
        <v>0</v>
      </c>
      <c r="G775" s="123">
        <v>1</v>
      </c>
      <c r="H775" s="123">
        <v>0</v>
      </c>
      <c r="I775" s="123">
        <v>1</v>
      </c>
      <c r="J775" s="123">
        <v>4</v>
      </c>
      <c r="K775" s="123">
        <v>4</v>
      </c>
      <c r="L775" s="123">
        <v>0</v>
      </c>
      <c r="M775" s="123">
        <v>0</v>
      </c>
      <c r="N775" s="123">
        <v>0</v>
      </c>
      <c r="O775" s="123">
        <v>0</v>
      </c>
      <c r="P775" s="123">
        <v>0</v>
      </c>
      <c r="Q775" s="123">
        <v>0</v>
      </c>
      <c r="R775" s="123">
        <v>0</v>
      </c>
      <c r="S775" s="7" t="s">
        <v>13</v>
      </c>
      <c r="T775" s="9"/>
      <c r="U775" s="1"/>
    </row>
    <row r="776" spans="1:21" ht="13.5" thickBot="1" x14ac:dyDescent="0.25">
      <c r="A776" s="123">
        <v>57</v>
      </c>
      <c r="B776" s="123">
        <v>16</v>
      </c>
      <c r="C776" s="123">
        <v>41</v>
      </c>
      <c r="D776" s="123">
        <v>9</v>
      </c>
      <c r="E776" s="123">
        <v>2</v>
      </c>
      <c r="F776" s="123">
        <v>7</v>
      </c>
      <c r="G776" s="123">
        <v>23</v>
      </c>
      <c r="H776" s="123">
        <v>3</v>
      </c>
      <c r="I776" s="123">
        <v>20</v>
      </c>
      <c r="J776" s="123">
        <v>24</v>
      </c>
      <c r="K776" s="123">
        <v>11</v>
      </c>
      <c r="L776" s="123">
        <v>13</v>
      </c>
      <c r="M776" s="123">
        <v>1</v>
      </c>
      <c r="N776" s="123">
        <v>0</v>
      </c>
      <c r="O776" s="123">
        <v>1</v>
      </c>
      <c r="P776" s="123">
        <v>0</v>
      </c>
      <c r="Q776" s="123">
        <v>0</v>
      </c>
      <c r="R776" s="123">
        <v>0</v>
      </c>
      <c r="S776" s="7" t="s">
        <v>163</v>
      </c>
      <c r="T776" s="3"/>
      <c r="U776" s="1"/>
    </row>
    <row r="777" spans="1:21" ht="13.5" thickBot="1" x14ac:dyDescent="0.25">
      <c r="A777" s="123">
        <v>0</v>
      </c>
      <c r="B777" s="123">
        <v>0</v>
      </c>
      <c r="C777" s="123">
        <v>0</v>
      </c>
      <c r="D777" s="123">
        <v>0</v>
      </c>
      <c r="E777" s="123">
        <v>0</v>
      </c>
      <c r="F777" s="123">
        <v>0</v>
      </c>
      <c r="G777" s="123">
        <v>0</v>
      </c>
      <c r="H777" s="123">
        <v>0</v>
      </c>
      <c r="I777" s="123">
        <v>0</v>
      </c>
      <c r="J777" s="123">
        <v>0</v>
      </c>
      <c r="K777" s="123">
        <v>0</v>
      </c>
      <c r="L777" s="123">
        <v>0</v>
      </c>
      <c r="M777" s="123">
        <v>0</v>
      </c>
      <c r="N777" s="123">
        <v>0</v>
      </c>
      <c r="O777" s="123">
        <v>0</v>
      </c>
      <c r="P777" s="123">
        <v>0</v>
      </c>
      <c r="Q777" s="123">
        <v>0</v>
      </c>
      <c r="R777" s="123">
        <v>0</v>
      </c>
      <c r="S777" s="7" t="s">
        <v>162</v>
      </c>
      <c r="T777" s="11" t="s">
        <v>211</v>
      </c>
      <c r="U777" s="1"/>
    </row>
    <row r="778" spans="1:21" ht="13.5" thickBot="1" x14ac:dyDescent="0.25">
      <c r="A778" s="123">
        <v>57</v>
      </c>
      <c r="B778" s="123">
        <v>16</v>
      </c>
      <c r="C778" s="123">
        <v>41</v>
      </c>
      <c r="D778" s="123">
        <v>9</v>
      </c>
      <c r="E778" s="123">
        <v>2</v>
      </c>
      <c r="F778" s="123">
        <v>7</v>
      </c>
      <c r="G778" s="123">
        <v>23</v>
      </c>
      <c r="H778" s="123">
        <v>3</v>
      </c>
      <c r="I778" s="123">
        <v>20</v>
      </c>
      <c r="J778" s="123">
        <v>24</v>
      </c>
      <c r="K778" s="123">
        <v>11</v>
      </c>
      <c r="L778" s="123">
        <v>13</v>
      </c>
      <c r="M778" s="123">
        <v>1</v>
      </c>
      <c r="N778" s="123">
        <v>0</v>
      </c>
      <c r="O778" s="123">
        <v>1</v>
      </c>
      <c r="P778" s="123">
        <v>0</v>
      </c>
      <c r="Q778" s="123">
        <v>0</v>
      </c>
      <c r="R778" s="123">
        <v>0</v>
      </c>
      <c r="S778" s="7" t="s">
        <v>13</v>
      </c>
      <c r="T778" s="5"/>
      <c r="U778" s="1"/>
    </row>
    <row r="779" spans="1:21" ht="18" customHeight="1" x14ac:dyDescent="0.2">
      <c r="A779" s="207"/>
      <c r="B779" s="207"/>
      <c r="C779" s="207"/>
      <c r="D779" s="207"/>
      <c r="E779" s="207"/>
      <c r="F779" s="207"/>
      <c r="G779" s="207"/>
      <c r="H779" s="207"/>
      <c r="I779" s="207"/>
      <c r="J779" s="207"/>
      <c r="K779" s="207"/>
      <c r="L779" s="207"/>
      <c r="M779" s="207"/>
      <c r="N779" s="207"/>
      <c r="O779" s="207"/>
      <c r="P779" s="207"/>
      <c r="Q779" s="207"/>
      <c r="R779" s="207"/>
      <c r="S779" s="207"/>
      <c r="T779" s="207"/>
      <c r="U779" s="1"/>
    </row>
    <row r="780" spans="1:21" ht="18" customHeight="1" x14ac:dyDescent="0.2">
      <c r="A780" s="159" t="s">
        <v>665</v>
      </c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"/>
    </row>
    <row r="781" spans="1:21" ht="18" customHeight="1" thickBot="1" x14ac:dyDescent="0.25">
      <c r="A781" s="160" t="s">
        <v>667</v>
      </c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"/>
    </row>
    <row r="782" spans="1:21" ht="13.5" thickBot="1" x14ac:dyDescent="0.25">
      <c r="A782" s="204" t="s">
        <v>5</v>
      </c>
      <c r="B782" s="204"/>
      <c r="C782" s="204"/>
      <c r="D782" s="204" t="s">
        <v>57</v>
      </c>
      <c r="E782" s="204"/>
      <c r="F782" s="204"/>
      <c r="G782" s="204" t="s">
        <v>66</v>
      </c>
      <c r="H782" s="204"/>
      <c r="I782" s="204"/>
      <c r="J782" s="204" t="s">
        <v>65</v>
      </c>
      <c r="K782" s="204"/>
      <c r="L782" s="204"/>
      <c r="M782" s="204" t="s">
        <v>62</v>
      </c>
      <c r="N782" s="204"/>
      <c r="O782" s="204"/>
      <c r="P782" s="204" t="s">
        <v>61</v>
      </c>
      <c r="Q782" s="204"/>
      <c r="R782" s="204"/>
      <c r="S782" s="205" t="s">
        <v>614</v>
      </c>
      <c r="T782" s="47" t="s">
        <v>161</v>
      </c>
      <c r="U782" s="1"/>
    </row>
    <row r="783" spans="1:21" ht="13.5" thickBot="1" x14ac:dyDescent="0.25">
      <c r="A783" s="47" t="s">
        <v>216</v>
      </c>
      <c r="B783" s="47" t="s">
        <v>11</v>
      </c>
      <c r="C783" s="47" t="s">
        <v>10</v>
      </c>
      <c r="D783" s="47" t="s">
        <v>216</v>
      </c>
      <c r="E783" s="47" t="s">
        <v>11</v>
      </c>
      <c r="F783" s="47" t="s">
        <v>10</v>
      </c>
      <c r="G783" s="47" t="s">
        <v>216</v>
      </c>
      <c r="H783" s="47" t="s">
        <v>11</v>
      </c>
      <c r="I783" s="47" t="s">
        <v>10</v>
      </c>
      <c r="J783" s="47" t="s">
        <v>216</v>
      </c>
      <c r="K783" s="47" t="s">
        <v>11</v>
      </c>
      <c r="L783" s="47" t="s">
        <v>10</v>
      </c>
      <c r="M783" s="47" t="s">
        <v>216</v>
      </c>
      <c r="N783" s="47" t="s">
        <v>11</v>
      </c>
      <c r="O783" s="47" t="s">
        <v>10</v>
      </c>
      <c r="P783" s="47" t="s">
        <v>216</v>
      </c>
      <c r="Q783" s="47" t="s">
        <v>11</v>
      </c>
      <c r="R783" s="47" t="s">
        <v>10</v>
      </c>
      <c r="S783" s="206"/>
      <c r="T783" s="5" t="s">
        <v>129</v>
      </c>
      <c r="U783" s="1"/>
    </row>
    <row r="784" spans="1:21" ht="13.5" thickBot="1" x14ac:dyDescent="0.25">
      <c r="A784" s="123">
        <v>14</v>
      </c>
      <c r="B784" s="123">
        <v>14</v>
      </c>
      <c r="C784" s="123">
        <v>0</v>
      </c>
      <c r="D784" s="123">
        <v>6</v>
      </c>
      <c r="E784" s="123">
        <v>6</v>
      </c>
      <c r="F784" s="123">
        <v>0</v>
      </c>
      <c r="G784" s="123">
        <v>5</v>
      </c>
      <c r="H784" s="123">
        <v>5</v>
      </c>
      <c r="I784" s="123">
        <v>0</v>
      </c>
      <c r="J784" s="123">
        <v>3</v>
      </c>
      <c r="K784" s="123">
        <v>3</v>
      </c>
      <c r="L784" s="123">
        <v>0</v>
      </c>
      <c r="M784" s="123">
        <v>0</v>
      </c>
      <c r="N784" s="123">
        <v>0</v>
      </c>
      <c r="O784" s="123">
        <v>0</v>
      </c>
      <c r="P784" s="123">
        <v>0</v>
      </c>
      <c r="Q784" s="123">
        <v>0</v>
      </c>
      <c r="R784" s="123">
        <v>0</v>
      </c>
      <c r="S784" s="7" t="s">
        <v>163</v>
      </c>
      <c r="T784" s="124"/>
      <c r="U784" s="1"/>
    </row>
    <row r="785" spans="1:21" ht="13.5" thickBot="1" x14ac:dyDescent="0.25">
      <c r="A785" s="123">
        <v>0</v>
      </c>
      <c r="B785" s="123">
        <v>0</v>
      </c>
      <c r="C785" s="123">
        <v>0</v>
      </c>
      <c r="D785" s="123">
        <v>0</v>
      </c>
      <c r="E785" s="123">
        <v>0</v>
      </c>
      <c r="F785" s="123">
        <v>0</v>
      </c>
      <c r="G785" s="123">
        <v>0</v>
      </c>
      <c r="H785" s="123">
        <v>0</v>
      </c>
      <c r="I785" s="123">
        <v>0</v>
      </c>
      <c r="J785" s="123">
        <v>0</v>
      </c>
      <c r="K785" s="123">
        <v>0</v>
      </c>
      <c r="L785" s="123">
        <v>0</v>
      </c>
      <c r="M785" s="123">
        <v>0</v>
      </c>
      <c r="N785" s="123">
        <v>0</v>
      </c>
      <c r="O785" s="123">
        <v>0</v>
      </c>
      <c r="P785" s="123">
        <v>0</v>
      </c>
      <c r="Q785" s="123">
        <v>0</v>
      </c>
      <c r="R785" s="123">
        <v>0</v>
      </c>
      <c r="S785" s="7" t="s">
        <v>162</v>
      </c>
      <c r="T785" s="124" t="s">
        <v>499</v>
      </c>
      <c r="U785" s="1"/>
    </row>
    <row r="786" spans="1:21" ht="13.5" thickBot="1" x14ac:dyDescent="0.25">
      <c r="A786" s="123">
        <v>14</v>
      </c>
      <c r="B786" s="123">
        <v>14</v>
      </c>
      <c r="C786" s="123">
        <v>0</v>
      </c>
      <c r="D786" s="123">
        <v>6</v>
      </c>
      <c r="E786" s="123">
        <v>6</v>
      </c>
      <c r="F786" s="123">
        <v>0</v>
      </c>
      <c r="G786" s="123">
        <v>5</v>
      </c>
      <c r="H786" s="123">
        <v>5</v>
      </c>
      <c r="I786" s="123">
        <v>0</v>
      </c>
      <c r="J786" s="123">
        <v>3</v>
      </c>
      <c r="K786" s="123">
        <v>3</v>
      </c>
      <c r="L786" s="123">
        <v>0</v>
      </c>
      <c r="M786" s="123">
        <v>0</v>
      </c>
      <c r="N786" s="123">
        <v>0</v>
      </c>
      <c r="O786" s="123">
        <v>0</v>
      </c>
      <c r="P786" s="123">
        <v>0</v>
      </c>
      <c r="Q786" s="123">
        <v>0</v>
      </c>
      <c r="R786" s="123">
        <v>0</v>
      </c>
      <c r="S786" s="7" t="s">
        <v>13</v>
      </c>
      <c r="T786" s="9"/>
      <c r="U786" s="1"/>
    </row>
    <row r="787" spans="1:21" ht="13.5" thickBot="1" x14ac:dyDescent="0.25">
      <c r="A787" s="123">
        <v>3</v>
      </c>
      <c r="B787" s="123">
        <v>3</v>
      </c>
      <c r="C787" s="123">
        <v>0</v>
      </c>
      <c r="D787" s="123">
        <v>1</v>
      </c>
      <c r="E787" s="123">
        <v>1</v>
      </c>
      <c r="F787" s="123">
        <v>0</v>
      </c>
      <c r="G787" s="123">
        <v>1</v>
      </c>
      <c r="H787" s="123">
        <v>1</v>
      </c>
      <c r="I787" s="123">
        <v>0</v>
      </c>
      <c r="J787" s="123">
        <v>1</v>
      </c>
      <c r="K787" s="123">
        <v>1</v>
      </c>
      <c r="L787" s="123">
        <v>0</v>
      </c>
      <c r="M787" s="123">
        <v>0</v>
      </c>
      <c r="N787" s="123">
        <v>0</v>
      </c>
      <c r="O787" s="123">
        <v>0</v>
      </c>
      <c r="P787" s="123">
        <v>0</v>
      </c>
      <c r="Q787" s="123">
        <v>0</v>
      </c>
      <c r="R787" s="123">
        <v>0</v>
      </c>
      <c r="S787" s="7" t="s">
        <v>163</v>
      </c>
      <c r="T787" s="124"/>
      <c r="U787" s="1"/>
    </row>
    <row r="788" spans="1:21" ht="13.5" thickBot="1" x14ac:dyDescent="0.25">
      <c r="A788" s="123">
        <v>5</v>
      </c>
      <c r="B788" s="123">
        <v>5</v>
      </c>
      <c r="C788" s="123">
        <v>0</v>
      </c>
      <c r="D788" s="123">
        <v>0</v>
      </c>
      <c r="E788" s="123">
        <v>0</v>
      </c>
      <c r="F788" s="123">
        <v>0</v>
      </c>
      <c r="G788" s="123">
        <v>0</v>
      </c>
      <c r="H788" s="123">
        <v>0</v>
      </c>
      <c r="I788" s="123">
        <v>0</v>
      </c>
      <c r="J788" s="123">
        <v>0</v>
      </c>
      <c r="K788" s="123">
        <v>0</v>
      </c>
      <c r="L788" s="123">
        <v>0</v>
      </c>
      <c r="M788" s="123">
        <v>4</v>
      </c>
      <c r="N788" s="123">
        <v>4</v>
      </c>
      <c r="O788" s="123">
        <v>0</v>
      </c>
      <c r="P788" s="123">
        <v>1</v>
      </c>
      <c r="Q788" s="123">
        <v>1</v>
      </c>
      <c r="R788" s="123">
        <v>0</v>
      </c>
      <c r="S788" s="7" t="s">
        <v>162</v>
      </c>
      <c r="T788" s="124" t="s">
        <v>500</v>
      </c>
      <c r="U788" s="1"/>
    </row>
    <row r="789" spans="1:21" ht="13.5" thickBot="1" x14ac:dyDescent="0.25">
      <c r="A789" s="123">
        <v>8</v>
      </c>
      <c r="B789" s="123">
        <v>8</v>
      </c>
      <c r="C789" s="123">
        <v>0</v>
      </c>
      <c r="D789" s="123">
        <v>1</v>
      </c>
      <c r="E789" s="123">
        <v>1</v>
      </c>
      <c r="F789" s="123">
        <v>0</v>
      </c>
      <c r="G789" s="123">
        <v>1</v>
      </c>
      <c r="H789" s="123">
        <v>1</v>
      </c>
      <c r="I789" s="123">
        <v>0</v>
      </c>
      <c r="J789" s="123">
        <v>1</v>
      </c>
      <c r="K789" s="123">
        <v>1</v>
      </c>
      <c r="L789" s="123">
        <v>0</v>
      </c>
      <c r="M789" s="123">
        <v>4</v>
      </c>
      <c r="N789" s="123">
        <v>4</v>
      </c>
      <c r="O789" s="123">
        <v>0</v>
      </c>
      <c r="P789" s="123">
        <v>1</v>
      </c>
      <c r="Q789" s="123">
        <v>1</v>
      </c>
      <c r="R789" s="123">
        <v>0</v>
      </c>
      <c r="S789" s="7" t="s">
        <v>13</v>
      </c>
      <c r="T789" s="9"/>
      <c r="U789" s="1"/>
    </row>
    <row r="790" spans="1:21" ht="13.5" thickBot="1" x14ac:dyDescent="0.25">
      <c r="A790" s="123">
        <v>14</v>
      </c>
      <c r="B790" s="123">
        <v>14</v>
      </c>
      <c r="C790" s="123">
        <v>0</v>
      </c>
      <c r="D790" s="123">
        <v>3</v>
      </c>
      <c r="E790" s="123">
        <v>3</v>
      </c>
      <c r="F790" s="123">
        <v>0</v>
      </c>
      <c r="G790" s="123">
        <v>6</v>
      </c>
      <c r="H790" s="123">
        <v>6</v>
      </c>
      <c r="I790" s="123">
        <v>0</v>
      </c>
      <c r="J790" s="123">
        <v>5</v>
      </c>
      <c r="K790" s="123">
        <v>5</v>
      </c>
      <c r="L790" s="123">
        <v>0</v>
      </c>
      <c r="M790" s="123">
        <v>0</v>
      </c>
      <c r="N790" s="123">
        <v>0</v>
      </c>
      <c r="O790" s="123">
        <v>0</v>
      </c>
      <c r="P790" s="123">
        <v>0</v>
      </c>
      <c r="Q790" s="123">
        <v>0</v>
      </c>
      <c r="R790" s="123">
        <v>0</v>
      </c>
      <c r="S790" s="7" t="s">
        <v>163</v>
      </c>
      <c r="T790" s="124"/>
      <c r="U790" s="1"/>
    </row>
    <row r="791" spans="1:21" ht="13.5" thickBot="1" x14ac:dyDescent="0.25">
      <c r="A791" s="123">
        <v>0</v>
      </c>
      <c r="B791" s="123">
        <v>0</v>
      </c>
      <c r="C791" s="123">
        <v>0</v>
      </c>
      <c r="D791" s="123">
        <v>0</v>
      </c>
      <c r="E791" s="123">
        <v>0</v>
      </c>
      <c r="F791" s="123">
        <v>0</v>
      </c>
      <c r="G791" s="123">
        <v>0</v>
      </c>
      <c r="H791" s="123">
        <v>0</v>
      </c>
      <c r="I791" s="123">
        <v>0</v>
      </c>
      <c r="J791" s="123">
        <v>0</v>
      </c>
      <c r="K791" s="123">
        <v>0</v>
      </c>
      <c r="L791" s="123">
        <v>0</v>
      </c>
      <c r="M791" s="123">
        <v>0</v>
      </c>
      <c r="N791" s="123">
        <v>0</v>
      </c>
      <c r="O791" s="123">
        <v>0</v>
      </c>
      <c r="P791" s="123">
        <v>0</v>
      </c>
      <c r="Q791" s="123">
        <v>0</v>
      </c>
      <c r="R791" s="123">
        <v>0</v>
      </c>
      <c r="S791" s="7" t="s">
        <v>162</v>
      </c>
      <c r="T791" s="124" t="s">
        <v>128</v>
      </c>
      <c r="U791" s="1"/>
    </row>
    <row r="792" spans="1:21" ht="13.5" thickBot="1" x14ac:dyDescent="0.25">
      <c r="A792" s="123">
        <v>14</v>
      </c>
      <c r="B792" s="123">
        <v>14</v>
      </c>
      <c r="C792" s="123">
        <v>0</v>
      </c>
      <c r="D792" s="123">
        <v>3</v>
      </c>
      <c r="E792" s="123">
        <v>3</v>
      </c>
      <c r="F792" s="123">
        <v>0</v>
      </c>
      <c r="G792" s="123">
        <v>6</v>
      </c>
      <c r="H792" s="123">
        <v>6</v>
      </c>
      <c r="I792" s="123">
        <v>0</v>
      </c>
      <c r="J792" s="123">
        <v>5</v>
      </c>
      <c r="K792" s="123">
        <v>5</v>
      </c>
      <c r="L792" s="123">
        <v>0</v>
      </c>
      <c r="M792" s="123">
        <v>0</v>
      </c>
      <c r="N792" s="123">
        <v>0</v>
      </c>
      <c r="O792" s="123">
        <v>0</v>
      </c>
      <c r="P792" s="123">
        <v>0</v>
      </c>
      <c r="Q792" s="123">
        <v>0</v>
      </c>
      <c r="R792" s="123">
        <v>0</v>
      </c>
      <c r="S792" s="7" t="s">
        <v>13</v>
      </c>
      <c r="T792" s="9"/>
      <c r="U792" s="1"/>
    </row>
    <row r="793" spans="1:21" ht="13.5" thickBot="1" x14ac:dyDescent="0.25">
      <c r="A793" s="123">
        <v>0</v>
      </c>
      <c r="B793" s="123">
        <v>0</v>
      </c>
      <c r="C793" s="123">
        <v>0</v>
      </c>
      <c r="D793" s="123">
        <v>0</v>
      </c>
      <c r="E793" s="123">
        <v>0</v>
      </c>
      <c r="F793" s="123">
        <v>0</v>
      </c>
      <c r="G793" s="123">
        <v>0</v>
      </c>
      <c r="H793" s="123">
        <v>0</v>
      </c>
      <c r="I793" s="123">
        <v>0</v>
      </c>
      <c r="J793" s="123">
        <v>0</v>
      </c>
      <c r="K793" s="123">
        <v>0</v>
      </c>
      <c r="L793" s="123">
        <v>0</v>
      </c>
      <c r="M793" s="123">
        <v>0</v>
      </c>
      <c r="N793" s="123">
        <v>0</v>
      </c>
      <c r="O793" s="123">
        <v>0</v>
      </c>
      <c r="P793" s="123">
        <v>0</v>
      </c>
      <c r="Q793" s="123">
        <v>0</v>
      </c>
      <c r="R793" s="123">
        <v>0</v>
      </c>
      <c r="S793" s="7" t="s">
        <v>163</v>
      </c>
      <c r="T793" s="124"/>
      <c r="U793" s="1"/>
    </row>
    <row r="794" spans="1:21" ht="13.5" thickBot="1" x14ac:dyDescent="0.25">
      <c r="A794" s="123">
        <v>1</v>
      </c>
      <c r="B794" s="123">
        <v>0</v>
      </c>
      <c r="C794" s="123">
        <v>1</v>
      </c>
      <c r="D794" s="123">
        <v>0</v>
      </c>
      <c r="E794" s="123">
        <v>0</v>
      </c>
      <c r="F794" s="123">
        <v>0</v>
      </c>
      <c r="G794" s="123">
        <v>1</v>
      </c>
      <c r="H794" s="123">
        <v>0</v>
      </c>
      <c r="I794" s="123">
        <v>1</v>
      </c>
      <c r="J794" s="123">
        <v>0</v>
      </c>
      <c r="K794" s="123">
        <v>0</v>
      </c>
      <c r="L794" s="123">
        <v>0</v>
      </c>
      <c r="M794" s="123">
        <v>0</v>
      </c>
      <c r="N794" s="123">
        <v>0</v>
      </c>
      <c r="O794" s="123">
        <v>0</v>
      </c>
      <c r="P794" s="123">
        <v>0</v>
      </c>
      <c r="Q794" s="123">
        <v>0</v>
      </c>
      <c r="R794" s="123">
        <v>0</v>
      </c>
      <c r="S794" s="7" t="s">
        <v>162</v>
      </c>
      <c r="T794" s="124" t="s">
        <v>277</v>
      </c>
      <c r="U794" s="1"/>
    </row>
    <row r="795" spans="1:21" ht="13.5" thickBot="1" x14ac:dyDescent="0.25">
      <c r="A795" s="123">
        <v>1</v>
      </c>
      <c r="B795" s="123">
        <v>0</v>
      </c>
      <c r="C795" s="123">
        <v>1</v>
      </c>
      <c r="D795" s="123">
        <v>0</v>
      </c>
      <c r="E795" s="123">
        <v>0</v>
      </c>
      <c r="F795" s="123">
        <v>0</v>
      </c>
      <c r="G795" s="123">
        <v>1</v>
      </c>
      <c r="H795" s="123">
        <v>0</v>
      </c>
      <c r="I795" s="123">
        <v>1</v>
      </c>
      <c r="J795" s="123">
        <v>0</v>
      </c>
      <c r="K795" s="123">
        <v>0</v>
      </c>
      <c r="L795" s="123">
        <v>0</v>
      </c>
      <c r="M795" s="123">
        <v>0</v>
      </c>
      <c r="N795" s="123">
        <v>0</v>
      </c>
      <c r="O795" s="123">
        <v>0</v>
      </c>
      <c r="P795" s="123">
        <v>0</v>
      </c>
      <c r="Q795" s="123">
        <v>0</v>
      </c>
      <c r="R795" s="123">
        <v>0</v>
      </c>
      <c r="S795" s="7" t="s">
        <v>13</v>
      </c>
      <c r="T795" s="9"/>
      <c r="U795" s="1"/>
    </row>
    <row r="796" spans="1:21" ht="13.5" thickBot="1" x14ac:dyDescent="0.25">
      <c r="A796" s="123">
        <v>31</v>
      </c>
      <c r="B796" s="123">
        <v>31</v>
      </c>
      <c r="C796" s="123">
        <v>0</v>
      </c>
      <c r="D796" s="123">
        <v>10</v>
      </c>
      <c r="E796" s="123">
        <v>10</v>
      </c>
      <c r="F796" s="123">
        <v>0</v>
      </c>
      <c r="G796" s="123">
        <v>12</v>
      </c>
      <c r="H796" s="123">
        <v>12</v>
      </c>
      <c r="I796" s="123">
        <v>0</v>
      </c>
      <c r="J796" s="123">
        <v>9</v>
      </c>
      <c r="K796" s="123">
        <v>9</v>
      </c>
      <c r="L796" s="123">
        <v>0</v>
      </c>
      <c r="M796" s="123">
        <v>0</v>
      </c>
      <c r="N796" s="123">
        <v>0</v>
      </c>
      <c r="O796" s="123">
        <v>0</v>
      </c>
      <c r="P796" s="123">
        <v>0</v>
      </c>
      <c r="Q796" s="123">
        <v>0</v>
      </c>
      <c r="R796" s="123">
        <v>0</v>
      </c>
      <c r="S796" s="7" t="s">
        <v>163</v>
      </c>
      <c r="T796" s="3"/>
      <c r="U796" s="1"/>
    </row>
    <row r="797" spans="1:21" ht="13.5" thickBot="1" x14ac:dyDescent="0.25">
      <c r="A797" s="123">
        <v>6</v>
      </c>
      <c r="B797" s="123">
        <v>5</v>
      </c>
      <c r="C797" s="123">
        <v>1</v>
      </c>
      <c r="D797" s="123">
        <v>0</v>
      </c>
      <c r="E797" s="123">
        <v>0</v>
      </c>
      <c r="F797" s="123">
        <v>0</v>
      </c>
      <c r="G797" s="123">
        <v>1</v>
      </c>
      <c r="H797" s="123">
        <v>0</v>
      </c>
      <c r="I797" s="123">
        <v>1</v>
      </c>
      <c r="J797" s="123">
        <v>0</v>
      </c>
      <c r="K797" s="123">
        <v>0</v>
      </c>
      <c r="L797" s="123">
        <v>0</v>
      </c>
      <c r="M797" s="123">
        <v>4</v>
      </c>
      <c r="N797" s="123">
        <v>4</v>
      </c>
      <c r="O797" s="123">
        <v>0</v>
      </c>
      <c r="P797" s="123">
        <v>1</v>
      </c>
      <c r="Q797" s="123">
        <v>1</v>
      </c>
      <c r="R797" s="123">
        <v>0</v>
      </c>
      <c r="S797" s="7" t="s">
        <v>162</v>
      </c>
      <c r="T797" s="11" t="s">
        <v>211</v>
      </c>
      <c r="U797" s="1"/>
    </row>
    <row r="798" spans="1:21" ht="13.5" thickBot="1" x14ac:dyDescent="0.25">
      <c r="A798" s="123">
        <v>37</v>
      </c>
      <c r="B798" s="123">
        <v>36</v>
      </c>
      <c r="C798" s="123">
        <v>1</v>
      </c>
      <c r="D798" s="123">
        <v>10</v>
      </c>
      <c r="E798" s="123">
        <v>10</v>
      </c>
      <c r="F798" s="123">
        <v>0</v>
      </c>
      <c r="G798" s="123">
        <v>13</v>
      </c>
      <c r="H798" s="123">
        <v>12</v>
      </c>
      <c r="I798" s="123">
        <v>1</v>
      </c>
      <c r="J798" s="123">
        <v>9</v>
      </c>
      <c r="K798" s="123">
        <v>9</v>
      </c>
      <c r="L798" s="123">
        <v>0</v>
      </c>
      <c r="M798" s="123">
        <v>4</v>
      </c>
      <c r="N798" s="123">
        <v>4</v>
      </c>
      <c r="O798" s="123">
        <v>0</v>
      </c>
      <c r="P798" s="123">
        <v>1</v>
      </c>
      <c r="Q798" s="123">
        <v>1</v>
      </c>
      <c r="R798" s="123">
        <v>0</v>
      </c>
      <c r="S798" s="7" t="s">
        <v>13</v>
      </c>
      <c r="T798" s="5"/>
      <c r="U798" s="1"/>
    </row>
    <row r="799" spans="1:21" ht="18" customHeight="1" x14ac:dyDescent="0.2">
      <c r="A799" s="207"/>
      <c r="B799" s="207"/>
      <c r="C799" s="207"/>
      <c r="D799" s="207"/>
      <c r="E799" s="207"/>
      <c r="F799" s="207"/>
      <c r="G799" s="207"/>
      <c r="H799" s="207"/>
      <c r="I799" s="207"/>
      <c r="J799" s="207"/>
      <c r="K799" s="207"/>
      <c r="L799" s="207"/>
      <c r="M799" s="207"/>
      <c r="N799" s="207"/>
      <c r="O799" s="207"/>
      <c r="P799" s="207"/>
      <c r="Q799" s="207"/>
      <c r="R799" s="207"/>
      <c r="S799" s="207"/>
      <c r="T799" s="207"/>
      <c r="U799" s="1"/>
    </row>
    <row r="800" spans="1:21" ht="18" customHeight="1" x14ac:dyDescent="0.2">
      <c r="A800" s="159" t="s">
        <v>665</v>
      </c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"/>
    </row>
    <row r="801" spans="1:21" ht="18" customHeight="1" thickBot="1" x14ac:dyDescent="0.25">
      <c r="A801" s="160" t="s">
        <v>667</v>
      </c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"/>
    </row>
    <row r="802" spans="1:21" ht="13.5" thickBot="1" x14ac:dyDescent="0.25">
      <c r="A802" s="204" t="s">
        <v>5</v>
      </c>
      <c r="B802" s="204"/>
      <c r="C802" s="204"/>
      <c r="D802" s="204" t="s">
        <v>57</v>
      </c>
      <c r="E802" s="204"/>
      <c r="F802" s="204"/>
      <c r="G802" s="204" t="s">
        <v>66</v>
      </c>
      <c r="H802" s="204"/>
      <c r="I802" s="204"/>
      <c r="J802" s="204" t="s">
        <v>65</v>
      </c>
      <c r="K802" s="204"/>
      <c r="L802" s="204"/>
      <c r="M802" s="204" t="s">
        <v>62</v>
      </c>
      <c r="N802" s="204"/>
      <c r="O802" s="204"/>
      <c r="P802" s="204" t="s">
        <v>61</v>
      </c>
      <c r="Q802" s="204"/>
      <c r="R802" s="204"/>
      <c r="S802" s="205" t="s">
        <v>614</v>
      </c>
      <c r="T802" s="47" t="s">
        <v>161</v>
      </c>
      <c r="U802" s="1"/>
    </row>
    <row r="803" spans="1:21" ht="13.5" thickBot="1" x14ac:dyDescent="0.25">
      <c r="A803" s="47" t="s">
        <v>216</v>
      </c>
      <c r="B803" s="47" t="s">
        <v>11</v>
      </c>
      <c r="C803" s="47" t="s">
        <v>10</v>
      </c>
      <c r="D803" s="47" t="s">
        <v>216</v>
      </c>
      <c r="E803" s="47" t="s">
        <v>11</v>
      </c>
      <c r="F803" s="47" t="s">
        <v>10</v>
      </c>
      <c r="G803" s="47" t="s">
        <v>216</v>
      </c>
      <c r="H803" s="47" t="s">
        <v>11</v>
      </c>
      <c r="I803" s="47" t="s">
        <v>10</v>
      </c>
      <c r="J803" s="47" t="s">
        <v>216</v>
      </c>
      <c r="K803" s="47" t="s">
        <v>11</v>
      </c>
      <c r="L803" s="47" t="s">
        <v>10</v>
      </c>
      <c r="M803" s="47" t="s">
        <v>216</v>
      </c>
      <c r="N803" s="47" t="s">
        <v>11</v>
      </c>
      <c r="O803" s="47" t="s">
        <v>10</v>
      </c>
      <c r="P803" s="47" t="s">
        <v>216</v>
      </c>
      <c r="Q803" s="47" t="s">
        <v>11</v>
      </c>
      <c r="R803" s="47" t="s">
        <v>10</v>
      </c>
      <c r="S803" s="206"/>
      <c r="T803" s="5" t="s">
        <v>131</v>
      </c>
      <c r="U803" s="1"/>
    </row>
    <row r="804" spans="1:21" ht="13.5" thickBot="1" x14ac:dyDescent="0.25">
      <c r="A804" s="123">
        <v>73</v>
      </c>
      <c r="B804" s="123">
        <v>72</v>
      </c>
      <c r="C804" s="123">
        <v>1</v>
      </c>
      <c r="D804" s="123">
        <v>5</v>
      </c>
      <c r="E804" s="123">
        <v>5</v>
      </c>
      <c r="F804" s="123">
        <v>0</v>
      </c>
      <c r="G804" s="123">
        <v>20</v>
      </c>
      <c r="H804" s="123">
        <v>19</v>
      </c>
      <c r="I804" s="123">
        <v>1</v>
      </c>
      <c r="J804" s="123">
        <v>47</v>
      </c>
      <c r="K804" s="123">
        <v>47</v>
      </c>
      <c r="L804" s="123">
        <v>0</v>
      </c>
      <c r="M804" s="123">
        <v>1</v>
      </c>
      <c r="N804" s="123">
        <v>1</v>
      </c>
      <c r="O804" s="123">
        <v>0</v>
      </c>
      <c r="P804" s="123">
        <v>0</v>
      </c>
      <c r="Q804" s="123">
        <v>0</v>
      </c>
      <c r="R804" s="123">
        <v>0</v>
      </c>
      <c r="S804" s="7" t="s">
        <v>163</v>
      </c>
      <c r="T804" s="124"/>
      <c r="U804" s="1"/>
    </row>
    <row r="805" spans="1:21" ht="13.5" thickBot="1" x14ac:dyDescent="0.25">
      <c r="A805" s="123">
        <v>0</v>
      </c>
      <c r="B805" s="123">
        <v>0</v>
      </c>
      <c r="C805" s="123">
        <v>0</v>
      </c>
      <c r="D805" s="123">
        <v>0</v>
      </c>
      <c r="E805" s="123">
        <v>0</v>
      </c>
      <c r="F805" s="123">
        <v>0</v>
      </c>
      <c r="G805" s="123">
        <v>0</v>
      </c>
      <c r="H805" s="123">
        <v>0</v>
      </c>
      <c r="I805" s="123">
        <v>0</v>
      </c>
      <c r="J805" s="123">
        <v>0</v>
      </c>
      <c r="K805" s="123">
        <v>0</v>
      </c>
      <c r="L805" s="123">
        <v>0</v>
      </c>
      <c r="M805" s="123">
        <v>0</v>
      </c>
      <c r="N805" s="123">
        <v>0</v>
      </c>
      <c r="O805" s="123">
        <v>0</v>
      </c>
      <c r="P805" s="123">
        <v>0</v>
      </c>
      <c r="Q805" s="123">
        <v>0</v>
      </c>
      <c r="R805" s="123">
        <v>0</v>
      </c>
      <c r="S805" s="7" t="s">
        <v>162</v>
      </c>
      <c r="T805" s="124" t="s">
        <v>502</v>
      </c>
      <c r="U805" s="1"/>
    </row>
    <row r="806" spans="1:21" ht="13.5" thickBot="1" x14ac:dyDescent="0.25">
      <c r="A806" s="123">
        <v>73</v>
      </c>
      <c r="B806" s="123">
        <v>72</v>
      </c>
      <c r="C806" s="123">
        <v>1</v>
      </c>
      <c r="D806" s="123">
        <v>5</v>
      </c>
      <c r="E806" s="123">
        <v>5</v>
      </c>
      <c r="F806" s="123">
        <v>0</v>
      </c>
      <c r="G806" s="123">
        <v>20</v>
      </c>
      <c r="H806" s="123">
        <v>19</v>
      </c>
      <c r="I806" s="123">
        <v>1</v>
      </c>
      <c r="J806" s="123">
        <v>47</v>
      </c>
      <c r="K806" s="123">
        <v>47</v>
      </c>
      <c r="L806" s="123">
        <v>0</v>
      </c>
      <c r="M806" s="123">
        <v>1</v>
      </c>
      <c r="N806" s="123">
        <v>1</v>
      </c>
      <c r="O806" s="123">
        <v>0</v>
      </c>
      <c r="P806" s="123">
        <v>0</v>
      </c>
      <c r="Q806" s="123">
        <v>0</v>
      </c>
      <c r="R806" s="123">
        <v>0</v>
      </c>
      <c r="S806" s="7" t="s">
        <v>13</v>
      </c>
      <c r="T806" s="9"/>
      <c r="U806" s="1"/>
    </row>
    <row r="807" spans="1:21" ht="13.5" thickBot="1" x14ac:dyDescent="0.25">
      <c r="A807" s="123">
        <v>41</v>
      </c>
      <c r="B807" s="123">
        <v>41</v>
      </c>
      <c r="C807" s="123">
        <v>0</v>
      </c>
      <c r="D807" s="123">
        <v>0</v>
      </c>
      <c r="E807" s="123">
        <v>0</v>
      </c>
      <c r="F807" s="123">
        <v>0</v>
      </c>
      <c r="G807" s="123">
        <v>13</v>
      </c>
      <c r="H807" s="123">
        <v>13</v>
      </c>
      <c r="I807" s="123">
        <v>0</v>
      </c>
      <c r="J807" s="123">
        <v>27</v>
      </c>
      <c r="K807" s="123">
        <v>27</v>
      </c>
      <c r="L807" s="123">
        <v>0</v>
      </c>
      <c r="M807" s="123">
        <v>1</v>
      </c>
      <c r="N807" s="123">
        <v>1</v>
      </c>
      <c r="O807" s="123">
        <v>0</v>
      </c>
      <c r="P807" s="123">
        <v>0</v>
      </c>
      <c r="Q807" s="123">
        <v>0</v>
      </c>
      <c r="R807" s="123">
        <v>0</v>
      </c>
      <c r="S807" s="7" t="s">
        <v>163</v>
      </c>
      <c r="T807" s="124"/>
      <c r="U807" s="1"/>
    </row>
    <row r="808" spans="1:21" ht="13.5" thickBot="1" x14ac:dyDescent="0.25">
      <c r="A808" s="123">
        <v>0</v>
      </c>
      <c r="B808" s="123">
        <v>0</v>
      </c>
      <c r="C808" s="123">
        <v>0</v>
      </c>
      <c r="D808" s="123">
        <v>0</v>
      </c>
      <c r="E808" s="123">
        <v>0</v>
      </c>
      <c r="F808" s="123">
        <v>0</v>
      </c>
      <c r="G808" s="123">
        <v>0</v>
      </c>
      <c r="H808" s="123">
        <v>0</v>
      </c>
      <c r="I808" s="123">
        <v>0</v>
      </c>
      <c r="J808" s="123">
        <v>0</v>
      </c>
      <c r="K808" s="123">
        <v>0</v>
      </c>
      <c r="L808" s="123">
        <v>0</v>
      </c>
      <c r="M808" s="123">
        <v>0</v>
      </c>
      <c r="N808" s="123">
        <v>0</v>
      </c>
      <c r="O808" s="123">
        <v>0</v>
      </c>
      <c r="P808" s="123">
        <v>0</v>
      </c>
      <c r="Q808" s="123">
        <v>0</v>
      </c>
      <c r="R808" s="123">
        <v>0</v>
      </c>
      <c r="S808" s="7" t="s">
        <v>162</v>
      </c>
      <c r="T808" s="124" t="s">
        <v>503</v>
      </c>
      <c r="U808" s="1"/>
    </row>
    <row r="809" spans="1:21" ht="13.5" thickBot="1" x14ac:dyDescent="0.25">
      <c r="A809" s="123">
        <v>41</v>
      </c>
      <c r="B809" s="123">
        <v>41</v>
      </c>
      <c r="C809" s="123">
        <v>0</v>
      </c>
      <c r="D809" s="123">
        <v>0</v>
      </c>
      <c r="E809" s="123">
        <v>0</v>
      </c>
      <c r="F809" s="123">
        <v>0</v>
      </c>
      <c r="G809" s="123">
        <v>13</v>
      </c>
      <c r="H809" s="123">
        <v>13</v>
      </c>
      <c r="I809" s="123">
        <v>0</v>
      </c>
      <c r="J809" s="123">
        <v>27</v>
      </c>
      <c r="K809" s="123">
        <v>27</v>
      </c>
      <c r="L809" s="123">
        <v>0</v>
      </c>
      <c r="M809" s="123">
        <v>1</v>
      </c>
      <c r="N809" s="123">
        <v>1</v>
      </c>
      <c r="O809" s="123">
        <v>0</v>
      </c>
      <c r="P809" s="123">
        <v>0</v>
      </c>
      <c r="Q809" s="123">
        <v>0</v>
      </c>
      <c r="R809" s="123">
        <v>0</v>
      </c>
      <c r="S809" s="7" t="s">
        <v>13</v>
      </c>
      <c r="T809" s="9"/>
      <c r="U809" s="1"/>
    </row>
    <row r="810" spans="1:21" ht="13.5" thickBot="1" x14ac:dyDescent="0.25">
      <c r="A810" s="123">
        <v>44</v>
      </c>
      <c r="B810" s="123">
        <v>44</v>
      </c>
      <c r="C810" s="123">
        <v>0</v>
      </c>
      <c r="D810" s="123">
        <v>1</v>
      </c>
      <c r="E810" s="123">
        <v>1</v>
      </c>
      <c r="F810" s="123">
        <v>0</v>
      </c>
      <c r="G810" s="123">
        <v>8</v>
      </c>
      <c r="H810" s="123">
        <v>8</v>
      </c>
      <c r="I810" s="123">
        <v>0</v>
      </c>
      <c r="J810" s="123">
        <v>35</v>
      </c>
      <c r="K810" s="123">
        <v>35</v>
      </c>
      <c r="L810" s="123">
        <v>0</v>
      </c>
      <c r="M810" s="123">
        <v>0</v>
      </c>
      <c r="N810" s="123">
        <v>0</v>
      </c>
      <c r="O810" s="123">
        <v>0</v>
      </c>
      <c r="P810" s="123">
        <v>0</v>
      </c>
      <c r="Q810" s="123">
        <v>0</v>
      </c>
      <c r="R810" s="123">
        <v>0</v>
      </c>
      <c r="S810" s="7" t="s">
        <v>163</v>
      </c>
      <c r="T810" s="124"/>
      <c r="U810" s="1"/>
    </row>
    <row r="811" spans="1:21" ht="13.5" thickBot="1" x14ac:dyDescent="0.25">
      <c r="A811" s="123">
        <v>0</v>
      </c>
      <c r="B811" s="123">
        <v>0</v>
      </c>
      <c r="C811" s="123">
        <v>0</v>
      </c>
      <c r="D811" s="123">
        <v>0</v>
      </c>
      <c r="E811" s="123">
        <v>0</v>
      </c>
      <c r="F811" s="123">
        <v>0</v>
      </c>
      <c r="G811" s="123">
        <v>0</v>
      </c>
      <c r="H811" s="123">
        <v>0</v>
      </c>
      <c r="I811" s="123">
        <v>0</v>
      </c>
      <c r="J811" s="123">
        <v>0</v>
      </c>
      <c r="K811" s="123">
        <v>0</v>
      </c>
      <c r="L811" s="123">
        <v>0</v>
      </c>
      <c r="M811" s="123">
        <v>0</v>
      </c>
      <c r="N811" s="123">
        <v>0</v>
      </c>
      <c r="O811" s="123">
        <v>0</v>
      </c>
      <c r="P811" s="123">
        <v>0</v>
      </c>
      <c r="Q811" s="123">
        <v>0</v>
      </c>
      <c r="R811" s="123">
        <v>0</v>
      </c>
      <c r="S811" s="7" t="s">
        <v>162</v>
      </c>
      <c r="T811" s="124" t="s">
        <v>504</v>
      </c>
      <c r="U811" s="1"/>
    </row>
    <row r="812" spans="1:21" ht="13.5" thickBot="1" x14ac:dyDescent="0.25">
      <c r="A812" s="123">
        <v>44</v>
      </c>
      <c r="B812" s="123">
        <v>44</v>
      </c>
      <c r="C812" s="123">
        <v>0</v>
      </c>
      <c r="D812" s="123">
        <v>1</v>
      </c>
      <c r="E812" s="123">
        <v>1</v>
      </c>
      <c r="F812" s="123">
        <v>0</v>
      </c>
      <c r="G812" s="123">
        <v>8</v>
      </c>
      <c r="H812" s="123">
        <v>8</v>
      </c>
      <c r="I812" s="123">
        <v>0</v>
      </c>
      <c r="J812" s="123">
        <v>35</v>
      </c>
      <c r="K812" s="123">
        <v>35</v>
      </c>
      <c r="L812" s="123">
        <v>0</v>
      </c>
      <c r="M812" s="123">
        <v>0</v>
      </c>
      <c r="N812" s="123">
        <v>0</v>
      </c>
      <c r="O812" s="123">
        <v>0</v>
      </c>
      <c r="P812" s="123">
        <v>0</v>
      </c>
      <c r="Q812" s="123">
        <v>0</v>
      </c>
      <c r="R812" s="123">
        <v>0</v>
      </c>
      <c r="S812" s="7" t="s">
        <v>13</v>
      </c>
      <c r="T812" s="9"/>
      <c r="U812" s="1"/>
    </row>
    <row r="813" spans="1:21" ht="13.5" thickBot="1" x14ac:dyDescent="0.25">
      <c r="A813" s="123">
        <v>235</v>
      </c>
      <c r="B813" s="123">
        <v>235</v>
      </c>
      <c r="C813" s="123">
        <v>0</v>
      </c>
      <c r="D813" s="123">
        <v>0</v>
      </c>
      <c r="E813" s="123">
        <v>0</v>
      </c>
      <c r="F813" s="123">
        <v>0</v>
      </c>
      <c r="G813" s="123">
        <v>118</v>
      </c>
      <c r="H813" s="123">
        <v>118</v>
      </c>
      <c r="I813" s="123">
        <v>0</v>
      </c>
      <c r="J813" s="123">
        <v>116</v>
      </c>
      <c r="K813" s="123">
        <v>116</v>
      </c>
      <c r="L813" s="123">
        <v>0</v>
      </c>
      <c r="M813" s="123">
        <v>1</v>
      </c>
      <c r="N813" s="123">
        <v>1</v>
      </c>
      <c r="O813" s="123">
        <v>0</v>
      </c>
      <c r="P813" s="123">
        <v>0</v>
      </c>
      <c r="Q813" s="123">
        <v>0</v>
      </c>
      <c r="R813" s="123">
        <v>0</v>
      </c>
      <c r="S813" s="7" t="s">
        <v>163</v>
      </c>
      <c r="T813" s="124"/>
      <c r="U813" s="1"/>
    </row>
    <row r="814" spans="1:21" ht="13.5" thickBot="1" x14ac:dyDescent="0.25">
      <c r="A814" s="123">
        <v>0</v>
      </c>
      <c r="B814" s="123">
        <v>0</v>
      </c>
      <c r="C814" s="123">
        <v>0</v>
      </c>
      <c r="D814" s="123">
        <v>0</v>
      </c>
      <c r="E814" s="123">
        <v>0</v>
      </c>
      <c r="F814" s="123">
        <v>0</v>
      </c>
      <c r="G814" s="123">
        <v>0</v>
      </c>
      <c r="H814" s="123">
        <v>0</v>
      </c>
      <c r="I814" s="123">
        <v>0</v>
      </c>
      <c r="J814" s="123">
        <v>0</v>
      </c>
      <c r="K814" s="123">
        <v>0</v>
      </c>
      <c r="L814" s="123">
        <v>0</v>
      </c>
      <c r="M814" s="123">
        <v>0</v>
      </c>
      <c r="N814" s="123">
        <v>0</v>
      </c>
      <c r="O814" s="123">
        <v>0</v>
      </c>
      <c r="P814" s="123">
        <v>0</v>
      </c>
      <c r="Q814" s="123">
        <v>0</v>
      </c>
      <c r="R814" s="123">
        <v>0</v>
      </c>
      <c r="S814" s="7" t="s">
        <v>162</v>
      </c>
      <c r="T814" s="124" t="s">
        <v>506</v>
      </c>
      <c r="U814" s="1"/>
    </row>
    <row r="815" spans="1:21" ht="13.5" thickBot="1" x14ac:dyDescent="0.25">
      <c r="A815" s="123">
        <v>235</v>
      </c>
      <c r="B815" s="123">
        <v>235</v>
      </c>
      <c r="C815" s="123">
        <v>0</v>
      </c>
      <c r="D815" s="123">
        <v>0</v>
      </c>
      <c r="E815" s="123">
        <v>0</v>
      </c>
      <c r="F815" s="123">
        <v>0</v>
      </c>
      <c r="G815" s="123">
        <v>118</v>
      </c>
      <c r="H815" s="123">
        <v>118</v>
      </c>
      <c r="I815" s="123">
        <v>0</v>
      </c>
      <c r="J815" s="123">
        <v>116</v>
      </c>
      <c r="K815" s="123">
        <v>116</v>
      </c>
      <c r="L815" s="123">
        <v>0</v>
      </c>
      <c r="M815" s="123">
        <v>1</v>
      </c>
      <c r="N815" s="123">
        <v>1</v>
      </c>
      <c r="O815" s="123">
        <v>0</v>
      </c>
      <c r="P815" s="123">
        <v>0</v>
      </c>
      <c r="Q815" s="123">
        <v>0</v>
      </c>
      <c r="R815" s="123">
        <v>0</v>
      </c>
      <c r="S815" s="7" t="s">
        <v>13</v>
      </c>
      <c r="T815" s="9"/>
      <c r="U815" s="1"/>
    </row>
    <row r="816" spans="1:21" ht="13.5" thickBot="1" x14ac:dyDescent="0.25">
      <c r="A816" s="123">
        <v>1</v>
      </c>
      <c r="B816" s="123">
        <v>1</v>
      </c>
      <c r="C816" s="123">
        <v>0</v>
      </c>
      <c r="D816" s="123">
        <v>0</v>
      </c>
      <c r="E816" s="123">
        <v>0</v>
      </c>
      <c r="F816" s="123">
        <v>0</v>
      </c>
      <c r="G816" s="123">
        <v>0</v>
      </c>
      <c r="H816" s="123">
        <v>0</v>
      </c>
      <c r="I816" s="123">
        <v>0</v>
      </c>
      <c r="J816" s="123">
        <v>1</v>
      </c>
      <c r="K816" s="123">
        <v>1</v>
      </c>
      <c r="L816" s="123">
        <v>0</v>
      </c>
      <c r="M816" s="123">
        <v>0</v>
      </c>
      <c r="N816" s="123">
        <v>0</v>
      </c>
      <c r="O816" s="123">
        <v>0</v>
      </c>
      <c r="P816" s="123">
        <v>0</v>
      </c>
      <c r="Q816" s="123">
        <v>0</v>
      </c>
      <c r="R816" s="123">
        <v>0</v>
      </c>
      <c r="S816" s="7" t="s">
        <v>163</v>
      </c>
      <c r="T816" s="124"/>
      <c r="U816" s="1"/>
    </row>
    <row r="817" spans="1:21" ht="13.5" thickBot="1" x14ac:dyDescent="0.25">
      <c r="A817" s="123">
        <v>0</v>
      </c>
      <c r="B817" s="123">
        <v>0</v>
      </c>
      <c r="C817" s="123">
        <v>0</v>
      </c>
      <c r="D817" s="123">
        <v>0</v>
      </c>
      <c r="E817" s="123">
        <v>0</v>
      </c>
      <c r="F817" s="123">
        <v>0</v>
      </c>
      <c r="G817" s="123">
        <v>0</v>
      </c>
      <c r="H817" s="123">
        <v>0</v>
      </c>
      <c r="I817" s="123">
        <v>0</v>
      </c>
      <c r="J817" s="123">
        <v>0</v>
      </c>
      <c r="K817" s="123">
        <v>0</v>
      </c>
      <c r="L817" s="123">
        <v>0</v>
      </c>
      <c r="M817" s="123">
        <v>0</v>
      </c>
      <c r="N817" s="123">
        <v>0</v>
      </c>
      <c r="O817" s="123">
        <v>0</v>
      </c>
      <c r="P817" s="123">
        <v>0</v>
      </c>
      <c r="Q817" s="123">
        <v>0</v>
      </c>
      <c r="R817" s="123">
        <v>0</v>
      </c>
      <c r="S817" s="7" t="s">
        <v>162</v>
      </c>
      <c r="T817" s="124" t="s">
        <v>509</v>
      </c>
      <c r="U817" s="1"/>
    </row>
    <row r="818" spans="1:21" ht="13.5" thickBot="1" x14ac:dyDescent="0.25">
      <c r="A818" s="123">
        <v>1</v>
      </c>
      <c r="B818" s="123">
        <v>1</v>
      </c>
      <c r="C818" s="123">
        <v>0</v>
      </c>
      <c r="D818" s="123">
        <v>0</v>
      </c>
      <c r="E818" s="123">
        <v>0</v>
      </c>
      <c r="F818" s="123">
        <v>0</v>
      </c>
      <c r="G818" s="123">
        <v>0</v>
      </c>
      <c r="H818" s="123">
        <v>0</v>
      </c>
      <c r="I818" s="123">
        <v>0</v>
      </c>
      <c r="J818" s="123">
        <v>1</v>
      </c>
      <c r="K818" s="123">
        <v>1</v>
      </c>
      <c r="L818" s="123">
        <v>0</v>
      </c>
      <c r="M818" s="123">
        <v>0</v>
      </c>
      <c r="N818" s="123">
        <v>0</v>
      </c>
      <c r="O818" s="123">
        <v>0</v>
      </c>
      <c r="P818" s="123">
        <v>0</v>
      </c>
      <c r="Q818" s="123">
        <v>0</v>
      </c>
      <c r="R818" s="123">
        <v>0</v>
      </c>
      <c r="S818" s="7" t="s">
        <v>13</v>
      </c>
      <c r="T818" s="9"/>
      <c r="U818" s="1"/>
    </row>
    <row r="819" spans="1:21" ht="13.5" thickBot="1" x14ac:dyDescent="0.25">
      <c r="A819" s="123">
        <v>79</v>
      </c>
      <c r="B819" s="123">
        <v>79</v>
      </c>
      <c r="C819" s="123">
        <v>0</v>
      </c>
      <c r="D819" s="123">
        <v>2</v>
      </c>
      <c r="E819" s="123">
        <v>2</v>
      </c>
      <c r="F819" s="123">
        <v>0</v>
      </c>
      <c r="G819" s="123">
        <v>15</v>
      </c>
      <c r="H819" s="123">
        <v>15</v>
      </c>
      <c r="I819" s="123">
        <v>0</v>
      </c>
      <c r="J819" s="123">
        <v>58</v>
      </c>
      <c r="K819" s="123">
        <v>58</v>
      </c>
      <c r="L819" s="123">
        <v>0</v>
      </c>
      <c r="M819" s="123">
        <v>4</v>
      </c>
      <c r="N819" s="123">
        <v>4</v>
      </c>
      <c r="O819" s="123">
        <v>0</v>
      </c>
      <c r="P819" s="123">
        <v>0</v>
      </c>
      <c r="Q819" s="123">
        <v>0</v>
      </c>
      <c r="R819" s="123">
        <v>0</v>
      </c>
      <c r="S819" s="7" t="s">
        <v>163</v>
      </c>
      <c r="T819" s="124"/>
      <c r="U819" s="1"/>
    </row>
    <row r="820" spans="1:21" ht="13.5" thickBot="1" x14ac:dyDescent="0.25">
      <c r="A820" s="123">
        <v>0</v>
      </c>
      <c r="B820" s="123">
        <v>0</v>
      </c>
      <c r="C820" s="123">
        <v>0</v>
      </c>
      <c r="D820" s="123">
        <v>0</v>
      </c>
      <c r="E820" s="123">
        <v>0</v>
      </c>
      <c r="F820" s="123">
        <v>0</v>
      </c>
      <c r="G820" s="123">
        <v>0</v>
      </c>
      <c r="H820" s="123">
        <v>0</v>
      </c>
      <c r="I820" s="123">
        <v>0</v>
      </c>
      <c r="J820" s="123">
        <v>0</v>
      </c>
      <c r="K820" s="123">
        <v>0</v>
      </c>
      <c r="L820" s="123">
        <v>0</v>
      </c>
      <c r="M820" s="123">
        <v>0</v>
      </c>
      <c r="N820" s="123">
        <v>0</v>
      </c>
      <c r="O820" s="123">
        <v>0</v>
      </c>
      <c r="P820" s="123">
        <v>0</v>
      </c>
      <c r="Q820" s="123">
        <v>0</v>
      </c>
      <c r="R820" s="123">
        <v>0</v>
      </c>
      <c r="S820" s="7" t="s">
        <v>162</v>
      </c>
      <c r="T820" s="124" t="s">
        <v>520</v>
      </c>
      <c r="U820" s="1"/>
    </row>
    <row r="821" spans="1:21" ht="13.5" thickBot="1" x14ac:dyDescent="0.25">
      <c r="A821" s="123">
        <v>79</v>
      </c>
      <c r="B821" s="123">
        <v>79</v>
      </c>
      <c r="C821" s="123">
        <v>0</v>
      </c>
      <c r="D821" s="123">
        <v>2</v>
      </c>
      <c r="E821" s="123">
        <v>2</v>
      </c>
      <c r="F821" s="123">
        <v>0</v>
      </c>
      <c r="G821" s="123">
        <v>15</v>
      </c>
      <c r="H821" s="123">
        <v>15</v>
      </c>
      <c r="I821" s="123">
        <v>0</v>
      </c>
      <c r="J821" s="123">
        <v>58</v>
      </c>
      <c r="K821" s="123">
        <v>58</v>
      </c>
      <c r="L821" s="123">
        <v>0</v>
      </c>
      <c r="M821" s="123">
        <v>4</v>
      </c>
      <c r="N821" s="123">
        <v>4</v>
      </c>
      <c r="O821" s="123">
        <v>0</v>
      </c>
      <c r="P821" s="123">
        <v>0</v>
      </c>
      <c r="Q821" s="123">
        <v>0</v>
      </c>
      <c r="R821" s="123">
        <v>0</v>
      </c>
      <c r="S821" s="7" t="s">
        <v>13</v>
      </c>
      <c r="T821" s="9"/>
      <c r="U821" s="1"/>
    </row>
    <row r="822" spans="1:21" ht="13.5" thickBot="1" x14ac:dyDescent="0.25">
      <c r="A822" s="123">
        <v>6</v>
      </c>
      <c r="B822" s="123">
        <v>6</v>
      </c>
      <c r="C822" s="123">
        <v>0</v>
      </c>
      <c r="D822" s="123">
        <v>0</v>
      </c>
      <c r="E822" s="123">
        <v>0</v>
      </c>
      <c r="F822" s="123">
        <v>0</v>
      </c>
      <c r="G822" s="123">
        <v>5</v>
      </c>
      <c r="H822" s="123">
        <v>5</v>
      </c>
      <c r="I822" s="123">
        <v>0</v>
      </c>
      <c r="J822" s="123">
        <v>1</v>
      </c>
      <c r="K822" s="123">
        <v>1</v>
      </c>
      <c r="L822" s="123">
        <v>0</v>
      </c>
      <c r="M822" s="123">
        <v>0</v>
      </c>
      <c r="N822" s="123">
        <v>0</v>
      </c>
      <c r="O822" s="123">
        <v>0</v>
      </c>
      <c r="P822" s="123">
        <v>0</v>
      </c>
      <c r="Q822" s="123">
        <v>0</v>
      </c>
      <c r="R822" s="123">
        <v>0</v>
      </c>
      <c r="S822" s="7" t="s">
        <v>163</v>
      </c>
      <c r="T822" s="124"/>
      <c r="U822" s="1"/>
    </row>
    <row r="823" spans="1:21" ht="13.5" thickBot="1" x14ac:dyDescent="0.25">
      <c r="A823" s="123">
        <v>0</v>
      </c>
      <c r="B823" s="123">
        <v>0</v>
      </c>
      <c r="C823" s="123">
        <v>0</v>
      </c>
      <c r="D823" s="123">
        <v>0</v>
      </c>
      <c r="E823" s="123">
        <v>0</v>
      </c>
      <c r="F823" s="123">
        <v>0</v>
      </c>
      <c r="G823" s="123">
        <v>0</v>
      </c>
      <c r="H823" s="123">
        <v>0</v>
      </c>
      <c r="I823" s="123">
        <v>0</v>
      </c>
      <c r="J823" s="123">
        <v>0</v>
      </c>
      <c r="K823" s="123">
        <v>0</v>
      </c>
      <c r="L823" s="123">
        <v>0</v>
      </c>
      <c r="M823" s="123">
        <v>0</v>
      </c>
      <c r="N823" s="123">
        <v>0</v>
      </c>
      <c r="O823" s="123">
        <v>0</v>
      </c>
      <c r="P823" s="123">
        <v>0</v>
      </c>
      <c r="Q823" s="123">
        <v>0</v>
      </c>
      <c r="R823" s="123">
        <v>0</v>
      </c>
      <c r="S823" s="7" t="s">
        <v>162</v>
      </c>
      <c r="T823" s="124" t="s">
        <v>521</v>
      </c>
      <c r="U823" s="1"/>
    </row>
    <row r="824" spans="1:21" ht="13.5" thickBot="1" x14ac:dyDescent="0.25">
      <c r="A824" s="123">
        <v>6</v>
      </c>
      <c r="B824" s="123">
        <v>6</v>
      </c>
      <c r="C824" s="123">
        <v>0</v>
      </c>
      <c r="D824" s="123">
        <v>0</v>
      </c>
      <c r="E824" s="123">
        <v>0</v>
      </c>
      <c r="F824" s="123">
        <v>0</v>
      </c>
      <c r="G824" s="123">
        <v>5</v>
      </c>
      <c r="H824" s="123">
        <v>5</v>
      </c>
      <c r="I824" s="123">
        <v>0</v>
      </c>
      <c r="J824" s="123">
        <v>1</v>
      </c>
      <c r="K824" s="123">
        <v>1</v>
      </c>
      <c r="L824" s="123">
        <v>0</v>
      </c>
      <c r="M824" s="123">
        <v>0</v>
      </c>
      <c r="N824" s="123">
        <v>0</v>
      </c>
      <c r="O824" s="123">
        <v>0</v>
      </c>
      <c r="P824" s="123">
        <v>0</v>
      </c>
      <c r="Q824" s="123">
        <v>0</v>
      </c>
      <c r="R824" s="123">
        <v>0</v>
      </c>
      <c r="S824" s="7" t="s">
        <v>13</v>
      </c>
      <c r="T824" s="9"/>
      <c r="U824" s="1"/>
    </row>
    <row r="825" spans="1:21" ht="13.5" thickBot="1" x14ac:dyDescent="0.25">
      <c r="A825" s="123">
        <v>479</v>
      </c>
      <c r="B825" s="123">
        <v>478</v>
      </c>
      <c r="C825" s="123">
        <v>1</v>
      </c>
      <c r="D825" s="123">
        <v>8</v>
      </c>
      <c r="E825" s="123">
        <v>8</v>
      </c>
      <c r="F825" s="123">
        <v>0</v>
      </c>
      <c r="G825" s="123">
        <v>179</v>
      </c>
      <c r="H825" s="123">
        <v>178</v>
      </c>
      <c r="I825" s="123">
        <v>1</v>
      </c>
      <c r="J825" s="123">
        <v>285</v>
      </c>
      <c r="K825" s="123">
        <v>285</v>
      </c>
      <c r="L825" s="123">
        <v>0</v>
      </c>
      <c r="M825" s="123">
        <v>7</v>
      </c>
      <c r="N825" s="123">
        <v>7</v>
      </c>
      <c r="O825" s="123">
        <v>0</v>
      </c>
      <c r="P825" s="123">
        <v>0</v>
      </c>
      <c r="Q825" s="123">
        <v>0</v>
      </c>
      <c r="R825" s="123">
        <v>0</v>
      </c>
      <c r="S825" s="7" t="s">
        <v>163</v>
      </c>
      <c r="T825" s="3"/>
      <c r="U825" s="1"/>
    </row>
    <row r="826" spans="1:21" ht="13.5" thickBot="1" x14ac:dyDescent="0.25">
      <c r="A826" s="123">
        <v>0</v>
      </c>
      <c r="B826" s="123">
        <v>0</v>
      </c>
      <c r="C826" s="123">
        <v>0</v>
      </c>
      <c r="D826" s="123">
        <v>0</v>
      </c>
      <c r="E826" s="123">
        <v>0</v>
      </c>
      <c r="F826" s="123">
        <v>0</v>
      </c>
      <c r="G826" s="123">
        <v>0</v>
      </c>
      <c r="H826" s="123">
        <v>0</v>
      </c>
      <c r="I826" s="123">
        <v>0</v>
      </c>
      <c r="J826" s="123">
        <v>0</v>
      </c>
      <c r="K826" s="123">
        <v>0</v>
      </c>
      <c r="L826" s="123">
        <v>0</v>
      </c>
      <c r="M826" s="123">
        <v>0</v>
      </c>
      <c r="N826" s="123">
        <v>0</v>
      </c>
      <c r="O826" s="123">
        <v>0</v>
      </c>
      <c r="P826" s="123">
        <v>0</v>
      </c>
      <c r="Q826" s="123">
        <v>0</v>
      </c>
      <c r="R826" s="123">
        <v>0</v>
      </c>
      <c r="S826" s="7" t="s">
        <v>162</v>
      </c>
      <c r="T826" s="11" t="s">
        <v>211</v>
      </c>
      <c r="U826" s="1"/>
    </row>
    <row r="827" spans="1:21" ht="13.5" thickBot="1" x14ac:dyDescent="0.25">
      <c r="A827" s="123">
        <v>479</v>
      </c>
      <c r="B827" s="123">
        <v>478</v>
      </c>
      <c r="C827" s="123">
        <v>1</v>
      </c>
      <c r="D827" s="123">
        <v>8</v>
      </c>
      <c r="E827" s="123">
        <v>8</v>
      </c>
      <c r="F827" s="123">
        <v>0</v>
      </c>
      <c r="G827" s="123">
        <v>179</v>
      </c>
      <c r="H827" s="123">
        <v>178</v>
      </c>
      <c r="I827" s="123">
        <v>1</v>
      </c>
      <c r="J827" s="123">
        <v>285</v>
      </c>
      <c r="K827" s="123">
        <v>285</v>
      </c>
      <c r="L827" s="123">
        <v>0</v>
      </c>
      <c r="M827" s="123">
        <v>7</v>
      </c>
      <c r="N827" s="123">
        <v>7</v>
      </c>
      <c r="O827" s="123">
        <v>0</v>
      </c>
      <c r="P827" s="123">
        <v>0</v>
      </c>
      <c r="Q827" s="123">
        <v>0</v>
      </c>
      <c r="R827" s="123">
        <v>0</v>
      </c>
      <c r="S827" s="7" t="s">
        <v>13</v>
      </c>
      <c r="T827" s="5"/>
      <c r="U827" s="1"/>
    </row>
    <row r="828" spans="1:21" ht="18" customHeight="1" x14ac:dyDescent="0.2">
      <c r="A828" s="207"/>
      <c r="B828" s="207"/>
      <c r="C828" s="207"/>
      <c r="D828" s="207"/>
      <c r="E828" s="207"/>
      <c r="F828" s="207"/>
      <c r="G828" s="207"/>
      <c r="H828" s="207"/>
      <c r="I828" s="207"/>
      <c r="J828" s="207"/>
      <c r="K828" s="207"/>
      <c r="L828" s="207"/>
      <c r="M828" s="207"/>
      <c r="N828" s="207"/>
      <c r="O828" s="207"/>
      <c r="P828" s="207"/>
      <c r="Q828" s="207"/>
      <c r="R828" s="207"/>
      <c r="S828" s="207"/>
      <c r="T828" s="207"/>
      <c r="U828" s="1"/>
    </row>
    <row r="829" spans="1:21" ht="18" customHeight="1" x14ac:dyDescent="0.2">
      <c r="A829" s="159" t="s">
        <v>665</v>
      </c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"/>
    </row>
    <row r="830" spans="1:21" ht="18" customHeight="1" thickBot="1" x14ac:dyDescent="0.25">
      <c r="A830" s="160" t="s">
        <v>667</v>
      </c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"/>
    </row>
    <row r="831" spans="1:21" ht="13.5" thickBot="1" x14ac:dyDescent="0.25">
      <c r="A831" s="204" t="s">
        <v>5</v>
      </c>
      <c r="B831" s="204"/>
      <c r="C831" s="204"/>
      <c r="D831" s="204" t="s">
        <v>57</v>
      </c>
      <c r="E831" s="204"/>
      <c r="F831" s="204"/>
      <c r="G831" s="204" t="s">
        <v>66</v>
      </c>
      <c r="H831" s="204"/>
      <c r="I831" s="204"/>
      <c r="J831" s="204" t="s">
        <v>65</v>
      </c>
      <c r="K831" s="204"/>
      <c r="L831" s="204"/>
      <c r="M831" s="204" t="s">
        <v>62</v>
      </c>
      <c r="N831" s="204"/>
      <c r="O831" s="204"/>
      <c r="P831" s="204" t="s">
        <v>61</v>
      </c>
      <c r="Q831" s="204"/>
      <c r="R831" s="204"/>
      <c r="S831" s="205" t="s">
        <v>614</v>
      </c>
      <c r="T831" s="47" t="s">
        <v>161</v>
      </c>
      <c r="U831" s="1"/>
    </row>
    <row r="832" spans="1:21" ht="13.5" thickBot="1" x14ac:dyDescent="0.25">
      <c r="A832" s="47" t="s">
        <v>216</v>
      </c>
      <c r="B832" s="47" t="s">
        <v>11</v>
      </c>
      <c r="C832" s="47" t="s">
        <v>10</v>
      </c>
      <c r="D832" s="47" t="s">
        <v>216</v>
      </c>
      <c r="E832" s="47" t="s">
        <v>11</v>
      </c>
      <c r="F832" s="47" t="s">
        <v>10</v>
      </c>
      <c r="G832" s="47" t="s">
        <v>216</v>
      </c>
      <c r="H832" s="47" t="s">
        <v>11</v>
      </c>
      <c r="I832" s="47" t="s">
        <v>10</v>
      </c>
      <c r="J832" s="47" t="s">
        <v>216</v>
      </c>
      <c r="K832" s="47" t="s">
        <v>11</v>
      </c>
      <c r="L832" s="47" t="s">
        <v>10</v>
      </c>
      <c r="M832" s="47" t="s">
        <v>216</v>
      </c>
      <c r="N832" s="47" t="s">
        <v>11</v>
      </c>
      <c r="O832" s="47" t="s">
        <v>10</v>
      </c>
      <c r="P832" s="47" t="s">
        <v>216</v>
      </c>
      <c r="Q832" s="47" t="s">
        <v>11</v>
      </c>
      <c r="R832" s="47" t="s">
        <v>10</v>
      </c>
      <c r="S832" s="206"/>
      <c r="T832" s="5" t="s">
        <v>133</v>
      </c>
      <c r="U832" s="1"/>
    </row>
    <row r="833" spans="1:21" ht="13.5" thickBot="1" x14ac:dyDescent="0.25">
      <c r="A833" s="123">
        <v>13</v>
      </c>
      <c r="B833" s="123">
        <v>0</v>
      </c>
      <c r="C833" s="123">
        <v>13</v>
      </c>
      <c r="D833" s="123">
        <v>4</v>
      </c>
      <c r="E833" s="123">
        <v>0</v>
      </c>
      <c r="F833" s="123">
        <v>4</v>
      </c>
      <c r="G833" s="123">
        <v>4</v>
      </c>
      <c r="H833" s="123">
        <v>0</v>
      </c>
      <c r="I833" s="123">
        <v>4</v>
      </c>
      <c r="J833" s="123">
        <v>4</v>
      </c>
      <c r="K833" s="123">
        <v>0</v>
      </c>
      <c r="L833" s="123">
        <v>4</v>
      </c>
      <c r="M833" s="123">
        <v>0</v>
      </c>
      <c r="N833" s="123">
        <v>0</v>
      </c>
      <c r="O833" s="123">
        <v>0</v>
      </c>
      <c r="P833" s="123">
        <v>1</v>
      </c>
      <c r="Q833" s="123">
        <v>0</v>
      </c>
      <c r="R833" s="123">
        <v>1</v>
      </c>
      <c r="S833" s="7" t="s">
        <v>163</v>
      </c>
      <c r="T833" s="124"/>
      <c r="U833" s="1"/>
    </row>
    <row r="834" spans="1:21" ht="13.5" thickBot="1" x14ac:dyDescent="0.25">
      <c r="A834" s="123">
        <v>0</v>
      </c>
      <c r="B834" s="123">
        <v>0</v>
      </c>
      <c r="C834" s="123">
        <v>0</v>
      </c>
      <c r="D834" s="123">
        <v>0</v>
      </c>
      <c r="E834" s="123">
        <v>0</v>
      </c>
      <c r="F834" s="123">
        <v>0</v>
      </c>
      <c r="G834" s="123">
        <v>0</v>
      </c>
      <c r="H834" s="123">
        <v>0</v>
      </c>
      <c r="I834" s="123">
        <v>0</v>
      </c>
      <c r="J834" s="123">
        <v>0</v>
      </c>
      <c r="K834" s="123">
        <v>0</v>
      </c>
      <c r="L834" s="123">
        <v>0</v>
      </c>
      <c r="M834" s="123">
        <v>0</v>
      </c>
      <c r="N834" s="123">
        <v>0</v>
      </c>
      <c r="O834" s="123">
        <v>0</v>
      </c>
      <c r="P834" s="123">
        <v>0</v>
      </c>
      <c r="Q834" s="123">
        <v>0</v>
      </c>
      <c r="R834" s="123">
        <v>0</v>
      </c>
      <c r="S834" s="7" t="s">
        <v>162</v>
      </c>
      <c r="T834" s="124" t="s">
        <v>524</v>
      </c>
      <c r="U834" s="1"/>
    </row>
    <row r="835" spans="1:21" ht="13.5" thickBot="1" x14ac:dyDescent="0.25">
      <c r="A835" s="123">
        <v>13</v>
      </c>
      <c r="B835" s="123">
        <v>0</v>
      </c>
      <c r="C835" s="123">
        <v>13</v>
      </c>
      <c r="D835" s="123">
        <v>4</v>
      </c>
      <c r="E835" s="123">
        <v>0</v>
      </c>
      <c r="F835" s="123">
        <v>4</v>
      </c>
      <c r="G835" s="123">
        <v>4</v>
      </c>
      <c r="H835" s="123">
        <v>0</v>
      </c>
      <c r="I835" s="123">
        <v>4</v>
      </c>
      <c r="J835" s="123">
        <v>4</v>
      </c>
      <c r="K835" s="123">
        <v>0</v>
      </c>
      <c r="L835" s="123">
        <v>4</v>
      </c>
      <c r="M835" s="123">
        <v>0</v>
      </c>
      <c r="N835" s="123">
        <v>0</v>
      </c>
      <c r="O835" s="123">
        <v>0</v>
      </c>
      <c r="P835" s="123">
        <v>1</v>
      </c>
      <c r="Q835" s="123">
        <v>0</v>
      </c>
      <c r="R835" s="123">
        <v>1</v>
      </c>
      <c r="S835" s="7" t="s">
        <v>13</v>
      </c>
      <c r="T835" s="9"/>
      <c r="U835" s="1"/>
    </row>
    <row r="836" spans="1:21" ht="13.5" thickBot="1" x14ac:dyDescent="0.25">
      <c r="A836" s="123">
        <v>6</v>
      </c>
      <c r="B836" s="123">
        <v>6</v>
      </c>
      <c r="C836" s="123">
        <v>0</v>
      </c>
      <c r="D836" s="123">
        <v>1</v>
      </c>
      <c r="E836" s="123">
        <v>1</v>
      </c>
      <c r="F836" s="123">
        <v>0</v>
      </c>
      <c r="G836" s="123">
        <v>1</v>
      </c>
      <c r="H836" s="123">
        <v>1</v>
      </c>
      <c r="I836" s="123">
        <v>0</v>
      </c>
      <c r="J836" s="123">
        <v>4</v>
      </c>
      <c r="K836" s="123">
        <v>4</v>
      </c>
      <c r="L836" s="123">
        <v>0</v>
      </c>
      <c r="M836" s="123">
        <v>0</v>
      </c>
      <c r="N836" s="123">
        <v>0</v>
      </c>
      <c r="O836" s="123">
        <v>0</v>
      </c>
      <c r="P836" s="123">
        <v>0</v>
      </c>
      <c r="Q836" s="123">
        <v>0</v>
      </c>
      <c r="R836" s="123">
        <v>0</v>
      </c>
      <c r="S836" s="7" t="s">
        <v>163</v>
      </c>
      <c r="T836" s="124"/>
      <c r="U836" s="1"/>
    </row>
    <row r="837" spans="1:21" ht="13.5" thickBot="1" x14ac:dyDescent="0.25">
      <c r="A837" s="123">
        <v>0</v>
      </c>
      <c r="B837" s="123">
        <v>0</v>
      </c>
      <c r="C837" s="123">
        <v>0</v>
      </c>
      <c r="D837" s="123">
        <v>0</v>
      </c>
      <c r="E837" s="123">
        <v>0</v>
      </c>
      <c r="F837" s="123">
        <v>0</v>
      </c>
      <c r="G837" s="123">
        <v>0</v>
      </c>
      <c r="H837" s="123">
        <v>0</v>
      </c>
      <c r="I837" s="123">
        <v>0</v>
      </c>
      <c r="J837" s="123">
        <v>0</v>
      </c>
      <c r="K837" s="123">
        <v>0</v>
      </c>
      <c r="L837" s="123">
        <v>0</v>
      </c>
      <c r="M837" s="123">
        <v>0</v>
      </c>
      <c r="N837" s="123">
        <v>0</v>
      </c>
      <c r="O837" s="123">
        <v>0</v>
      </c>
      <c r="P837" s="123">
        <v>0</v>
      </c>
      <c r="Q837" s="123">
        <v>0</v>
      </c>
      <c r="R837" s="123">
        <v>0</v>
      </c>
      <c r="S837" s="7" t="s">
        <v>162</v>
      </c>
      <c r="T837" s="124" t="s">
        <v>132</v>
      </c>
      <c r="U837" s="1"/>
    </row>
    <row r="838" spans="1:21" ht="13.5" thickBot="1" x14ac:dyDescent="0.25">
      <c r="A838" s="123">
        <v>6</v>
      </c>
      <c r="B838" s="123">
        <v>6</v>
      </c>
      <c r="C838" s="123">
        <v>0</v>
      </c>
      <c r="D838" s="123">
        <v>1</v>
      </c>
      <c r="E838" s="123">
        <v>1</v>
      </c>
      <c r="F838" s="123">
        <v>0</v>
      </c>
      <c r="G838" s="123">
        <v>1</v>
      </c>
      <c r="H838" s="123">
        <v>1</v>
      </c>
      <c r="I838" s="123">
        <v>0</v>
      </c>
      <c r="J838" s="123">
        <v>4</v>
      </c>
      <c r="K838" s="123">
        <v>4</v>
      </c>
      <c r="L838" s="123">
        <v>0</v>
      </c>
      <c r="M838" s="123">
        <v>0</v>
      </c>
      <c r="N838" s="123">
        <v>0</v>
      </c>
      <c r="O838" s="123">
        <v>0</v>
      </c>
      <c r="P838" s="123">
        <v>0</v>
      </c>
      <c r="Q838" s="123">
        <v>0</v>
      </c>
      <c r="R838" s="123">
        <v>0</v>
      </c>
      <c r="S838" s="7" t="s">
        <v>13</v>
      </c>
      <c r="T838" s="9"/>
      <c r="U838" s="1"/>
    </row>
    <row r="839" spans="1:21" ht="13.5" thickBot="1" x14ac:dyDescent="0.25">
      <c r="A839" s="123">
        <v>15</v>
      </c>
      <c r="B839" s="123">
        <v>0</v>
      </c>
      <c r="C839" s="123">
        <v>15</v>
      </c>
      <c r="D839" s="123">
        <v>14</v>
      </c>
      <c r="E839" s="123">
        <v>0</v>
      </c>
      <c r="F839" s="123">
        <v>14</v>
      </c>
      <c r="G839" s="123">
        <v>1</v>
      </c>
      <c r="H839" s="123">
        <v>0</v>
      </c>
      <c r="I839" s="123">
        <v>1</v>
      </c>
      <c r="J839" s="123">
        <v>0</v>
      </c>
      <c r="K839" s="123">
        <v>0</v>
      </c>
      <c r="L839" s="123">
        <v>0</v>
      </c>
      <c r="M839" s="123">
        <v>0</v>
      </c>
      <c r="N839" s="123">
        <v>0</v>
      </c>
      <c r="O839" s="123">
        <v>0</v>
      </c>
      <c r="P839" s="123">
        <v>0</v>
      </c>
      <c r="Q839" s="123">
        <v>0</v>
      </c>
      <c r="R839" s="123">
        <v>0</v>
      </c>
      <c r="S839" s="7" t="s">
        <v>163</v>
      </c>
      <c r="T839" s="124"/>
      <c r="U839" s="1"/>
    </row>
    <row r="840" spans="1:21" ht="13.5" thickBot="1" x14ac:dyDescent="0.25">
      <c r="A840" s="123">
        <v>0</v>
      </c>
      <c r="B840" s="123">
        <v>0</v>
      </c>
      <c r="C840" s="123">
        <v>0</v>
      </c>
      <c r="D840" s="123">
        <v>0</v>
      </c>
      <c r="E840" s="123">
        <v>0</v>
      </c>
      <c r="F840" s="123">
        <v>0</v>
      </c>
      <c r="G840" s="123">
        <v>0</v>
      </c>
      <c r="H840" s="123">
        <v>0</v>
      </c>
      <c r="I840" s="123">
        <v>0</v>
      </c>
      <c r="J840" s="123">
        <v>0</v>
      </c>
      <c r="K840" s="123">
        <v>0</v>
      </c>
      <c r="L840" s="123">
        <v>0</v>
      </c>
      <c r="M840" s="123">
        <v>0</v>
      </c>
      <c r="N840" s="123">
        <v>0</v>
      </c>
      <c r="O840" s="123">
        <v>0</v>
      </c>
      <c r="P840" s="123">
        <v>0</v>
      </c>
      <c r="Q840" s="123">
        <v>0</v>
      </c>
      <c r="R840" s="123">
        <v>0</v>
      </c>
      <c r="S840" s="7" t="s">
        <v>162</v>
      </c>
      <c r="T840" s="124" t="s">
        <v>638</v>
      </c>
      <c r="U840" s="1"/>
    </row>
    <row r="841" spans="1:21" ht="13.5" thickBot="1" x14ac:dyDescent="0.25">
      <c r="A841" s="123">
        <v>15</v>
      </c>
      <c r="B841" s="123">
        <v>0</v>
      </c>
      <c r="C841" s="123">
        <v>15</v>
      </c>
      <c r="D841" s="123">
        <v>14</v>
      </c>
      <c r="E841" s="123">
        <v>0</v>
      </c>
      <c r="F841" s="123">
        <v>14</v>
      </c>
      <c r="G841" s="123">
        <v>1</v>
      </c>
      <c r="H841" s="123">
        <v>0</v>
      </c>
      <c r="I841" s="123">
        <v>1</v>
      </c>
      <c r="J841" s="123">
        <v>0</v>
      </c>
      <c r="K841" s="123">
        <v>0</v>
      </c>
      <c r="L841" s="123">
        <v>0</v>
      </c>
      <c r="M841" s="123">
        <v>0</v>
      </c>
      <c r="N841" s="123">
        <v>0</v>
      </c>
      <c r="O841" s="123">
        <v>0</v>
      </c>
      <c r="P841" s="123">
        <v>0</v>
      </c>
      <c r="Q841" s="123">
        <v>0</v>
      </c>
      <c r="R841" s="123">
        <v>0</v>
      </c>
      <c r="S841" s="7" t="s">
        <v>13</v>
      </c>
      <c r="T841" s="9"/>
      <c r="U841" s="1"/>
    </row>
    <row r="842" spans="1:21" ht="13.5" thickBot="1" x14ac:dyDescent="0.25">
      <c r="A842" s="123">
        <v>9</v>
      </c>
      <c r="B842" s="123">
        <v>9</v>
      </c>
      <c r="C842" s="123">
        <v>0</v>
      </c>
      <c r="D842" s="123">
        <v>2</v>
      </c>
      <c r="E842" s="123">
        <v>2</v>
      </c>
      <c r="F842" s="123">
        <v>0</v>
      </c>
      <c r="G842" s="123">
        <v>1</v>
      </c>
      <c r="H842" s="123">
        <v>1</v>
      </c>
      <c r="I842" s="123">
        <v>0</v>
      </c>
      <c r="J842" s="123">
        <v>6</v>
      </c>
      <c r="K842" s="123">
        <v>6</v>
      </c>
      <c r="L842" s="123">
        <v>0</v>
      </c>
      <c r="M842" s="123">
        <v>0</v>
      </c>
      <c r="N842" s="123">
        <v>0</v>
      </c>
      <c r="O842" s="123">
        <v>0</v>
      </c>
      <c r="P842" s="123">
        <v>0</v>
      </c>
      <c r="Q842" s="123">
        <v>0</v>
      </c>
      <c r="R842" s="123">
        <v>0</v>
      </c>
      <c r="S842" s="7" t="s">
        <v>163</v>
      </c>
      <c r="T842" s="124"/>
      <c r="U842" s="1"/>
    </row>
    <row r="843" spans="1:21" ht="13.5" thickBot="1" x14ac:dyDescent="0.25">
      <c r="A843" s="123">
        <v>0</v>
      </c>
      <c r="B843" s="123">
        <v>0</v>
      </c>
      <c r="C843" s="123">
        <v>0</v>
      </c>
      <c r="D843" s="123">
        <v>0</v>
      </c>
      <c r="E843" s="123">
        <v>0</v>
      </c>
      <c r="F843" s="123">
        <v>0</v>
      </c>
      <c r="G843" s="123">
        <v>0</v>
      </c>
      <c r="H843" s="123">
        <v>0</v>
      </c>
      <c r="I843" s="123">
        <v>0</v>
      </c>
      <c r="J843" s="123">
        <v>0</v>
      </c>
      <c r="K843" s="123">
        <v>0</v>
      </c>
      <c r="L843" s="123">
        <v>0</v>
      </c>
      <c r="M843" s="123">
        <v>0</v>
      </c>
      <c r="N843" s="123">
        <v>0</v>
      </c>
      <c r="O843" s="123">
        <v>0</v>
      </c>
      <c r="P843" s="123">
        <v>0</v>
      </c>
      <c r="Q843" s="123">
        <v>0</v>
      </c>
      <c r="R843" s="123">
        <v>0</v>
      </c>
      <c r="S843" s="7" t="s">
        <v>162</v>
      </c>
      <c r="T843" s="124" t="s">
        <v>525</v>
      </c>
      <c r="U843" s="1"/>
    </row>
    <row r="844" spans="1:21" ht="13.5" thickBot="1" x14ac:dyDescent="0.25">
      <c r="A844" s="123">
        <v>9</v>
      </c>
      <c r="B844" s="123">
        <v>9</v>
      </c>
      <c r="C844" s="123">
        <v>0</v>
      </c>
      <c r="D844" s="123">
        <v>2</v>
      </c>
      <c r="E844" s="123">
        <v>2</v>
      </c>
      <c r="F844" s="123">
        <v>0</v>
      </c>
      <c r="G844" s="123">
        <v>1</v>
      </c>
      <c r="H844" s="123">
        <v>1</v>
      </c>
      <c r="I844" s="123">
        <v>0</v>
      </c>
      <c r="J844" s="123">
        <v>6</v>
      </c>
      <c r="K844" s="123">
        <v>6</v>
      </c>
      <c r="L844" s="123">
        <v>0</v>
      </c>
      <c r="M844" s="123">
        <v>0</v>
      </c>
      <c r="N844" s="123">
        <v>0</v>
      </c>
      <c r="O844" s="123">
        <v>0</v>
      </c>
      <c r="P844" s="123">
        <v>0</v>
      </c>
      <c r="Q844" s="123">
        <v>0</v>
      </c>
      <c r="R844" s="123">
        <v>0</v>
      </c>
      <c r="S844" s="7" t="s">
        <v>13</v>
      </c>
      <c r="T844" s="9"/>
      <c r="U844" s="1"/>
    </row>
    <row r="845" spans="1:21" ht="13.5" thickBot="1" x14ac:dyDescent="0.25">
      <c r="A845" s="123">
        <v>17</v>
      </c>
      <c r="B845" s="123">
        <v>0</v>
      </c>
      <c r="C845" s="123">
        <v>17</v>
      </c>
      <c r="D845" s="123">
        <v>11</v>
      </c>
      <c r="E845" s="123">
        <v>0</v>
      </c>
      <c r="F845" s="123">
        <v>11</v>
      </c>
      <c r="G845" s="123">
        <v>0</v>
      </c>
      <c r="H845" s="123">
        <v>0</v>
      </c>
      <c r="I845" s="123">
        <v>0</v>
      </c>
      <c r="J845" s="123">
        <v>6</v>
      </c>
      <c r="K845" s="123">
        <v>0</v>
      </c>
      <c r="L845" s="123">
        <v>6</v>
      </c>
      <c r="M845" s="123">
        <v>0</v>
      </c>
      <c r="N845" s="123">
        <v>0</v>
      </c>
      <c r="O845" s="123">
        <v>0</v>
      </c>
      <c r="P845" s="123">
        <v>0</v>
      </c>
      <c r="Q845" s="123">
        <v>0</v>
      </c>
      <c r="R845" s="123">
        <v>0</v>
      </c>
      <c r="S845" s="7" t="s">
        <v>163</v>
      </c>
      <c r="T845" s="124"/>
      <c r="U845" s="1"/>
    </row>
    <row r="846" spans="1:21" ht="13.5" thickBot="1" x14ac:dyDescent="0.25">
      <c r="A846" s="123">
        <v>0</v>
      </c>
      <c r="B846" s="123">
        <v>0</v>
      </c>
      <c r="C846" s="123">
        <v>0</v>
      </c>
      <c r="D846" s="123">
        <v>0</v>
      </c>
      <c r="E846" s="123">
        <v>0</v>
      </c>
      <c r="F846" s="123">
        <v>0</v>
      </c>
      <c r="G846" s="123">
        <v>0</v>
      </c>
      <c r="H846" s="123">
        <v>0</v>
      </c>
      <c r="I846" s="123">
        <v>0</v>
      </c>
      <c r="J846" s="123">
        <v>0</v>
      </c>
      <c r="K846" s="123">
        <v>0</v>
      </c>
      <c r="L846" s="123">
        <v>0</v>
      </c>
      <c r="M846" s="123">
        <v>0</v>
      </c>
      <c r="N846" s="123">
        <v>0</v>
      </c>
      <c r="O846" s="123">
        <v>0</v>
      </c>
      <c r="P846" s="123">
        <v>0</v>
      </c>
      <c r="Q846" s="123">
        <v>0</v>
      </c>
      <c r="R846" s="123">
        <v>0</v>
      </c>
      <c r="S846" s="7" t="s">
        <v>162</v>
      </c>
      <c r="T846" s="124" t="s">
        <v>134</v>
      </c>
      <c r="U846" s="1"/>
    </row>
    <row r="847" spans="1:21" ht="13.5" thickBot="1" x14ac:dyDescent="0.25">
      <c r="A847" s="123">
        <v>17</v>
      </c>
      <c r="B847" s="123">
        <v>0</v>
      </c>
      <c r="C847" s="123">
        <v>17</v>
      </c>
      <c r="D847" s="123">
        <v>11</v>
      </c>
      <c r="E847" s="123">
        <v>0</v>
      </c>
      <c r="F847" s="123">
        <v>11</v>
      </c>
      <c r="G847" s="123">
        <v>0</v>
      </c>
      <c r="H847" s="123">
        <v>0</v>
      </c>
      <c r="I847" s="123">
        <v>0</v>
      </c>
      <c r="J847" s="123">
        <v>6</v>
      </c>
      <c r="K847" s="123">
        <v>0</v>
      </c>
      <c r="L847" s="123">
        <v>6</v>
      </c>
      <c r="M847" s="123">
        <v>0</v>
      </c>
      <c r="N847" s="123">
        <v>0</v>
      </c>
      <c r="O847" s="123">
        <v>0</v>
      </c>
      <c r="P847" s="123">
        <v>0</v>
      </c>
      <c r="Q847" s="123">
        <v>0</v>
      </c>
      <c r="R847" s="123">
        <v>0</v>
      </c>
      <c r="S847" s="7" t="s">
        <v>13</v>
      </c>
      <c r="T847" s="9"/>
      <c r="U847" s="1"/>
    </row>
    <row r="848" spans="1:21" ht="13.5" thickBot="1" x14ac:dyDescent="0.25">
      <c r="A848" s="123">
        <v>60</v>
      </c>
      <c r="B848" s="123">
        <v>15</v>
      </c>
      <c r="C848" s="123">
        <v>45</v>
      </c>
      <c r="D848" s="123">
        <v>32</v>
      </c>
      <c r="E848" s="123">
        <v>3</v>
      </c>
      <c r="F848" s="123">
        <v>29</v>
      </c>
      <c r="G848" s="123">
        <v>7</v>
      </c>
      <c r="H848" s="123">
        <v>2</v>
      </c>
      <c r="I848" s="123">
        <v>5</v>
      </c>
      <c r="J848" s="123">
        <v>20</v>
      </c>
      <c r="K848" s="123">
        <v>10</v>
      </c>
      <c r="L848" s="123">
        <v>10</v>
      </c>
      <c r="M848" s="123">
        <v>0</v>
      </c>
      <c r="N848" s="123">
        <v>0</v>
      </c>
      <c r="O848" s="123">
        <v>0</v>
      </c>
      <c r="P848" s="123">
        <v>1</v>
      </c>
      <c r="Q848" s="123">
        <v>0</v>
      </c>
      <c r="R848" s="123">
        <v>1</v>
      </c>
      <c r="S848" s="7" t="s">
        <v>163</v>
      </c>
      <c r="T848" s="3"/>
      <c r="U848" s="1"/>
    </row>
    <row r="849" spans="1:21" ht="13.5" thickBot="1" x14ac:dyDescent="0.25">
      <c r="A849" s="123">
        <v>0</v>
      </c>
      <c r="B849" s="123">
        <v>0</v>
      </c>
      <c r="C849" s="123">
        <v>0</v>
      </c>
      <c r="D849" s="123">
        <v>0</v>
      </c>
      <c r="E849" s="123">
        <v>0</v>
      </c>
      <c r="F849" s="123">
        <v>0</v>
      </c>
      <c r="G849" s="123">
        <v>0</v>
      </c>
      <c r="H849" s="123">
        <v>0</v>
      </c>
      <c r="I849" s="123">
        <v>0</v>
      </c>
      <c r="J849" s="123">
        <v>0</v>
      </c>
      <c r="K849" s="123">
        <v>0</v>
      </c>
      <c r="L849" s="123">
        <v>0</v>
      </c>
      <c r="M849" s="123">
        <v>0</v>
      </c>
      <c r="N849" s="123">
        <v>0</v>
      </c>
      <c r="O849" s="123">
        <v>0</v>
      </c>
      <c r="P849" s="123">
        <v>0</v>
      </c>
      <c r="Q849" s="123">
        <v>0</v>
      </c>
      <c r="R849" s="123">
        <v>0</v>
      </c>
      <c r="S849" s="7" t="s">
        <v>162</v>
      </c>
      <c r="T849" s="11" t="s">
        <v>211</v>
      </c>
      <c r="U849" s="1"/>
    </row>
    <row r="850" spans="1:21" ht="13.5" thickBot="1" x14ac:dyDescent="0.25">
      <c r="A850" s="123">
        <v>60</v>
      </c>
      <c r="B850" s="123">
        <v>15</v>
      </c>
      <c r="C850" s="123">
        <v>45</v>
      </c>
      <c r="D850" s="123">
        <v>32</v>
      </c>
      <c r="E850" s="123">
        <v>3</v>
      </c>
      <c r="F850" s="123">
        <v>29</v>
      </c>
      <c r="G850" s="123">
        <v>7</v>
      </c>
      <c r="H850" s="123">
        <v>2</v>
      </c>
      <c r="I850" s="123">
        <v>5</v>
      </c>
      <c r="J850" s="123">
        <v>20</v>
      </c>
      <c r="K850" s="123">
        <v>10</v>
      </c>
      <c r="L850" s="123">
        <v>10</v>
      </c>
      <c r="M850" s="123">
        <v>0</v>
      </c>
      <c r="N850" s="123">
        <v>0</v>
      </c>
      <c r="O850" s="123">
        <v>0</v>
      </c>
      <c r="P850" s="123">
        <v>1</v>
      </c>
      <c r="Q850" s="123">
        <v>0</v>
      </c>
      <c r="R850" s="123">
        <v>1</v>
      </c>
      <c r="S850" s="7" t="s">
        <v>13</v>
      </c>
      <c r="T850" s="5"/>
      <c r="U850" s="1"/>
    </row>
    <row r="851" spans="1:21" ht="18" customHeight="1" x14ac:dyDescent="0.2">
      <c r="A851" s="207"/>
      <c r="B851" s="207"/>
      <c r="C851" s="207"/>
      <c r="D851" s="207"/>
      <c r="E851" s="207"/>
      <c r="F851" s="207"/>
      <c r="G851" s="207"/>
      <c r="H851" s="207"/>
      <c r="I851" s="207"/>
      <c r="J851" s="207"/>
      <c r="K851" s="207"/>
      <c r="L851" s="207"/>
      <c r="M851" s="207"/>
      <c r="N851" s="207"/>
      <c r="O851" s="207"/>
      <c r="P851" s="207"/>
      <c r="Q851" s="207"/>
      <c r="R851" s="207"/>
      <c r="S851" s="207"/>
      <c r="T851" s="207"/>
      <c r="U851" s="1"/>
    </row>
    <row r="852" spans="1:21" ht="18" customHeight="1" x14ac:dyDescent="0.2">
      <c r="A852" s="159" t="s">
        <v>665</v>
      </c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"/>
    </row>
    <row r="853" spans="1:21" ht="18" customHeight="1" thickBot="1" x14ac:dyDescent="0.25">
      <c r="A853" s="160" t="s">
        <v>667</v>
      </c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"/>
    </row>
    <row r="854" spans="1:21" ht="13.5" thickBot="1" x14ac:dyDescent="0.25">
      <c r="A854" s="204" t="s">
        <v>5</v>
      </c>
      <c r="B854" s="204"/>
      <c r="C854" s="204"/>
      <c r="D854" s="204" t="s">
        <v>57</v>
      </c>
      <c r="E854" s="204"/>
      <c r="F854" s="204"/>
      <c r="G854" s="204" t="s">
        <v>66</v>
      </c>
      <c r="H854" s="204"/>
      <c r="I854" s="204"/>
      <c r="J854" s="204" t="s">
        <v>65</v>
      </c>
      <c r="K854" s="204"/>
      <c r="L854" s="204"/>
      <c r="M854" s="204" t="s">
        <v>62</v>
      </c>
      <c r="N854" s="204"/>
      <c r="O854" s="204"/>
      <c r="P854" s="204" t="s">
        <v>61</v>
      </c>
      <c r="Q854" s="204"/>
      <c r="R854" s="204"/>
      <c r="S854" s="205" t="s">
        <v>614</v>
      </c>
      <c r="T854" s="47" t="s">
        <v>161</v>
      </c>
      <c r="U854" s="1"/>
    </row>
    <row r="855" spans="1:21" ht="13.5" thickBot="1" x14ac:dyDescent="0.25">
      <c r="A855" s="47" t="s">
        <v>216</v>
      </c>
      <c r="B855" s="47" t="s">
        <v>11</v>
      </c>
      <c r="C855" s="47" t="s">
        <v>10</v>
      </c>
      <c r="D855" s="47" t="s">
        <v>216</v>
      </c>
      <c r="E855" s="47" t="s">
        <v>11</v>
      </c>
      <c r="F855" s="47" t="s">
        <v>10</v>
      </c>
      <c r="G855" s="47" t="s">
        <v>216</v>
      </c>
      <c r="H855" s="47" t="s">
        <v>11</v>
      </c>
      <c r="I855" s="47" t="s">
        <v>10</v>
      </c>
      <c r="J855" s="47" t="s">
        <v>216</v>
      </c>
      <c r="K855" s="47" t="s">
        <v>11</v>
      </c>
      <c r="L855" s="47" t="s">
        <v>10</v>
      </c>
      <c r="M855" s="47" t="s">
        <v>216</v>
      </c>
      <c r="N855" s="47" t="s">
        <v>11</v>
      </c>
      <c r="O855" s="47" t="s">
        <v>10</v>
      </c>
      <c r="P855" s="47" t="s">
        <v>216</v>
      </c>
      <c r="Q855" s="47" t="s">
        <v>11</v>
      </c>
      <c r="R855" s="47" t="s">
        <v>10</v>
      </c>
      <c r="S855" s="206"/>
      <c r="T855" s="5" t="s">
        <v>168</v>
      </c>
      <c r="U855" s="1"/>
    </row>
    <row r="856" spans="1:21" ht="13.5" thickBot="1" x14ac:dyDescent="0.25">
      <c r="A856" s="123">
        <v>47</v>
      </c>
      <c r="B856" s="123">
        <v>0</v>
      </c>
      <c r="C856" s="123">
        <v>47</v>
      </c>
      <c r="D856" s="123">
        <v>23</v>
      </c>
      <c r="E856" s="123">
        <v>0</v>
      </c>
      <c r="F856" s="123">
        <v>23</v>
      </c>
      <c r="G856" s="123">
        <v>4</v>
      </c>
      <c r="H856" s="123">
        <v>0</v>
      </c>
      <c r="I856" s="123">
        <v>4</v>
      </c>
      <c r="J856" s="123">
        <v>17</v>
      </c>
      <c r="K856" s="123">
        <v>0</v>
      </c>
      <c r="L856" s="123">
        <v>17</v>
      </c>
      <c r="M856" s="123">
        <v>1</v>
      </c>
      <c r="N856" s="123">
        <v>0</v>
      </c>
      <c r="O856" s="123">
        <v>1</v>
      </c>
      <c r="P856" s="123">
        <v>2</v>
      </c>
      <c r="Q856" s="123">
        <v>0</v>
      </c>
      <c r="R856" s="123">
        <v>2</v>
      </c>
      <c r="S856" s="7" t="s">
        <v>163</v>
      </c>
      <c r="T856" s="124"/>
      <c r="U856" s="1"/>
    </row>
    <row r="857" spans="1:21" ht="13.5" thickBot="1" x14ac:dyDescent="0.25">
      <c r="A857" s="123">
        <v>0</v>
      </c>
      <c r="B857" s="123">
        <v>0</v>
      </c>
      <c r="C857" s="123">
        <v>0</v>
      </c>
      <c r="D857" s="123">
        <v>0</v>
      </c>
      <c r="E857" s="123">
        <v>0</v>
      </c>
      <c r="F857" s="123">
        <v>0</v>
      </c>
      <c r="G857" s="123">
        <v>0</v>
      </c>
      <c r="H857" s="123">
        <v>0</v>
      </c>
      <c r="I857" s="123">
        <v>0</v>
      </c>
      <c r="J857" s="123">
        <v>0</v>
      </c>
      <c r="K857" s="123">
        <v>0</v>
      </c>
      <c r="L857" s="123">
        <v>0</v>
      </c>
      <c r="M857" s="123">
        <v>0</v>
      </c>
      <c r="N857" s="123">
        <v>0</v>
      </c>
      <c r="O857" s="123">
        <v>0</v>
      </c>
      <c r="P857" s="123">
        <v>0</v>
      </c>
      <c r="Q857" s="123">
        <v>0</v>
      </c>
      <c r="R857" s="123">
        <v>0</v>
      </c>
      <c r="S857" s="7" t="s">
        <v>162</v>
      </c>
      <c r="T857" s="124" t="s">
        <v>280</v>
      </c>
      <c r="U857" s="1"/>
    </row>
    <row r="858" spans="1:21" ht="13.5" thickBot="1" x14ac:dyDescent="0.25">
      <c r="A858" s="123">
        <v>47</v>
      </c>
      <c r="B858" s="123">
        <v>0</v>
      </c>
      <c r="C858" s="123">
        <v>47</v>
      </c>
      <c r="D858" s="123">
        <v>23</v>
      </c>
      <c r="E858" s="123">
        <v>0</v>
      </c>
      <c r="F858" s="123">
        <v>23</v>
      </c>
      <c r="G858" s="123">
        <v>4</v>
      </c>
      <c r="H858" s="123">
        <v>0</v>
      </c>
      <c r="I858" s="123">
        <v>4</v>
      </c>
      <c r="J858" s="123">
        <v>17</v>
      </c>
      <c r="K858" s="123">
        <v>0</v>
      </c>
      <c r="L858" s="123">
        <v>17</v>
      </c>
      <c r="M858" s="123">
        <v>1</v>
      </c>
      <c r="N858" s="123">
        <v>0</v>
      </c>
      <c r="O858" s="123">
        <v>1</v>
      </c>
      <c r="P858" s="123">
        <v>2</v>
      </c>
      <c r="Q858" s="123">
        <v>0</v>
      </c>
      <c r="R858" s="123">
        <v>2</v>
      </c>
      <c r="S858" s="7" t="s">
        <v>13</v>
      </c>
      <c r="T858" s="9"/>
      <c r="U858" s="1"/>
    </row>
    <row r="859" spans="1:21" ht="13.5" thickBot="1" x14ac:dyDescent="0.25">
      <c r="A859" s="123">
        <v>28</v>
      </c>
      <c r="B859" s="123">
        <v>0</v>
      </c>
      <c r="C859" s="123">
        <v>28</v>
      </c>
      <c r="D859" s="123">
        <v>17</v>
      </c>
      <c r="E859" s="123">
        <v>0</v>
      </c>
      <c r="F859" s="123">
        <v>17</v>
      </c>
      <c r="G859" s="123">
        <v>2</v>
      </c>
      <c r="H859" s="123">
        <v>0</v>
      </c>
      <c r="I859" s="123">
        <v>2</v>
      </c>
      <c r="J859" s="123">
        <v>4</v>
      </c>
      <c r="K859" s="123">
        <v>0</v>
      </c>
      <c r="L859" s="123">
        <v>4</v>
      </c>
      <c r="M859" s="123">
        <v>2</v>
      </c>
      <c r="N859" s="123">
        <v>0</v>
      </c>
      <c r="O859" s="123">
        <v>2</v>
      </c>
      <c r="P859" s="123">
        <v>3</v>
      </c>
      <c r="Q859" s="123">
        <v>0</v>
      </c>
      <c r="R859" s="123">
        <v>3</v>
      </c>
      <c r="S859" s="7" t="s">
        <v>163</v>
      </c>
      <c r="T859" s="124"/>
      <c r="U859" s="1"/>
    </row>
    <row r="860" spans="1:21" ht="13.5" thickBot="1" x14ac:dyDescent="0.25">
      <c r="A860" s="123">
        <v>0</v>
      </c>
      <c r="B860" s="123">
        <v>0</v>
      </c>
      <c r="C860" s="123">
        <v>0</v>
      </c>
      <c r="D860" s="123">
        <v>0</v>
      </c>
      <c r="E860" s="123">
        <v>0</v>
      </c>
      <c r="F860" s="123">
        <v>0</v>
      </c>
      <c r="G860" s="123">
        <v>0</v>
      </c>
      <c r="H860" s="123">
        <v>0</v>
      </c>
      <c r="I860" s="123">
        <v>0</v>
      </c>
      <c r="J860" s="123">
        <v>0</v>
      </c>
      <c r="K860" s="123">
        <v>0</v>
      </c>
      <c r="L860" s="123">
        <v>0</v>
      </c>
      <c r="M860" s="123">
        <v>0</v>
      </c>
      <c r="N860" s="123">
        <v>0</v>
      </c>
      <c r="O860" s="123">
        <v>0</v>
      </c>
      <c r="P860" s="123">
        <v>0</v>
      </c>
      <c r="Q860" s="123">
        <v>0</v>
      </c>
      <c r="R860" s="123">
        <v>0</v>
      </c>
      <c r="S860" s="7" t="s">
        <v>162</v>
      </c>
      <c r="T860" s="124" t="s">
        <v>639</v>
      </c>
      <c r="U860" s="1"/>
    </row>
    <row r="861" spans="1:21" ht="13.5" thickBot="1" x14ac:dyDescent="0.25">
      <c r="A861" s="123">
        <v>28</v>
      </c>
      <c r="B861" s="123">
        <v>0</v>
      </c>
      <c r="C861" s="123">
        <v>28</v>
      </c>
      <c r="D861" s="123">
        <v>17</v>
      </c>
      <c r="E861" s="123">
        <v>0</v>
      </c>
      <c r="F861" s="123">
        <v>17</v>
      </c>
      <c r="G861" s="123">
        <v>2</v>
      </c>
      <c r="H861" s="123">
        <v>0</v>
      </c>
      <c r="I861" s="123">
        <v>2</v>
      </c>
      <c r="J861" s="123">
        <v>4</v>
      </c>
      <c r="K861" s="123">
        <v>0</v>
      </c>
      <c r="L861" s="123">
        <v>4</v>
      </c>
      <c r="M861" s="123">
        <v>2</v>
      </c>
      <c r="N861" s="123">
        <v>0</v>
      </c>
      <c r="O861" s="123">
        <v>2</v>
      </c>
      <c r="P861" s="123">
        <v>3</v>
      </c>
      <c r="Q861" s="123">
        <v>0</v>
      </c>
      <c r="R861" s="123">
        <v>3</v>
      </c>
      <c r="S861" s="7" t="s">
        <v>13</v>
      </c>
      <c r="T861" s="9"/>
      <c r="U861" s="1"/>
    </row>
    <row r="862" spans="1:21" ht="13.5" thickBot="1" x14ac:dyDescent="0.25">
      <c r="A862" s="123">
        <v>34</v>
      </c>
      <c r="B862" s="123">
        <v>0</v>
      </c>
      <c r="C862" s="123">
        <v>34</v>
      </c>
      <c r="D862" s="123">
        <v>23</v>
      </c>
      <c r="E862" s="123">
        <v>0</v>
      </c>
      <c r="F862" s="123">
        <v>23</v>
      </c>
      <c r="G862" s="123">
        <v>5</v>
      </c>
      <c r="H862" s="123">
        <v>0</v>
      </c>
      <c r="I862" s="123">
        <v>5</v>
      </c>
      <c r="J862" s="123">
        <v>3</v>
      </c>
      <c r="K862" s="123">
        <v>0</v>
      </c>
      <c r="L862" s="123">
        <v>3</v>
      </c>
      <c r="M862" s="123">
        <v>0</v>
      </c>
      <c r="N862" s="123">
        <v>0</v>
      </c>
      <c r="O862" s="123">
        <v>0</v>
      </c>
      <c r="P862" s="123">
        <v>3</v>
      </c>
      <c r="Q862" s="123">
        <v>0</v>
      </c>
      <c r="R862" s="123">
        <v>3</v>
      </c>
      <c r="S862" s="7" t="s">
        <v>163</v>
      </c>
      <c r="T862" s="124"/>
      <c r="U862" s="1"/>
    </row>
    <row r="863" spans="1:21" ht="13.5" thickBot="1" x14ac:dyDescent="0.25">
      <c r="A863" s="123">
        <v>0</v>
      </c>
      <c r="B863" s="123">
        <v>0</v>
      </c>
      <c r="C863" s="123">
        <v>0</v>
      </c>
      <c r="D863" s="123">
        <v>0</v>
      </c>
      <c r="E863" s="123">
        <v>0</v>
      </c>
      <c r="F863" s="123">
        <v>0</v>
      </c>
      <c r="G863" s="123">
        <v>0</v>
      </c>
      <c r="H863" s="123">
        <v>0</v>
      </c>
      <c r="I863" s="123">
        <v>0</v>
      </c>
      <c r="J863" s="123">
        <v>0</v>
      </c>
      <c r="K863" s="123">
        <v>0</v>
      </c>
      <c r="L863" s="123">
        <v>0</v>
      </c>
      <c r="M863" s="123">
        <v>0</v>
      </c>
      <c r="N863" s="123">
        <v>0</v>
      </c>
      <c r="O863" s="123">
        <v>0</v>
      </c>
      <c r="P863" s="123">
        <v>0</v>
      </c>
      <c r="Q863" s="123">
        <v>0</v>
      </c>
      <c r="R863" s="123">
        <v>0</v>
      </c>
      <c r="S863" s="7" t="s">
        <v>162</v>
      </c>
      <c r="T863" s="124" t="s">
        <v>282</v>
      </c>
      <c r="U863" s="1"/>
    </row>
    <row r="864" spans="1:21" ht="13.5" thickBot="1" x14ac:dyDescent="0.25">
      <c r="A864" s="123">
        <v>34</v>
      </c>
      <c r="B864" s="123">
        <v>0</v>
      </c>
      <c r="C864" s="123">
        <v>34</v>
      </c>
      <c r="D864" s="123">
        <v>23</v>
      </c>
      <c r="E864" s="123">
        <v>0</v>
      </c>
      <c r="F864" s="123">
        <v>23</v>
      </c>
      <c r="G864" s="123">
        <v>5</v>
      </c>
      <c r="H864" s="123">
        <v>0</v>
      </c>
      <c r="I864" s="123">
        <v>5</v>
      </c>
      <c r="J864" s="123">
        <v>3</v>
      </c>
      <c r="K864" s="123">
        <v>0</v>
      </c>
      <c r="L864" s="123">
        <v>3</v>
      </c>
      <c r="M864" s="123">
        <v>0</v>
      </c>
      <c r="N864" s="123">
        <v>0</v>
      </c>
      <c r="O864" s="123">
        <v>0</v>
      </c>
      <c r="P864" s="123">
        <v>3</v>
      </c>
      <c r="Q864" s="123">
        <v>0</v>
      </c>
      <c r="R864" s="123">
        <v>3</v>
      </c>
      <c r="S864" s="7" t="s">
        <v>13</v>
      </c>
      <c r="T864" s="9"/>
      <c r="U864" s="1"/>
    </row>
    <row r="865" spans="1:21" ht="13.5" thickBot="1" x14ac:dyDescent="0.25">
      <c r="A865" s="123">
        <v>20</v>
      </c>
      <c r="B865" s="123">
        <v>0</v>
      </c>
      <c r="C865" s="123">
        <v>20</v>
      </c>
      <c r="D865" s="123">
        <v>11</v>
      </c>
      <c r="E865" s="123">
        <v>0</v>
      </c>
      <c r="F865" s="123">
        <v>11</v>
      </c>
      <c r="G865" s="123">
        <v>5</v>
      </c>
      <c r="H865" s="123">
        <v>0</v>
      </c>
      <c r="I865" s="123">
        <v>5</v>
      </c>
      <c r="J865" s="123">
        <v>2</v>
      </c>
      <c r="K865" s="123">
        <v>0</v>
      </c>
      <c r="L865" s="123">
        <v>2</v>
      </c>
      <c r="M865" s="123">
        <v>1</v>
      </c>
      <c r="N865" s="123">
        <v>0</v>
      </c>
      <c r="O865" s="123">
        <v>1</v>
      </c>
      <c r="P865" s="123">
        <v>1</v>
      </c>
      <c r="Q865" s="123">
        <v>0</v>
      </c>
      <c r="R865" s="123">
        <v>1</v>
      </c>
      <c r="S865" s="7" t="s">
        <v>163</v>
      </c>
      <c r="T865" s="124"/>
      <c r="U865" s="1"/>
    </row>
    <row r="866" spans="1:21" ht="13.5" thickBot="1" x14ac:dyDescent="0.25">
      <c r="A866" s="123">
        <v>0</v>
      </c>
      <c r="B866" s="123">
        <v>0</v>
      </c>
      <c r="C866" s="123">
        <v>0</v>
      </c>
      <c r="D866" s="123">
        <v>0</v>
      </c>
      <c r="E866" s="123">
        <v>0</v>
      </c>
      <c r="F866" s="123">
        <v>0</v>
      </c>
      <c r="G866" s="123">
        <v>0</v>
      </c>
      <c r="H866" s="123">
        <v>0</v>
      </c>
      <c r="I866" s="123">
        <v>0</v>
      </c>
      <c r="J866" s="123">
        <v>0</v>
      </c>
      <c r="K866" s="123">
        <v>0</v>
      </c>
      <c r="L866" s="123">
        <v>0</v>
      </c>
      <c r="M866" s="123">
        <v>0</v>
      </c>
      <c r="N866" s="123">
        <v>0</v>
      </c>
      <c r="O866" s="123">
        <v>0</v>
      </c>
      <c r="P866" s="123">
        <v>0</v>
      </c>
      <c r="Q866" s="123">
        <v>0</v>
      </c>
      <c r="R866" s="123">
        <v>0</v>
      </c>
      <c r="S866" s="7" t="s">
        <v>162</v>
      </c>
      <c r="T866" s="124" t="s">
        <v>283</v>
      </c>
      <c r="U866" s="1"/>
    </row>
    <row r="867" spans="1:21" ht="13.5" thickBot="1" x14ac:dyDescent="0.25">
      <c r="A867" s="123">
        <v>20</v>
      </c>
      <c r="B867" s="123">
        <v>0</v>
      </c>
      <c r="C867" s="123">
        <v>20</v>
      </c>
      <c r="D867" s="123">
        <v>11</v>
      </c>
      <c r="E867" s="123">
        <v>0</v>
      </c>
      <c r="F867" s="123">
        <v>11</v>
      </c>
      <c r="G867" s="123">
        <v>5</v>
      </c>
      <c r="H867" s="123">
        <v>0</v>
      </c>
      <c r="I867" s="123">
        <v>5</v>
      </c>
      <c r="J867" s="123">
        <v>2</v>
      </c>
      <c r="K867" s="123">
        <v>0</v>
      </c>
      <c r="L867" s="123">
        <v>2</v>
      </c>
      <c r="M867" s="123">
        <v>1</v>
      </c>
      <c r="N867" s="123">
        <v>0</v>
      </c>
      <c r="O867" s="123">
        <v>1</v>
      </c>
      <c r="P867" s="123">
        <v>1</v>
      </c>
      <c r="Q867" s="123">
        <v>0</v>
      </c>
      <c r="R867" s="123">
        <v>1</v>
      </c>
      <c r="S867" s="7" t="s">
        <v>13</v>
      </c>
      <c r="T867" s="9"/>
      <c r="U867" s="1"/>
    </row>
    <row r="868" spans="1:21" ht="13.5" thickBot="1" x14ac:dyDescent="0.25">
      <c r="A868" s="123">
        <v>28</v>
      </c>
      <c r="B868" s="123">
        <v>0</v>
      </c>
      <c r="C868" s="123">
        <v>28</v>
      </c>
      <c r="D868" s="123">
        <v>5</v>
      </c>
      <c r="E868" s="123">
        <v>0</v>
      </c>
      <c r="F868" s="123">
        <v>5</v>
      </c>
      <c r="G868" s="123">
        <v>9</v>
      </c>
      <c r="H868" s="123">
        <v>0</v>
      </c>
      <c r="I868" s="123">
        <v>9</v>
      </c>
      <c r="J868" s="123">
        <v>11</v>
      </c>
      <c r="K868" s="123">
        <v>0</v>
      </c>
      <c r="L868" s="123">
        <v>11</v>
      </c>
      <c r="M868" s="123">
        <v>1</v>
      </c>
      <c r="N868" s="123">
        <v>0</v>
      </c>
      <c r="O868" s="123">
        <v>1</v>
      </c>
      <c r="P868" s="123">
        <v>2</v>
      </c>
      <c r="Q868" s="123">
        <v>0</v>
      </c>
      <c r="R868" s="123">
        <v>2</v>
      </c>
      <c r="S868" s="7" t="s">
        <v>163</v>
      </c>
      <c r="T868" s="124"/>
      <c r="U868" s="1"/>
    </row>
    <row r="869" spans="1:21" ht="13.5" thickBot="1" x14ac:dyDescent="0.25">
      <c r="A869" s="123">
        <v>0</v>
      </c>
      <c r="B869" s="123">
        <v>0</v>
      </c>
      <c r="C869" s="123">
        <v>0</v>
      </c>
      <c r="D869" s="123">
        <v>0</v>
      </c>
      <c r="E869" s="123">
        <v>0</v>
      </c>
      <c r="F869" s="123">
        <v>0</v>
      </c>
      <c r="G869" s="123">
        <v>0</v>
      </c>
      <c r="H869" s="123">
        <v>0</v>
      </c>
      <c r="I869" s="123">
        <v>0</v>
      </c>
      <c r="J869" s="123">
        <v>0</v>
      </c>
      <c r="K869" s="123">
        <v>0</v>
      </c>
      <c r="L869" s="123">
        <v>0</v>
      </c>
      <c r="M869" s="123">
        <v>0</v>
      </c>
      <c r="N869" s="123">
        <v>0</v>
      </c>
      <c r="O869" s="123">
        <v>0</v>
      </c>
      <c r="P869" s="123">
        <v>0</v>
      </c>
      <c r="Q869" s="123">
        <v>0</v>
      </c>
      <c r="R869" s="123">
        <v>0</v>
      </c>
      <c r="S869" s="7" t="s">
        <v>162</v>
      </c>
      <c r="T869" s="124" t="s">
        <v>284</v>
      </c>
      <c r="U869" s="1"/>
    </row>
    <row r="870" spans="1:21" ht="13.5" thickBot="1" x14ac:dyDescent="0.25">
      <c r="A870" s="123">
        <v>28</v>
      </c>
      <c r="B870" s="123">
        <v>0</v>
      </c>
      <c r="C870" s="123">
        <v>28</v>
      </c>
      <c r="D870" s="123">
        <v>5</v>
      </c>
      <c r="E870" s="123">
        <v>0</v>
      </c>
      <c r="F870" s="123">
        <v>5</v>
      </c>
      <c r="G870" s="123">
        <v>9</v>
      </c>
      <c r="H870" s="123">
        <v>0</v>
      </c>
      <c r="I870" s="123">
        <v>9</v>
      </c>
      <c r="J870" s="123">
        <v>11</v>
      </c>
      <c r="K870" s="123">
        <v>0</v>
      </c>
      <c r="L870" s="123">
        <v>11</v>
      </c>
      <c r="M870" s="123">
        <v>1</v>
      </c>
      <c r="N870" s="123">
        <v>0</v>
      </c>
      <c r="O870" s="123">
        <v>1</v>
      </c>
      <c r="P870" s="123">
        <v>2</v>
      </c>
      <c r="Q870" s="123">
        <v>0</v>
      </c>
      <c r="R870" s="123">
        <v>2</v>
      </c>
      <c r="S870" s="7" t="s">
        <v>13</v>
      </c>
      <c r="T870" s="9"/>
      <c r="U870" s="1"/>
    </row>
    <row r="871" spans="1:21" ht="13.5" thickBot="1" x14ac:dyDescent="0.25">
      <c r="A871" s="123">
        <v>26</v>
      </c>
      <c r="B871" s="123">
        <v>0</v>
      </c>
      <c r="C871" s="123">
        <v>26</v>
      </c>
      <c r="D871" s="123">
        <v>11</v>
      </c>
      <c r="E871" s="123">
        <v>0</v>
      </c>
      <c r="F871" s="123">
        <v>11</v>
      </c>
      <c r="G871" s="123">
        <v>10</v>
      </c>
      <c r="H871" s="123">
        <v>0</v>
      </c>
      <c r="I871" s="123">
        <v>10</v>
      </c>
      <c r="J871" s="123">
        <v>2</v>
      </c>
      <c r="K871" s="123">
        <v>0</v>
      </c>
      <c r="L871" s="123">
        <v>2</v>
      </c>
      <c r="M871" s="123">
        <v>2</v>
      </c>
      <c r="N871" s="123">
        <v>0</v>
      </c>
      <c r="O871" s="123">
        <v>2</v>
      </c>
      <c r="P871" s="123">
        <v>1</v>
      </c>
      <c r="Q871" s="123">
        <v>0</v>
      </c>
      <c r="R871" s="123">
        <v>1</v>
      </c>
      <c r="S871" s="7" t="s">
        <v>163</v>
      </c>
      <c r="T871" s="124"/>
      <c r="U871" s="1"/>
    </row>
    <row r="872" spans="1:21" ht="13.5" thickBot="1" x14ac:dyDescent="0.25">
      <c r="A872" s="123">
        <v>0</v>
      </c>
      <c r="B872" s="123">
        <v>0</v>
      </c>
      <c r="C872" s="123">
        <v>0</v>
      </c>
      <c r="D872" s="123">
        <v>0</v>
      </c>
      <c r="E872" s="123">
        <v>0</v>
      </c>
      <c r="F872" s="123">
        <v>0</v>
      </c>
      <c r="G872" s="123">
        <v>0</v>
      </c>
      <c r="H872" s="123">
        <v>0</v>
      </c>
      <c r="I872" s="123">
        <v>0</v>
      </c>
      <c r="J872" s="123">
        <v>0</v>
      </c>
      <c r="K872" s="123">
        <v>0</v>
      </c>
      <c r="L872" s="123">
        <v>0</v>
      </c>
      <c r="M872" s="123">
        <v>0</v>
      </c>
      <c r="N872" s="123">
        <v>0</v>
      </c>
      <c r="O872" s="123">
        <v>0</v>
      </c>
      <c r="P872" s="123">
        <v>0</v>
      </c>
      <c r="Q872" s="123">
        <v>0</v>
      </c>
      <c r="R872" s="123">
        <v>0</v>
      </c>
      <c r="S872" s="7" t="s">
        <v>162</v>
      </c>
      <c r="T872" s="124" t="s">
        <v>285</v>
      </c>
      <c r="U872" s="1"/>
    </row>
    <row r="873" spans="1:21" ht="13.5" thickBot="1" x14ac:dyDescent="0.25">
      <c r="A873" s="123">
        <v>26</v>
      </c>
      <c r="B873" s="123">
        <v>0</v>
      </c>
      <c r="C873" s="123">
        <v>26</v>
      </c>
      <c r="D873" s="123">
        <v>11</v>
      </c>
      <c r="E873" s="123">
        <v>0</v>
      </c>
      <c r="F873" s="123">
        <v>11</v>
      </c>
      <c r="G873" s="123">
        <v>10</v>
      </c>
      <c r="H873" s="123">
        <v>0</v>
      </c>
      <c r="I873" s="123">
        <v>10</v>
      </c>
      <c r="J873" s="123">
        <v>2</v>
      </c>
      <c r="K873" s="123">
        <v>0</v>
      </c>
      <c r="L873" s="123">
        <v>2</v>
      </c>
      <c r="M873" s="123">
        <v>2</v>
      </c>
      <c r="N873" s="123">
        <v>0</v>
      </c>
      <c r="O873" s="123">
        <v>2</v>
      </c>
      <c r="P873" s="123">
        <v>1</v>
      </c>
      <c r="Q873" s="123">
        <v>0</v>
      </c>
      <c r="R873" s="123">
        <v>1</v>
      </c>
      <c r="S873" s="7" t="s">
        <v>13</v>
      </c>
      <c r="T873" s="9"/>
      <c r="U873" s="1"/>
    </row>
    <row r="874" spans="1:21" ht="13.5" thickBot="1" x14ac:dyDescent="0.25">
      <c r="A874" s="123">
        <v>31</v>
      </c>
      <c r="B874" s="123">
        <v>0</v>
      </c>
      <c r="C874" s="123">
        <v>31</v>
      </c>
      <c r="D874" s="123">
        <v>13</v>
      </c>
      <c r="E874" s="123">
        <v>0</v>
      </c>
      <c r="F874" s="123">
        <v>13</v>
      </c>
      <c r="G874" s="123">
        <v>11</v>
      </c>
      <c r="H874" s="123">
        <v>0</v>
      </c>
      <c r="I874" s="123">
        <v>11</v>
      </c>
      <c r="J874" s="123">
        <v>2</v>
      </c>
      <c r="K874" s="123">
        <v>0</v>
      </c>
      <c r="L874" s="123">
        <v>2</v>
      </c>
      <c r="M874" s="123">
        <v>3</v>
      </c>
      <c r="N874" s="123">
        <v>0</v>
      </c>
      <c r="O874" s="123">
        <v>3</v>
      </c>
      <c r="P874" s="123">
        <v>2</v>
      </c>
      <c r="Q874" s="123">
        <v>0</v>
      </c>
      <c r="R874" s="123">
        <v>2</v>
      </c>
      <c r="S874" s="7" t="s">
        <v>163</v>
      </c>
      <c r="T874" s="124"/>
      <c r="U874" s="1"/>
    </row>
    <row r="875" spans="1:21" ht="13.5" thickBot="1" x14ac:dyDescent="0.25">
      <c r="A875" s="123">
        <v>0</v>
      </c>
      <c r="B875" s="123">
        <v>0</v>
      </c>
      <c r="C875" s="123">
        <v>0</v>
      </c>
      <c r="D875" s="123">
        <v>0</v>
      </c>
      <c r="E875" s="123">
        <v>0</v>
      </c>
      <c r="F875" s="123">
        <v>0</v>
      </c>
      <c r="G875" s="123">
        <v>0</v>
      </c>
      <c r="H875" s="123">
        <v>0</v>
      </c>
      <c r="I875" s="123">
        <v>0</v>
      </c>
      <c r="J875" s="123">
        <v>0</v>
      </c>
      <c r="K875" s="123">
        <v>0</v>
      </c>
      <c r="L875" s="123">
        <v>0</v>
      </c>
      <c r="M875" s="123">
        <v>0</v>
      </c>
      <c r="N875" s="123">
        <v>0</v>
      </c>
      <c r="O875" s="123">
        <v>0</v>
      </c>
      <c r="P875" s="123">
        <v>0</v>
      </c>
      <c r="Q875" s="123">
        <v>0</v>
      </c>
      <c r="R875" s="123">
        <v>0</v>
      </c>
      <c r="S875" s="7" t="s">
        <v>162</v>
      </c>
      <c r="T875" s="124" t="s">
        <v>286</v>
      </c>
      <c r="U875" s="1"/>
    </row>
    <row r="876" spans="1:21" ht="13.5" thickBot="1" x14ac:dyDescent="0.25">
      <c r="A876" s="123">
        <v>31</v>
      </c>
      <c r="B876" s="123">
        <v>0</v>
      </c>
      <c r="C876" s="123">
        <v>31</v>
      </c>
      <c r="D876" s="123">
        <v>13</v>
      </c>
      <c r="E876" s="123">
        <v>0</v>
      </c>
      <c r="F876" s="123">
        <v>13</v>
      </c>
      <c r="G876" s="123">
        <v>11</v>
      </c>
      <c r="H876" s="123">
        <v>0</v>
      </c>
      <c r="I876" s="123">
        <v>11</v>
      </c>
      <c r="J876" s="123">
        <v>2</v>
      </c>
      <c r="K876" s="123">
        <v>0</v>
      </c>
      <c r="L876" s="123">
        <v>2</v>
      </c>
      <c r="M876" s="123">
        <v>3</v>
      </c>
      <c r="N876" s="123">
        <v>0</v>
      </c>
      <c r="O876" s="123">
        <v>3</v>
      </c>
      <c r="P876" s="123">
        <v>2</v>
      </c>
      <c r="Q876" s="123">
        <v>0</v>
      </c>
      <c r="R876" s="123">
        <v>2</v>
      </c>
      <c r="S876" s="7" t="s">
        <v>13</v>
      </c>
      <c r="T876" s="9"/>
      <c r="U876" s="1"/>
    </row>
    <row r="877" spans="1:21" ht="13.5" thickBot="1" x14ac:dyDescent="0.25">
      <c r="A877" s="123">
        <v>28</v>
      </c>
      <c r="B877" s="123">
        <v>0</v>
      </c>
      <c r="C877" s="123">
        <v>28</v>
      </c>
      <c r="D877" s="123">
        <v>8</v>
      </c>
      <c r="E877" s="123">
        <v>0</v>
      </c>
      <c r="F877" s="123">
        <v>8</v>
      </c>
      <c r="G877" s="123">
        <v>7</v>
      </c>
      <c r="H877" s="123">
        <v>0</v>
      </c>
      <c r="I877" s="123">
        <v>7</v>
      </c>
      <c r="J877" s="123">
        <v>9</v>
      </c>
      <c r="K877" s="123">
        <v>0</v>
      </c>
      <c r="L877" s="123">
        <v>9</v>
      </c>
      <c r="M877" s="123">
        <v>1</v>
      </c>
      <c r="N877" s="123">
        <v>0</v>
      </c>
      <c r="O877" s="123">
        <v>1</v>
      </c>
      <c r="P877" s="123">
        <v>3</v>
      </c>
      <c r="Q877" s="123">
        <v>0</v>
      </c>
      <c r="R877" s="123">
        <v>3</v>
      </c>
      <c r="S877" s="7" t="s">
        <v>163</v>
      </c>
      <c r="T877" s="124"/>
      <c r="U877" s="1"/>
    </row>
    <row r="878" spans="1:21" ht="13.5" thickBot="1" x14ac:dyDescent="0.25">
      <c r="A878" s="123">
        <v>0</v>
      </c>
      <c r="B878" s="123">
        <v>0</v>
      </c>
      <c r="C878" s="123">
        <v>0</v>
      </c>
      <c r="D878" s="123">
        <v>0</v>
      </c>
      <c r="E878" s="123">
        <v>0</v>
      </c>
      <c r="F878" s="123">
        <v>0</v>
      </c>
      <c r="G878" s="123">
        <v>0</v>
      </c>
      <c r="H878" s="123">
        <v>0</v>
      </c>
      <c r="I878" s="123">
        <v>0</v>
      </c>
      <c r="J878" s="123">
        <v>0</v>
      </c>
      <c r="K878" s="123">
        <v>0</v>
      </c>
      <c r="L878" s="123">
        <v>0</v>
      </c>
      <c r="M878" s="123">
        <v>0</v>
      </c>
      <c r="N878" s="123">
        <v>0</v>
      </c>
      <c r="O878" s="123">
        <v>0</v>
      </c>
      <c r="P878" s="123">
        <v>0</v>
      </c>
      <c r="Q878" s="123">
        <v>0</v>
      </c>
      <c r="R878" s="123">
        <v>0</v>
      </c>
      <c r="S878" s="7" t="s">
        <v>162</v>
      </c>
      <c r="T878" s="124" t="s">
        <v>287</v>
      </c>
      <c r="U878" s="1"/>
    </row>
    <row r="879" spans="1:21" ht="13.5" thickBot="1" x14ac:dyDescent="0.25">
      <c r="A879" s="123">
        <v>28</v>
      </c>
      <c r="B879" s="123">
        <v>0</v>
      </c>
      <c r="C879" s="123">
        <v>28</v>
      </c>
      <c r="D879" s="123">
        <v>8</v>
      </c>
      <c r="E879" s="123">
        <v>0</v>
      </c>
      <c r="F879" s="123">
        <v>8</v>
      </c>
      <c r="G879" s="123">
        <v>7</v>
      </c>
      <c r="H879" s="123">
        <v>0</v>
      </c>
      <c r="I879" s="123">
        <v>7</v>
      </c>
      <c r="J879" s="123">
        <v>9</v>
      </c>
      <c r="K879" s="123">
        <v>0</v>
      </c>
      <c r="L879" s="123">
        <v>9</v>
      </c>
      <c r="M879" s="123">
        <v>1</v>
      </c>
      <c r="N879" s="123">
        <v>0</v>
      </c>
      <c r="O879" s="123">
        <v>1</v>
      </c>
      <c r="P879" s="123">
        <v>3</v>
      </c>
      <c r="Q879" s="123">
        <v>0</v>
      </c>
      <c r="R879" s="123">
        <v>3</v>
      </c>
      <c r="S879" s="7" t="s">
        <v>13</v>
      </c>
      <c r="T879" s="9"/>
      <c r="U879" s="1"/>
    </row>
    <row r="880" spans="1:21" ht="13.5" thickBot="1" x14ac:dyDescent="0.25">
      <c r="A880" s="123">
        <v>42</v>
      </c>
      <c r="B880" s="123">
        <v>0</v>
      </c>
      <c r="C880" s="123">
        <v>42</v>
      </c>
      <c r="D880" s="123">
        <v>29</v>
      </c>
      <c r="E880" s="123">
        <v>0</v>
      </c>
      <c r="F880" s="123">
        <v>29</v>
      </c>
      <c r="G880" s="123">
        <v>8</v>
      </c>
      <c r="H880" s="123">
        <v>0</v>
      </c>
      <c r="I880" s="123">
        <v>8</v>
      </c>
      <c r="J880" s="123">
        <v>2</v>
      </c>
      <c r="K880" s="123">
        <v>0</v>
      </c>
      <c r="L880" s="123">
        <v>2</v>
      </c>
      <c r="M880" s="123">
        <v>0</v>
      </c>
      <c r="N880" s="123">
        <v>0</v>
      </c>
      <c r="O880" s="123">
        <v>0</v>
      </c>
      <c r="P880" s="123">
        <v>3</v>
      </c>
      <c r="Q880" s="123">
        <v>0</v>
      </c>
      <c r="R880" s="123">
        <v>3</v>
      </c>
      <c r="S880" s="7" t="s">
        <v>163</v>
      </c>
      <c r="T880" s="124"/>
      <c r="U880" s="1"/>
    </row>
    <row r="881" spans="1:21" ht="13.5" thickBot="1" x14ac:dyDescent="0.25">
      <c r="A881" s="123">
        <v>0</v>
      </c>
      <c r="B881" s="123">
        <v>0</v>
      </c>
      <c r="C881" s="123">
        <v>0</v>
      </c>
      <c r="D881" s="123">
        <v>0</v>
      </c>
      <c r="E881" s="123">
        <v>0</v>
      </c>
      <c r="F881" s="123">
        <v>0</v>
      </c>
      <c r="G881" s="123">
        <v>0</v>
      </c>
      <c r="H881" s="123">
        <v>0</v>
      </c>
      <c r="I881" s="123">
        <v>0</v>
      </c>
      <c r="J881" s="123">
        <v>0</v>
      </c>
      <c r="K881" s="123">
        <v>0</v>
      </c>
      <c r="L881" s="123">
        <v>0</v>
      </c>
      <c r="M881" s="123">
        <v>0</v>
      </c>
      <c r="N881" s="123">
        <v>0</v>
      </c>
      <c r="O881" s="123">
        <v>0</v>
      </c>
      <c r="P881" s="123">
        <v>0</v>
      </c>
      <c r="Q881" s="123">
        <v>0</v>
      </c>
      <c r="R881" s="123">
        <v>0</v>
      </c>
      <c r="S881" s="7" t="s">
        <v>162</v>
      </c>
      <c r="T881" s="124" t="s">
        <v>288</v>
      </c>
      <c r="U881" s="1"/>
    </row>
    <row r="882" spans="1:21" ht="13.5" thickBot="1" x14ac:dyDescent="0.25">
      <c r="A882" s="123">
        <v>42</v>
      </c>
      <c r="B882" s="123">
        <v>0</v>
      </c>
      <c r="C882" s="123">
        <v>42</v>
      </c>
      <c r="D882" s="123">
        <v>29</v>
      </c>
      <c r="E882" s="123">
        <v>0</v>
      </c>
      <c r="F882" s="123">
        <v>29</v>
      </c>
      <c r="G882" s="123">
        <v>8</v>
      </c>
      <c r="H882" s="123">
        <v>0</v>
      </c>
      <c r="I882" s="123">
        <v>8</v>
      </c>
      <c r="J882" s="123">
        <v>2</v>
      </c>
      <c r="K882" s="123">
        <v>0</v>
      </c>
      <c r="L882" s="123">
        <v>2</v>
      </c>
      <c r="M882" s="123">
        <v>0</v>
      </c>
      <c r="N882" s="123">
        <v>0</v>
      </c>
      <c r="O882" s="123">
        <v>0</v>
      </c>
      <c r="P882" s="123">
        <v>3</v>
      </c>
      <c r="Q882" s="123">
        <v>0</v>
      </c>
      <c r="R882" s="123">
        <v>3</v>
      </c>
      <c r="S882" s="7" t="s">
        <v>13</v>
      </c>
      <c r="T882" s="9"/>
      <c r="U882" s="1"/>
    </row>
    <row r="883" spans="1:21" ht="13.5" thickBot="1" x14ac:dyDescent="0.25">
      <c r="A883" s="123">
        <v>22</v>
      </c>
      <c r="B883" s="123">
        <v>0</v>
      </c>
      <c r="C883" s="123">
        <v>22</v>
      </c>
      <c r="D883" s="123">
        <v>16</v>
      </c>
      <c r="E883" s="123">
        <v>0</v>
      </c>
      <c r="F883" s="123">
        <v>16</v>
      </c>
      <c r="G883" s="123">
        <v>0</v>
      </c>
      <c r="H883" s="123">
        <v>0</v>
      </c>
      <c r="I883" s="123">
        <v>0</v>
      </c>
      <c r="J883" s="123">
        <v>3</v>
      </c>
      <c r="K883" s="123">
        <v>0</v>
      </c>
      <c r="L883" s="123">
        <v>3</v>
      </c>
      <c r="M883" s="123">
        <v>1</v>
      </c>
      <c r="N883" s="123">
        <v>0</v>
      </c>
      <c r="O883" s="123">
        <v>1</v>
      </c>
      <c r="P883" s="123">
        <v>2</v>
      </c>
      <c r="Q883" s="123">
        <v>0</v>
      </c>
      <c r="R883" s="123">
        <v>2</v>
      </c>
      <c r="S883" s="7" t="s">
        <v>163</v>
      </c>
      <c r="T883" s="124"/>
      <c r="U883" s="1"/>
    </row>
    <row r="884" spans="1:21" ht="13.5" thickBot="1" x14ac:dyDescent="0.25">
      <c r="A884" s="123">
        <v>0</v>
      </c>
      <c r="B884" s="123">
        <v>0</v>
      </c>
      <c r="C884" s="123">
        <v>0</v>
      </c>
      <c r="D884" s="123">
        <v>0</v>
      </c>
      <c r="E884" s="123">
        <v>0</v>
      </c>
      <c r="F884" s="123">
        <v>0</v>
      </c>
      <c r="G884" s="123">
        <v>0</v>
      </c>
      <c r="H884" s="123">
        <v>0</v>
      </c>
      <c r="I884" s="123">
        <v>0</v>
      </c>
      <c r="J884" s="123">
        <v>0</v>
      </c>
      <c r="K884" s="123">
        <v>0</v>
      </c>
      <c r="L884" s="123">
        <v>0</v>
      </c>
      <c r="M884" s="123">
        <v>0</v>
      </c>
      <c r="N884" s="123">
        <v>0</v>
      </c>
      <c r="O884" s="123">
        <v>0</v>
      </c>
      <c r="P884" s="123">
        <v>0</v>
      </c>
      <c r="Q884" s="123">
        <v>0</v>
      </c>
      <c r="R884" s="123">
        <v>0</v>
      </c>
      <c r="S884" s="7" t="s">
        <v>162</v>
      </c>
      <c r="T884" s="124" t="s">
        <v>289</v>
      </c>
      <c r="U884" s="1"/>
    </row>
    <row r="885" spans="1:21" ht="13.5" thickBot="1" x14ac:dyDescent="0.25">
      <c r="A885" s="123">
        <v>22</v>
      </c>
      <c r="B885" s="123">
        <v>0</v>
      </c>
      <c r="C885" s="123">
        <v>22</v>
      </c>
      <c r="D885" s="123">
        <v>16</v>
      </c>
      <c r="E885" s="123">
        <v>0</v>
      </c>
      <c r="F885" s="123">
        <v>16</v>
      </c>
      <c r="G885" s="123">
        <v>0</v>
      </c>
      <c r="H885" s="123">
        <v>0</v>
      </c>
      <c r="I885" s="123">
        <v>0</v>
      </c>
      <c r="J885" s="123">
        <v>3</v>
      </c>
      <c r="K885" s="123">
        <v>0</v>
      </c>
      <c r="L885" s="123">
        <v>3</v>
      </c>
      <c r="M885" s="123">
        <v>1</v>
      </c>
      <c r="N885" s="123">
        <v>0</v>
      </c>
      <c r="O885" s="123">
        <v>1</v>
      </c>
      <c r="P885" s="123">
        <v>2</v>
      </c>
      <c r="Q885" s="123">
        <v>0</v>
      </c>
      <c r="R885" s="123">
        <v>2</v>
      </c>
      <c r="S885" s="7" t="s">
        <v>13</v>
      </c>
      <c r="T885" s="9"/>
      <c r="U885" s="1"/>
    </row>
    <row r="886" spans="1:21" ht="13.5" thickBot="1" x14ac:dyDescent="0.25">
      <c r="A886" s="123">
        <v>24</v>
      </c>
      <c r="B886" s="123">
        <v>0</v>
      </c>
      <c r="C886" s="123">
        <v>24</v>
      </c>
      <c r="D886" s="123">
        <v>9</v>
      </c>
      <c r="E886" s="123">
        <v>0</v>
      </c>
      <c r="F886" s="123">
        <v>9</v>
      </c>
      <c r="G886" s="123">
        <v>3</v>
      </c>
      <c r="H886" s="123">
        <v>0</v>
      </c>
      <c r="I886" s="123">
        <v>3</v>
      </c>
      <c r="J886" s="123">
        <v>9</v>
      </c>
      <c r="K886" s="123">
        <v>0</v>
      </c>
      <c r="L886" s="123">
        <v>9</v>
      </c>
      <c r="M886" s="123">
        <v>1</v>
      </c>
      <c r="N886" s="123">
        <v>0</v>
      </c>
      <c r="O886" s="123">
        <v>1</v>
      </c>
      <c r="P886" s="123">
        <v>2</v>
      </c>
      <c r="Q886" s="123">
        <v>0</v>
      </c>
      <c r="R886" s="123">
        <v>2</v>
      </c>
      <c r="S886" s="7" t="s">
        <v>163</v>
      </c>
      <c r="T886" s="124"/>
      <c r="U886" s="1"/>
    </row>
    <row r="887" spans="1:21" ht="13.5" thickBot="1" x14ac:dyDescent="0.25">
      <c r="A887" s="123">
        <v>0</v>
      </c>
      <c r="B887" s="123">
        <v>0</v>
      </c>
      <c r="C887" s="123">
        <v>0</v>
      </c>
      <c r="D887" s="123">
        <v>0</v>
      </c>
      <c r="E887" s="123">
        <v>0</v>
      </c>
      <c r="F887" s="123">
        <v>0</v>
      </c>
      <c r="G887" s="123">
        <v>0</v>
      </c>
      <c r="H887" s="123">
        <v>0</v>
      </c>
      <c r="I887" s="123">
        <v>0</v>
      </c>
      <c r="J887" s="123">
        <v>0</v>
      </c>
      <c r="K887" s="123">
        <v>0</v>
      </c>
      <c r="L887" s="123">
        <v>0</v>
      </c>
      <c r="M887" s="123">
        <v>0</v>
      </c>
      <c r="N887" s="123">
        <v>0</v>
      </c>
      <c r="O887" s="123">
        <v>0</v>
      </c>
      <c r="P887" s="123">
        <v>0</v>
      </c>
      <c r="Q887" s="123">
        <v>0</v>
      </c>
      <c r="R887" s="123">
        <v>0</v>
      </c>
      <c r="S887" s="7" t="s">
        <v>162</v>
      </c>
      <c r="T887" s="124" t="s">
        <v>640</v>
      </c>
      <c r="U887" s="1"/>
    </row>
    <row r="888" spans="1:21" ht="13.5" thickBot="1" x14ac:dyDescent="0.25">
      <c r="A888" s="123">
        <v>24</v>
      </c>
      <c r="B888" s="123">
        <v>0</v>
      </c>
      <c r="C888" s="123">
        <v>24</v>
      </c>
      <c r="D888" s="123">
        <v>9</v>
      </c>
      <c r="E888" s="123">
        <v>0</v>
      </c>
      <c r="F888" s="123">
        <v>9</v>
      </c>
      <c r="G888" s="123">
        <v>3</v>
      </c>
      <c r="H888" s="123">
        <v>0</v>
      </c>
      <c r="I888" s="123">
        <v>3</v>
      </c>
      <c r="J888" s="123">
        <v>9</v>
      </c>
      <c r="K888" s="123">
        <v>0</v>
      </c>
      <c r="L888" s="123">
        <v>9</v>
      </c>
      <c r="M888" s="123">
        <v>1</v>
      </c>
      <c r="N888" s="123">
        <v>0</v>
      </c>
      <c r="O888" s="123">
        <v>1</v>
      </c>
      <c r="P888" s="123">
        <v>2</v>
      </c>
      <c r="Q888" s="123">
        <v>0</v>
      </c>
      <c r="R888" s="123">
        <v>2</v>
      </c>
      <c r="S888" s="7" t="s">
        <v>13</v>
      </c>
      <c r="T888" s="9"/>
      <c r="U888" s="1"/>
    </row>
    <row r="889" spans="1:21" ht="13.5" thickBot="1" x14ac:dyDescent="0.25">
      <c r="A889" s="123">
        <v>26</v>
      </c>
      <c r="B889" s="123">
        <v>0</v>
      </c>
      <c r="C889" s="123">
        <v>26</v>
      </c>
      <c r="D889" s="123">
        <v>18</v>
      </c>
      <c r="E889" s="123">
        <v>0</v>
      </c>
      <c r="F889" s="123">
        <v>18</v>
      </c>
      <c r="G889" s="123">
        <v>5</v>
      </c>
      <c r="H889" s="123">
        <v>0</v>
      </c>
      <c r="I889" s="123">
        <v>5</v>
      </c>
      <c r="J889" s="123">
        <v>0</v>
      </c>
      <c r="K889" s="123">
        <v>0</v>
      </c>
      <c r="L889" s="123">
        <v>0</v>
      </c>
      <c r="M889" s="123">
        <v>1</v>
      </c>
      <c r="N889" s="123">
        <v>0</v>
      </c>
      <c r="O889" s="123">
        <v>1</v>
      </c>
      <c r="P889" s="123">
        <v>2</v>
      </c>
      <c r="Q889" s="123">
        <v>0</v>
      </c>
      <c r="R889" s="123">
        <v>2</v>
      </c>
      <c r="S889" s="7" t="s">
        <v>163</v>
      </c>
      <c r="T889" s="124"/>
      <c r="U889" s="1"/>
    </row>
    <row r="890" spans="1:21" ht="13.5" thickBot="1" x14ac:dyDescent="0.25">
      <c r="A890" s="123">
        <v>0</v>
      </c>
      <c r="B890" s="123">
        <v>0</v>
      </c>
      <c r="C890" s="123">
        <v>0</v>
      </c>
      <c r="D890" s="123">
        <v>0</v>
      </c>
      <c r="E890" s="123">
        <v>0</v>
      </c>
      <c r="F890" s="123">
        <v>0</v>
      </c>
      <c r="G890" s="123">
        <v>0</v>
      </c>
      <c r="H890" s="123">
        <v>0</v>
      </c>
      <c r="I890" s="123">
        <v>0</v>
      </c>
      <c r="J890" s="123">
        <v>0</v>
      </c>
      <c r="K890" s="123">
        <v>0</v>
      </c>
      <c r="L890" s="123">
        <v>0</v>
      </c>
      <c r="M890" s="123">
        <v>0</v>
      </c>
      <c r="N890" s="123">
        <v>0</v>
      </c>
      <c r="O890" s="123">
        <v>0</v>
      </c>
      <c r="P890" s="123">
        <v>0</v>
      </c>
      <c r="Q890" s="123">
        <v>0</v>
      </c>
      <c r="R890" s="123">
        <v>0</v>
      </c>
      <c r="S890" s="7" t="s">
        <v>162</v>
      </c>
      <c r="T890" s="124" t="s">
        <v>291</v>
      </c>
      <c r="U890" s="1"/>
    </row>
    <row r="891" spans="1:21" ht="13.5" thickBot="1" x14ac:dyDescent="0.25">
      <c r="A891" s="123">
        <v>26</v>
      </c>
      <c r="B891" s="123">
        <v>0</v>
      </c>
      <c r="C891" s="123">
        <v>26</v>
      </c>
      <c r="D891" s="123">
        <v>18</v>
      </c>
      <c r="E891" s="123">
        <v>0</v>
      </c>
      <c r="F891" s="123">
        <v>18</v>
      </c>
      <c r="G891" s="123">
        <v>5</v>
      </c>
      <c r="H891" s="123">
        <v>0</v>
      </c>
      <c r="I891" s="123">
        <v>5</v>
      </c>
      <c r="J891" s="123">
        <v>0</v>
      </c>
      <c r="K891" s="123">
        <v>0</v>
      </c>
      <c r="L891" s="123">
        <v>0</v>
      </c>
      <c r="M891" s="123">
        <v>1</v>
      </c>
      <c r="N891" s="123">
        <v>0</v>
      </c>
      <c r="O891" s="123">
        <v>1</v>
      </c>
      <c r="P891" s="123">
        <v>2</v>
      </c>
      <c r="Q891" s="123">
        <v>0</v>
      </c>
      <c r="R891" s="123">
        <v>2</v>
      </c>
      <c r="S891" s="7" t="s">
        <v>13</v>
      </c>
      <c r="T891" s="9"/>
      <c r="U891" s="1"/>
    </row>
    <row r="892" spans="1:21" ht="13.5" thickBot="1" x14ac:dyDescent="0.25">
      <c r="A892" s="123">
        <v>20</v>
      </c>
      <c r="B892" s="123">
        <v>0</v>
      </c>
      <c r="C892" s="123">
        <v>20</v>
      </c>
      <c r="D892" s="123">
        <v>5</v>
      </c>
      <c r="E892" s="123">
        <v>0</v>
      </c>
      <c r="F892" s="123">
        <v>5</v>
      </c>
      <c r="G892" s="123">
        <v>8</v>
      </c>
      <c r="H892" s="123">
        <v>0</v>
      </c>
      <c r="I892" s="123">
        <v>8</v>
      </c>
      <c r="J892" s="123">
        <v>6</v>
      </c>
      <c r="K892" s="123">
        <v>0</v>
      </c>
      <c r="L892" s="123">
        <v>6</v>
      </c>
      <c r="M892" s="123">
        <v>0</v>
      </c>
      <c r="N892" s="123">
        <v>0</v>
      </c>
      <c r="O892" s="123">
        <v>0</v>
      </c>
      <c r="P892" s="123">
        <v>1</v>
      </c>
      <c r="Q892" s="123">
        <v>0</v>
      </c>
      <c r="R892" s="123">
        <v>1</v>
      </c>
      <c r="S892" s="7" t="s">
        <v>163</v>
      </c>
      <c r="T892" s="124"/>
      <c r="U892" s="1"/>
    </row>
    <row r="893" spans="1:21" ht="13.5" thickBot="1" x14ac:dyDescent="0.25">
      <c r="A893" s="123">
        <v>0</v>
      </c>
      <c r="B893" s="123">
        <v>0</v>
      </c>
      <c r="C893" s="123">
        <v>0</v>
      </c>
      <c r="D893" s="123">
        <v>0</v>
      </c>
      <c r="E893" s="123">
        <v>0</v>
      </c>
      <c r="F893" s="123">
        <v>0</v>
      </c>
      <c r="G893" s="123">
        <v>0</v>
      </c>
      <c r="H893" s="123">
        <v>0</v>
      </c>
      <c r="I893" s="123">
        <v>0</v>
      </c>
      <c r="J893" s="123">
        <v>0</v>
      </c>
      <c r="K893" s="123">
        <v>0</v>
      </c>
      <c r="L893" s="123">
        <v>0</v>
      </c>
      <c r="M893" s="123">
        <v>0</v>
      </c>
      <c r="N893" s="123">
        <v>0</v>
      </c>
      <c r="O893" s="123">
        <v>0</v>
      </c>
      <c r="P893" s="123">
        <v>0</v>
      </c>
      <c r="Q893" s="123">
        <v>0</v>
      </c>
      <c r="R893" s="123">
        <v>0</v>
      </c>
      <c r="S893" s="7" t="s">
        <v>162</v>
      </c>
      <c r="T893" s="124" t="s">
        <v>292</v>
      </c>
      <c r="U893" s="1"/>
    </row>
    <row r="894" spans="1:21" ht="13.5" thickBot="1" x14ac:dyDescent="0.25">
      <c r="A894" s="123">
        <v>20</v>
      </c>
      <c r="B894" s="123">
        <v>0</v>
      </c>
      <c r="C894" s="123">
        <v>20</v>
      </c>
      <c r="D894" s="123">
        <v>5</v>
      </c>
      <c r="E894" s="123">
        <v>0</v>
      </c>
      <c r="F894" s="123">
        <v>5</v>
      </c>
      <c r="G894" s="123">
        <v>8</v>
      </c>
      <c r="H894" s="123">
        <v>0</v>
      </c>
      <c r="I894" s="123">
        <v>8</v>
      </c>
      <c r="J894" s="123">
        <v>6</v>
      </c>
      <c r="K894" s="123">
        <v>0</v>
      </c>
      <c r="L894" s="123">
        <v>6</v>
      </c>
      <c r="M894" s="123">
        <v>0</v>
      </c>
      <c r="N894" s="123">
        <v>0</v>
      </c>
      <c r="O894" s="123">
        <v>0</v>
      </c>
      <c r="P894" s="123">
        <v>1</v>
      </c>
      <c r="Q894" s="123">
        <v>0</v>
      </c>
      <c r="R894" s="123">
        <v>1</v>
      </c>
      <c r="S894" s="7" t="s">
        <v>13</v>
      </c>
      <c r="T894" s="9"/>
      <c r="U894" s="1"/>
    </row>
    <row r="895" spans="1:21" ht="13.5" thickBot="1" x14ac:dyDescent="0.25">
      <c r="A895" s="123">
        <v>22</v>
      </c>
      <c r="B895" s="123">
        <v>0</v>
      </c>
      <c r="C895" s="123">
        <v>22</v>
      </c>
      <c r="D895" s="123">
        <v>10</v>
      </c>
      <c r="E895" s="123">
        <v>0</v>
      </c>
      <c r="F895" s="123">
        <v>10</v>
      </c>
      <c r="G895" s="123">
        <v>8</v>
      </c>
      <c r="H895" s="123">
        <v>0</v>
      </c>
      <c r="I895" s="123">
        <v>8</v>
      </c>
      <c r="J895" s="123">
        <v>3</v>
      </c>
      <c r="K895" s="123">
        <v>0</v>
      </c>
      <c r="L895" s="123">
        <v>3</v>
      </c>
      <c r="M895" s="123">
        <v>0</v>
      </c>
      <c r="N895" s="123">
        <v>0</v>
      </c>
      <c r="O895" s="123">
        <v>0</v>
      </c>
      <c r="P895" s="123">
        <v>1</v>
      </c>
      <c r="Q895" s="123">
        <v>0</v>
      </c>
      <c r="R895" s="123">
        <v>1</v>
      </c>
      <c r="S895" s="7" t="s">
        <v>163</v>
      </c>
      <c r="T895" s="124"/>
      <c r="U895" s="1"/>
    </row>
    <row r="896" spans="1:21" ht="13.5" thickBot="1" x14ac:dyDescent="0.25">
      <c r="A896" s="123">
        <v>0</v>
      </c>
      <c r="B896" s="123">
        <v>0</v>
      </c>
      <c r="C896" s="123">
        <v>0</v>
      </c>
      <c r="D896" s="123">
        <v>0</v>
      </c>
      <c r="E896" s="123">
        <v>0</v>
      </c>
      <c r="F896" s="123">
        <v>0</v>
      </c>
      <c r="G896" s="123">
        <v>0</v>
      </c>
      <c r="H896" s="123">
        <v>0</v>
      </c>
      <c r="I896" s="123">
        <v>0</v>
      </c>
      <c r="J896" s="123">
        <v>0</v>
      </c>
      <c r="K896" s="123">
        <v>0</v>
      </c>
      <c r="L896" s="123">
        <v>0</v>
      </c>
      <c r="M896" s="123">
        <v>0</v>
      </c>
      <c r="N896" s="123">
        <v>0</v>
      </c>
      <c r="O896" s="123">
        <v>0</v>
      </c>
      <c r="P896" s="123">
        <v>0</v>
      </c>
      <c r="Q896" s="123">
        <v>0</v>
      </c>
      <c r="R896" s="123">
        <v>0</v>
      </c>
      <c r="S896" s="7" t="s">
        <v>162</v>
      </c>
      <c r="T896" s="124" t="s">
        <v>293</v>
      </c>
      <c r="U896" s="1"/>
    </row>
    <row r="897" spans="1:21" ht="13.5" thickBot="1" x14ac:dyDescent="0.25">
      <c r="A897" s="123">
        <v>22</v>
      </c>
      <c r="B897" s="123">
        <v>0</v>
      </c>
      <c r="C897" s="123">
        <v>22</v>
      </c>
      <c r="D897" s="123">
        <v>10</v>
      </c>
      <c r="E897" s="123">
        <v>0</v>
      </c>
      <c r="F897" s="123">
        <v>10</v>
      </c>
      <c r="G897" s="123">
        <v>8</v>
      </c>
      <c r="H897" s="123">
        <v>0</v>
      </c>
      <c r="I897" s="123">
        <v>8</v>
      </c>
      <c r="J897" s="123">
        <v>3</v>
      </c>
      <c r="K897" s="123">
        <v>0</v>
      </c>
      <c r="L897" s="123">
        <v>3</v>
      </c>
      <c r="M897" s="123">
        <v>0</v>
      </c>
      <c r="N897" s="123">
        <v>0</v>
      </c>
      <c r="O897" s="123">
        <v>0</v>
      </c>
      <c r="P897" s="123">
        <v>1</v>
      </c>
      <c r="Q897" s="123">
        <v>0</v>
      </c>
      <c r="R897" s="123">
        <v>1</v>
      </c>
      <c r="S897" s="7" t="s">
        <v>13</v>
      </c>
      <c r="T897" s="9"/>
      <c r="U897" s="1"/>
    </row>
    <row r="898" spans="1:21" ht="13.5" thickBot="1" x14ac:dyDescent="0.25">
      <c r="A898" s="123">
        <v>19</v>
      </c>
      <c r="B898" s="123">
        <v>0</v>
      </c>
      <c r="C898" s="123">
        <v>19</v>
      </c>
      <c r="D898" s="123">
        <v>12</v>
      </c>
      <c r="E898" s="123">
        <v>0</v>
      </c>
      <c r="F898" s="123">
        <v>12</v>
      </c>
      <c r="G898" s="123">
        <v>2</v>
      </c>
      <c r="H898" s="123">
        <v>0</v>
      </c>
      <c r="I898" s="123">
        <v>2</v>
      </c>
      <c r="J898" s="123">
        <v>2</v>
      </c>
      <c r="K898" s="123">
        <v>0</v>
      </c>
      <c r="L898" s="123">
        <v>2</v>
      </c>
      <c r="M898" s="123">
        <v>2</v>
      </c>
      <c r="N898" s="123">
        <v>0</v>
      </c>
      <c r="O898" s="123">
        <v>2</v>
      </c>
      <c r="P898" s="123">
        <v>1</v>
      </c>
      <c r="Q898" s="123">
        <v>0</v>
      </c>
      <c r="R898" s="123">
        <v>1</v>
      </c>
      <c r="S898" s="7" t="s">
        <v>163</v>
      </c>
      <c r="T898" s="124"/>
      <c r="U898" s="1"/>
    </row>
    <row r="899" spans="1:21" ht="13.5" thickBot="1" x14ac:dyDescent="0.25">
      <c r="A899" s="123">
        <v>0</v>
      </c>
      <c r="B899" s="123">
        <v>0</v>
      </c>
      <c r="C899" s="123">
        <v>0</v>
      </c>
      <c r="D899" s="123">
        <v>0</v>
      </c>
      <c r="E899" s="123">
        <v>0</v>
      </c>
      <c r="F899" s="123">
        <v>0</v>
      </c>
      <c r="G899" s="123">
        <v>0</v>
      </c>
      <c r="H899" s="123">
        <v>0</v>
      </c>
      <c r="I899" s="123">
        <v>0</v>
      </c>
      <c r="J899" s="123">
        <v>0</v>
      </c>
      <c r="K899" s="123">
        <v>0</v>
      </c>
      <c r="L899" s="123">
        <v>0</v>
      </c>
      <c r="M899" s="123">
        <v>0</v>
      </c>
      <c r="N899" s="123">
        <v>0</v>
      </c>
      <c r="O899" s="123">
        <v>0</v>
      </c>
      <c r="P899" s="123">
        <v>0</v>
      </c>
      <c r="Q899" s="123">
        <v>0</v>
      </c>
      <c r="R899" s="123">
        <v>0</v>
      </c>
      <c r="S899" s="7" t="s">
        <v>162</v>
      </c>
      <c r="T899" s="124" t="s">
        <v>294</v>
      </c>
      <c r="U899" s="1"/>
    </row>
    <row r="900" spans="1:21" ht="13.5" thickBot="1" x14ac:dyDescent="0.25">
      <c r="A900" s="123">
        <v>19</v>
      </c>
      <c r="B900" s="123">
        <v>0</v>
      </c>
      <c r="C900" s="123">
        <v>19</v>
      </c>
      <c r="D900" s="123">
        <v>12</v>
      </c>
      <c r="E900" s="123">
        <v>0</v>
      </c>
      <c r="F900" s="123">
        <v>12</v>
      </c>
      <c r="G900" s="123">
        <v>2</v>
      </c>
      <c r="H900" s="123">
        <v>0</v>
      </c>
      <c r="I900" s="123">
        <v>2</v>
      </c>
      <c r="J900" s="123">
        <v>2</v>
      </c>
      <c r="K900" s="123">
        <v>0</v>
      </c>
      <c r="L900" s="123">
        <v>2</v>
      </c>
      <c r="M900" s="123">
        <v>2</v>
      </c>
      <c r="N900" s="123">
        <v>0</v>
      </c>
      <c r="O900" s="123">
        <v>2</v>
      </c>
      <c r="P900" s="123">
        <v>1</v>
      </c>
      <c r="Q900" s="123">
        <v>0</v>
      </c>
      <c r="R900" s="123">
        <v>1</v>
      </c>
      <c r="S900" s="7" t="s">
        <v>13</v>
      </c>
      <c r="T900" s="9"/>
      <c r="U900" s="1"/>
    </row>
    <row r="901" spans="1:21" ht="13.5" thickBot="1" x14ac:dyDescent="0.25">
      <c r="A901" s="123">
        <v>22</v>
      </c>
      <c r="B901" s="123">
        <v>0</v>
      </c>
      <c r="C901" s="123">
        <v>22</v>
      </c>
      <c r="D901" s="123">
        <v>10</v>
      </c>
      <c r="E901" s="123">
        <v>0</v>
      </c>
      <c r="F901" s="123">
        <v>10</v>
      </c>
      <c r="G901" s="123">
        <v>3</v>
      </c>
      <c r="H901" s="123">
        <v>0</v>
      </c>
      <c r="I901" s="123">
        <v>3</v>
      </c>
      <c r="J901" s="123">
        <v>6</v>
      </c>
      <c r="K901" s="123">
        <v>0</v>
      </c>
      <c r="L901" s="123">
        <v>6</v>
      </c>
      <c r="M901" s="123">
        <v>2</v>
      </c>
      <c r="N901" s="123">
        <v>0</v>
      </c>
      <c r="O901" s="123">
        <v>2</v>
      </c>
      <c r="P901" s="123">
        <v>1</v>
      </c>
      <c r="Q901" s="123">
        <v>0</v>
      </c>
      <c r="R901" s="123">
        <v>1</v>
      </c>
      <c r="S901" s="7" t="s">
        <v>163</v>
      </c>
      <c r="T901" s="124"/>
      <c r="U901" s="1"/>
    </row>
    <row r="902" spans="1:21" ht="13.5" thickBot="1" x14ac:dyDescent="0.25">
      <c r="A902" s="123">
        <v>0</v>
      </c>
      <c r="B902" s="123">
        <v>0</v>
      </c>
      <c r="C902" s="123">
        <v>0</v>
      </c>
      <c r="D902" s="123">
        <v>0</v>
      </c>
      <c r="E902" s="123">
        <v>0</v>
      </c>
      <c r="F902" s="123">
        <v>0</v>
      </c>
      <c r="G902" s="123">
        <v>0</v>
      </c>
      <c r="H902" s="123">
        <v>0</v>
      </c>
      <c r="I902" s="123">
        <v>0</v>
      </c>
      <c r="J902" s="123">
        <v>0</v>
      </c>
      <c r="K902" s="123">
        <v>0</v>
      </c>
      <c r="L902" s="123">
        <v>0</v>
      </c>
      <c r="M902" s="123">
        <v>0</v>
      </c>
      <c r="N902" s="123">
        <v>0</v>
      </c>
      <c r="O902" s="123">
        <v>0</v>
      </c>
      <c r="P902" s="123">
        <v>0</v>
      </c>
      <c r="Q902" s="123">
        <v>0</v>
      </c>
      <c r="R902" s="123">
        <v>0</v>
      </c>
      <c r="S902" s="7" t="s">
        <v>162</v>
      </c>
      <c r="T902" s="124" t="s">
        <v>295</v>
      </c>
      <c r="U902" s="1"/>
    </row>
    <row r="903" spans="1:21" ht="13.5" thickBot="1" x14ac:dyDescent="0.25">
      <c r="A903" s="123">
        <v>22</v>
      </c>
      <c r="B903" s="123">
        <v>0</v>
      </c>
      <c r="C903" s="123">
        <v>22</v>
      </c>
      <c r="D903" s="123">
        <v>10</v>
      </c>
      <c r="E903" s="123">
        <v>0</v>
      </c>
      <c r="F903" s="123">
        <v>10</v>
      </c>
      <c r="G903" s="123">
        <v>3</v>
      </c>
      <c r="H903" s="123">
        <v>0</v>
      </c>
      <c r="I903" s="123">
        <v>3</v>
      </c>
      <c r="J903" s="123">
        <v>6</v>
      </c>
      <c r="K903" s="123">
        <v>0</v>
      </c>
      <c r="L903" s="123">
        <v>6</v>
      </c>
      <c r="M903" s="123">
        <v>2</v>
      </c>
      <c r="N903" s="123">
        <v>0</v>
      </c>
      <c r="O903" s="123">
        <v>2</v>
      </c>
      <c r="P903" s="123">
        <v>1</v>
      </c>
      <c r="Q903" s="123">
        <v>0</v>
      </c>
      <c r="R903" s="123">
        <v>1</v>
      </c>
      <c r="S903" s="7" t="s">
        <v>13</v>
      </c>
      <c r="T903" s="9"/>
      <c r="U903" s="1"/>
    </row>
    <row r="904" spans="1:21" ht="13.5" thickBot="1" x14ac:dyDescent="0.25">
      <c r="A904" s="123">
        <v>28</v>
      </c>
      <c r="B904" s="123">
        <v>0</v>
      </c>
      <c r="C904" s="123">
        <v>28</v>
      </c>
      <c r="D904" s="123">
        <v>6</v>
      </c>
      <c r="E904" s="123">
        <v>0</v>
      </c>
      <c r="F904" s="123">
        <v>6</v>
      </c>
      <c r="G904" s="123">
        <v>9</v>
      </c>
      <c r="H904" s="123">
        <v>0</v>
      </c>
      <c r="I904" s="123">
        <v>9</v>
      </c>
      <c r="J904" s="123">
        <v>6</v>
      </c>
      <c r="K904" s="123">
        <v>0</v>
      </c>
      <c r="L904" s="123">
        <v>6</v>
      </c>
      <c r="M904" s="123">
        <v>5</v>
      </c>
      <c r="N904" s="123">
        <v>0</v>
      </c>
      <c r="O904" s="123">
        <v>5</v>
      </c>
      <c r="P904" s="123">
        <v>2</v>
      </c>
      <c r="Q904" s="123">
        <v>0</v>
      </c>
      <c r="R904" s="123">
        <v>2</v>
      </c>
      <c r="S904" s="7" t="s">
        <v>163</v>
      </c>
      <c r="T904" s="124"/>
      <c r="U904" s="1"/>
    </row>
    <row r="905" spans="1:21" ht="13.5" thickBot="1" x14ac:dyDescent="0.25">
      <c r="A905" s="123">
        <v>0</v>
      </c>
      <c r="B905" s="123">
        <v>0</v>
      </c>
      <c r="C905" s="123">
        <v>0</v>
      </c>
      <c r="D905" s="123">
        <v>0</v>
      </c>
      <c r="E905" s="123">
        <v>0</v>
      </c>
      <c r="F905" s="123">
        <v>0</v>
      </c>
      <c r="G905" s="123">
        <v>0</v>
      </c>
      <c r="H905" s="123">
        <v>0</v>
      </c>
      <c r="I905" s="123">
        <v>0</v>
      </c>
      <c r="J905" s="123">
        <v>0</v>
      </c>
      <c r="K905" s="123">
        <v>0</v>
      </c>
      <c r="L905" s="123">
        <v>0</v>
      </c>
      <c r="M905" s="123">
        <v>0</v>
      </c>
      <c r="N905" s="123">
        <v>0</v>
      </c>
      <c r="O905" s="123">
        <v>0</v>
      </c>
      <c r="P905" s="123">
        <v>0</v>
      </c>
      <c r="Q905" s="123">
        <v>0</v>
      </c>
      <c r="R905" s="123">
        <v>0</v>
      </c>
      <c r="S905" s="7" t="s">
        <v>162</v>
      </c>
      <c r="T905" s="124" t="s">
        <v>296</v>
      </c>
      <c r="U905" s="1"/>
    </row>
    <row r="906" spans="1:21" ht="13.5" thickBot="1" x14ac:dyDescent="0.25">
      <c r="A906" s="123">
        <v>28</v>
      </c>
      <c r="B906" s="123">
        <v>0</v>
      </c>
      <c r="C906" s="123">
        <v>28</v>
      </c>
      <c r="D906" s="123">
        <v>6</v>
      </c>
      <c r="E906" s="123">
        <v>0</v>
      </c>
      <c r="F906" s="123">
        <v>6</v>
      </c>
      <c r="G906" s="123">
        <v>9</v>
      </c>
      <c r="H906" s="123">
        <v>0</v>
      </c>
      <c r="I906" s="123">
        <v>9</v>
      </c>
      <c r="J906" s="123">
        <v>6</v>
      </c>
      <c r="K906" s="123">
        <v>0</v>
      </c>
      <c r="L906" s="123">
        <v>6</v>
      </c>
      <c r="M906" s="123">
        <v>5</v>
      </c>
      <c r="N906" s="123">
        <v>0</v>
      </c>
      <c r="O906" s="123">
        <v>5</v>
      </c>
      <c r="P906" s="123">
        <v>2</v>
      </c>
      <c r="Q906" s="123">
        <v>0</v>
      </c>
      <c r="R906" s="123">
        <v>2</v>
      </c>
      <c r="S906" s="7" t="s">
        <v>13</v>
      </c>
      <c r="T906" s="9"/>
      <c r="U906" s="1"/>
    </row>
    <row r="907" spans="1:21" ht="13.5" thickBot="1" x14ac:dyDescent="0.25">
      <c r="A907" s="123">
        <v>7</v>
      </c>
      <c r="B907" s="123">
        <v>0</v>
      </c>
      <c r="C907" s="123">
        <v>7</v>
      </c>
      <c r="D907" s="123">
        <v>2</v>
      </c>
      <c r="E907" s="123">
        <v>0</v>
      </c>
      <c r="F907" s="123">
        <v>2</v>
      </c>
      <c r="G907" s="123">
        <v>2</v>
      </c>
      <c r="H907" s="123">
        <v>0</v>
      </c>
      <c r="I907" s="123">
        <v>2</v>
      </c>
      <c r="J907" s="123">
        <v>2</v>
      </c>
      <c r="K907" s="123">
        <v>0</v>
      </c>
      <c r="L907" s="123">
        <v>2</v>
      </c>
      <c r="M907" s="123">
        <v>1</v>
      </c>
      <c r="N907" s="123">
        <v>0</v>
      </c>
      <c r="O907" s="123">
        <v>1</v>
      </c>
      <c r="P907" s="123">
        <v>0</v>
      </c>
      <c r="Q907" s="123">
        <v>0</v>
      </c>
      <c r="R907" s="123">
        <v>0</v>
      </c>
      <c r="S907" s="7" t="s">
        <v>163</v>
      </c>
      <c r="T907" s="124"/>
      <c r="U907" s="1"/>
    </row>
    <row r="908" spans="1:21" ht="13.5" thickBot="1" x14ac:dyDescent="0.25">
      <c r="A908" s="123">
        <v>0</v>
      </c>
      <c r="B908" s="123">
        <v>0</v>
      </c>
      <c r="C908" s="123">
        <v>0</v>
      </c>
      <c r="D908" s="123">
        <v>0</v>
      </c>
      <c r="E908" s="123">
        <v>0</v>
      </c>
      <c r="F908" s="123">
        <v>0</v>
      </c>
      <c r="G908" s="123">
        <v>0</v>
      </c>
      <c r="H908" s="123">
        <v>0</v>
      </c>
      <c r="I908" s="123">
        <v>0</v>
      </c>
      <c r="J908" s="123">
        <v>0</v>
      </c>
      <c r="K908" s="123">
        <v>0</v>
      </c>
      <c r="L908" s="123">
        <v>0</v>
      </c>
      <c r="M908" s="123">
        <v>0</v>
      </c>
      <c r="N908" s="123">
        <v>0</v>
      </c>
      <c r="O908" s="123">
        <v>0</v>
      </c>
      <c r="P908" s="123">
        <v>0</v>
      </c>
      <c r="Q908" s="123">
        <v>0</v>
      </c>
      <c r="R908" s="123">
        <v>0</v>
      </c>
      <c r="S908" s="7" t="s">
        <v>162</v>
      </c>
      <c r="T908" s="124" t="s">
        <v>297</v>
      </c>
      <c r="U908" s="1"/>
    </row>
    <row r="909" spans="1:21" ht="13.5" thickBot="1" x14ac:dyDescent="0.25">
      <c r="A909" s="123">
        <v>7</v>
      </c>
      <c r="B909" s="123">
        <v>0</v>
      </c>
      <c r="C909" s="123">
        <v>7</v>
      </c>
      <c r="D909" s="123">
        <v>2</v>
      </c>
      <c r="E909" s="123">
        <v>0</v>
      </c>
      <c r="F909" s="123">
        <v>2</v>
      </c>
      <c r="G909" s="123">
        <v>2</v>
      </c>
      <c r="H909" s="123">
        <v>0</v>
      </c>
      <c r="I909" s="123">
        <v>2</v>
      </c>
      <c r="J909" s="123">
        <v>2</v>
      </c>
      <c r="K909" s="123">
        <v>0</v>
      </c>
      <c r="L909" s="123">
        <v>2</v>
      </c>
      <c r="M909" s="123">
        <v>1</v>
      </c>
      <c r="N909" s="123">
        <v>0</v>
      </c>
      <c r="O909" s="123">
        <v>1</v>
      </c>
      <c r="P909" s="123">
        <v>0</v>
      </c>
      <c r="Q909" s="123">
        <v>0</v>
      </c>
      <c r="R909" s="123">
        <v>0</v>
      </c>
      <c r="S909" s="7" t="s">
        <v>13</v>
      </c>
      <c r="T909" s="9"/>
      <c r="U909" s="1"/>
    </row>
    <row r="910" spans="1:21" ht="13.5" thickBot="1" x14ac:dyDescent="0.25">
      <c r="A910" s="123">
        <v>10</v>
      </c>
      <c r="B910" s="123">
        <v>0</v>
      </c>
      <c r="C910" s="123">
        <v>10</v>
      </c>
      <c r="D910" s="123">
        <v>5</v>
      </c>
      <c r="E910" s="123">
        <v>0</v>
      </c>
      <c r="F910" s="123">
        <v>5</v>
      </c>
      <c r="G910" s="123">
        <v>2</v>
      </c>
      <c r="H910" s="123">
        <v>0</v>
      </c>
      <c r="I910" s="123">
        <v>2</v>
      </c>
      <c r="J910" s="123">
        <v>2</v>
      </c>
      <c r="K910" s="123">
        <v>0</v>
      </c>
      <c r="L910" s="123">
        <v>2</v>
      </c>
      <c r="M910" s="123">
        <v>0</v>
      </c>
      <c r="N910" s="123">
        <v>0</v>
      </c>
      <c r="O910" s="123">
        <v>0</v>
      </c>
      <c r="P910" s="123">
        <v>1</v>
      </c>
      <c r="Q910" s="123">
        <v>0</v>
      </c>
      <c r="R910" s="123">
        <v>1</v>
      </c>
      <c r="S910" s="7" t="s">
        <v>163</v>
      </c>
      <c r="T910" s="124"/>
      <c r="U910" s="1"/>
    </row>
    <row r="911" spans="1:21" ht="13.5" thickBot="1" x14ac:dyDescent="0.25">
      <c r="A911" s="123">
        <v>0</v>
      </c>
      <c r="B911" s="123">
        <v>0</v>
      </c>
      <c r="C911" s="123">
        <v>0</v>
      </c>
      <c r="D911" s="123">
        <v>0</v>
      </c>
      <c r="E911" s="123">
        <v>0</v>
      </c>
      <c r="F911" s="123">
        <v>0</v>
      </c>
      <c r="G911" s="123">
        <v>0</v>
      </c>
      <c r="H911" s="123">
        <v>0</v>
      </c>
      <c r="I911" s="123">
        <v>0</v>
      </c>
      <c r="J911" s="123">
        <v>0</v>
      </c>
      <c r="K911" s="123">
        <v>0</v>
      </c>
      <c r="L911" s="123">
        <v>0</v>
      </c>
      <c r="M911" s="123">
        <v>0</v>
      </c>
      <c r="N911" s="123">
        <v>0</v>
      </c>
      <c r="O911" s="123">
        <v>0</v>
      </c>
      <c r="P911" s="123">
        <v>0</v>
      </c>
      <c r="Q911" s="123">
        <v>0</v>
      </c>
      <c r="R911" s="123">
        <v>0</v>
      </c>
      <c r="S911" s="7" t="s">
        <v>162</v>
      </c>
      <c r="T911" s="124" t="s">
        <v>298</v>
      </c>
      <c r="U911" s="1"/>
    </row>
    <row r="912" spans="1:21" ht="13.5" thickBot="1" x14ac:dyDescent="0.25">
      <c r="A912" s="123">
        <v>10</v>
      </c>
      <c r="B912" s="123">
        <v>0</v>
      </c>
      <c r="C912" s="123">
        <v>10</v>
      </c>
      <c r="D912" s="123">
        <v>5</v>
      </c>
      <c r="E912" s="123">
        <v>0</v>
      </c>
      <c r="F912" s="123">
        <v>5</v>
      </c>
      <c r="G912" s="123">
        <v>2</v>
      </c>
      <c r="H912" s="123">
        <v>0</v>
      </c>
      <c r="I912" s="123">
        <v>2</v>
      </c>
      <c r="J912" s="123">
        <v>2</v>
      </c>
      <c r="K912" s="123">
        <v>0</v>
      </c>
      <c r="L912" s="123">
        <v>2</v>
      </c>
      <c r="M912" s="123">
        <v>0</v>
      </c>
      <c r="N912" s="123">
        <v>0</v>
      </c>
      <c r="O912" s="123">
        <v>0</v>
      </c>
      <c r="P912" s="123">
        <v>1</v>
      </c>
      <c r="Q912" s="123">
        <v>0</v>
      </c>
      <c r="R912" s="123">
        <v>1</v>
      </c>
      <c r="S912" s="7" t="s">
        <v>13</v>
      </c>
      <c r="T912" s="9"/>
      <c r="U912" s="1"/>
    </row>
    <row r="913" spans="1:21" ht="13.5" thickBot="1" x14ac:dyDescent="0.25">
      <c r="A913" s="123">
        <v>13</v>
      </c>
      <c r="B913" s="123">
        <v>0</v>
      </c>
      <c r="C913" s="123">
        <v>13</v>
      </c>
      <c r="D913" s="123">
        <v>3</v>
      </c>
      <c r="E913" s="123">
        <v>0</v>
      </c>
      <c r="F913" s="123">
        <v>3</v>
      </c>
      <c r="G913" s="123">
        <v>4</v>
      </c>
      <c r="H913" s="123">
        <v>0</v>
      </c>
      <c r="I913" s="123">
        <v>4</v>
      </c>
      <c r="J913" s="123">
        <v>4</v>
      </c>
      <c r="K913" s="123">
        <v>0</v>
      </c>
      <c r="L913" s="123">
        <v>4</v>
      </c>
      <c r="M913" s="123">
        <v>1</v>
      </c>
      <c r="N913" s="123">
        <v>0</v>
      </c>
      <c r="O913" s="123">
        <v>1</v>
      </c>
      <c r="P913" s="123">
        <v>1</v>
      </c>
      <c r="Q913" s="123">
        <v>0</v>
      </c>
      <c r="R913" s="123">
        <v>1</v>
      </c>
      <c r="S913" s="7" t="s">
        <v>163</v>
      </c>
      <c r="T913" s="124"/>
      <c r="U913" s="1"/>
    </row>
    <row r="914" spans="1:21" ht="13.5" thickBot="1" x14ac:dyDescent="0.25">
      <c r="A914" s="123">
        <v>0</v>
      </c>
      <c r="B914" s="123">
        <v>0</v>
      </c>
      <c r="C914" s="123">
        <v>0</v>
      </c>
      <c r="D914" s="123">
        <v>0</v>
      </c>
      <c r="E914" s="123">
        <v>0</v>
      </c>
      <c r="F914" s="123">
        <v>0</v>
      </c>
      <c r="G914" s="123">
        <v>0</v>
      </c>
      <c r="H914" s="123">
        <v>0</v>
      </c>
      <c r="I914" s="123">
        <v>0</v>
      </c>
      <c r="J914" s="123">
        <v>0</v>
      </c>
      <c r="K914" s="123">
        <v>0</v>
      </c>
      <c r="L914" s="123">
        <v>0</v>
      </c>
      <c r="M914" s="123">
        <v>0</v>
      </c>
      <c r="N914" s="123">
        <v>0</v>
      </c>
      <c r="O914" s="123">
        <v>0</v>
      </c>
      <c r="P914" s="123">
        <v>0</v>
      </c>
      <c r="Q914" s="123">
        <v>0</v>
      </c>
      <c r="R914" s="123">
        <v>0</v>
      </c>
      <c r="S914" s="7" t="s">
        <v>162</v>
      </c>
      <c r="T914" s="124" t="s">
        <v>299</v>
      </c>
      <c r="U914" s="1"/>
    </row>
    <row r="915" spans="1:21" ht="13.5" thickBot="1" x14ac:dyDescent="0.25">
      <c r="A915" s="123">
        <v>13</v>
      </c>
      <c r="B915" s="123">
        <v>0</v>
      </c>
      <c r="C915" s="123">
        <v>13</v>
      </c>
      <c r="D915" s="123">
        <v>3</v>
      </c>
      <c r="E915" s="123">
        <v>0</v>
      </c>
      <c r="F915" s="123">
        <v>3</v>
      </c>
      <c r="G915" s="123">
        <v>4</v>
      </c>
      <c r="H915" s="123">
        <v>0</v>
      </c>
      <c r="I915" s="123">
        <v>4</v>
      </c>
      <c r="J915" s="123">
        <v>4</v>
      </c>
      <c r="K915" s="123">
        <v>0</v>
      </c>
      <c r="L915" s="123">
        <v>4</v>
      </c>
      <c r="M915" s="123">
        <v>1</v>
      </c>
      <c r="N915" s="123">
        <v>0</v>
      </c>
      <c r="O915" s="123">
        <v>1</v>
      </c>
      <c r="P915" s="123">
        <v>1</v>
      </c>
      <c r="Q915" s="123">
        <v>0</v>
      </c>
      <c r="R915" s="123">
        <v>1</v>
      </c>
      <c r="S915" s="7" t="s">
        <v>13</v>
      </c>
      <c r="T915" s="9"/>
      <c r="U915" s="1"/>
    </row>
    <row r="916" spans="1:21" ht="13.5" thickBot="1" x14ac:dyDescent="0.25">
      <c r="A916" s="123">
        <v>9</v>
      </c>
      <c r="B916" s="123">
        <v>0</v>
      </c>
      <c r="C916" s="123">
        <v>9</v>
      </c>
      <c r="D916" s="123">
        <v>1</v>
      </c>
      <c r="E916" s="123">
        <v>0</v>
      </c>
      <c r="F916" s="123">
        <v>1</v>
      </c>
      <c r="G916" s="123">
        <v>2</v>
      </c>
      <c r="H916" s="123">
        <v>0</v>
      </c>
      <c r="I916" s="123">
        <v>2</v>
      </c>
      <c r="J916" s="123">
        <v>5</v>
      </c>
      <c r="K916" s="123">
        <v>0</v>
      </c>
      <c r="L916" s="123">
        <v>5</v>
      </c>
      <c r="M916" s="123">
        <v>1</v>
      </c>
      <c r="N916" s="123">
        <v>0</v>
      </c>
      <c r="O916" s="123">
        <v>1</v>
      </c>
      <c r="P916" s="123">
        <v>0</v>
      </c>
      <c r="Q916" s="123">
        <v>0</v>
      </c>
      <c r="R916" s="123">
        <v>0</v>
      </c>
      <c r="S916" s="7" t="s">
        <v>163</v>
      </c>
      <c r="T916" s="124"/>
      <c r="U916" s="1"/>
    </row>
    <row r="917" spans="1:21" ht="13.5" thickBot="1" x14ac:dyDescent="0.25">
      <c r="A917" s="123">
        <v>0</v>
      </c>
      <c r="B917" s="123">
        <v>0</v>
      </c>
      <c r="C917" s="123">
        <v>0</v>
      </c>
      <c r="D917" s="123">
        <v>0</v>
      </c>
      <c r="E917" s="123">
        <v>0</v>
      </c>
      <c r="F917" s="123">
        <v>0</v>
      </c>
      <c r="G917" s="123">
        <v>0</v>
      </c>
      <c r="H917" s="123">
        <v>0</v>
      </c>
      <c r="I917" s="123">
        <v>0</v>
      </c>
      <c r="J917" s="123">
        <v>0</v>
      </c>
      <c r="K917" s="123">
        <v>0</v>
      </c>
      <c r="L917" s="123">
        <v>0</v>
      </c>
      <c r="M917" s="123">
        <v>0</v>
      </c>
      <c r="N917" s="123">
        <v>0</v>
      </c>
      <c r="O917" s="123">
        <v>0</v>
      </c>
      <c r="P917" s="123">
        <v>0</v>
      </c>
      <c r="Q917" s="123">
        <v>0</v>
      </c>
      <c r="R917" s="123">
        <v>0</v>
      </c>
      <c r="S917" s="7" t="s">
        <v>162</v>
      </c>
      <c r="T917" s="124" t="s">
        <v>300</v>
      </c>
      <c r="U917" s="1"/>
    </row>
    <row r="918" spans="1:21" ht="13.5" thickBot="1" x14ac:dyDescent="0.25">
      <c r="A918" s="123">
        <v>9</v>
      </c>
      <c r="B918" s="123">
        <v>0</v>
      </c>
      <c r="C918" s="123">
        <v>9</v>
      </c>
      <c r="D918" s="123">
        <v>1</v>
      </c>
      <c r="E918" s="123">
        <v>0</v>
      </c>
      <c r="F918" s="123">
        <v>1</v>
      </c>
      <c r="G918" s="123">
        <v>2</v>
      </c>
      <c r="H918" s="123">
        <v>0</v>
      </c>
      <c r="I918" s="123">
        <v>2</v>
      </c>
      <c r="J918" s="123">
        <v>5</v>
      </c>
      <c r="K918" s="123">
        <v>0</v>
      </c>
      <c r="L918" s="123">
        <v>5</v>
      </c>
      <c r="M918" s="123">
        <v>1</v>
      </c>
      <c r="N918" s="123">
        <v>0</v>
      </c>
      <c r="O918" s="123">
        <v>1</v>
      </c>
      <c r="P918" s="123">
        <v>0</v>
      </c>
      <c r="Q918" s="123">
        <v>0</v>
      </c>
      <c r="R918" s="123">
        <v>0</v>
      </c>
      <c r="S918" s="7" t="s">
        <v>13</v>
      </c>
      <c r="T918" s="9"/>
      <c r="U918" s="1"/>
    </row>
    <row r="919" spans="1:21" ht="13.5" thickBot="1" x14ac:dyDescent="0.25">
      <c r="A919" s="123">
        <v>33</v>
      </c>
      <c r="B919" s="123">
        <v>0</v>
      </c>
      <c r="C919" s="123">
        <v>33</v>
      </c>
      <c r="D919" s="123">
        <v>22</v>
      </c>
      <c r="E919" s="123">
        <v>0</v>
      </c>
      <c r="F919" s="123">
        <v>22</v>
      </c>
      <c r="G919" s="123">
        <v>5</v>
      </c>
      <c r="H919" s="123">
        <v>0</v>
      </c>
      <c r="I919" s="123">
        <v>5</v>
      </c>
      <c r="J919" s="123">
        <v>5</v>
      </c>
      <c r="K919" s="123">
        <v>0</v>
      </c>
      <c r="L919" s="123">
        <v>5</v>
      </c>
      <c r="M919" s="123">
        <v>0</v>
      </c>
      <c r="N919" s="123">
        <v>0</v>
      </c>
      <c r="O919" s="123">
        <v>0</v>
      </c>
      <c r="P919" s="123">
        <v>1</v>
      </c>
      <c r="Q919" s="123">
        <v>0</v>
      </c>
      <c r="R919" s="123">
        <v>1</v>
      </c>
      <c r="S919" s="7" t="s">
        <v>163</v>
      </c>
      <c r="T919" s="124"/>
      <c r="U919" s="1"/>
    </row>
    <row r="920" spans="1:21" ht="13.5" thickBot="1" x14ac:dyDescent="0.25">
      <c r="A920" s="123">
        <v>0</v>
      </c>
      <c r="B920" s="123">
        <v>0</v>
      </c>
      <c r="C920" s="123">
        <v>0</v>
      </c>
      <c r="D920" s="123">
        <v>0</v>
      </c>
      <c r="E920" s="123">
        <v>0</v>
      </c>
      <c r="F920" s="123">
        <v>0</v>
      </c>
      <c r="G920" s="123">
        <v>0</v>
      </c>
      <c r="H920" s="123">
        <v>0</v>
      </c>
      <c r="I920" s="123">
        <v>0</v>
      </c>
      <c r="J920" s="123">
        <v>0</v>
      </c>
      <c r="K920" s="123">
        <v>0</v>
      </c>
      <c r="L920" s="123">
        <v>0</v>
      </c>
      <c r="M920" s="123">
        <v>0</v>
      </c>
      <c r="N920" s="123">
        <v>0</v>
      </c>
      <c r="O920" s="123">
        <v>0</v>
      </c>
      <c r="P920" s="123">
        <v>0</v>
      </c>
      <c r="Q920" s="123">
        <v>0</v>
      </c>
      <c r="R920" s="123">
        <v>0</v>
      </c>
      <c r="S920" s="7" t="s">
        <v>162</v>
      </c>
      <c r="T920" s="124" t="s">
        <v>301</v>
      </c>
      <c r="U920" s="1"/>
    </row>
    <row r="921" spans="1:21" ht="13.5" thickBot="1" x14ac:dyDescent="0.25">
      <c r="A921" s="123">
        <v>33</v>
      </c>
      <c r="B921" s="123">
        <v>0</v>
      </c>
      <c r="C921" s="123">
        <v>33</v>
      </c>
      <c r="D921" s="123">
        <v>22</v>
      </c>
      <c r="E921" s="123">
        <v>0</v>
      </c>
      <c r="F921" s="123">
        <v>22</v>
      </c>
      <c r="G921" s="123">
        <v>5</v>
      </c>
      <c r="H921" s="123">
        <v>0</v>
      </c>
      <c r="I921" s="123">
        <v>5</v>
      </c>
      <c r="J921" s="123">
        <v>5</v>
      </c>
      <c r="K921" s="123">
        <v>0</v>
      </c>
      <c r="L921" s="123">
        <v>5</v>
      </c>
      <c r="M921" s="123">
        <v>0</v>
      </c>
      <c r="N921" s="123">
        <v>0</v>
      </c>
      <c r="O921" s="123">
        <v>0</v>
      </c>
      <c r="P921" s="123">
        <v>1</v>
      </c>
      <c r="Q921" s="123">
        <v>0</v>
      </c>
      <c r="R921" s="123">
        <v>1</v>
      </c>
      <c r="S921" s="7" t="s">
        <v>13</v>
      </c>
      <c r="T921" s="9"/>
      <c r="U921" s="1"/>
    </row>
    <row r="922" spans="1:21" ht="13.5" thickBot="1" x14ac:dyDescent="0.25">
      <c r="A922" s="123">
        <v>6</v>
      </c>
      <c r="B922" s="123">
        <v>0</v>
      </c>
      <c r="C922" s="123">
        <v>6</v>
      </c>
      <c r="D922" s="123">
        <v>0</v>
      </c>
      <c r="E922" s="123">
        <v>0</v>
      </c>
      <c r="F922" s="123">
        <v>0</v>
      </c>
      <c r="G922" s="123">
        <v>3</v>
      </c>
      <c r="H922" s="123">
        <v>0</v>
      </c>
      <c r="I922" s="123">
        <v>3</v>
      </c>
      <c r="J922" s="123">
        <v>2</v>
      </c>
      <c r="K922" s="123">
        <v>0</v>
      </c>
      <c r="L922" s="123">
        <v>2</v>
      </c>
      <c r="M922" s="123">
        <v>1</v>
      </c>
      <c r="N922" s="123">
        <v>0</v>
      </c>
      <c r="O922" s="123">
        <v>1</v>
      </c>
      <c r="P922" s="123">
        <v>0</v>
      </c>
      <c r="Q922" s="123">
        <v>0</v>
      </c>
      <c r="R922" s="123">
        <v>0</v>
      </c>
      <c r="S922" s="7" t="s">
        <v>163</v>
      </c>
      <c r="T922" s="124"/>
      <c r="U922" s="1"/>
    </row>
    <row r="923" spans="1:21" ht="13.5" thickBot="1" x14ac:dyDescent="0.25">
      <c r="A923" s="123">
        <v>0</v>
      </c>
      <c r="B923" s="123">
        <v>0</v>
      </c>
      <c r="C923" s="123">
        <v>0</v>
      </c>
      <c r="D923" s="123">
        <v>0</v>
      </c>
      <c r="E923" s="123">
        <v>0</v>
      </c>
      <c r="F923" s="123">
        <v>0</v>
      </c>
      <c r="G923" s="123">
        <v>0</v>
      </c>
      <c r="H923" s="123">
        <v>0</v>
      </c>
      <c r="I923" s="123">
        <v>0</v>
      </c>
      <c r="J923" s="123">
        <v>0</v>
      </c>
      <c r="K923" s="123">
        <v>0</v>
      </c>
      <c r="L923" s="123">
        <v>0</v>
      </c>
      <c r="M923" s="123">
        <v>0</v>
      </c>
      <c r="N923" s="123">
        <v>0</v>
      </c>
      <c r="O923" s="123">
        <v>0</v>
      </c>
      <c r="P923" s="123">
        <v>0</v>
      </c>
      <c r="Q923" s="123">
        <v>0</v>
      </c>
      <c r="R923" s="123">
        <v>0</v>
      </c>
      <c r="S923" s="7" t="s">
        <v>162</v>
      </c>
      <c r="T923" s="124" t="s">
        <v>302</v>
      </c>
      <c r="U923" s="1"/>
    </row>
    <row r="924" spans="1:21" ht="13.5" thickBot="1" x14ac:dyDescent="0.25">
      <c r="A924" s="123">
        <v>6</v>
      </c>
      <c r="B924" s="123">
        <v>0</v>
      </c>
      <c r="C924" s="123">
        <v>6</v>
      </c>
      <c r="D924" s="123">
        <v>0</v>
      </c>
      <c r="E924" s="123">
        <v>0</v>
      </c>
      <c r="F924" s="123">
        <v>0</v>
      </c>
      <c r="G924" s="123">
        <v>3</v>
      </c>
      <c r="H924" s="123">
        <v>0</v>
      </c>
      <c r="I924" s="123">
        <v>3</v>
      </c>
      <c r="J924" s="123">
        <v>2</v>
      </c>
      <c r="K924" s="123">
        <v>0</v>
      </c>
      <c r="L924" s="123">
        <v>2</v>
      </c>
      <c r="M924" s="123">
        <v>1</v>
      </c>
      <c r="N924" s="123">
        <v>0</v>
      </c>
      <c r="O924" s="123">
        <v>1</v>
      </c>
      <c r="P924" s="123">
        <v>0</v>
      </c>
      <c r="Q924" s="123">
        <v>0</v>
      </c>
      <c r="R924" s="123">
        <v>0</v>
      </c>
      <c r="S924" s="7" t="s">
        <v>13</v>
      </c>
      <c r="T924" s="9"/>
      <c r="U924" s="1"/>
    </row>
    <row r="925" spans="1:21" ht="13.5" thickBot="1" x14ac:dyDescent="0.25">
      <c r="A925" s="123">
        <v>11</v>
      </c>
      <c r="B925" s="123">
        <v>0</v>
      </c>
      <c r="C925" s="123">
        <v>11</v>
      </c>
      <c r="D925" s="123">
        <v>4</v>
      </c>
      <c r="E925" s="123">
        <v>0</v>
      </c>
      <c r="F925" s="123">
        <v>4</v>
      </c>
      <c r="G925" s="123">
        <v>3</v>
      </c>
      <c r="H925" s="123">
        <v>0</v>
      </c>
      <c r="I925" s="123">
        <v>3</v>
      </c>
      <c r="J925" s="123">
        <v>3</v>
      </c>
      <c r="K925" s="123">
        <v>0</v>
      </c>
      <c r="L925" s="123">
        <v>3</v>
      </c>
      <c r="M925" s="123">
        <v>1</v>
      </c>
      <c r="N925" s="123">
        <v>0</v>
      </c>
      <c r="O925" s="123">
        <v>1</v>
      </c>
      <c r="P925" s="123">
        <v>0</v>
      </c>
      <c r="Q925" s="123">
        <v>0</v>
      </c>
      <c r="R925" s="123">
        <v>0</v>
      </c>
      <c r="S925" s="7" t="s">
        <v>163</v>
      </c>
      <c r="T925" s="124"/>
      <c r="U925" s="1"/>
    </row>
    <row r="926" spans="1:21" ht="13.5" thickBot="1" x14ac:dyDescent="0.25">
      <c r="A926" s="123">
        <v>0</v>
      </c>
      <c r="B926" s="123">
        <v>0</v>
      </c>
      <c r="C926" s="123">
        <v>0</v>
      </c>
      <c r="D926" s="123">
        <v>0</v>
      </c>
      <c r="E926" s="123">
        <v>0</v>
      </c>
      <c r="F926" s="123">
        <v>0</v>
      </c>
      <c r="G926" s="123">
        <v>0</v>
      </c>
      <c r="H926" s="123">
        <v>0</v>
      </c>
      <c r="I926" s="123">
        <v>0</v>
      </c>
      <c r="J926" s="123">
        <v>0</v>
      </c>
      <c r="K926" s="123">
        <v>0</v>
      </c>
      <c r="L926" s="123">
        <v>0</v>
      </c>
      <c r="M926" s="123">
        <v>0</v>
      </c>
      <c r="N926" s="123">
        <v>0</v>
      </c>
      <c r="O926" s="123">
        <v>0</v>
      </c>
      <c r="P926" s="123">
        <v>0</v>
      </c>
      <c r="Q926" s="123">
        <v>0</v>
      </c>
      <c r="R926" s="123">
        <v>0</v>
      </c>
      <c r="S926" s="7" t="s">
        <v>162</v>
      </c>
      <c r="T926" s="124" t="s">
        <v>303</v>
      </c>
      <c r="U926" s="1"/>
    </row>
    <row r="927" spans="1:21" ht="13.5" thickBot="1" x14ac:dyDescent="0.25">
      <c r="A927" s="123">
        <v>11</v>
      </c>
      <c r="B927" s="123">
        <v>0</v>
      </c>
      <c r="C927" s="123">
        <v>11</v>
      </c>
      <c r="D927" s="123">
        <v>4</v>
      </c>
      <c r="E927" s="123">
        <v>0</v>
      </c>
      <c r="F927" s="123">
        <v>4</v>
      </c>
      <c r="G927" s="123">
        <v>3</v>
      </c>
      <c r="H927" s="123">
        <v>0</v>
      </c>
      <c r="I927" s="123">
        <v>3</v>
      </c>
      <c r="J927" s="123">
        <v>3</v>
      </c>
      <c r="K927" s="123">
        <v>0</v>
      </c>
      <c r="L927" s="123">
        <v>3</v>
      </c>
      <c r="M927" s="123">
        <v>1</v>
      </c>
      <c r="N927" s="123">
        <v>0</v>
      </c>
      <c r="O927" s="123">
        <v>1</v>
      </c>
      <c r="P927" s="123">
        <v>0</v>
      </c>
      <c r="Q927" s="123">
        <v>0</v>
      </c>
      <c r="R927" s="123">
        <v>0</v>
      </c>
      <c r="S927" s="7" t="s">
        <v>13</v>
      </c>
      <c r="T927" s="9"/>
      <c r="U927" s="1"/>
    </row>
    <row r="928" spans="1:21" ht="13.5" thickBot="1" x14ac:dyDescent="0.25">
      <c r="A928" s="123">
        <v>7</v>
      </c>
      <c r="B928" s="123">
        <v>0</v>
      </c>
      <c r="C928" s="123">
        <v>7</v>
      </c>
      <c r="D928" s="123">
        <v>1</v>
      </c>
      <c r="E928" s="123">
        <v>0</v>
      </c>
      <c r="F928" s="123">
        <v>1</v>
      </c>
      <c r="G928" s="123">
        <v>3</v>
      </c>
      <c r="H928" s="123">
        <v>0</v>
      </c>
      <c r="I928" s="123">
        <v>3</v>
      </c>
      <c r="J928" s="123">
        <v>2</v>
      </c>
      <c r="K928" s="123">
        <v>0</v>
      </c>
      <c r="L928" s="123">
        <v>2</v>
      </c>
      <c r="M928" s="123">
        <v>1</v>
      </c>
      <c r="N928" s="123">
        <v>0</v>
      </c>
      <c r="O928" s="123">
        <v>1</v>
      </c>
      <c r="P928" s="123">
        <v>0</v>
      </c>
      <c r="Q928" s="123">
        <v>0</v>
      </c>
      <c r="R928" s="123">
        <v>0</v>
      </c>
      <c r="S928" s="7" t="s">
        <v>163</v>
      </c>
      <c r="T928" s="124"/>
      <c r="U928" s="1"/>
    </row>
    <row r="929" spans="1:21" ht="13.5" thickBot="1" x14ac:dyDescent="0.25">
      <c r="A929" s="123">
        <v>0</v>
      </c>
      <c r="B929" s="123">
        <v>0</v>
      </c>
      <c r="C929" s="123">
        <v>0</v>
      </c>
      <c r="D929" s="123">
        <v>0</v>
      </c>
      <c r="E929" s="123">
        <v>0</v>
      </c>
      <c r="F929" s="123">
        <v>0</v>
      </c>
      <c r="G929" s="123">
        <v>0</v>
      </c>
      <c r="H929" s="123">
        <v>0</v>
      </c>
      <c r="I929" s="123">
        <v>0</v>
      </c>
      <c r="J929" s="123">
        <v>0</v>
      </c>
      <c r="K929" s="123">
        <v>0</v>
      </c>
      <c r="L929" s="123">
        <v>0</v>
      </c>
      <c r="M929" s="123">
        <v>0</v>
      </c>
      <c r="N929" s="123">
        <v>0</v>
      </c>
      <c r="O929" s="123">
        <v>0</v>
      </c>
      <c r="P929" s="123">
        <v>0</v>
      </c>
      <c r="Q929" s="123">
        <v>0</v>
      </c>
      <c r="R929" s="123">
        <v>0</v>
      </c>
      <c r="S929" s="7" t="s">
        <v>162</v>
      </c>
      <c r="T929" s="124" t="s">
        <v>304</v>
      </c>
      <c r="U929" s="1"/>
    </row>
    <row r="930" spans="1:21" ht="13.5" thickBot="1" x14ac:dyDescent="0.25">
      <c r="A930" s="123">
        <v>7</v>
      </c>
      <c r="B930" s="123">
        <v>0</v>
      </c>
      <c r="C930" s="123">
        <v>7</v>
      </c>
      <c r="D930" s="123">
        <v>1</v>
      </c>
      <c r="E930" s="123">
        <v>0</v>
      </c>
      <c r="F930" s="123">
        <v>1</v>
      </c>
      <c r="G930" s="123">
        <v>3</v>
      </c>
      <c r="H930" s="123">
        <v>0</v>
      </c>
      <c r="I930" s="123">
        <v>3</v>
      </c>
      <c r="J930" s="123">
        <v>2</v>
      </c>
      <c r="K930" s="123">
        <v>0</v>
      </c>
      <c r="L930" s="123">
        <v>2</v>
      </c>
      <c r="M930" s="123">
        <v>1</v>
      </c>
      <c r="N930" s="123">
        <v>0</v>
      </c>
      <c r="O930" s="123">
        <v>1</v>
      </c>
      <c r="P930" s="123">
        <v>0</v>
      </c>
      <c r="Q930" s="123">
        <v>0</v>
      </c>
      <c r="R930" s="123">
        <v>0</v>
      </c>
      <c r="S930" s="7" t="s">
        <v>13</v>
      </c>
      <c r="T930" s="9"/>
      <c r="U930" s="1"/>
    </row>
    <row r="931" spans="1:21" ht="13.5" thickBot="1" x14ac:dyDescent="0.25">
      <c r="A931" s="123">
        <v>12</v>
      </c>
      <c r="B931" s="123">
        <v>0</v>
      </c>
      <c r="C931" s="123">
        <v>12</v>
      </c>
      <c r="D931" s="123">
        <v>2</v>
      </c>
      <c r="E931" s="123">
        <v>0</v>
      </c>
      <c r="F931" s="123">
        <v>2</v>
      </c>
      <c r="G931" s="123">
        <v>7</v>
      </c>
      <c r="H931" s="123">
        <v>0</v>
      </c>
      <c r="I931" s="123">
        <v>7</v>
      </c>
      <c r="J931" s="123">
        <v>0</v>
      </c>
      <c r="K931" s="123">
        <v>0</v>
      </c>
      <c r="L931" s="123">
        <v>0</v>
      </c>
      <c r="M931" s="123">
        <v>3</v>
      </c>
      <c r="N931" s="123">
        <v>0</v>
      </c>
      <c r="O931" s="123">
        <v>3</v>
      </c>
      <c r="P931" s="123">
        <v>0</v>
      </c>
      <c r="Q931" s="123">
        <v>0</v>
      </c>
      <c r="R931" s="123">
        <v>0</v>
      </c>
      <c r="S931" s="7" t="s">
        <v>163</v>
      </c>
      <c r="T931" s="124"/>
      <c r="U931" s="1"/>
    </row>
    <row r="932" spans="1:21" ht="13.5" thickBot="1" x14ac:dyDescent="0.25">
      <c r="A932" s="123">
        <v>0</v>
      </c>
      <c r="B932" s="123">
        <v>0</v>
      </c>
      <c r="C932" s="123">
        <v>0</v>
      </c>
      <c r="D932" s="123">
        <v>0</v>
      </c>
      <c r="E932" s="123">
        <v>0</v>
      </c>
      <c r="F932" s="123">
        <v>0</v>
      </c>
      <c r="G932" s="123">
        <v>0</v>
      </c>
      <c r="H932" s="123">
        <v>0</v>
      </c>
      <c r="I932" s="123">
        <v>0</v>
      </c>
      <c r="J932" s="123">
        <v>0</v>
      </c>
      <c r="K932" s="123">
        <v>0</v>
      </c>
      <c r="L932" s="123">
        <v>0</v>
      </c>
      <c r="M932" s="123">
        <v>0</v>
      </c>
      <c r="N932" s="123">
        <v>0</v>
      </c>
      <c r="O932" s="123">
        <v>0</v>
      </c>
      <c r="P932" s="123">
        <v>0</v>
      </c>
      <c r="Q932" s="123">
        <v>0</v>
      </c>
      <c r="R932" s="123">
        <v>0</v>
      </c>
      <c r="S932" s="7" t="s">
        <v>162</v>
      </c>
      <c r="T932" s="124" t="s">
        <v>305</v>
      </c>
      <c r="U932" s="1"/>
    </row>
    <row r="933" spans="1:21" ht="13.5" thickBot="1" x14ac:dyDescent="0.25">
      <c r="A933" s="123">
        <v>12</v>
      </c>
      <c r="B933" s="123">
        <v>0</v>
      </c>
      <c r="C933" s="123">
        <v>12</v>
      </c>
      <c r="D933" s="123">
        <v>2</v>
      </c>
      <c r="E933" s="123">
        <v>0</v>
      </c>
      <c r="F933" s="123">
        <v>2</v>
      </c>
      <c r="G933" s="123">
        <v>7</v>
      </c>
      <c r="H933" s="123">
        <v>0</v>
      </c>
      <c r="I933" s="123">
        <v>7</v>
      </c>
      <c r="J933" s="123">
        <v>0</v>
      </c>
      <c r="K933" s="123">
        <v>0</v>
      </c>
      <c r="L933" s="123">
        <v>0</v>
      </c>
      <c r="M933" s="123">
        <v>3</v>
      </c>
      <c r="N933" s="123">
        <v>0</v>
      </c>
      <c r="O933" s="123">
        <v>3</v>
      </c>
      <c r="P933" s="123">
        <v>0</v>
      </c>
      <c r="Q933" s="123">
        <v>0</v>
      </c>
      <c r="R933" s="123">
        <v>0</v>
      </c>
      <c r="S933" s="7" t="s">
        <v>13</v>
      </c>
      <c r="T933" s="9"/>
      <c r="U933" s="1"/>
    </row>
    <row r="934" spans="1:21" ht="13.5" thickBot="1" x14ac:dyDescent="0.25">
      <c r="A934" s="123">
        <v>11</v>
      </c>
      <c r="B934" s="123">
        <v>0</v>
      </c>
      <c r="C934" s="123">
        <v>11</v>
      </c>
      <c r="D934" s="123">
        <v>2</v>
      </c>
      <c r="E934" s="123">
        <v>0</v>
      </c>
      <c r="F934" s="123">
        <v>2</v>
      </c>
      <c r="G934" s="123">
        <v>5</v>
      </c>
      <c r="H934" s="123">
        <v>0</v>
      </c>
      <c r="I934" s="123">
        <v>5</v>
      </c>
      <c r="J934" s="123">
        <v>3</v>
      </c>
      <c r="K934" s="123">
        <v>0</v>
      </c>
      <c r="L934" s="123">
        <v>3</v>
      </c>
      <c r="M934" s="123">
        <v>1</v>
      </c>
      <c r="N934" s="123">
        <v>0</v>
      </c>
      <c r="O934" s="123">
        <v>1</v>
      </c>
      <c r="P934" s="123">
        <v>0</v>
      </c>
      <c r="Q934" s="123">
        <v>0</v>
      </c>
      <c r="R934" s="123">
        <v>0</v>
      </c>
      <c r="S934" s="7" t="s">
        <v>163</v>
      </c>
      <c r="T934" s="124"/>
      <c r="U934" s="1"/>
    </row>
    <row r="935" spans="1:21" ht="13.5" thickBot="1" x14ac:dyDescent="0.25">
      <c r="A935" s="123">
        <v>0</v>
      </c>
      <c r="B935" s="123">
        <v>0</v>
      </c>
      <c r="C935" s="123">
        <v>0</v>
      </c>
      <c r="D935" s="123">
        <v>0</v>
      </c>
      <c r="E935" s="123">
        <v>0</v>
      </c>
      <c r="F935" s="123">
        <v>0</v>
      </c>
      <c r="G935" s="123">
        <v>0</v>
      </c>
      <c r="H935" s="123">
        <v>0</v>
      </c>
      <c r="I935" s="123">
        <v>0</v>
      </c>
      <c r="J935" s="123">
        <v>0</v>
      </c>
      <c r="K935" s="123">
        <v>0</v>
      </c>
      <c r="L935" s="123">
        <v>0</v>
      </c>
      <c r="M935" s="123">
        <v>0</v>
      </c>
      <c r="N935" s="123">
        <v>0</v>
      </c>
      <c r="O935" s="123">
        <v>0</v>
      </c>
      <c r="P935" s="123">
        <v>0</v>
      </c>
      <c r="Q935" s="123">
        <v>0</v>
      </c>
      <c r="R935" s="123">
        <v>0</v>
      </c>
      <c r="S935" s="7" t="s">
        <v>162</v>
      </c>
      <c r="T935" s="124" t="s">
        <v>306</v>
      </c>
      <c r="U935" s="1"/>
    </row>
    <row r="936" spans="1:21" ht="13.5" thickBot="1" x14ac:dyDescent="0.25">
      <c r="A936" s="123">
        <v>11</v>
      </c>
      <c r="B936" s="123">
        <v>0</v>
      </c>
      <c r="C936" s="123">
        <v>11</v>
      </c>
      <c r="D936" s="123">
        <v>2</v>
      </c>
      <c r="E936" s="123">
        <v>0</v>
      </c>
      <c r="F936" s="123">
        <v>2</v>
      </c>
      <c r="G936" s="123">
        <v>5</v>
      </c>
      <c r="H936" s="123">
        <v>0</v>
      </c>
      <c r="I936" s="123">
        <v>5</v>
      </c>
      <c r="J936" s="123">
        <v>3</v>
      </c>
      <c r="K936" s="123">
        <v>0</v>
      </c>
      <c r="L936" s="123">
        <v>3</v>
      </c>
      <c r="M936" s="123">
        <v>1</v>
      </c>
      <c r="N936" s="123">
        <v>0</v>
      </c>
      <c r="O936" s="123">
        <v>1</v>
      </c>
      <c r="P936" s="123">
        <v>0</v>
      </c>
      <c r="Q936" s="123">
        <v>0</v>
      </c>
      <c r="R936" s="123">
        <v>0</v>
      </c>
      <c r="S936" s="7" t="s">
        <v>13</v>
      </c>
      <c r="T936" s="9"/>
      <c r="U936" s="1"/>
    </row>
    <row r="937" spans="1:21" ht="13.5" thickBot="1" x14ac:dyDescent="0.25">
      <c r="A937" s="123">
        <v>10</v>
      </c>
      <c r="B937" s="123">
        <v>0</v>
      </c>
      <c r="C937" s="123">
        <v>10</v>
      </c>
      <c r="D937" s="123">
        <v>2</v>
      </c>
      <c r="E937" s="123">
        <v>0</v>
      </c>
      <c r="F937" s="123">
        <v>2</v>
      </c>
      <c r="G937" s="123">
        <v>4</v>
      </c>
      <c r="H937" s="123">
        <v>0</v>
      </c>
      <c r="I937" s="123">
        <v>4</v>
      </c>
      <c r="J937" s="123">
        <v>2</v>
      </c>
      <c r="K937" s="123">
        <v>0</v>
      </c>
      <c r="L937" s="123">
        <v>2</v>
      </c>
      <c r="M937" s="123">
        <v>2</v>
      </c>
      <c r="N937" s="123">
        <v>0</v>
      </c>
      <c r="O937" s="123">
        <v>2</v>
      </c>
      <c r="P937" s="123">
        <v>0</v>
      </c>
      <c r="Q937" s="123">
        <v>0</v>
      </c>
      <c r="R937" s="123">
        <v>0</v>
      </c>
      <c r="S937" s="7" t="s">
        <v>163</v>
      </c>
      <c r="T937" s="124"/>
      <c r="U937" s="1"/>
    </row>
    <row r="938" spans="1:21" ht="13.5" thickBot="1" x14ac:dyDescent="0.25">
      <c r="A938" s="123">
        <v>0</v>
      </c>
      <c r="B938" s="123">
        <v>0</v>
      </c>
      <c r="C938" s="123">
        <v>0</v>
      </c>
      <c r="D938" s="123">
        <v>0</v>
      </c>
      <c r="E938" s="123">
        <v>0</v>
      </c>
      <c r="F938" s="123">
        <v>0</v>
      </c>
      <c r="G938" s="123">
        <v>0</v>
      </c>
      <c r="H938" s="123">
        <v>0</v>
      </c>
      <c r="I938" s="123">
        <v>0</v>
      </c>
      <c r="J938" s="123">
        <v>0</v>
      </c>
      <c r="K938" s="123">
        <v>0</v>
      </c>
      <c r="L938" s="123">
        <v>0</v>
      </c>
      <c r="M938" s="123">
        <v>0</v>
      </c>
      <c r="N938" s="123">
        <v>0</v>
      </c>
      <c r="O938" s="123">
        <v>0</v>
      </c>
      <c r="P938" s="123">
        <v>0</v>
      </c>
      <c r="Q938" s="123">
        <v>0</v>
      </c>
      <c r="R938" s="123">
        <v>0</v>
      </c>
      <c r="S938" s="7" t="s">
        <v>162</v>
      </c>
      <c r="T938" s="124" t="s">
        <v>307</v>
      </c>
      <c r="U938" s="1"/>
    </row>
    <row r="939" spans="1:21" ht="13.5" thickBot="1" x14ac:dyDescent="0.25">
      <c r="A939" s="123">
        <v>10</v>
      </c>
      <c r="B939" s="123">
        <v>0</v>
      </c>
      <c r="C939" s="123">
        <v>10</v>
      </c>
      <c r="D939" s="123">
        <v>2</v>
      </c>
      <c r="E939" s="123">
        <v>0</v>
      </c>
      <c r="F939" s="123">
        <v>2</v>
      </c>
      <c r="G939" s="123">
        <v>4</v>
      </c>
      <c r="H939" s="123">
        <v>0</v>
      </c>
      <c r="I939" s="123">
        <v>4</v>
      </c>
      <c r="J939" s="123">
        <v>2</v>
      </c>
      <c r="K939" s="123">
        <v>0</v>
      </c>
      <c r="L939" s="123">
        <v>2</v>
      </c>
      <c r="M939" s="123">
        <v>2</v>
      </c>
      <c r="N939" s="123">
        <v>0</v>
      </c>
      <c r="O939" s="123">
        <v>2</v>
      </c>
      <c r="P939" s="123">
        <v>0</v>
      </c>
      <c r="Q939" s="123">
        <v>0</v>
      </c>
      <c r="R939" s="123">
        <v>0</v>
      </c>
      <c r="S939" s="7" t="s">
        <v>13</v>
      </c>
      <c r="T939" s="9"/>
      <c r="U939" s="1"/>
    </row>
    <row r="940" spans="1:21" ht="13.5" thickBot="1" x14ac:dyDescent="0.25">
      <c r="A940" s="123">
        <v>11</v>
      </c>
      <c r="B940" s="123">
        <v>0</v>
      </c>
      <c r="C940" s="123">
        <v>11</v>
      </c>
      <c r="D940" s="123">
        <v>2</v>
      </c>
      <c r="E940" s="123">
        <v>0</v>
      </c>
      <c r="F940" s="123">
        <v>2</v>
      </c>
      <c r="G940" s="123">
        <v>3</v>
      </c>
      <c r="H940" s="123">
        <v>0</v>
      </c>
      <c r="I940" s="123">
        <v>3</v>
      </c>
      <c r="J940" s="123">
        <v>5</v>
      </c>
      <c r="K940" s="123">
        <v>0</v>
      </c>
      <c r="L940" s="123">
        <v>5</v>
      </c>
      <c r="M940" s="123">
        <v>0</v>
      </c>
      <c r="N940" s="123">
        <v>0</v>
      </c>
      <c r="O940" s="123">
        <v>0</v>
      </c>
      <c r="P940" s="123">
        <v>1</v>
      </c>
      <c r="Q940" s="123">
        <v>0</v>
      </c>
      <c r="R940" s="123">
        <v>1</v>
      </c>
      <c r="S940" s="7" t="s">
        <v>163</v>
      </c>
      <c r="T940" s="124"/>
      <c r="U940" s="1"/>
    </row>
    <row r="941" spans="1:21" ht="13.5" thickBot="1" x14ac:dyDescent="0.25">
      <c r="A941" s="123">
        <v>0</v>
      </c>
      <c r="B941" s="123">
        <v>0</v>
      </c>
      <c r="C941" s="123">
        <v>0</v>
      </c>
      <c r="D941" s="123">
        <v>0</v>
      </c>
      <c r="E941" s="123">
        <v>0</v>
      </c>
      <c r="F941" s="123">
        <v>0</v>
      </c>
      <c r="G941" s="123">
        <v>0</v>
      </c>
      <c r="H941" s="123">
        <v>0</v>
      </c>
      <c r="I941" s="123">
        <v>0</v>
      </c>
      <c r="J941" s="123">
        <v>0</v>
      </c>
      <c r="K941" s="123">
        <v>0</v>
      </c>
      <c r="L941" s="123">
        <v>0</v>
      </c>
      <c r="M941" s="123">
        <v>0</v>
      </c>
      <c r="N941" s="123">
        <v>0</v>
      </c>
      <c r="O941" s="123">
        <v>0</v>
      </c>
      <c r="P941" s="123">
        <v>0</v>
      </c>
      <c r="Q941" s="123">
        <v>0</v>
      </c>
      <c r="R941" s="123">
        <v>0</v>
      </c>
      <c r="S941" s="7" t="s">
        <v>162</v>
      </c>
      <c r="T941" s="124" t="s">
        <v>308</v>
      </c>
      <c r="U941" s="1"/>
    </row>
    <row r="942" spans="1:21" ht="13.5" thickBot="1" x14ac:dyDescent="0.25">
      <c r="A942" s="123">
        <v>11</v>
      </c>
      <c r="B942" s="123">
        <v>0</v>
      </c>
      <c r="C942" s="123">
        <v>11</v>
      </c>
      <c r="D942" s="123">
        <v>2</v>
      </c>
      <c r="E942" s="123">
        <v>0</v>
      </c>
      <c r="F942" s="123">
        <v>2</v>
      </c>
      <c r="G942" s="123">
        <v>3</v>
      </c>
      <c r="H942" s="123">
        <v>0</v>
      </c>
      <c r="I942" s="123">
        <v>3</v>
      </c>
      <c r="J942" s="123">
        <v>5</v>
      </c>
      <c r="K942" s="123">
        <v>0</v>
      </c>
      <c r="L942" s="123">
        <v>5</v>
      </c>
      <c r="M942" s="123">
        <v>0</v>
      </c>
      <c r="N942" s="123">
        <v>0</v>
      </c>
      <c r="O942" s="123">
        <v>0</v>
      </c>
      <c r="P942" s="123">
        <v>1</v>
      </c>
      <c r="Q942" s="123">
        <v>0</v>
      </c>
      <c r="R942" s="123">
        <v>1</v>
      </c>
      <c r="S942" s="7" t="s">
        <v>13</v>
      </c>
      <c r="T942" s="9"/>
      <c r="U942" s="1"/>
    </row>
    <row r="943" spans="1:21" ht="13.5" thickBot="1" x14ac:dyDescent="0.25">
      <c r="A943" s="123">
        <v>7</v>
      </c>
      <c r="B943" s="123">
        <v>0</v>
      </c>
      <c r="C943" s="123">
        <v>7</v>
      </c>
      <c r="D943" s="123">
        <v>0</v>
      </c>
      <c r="E943" s="123">
        <v>0</v>
      </c>
      <c r="F943" s="123">
        <v>0</v>
      </c>
      <c r="G943" s="123">
        <v>4</v>
      </c>
      <c r="H943" s="123">
        <v>0</v>
      </c>
      <c r="I943" s="123">
        <v>4</v>
      </c>
      <c r="J943" s="123">
        <v>2</v>
      </c>
      <c r="K943" s="123">
        <v>0</v>
      </c>
      <c r="L943" s="123">
        <v>2</v>
      </c>
      <c r="M943" s="123">
        <v>1</v>
      </c>
      <c r="N943" s="123">
        <v>0</v>
      </c>
      <c r="O943" s="123">
        <v>1</v>
      </c>
      <c r="P943" s="123">
        <v>0</v>
      </c>
      <c r="Q943" s="123">
        <v>0</v>
      </c>
      <c r="R943" s="123">
        <v>0</v>
      </c>
      <c r="S943" s="7" t="s">
        <v>163</v>
      </c>
      <c r="T943" s="124"/>
      <c r="U943" s="1"/>
    </row>
    <row r="944" spans="1:21" ht="13.5" thickBot="1" x14ac:dyDescent="0.25">
      <c r="A944" s="123">
        <v>0</v>
      </c>
      <c r="B944" s="123">
        <v>0</v>
      </c>
      <c r="C944" s="123">
        <v>0</v>
      </c>
      <c r="D944" s="123">
        <v>0</v>
      </c>
      <c r="E944" s="123">
        <v>0</v>
      </c>
      <c r="F944" s="123">
        <v>0</v>
      </c>
      <c r="G944" s="123">
        <v>0</v>
      </c>
      <c r="H944" s="123">
        <v>0</v>
      </c>
      <c r="I944" s="123">
        <v>0</v>
      </c>
      <c r="J944" s="123">
        <v>0</v>
      </c>
      <c r="K944" s="123">
        <v>0</v>
      </c>
      <c r="L944" s="123">
        <v>0</v>
      </c>
      <c r="M944" s="123">
        <v>0</v>
      </c>
      <c r="N944" s="123">
        <v>0</v>
      </c>
      <c r="O944" s="123">
        <v>0</v>
      </c>
      <c r="P944" s="123">
        <v>0</v>
      </c>
      <c r="Q944" s="123">
        <v>0</v>
      </c>
      <c r="R944" s="123">
        <v>0</v>
      </c>
      <c r="S944" s="7" t="s">
        <v>162</v>
      </c>
      <c r="T944" s="124" t="s">
        <v>309</v>
      </c>
      <c r="U944" s="1"/>
    </row>
    <row r="945" spans="1:21" ht="13.5" thickBot="1" x14ac:dyDescent="0.25">
      <c r="A945" s="123">
        <v>7</v>
      </c>
      <c r="B945" s="123">
        <v>0</v>
      </c>
      <c r="C945" s="123">
        <v>7</v>
      </c>
      <c r="D945" s="123">
        <v>0</v>
      </c>
      <c r="E945" s="123">
        <v>0</v>
      </c>
      <c r="F945" s="123">
        <v>0</v>
      </c>
      <c r="G945" s="123">
        <v>4</v>
      </c>
      <c r="H945" s="123">
        <v>0</v>
      </c>
      <c r="I945" s="123">
        <v>4</v>
      </c>
      <c r="J945" s="123">
        <v>2</v>
      </c>
      <c r="K945" s="123">
        <v>0</v>
      </c>
      <c r="L945" s="123">
        <v>2</v>
      </c>
      <c r="M945" s="123">
        <v>1</v>
      </c>
      <c r="N945" s="123">
        <v>0</v>
      </c>
      <c r="O945" s="123">
        <v>1</v>
      </c>
      <c r="P945" s="123">
        <v>0</v>
      </c>
      <c r="Q945" s="123">
        <v>0</v>
      </c>
      <c r="R945" s="123">
        <v>0</v>
      </c>
      <c r="S945" s="7" t="s">
        <v>13</v>
      </c>
      <c r="T945" s="9"/>
      <c r="U945" s="1"/>
    </row>
    <row r="946" spans="1:21" ht="13.5" thickBot="1" x14ac:dyDescent="0.25">
      <c r="A946" s="123">
        <v>18</v>
      </c>
      <c r="B946" s="123">
        <v>0</v>
      </c>
      <c r="C946" s="123">
        <v>18</v>
      </c>
      <c r="D946" s="123">
        <v>5</v>
      </c>
      <c r="E946" s="123">
        <v>0</v>
      </c>
      <c r="F946" s="123">
        <v>5</v>
      </c>
      <c r="G946" s="123">
        <v>6</v>
      </c>
      <c r="H946" s="123">
        <v>0</v>
      </c>
      <c r="I946" s="123">
        <v>6</v>
      </c>
      <c r="J946" s="123">
        <v>4</v>
      </c>
      <c r="K946" s="123">
        <v>0</v>
      </c>
      <c r="L946" s="123">
        <v>4</v>
      </c>
      <c r="M946" s="123">
        <v>3</v>
      </c>
      <c r="N946" s="123">
        <v>0</v>
      </c>
      <c r="O946" s="123">
        <v>3</v>
      </c>
      <c r="P946" s="123">
        <v>0</v>
      </c>
      <c r="Q946" s="123">
        <v>0</v>
      </c>
      <c r="R946" s="123">
        <v>0</v>
      </c>
      <c r="S946" s="7" t="s">
        <v>163</v>
      </c>
      <c r="T946" s="124"/>
      <c r="U946" s="1"/>
    </row>
    <row r="947" spans="1:21" ht="13.5" thickBot="1" x14ac:dyDescent="0.25">
      <c r="A947" s="123">
        <v>0</v>
      </c>
      <c r="B947" s="123">
        <v>0</v>
      </c>
      <c r="C947" s="123">
        <v>0</v>
      </c>
      <c r="D947" s="123">
        <v>0</v>
      </c>
      <c r="E947" s="123">
        <v>0</v>
      </c>
      <c r="F947" s="123">
        <v>0</v>
      </c>
      <c r="G947" s="123">
        <v>0</v>
      </c>
      <c r="H947" s="123">
        <v>0</v>
      </c>
      <c r="I947" s="123">
        <v>0</v>
      </c>
      <c r="J947" s="123">
        <v>0</v>
      </c>
      <c r="K947" s="123">
        <v>0</v>
      </c>
      <c r="L947" s="123">
        <v>0</v>
      </c>
      <c r="M947" s="123">
        <v>0</v>
      </c>
      <c r="N947" s="123">
        <v>0</v>
      </c>
      <c r="O947" s="123">
        <v>0</v>
      </c>
      <c r="P947" s="123">
        <v>0</v>
      </c>
      <c r="Q947" s="123">
        <v>0</v>
      </c>
      <c r="R947" s="123">
        <v>0</v>
      </c>
      <c r="S947" s="7" t="s">
        <v>162</v>
      </c>
      <c r="T947" s="124" t="s">
        <v>310</v>
      </c>
      <c r="U947" s="1"/>
    </row>
    <row r="948" spans="1:21" ht="13.5" thickBot="1" x14ac:dyDescent="0.25">
      <c r="A948" s="123">
        <v>18</v>
      </c>
      <c r="B948" s="123">
        <v>0</v>
      </c>
      <c r="C948" s="123">
        <v>18</v>
      </c>
      <c r="D948" s="123">
        <v>5</v>
      </c>
      <c r="E948" s="123">
        <v>0</v>
      </c>
      <c r="F948" s="123">
        <v>5</v>
      </c>
      <c r="G948" s="123">
        <v>6</v>
      </c>
      <c r="H948" s="123">
        <v>0</v>
      </c>
      <c r="I948" s="123">
        <v>6</v>
      </c>
      <c r="J948" s="123">
        <v>4</v>
      </c>
      <c r="K948" s="123">
        <v>0</v>
      </c>
      <c r="L948" s="123">
        <v>4</v>
      </c>
      <c r="M948" s="123">
        <v>3</v>
      </c>
      <c r="N948" s="123">
        <v>0</v>
      </c>
      <c r="O948" s="123">
        <v>3</v>
      </c>
      <c r="P948" s="123">
        <v>0</v>
      </c>
      <c r="Q948" s="123">
        <v>0</v>
      </c>
      <c r="R948" s="123">
        <v>0</v>
      </c>
      <c r="S948" s="7" t="s">
        <v>13</v>
      </c>
      <c r="T948" s="9"/>
      <c r="U948" s="1"/>
    </row>
    <row r="949" spans="1:21" ht="13.5" thickBot="1" x14ac:dyDescent="0.25">
      <c r="A949" s="123">
        <v>9</v>
      </c>
      <c r="B949" s="123">
        <v>0</v>
      </c>
      <c r="C949" s="123">
        <v>9</v>
      </c>
      <c r="D949" s="123">
        <v>3</v>
      </c>
      <c r="E949" s="123">
        <v>0</v>
      </c>
      <c r="F949" s="123">
        <v>3</v>
      </c>
      <c r="G949" s="123">
        <v>2</v>
      </c>
      <c r="H949" s="123">
        <v>0</v>
      </c>
      <c r="I949" s="123">
        <v>2</v>
      </c>
      <c r="J949" s="123">
        <v>3</v>
      </c>
      <c r="K949" s="123">
        <v>0</v>
      </c>
      <c r="L949" s="123">
        <v>3</v>
      </c>
      <c r="M949" s="123">
        <v>1</v>
      </c>
      <c r="N949" s="123">
        <v>0</v>
      </c>
      <c r="O949" s="123">
        <v>1</v>
      </c>
      <c r="P949" s="123">
        <v>0</v>
      </c>
      <c r="Q949" s="123">
        <v>0</v>
      </c>
      <c r="R949" s="123">
        <v>0</v>
      </c>
      <c r="S949" s="7" t="s">
        <v>163</v>
      </c>
      <c r="T949" s="124"/>
      <c r="U949" s="1"/>
    </row>
    <row r="950" spans="1:21" ht="13.5" thickBot="1" x14ac:dyDescent="0.25">
      <c r="A950" s="123">
        <v>0</v>
      </c>
      <c r="B950" s="123">
        <v>0</v>
      </c>
      <c r="C950" s="123">
        <v>0</v>
      </c>
      <c r="D950" s="123">
        <v>0</v>
      </c>
      <c r="E950" s="123">
        <v>0</v>
      </c>
      <c r="F950" s="123">
        <v>0</v>
      </c>
      <c r="G950" s="123">
        <v>0</v>
      </c>
      <c r="H950" s="123">
        <v>0</v>
      </c>
      <c r="I950" s="123">
        <v>0</v>
      </c>
      <c r="J950" s="123">
        <v>0</v>
      </c>
      <c r="K950" s="123">
        <v>0</v>
      </c>
      <c r="L950" s="123">
        <v>0</v>
      </c>
      <c r="M950" s="123">
        <v>0</v>
      </c>
      <c r="N950" s="123">
        <v>0</v>
      </c>
      <c r="O950" s="123">
        <v>0</v>
      </c>
      <c r="P950" s="123">
        <v>0</v>
      </c>
      <c r="Q950" s="123">
        <v>0</v>
      </c>
      <c r="R950" s="123">
        <v>0</v>
      </c>
      <c r="S950" s="7" t="s">
        <v>162</v>
      </c>
      <c r="T950" s="124" t="s">
        <v>311</v>
      </c>
      <c r="U950" s="1"/>
    </row>
    <row r="951" spans="1:21" ht="13.5" thickBot="1" x14ac:dyDescent="0.25">
      <c r="A951" s="123">
        <v>9</v>
      </c>
      <c r="B951" s="123">
        <v>0</v>
      </c>
      <c r="C951" s="123">
        <v>9</v>
      </c>
      <c r="D951" s="123">
        <v>3</v>
      </c>
      <c r="E951" s="123">
        <v>0</v>
      </c>
      <c r="F951" s="123">
        <v>3</v>
      </c>
      <c r="G951" s="123">
        <v>2</v>
      </c>
      <c r="H951" s="123">
        <v>0</v>
      </c>
      <c r="I951" s="123">
        <v>2</v>
      </c>
      <c r="J951" s="123">
        <v>3</v>
      </c>
      <c r="K951" s="123">
        <v>0</v>
      </c>
      <c r="L951" s="123">
        <v>3</v>
      </c>
      <c r="M951" s="123">
        <v>1</v>
      </c>
      <c r="N951" s="123">
        <v>0</v>
      </c>
      <c r="O951" s="123">
        <v>1</v>
      </c>
      <c r="P951" s="123">
        <v>0</v>
      </c>
      <c r="Q951" s="123">
        <v>0</v>
      </c>
      <c r="R951" s="123">
        <v>0</v>
      </c>
      <c r="S951" s="7" t="s">
        <v>13</v>
      </c>
      <c r="T951" s="9"/>
      <c r="U951" s="1"/>
    </row>
    <row r="952" spans="1:21" ht="13.5" thickBot="1" x14ac:dyDescent="0.25">
      <c r="A952" s="123">
        <v>8</v>
      </c>
      <c r="B952" s="123">
        <v>0</v>
      </c>
      <c r="C952" s="123">
        <v>8</v>
      </c>
      <c r="D952" s="123">
        <v>4</v>
      </c>
      <c r="E952" s="123">
        <v>0</v>
      </c>
      <c r="F952" s="123">
        <v>4</v>
      </c>
      <c r="G952" s="123">
        <v>0</v>
      </c>
      <c r="H952" s="123">
        <v>0</v>
      </c>
      <c r="I952" s="123">
        <v>0</v>
      </c>
      <c r="J952" s="123">
        <v>1</v>
      </c>
      <c r="K952" s="123">
        <v>0</v>
      </c>
      <c r="L952" s="123">
        <v>1</v>
      </c>
      <c r="M952" s="123">
        <v>3</v>
      </c>
      <c r="N952" s="123">
        <v>0</v>
      </c>
      <c r="O952" s="123">
        <v>3</v>
      </c>
      <c r="P952" s="123">
        <v>0</v>
      </c>
      <c r="Q952" s="123">
        <v>0</v>
      </c>
      <c r="R952" s="123">
        <v>0</v>
      </c>
      <c r="S952" s="7" t="s">
        <v>163</v>
      </c>
      <c r="T952" s="124"/>
      <c r="U952" s="1"/>
    </row>
    <row r="953" spans="1:21" ht="13.5" thickBot="1" x14ac:dyDescent="0.25">
      <c r="A953" s="123">
        <v>0</v>
      </c>
      <c r="B953" s="123">
        <v>0</v>
      </c>
      <c r="C953" s="123">
        <v>0</v>
      </c>
      <c r="D953" s="123">
        <v>0</v>
      </c>
      <c r="E953" s="123">
        <v>0</v>
      </c>
      <c r="F953" s="123">
        <v>0</v>
      </c>
      <c r="G953" s="123">
        <v>0</v>
      </c>
      <c r="H953" s="123">
        <v>0</v>
      </c>
      <c r="I953" s="123">
        <v>0</v>
      </c>
      <c r="J953" s="123">
        <v>0</v>
      </c>
      <c r="K953" s="123">
        <v>0</v>
      </c>
      <c r="L953" s="123">
        <v>0</v>
      </c>
      <c r="M953" s="123">
        <v>0</v>
      </c>
      <c r="N953" s="123">
        <v>0</v>
      </c>
      <c r="O953" s="123">
        <v>0</v>
      </c>
      <c r="P953" s="123">
        <v>0</v>
      </c>
      <c r="Q953" s="123">
        <v>0</v>
      </c>
      <c r="R953" s="123">
        <v>0</v>
      </c>
      <c r="S953" s="7" t="s">
        <v>162</v>
      </c>
      <c r="T953" s="124" t="s">
        <v>312</v>
      </c>
      <c r="U953" s="1"/>
    </row>
    <row r="954" spans="1:21" ht="13.5" thickBot="1" x14ac:dyDescent="0.25">
      <c r="A954" s="123">
        <v>8</v>
      </c>
      <c r="B954" s="123">
        <v>0</v>
      </c>
      <c r="C954" s="123">
        <v>8</v>
      </c>
      <c r="D954" s="123">
        <v>4</v>
      </c>
      <c r="E954" s="123">
        <v>0</v>
      </c>
      <c r="F954" s="123">
        <v>4</v>
      </c>
      <c r="G954" s="123">
        <v>0</v>
      </c>
      <c r="H954" s="123">
        <v>0</v>
      </c>
      <c r="I954" s="123">
        <v>0</v>
      </c>
      <c r="J954" s="123">
        <v>1</v>
      </c>
      <c r="K954" s="123">
        <v>0</v>
      </c>
      <c r="L954" s="123">
        <v>1</v>
      </c>
      <c r="M954" s="123">
        <v>3</v>
      </c>
      <c r="N954" s="123">
        <v>0</v>
      </c>
      <c r="O954" s="123">
        <v>3</v>
      </c>
      <c r="P954" s="123">
        <v>0</v>
      </c>
      <c r="Q954" s="123">
        <v>0</v>
      </c>
      <c r="R954" s="123">
        <v>0</v>
      </c>
      <c r="S954" s="7" t="s">
        <v>13</v>
      </c>
      <c r="T954" s="9"/>
      <c r="U954" s="1"/>
    </row>
    <row r="955" spans="1:21" ht="13.5" thickBot="1" x14ac:dyDescent="0.25">
      <c r="A955" s="123">
        <v>14</v>
      </c>
      <c r="B955" s="123">
        <v>0</v>
      </c>
      <c r="C955" s="123">
        <v>14</v>
      </c>
      <c r="D955" s="123">
        <v>10</v>
      </c>
      <c r="E955" s="123">
        <v>0</v>
      </c>
      <c r="F955" s="123">
        <v>10</v>
      </c>
      <c r="G955" s="123">
        <v>0</v>
      </c>
      <c r="H955" s="123">
        <v>0</v>
      </c>
      <c r="I955" s="123">
        <v>0</v>
      </c>
      <c r="J955" s="123">
        <v>1</v>
      </c>
      <c r="K955" s="123">
        <v>0</v>
      </c>
      <c r="L955" s="123">
        <v>1</v>
      </c>
      <c r="M955" s="123">
        <v>3</v>
      </c>
      <c r="N955" s="123">
        <v>0</v>
      </c>
      <c r="O955" s="123">
        <v>3</v>
      </c>
      <c r="P955" s="123">
        <v>0</v>
      </c>
      <c r="Q955" s="123">
        <v>0</v>
      </c>
      <c r="R955" s="123">
        <v>0</v>
      </c>
      <c r="S955" s="7" t="s">
        <v>163</v>
      </c>
      <c r="T955" s="124"/>
      <c r="U955" s="1"/>
    </row>
    <row r="956" spans="1:21" ht="13.5" thickBot="1" x14ac:dyDescent="0.25">
      <c r="A956" s="123">
        <v>0</v>
      </c>
      <c r="B956" s="123">
        <v>0</v>
      </c>
      <c r="C956" s="123">
        <v>0</v>
      </c>
      <c r="D956" s="123">
        <v>0</v>
      </c>
      <c r="E956" s="123">
        <v>0</v>
      </c>
      <c r="F956" s="123">
        <v>0</v>
      </c>
      <c r="G956" s="123">
        <v>0</v>
      </c>
      <c r="H956" s="123">
        <v>0</v>
      </c>
      <c r="I956" s="123">
        <v>0</v>
      </c>
      <c r="J956" s="123">
        <v>0</v>
      </c>
      <c r="K956" s="123">
        <v>0</v>
      </c>
      <c r="L956" s="123">
        <v>0</v>
      </c>
      <c r="M956" s="123">
        <v>0</v>
      </c>
      <c r="N956" s="123">
        <v>0</v>
      </c>
      <c r="O956" s="123">
        <v>0</v>
      </c>
      <c r="P956" s="123">
        <v>0</v>
      </c>
      <c r="Q956" s="123">
        <v>0</v>
      </c>
      <c r="R956" s="123">
        <v>0</v>
      </c>
      <c r="S956" s="7" t="s">
        <v>162</v>
      </c>
      <c r="T956" s="124" t="s">
        <v>313</v>
      </c>
      <c r="U956" s="1"/>
    </row>
    <row r="957" spans="1:21" ht="13.5" thickBot="1" x14ac:dyDescent="0.25">
      <c r="A957" s="123">
        <v>14</v>
      </c>
      <c r="B957" s="123">
        <v>0</v>
      </c>
      <c r="C957" s="123">
        <v>14</v>
      </c>
      <c r="D957" s="123">
        <v>10</v>
      </c>
      <c r="E957" s="123">
        <v>0</v>
      </c>
      <c r="F957" s="123">
        <v>10</v>
      </c>
      <c r="G957" s="123">
        <v>0</v>
      </c>
      <c r="H957" s="123">
        <v>0</v>
      </c>
      <c r="I957" s="123">
        <v>0</v>
      </c>
      <c r="J957" s="123">
        <v>1</v>
      </c>
      <c r="K957" s="123">
        <v>0</v>
      </c>
      <c r="L957" s="123">
        <v>1</v>
      </c>
      <c r="M957" s="123">
        <v>3</v>
      </c>
      <c r="N957" s="123">
        <v>0</v>
      </c>
      <c r="O957" s="123">
        <v>3</v>
      </c>
      <c r="P957" s="123">
        <v>0</v>
      </c>
      <c r="Q957" s="123">
        <v>0</v>
      </c>
      <c r="R957" s="123">
        <v>0</v>
      </c>
      <c r="S957" s="7" t="s">
        <v>13</v>
      </c>
      <c r="T957" s="9"/>
      <c r="U957" s="1"/>
    </row>
    <row r="958" spans="1:21" ht="13.5" thickBot="1" x14ac:dyDescent="0.25">
      <c r="A958" s="123">
        <v>8</v>
      </c>
      <c r="B958" s="123">
        <v>0</v>
      </c>
      <c r="C958" s="123">
        <v>8</v>
      </c>
      <c r="D958" s="123">
        <v>4</v>
      </c>
      <c r="E958" s="123">
        <v>0</v>
      </c>
      <c r="F958" s="123">
        <v>4</v>
      </c>
      <c r="G958" s="123">
        <v>0</v>
      </c>
      <c r="H958" s="123">
        <v>0</v>
      </c>
      <c r="I958" s="123">
        <v>0</v>
      </c>
      <c r="J958" s="123">
        <v>1</v>
      </c>
      <c r="K958" s="123">
        <v>0</v>
      </c>
      <c r="L958" s="123">
        <v>1</v>
      </c>
      <c r="M958" s="123">
        <v>3</v>
      </c>
      <c r="N958" s="123">
        <v>0</v>
      </c>
      <c r="O958" s="123">
        <v>3</v>
      </c>
      <c r="P958" s="123">
        <v>0</v>
      </c>
      <c r="Q958" s="123">
        <v>0</v>
      </c>
      <c r="R958" s="123">
        <v>0</v>
      </c>
      <c r="S958" s="7" t="s">
        <v>163</v>
      </c>
      <c r="T958" s="124"/>
      <c r="U958" s="1"/>
    </row>
    <row r="959" spans="1:21" ht="13.5" thickBot="1" x14ac:dyDescent="0.25">
      <c r="A959" s="123">
        <v>0</v>
      </c>
      <c r="B959" s="123">
        <v>0</v>
      </c>
      <c r="C959" s="123">
        <v>0</v>
      </c>
      <c r="D959" s="123">
        <v>0</v>
      </c>
      <c r="E959" s="123">
        <v>0</v>
      </c>
      <c r="F959" s="123">
        <v>0</v>
      </c>
      <c r="G959" s="123">
        <v>0</v>
      </c>
      <c r="H959" s="123">
        <v>0</v>
      </c>
      <c r="I959" s="123">
        <v>0</v>
      </c>
      <c r="J959" s="123">
        <v>0</v>
      </c>
      <c r="K959" s="123">
        <v>0</v>
      </c>
      <c r="L959" s="123">
        <v>0</v>
      </c>
      <c r="M959" s="123">
        <v>0</v>
      </c>
      <c r="N959" s="123">
        <v>0</v>
      </c>
      <c r="O959" s="123">
        <v>0</v>
      </c>
      <c r="P959" s="123">
        <v>0</v>
      </c>
      <c r="Q959" s="123">
        <v>0</v>
      </c>
      <c r="R959" s="123">
        <v>0</v>
      </c>
      <c r="S959" s="7" t="s">
        <v>162</v>
      </c>
      <c r="T959" s="124" t="s">
        <v>314</v>
      </c>
      <c r="U959" s="1"/>
    </row>
    <row r="960" spans="1:21" ht="13.5" thickBot="1" x14ac:dyDescent="0.25">
      <c r="A960" s="123">
        <v>8</v>
      </c>
      <c r="B960" s="123">
        <v>0</v>
      </c>
      <c r="C960" s="123">
        <v>8</v>
      </c>
      <c r="D960" s="123">
        <v>4</v>
      </c>
      <c r="E960" s="123">
        <v>0</v>
      </c>
      <c r="F960" s="123">
        <v>4</v>
      </c>
      <c r="G960" s="123">
        <v>0</v>
      </c>
      <c r="H960" s="123">
        <v>0</v>
      </c>
      <c r="I960" s="123">
        <v>0</v>
      </c>
      <c r="J960" s="123">
        <v>1</v>
      </c>
      <c r="K960" s="123">
        <v>0</v>
      </c>
      <c r="L960" s="123">
        <v>1</v>
      </c>
      <c r="M960" s="123">
        <v>3</v>
      </c>
      <c r="N960" s="123">
        <v>0</v>
      </c>
      <c r="O960" s="123">
        <v>3</v>
      </c>
      <c r="P960" s="123">
        <v>0</v>
      </c>
      <c r="Q960" s="123">
        <v>0</v>
      </c>
      <c r="R960" s="123">
        <v>0</v>
      </c>
      <c r="S960" s="7" t="s">
        <v>13</v>
      </c>
      <c r="T960" s="9"/>
      <c r="U960" s="1"/>
    </row>
    <row r="961" spans="1:21" ht="13.5" thickBot="1" x14ac:dyDescent="0.25">
      <c r="A961" s="123">
        <v>6</v>
      </c>
      <c r="B961" s="123">
        <v>6</v>
      </c>
      <c r="C961" s="123">
        <v>0</v>
      </c>
      <c r="D961" s="123">
        <v>6</v>
      </c>
      <c r="E961" s="123">
        <v>6</v>
      </c>
      <c r="F961" s="123">
        <v>0</v>
      </c>
      <c r="G961" s="123">
        <v>0</v>
      </c>
      <c r="H961" s="123">
        <v>0</v>
      </c>
      <c r="I961" s="123">
        <v>0</v>
      </c>
      <c r="J961" s="123">
        <v>0</v>
      </c>
      <c r="K961" s="123">
        <v>0</v>
      </c>
      <c r="L961" s="123">
        <v>0</v>
      </c>
      <c r="M961" s="123">
        <v>0</v>
      </c>
      <c r="N961" s="123">
        <v>0</v>
      </c>
      <c r="O961" s="123">
        <v>0</v>
      </c>
      <c r="P961" s="123">
        <v>0</v>
      </c>
      <c r="Q961" s="123">
        <v>0</v>
      </c>
      <c r="R961" s="123">
        <v>0</v>
      </c>
      <c r="S961" s="7" t="s">
        <v>163</v>
      </c>
      <c r="T961" s="124"/>
      <c r="U961" s="1"/>
    </row>
    <row r="962" spans="1:21" ht="13.5" thickBot="1" x14ac:dyDescent="0.25">
      <c r="A962" s="123">
        <v>0</v>
      </c>
      <c r="B962" s="123">
        <v>0</v>
      </c>
      <c r="C962" s="123">
        <v>0</v>
      </c>
      <c r="D962" s="123">
        <v>0</v>
      </c>
      <c r="E962" s="123">
        <v>0</v>
      </c>
      <c r="F962" s="123">
        <v>0</v>
      </c>
      <c r="G962" s="123">
        <v>0</v>
      </c>
      <c r="H962" s="123">
        <v>0</v>
      </c>
      <c r="I962" s="123">
        <v>0</v>
      </c>
      <c r="J962" s="123">
        <v>0</v>
      </c>
      <c r="K962" s="123">
        <v>0</v>
      </c>
      <c r="L962" s="123">
        <v>0</v>
      </c>
      <c r="M962" s="123">
        <v>0</v>
      </c>
      <c r="N962" s="123">
        <v>0</v>
      </c>
      <c r="O962" s="123">
        <v>0</v>
      </c>
      <c r="P962" s="123">
        <v>0</v>
      </c>
      <c r="Q962" s="123">
        <v>0</v>
      </c>
      <c r="R962" s="123">
        <v>0</v>
      </c>
      <c r="S962" s="7" t="s">
        <v>162</v>
      </c>
      <c r="T962" s="124" t="s">
        <v>315</v>
      </c>
      <c r="U962" s="1"/>
    </row>
    <row r="963" spans="1:21" ht="13.5" thickBot="1" x14ac:dyDescent="0.25">
      <c r="A963" s="123">
        <v>6</v>
      </c>
      <c r="B963" s="123">
        <v>6</v>
      </c>
      <c r="C963" s="123">
        <v>0</v>
      </c>
      <c r="D963" s="123">
        <v>6</v>
      </c>
      <c r="E963" s="123">
        <v>6</v>
      </c>
      <c r="F963" s="123">
        <v>0</v>
      </c>
      <c r="G963" s="123">
        <v>0</v>
      </c>
      <c r="H963" s="123">
        <v>0</v>
      </c>
      <c r="I963" s="123">
        <v>0</v>
      </c>
      <c r="J963" s="123">
        <v>0</v>
      </c>
      <c r="K963" s="123">
        <v>0</v>
      </c>
      <c r="L963" s="123">
        <v>0</v>
      </c>
      <c r="M963" s="123">
        <v>0</v>
      </c>
      <c r="N963" s="123">
        <v>0</v>
      </c>
      <c r="O963" s="123">
        <v>0</v>
      </c>
      <c r="P963" s="123">
        <v>0</v>
      </c>
      <c r="Q963" s="123">
        <v>0</v>
      </c>
      <c r="R963" s="123">
        <v>0</v>
      </c>
      <c r="S963" s="7" t="s">
        <v>13</v>
      </c>
      <c r="T963" s="9"/>
      <c r="U963" s="1"/>
    </row>
    <row r="964" spans="1:21" ht="13.5" thickBot="1" x14ac:dyDescent="0.25">
      <c r="A964" s="123">
        <v>5</v>
      </c>
      <c r="B964" s="123">
        <v>5</v>
      </c>
      <c r="C964" s="123">
        <v>0</v>
      </c>
      <c r="D964" s="123">
        <v>5</v>
      </c>
      <c r="E964" s="123">
        <v>5</v>
      </c>
      <c r="F964" s="123">
        <v>0</v>
      </c>
      <c r="G964" s="123">
        <v>0</v>
      </c>
      <c r="H964" s="123">
        <v>0</v>
      </c>
      <c r="I964" s="123">
        <v>0</v>
      </c>
      <c r="J964" s="123">
        <v>0</v>
      </c>
      <c r="K964" s="123">
        <v>0</v>
      </c>
      <c r="L964" s="123">
        <v>0</v>
      </c>
      <c r="M964" s="123">
        <v>0</v>
      </c>
      <c r="N964" s="123">
        <v>0</v>
      </c>
      <c r="O964" s="123">
        <v>0</v>
      </c>
      <c r="P964" s="123">
        <v>0</v>
      </c>
      <c r="Q964" s="123">
        <v>0</v>
      </c>
      <c r="R964" s="123">
        <v>0</v>
      </c>
      <c r="S964" s="7" t="s">
        <v>163</v>
      </c>
      <c r="T964" s="124"/>
      <c r="U964" s="1"/>
    </row>
    <row r="965" spans="1:21" ht="13.5" thickBot="1" x14ac:dyDescent="0.25">
      <c r="A965" s="123">
        <v>0</v>
      </c>
      <c r="B965" s="123">
        <v>0</v>
      </c>
      <c r="C965" s="123">
        <v>0</v>
      </c>
      <c r="D965" s="123">
        <v>0</v>
      </c>
      <c r="E965" s="123">
        <v>0</v>
      </c>
      <c r="F965" s="123">
        <v>0</v>
      </c>
      <c r="G965" s="123">
        <v>0</v>
      </c>
      <c r="H965" s="123">
        <v>0</v>
      </c>
      <c r="I965" s="123">
        <v>0</v>
      </c>
      <c r="J965" s="123">
        <v>0</v>
      </c>
      <c r="K965" s="123">
        <v>0</v>
      </c>
      <c r="L965" s="123">
        <v>0</v>
      </c>
      <c r="M965" s="123">
        <v>0</v>
      </c>
      <c r="N965" s="123">
        <v>0</v>
      </c>
      <c r="O965" s="123">
        <v>0</v>
      </c>
      <c r="P965" s="123">
        <v>0</v>
      </c>
      <c r="Q965" s="123">
        <v>0</v>
      </c>
      <c r="R965" s="123">
        <v>0</v>
      </c>
      <c r="S965" s="7" t="s">
        <v>162</v>
      </c>
      <c r="T965" s="124" t="s">
        <v>316</v>
      </c>
      <c r="U965" s="1"/>
    </row>
    <row r="966" spans="1:21" ht="13.5" thickBot="1" x14ac:dyDescent="0.25">
      <c r="A966" s="123">
        <v>5</v>
      </c>
      <c r="B966" s="123">
        <v>5</v>
      </c>
      <c r="C966" s="123">
        <v>0</v>
      </c>
      <c r="D966" s="123">
        <v>5</v>
      </c>
      <c r="E966" s="123">
        <v>5</v>
      </c>
      <c r="F966" s="123">
        <v>0</v>
      </c>
      <c r="G966" s="123">
        <v>0</v>
      </c>
      <c r="H966" s="123">
        <v>0</v>
      </c>
      <c r="I966" s="123">
        <v>0</v>
      </c>
      <c r="J966" s="123">
        <v>0</v>
      </c>
      <c r="K966" s="123">
        <v>0</v>
      </c>
      <c r="L966" s="123">
        <v>0</v>
      </c>
      <c r="M966" s="123">
        <v>0</v>
      </c>
      <c r="N966" s="123">
        <v>0</v>
      </c>
      <c r="O966" s="123">
        <v>0</v>
      </c>
      <c r="P966" s="123">
        <v>0</v>
      </c>
      <c r="Q966" s="123">
        <v>0</v>
      </c>
      <c r="R966" s="123">
        <v>0</v>
      </c>
      <c r="S966" s="7" t="s">
        <v>13</v>
      </c>
      <c r="T966" s="9"/>
      <c r="U966" s="1"/>
    </row>
    <row r="967" spans="1:21" ht="13.5" thickBot="1" x14ac:dyDescent="0.25">
      <c r="A967" s="123">
        <v>5</v>
      </c>
      <c r="B967" s="123">
        <v>5</v>
      </c>
      <c r="C967" s="123">
        <v>0</v>
      </c>
      <c r="D967" s="123">
        <v>5</v>
      </c>
      <c r="E967" s="123">
        <v>5</v>
      </c>
      <c r="F967" s="123">
        <v>0</v>
      </c>
      <c r="G967" s="123">
        <v>0</v>
      </c>
      <c r="H967" s="123">
        <v>0</v>
      </c>
      <c r="I967" s="123">
        <v>0</v>
      </c>
      <c r="J967" s="123">
        <v>0</v>
      </c>
      <c r="K967" s="123">
        <v>0</v>
      </c>
      <c r="L967" s="123">
        <v>0</v>
      </c>
      <c r="M967" s="123">
        <v>0</v>
      </c>
      <c r="N967" s="123">
        <v>0</v>
      </c>
      <c r="O967" s="123">
        <v>0</v>
      </c>
      <c r="P967" s="123">
        <v>0</v>
      </c>
      <c r="Q967" s="123">
        <v>0</v>
      </c>
      <c r="R967" s="123">
        <v>0</v>
      </c>
      <c r="S967" s="7" t="s">
        <v>163</v>
      </c>
      <c r="T967" s="124"/>
      <c r="U967" s="1"/>
    </row>
    <row r="968" spans="1:21" ht="13.5" thickBot="1" x14ac:dyDescent="0.25">
      <c r="A968" s="123">
        <v>0</v>
      </c>
      <c r="B968" s="123">
        <v>0</v>
      </c>
      <c r="C968" s="123">
        <v>0</v>
      </c>
      <c r="D968" s="123">
        <v>0</v>
      </c>
      <c r="E968" s="123">
        <v>0</v>
      </c>
      <c r="F968" s="123">
        <v>0</v>
      </c>
      <c r="G968" s="123">
        <v>0</v>
      </c>
      <c r="H968" s="123">
        <v>0</v>
      </c>
      <c r="I968" s="123">
        <v>0</v>
      </c>
      <c r="J968" s="123">
        <v>0</v>
      </c>
      <c r="K968" s="123">
        <v>0</v>
      </c>
      <c r="L968" s="123">
        <v>0</v>
      </c>
      <c r="M968" s="123">
        <v>0</v>
      </c>
      <c r="N968" s="123">
        <v>0</v>
      </c>
      <c r="O968" s="123">
        <v>0</v>
      </c>
      <c r="P968" s="123">
        <v>0</v>
      </c>
      <c r="Q968" s="123">
        <v>0</v>
      </c>
      <c r="R968" s="123">
        <v>0</v>
      </c>
      <c r="S968" s="7" t="s">
        <v>162</v>
      </c>
      <c r="T968" s="124" t="s">
        <v>317</v>
      </c>
      <c r="U968" s="1"/>
    </row>
    <row r="969" spans="1:21" ht="13.5" thickBot="1" x14ac:dyDescent="0.25">
      <c r="A969" s="123">
        <v>5</v>
      </c>
      <c r="B969" s="123">
        <v>5</v>
      </c>
      <c r="C969" s="123">
        <v>0</v>
      </c>
      <c r="D969" s="123">
        <v>5</v>
      </c>
      <c r="E969" s="123">
        <v>5</v>
      </c>
      <c r="F969" s="123">
        <v>0</v>
      </c>
      <c r="G969" s="123">
        <v>0</v>
      </c>
      <c r="H969" s="123">
        <v>0</v>
      </c>
      <c r="I969" s="123">
        <v>0</v>
      </c>
      <c r="J969" s="123">
        <v>0</v>
      </c>
      <c r="K969" s="123">
        <v>0</v>
      </c>
      <c r="L969" s="123">
        <v>0</v>
      </c>
      <c r="M969" s="123">
        <v>0</v>
      </c>
      <c r="N969" s="123">
        <v>0</v>
      </c>
      <c r="O969" s="123">
        <v>0</v>
      </c>
      <c r="P969" s="123">
        <v>0</v>
      </c>
      <c r="Q969" s="123">
        <v>0</v>
      </c>
      <c r="R969" s="123">
        <v>0</v>
      </c>
      <c r="S969" s="7" t="s">
        <v>13</v>
      </c>
      <c r="T969" s="9"/>
      <c r="U969" s="1"/>
    </row>
    <row r="970" spans="1:21" ht="13.5" thickBot="1" x14ac:dyDescent="0.25">
      <c r="A970" s="123">
        <v>11</v>
      </c>
      <c r="B970" s="123">
        <v>11</v>
      </c>
      <c r="C970" s="123">
        <v>0</v>
      </c>
      <c r="D970" s="123">
        <v>11</v>
      </c>
      <c r="E970" s="123">
        <v>11</v>
      </c>
      <c r="F970" s="123">
        <v>0</v>
      </c>
      <c r="G970" s="123">
        <v>0</v>
      </c>
      <c r="H970" s="123">
        <v>0</v>
      </c>
      <c r="I970" s="123">
        <v>0</v>
      </c>
      <c r="J970" s="123">
        <v>0</v>
      </c>
      <c r="K970" s="123">
        <v>0</v>
      </c>
      <c r="L970" s="123">
        <v>0</v>
      </c>
      <c r="M970" s="123">
        <v>0</v>
      </c>
      <c r="N970" s="123">
        <v>0</v>
      </c>
      <c r="O970" s="123">
        <v>0</v>
      </c>
      <c r="P970" s="123">
        <v>0</v>
      </c>
      <c r="Q970" s="123">
        <v>0</v>
      </c>
      <c r="R970" s="123">
        <v>0</v>
      </c>
      <c r="S970" s="7" t="s">
        <v>163</v>
      </c>
      <c r="T970" s="124"/>
      <c r="U970" s="1"/>
    </row>
    <row r="971" spans="1:21" ht="13.5" thickBot="1" x14ac:dyDescent="0.25">
      <c r="A971" s="123">
        <v>0</v>
      </c>
      <c r="B971" s="123">
        <v>0</v>
      </c>
      <c r="C971" s="123">
        <v>0</v>
      </c>
      <c r="D971" s="123">
        <v>0</v>
      </c>
      <c r="E971" s="123">
        <v>0</v>
      </c>
      <c r="F971" s="123">
        <v>0</v>
      </c>
      <c r="G971" s="123">
        <v>0</v>
      </c>
      <c r="H971" s="123">
        <v>0</v>
      </c>
      <c r="I971" s="123">
        <v>0</v>
      </c>
      <c r="J971" s="123">
        <v>0</v>
      </c>
      <c r="K971" s="123">
        <v>0</v>
      </c>
      <c r="L971" s="123">
        <v>0</v>
      </c>
      <c r="M971" s="123">
        <v>0</v>
      </c>
      <c r="N971" s="123">
        <v>0</v>
      </c>
      <c r="O971" s="123">
        <v>0</v>
      </c>
      <c r="P971" s="123">
        <v>0</v>
      </c>
      <c r="Q971" s="123">
        <v>0</v>
      </c>
      <c r="R971" s="123">
        <v>0</v>
      </c>
      <c r="S971" s="7" t="s">
        <v>162</v>
      </c>
      <c r="T971" s="124" t="s">
        <v>318</v>
      </c>
      <c r="U971" s="1"/>
    </row>
    <row r="972" spans="1:21" ht="13.5" thickBot="1" x14ac:dyDescent="0.25">
      <c r="A972" s="123">
        <v>11</v>
      </c>
      <c r="B972" s="123">
        <v>11</v>
      </c>
      <c r="C972" s="123">
        <v>0</v>
      </c>
      <c r="D972" s="123">
        <v>11</v>
      </c>
      <c r="E972" s="123">
        <v>11</v>
      </c>
      <c r="F972" s="123">
        <v>0</v>
      </c>
      <c r="G972" s="123">
        <v>0</v>
      </c>
      <c r="H972" s="123">
        <v>0</v>
      </c>
      <c r="I972" s="123">
        <v>0</v>
      </c>
      <c r="J972" s="123">
        <v>0</v>
      </c>
      <c r="K972" s="123">
        <v>0</v>
      </c>
      <c r="L972" s="123">
        <v>0</v>
      </c>
      <c r="M972" s="123">
        <v>0</v>
      </c>
      <c r="N972" s="123">
        <v>0</v>
      </c>
      <c r="O972" s="123">
        <v>0</v>
      </c>
      <c r="P972" s="123">
        <v>0</v>
      </c>
      <c r="Q972" s="123">
        <v>0</v>
      </c>
      <c r="R972" s="123">
        <v>0</v>
      </c>
      <c r="S972" s="7" t="s">
        <v>13</v>
      </c>
      <c r="T972" s="9"/>
      <c r="U972" s="1"/>
    </row>
    <row r="973" spans="1:21" ht="13.5" thickBot="1" x14ac:dyDescent="0.25">
      <c r="A973" s="123">
        <v>7</v>
      </c>
      <c r="B973" s="123">
        <v>7</v>
      </c>
      <c r="C973" s="123">
        <v>0</v>
      </c>
      <c r="D973" s="123">
        <v>7</v>
      </c>
      <c r="E973" s="123">
        <v>7</v>
      </c>
      <c r="F973" s="123">
        <v>0</v>
      </c>
      <c r="G973" s="123">
        <v>0</v>
      </c>
      <c r="H973" s="123">
        <v>0</v>
      </c>
      <c r="I973" s="123">
        <v>0</v>
      </c>
      <c r="J973" s="123">
        <v>0</v>
      </c>
      <c r="K973" s="123">
        <v>0</v>
      </c>
      <c r="L973" s="123">
        <v>0</v>
      </c>
      <c r="M973" s="123">
        <v>0</v>
      </c>
      <c r="N973" s="123">
        <v>0</v>
      </c>
      <c r="O973" s="123">
        <v>0</v>
      </c>
      <c r="P973" s="123">
        <v>0</v>
      </c>
      <c r="Q973" s="123">
        <v>0</v>
      </c>
      <c r="R973" s="123">
        <v>0</v>
      </c>
      <c r="S973" s="7" t="s">
        <v>163</v>
      </c>
      <c r="T973" s="124"/>
      <c r="U973" s="1"/>
    </row>
    <row r="974" spans="1:21" ht="13.5" thickBot="1" x14ac:dyDescent="0.25">
      <c r="A974" s="123">
        <v>0</v>
      </c>
      <c r="B974" s="123">
        <v>0</v>
      </c>
      <c r="C974" s="123">
        <v>0</v>
      </c>
      <c r="D974" s="123">
        <v>0</v>
      </c>
      <c r="E974" s="123">
        <v>0</v>
      </c>
      <c r="F974" s="123">
        <v>0</v>
      </c>
      <c r="G974" s="123">
        <v>0</v>
      </c>
      <c r="H974" s="123">
        <v>0</v>
      </c>
      <c r="I974" s="123">
        <v>0</v>
      </c>
      <c r="J974" s="123">
        <v>0</v>
      </c>
      <c r="K974" s="123">
        <v>0</v>
      </c>
      <c r="L974" s="123">
        <v>0</v>
      </c>
      <c r="M974" s="123">
        <v>0</v>
      </c>
      <c r="N974" s="123">
        <v>0</v>
      </c>
      <c r="O974" s="123">
        <v>0</v>
      </c>
      <c r="P974" s="123">
        <v>0</v>
      </c>
      <c r="Q974" s="123">
        <v>0</v>
      </c>
      <c r="R974" s="123">
        <v>0</v>
      </c>
      <c r="S974" s="7" t="s">
        <v>162</v>
      </c>
      <c r="T974" s="124" t="s">
        <v>319</v>
      </c>
      <c r="U974" s="1"/>
    </row>
    <row r="975" spans="1:21" ht="13.5" thickBot="1" x14ac:dyDescent="0.25">
      <c r="A975" s="123">
        <v>7</v>
      </c>
      <c r="B975" s="123">
        <v>7</v>
      </c>
      <c r="C975" s="123">
        <v>0</v>
      </c>
      <c r="D975" s="123">
        <v>7</v>
      </c>
      <c r="E975" s="123">
        <v>7</v>
      </c>
      <c r="F975" s="123">
        <v>0</v>
      </c>
      <c r="G975" s="123">
        <v>0</v>
      </c>
      <c r="H975" s="123">
        <v>0</v>
      </c>
      <c r="I975" s="123">
        <v>0</v>
      </c>
      <c r="J975" s="123">
        <v>0</v>
      </c>
      <c r="K975" s="123">
        <v>0</v>
      </c>
      <c r="L975" s="123">
        <v>0</v>
      </c>
      <c r="M975" s="123">
        <v>0</v>
      </c>
      <c r="N975" s="123">
        <v>0</v>
      </c>
      <c r="O975" s="123">
        <v>0</v>
      </c>
      <c r="P975" s="123">
        <v>0</v>
      </c>
      <c r="Q975" s="123">
        <v>0</v>
      </c>
      <c r="R975" s="123">
        <v>0</v>
      </c>
      <c r="S975" s="7" t="s">
        <v>13</v>
      </c>
      <c r="T975" s="9"/>
      <c r="U975" s="1"/>
    </row>
    <row r="976" spans="1:21" ht="13.5" thickBot="1" x14ac:dyDescent="0.25">
      <c r="A976" s="123">
        <v>8</v>
      </c>
      <c r="B976" s="123">
        <v>8</v>
      </c>
      <c r="C976" s="123">
        <v>0</v>
      </c>
      <c r="D976" s="123">
        <v>8</v>
      </c>
      <c r="E976" s="123">
        <v>8</v>
      </c>
      <c r="F976" s="123">
        <v>0</v>
      </c>
      <c r="G976" s="123">
        <v>0</v>
      </c>
      <c r="H976" s="123">
        <v>0</v>
      </c>
      <c r="I976" s="123">
        <v>0</v>
      </c>
      <c r="J976" s="123">
        <v>0</v>
      </c>
      <c r="K976" s="123">
        <v>0</v>
      </c>
      <c r="L976" s="123">
        <v>0</v>
      </c>
      <c r="M976" s="123">
        <v>0</v>
      </c>
      <c r="N976" s="123">
        <v>0</v>
      </c>
      <c r="O976" s="123">
        <v>0</v>
      </c>
      <c r="P976" s="123">
        <v>0</v>
      </c>
      <c r="Q976" s="123">
        <v>0</v>
      </c>
      <c r="R976" s="123">
        <v>0</v>
      </c>
      <c r="S976" s="7" t="s">
        <v>163</v>
      </c>
      <c r="T976" s="124"/>
      <c r="U976" s="1"/>
    </row>
    <row r="977" spans="1:21" ht="13.5" thickBot="1" x14ac:dyDescent="0.25">
      <c r="A977" s="123">
        <v>0</v>
      </c>
      <c r="B977" s="123">
        <v>0</v>
      </c>
      <c r="C977" s="123">
        <v>0</v>
      </c>
      <c r="D977" s="123">
        <v>0</v>
      </c>
      <c r="E977" s="123">
        <v>0</v>
      </c>
      <c r="F977" s="123">
        <v>0</v>
      </c>
      <c r="G977" s="123">
        <v>0</v>
      </c>
      <c r="H977" s="123">
        <v>0</v>
      </c>
      <c r="I977" s="123">
        <v>0</v>
      </c>
      <c r="J977" s="123">
        <v>0</v>
      </c>
      <c r="K977" s="123">
        <v>0</v>
      </c>
      <c r="L977" s="123">
        <v>0</v>
      </c>
      <c r="M977" s="123">
        <v>0</v>
      </c>
      <c r="N977" s="123">
        <v>0</v>
      </c>
      <c r="O977" s="123">
        <v>0</v>
      </c>
      <c r="P977" s="123">
        <v>0</v>
      </c>
      <c r="Q977" s="123">
        <v>0</v>
      </c>
      <c r="R977" s="123">
        <v>0</v>
      </c>
      <c r="S977" s="7" t="s">
        <v>162</v>
      </c>
      <c r="T977" s="124" t="s">
        <v>320</v>
      </c>
      <c r="U977" s="1"/>
    </row>
    <row r="978" spans="1:21" ht="13.5" thickBot="1" x14ac:dyDescent="0.25">
      <c r="A978" s="123">
        <v>8</v>
      </c>
      <c r="B978" s="123">
        <v>8</v>
      </c>
      <c r="C978" s="123">
        <v>0</v>
      </c>
      <c r="D978" s="123">
        <v>8</v>
      </c>
      <c r="E978" s="123">
        <v>8</v>
      </c>
      <c r="F978" s="123">
        <v>0</v>
      </c>
      <c r="G978" s="123">
        <v>0</v>
      </c>
      <c r="H978" s="123">
        <v>0</v>
      </c>
      <c r="I978" s="123">
        <v>0</v>
      </c>
      <c r="J978" s="123">
        <v>0</v>
      </c>
      <c r="K978" s="123">
        <v>0</v>
      </c>
      <c r="L978" s="123">
        <v>0</v>
      </c>
      <c r="M978" s="123">
        <v>0</v>
      </c>
      <c r="N978" s="123">
        <v>0</v>
      </c>
      <c r="O978" s="123">
        <v>0</v>
      </c>
      <c r="P978" s="123">
        <v>0</v>
      </c>
      <c r="Q978" s="123">
        <v>0</v>
      </c>
      <c r="R978" s="123">
        <v>0</v>
      </c>
      <c r="S978" s="7" t="s">
        <v>13</v>
      </c>
      <c r="T978" s="9"/>
      <c r="U978" s="1"/>
    </row>
    <row r="979" spans="1:21" ht="13.5" thickBot="1" x14ac:dyDescent="0.25">
      <c r="A979" s="123">
        <v>7</v>
      </c>
      <c r="B979" s="123">
        <v>7</v>
      </c>
      <c r="C979" s="123">
        <v>0</v>
      </c>
      <c r="D979" s="123">
        <v>7</v>
      </c>
      <c r="E979" s="123">
        <v>7</v>
      </c>
      <c r="F979" s="123">
        <v>0</v>
      </c>
      <c r="G979" s="123">
        <v>0</v>
      </c>
      <c r="H979" s="123">
        <v>0</v>
      </c>
      <c r="I979" s="123">
        <v>0</v>
      </c>
      <c r="J979" s="123">
        <v>0</v>
      </c>
      <c r="K979" s="123">
        <v>0</v>
      </c>
      <c r="L979" s="123">
        <v>0</v>
      </c>
      <c r="M979" s="123">
        <v>0</v>
      </c>
      <c r="N979" s="123">
        <v>0</v>
      </c>
      <c r="O979" s="123">
        <v>0</v>
      </c>
      <c r="P979" s="123">
        <v>0</v>
      </c>
      <c r="Q979" s="123">
        <v>0</v>
      </c>
      <c r="R979" s="123">
        <v>0</v>
      </c>
      <c r="S979" s="7" t="s">
        <v>163</v>
      </c>
      <c r="T979" s="124"/>
      <c r="U979" s="1"/>
    </row>
    <row r="980" spans="1:21" ht="13.5" thickBot="1" x14ac:dyDescent="0.25">
      <c r="A980" s="123">
        <v>0</v>
      </c>
      <c r="B980" s="123">
        <v>0</v>
      </c>
      <c r="C980" s="123">
        <v>0</v>
      </c>
      <c r="D980" s="123">
        <v>0</v>
      </c>
      <c r="E980" s="123">
        <v>0</v>
      </c>
      <c r="F980" s="123">
        <v>0</v>
      </c>
      <c r="G980" s="123">
        <v>0</v>
      </c>
      <c r="H980" s="123">
        <v>0</v>
      </c>
      <c r="I980" s="123">
        <v>0</v>
      </c>
      <c r="J980" s="123">
        <v>0</v>
      </c>
      <c r="K980" s="123">
        <v>0</v>
      </c>
      <c r="L980" s="123">
        <v>0</v>
      </c>
      <c r="M980" s="123">
        <v>0</v>
      </c>
      <c r="N980" s="123">
        <v>0</v>
      </c>
      <c r="O980" s="123">
        <v>0</v>
      </c>
      <c r="P980" s="123">
        <v>0</v>
      </c>
      <c r="Q980" s="123">
        <v>0</v>
      </c>
      <c r="R980" s="123">
        <v>0</v>
      </c>
      <c r="S980" s="7" t="s">
        <v>162</v>
      </c>
      <c r="T980" s="124" t="s">
        <v>321</v>
      </c>
      <c r="U980" s="1"/>
    </row>
    <row r="981" spans="1:21" ht="13.5" thickBot="1" x14ac:dyDescent="0.25">
      <c r="A981" s="123">
        <v>7</v>
      </c>
      <c r="B981" s="123">
        <v>7</v>
      </c>
      <c r="C981" s="123">
        <v>0</v>
      </c>
      <c r="D981" s="123">
        <v>7</v>
      </c>
      <c r="E981" s="123">
        <v>7</v>
      </c>
      <c r="F981" s="123">
        <v>0</v>
      </c>
      <c r="G981" s="123">
        <v>0</v>
      </c>
      <c r="H981" s="123">
        <v>0</v>
      </c>
      <c r="I981" s="123">
        <v>0</v>
      </c>
      <c r="J981" s="123">
        <v>0</v>
      </c>
      <c r="K981" s="123">
        <v>0</v>
      </c>
      <c r="L981" s="123">
        <v>0</v>
      </c>
      <c r="M981" s="123">
        <v>0</v>
      </c>
      <c r="N981" s="123">
        <v>0</v>
      </c>
      <c r="O981" s="123">
        <v>0</v>
      </c>
      <c r="P981" s="123">
        <v>0</v>
      </c>
      <c r="Q981" s="123">
        <v>0</v>
      </c>
      <c r="R981" s="123">
        <v>0</v>
      </c>
      <c r="S981" s="7" t="s">
        <v>13</v>
      </c>
      <c r="T981" s="9"/>
      <c r="U981" s="1"/>
    </row>
    <row r="982" spans="1:21" ht="13.5" thickBot="1" x14ac:dyDescent="0.25">
      <c r="A982" s="123">
        <v>3</v>
      </c>
      <c r="B982" s="123">
        <v>3</v>
      </c>
      <c r="C982" s="123">
        <v>0</v>
      </c>
      <c r="D982" s="123">
        <v>3</v>
      </c>
      <c r="E982" s="123">
        <v>3</v>
      </c>
      <c r="F982" s="123">
        <v>0</v>
      </c>
      <c r="G982" s="123">
        <v>0</v>
      </c>
      <c r="H982" s="123">
        <v>0</v>
      </c>
      <c r="I982" s="123">
        <v>0</v>
      </c>
      <c r="J982" s="123">
        <v>0</v>
      </c>
      <c r="K982" s="123">
        <v>0</v>
      </c>
      <c r="L982" s="123">
        <v>0</v>
      </c>
      <c r="M982" s="123">
        <v>0</v>
      </c>
      <c r="N982" s="123">
        <v>0</v>
      </c>
      <c r="O982" s="123">
        <v>0</v>
      </c>
      <c r="P982" s="123">
        <v>0</v>
      </c>
      <c r="Q982" s="123">
        <v>0</v>
      </c>
      <c r="R982" s="123">
        <v>0</v>
      </c>
      <c r="S982" s="7" t="s">
        <v>163</v>
      </c>
      <c r="T982" s="124"/>
      <c r="U982" s="1"/>
    </row>
    <row r="983" spans="1:21" ht="13.5" thickBot="1" x14ac:dyDescent="0.25">
      <c r="A983" s="123">
        <v>0</v>
      </c>
      <c r="B983" s="123">
        <v>0</v>
      </c>
      <c r="C983" s="123">
        <v>0</v>
      </c>
      <c r="D983" s="123">
        <v>0</v>
      </c>
      <c r="E983" s="123">
        <v>0</v>
      </c>
      <c r="F983" s="123">
        <v>0</v>
      </c>
      <c r="G983" s="123">
        <v>0</v>
      </c>
      <c r="H983" s="123">
        <v>0</v>
      </c>
      <c r="I983" s="123">
        <v>0</v>
      </c>
      <c r="J983" s="123">
        <v>0</v>
      </c>
      <c r="K983" s="123">
        <v>0</v>
      </c>
      <c r="L983" s="123">
        <v>0</v>
      </c>
      <c r="M983" s="123">
        <v>0</v>
      </c>
      <c r="N983" s="123">
        <v>0</v>
      </c>
      <c r="O983" s="123">
        <v>0</v>
      </c>
      <c r="P983" s="123">
        <v>0</v>
      </c>
      <c r="Q983" s="123">
        <v>0</v>
      </c>
      <c r="R983" s="123">
        <v>0</v>
      </c>
      <c r="S983" s="7" t="s">
        <v>162</v>
      </c>
      <c r="T983" s="124" t="s">
        <v>322</v>
      </c>
      <c r="U983" s="1"/>
    </row>
    <row r="984" spans="1:21" ht="13.5" thickBot="1" x14ac:dyDescent="0.25">
      <c r="A984" s="123">
        <v>3</v>
      </c>
      <c r="B984" s="123">
        <v>3</v>
      </c>
      <c r="C984" s="123">
        <v>0</v>
      </c>
      <c r="D984" s="123">
        <v>3</v>
      </c>
      <c r="E984" s="123">
        <v>3</v>
      </c>
      <c r="F984" s="123">
        <v>0</v>
      </c>
      <c r="G984" s="123">
        <v>0</v>
      </c>
      <c r="H984" s="123">
        <v>0</v>
      </c>
      <c r="I984" s="123">
        <v>0</v>
      </c>
      <c r="J984" s="123">
        <v>0</v>
      </c>
      <c r="K984" s="123">
        <v>0</v>
      </c>
      <c r="L984" s="123">
        <v>0</v>
      </c>
      <c r="M984" s="123">
        <v>0</v>
      </c>
      <c r="N984" s="123">
        <v>0</v>
      </c>
      <c r="O984" s="123">
        <v>0</v>
      </c>
      <c r="P984" s="123">
        <v>0</v>
      </c>
      <c r="Q984" s="123">
        <v>0</v>
      </c>
      <c r="R984" s="123">
        <v>0</v>
      </c>
      <c r="S984" s="7" t="s">
        <v>13</v>
      </c>
      <c r="T984" s="9"/>
      <c r="U984" s="1"/>
    </row>
    <row r="985" spans="1:21" ht="13.5" thickBot="1" x14ac:dyDescent="0.25">
      <c r="A985" s="123">
        <v>2</v>
      </c>
      <c r="B985" s="123">
        <v>2</v>
      </c>
      <c r="C985" s="123">
        <v>0</v>
      </c>
      <c r="D985" s="123">
        <v>2</v>
      </c>
      <c r="E985" s="123">
        <v>2</v>
      </c>
      <c r="F985" s="123">
        <v>0</v>
      </c>
      <c r="G985" s="123">
        <v>0</v>
      </c>
      <c r="H985" s="123">
        <v>0</v>
      </c>
      <c r="I985" s="123">
        <v>0</v>
      </c>
      <c r="J985" s="123">
        <v>0</v>
      </c>
      <c r="K985" s="123">
        <v>0</v>
      </c>
      <c r="L985" s="123">
        <v>0</v>
      </c>
      <c r="M985" s="123">
        <v>0</v>
      </c>
      <c r="N985" s="123">
        <v>0</v>
      </c>
      <c r="O985" s="123">
        <v>0</v>
      </c>
      <c r="P985" s="123">
        <v>0</v>
      </c>
      <c r="Q985" s="123">
        <v>0</v>
      </c>
      <c r="R985" s="123">
        <v>0</v>
      </c>
      <c r="S985" s="7" t="s">
        <v>163</v>
      </c>
      <c r="T985" s="124"/>
      <c r="U985" s="1"/>
    </row>
    <row r="986" spans="1:21" ht="13.5" thickBot="1" x14ac:dyDescent="0.25">
      <c r="A986" s="123">
        <v>0</v>
      </c>
      <c r="B986" s="123">
        <v>0</v>
      </c>
      <c r="C986" s="123">
        <v>0</v>
      </c>
      <c r="D986" s="123">
        <v>0</v>
      </c>
      <c r="E986" s="123">
        <v>0</v>
      </c>
      <c r="F986" s="123">
        <v>0</v>
      </c>
      <c r="G986" s="123">
        <v>0</v>
      </c>
      <c r="H986" s="123">
        <v>0</v>
      </c>
      <c r="I986" s="123">
        <v>0</v>
      </c>
      <c r="J986" s="123">
        <v>0</v>
      </c>
      <c r="K986" s="123">
        <v>0</v>
      </c>
      <c r="L986" s="123">
        <v>0</v>
      </c>
      <c r="M986" s="123">
        <v>0</v>
      </c>
      <c r="N986" s="123">
        <v>0</v>
      </c>
      <c r="O986" s="123">
        <v>0</v>
      </c>
      <c r="P986" s="123">
        <v>0</v>
      </c>
      <c r="Q986" s="123">
        <v>0</v>
      </c>
      <c r="R986" s="123">
        <v>0</v>
      </c>
      <c r="S986" s="7" t="s">
        <v>162</v>
      </c>
      <c r="T986" s="124" t="s">
        <v>323</v>
      </c>
      <c r="U986" s="1"/>
    </row>
    <row r="987" spans="1:21" ht="13.5" thickBot="1" x14ac:dyDescent="0.25">
      <c r="A987" s="123">
        <v>2</v>
      </c>
      <c r="B987" s="123">
        <v>2</v>
      </c>
      <c r="C987" s="123">
        <v>0</v>
      </c>
      <c r="D987" s="123">
        <v>2</v>
      </c>
      <c r="E987" s="123">
        <v>2</v>
      </c>
      <c r="F987" s="123">
        <v>0</v>
      </c>
      <c r="G987" s="123">
        <v>0</v>
      </c>
      <c r="H987" s="123">
        <v>0</v>
      </c>
      <c r="I987" s="123">
        <v>0</v>
      </c>
      <c r="J987" s="123">
        <v>0</v>
      </c>
      <c r="K987" s="123">
        <v>0</v>
      </c>
      <c r="L987" s="123">
        <v>0</v>
      </c>
      <c r="M987" s="123">
        <v>0</v>
      </c>
      <c r="N987" s="123">
        <v>0</v>
      </c>
      <c r="O987" s="123">
        <v>0</v>
      </c>
      <c r="P987" s="123">
        <v>0</v>
      </c>
      <c r="Q987" s="123">
        <v>0</v>
      </c>
      <c r="R987" s="123">
        <v>0</v>
      </c>
      <c r="S987" s="7" t="s">
        <v>13</v>
      </c>
      <c r="T987" s="9"/>
      <c r="U987" s="1"/>
    </row>
    <row r="988" spans="1:21" ht="13.5" thickBot="1" x14ac:dyDescent="0.25">
      <c r="A988" s="123">
        <v>725</v>
      </c>
      <c r="B988" s="123">
        <v>54</v>
      </c>
      <c r="C988" s="123">
        <v>671</v>
      </c>
      <c r="D988" s="123">
        <v>352</v>
      </c>
      <c r="E988" s="123">
        <v>54</v>
      </c>
      <c r="F988" s="123">
        <v>298</v>
      </c>
      <c r="G988" s="123">
        <v>154</v>
      </c>
      <c r="H988" s="123">
        <v>0</v>
      </c>
      <c r="I988" s="123">
        <v>154</v>
      </c>
      <c r="J988" s="123">
        <v>134</v>
      </c>
      <c r="K988" s="123">
        <v>0</v>
      </c>
      <c r="L988" s="123">
        <v>134</v>
      </c>
      <c r="M988" s="123">
        <v>49</v>
      </c>
      <c r="N988" s="123">
        <v>0</v>
      </c>
      <c r="O988" s="123">
        <v>49</v>
      </c>
      <c r="P988" s="123">
        <v>36</v>
      </c>
      <c r="Q988" s="123">
        <v>0</v>
      </c>
      <c r="R988" s="123">
        <v>36</v>
      </c>
      <c r="S988" s="7" t="s">
        <v>163</v>
      </c>
      <c r="T988" s="3"/>
      <c r="U988" s="1"/>
    </row>
    <row r="989" spans="1:21" ht="13.5" thickBot="1" x14ac:dyDescent="0.25">
      <c r="A989" s="123">
        <v>0</v>
      </c>
      <c r="B989" s="123">
        <v>0</v>
      </c>
      <c r="C989" s="123">
        <v>0</v>
      </c>
      <c r="D989" s="123">
        <v>0</v>
      </c>
      <c r="E989" s="123">
        <v>0</v>
      </c>
      <c r="F989" s="123">
        <v>0</v>
      </c>
      <c r="G989" s="123">
        <v>0</v>
      </c>
      <c r="H989" s="123">
        <v>0</v>
      </c>
      <c r="I989" s="123">
        <v>0</v>
      </c>
      <c r="J989" s="123">
        <v>0</v>
      </c>
      <c r="K989" s="123">
        <v>0</v>
      </c>
      <c r="L989" s="123">
        <v>0</v>
      </c>
      <c r="M989" s="123">
        <v>0</v>
      </c>
      <c r="N989" s="123">
        <v>0</v>
      </c>
      <c r="O989" s="123">
        <v>0</v>
      </c>
      <c r="P989" s="123">
        <v>0</v>
      </c>
      <c r="Q989" s="123">
        <v>0</v>
      </c>
      <c r="R989" s="123">
        <v>0</v>
      </c>
      <c r="S989" s="7" t="s">
        <v>162</v>
      </c>
      <c r="T989" s="11" t="s">
        <v>211</v>
      </c>
      <c r="U989" s="1"/>
    </row>
    <row r="990" spans="1:21" ht="13.5" thickBot="1" x14ac:dyDescent="0.25">
      <c r="A990" s="123">
        <v>725</v>
      </c>
      <c r="B990" s="123">
        <v>54</v>
      </c>
      <c r="C990" s="123">
        <v>671</v>
      </c>
      <c r="D990" s="123">
        <v>352</v>
      </c>
      <c r="E990" s="123">
        <v>54</v>
      </c>
      <c r="F990" s="123">
        <v>298</v>
      </c>
      <c r="G990" s="123">
        <v>154</v>
      </c>
      <c r="H990" s="123">
        <v>0</v>
      </c>
      <c r="I990" s="123">
        <v>154</v>
      </c>
      <c r="J990" s="123">
        <v>134</v>
      </c>
      <c r="K990" s="123">
        <v>0</v>
      </c>
      <c r="L990" s="123">
        <v>134</v>
      </c>
      <c r="M990" s="123">
        <v>49</v>
      </c>
      <c r="N990" s="123">
        <v>0</v>
      </c>
      <c r="O990" s="123">
        <v>49</v>
      </c>
      <c r="P990" s="123">
        <v>36</v>
      </c>
      <c r="Q990" s="123">
        <v>0</v>
      </c>
      <c r="R990" s="123">
        <v>36</v>
      </c>
      <c r="S990" s="7" t="s">
        <v>13</v>
      </c>
      <c r="T990" s="5"/>
      <c r="U990" s="1"/>
    </row>
    <row r="991" spans="1:21" ht="18" customHeight="1" x14ac:dyDescent="0.2">
      <c r="A991" s="207"/>
      <c r="B991" s="207"/>
      <c r="C991" s="207"/>
      <c r="D991" s="207"/>
      <c r="E991" s="207"/>
      <c r="F991" s="207"/>
      <c r="G991" s="207"/>
      <c r="H991" s="207"/>
      <c r="I991" s="207"/>
      <c r="J991" s="207"/>
      <c r="K991" s="207"/>
      <c r="L991" s="207"/>
      <c r="M991" s="207"/>
      <c r="N991" s="207"/>
      <c r="O991" s="207"/>
      <c r="P991" s="207"/>
      <c r="Q991" s="207"/>
      <c r="R991" s="207"/>
      <c r="S991" s="207"/>
      <c r="T991" s="207"/>
      <c r="U991" s="1"/>
    </row>
    <row r="992" spans="1:21" ht="18" customHeight="1" x14ac:dyDescent="0.2">
      <c r="A992" s="159" t="s">
        <v>665</v>
      </c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"/>
    </row>
    <row r="993" spans="1:21" ht="18" customHeight="1" thickBot="1" x14ac:dyDescent="0.25">
      <c r="A993" s="160" t="s">
        <v>667</v>
      </c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"/>
    </row>
    <row r="994" spans="1:21" ht="13.5" thickBot="1" x14ac:dyDescent="0.25">
      <c r="A994" s="204" t="s">
        <v>5</v>
      </c>
      <c r="B994" s="204"/>
      <c r="C994" s="204"/>
      <c r="D994" s="204" t="s">
        <v>57</v>
      </c>
      <c r="E994" s="204"/>
      <c r="F994" s="204"/>
      <c r="G994" s="204" t="s">
        <v>66</v>
      </c>
      <c r="H994" s="204"/>
      <c r="I994" s="204"/>
      <c r="J994" s="204" t="s">
        <v>65</v>
      </c>
      <c r="K994" s="204"/>
      <c r="L994" s="204"/>
      <c r="M994" s="204" t="s">
        <v>62</v>
      </c>
      <c r="N994" s="204"/>
      <c r="O994" s="204"/>
      <c r="P994" s="204" t="s">
        <v>61</v>
      </c>
      <c r="Q994" s="204"/>
      <c r="R994" s="204"/>
      <c r="S994" s="205" t="s">
        <v>614</v>
      </c>
      <c r="T994" s="47" t="s">
        <v>161</v>
      </c>
      <c r="U994" s="1"/>
    </row>
    <row r="995" spans="1:21" ht="13.5" thickBot="1" x14ac:dyDescent="0.25">
      <c r="A995" s="47" t="s">
        <v>216</v>
      </c>
      <c r="B995" s="47" t="s">
        <v>11</v>
      </c>
      <c r="C995" s="47" t="s">
        <v>10</v>
      </c>
      <c r="D995" s="47" t="s">
        <v>216</v>
      </c>
      <c r="E995" s="47" t="s">
        <v>11</v>
      </c>
      <c r="F995" s="47" t="s">
        <v>10</v>
      </c>
      <c r="G995" s="47" t="s">
        <v>216</v>
      </c>
      <c r="H995" s="47" t="s">
        <v>11</v>
      </c>
      <c r="I995" s="47" t="s">
        <v>10</v>
      </c>
      <c r="J995" s="47" t="s">
        <v>216</v>
      </c>
      <c r="K995" s="47" t="s">
        <v>11</v>
      </c>
      <c r="L995" s="47" t="s">
        <v>10</v>
      </c>
      <c r="M995" s="47" t="s">
        <v>216</v>
      </c>
      <c r="N995" s="47" t="s">
        <v>11</v>
      </c>
      <c r="O995" s="47" t="s">
        <v>10</v>
      </c>
      <c r="P995" s="47" t="s">
        <v>216</v>
      </c>
      <c r="Q995" s="47" t="s">
        <v>11</v>
      </c>
      <c r="R995" s="47" t="s">
        <v>10</v>
      </c>
      <c r="S995" s="206"/>
      <c r="T995" s="5" t="s">
        <v>169</v>
      </c>
      <c r="U995" s="1"/>
    </row>
    <row r="996" spans="1:21" ht="13.5" thickBot="1" x14ac:dyDescent="0.25">
      <c r="A996" s="123">
        <v>40</v>
      </c>
      <c r="B996" s="123">
        <v>18</v>
      </c>
      <c r="C996" s="123">
        <v>22</v>
      </c>
      <c r="D996" s="123">
        <v>18</v>
      </c>
      <c r="E996" s="123">
        <v>6</v>
      </c>
      <c r="F996" s="123">
        <v>12</v>
      </c>
      <c r="G996" s="123">
        <v>10</v>
      </c>
      <c r="H996" s="123">
        <v>4</v>
      </c>
      <c r="I996" s="123">
        <v>6</v>
      </c>
      <c r="J996" s="123">
        <v>10</v>
      </c>
      <c r="K996" s="123">
        <v>7</v>
      </c>
      <c r="L996" s="123">
        <v>3</v>
      </c>
      <c r="M996" s="123">
        <v>2</v>
      </c>
      <c r="N996" s="123">
        <v>1</v>
      </c>
      <c r="O996" s="123">
        <v>1</v>
      </c>
      <c r="P996" s="123">
        <v>0</v>
      </c>
      <c r="Q996" s="123">
        <v>0</v>
      </c>
      <c r="R996" s="123">
        <v>0</v>
      </c>
      <c r="S996" s="7" t="s">
        <v>163</v>
      </c>
      <c r="T996" s="124"/>
      <c r="U996" s="1"/>
    </row>
    <row r="997" spans="1:21" ht="13.5" thickBot="1" x14ac:dyDescent="0.25">
      <c r="A997" s="123">
        <v>91</v>
      </c>
      <c r="B997" s="123">
        <v>32</v>
      </c>
      <c r="C997" s="123">
        <v>59</v>
      </c>
      <c r="D997" s="123">
        <v>20</v>
      </c>
      <c r="E997" s="123">
        <v>5</v>
      </c>
      <c r="F997" s="123">
        <v>15</v>
      </c>
      <c r="G997" s="123">
        <v>29</v>
      </c>
      <c r="H997" s="123">
        <v>9</v>
      </c>
      <c r="I997" s="123">
        <v>20</v>
      </c>
      <c r="J997" s="123">
        <v>40</v>
      </c>
      <c r="K997" s="123">
        <v>18</v>
      </c>
      <c r="L997" s="123">
        <v>22</v>
      </c>
      <c r="M997" s="123">
        <v>2</v>
      </c>
      <c r="N997" s="123">
        <v>0</v>
      </c>
      <c r="O997" s="123">
        <v>2</v>
      </c>
      <c r="P997" s="123">
        <v>0</v>
      </c>
      <c r="Q997" s="123">
        <v>0</v>
      </c>
      <c r="R997" s="123">
        <v>0</v>
      </c>
      <c r="S997" s="7" t="s">
        <v>162</v>
      </c>
      <c r="T997" s="124" t="s">
        <v>324</v>
      </c>
      <c r="U997" s="1"/>
    </row>
    <row r="998" spans="1:21" ht="13.5" thickBot="1" x14ac:dyDescent="0.25">
      <c r="A998" s="123">
        <v>131</v>
      </c>
      <c r="B998" s="123">
        <v>50</v>
      </c>
      <c r="C998" s="123">
        <v>81</v>
      </c>
      <c r="D998" s="123">
        <v>38</v>
      </c>
      <c r="E998" s="123">
        <v>11</v>
      </c>
      <c r="F998" s="123">
        <v>27</v>
      </c>
      <c r="G998" s="123">
        <v>39</v>
      </c>
      <c r="H998" s="123">
        <v>13</v>
      </c>
      <c r="I998" s="123">
        <v>26</v>
      </c>
      <c r="J998" s="123">
        <v>50</v>
      </c>
      <c r="K998" s="123">
        <v>25</v>
      </c>
      <c r="L998" s="123">
        <v>25</v>
      </c>
      <c r="M998" s="123">
        <v>4</v>
      </c>
      <c r="N998" s="123">
        <v>1</v>
      </c>
      <c r="O998" s="123">
        <v>3</v>
      </c>
      <c r="P998" s="123">
        <v>0</v>
      </c>
      <c r="Q998" s="123">
        <v>0</v>
      </c>
      <c r="R998" s="123">
        <v>0</v>
      </c>
      <c r="S998" s="7" t="s">
        <v>13</v>
      </c>
      <c r="T998" s="9"/>
      <c r="U998" s="1"/>
    </row>
    <row r="999" spans="1:21" ht="13.5" thickBot="1" x14ac:dyDescent="0.25">
      <c r="A999" s="123">
        <v>40</v>
      </c>
      <c r="B999" s="123">
        <v>18</v>
      </c>
      <c r="C999" s="123">
        <v>22</v>
      </c>
      <c r="D999" s="123">
        <v>18</v>
      </c>
      <c r="E999" s="123">
        <v>6</v>
      </c>
      <c r="F999" s="123">
        <v>12</v>
      </c>
      <c r="G999" s="123">
        <v>10</v>
      </c>
      <c r="H999" s="123">
        <v>4</v>
      </c>
      <c r="I999" s="123">
        <v>6</v>
      </c>
      <c r="J999" s="123">
        <v>10</v>
      </c>
      <c r="K999" s="123">
        <v>7</v>
      </c>
      <c r="L999" s="123">
        <v>3</v>
      </c>
      <c r="M999" s="123">
        <v>2</v>
      </c>
      <c r="N999" s="123">
        <v>1</v>
      </c>
      <c r="O999" s="123">
        <v>1</v>
      </c>
      <c r="P999" s="123">
        <v>0</v>
      </c>
      <c r="Q999" s="123">
        <v>0</v>
      </c>
      <c r="R999" s="123">
        <v>0</v>
      </c>
      <c r="S999" s="7" t="s">
        <v>163</v>
      </c>
      <c r="T999" s="3"/>
      <c r="U999" s="1"/>
    </row>
    <row r="1000" spans="1:21" ht="13.5" thickBot="1" x14ac:dyDescent="0.25">
      <c r="A1000" s="123">
        <v>91</v>
      </c>
      <c r="B1000" s="123">
        <v>32</v>
      </c>
      <c r="C1000" s="123">
        <v>59</v>
      </c>
      <c r="D1000" s="123">
        <v>20</v>
      </c>
      <c r="E1000" s="123">
        <v>5</v>
      </c>
      <c r="F1000" s="123">
        <v>15</v>
      </c>
      <c r="G1000" s="123">
        <v>29</v>
      </c>
      <c r="H1000" s="123">
        <v>9</v>
      </c>
      <c r="I1000" s="123">
        <v>20</v>
      </c>
      <c r="J1000" s="123">
        <v>40</v>
      </c>
      <c r="K1000" s="123">
        <v>18</v>
      </c>
      <c r="L1000" s="123">
        <v>22</v>
      </c>
      <c r="M1000" s="123">
        <v>2</v>
      </c>
      <c r="N1000" s="123">
        <v>0</v>
      </c>
      <c r="O1000" s="123">
        <v>2</v>
      </c>
      <c r="P1000" s="123">
        <v>0</v>
      </c>
      <c r="Q1000" s="123">
        <v>0</v>
      </c>
      <c r="R1000" s="123">
        <v>0</v>
      </c>
      <c r="S1000" s="7" t="s">
        <v>162</v>
      </c>
      <c r="T1000" s="11" t="s">
        <v>211</v>
      </c>
      <c r="U1000" s="1"/>
    </row>
    <row r="1001" spans="1:21" ht="13.5" thickBot="1" x14ac:dyDescent="0.25">
      <c r="A1001" s="123">
        <v>131</v>
      </c>
      <c r="B1001" s="123">
        <v>50</v>
      </c>
      <c r="C1001" s="123">
        <v>81</v>
      </c>
      <c r="D1001" s="123">
        <v>38</v>
      </c>
      <c r="E1001" s="123">
        <v>11</v>
      </c>
      <c r="F1001" s="123">
        <v>27</v>
      </c>
      <c r="G1001" s="123">
        <v>39</v>
      </c>
      <c r="H1001" s="123">
        <v>13</v>
      </c>
      <c r="I1001" s="123">
        <v>26</v>
      </c>
      <c r="J1001" s="123">
        <v>50</v>
      </c>
      <c r="K1001" s="123">
        <v>25</v>
      </c>
      <c r="L1001" s="123">
        <v>25</v>
      </c>
      <c r="M1001" s="123">
        <v>4</v>
      </c>
      <c r="N1001" s="123">
        <v>1</v>
      </c>
      <c r="O1001" s="123">
        <v>3</v>
      </c>
      <c r="P1001" s="123">
        <v>0</v>
      </c>
      <c r="Q1001" s="123">
        <v>0</v>
      </c>
      <c r="R1001" s="123">
        <v>0</v>
      </c>
      <c r="S1001" s="7" t="s">
        <v>13</v>
      </c>
      <c r="T1001" s="5"/>
      <c r="U1001" s="1"/>
    </row>
    <row r="1002" spans="1:21" ht="18" customHeight="1" x14ac:dyDescent="0.2">
      <c r="A1002" s="207"/>
      <c r="B1002" s="207"/>
      <c r="C1002" s="207"/>
      <c r="D1002" s="207"/>
      <c r="E1002" s="207"/>
      <c r="F1002" s="207"/>
      <c r="G1002" s="207"/>
      <c r="H1002" s="207"/>
      <c r="I1002" s="207"/>
      <c r="J1002" s="207"/>
      <c r="K1002" s="207"/>
      <c r="L1002" s="207"/>
      <c r="M1002" s="207"/>
      <c r="N1002" s="207"/>
      <c r="O1002" s="207"/>
      <c r="P1002" s="207"/>
      <c r="Q1002" s="207"/>
      <c r="R1002" s="207"/>
      <c r="S1002" s="207"/>
      <c r="T1002" s="207"/>
      <c r="U1002" s="1"/>
    </row>
    <row r="1003" spans="1:21" ht="18" customHeight="1" x14ac:dyDescent="0.2">
      <c r="A1003" s="159" t="s">
        <v>665</v>
      </c>
      <c r="B1003" s="159"/>
      <c r="C1003" s="159"/>
      <c r="D1003" s="159"/>
      <c r="E1003" s="159"/>
      <c r="F1003" s="159"/>
      <c r="G1003" s="159"/>
      <c r="H1003" s="159"/>
      <c r="I1003" s="159"/>
      <c r="J1003" s="159"/>
      <c r="K1003" s="159"/>
      <c r="L1003" s="159"/>
      <c r="M1003" s="159"/>
      <c r="N1003" s="159"/>
      <c r="O1003" s="159"/>
      <c r="P1003" s="159"/>
      <c r="Q1003" s="159"/>
      <c r="R1003" s="159"/>
      <c r="S1003" s="159"/>
      <c r="T1003" s="159"/>
      <c r="U1003" s="1"/>
    </row>
    <row r="1004" spans="1:21" ht="18" customHeight="1" thickBot="1" x14ac:dyDescent="0.25">
      <c r="A1004" s="160" t="s">
        <v>667</v>
      </c>
      <c r="B1004" s="160"/>
      <c r="C1004" s="160"/>
      <c r="D1004" s="160"/>
      <c r="E1004" s="160"/>
      <c r="F1004" s="160"/>
      <c r="G1004" s="160"/>
      <c r="H1004" s="160"/>
      <c r="I1004" s="160"/>
      <c r="J1004" s="160"/>
      <c r="K1004" s="160"/>
      <c r="L1004" s="160"/>
      <c r="M1004" s="160"/>
      <c r="N1004" s="160"/>
      <c r="O1004" s="160"/>
      <c r="P1004" s="160"/>
      <c r="Q1004" s="160"/>
      <c r="R1004" s="160"/>
      <c r="S1004" s="160"/>
      <c r="T1004" s="160"/>
      <c r="U1004" s="1"/>
    </row>
    <row r="1005" spans="1:21" ht="13.5" thickBot="1" x14ac:dyDescent="0.25">
      <c r="A1005" s="204" t="s">
        <v>5</v>
      </c>
      <c r="B1005" s="204"/>
      <c r="C1005" s="204"/>
      <c r="D1005" s="204" t="s">
        <v>57</v>
      </c>
      <c r="E1005" s="204"/>
      <c r="F1005" s="204"/>
      <c r="G1005" s="204" t="s">
        <v>66</v>
      </c>
      <c r="H1005" s="204"/>
      <c r="I1005" s="204"/>
      <c r="J1005" s="204" t="s">
        <v>65</v>
      </c>
      <c r="K1005" s="204"/>
      <c r="L1005" s="204"/>
      <c r="M1005" s="204" t="s">
        <v>62</v>
      </c>
      <c r="N1005" s="204"/>
      <c r="O1005" s="204"/>
      <c r="P1005" s="204" t="s">
        <v>61</v>
      </c>
      <c r="Q1005" s="204"/>
      <c r="R1005" s="204"/>
      <c r="S1005" s="205" t="s">
        <v>614</v>
      </c>
      <c r="T1005" s="47" t="s">
        <v>161</v>
      </c>
      <c r="U1005" s="1"/>
    </row>
    <row r="1006" spans="1:21" ht="13.5" thickBot="1" x14ac:dyDescent="0.25">
      <c r="A1006" s="47" t="s">
        <v>216</v>
      </c>
      <c r="B1006" s="47" t="s">
        <v>11</v>
      </c>
      <c r="C1006" s="47" t="s">
        <v>10</v>
      </c>
      <c r="D1006" s="47" t="s">
        <v>216</v>
      </c>
      <c r="E1006" s="47" t="s">
        <v>11</v>
      </c>
      <c r="F1006" s="47" t="s">
        <v>10</v>
      </c>
      <c r="G1006" s="47" t="s">
        <v>216</v>
      </c>
      <c r="H1006" s="47" t="s">
        <v>11</v>
      </c>
      <c r="I1006" s="47" t="s">
        <v>10</v>
      </c>
      <c r="J1006" s="47" t="s">
        <v>216</v>
      </c>
      <c r="K1006" s="47" t="s">
        <v>11</v>
      </c>
      <c r="L1006" s="47" t="s">
        <v>10</v>
      </c>
      <c r="M1006" s="47" t="s">
        <v>216</v>
      </c>
      <c r="N1006" s="47" t="s">
        <v>11</v>
      </c>
      <c r="O1006" s="47" t="s">
        <v>10</v>
      </c>
      <c r="P1006" s="47" t="s">
        <v>216</v>
      </c>
      <c r="Q1006" s="47" t="s">
        <v>11</v>
      </c>
      <c r="R1006" s="47" t="s">
        <v>10</v>
      </c>
      <c r="S1006" s="206"/>
      <c r="T1006" s="5" t="s">
        <v>170</v>
      </c>
      <c r="U1006" s="1"/>
    </row>
    <row r="1007" spans="1:21" ht="13.5" thickBot="1" x14ac:dyDescent="0.25">
      <c r="A1007" s="123">
        <v>116</v>
      </c>
      <c r="B1007" s="123">
        <v>0</v>
      </c>
      <c r="C1007" s="123">
        <v>116</v>
      </c>
      <c r="D1007" s="123">
        <v>43</v>
      </c>
      <c r="E1007" s="123">
        <v>0</v>
      </c>
      <c r="F1007" s="123">
        <v>43</v>
      </c>
      <c r="G1007" s="123">
        <v>39</v>
      </c>
      <c r="H1007" s="123">
        <v>0</v>
      </c>
      <c r="I1007" s="123">
        <v>39</v>
      </c>
      <c r="J1007" s="123">
        <v>29</v>
      </c>
      <c r="K1007" s="123">
        <v>0</v>
      </c>
      <c r="L1007" s="123">
        <v>29</v>
      </c>
      <c r="M1007" s="123">
        <v>2</v>
      </c>
      <c r="N1007" s="123">
        <v>0</v>
      </c>
      <c r="O1007" s="123">
        <v>2</v>
      </c>
      <c r="P1007" s="123">
        <v>3</v>
      </c>
      <c r="Q1007" s="123">
        <v>0</v>
      </c>
      <c r="R1007" s="123">
        <v>3</v>
      </c>
      <c r="S1007" s="7" t="s">
        <v>163</v>
      </c>
      <c r="T1007" s="124"/>
      <c r="U1007" s="1"/>
    </row>
    <row r="1008" spans="1:21" ht="13.5" thickBot="1" x14ac:dyDescent="0.25">
      <c r="A1008" s="123">
        <v>6</v>
      </c>
      <c r="B1008" s="123">
        <v>0</v>
      </c>
      <c r="C1008" s="123">
        <v>6</v>
      </c>
      <c r="D1008" s="123">
        <v>0</v>
      </c>
      <c r="E1008" s="123">
        <v>0</v>
      </c>
      <c r="F1008" s="123">
        <v>0</v>
      </c>
      <c r="G1008" s="123">
        <v>1</v>
      </c>
      <c r="H1008" s="123">
        <v>0</v>
      </c>
      <c r="I1008" s="123">
        <v>1</v>
      </c>
      <c r="J1008" s="123">
        <v>5</v>
      </c>
      <c r="K1008" s="123">
        <v>0</v>
      </c>
      <c r="L1008" s="123">
        <v>5</v>
      </c>
      <c r="M1008" s="123">
        <v>0</v>
      </c>
      <c r="N1008" s="123">
        <v>0</v>
      </c>
      <c r="O1008" s="123">
        <v>0</v>
      </c>
      <c r="P1008" s="123">
        <v>0</v>
      </c>
      <c r="Q1008" s="123">
        <v>0</v>
      </c>
      <c r="R1008" s="123">
        <v>0</v>
      </c>
      <c r="S1008" s="7" t="s">
        <v>162</v>
      </c>
      <c r="T1008" s="124" t="s">
        <v>325</v>
      </c>
      <c r="U1008" s="1"/>
    </row>
    <row r="1009" spans="1:21" ht="13.5" thickBot="1" x14ac:dyDescent="0.25">
      <c r="A1009" s="123">
        <v>122</v>
      </c>
      <c r="B1009" s="123">
        <v>0</v>
      </c>
      <c r="C1009" s="123">
        <v>122</v>
      </c>
      <c r="D1009" s="123">
        <v>43</v>
      </c>
      <c r="E1009" s="123">
        <v>0</v>
      </c>
      <c r="F1009" s="123">
        <v>43</v>
      </c>
      <c r="G1009" s="123">
        <v>40</v>
      </c>
      <c r="H1009" s="123">
        <v>0</v>
      </c>
      <c r="I1009" s="123">
        <v>40</v>
      </c>
      <c r="J1009" s="123">
        <v>34</v>
      </c>
      <c r="K1009" s="123">
        <v>0</v>
      </c>
      <c r="L1009" s="123">
        <v>34</v>
      </c>
      <c r="M1009" s="123">
        <v>2</v>
      </c>
      <c r="N1009" s="123">
        <v>0</v>
      </c>
      <c r="O1009" s="123">
        <v>2</v>
      </c>
      <c r="P1009" s="123">
        <v>3</v>
      </c>
      <c r="Q1009" s="123">
        <v>0</v>
      </c>
      <c r="R1009" s="123">
        <v>3</v>
      </c>
      <c r="S1009" s="7" t="s">
        <v>13</v>
      </c>
      <c r="T1009" s="9"/>
      <c r="U1009" s="1"/>
    </row>
    <row r="1010" spans="1:21" ht="13.5" thickBot="1" x14ac:dyDescent="0.25">
      <c r="A1010" s="123">
        <v>75</v>
      </c>
      <c r="B1010" s="123">
        <v>0</v>
      </c>
      <c r="C1010" s="123">
        <v>75</v>
      </c>
      <c r="D1010" s="123">
        <v>36</v>
      </c>
      <c r="E1010" s="123">
        <v>0</v>
      </c>
      <c r="F1010" s="123">
        <v>36</v>
      </c>
      <c r="G1010" s="123">
        <v>6</v>
      </c>
      <c r="H1010" s="123">
        <v>0</v>
      </c>
      <c r="I1010" s="123">
        <v>6</v>
      </c>
      <c r="J1010" s="123">
        <v>30</v>
      </c>
      <c r="K1010" s="123">
        <v>0</v>
      </c>
      <c r="L1010" s="123">
        <v>30</v>
      </c>
      <c r="M1010" s="123">
        <v>2</v>
      </c>
      <c r="N1010" s="123">
        <v>0</v>
      </c>
      <c r="O1010" s="123">
        <v>2</v>
      </c>
      <c r="P1010" s="123">
        <v>1</v>
      </c>
      <c r="Q1010" s="123">
        <v>0</v>
      </c>
      <c r="R1010" s="123">
        <v>1</v>
      </c>
      <c r="S1010" s="7" t="s">
        <v>163</v>
      </c>
      <c r="T1010" s="124"/>
      <c r="U1010" s="1"/>
    </row>
    <row r="1011" spans="1:21" ht="13.5" thickBot="1" x14ac:dyDescent="0.25">
      <c r="A1011" s="123">
        <v>9</v>
      </c>
      <c r="B1011" s="123">
        <v>0</v>
      </c>
      <c r="C1011" s="123">
        <v>9</v>
      </c>
      <c r="D1011" s="123">
        <v>1</v>
      </c>
      <c r="E1011" s="123">
        <v>0</v>
      </c>
      <c r="F1011" s="123">
        <v>1</v>
      </c>
      <c r="G1011" s="123">
        <v>0</v>
      </c>
      <c r="H1011" s="123">
        <v>0</v>
      </c>
      <c r="I1011" s="123">
        <v>0</v>
      </c>
      <c r="J1011" s="123">
        <v>5</v>
      </c>
      <c r="K1011" s="123">
        <v>0</v>
      </c>
      <c r="L1011" s="123">
        <v>5</v>
      </c>
      <c r="M1011" s="123">
        <v>3</v>
      </c>
      <c r="N1011" s="123">
        <v>0</v>
      </c>
      <c r="O1011" s="123">
        <v>3</v>
      </c>
      <c r="P1011" s="123">
        <v>0</v>
      </c>
      <c r="Q1011" s="123">
        <v>0</v>
      </c>
      <c r="R1011" s="123">
        <v>0</v>
      </c>
      <c r="S1011" s="7" t="s">
        <v>162</v>
      </c>
      <c r="T1011" s="124" t="s">
        <v>326</v>
      </c>
      <c r="U1011" s="1"/>
    </row>
    <row r="1012" spans="1:21" ht="13.5" thickBot="1" x14ac:dyDescent="0.25">
      <c r="A1012" s="123">
        <v>84</v>
      </c>
      <c r="B1012" s="123">
        <v>0</v>
      </c>
      <c r="C1012" s="123">
        <v>84</v>
      </c>
      <c r="D1012" s="123">
        <v>37</v>
      </c>
      <c r="E1012" s="123">
        <v>0</v>
      </c>
      <c r="F1012" s="123">
        <v>37</v>
      </c>
      <c r="G1012" s="123">
        <v>6</v>
      </c>
      <c r="H1012" s="123">
        <v>0</v>
      </c>
      <c r="I1012" s="123">
        <v>6</v>
      </c>
      <c r="J1012" s="123">
        <v>35</v>
      </c>
      <c r="K1012" s="123">
        <v>0</v>
      </c>
      <c r="L1012" s="123">
        <v>35</v>
      </c>
      <c r="M1012" s="123">
        <v>5</v>
      </c>
      <c r="N1012" s="123">
        <v>0</v>
      </c>
      <c r="O1012" s="123">
        <v>5</v>
      </c>
      <c r="P1012" s="123">
        <v>1</v>
      </c>
      <c r="Q1012" s="123">
        <v>0</v>
      </c>
      <c r="R1012" s="123">
        <v>1</v>
      </c>
      <c r="S1012" s="7" t="s">
        <v>13</v>
      </c>
      <c r="T1012" s="9"/>
      <c r="U1012" s="1"/>
    </row>
    <row r="1013" spans="1:21" ht="13.5" thickBot="1" x14ac:dyDescent="0.25">
      <c r="A1013" s="123">
        <v>36</v>
      </c>
      <c r="B1013" s="123">
        <v>11</v>
      </c>
      <c r="C1013" s="123">
        <v>25</v>
      </c>
      <c r="D1013" s="123">
        <v>10</v>
      </c>
      <c r="E1013" s="123">
        <v>2</v>
      </c>
      <c r="F1013" s="123">
        <v>8</v>
      </c>
      <c r="G1013" s="123">
        <v>5</v>
      </c>
      <c r="H1013" s="123">
        <v>0</v>
      </c>
      <c r="I1013" s="123">
        <v>5</v>
      </c>
      <c r="J1013" s="123">
        <v>18</v>
      </c>
      <c r="K1013" s="123">
        <v>9</v>
      </c>
      <c r="L1013" s="123">
        <v>9</v>
      </c>
      <c r="M1013" s="123">
        <v>2</v>
      </c>
      <c r="N1013" s="123">
        <v>0</v>
      </c>
      <c r="O1013" s="123">
        <v>2</v>
      </c>
      <c r="P1013" s="123">
        <v>1</v>
      </c>
      <c r="Q1013" s="123">
        <v>0</v>
      </c>
      <c r="R1013" s="123">
        <v>1</v>
      </c>
      <c r="S1013" s="7" t="s">
        <v>163</v>
      </c>
      <c r="T1013" s="124"/>
      <c r="U1013" s="1"/>
    </row>
    <row r="1014" spans="1:21" ht="13.5" thickBot="1" x14ac:dyDescent="0.25">
      <c r="A1014" s="123">
        <v>4</v>
      </c>
      <c r="B1014" s="123">
        <v>2</v>
      </c>
      <c r="C1014" s="123">
        <v>2</v>
      </c>
      <c r="D1014" s="123">
        <v>0</v>
      </c>
      <c r="E1014" s="123">
        <v>0</v>
      </c>
      <c r="F1014" s="123">
        <v>0</v>
      </c>
      <c r="G1014" s="123">
        <v>0</v>
      </c>
      <c r="H1014" s="123">
        <v>0</v>
      </c>
      <c r="I1014" s="123">
        <v>0</v>
      </c>
      <c r="J1014" s="123">
        <v>4</v>
      </c>
      <c r="K1014" s="123">
        <v>2</v>
      </c>
      <c r="L1014" s="123">
        <v>2</v>
      </c>
      <c r="M1014" s="123">
        <v>0</v>
      </c>
      <c r="N1014" s="123">
        <v>0</v>
      </c>
      <c r="O1014" s="123">
        <v>0</v>
      </c>
      <c r="P1014" s="123">
        <v>0</v>
      </c>
      <c r="Q1014" s="123">
        <v>0</v>
      </c>
      <c r="R1014" s="123">
        <v>0</v>
      </c>
      <c r="S1014" s="7" t="s">
        <v>162</v>
      </c>
      <c r="T1014" s="124" t="s">
        <v>527</v>
      </c>
      <c r="U1014" s="1"/>
    </row>
    <row r="1015" spans="1:21" ht="13.5" thickBot="1" x14ac:dyDescent="0.25">
      <c r="A1015" s="123">
        <v>40</v>
      </c>
      <c r="B1015" s="123">
        <v>13</v>
      </c>
      <c r="C1015" s="123">
        <v>27</v>
      </c>
      <c r="D1015" s="123">
        <v>10</v>
      </c>
      <c r="E1015" s="123">
        <v>2</v>
      </c>
      <c r="F1015" s="123">
        <v>8</v>
      </c>
      <c r="G1015" s="123">
        <v>5</v>
      </c>
      <c r="H1015" s="123">
        <v>0</v>
      </c>
      <c r="I1015" s="123">
        <v>5</v>
      </c>
      <c r="J1015" s="123">
        <v>22</v>
      </c>
      <c r="K1015" s="123">
        <v>11</v>
      </c>
      <c r="L1015" s="123">
        <v>11</v>
      </c>
      <c r="M1015" s="123">
        <v>2</v>
      </c>
      <c r="N1015" s="123">
        <v>0</v>
      </c>
      <c r="O1015" s="123">
        <v>2</v>
      </c>
      <c r="P1015" s="123">
        <v>1</v>
      </c>
      <c r="Q1015" s="123">
        <v>0</v>
      </c>
      <c r="R1015" s="123">
        <v>1</v>
      </c>
      <c r="S1015" s="7" t="s">
        <v>13</v>
      </c>
      <c r="T1015" s="9"/>
      <c r="U1015" s="1"/>
    </row>
    <row r="1016" spans="1:21" ht="13.5" thickBot="1" x14ac:dyDescent="0.25">
      <c r="A1016" s="123">
        <v>30</v>
      </c>
      <c r="B1016" s="123">
        <v>7</v>
      </c>
      <c r="C1016" s="123">
        <v>23</v>
      </c>
      <c r="D1016" s="123">
        <v>11</v>
      </c>
      <c r="E1016" s="123">
        <v>1</v>
      </c>
      <c r="F1016" s="123">
        <v>10</v>
      </c>
      <c r="G1016" s="123">
        <v>0</v>
      </c>
      <c r="H1016" s="123">
        <v>0</v>
      </c>
      <c r="I1016" s="123">
        <v>0</v>
      </c>
      <c r="J1016" s="123">
        <v>17</v>
      </c>
      <c r="K1016" s="123">
        <v>6</v>
      </c>
      <c r="L1016" s="123">
        <v>11</v>
      </c>
      <c r="M1016" s="123">
        <v>1</v>
      </c>
      <c r="N1016" s="123">
        <v>0</v>
      </c>
      <c r="O1016" s="123">
        <v>1</v>
      </c>
      <c r="P1016" s="123">
        <v>1</v>
      </c>
      <c r="Q1016" s="123">
        <v>0</v>
      </c>
      <c r="R1016" s="123">
        <v>1</v>
      </c>
      <c r="S1016" s="7" t="s">
        <v>163</v>
      </c>
      <c r="T1016" s="124"/>
      <c r="U1016" s="1"/>
    </row>
    <row r="1017" spans="1:21" ht="13.5" thickBot="1" x14ac:dyDescent="0.25">
      <c r="A1017" s="123">
        <v>0</v>
      </c>
      <c r="B1017" s="123">
        <v>0</v>
      </c>
      <c r="C1017" s="123">
        <v>0</v>
      </c>
      <c r="D1017" s="123">
        <v>0</v>
      </c>
      <c r="E1017" s="123">
        <v>0</v>
      </c>
      <c r="F1017" s="123">
        <v>0</v>
      </c>
      <c r="G1017" s="123">
        <v>0</v>
      </c>
      <c r="H1017" s="123">
        <v>0</v>
      </c>
      <c r="I1017" s="123">
        <v>0</v>
      </c>
      <c r="J1017" s="123">
        <v>0</v>
      </c>
      <c r="K1017" s="123">
        <v>0</v>
      </c>
      <c r="L1017" s="123">
        <v>0</v>
      </c>
      <c r="M1017" s="123">
        <v>0</v>
      </c>
      <c r="N1017" s="123">
        <v>0</v>
      </c>
      <c r="O1017" s="123">
        <v>0</v>
      </c>
      <c r="P1017" s="123">
        <v>0</v>
      </c>
      <c r="Q1017" s="123">
        <v>0</v>
      </c>
      <c r="R1017" s="123">
        <v>0</v>
      </c>
      <c r="S1017" s="7" t="s">
        <v>162</v>
      </c>
      <c r="T1017" s="124" t="s">
        <v>528</v>
      </c>
      <c r="U1017" s="1"/>
    </row>
    <row r="1018" spans="1:21" ht="13.5" thickBot="1" x14ac:dyDescent="0.25">
      <c r="A1018" s="123">
        <v>30</v>
      </c>
      <c r="B1018" s="123">
        <v>7</v>
      </c>
      <c r="C1018" s="123">
        <v>23</v>
      </c>
      <c r="D1018" s="123">
        <v>11</v>
      </c>
      <c r="E1018" s="123">
        <v>1</v>
      </c>
      <c r="F1018" s="123">
        <v>10</v>
      </c>
      <c r="G1018" s="123">
        <v>0</v>
      </c>
      <c r="H1018" s="123">
        <v>0</v>
      </c>
      <c r="I1018" s="123">
        <v>0</v>
      </c>
      <c r="J1018" s="123">
        <v>17</v>
      </c>
      <c r="K1018" s="123">
        <v>6</v>
      </c>
      <c r="L1018" s="123">
        <v>11</v>
      </c>
      <c r="M1018" s="123">
        <v>1</v>
      </c>
      <c r="N1018" s="123">
        <v>0</v>
      </c>
      <c r="O1018" s="123">
        <v>1</v>
      </c>
      <c r="P1018" s="123">
        <v>1</v>
      </c>
      <c r="Q1018" s="123">
        <v>0</v>
      </c>
      <c r="R1018" s="123">
        <v>1</v>
      </c>
      <c r="S1018" s="7" t="s">
        <v>13</v>
      </c>
      <c r="T1018" s="9"/>
      <c r="U1018" s="1"/>
    </row>
    <row r="1019" spans="1:21" ht="13.5" thickBot="1" x14ac:dyDescent="0.25">
      <c r="A1019" s="123">
        <v>257</v>
      </c>
      <c r="B1019" s="123">
        <v>18</v>
      </c>
      <c r="C1019" s="123">
        <v>239</v>
      </c>
      <c r="D1019" s="123">
        <v>100</v>
      </c>
      <c r="E1019" s="123">
        <v>3</v>
      </c>
      <c r="F1019" s="123">
        <v>97</v>
      </c>
      <c r="G1019" s="123">
        <v>50</v>
      </c>
      <c r="H1019" s="123">
        <v>0</v>
      </c>
      <c r="I1019" s="123">
        <v>50</v>
      </c>
      <c r="J1019" s="123">
        <v>94</v>
      </c>
      <c r="K1019" s="123">
        <v>15</v>
      </c>
      <c r="L1019" s="123">
        <v>79</v>
      </c>
      <c r="M1019" s="123">
        <v>7</v>
      </c>
      <c r="N1019" s="123">
        <v>0</v>
      </c>
      <c r="O1019" s="123">
        <v>7</v>
      </c>
      <c r="P1019" s="123">
        <v>6</v>
      </c>
      <c r="Q1019" s="123">
        <v>0</v>
      </c>
      <c r="R1019" s="123">
        <v>6</v>
      </c>
      <c r="S1019" s="7" t="s">
        <v>163</v>
      </c>
      <c r="T1019" s="3"/>
      <c r="U1019" s="1"/>
    </row>
    <row r="1020" spans="1:21" ht="13.5" thickBot="1" x14ac:dyDescent="0.25">
      <c r="A1020" s="123">
        <v>19</v>
      </c>
      <c r="B1020" s="123">
        <v>2</v>
      </c>
      <c r="C1020" s="123">
        <v>17</v>
      </c>
      <c r="D1020" s="123">
        <v>1</v>
      </c>
      <c r="E1020" s="123">
        <v>0</v>
      </c>
      <c r="F1020" s="123">
        <v>1</v>
      </c>
      <c r="G1020" s="123">
        <v>1</v>
      </c>
      <c r="H1020" s="123">
        <v>0</v>
      </c>
      <c r="I1020" s="123">
        <v>1</v>
      </c>
      <c r="J1020" s="123">
        <v>14</v>
      </c>
      <c r="K1020" s="123">
        <v>2</v>
      </c>
      <c r="L1020" s="123">
        <v>12</v>
      </c>
      <c r="M1020" s="123">
        <v>3</v>
      </c>
      <c r="N1020" s="123">
        <v>0</v>
      </c>
      <c r="O1020" s="123">
        <v>3</v>
      </c>
      <c r="P1020" s="123">
        <v>0</v>
      </c>
      <c r="Q1020" s="123">
        <v>0</v>
      </c>
      <c r="R1020" s="123">
        <v>0</v>
      </c>
      <c r="S1020" s="7" t="s">
        <v>162</v>
      </c>
      <c r="T1020" s="11" t="s">
        <v>211</v>
      </c>
      <c r="U1020" s="1"/>
    </row>
    <row r="1021" spans="1:21" ht="13.5" thickBot="1" x14ac:dyDescent="0.25">
      <c r="A1021" s="123">
        <v>276</v>
      </c>
      <c r="B1021" s="123">
        <v>20</v>
      </c>
      <c r="C1021" s="123">
        <v>256</v>
      </c>
      <c r="D1021" s="123">
        <v>101</v>
      </c>
      <c r="E1021" s="123">
        <v>3</v>
      </c>
      <c r="F1021" s="123">
        <v>98</v>
      </c>
      <c r="G1021" s="123">
        <v>51</v>
      </c>
      <c r="H1021" s="123">
        <v>0</v>
      </c>
      <c r="I1021" s="123">
        <v>51</v>
      </c>
      <c r="J1021" s="123">
        <v>108</v>
      </c>
      <c r="K1021" s="123">
        <v>17</v>
      </c>
      <c r="L1021" s="123">
        <v>91</v>
      </c>
      <c r="M1021" s="123">
        <v>10</v>
      </c>
      <c r="N1021" s="123">
        <v>0</v>
      </c>
      <c r="O1021" s="123">
        <v>10</v>
      </c>
      <c r="P1021" s="123">
        <v>6</v>
      </c>
      <c r="Q1021" s="123">
        <v>0</v>
      </c>
      <c r="R1021" s="123">
        <v>6</v>
      </c>
      <c r="S1021" s="7" t="s">
        <v>13</v>
      </c>
      <c r="T1021" s="5"/>
      <c r="U1021" s="1"/>
    </row>
    <row r="1022" spans="1:21" ht="18" customHeight="1" x14ac:dyDescent="0.2">
      <c r="A1022" s="207"/>
      <c r="B1022" s="207"/>
      <c r="C1022" s="207"/>
      <c r="D1022" s="207"/>
      <c r="E1022" s="207"/>
      <c r="F1022" s="207"/>
      <c r="G1022" s="207"/>
      <c r="H1022" s="207"/>
      <c r="I1022" s="207"/>
      <c r="J1022" s="207"/>
      <c r="K1022" s="207"/>
      <c r="L1022" s="207"/>
      <c r="M1022" s="207"/>
      <c r="N1022" s="207"/>
      <c r="O1022" s="207"/>
      <c r="P1022" s="207"/>
      <c r="Q1022" s="207"/>
      <c r="R1022" s="207"/>
      <c r="S1022" s="207"/>
      <c r="T1022" s="207"/>
      <c r="U1022" s="1"/>
    </row>
    <row r="1023" spans="1:21" ht="18" customHeight="1" x14ac:dyDescent="0.2">
      <c r="A1023" s="159" t="s">
        <v>665</v>
      </c>
      <c r="B1023" s="159"/>
      <c r="C1023" s="159"/>
      <c r="D1023" s="159"/>
      <c r="E1023" s="159"/>
      <c r="F1023" s="159"/>
      <c r="G1023" s="159"/>
      <c r="H1023" s="159"/>
      <c r="I1023" s="159"/>
      <c r="J1023" s="159"/>
      <c r="K1023" s="159"/>
      <c r="L1023" s="159"/>
      <c r="M1023" s="159"/>
      <c r="N1023" s="159"/>
      <c r="O1023" s="159"/>
      <c r="P1023" s="159"/>
      <c r="Q1023" s="159"/>
      <c r="R1023" s="159"/>
      <c r="S1023" s="159"/>
      <c r="T1023" s="159"/>
      <c r="U1023" s="1"/>
    </row>
    <row r="1024" spans="1:21" ht="18" customHeight="1" thickBot="1" x14ac:dyDescent="0.25">
      <c r="A1024" s="160" t="s">
        <v>667</v>
      </c>
      <c r="B1024" s="160"/>
      <c r="C1024" s="160"/>
      <c r="D1024" s="160"/>
      <c r="E1024" s="160"/>
      <c r="F1024" s="160"/>
      <c r="G1024" s="160"/>
      <c r="H1024" s="160"/>
      <c r="I1024" s="160"/>
      <c r="J1024" s="160"/>
      <c r="K1024" s="160"/>
      <c r="L1024" s="160"/>
      <c r="M1024" s="160"/>
      <c r="N1024" s="160"/>
      <c r="O1024" s="160"/>
      <c r="P1024" s="160"/>
      <c r="Q1024" s="160"/>
      <c r="R1024" s="160"/>
      <c r="S1024" s="160"/>
      <c r="T1024" s="160"/>
      <c r="U1024" s="1"/>
    </row>
    <row r="1025" spans="1:21" ht="13.5" thickBot="1" x14ac:dyDescent="0.25">
      <c r="A1025" s="204" t="s">
        <v>5</v>
      </c>
      <c r="B1025" s="204"/>
      <c r="C1025" s="204"/>
      <c r="D1025" s="204" t="s">
        <v>57</v>
      </c>
      <c r="E1025" s="204"/>
      <c r="F1025" s="204"/>
      <c r="G1025" s="204" t="s">
        <v>66</v>
      </c>
      <c r="H1025" s="204"/>
      <c r="I1025" s="204"/>
      <c r="J1025" s="204" t="s">
        <v>65</v>
      </c>
      <c r="K1025" s="204"/>
      <c r="L1025" s="204"/>
      <c r="M1025" s="204" t="s">
        <v>62</v>
      </c>
      <c r="N1025" s="204"/>
      <c r="O1025" s="204"/>
      <c r="P1025" s="204" t="s">
        <v>61</v>
      </c>
      <c r="Q1025" s="204"/>
      <c r="R1025" s="204"/>
      <c r="S1025" s="205" t="s">
        <v>614</v>
      </c>
      <c r="T1025" s="47" t="s">
        <v>161</v>
      </c>
      <c r="U1025" s="1"/>
    </row>
    <row r="1026" spans="1:21" ht="13.5" thickBot="1" x14ac:dyDescent="0.25">
      <c r="A1026" s="47" t="s">
        <v>216</v>
      </c>
      <c r="B1026" s="47" t="s">
        <v>11</v>
      </c>
      <c r="C1026" s="47" t="s">
        <v>10</v>
      </c>
      <c r="D1026" s="47" t="s">
        <v>216</v>
      </c>
      <c r="E1026" s="47" t="s">
        <v>11</v>
      </c>
      <c r="F1026" s="47" t="s">
        <v>10</v>
      </c>
      <c r="G1026" s="47" t="s">
        <v>216</v>
      </c>
      <c r="H1026" s="47" t="s">
        <v>11</v>
      </c>
      <c r="I1026" s="47" t="s">
        <v>10</v>
      </c>
      <c r="J1026" s="47" t="s">
        <v>216</v>
      </c>
      <c r="K1026" s="47" t="s">
        <v>11</v>
      </c>
      <c r="L1026" s="47" t="s">
        <v>10</v>
      </c>
      <c r="M1026" s="47" t="s">
        <v>216</v>
      </c>
      <c r="N1026" s="47" t="s">
        <v>11</v>
      </c>
      <c r="O1026" s="47" t="s">
        <v>10</v>
      </c>
      <c r="P1026" s="47" t="s">
        <v>216</v>
      </c>
      <c r="Q1026" s="47" t="s">
        <v>11</v>
      </c>
      <c r="R1026" s="47" t="s">
        <v>10</v>
      </c>
      <c r="S1026" s="206"/>
      <c r="T1026" s="5" t="s">
        <v>171</v>
      </c>
      <c r="U1026" s="1"/>
    </row>
    <row r="1027" spans="1:21" ht="13.5" thickBot="1" x14ac:dyDescent="0.25">
      <c r="A1027" s="123">
        <v>356</v>
      </c>
      <c r="B1027" s="123">
        <v>41</v>
      </c>
      <c r="C1027" s="123">
        <v>315</v>
      </c>
      <c r="D1027" s="123">
        <v>6</v>
      </c>
      <c r="E1027" s="123">
        <v>0</v>
      </c>
      <c r="F1027" s="123">
        <v>6</v>
      </c>
      <c r="G1027" s="123">
        <v>286</v>
      </c>
      <c r="H1027" s="123">
        <v>33</v>
      </c>
      <c r="I1027" s="123">
        <v>253</v>
      </c>
      <c r="J1027" s="123">
        <v>54</v>
      </c>
      <c r="K1027" s="123">
        <v>6</v>
      </c>
      <c r="L1027" s="123">
        <v>48</v>
      </c>
      <c r="M1027" s="123">
        <v>8</v>
      </c>
      <c r="N1027" s="123">
        <v>2</v>
      </c>
      <c r="O1027" s="123">
        <v>6</v>
      </c>
      <c r="P1027" s="123">
        <v>2</v>
      </c>
      <c r="Q1027" s="123">
        <v>0</v>
      </c>
      <c r="R1027" s="123">
        <v>2</v>
      </c>
      <c r="S1027" s="7" t="s">
        <v>163</v>
      </c>
      <c r="T1027" s="124"/>
      <c r="U1027" s="1"/>
    </row>
    <row r="1028" spans="1:21" ht="13.5" thickBot="1" x14ac:dyDescent="0.25">
      <c r="A1028" s="123">
        <v>14</v>
      </c>
      <c r="B1028" s="123">
        <v>0</v>
      </c>
      <c r="C1028" s="123">
        <v>14</v>
      </c>
      <c r="D1028" s="123">
        <v>13</v>
      </c>
      <c r="E1028" s="123">
        <v>0</v>
      </c>
      <c r="F1028" s="123">
        <v>13</v>
      </c>
      <c r="G1028" s="123">
        <v>0</v>
      </c>
      <c r="H1028" s="123">
        <v>0</v>
      </c>
      <c r="I1028" s="123">
        <v>0</v>
      </c>
      <c r="J1028" s="123">
        <v>0</v>
      </c>
      <c r="K1028" s="123">
        <v>0</v>
      </c>
      <c r="L1028" s="123">
        <v>0</v>
      </c>
      <c r="M1028" s="123">
        <v>1</v>
      </c>
      <c r="N1028" s="123">
        <v>0</v>
      </c>
      <c r="O1028" s="123">
        <v>1</v>
      </c>
      <c r="P1028" s="123">
        <v>0</v>
      </c>
      <c r="Q1028" s="123">
        <v>0</v>
      </c>
      <c r="R1028" s="123">
        <v>0</v>
      </c>
      <c r="S1028" s="7" t="s">
        <v>162</v>
      </c>
      <c r="T1028" s="124" t="s">
        <v>171</v>
      </c>
      <c r="U1028" s="1"/>
    </row>
    <row r="1029" spans="1:21" ht="13.5" thickBot="1" x14ac:dyDescent="0.25">
      <c r="A1029" s="123">
        <v>370</v>
      </c>
      <c r="B1029" s="123">
        <v>41</v>
      </c>
      <c r="C1029" s="123">
        <v>329</v>
      </c>
      <c r="D1029" s="123">
        <v>19</v>
      </c>
      <c r="E1029" s="123">
        <v>0</v>
      </c>
      <c r="F1029" s="123">
        <v>19</v>
      </c>
      <c r="G1029" s="123">
        <v>286</v>
      </c>
      <c r="H1029" s="123">
        <v>33</v>
      </c>
      <c r="I1029" s="123">
        <v>253</v>
      </c>
      <c r="J1029" s="123">
        <v>54</v>
      </c>
      <c r="K1029" s="123">
        <v>6</v>
      </c>
      <c r="L1029" s="123">
        <v>48</v>
      </c>
      <c r="M1029" s="123">
        <v>9</v>
      </c>
      <c r="N1029" s="123">
        <v>2</v>
      </c>
      <c r="O1029" s="123">
        <v>7</v>
      </c>
      <c r="P1029" s="123">
        <v>2</v>
      </c>
      <c r="Q1029" s="123">
        <v>0</v>
      </c>
      <c r="R1029" s="123">
        <v>2</v>
      </c>
      <c r="S1029" s="7" t="s">
        <v>13</v>
      </c>
      <c r="T1029" s="9"/>
      <c r="U1029" s="1"/>
    </row>
    <row r="1030" spans="1:21" ht="13.5" thickBot="1" x14ac:dyDescent="0.25">
      <c r="A1030" s="123">
        <v>356</v>
      </c>
      <c r="B1030" s="123">
        <v>41</v>
      </c>
      <c r="C1030" s="123">
        <v>315</v>
      </c>
      <c r="D1030" s="123">
        <v>6</v>
      </c>
      <c r="E1030" s="123">
        <v>0</v>
      </c>
      <c r="F1030" s="123">
        <v>6</v>
      </c>
      <c r="G1030" s="123">
        <v>286</v>
      </c>
      <c r="H1030" s="123">
        <v>33</v>
      </c>
      <c r="I1030" s="123">
        <v>253</v>
      </c>
      <c r="J1030" s="123">
        <v>54</v>
      </c>
      <c r="K1030" s="123">
        <v>6</v>
      </c>
      <c r="L1030" s="123">
        <v>48</v>
      </c>
      <c r="M1030" s="123">
        <v>8</v>
      </c>
      <c r="N1030" s="123">
        <v>2</v>
      </c>
      <c r="O1030" s="123">
        <v>6</v>
      </c>
      <c r="P1030" s="123">
        <v>2</v>
      </c>
      <c r="Q1030" s="123">
        <v>0</v>
      </c>
      <c r="R1030" s="123">
        <v>2</v>
      </c>
      <c r="S1030" s="7" t="s">
        <v>163</v>
      </c>
      <c r="T1030" s="3"/>
      <c r="U1030" s="1"/>
    </row>
    <row r="1031" spans="1:21" ht="13.5" thickBot="1" x14ac:dyDescent="0.25">
      <c r="A1031" s="123">
        <v>14</v>
      </c>
      <c r="B1031" s="123">
        <v>0</v>
      </c>
      <c r="C1031" s="123">
        <v>14</v>
      </c>
      <c r="D1031" s="123">
        <v>13</v>
      </c>
      <c r="E1031" s="123">
        <v>0</v>
      </c>
      <c r="F1031" s="123">
        <v>13</v>
      </c>
      <c r="G1031" s="123">
        <v>0</v>
      </c>
      <c r="H1031" s="123">
        <v>0</v>
      </c>
      <c r="I1031" s="123">
        <v>0</v>
      </c>
      <c r="J1031" s="123">
        <v>0</v>
      </c>
      <c r="K1031" s="123">
        <v>0</v>
      </c>
      <c r="L1031" s="123">
        <v>0</v>
      </c>
      <c r="M1031" s="123">
        <v>1</v>
      </c>
      <c r="N1031" s="123">
        <v>0</v>
      </c>
      <c r="O1031" s="123">
        <v>1</v>
      </c>
      <c r="P1031" s="123">
        <v>0</v>
      </c>
      <c r="Q1031" s="123">
        <v>0</v>
      </c>
      <c r="R1031" s="123">
        <v>0</v>
      </c>
      <c r="S1031" s="7" t="s">
        <v>162</v>
      </c>
      <c r="T1031" s="11" t="s">
        <v>211</v>
      </c>
      <c r="U1031" s="1"/>
    </row>
    <row r="1032" spans="1:21" ht="13.5" thickBot="1" x14ac:dyDescent="0.25">
      <c r="A1032" s="123">
        <v>370</v>
      </c>
      <c r="B1032" s="123">
        <v>41</v>
      </c>
      <c r="C1032" s="123">
        <v>329</v>
      </c>
      <c r="D1032" s="123">
        <v>19</v>
      </c>
      <c r="E1032" s="123">
        <v>0</v>
      </c>
      <c r="F1032" s="123">
        <v>19</v>
      </c>
      <c r="G1032" s="123">
        <v>286</v>
      </c>
      <c r="H1032" s="123">
        <v>33</v>
      </c>
      <c r="I1032" s="123">
        <v>253</v>
      </c>
      <c r="J1032" s="123">
        <v>54</v>
      </c>
      <c r="K1032" s="123">
        <v>6</v>
      </c>
      <c r="L1032" s="123">
        <v>48</v>
      </c>
      <c r="M1032" s="123">
        <v>9</v>
      </c>
      <c r="N1032" s="123">
        <v>2</v>
      </c>
      <c r="O1032" s="123">
        <v>7</v>
      </c>
      <c r="P1032" s="123">
        <v>2</v>
      </c>
      <c r="Q1032" s="123">
        <v>0</v>
      </c>
      <c r="R1032" s="123">
        <v>2</v>
      </c>
      <c r="S1032" s="7" t="s">
        <v>13</v>
      </c>
      <c r="T1032" s="5"/>
      <c r="U1032" s="1"/>
    </row>
    <row r="1033" spans="1:21" ht="18" customHeight="1" x14ac:dyDescent="0.2">
      <c r="A1033" s="207"/>
      <c r="B1033" s="207"/>
      <c r="C1033" s="207"/>
      <c r="D1033" s="207"/>
      <c r="E1033" s="207"/>
      <c r="F1033" s="207"/>
      <c r="G1033" s="207"/>
      <c r="H1033" s="207"/>
      <c r="I1033" s="207"/>
      <c r="J1033" s="207"/>
      <c r="K1033" s="207"/>
      <c r="L1033" s="207"/>
      <c r="M1033" s="207"/>
      <c r="N1033" s="207"/>
      <c r="O1033" s="207"/>
      <c r="P1033" s="207"/>
      <c r="Q1033" s="207"/>
      <c r="R1033" s="207"/>
      <c r="S1033" s="207"/>
      <c r="T1033" s="207"/>
      <c r="U1033" s="1"/>
    </row>
    <row r="1034" spans="1:21" ht="18" customHeight="1" x14ac:dyDescent="0.2">
      <c r="A1034" s="159" t="s">
        <v>665</v>
      </c>
      <c r="B1034" s="159"/>
      <c r="C1034" s="159"/>
      <c r="D1034" s="159"/>
      <c r="E1034" s="159"/>
      <c r="F1034" s="159"/>
      <c r="G1034" s="159"/>
      <c r="H1034" s="159"/>
      <c r="I1034" s="159"/>
      <c r="J1034" s="159"/>
      <c r="K1034" s="159"/>
      <c r="L1034" s="159"/>
      <c r="M1034" s="159"/>
      <c r="N1034" s="159"/>
      <c r="O1034" s="159"/>
      <c r="P1034" s="159"/>
      <c r="Q1034" s="159"/>
      <c r="R1034" s="159"/>
      <c r="S1034" s="159"/>
      <c r="T1034" s="159"/>
      <c r="U1034" s="1"/>
    </row>
    <row r="1035" spans="1:21" ht="18" customHeight="1" thickBot="1" x14ac:dyDescent="0.25">
      <c r="A1035" s="160" t="s">
        <v>667</v>
      </c>
      <c r="B1035" s="160"/>
      <c r="C1035" s="160"/>
      <c r="D1035" s="160"/>
      <c r="E1035" s="160"/>
      <c r="F1035" s="160"/>
      <c r="G1035" s="160"/>
      <c r="H1035" s="160"/>
      <c r="I1035" s="160"/>
      <c r="J1035" s="160"/>
      <c r="K1035" s="160"/>
      <c r="L1035" s="160"/>
      <c r="M1035" s="160"/>
      <c r="N1035" s="160"/>
      <c r="O1035" s="160"/>
      <c r="P1035" s="160"/>
      <c r="Q1035" s="160"/>
      <c r="R1035" s="160"/>
      <c r="S1035" s="160"/>
      <c r="T1035" s="160"/>
      <c r="U1035" s="1"/>
    </row>
    <row r="1036" spans="1:21" ht="13.5" thickBot="1" x14ac:dyDescent="0.25">
      <c r="A1036" s="204" t="s">
        <v>5</v>
      </c>
      <c r="B1036" s="204"/>
      <c r="C1036" s="204"/>
      <c r="D1036" s="204" t="s">
        <v>57</v>
      </c>
      <c r="E1036" s="204"/>
      <c r="F1036" s="204"/>
      <c r="G1036" s="204" t="s">
        <v>66</v>
      </c>
      <c r="H1036" s="204"/>
      <c r="I1036" s="204"/>
      <c r="J1036" s="204" t="s">
        <v>65</v>
      </c>
      <c r="K1036" s="204"/>
      <c r="L1036" s="204"/>
      <c r="M1036" s="204" t="s">
        <v>62</v>
      </c>
      <c r="N1036" s="204"/>
      <c r="O1036" s="204"/>
      <c r="P1036" s="204" t="s">
        <v>61</v>
      </c>
      <c r="Q1036" s="204"/>
      <c r="R1036" s="204"/>
      <c r="S1036" s="205" t="s">
        <v>614</v>
      </c>
      <c r="T1036" s="47" t="s">
        <v>161</v>
      </c>
      <c r="U1036" s="1"/>
    </row>
    <row r="1037" spans="1:21" ht="13.5" thickBot="1" x14ac:dyDescent="0.25">
      <c r="A1037" s="47" t="s">
        <v>216</v>
      </c>
      <c r="B1037" s="47" t="s">
        <v>11</v>
      </c>
      <c r="C1037" s="47" t="s">
        <v>10</v>
      </c>
      <c r="D1037" s="47" t="s">
        <v>216</v>
      </c>
      <c r="E1037" s="47" t="s">
        <v>11</v>
      </c>
      <c r="F1037" s="47" t="s">
        <v>10</v>
      </c>
      <c r="G1037" s="47" t="s">
        <v>216</v>
      </c>
      <c r="H1037" s="47" t="s">
        <v>11</v>
      </c>
      <c r="I1037" s="47" t="s">
        <v>10</v>
      </c>
      <c r="J1037" s="47" t="s">
        <v>216</v>
      </c>
      <c r="K1037" s="47" t="s">
        <v>11</v>
      </c>
      <c r="L1037" s="47" t="s">
        <v>10</v>
      </c>
      <c r="M1037" s="47" t="s">
        <v>216</v>
      </c>
      <c r="N1037" s="47" t="s">
        <v>11</v>
      </c>
      <c r="O1037" s="47" t="s">
        <v>10</v>
      </c>
      <c r="P1037" s="47" t="s">
        <v>216</v>
      </c>
      <c r="Q1037" s="47" t="s">
        <v>11</v>
      </c>
      <c r="R1037" s="47" t="s">
        <v>10</v>
      </c>
      <c r="S1037" s="206"/>
      <c r="T1037" s="5" t="s">
        <v>173</v>
      </c>
      <c r="U1037" s="1"/>
    </row>
    <row r="1038" spans="1:21" ht="13.5" thickBot="1" x14ac:dyDescent="0.25">
      <c r="A1038" s="123">
        <v>78</v>
      </c>
      <c r="B1038" s="123">
        <v>49</v>
      </c>
      <c r="C1038" s="123">
        <v>29</v>
      </c>
      <c r="D1038" s="123">
        <v>14</v>
      </c>
      <c r="E1038" s="123">
        <v>4</v>
      </c>
      <c r="F1038" s="123">
        <v>10</v>
      </c>
      <c r="G1038" s="123">
        <v>16</v>
      </c>
      <c r="H1038" s="123">
        <v>11</v>
      </c>
      <c r="I1038" s="123">
        <v>5</v>
      </c>
      <c r="J1038" s="123">
        <v>36</v>
      </c>
      <c r="K1038" s="123">
        <v>31</v>
      </c>
      <c r="L1038" s="123">
        <v>5</v>
      </c>
      <c r="M1038" s="123">
        <v>1</v>
      </c>
      <c r="N1038" s="123">
        <v>1</v>
      </c>
      <c r="O1038" s="123">
        <v>0</v>
      </c>
      <c r="P1038" s="123">
        <v>11</v>
      </c>
      <c r="Q1038" s="123">
        <v>2</v>
      </c>
      <c r="R1038" s="123">
        <v>9</v>
      </c>
      <c r="S1038" s="7" t="s">
        <v>163</v>
      </c>
      <c r="T1038" s="124"/>
      <c r="U1038" s="1"/>
    </row>
    <row r="1039" spans="1:21" ht="13.5" thickBot="1" x14ac:dyDescent="0.25">
      <c r="A1039" s="123">
        <v>45</v>
      </c>
      <c r="B1039" s="123">
        <v>4</v>
      </c>
      <c r="C1039" s="123">
        <v>41</v>
      </c>
      <c r="D1039" s="123">
        <v>3</v>
      </c>
      <c r="E1039" s="123">
        <v>0</v>
      </c>
      <c r="F1039" s="123">
        <v>3</v>
      </c>
      <c r="G1039" s="123">
        <v>2</v>
      </c>
      <c r="H1039" s="123">
        <v>1</v>
      </c>
      <c r="I1039" s="123">
        <v>1</v>
      </c>
      <c r="J1039" s="123">
        <v>25</v>
      </c>
      <c r="K1039" s="123">
        <v>1</v>
      </c>
      <c r="L1039" s="123">
        <v>24</v>
      </c>
      <c r="M1039" s="123">
        <v>15</v>
      </c>
      <c r="N1039" s="123">
        <v>2</v>
      </c>
      <c r="O1039" s="123">
        <v>13</v>
      </c>
      <c r="P1039" s="123">
        <v>0</v>
      </c>
      <c r="Q1039" s="123">
        <v>0</v>
      </c>
      <c r="R1039" s="123">
        <v>0</v>
      </c>
      <c r="S1039" s="7" t="s">
        <v>162</v>
      </c>
      <c r="T1039" s="124" t="s">
        <v>138</v>
      </c>
      <c r="U1039" s="1"/>
    </row>
    <row r="1040" spans="1:21" ht="13.5" thickBot="1" x14ac:dyDescent="0.25">
      <c r="A1040" s="123">
        <v>123</v>
      </c>
      <c r="B1040" s="123">
        <v>53</v>
      </c>
      <c r="C1040" s="123">
        <v>70</v>
      </c>
      <c r="D1040" s="123">
        <v>17</v>
      </c>
      <c r="E1040" s="123">
        <v>4</v>
      </c>
      <c r="F1040" s="123">
        <v>13</v>
      </c>
      <c r="G1040" s="123">
        <v>18</v>
      </c>
      <c r="H1040" s="123">
        <v>12</v>
      </c>
      <c r="I1040" s="123">
        <v>6</v>
      </c>
      <c r="J1040" s="123">
        <v>61</v>
      </c>
      <c r="K1040" s="123">
        <v>32</v>
      </c>
      <c r="L1040" s="123">
        <v>29</v>
      </c>
      <c r="M1040" s="123">
        <v>16</v>
      </c>
      <c r="N1040" s="123">
        <v>3</v>
      </c>
      <c r="O1040" s="123">
        <v>13</v>
      </c>
      <c r="P1040" s="123">
        <v>11</v>
      </c>
      <c r="Q1040" s="123">
        <v>2</v>
      </c>
      <c r="R1040" s="123">
        <v>9</v>
      </c>
      <c r="S1040" s="7" t="s">
        <v>13</v>
      </c>
      <c r="T1040" s="9"/>
      <c r="U1040" s="1"/>
    </row>
    <row r="1041" spans="1:21" ht="13.5" thickBot="1" x14ac:dyDescent="0.25">
      <c r="A1041" s="123">
        <v>31</v>
      </c>
      <c r="B1041" s="123">
        <v>8</v>
      </c>
      <c r="C1041" s="123">
        <v>23</v>
      </c>
      <c r="D1041" s="123">
        <v>0</v>
      </c>
      <c r="E1041" s="123">
        <v>0</v>
      </c>
      <c r="F1041" s="123">
        <v>0</v>
      </c>
      <c r="G1041" s="123">
        <v>9</v>
      </c>
      <c r="H1041" s="123">
        <v>0</v>
      </c>
      <c r="I1041" s="123">
        <v>9</v>
      </c>
      <c r="J1041" s="123">
        <v>14</v>
      </c>
      <c r="K1041" s="123">
        <v>7</v>
      </c>
      <c r="L1041" s="123">
        <v>7</v>
      </c>
      <c r="M1041" s="123">
        <v>5</v>
      </c>
      <c r="N1041" s="123">
        <v>1</v>
      </c>
      <c r="O1041" s="123">
        <v>4</v>
      </c>
      <c r="P1041" s="123">
        <v>3</v>
      </c>
      <c r="Q1041" s="123">
        <v>0</v>
      </c>
      <c r="R1041" s="123">
        <v>3</v>
      </c>
      <c r="S1041" s="7" t="s">
        <v>163</v>
      </c>
      <c r="T1041" s="124"/>
      <c r="U1041" s="1"/>
    </row>
    <row r="1042" spans="1:21" ht="13.5" thickBot="1" x14ac:dyDescent="0.25">
      <c r="A1042" s="123">
        <v>43</v>
      </c>
      <c r="B1042" s="123">
        <v>19</v>
      </c>
      <c r="C1042" s="123">
        <v>24</v>
      </c>
      <c r="D1042" s="123">
        <v>0</v>
      </c>
      <c r="E1042" s="123">
        <v>0</v>
      </c>
      <c r="F1042" s="123">
        <v>0</v>
      </c>
      <c r="G1042" s="123">
        <v>1</v>
      </c>
      <c r="H1042" s="123">
        <v>0</v>
      </c>
      <c r="I1042" s="123">
        <v>1</v>
      </c>
      <c r="J1042" s="123">
        <v>27</v>
      </c>
      <c r="K1042" s="123">
        <v>11</v>
      </c>
      <c r="L1042" s="123">
        <v>16</v>
      </c>
      <c r="M1042" s="123">
        <v>10</v>
      </c>
      <c r="N1042" s="123">
        <v>6</v>
      </c>
      <c r="O1042" s="123">
        <v>4</v>
      </c>
      <c r="P1042" s="123">
        <v>5</v>
      </c>
      <c r="Q1042" s="123">
        <v>2</v>
      </c>
      <c r="R1042" s="123">
        <v>3</v>
      </c>
      <c r="S1042" s="7" t="s">
        <v>162</v>
      </c>
      <c r="T1042" s="124" t="s">
        <v>140</v>
      </c>
      <c r="U1042" s="1"/>
    </row>
    <row r="1043" spans="1:21" ht="13.5" thickBot="1" x14ac:dyDescent="0.25">
      <c r="A1043" s="123">
        <v>74</v>
      </c>
      <c r="B1043" s="123">
        <v>27</v>
      </c>
      <c r="C1043" s="123">
        <v>47</v>
      </c>
      <c r="D1043" s="123">
        <v>0</v>
      </c>
      <c r="E1043" s="123">
        <v>0</v>
      </c>
      <c r="F1043" s="123">
        <v>0</v>
      </c>
      <c r="G1043" s="123">
        <v>10</v>
      </c>
      <c r="H1043" s="123">
        <v>0</v>
      </c>
      <c r="I1043" s="123">
        <v>10</v>
      </c>
      <c r="J1043" s="123">
        <v>41</v>
      </c>
      <c r="K1043" s="123">
        <v>18</v>
      </c>
      <c r="L1043" s="123">
        <v>23</v>
      </c>
      <c r="M1043" s="123">
        <v>15</v>
      </c>
      <c r="N1043" s="123">
        <v>7</v>
      </c>
      <c r="O1043" s="123">
        <v>8</v>
      </c>
      <c r="P1043" s="123">
        <v>8</v>
      </c>
      <c r="Q1043" s="123">
        <v>2</v>
      </c>
      <c r="R1043" s="123">
        <v>6</v>
      </c>
      <c r="S1043" s="7" t="s">
        <v>13</v>
      </c>
      <c r="T1043" s="9"/>
      <c r="U1043" s="1"/>
    </row>
    <row r="1044" spans="1:21" ht="13.5" thickBot="1" x14ac:dyDescent="0.25">
      <c r="A1044" s="123">
        <v>71</v>
      </c>
      <c r="B1044" s="123">
        <v>68</v>
      </c>
      <c r="C1044" s="123">
        <v>3</v>
      </c>
      <c r="D1044" s="123">
        <v>0</v>
      </c>
      <c r="E1044" s="123">
        <v>0</v>
      </c>
      <c r="F1044" s="123">
        <v>0</v>
      </c>
      <c r="G1044" s="123">
        <v>4</v>
      </c>
      <c r="H1044" s="123">
        <v>1</v>
      </c>
      <c r="I1044" s="123">
        <v>3</v>
      </c>
      <c r="J1044" s="123">
        <v>53</v>
      </c>
      <c r="K1044" s="123">
        <v>53</v>
      </c>
      <c r="L1044" s="123">
        <v>0</v>
      </c>
      <c r="M1044" s="123">
        <v>12</v>
      </c>
      <c r="N1044" s="123">
        <v>12</v>
      </c>
      <c r="O1044" s="123">
        <v>0</v>
      </c>
      <c r="P1044" s="123">
        <v>2</v>
      </c>
      <c r="Q1044" s="123">
        <v>2</v>
      </c>
      <c r="R1044" s="123">
        <v>0</v>
      </c>
      <c r="S1044" s="7" t="s">
        <v>163</v>
      </c>
      <c r="T1044" s="124"/>
      <c r="U1044" s="1"/>
    </row>
    <row r="1045" spans="1:21" ht="13.5" thickBot="1" x14ac:dyDescent="0.25">
      <c r="A1045" s="123">
        <v>47</v>
      </c>
      <c r="B1045" s="123">
        <v>39</v>
      </c>
      <c r="C1045" s="123">
        <v>8</v>
      </c>
      <c r="D1045" s="123">
        <v>0</v>
      </c>
      <c r="E1045" s="123">
        <v>0</v>
      </c>
      <c r="F1045" s="123">
        <v>0</v>
      </c>
      <c r="G1045" s="123">
        <v>7</v>
      </c>
      <c r="H1045" s="123">
        <v>4</v>
      </c>
      <c r="I1045" s="123">
        <v>3</v>
      </c>
      <c r="J1045" s="123">
        <v>20</v>
      </c>
      <c r="K1045" s="123">
        <v>17</v>
      </c>
      <c r="L1045" s="123">
        <v>3</v>
      </c>
      <c r="M1045" s="123">
        <v>11</v>
      </c>
      <c r="N1045" s="123">
        <v>10</v>
      </c>
      <c r="O1045" s="123">
        <v>1</v>
      </c>
      <c r="P1045" s="123">
        <v>9</v>
      </c>
      <c r="Q1045" s="123">
        <v>8</v>
      </c>
      <c r="R1045" s="123">
        <v>1</v>
      </c>
      <c r="S1045" s="7" t="s">
        <v>162</v>
      </c>
      <c r="T1045" s="124" t="s">
        <v>141</v>
      </c>
      <c r="U1045" s="1"/>
    </row>
    <row r="1046" spans="1:21" ht="13.5" thickBot="1" x14ac:dyDescent="0.25">
      <c r="A1046" s="123">
        <v>118</v>
      </c>
      <c r="B1046" s="123">
        <v>107</v>
      </c>
      <c r="C1046" s="123">
        <v>11</v>
      </c>
      <c r="D1046" s="123">
        <v>0</v>
      </c>
      <c r="E1046" s="123">
        <v>0</v>
      </c>
      <c r="F1046" s="123">
        <v>0</v>
      </c>
      <c r="G1046" s="123">
        <v>11</v>
      </c>
      <c r="H1046" s="123">
        <v>5</v>
      </c>
      <c r="I1046" s="123">
        <v>6</v>
      </c>
      <c r="J1046" s="123">
        <v>73</v>
      </c>
      <c r="K1046" s="123">
        <v>70</v>
      </c>
      <c r="L1046" s="123">
        <v>3</v>
      </c>
      <c r="M1046" s="123">
        <v>23</v>
      </c>
      <c r="N1046" s="123">
        <v>22</v>
      </c>
      <c r="O1046" s="123">
        <v>1</v>
      </c>
      <c r="P1046" s="123">
        <v>11</v>
      </c>
      <c r="Q1046" s="123">
        <v>10</v>
      </c>
      <c r="R1046" s="123">
        <v>1</v>
      </c>
      <c r="S1046" s="7" t="s">
        <v>13</v>
      </c>
      <c r="T1046" s="9"/>
      <c r="U1046" s="1"/>
    </row>
    <row r="1047" spans="1:21" ht="13.5" thickBot="1" x14ac:dyDescent="0.25">
      <c r="A1047" s="123">
        <v>73</v>
      </c>
      <c r="B1047" s="123">
        <v>41</v>
      </c>
      <c r="C1047" s="123">
        <v>32</v>
      </c>
      <c r="D1047" s="123">
        <v>40</v>
      </c>
      <c r="E1047" s="123">
        <v>20</v>
      </c>
      <c r="F1047" s="123">
        <v>20</v>
      </c>
      <c r="G1047" s="123">
        <v>13</v>
      </c>
      <c r="H1047" s="123">
        <v>6</v>
      </c>
      <c r="I1047" s="123">
        <v>7</v>
      </c>
      <c r="J1047" s="123">
        <v>14</v>
      </c>
      <c r="K1047" s="123">
        <v>11</v>
      </c>
      <c r="L1047" s="123">
        <v>3</v>
      </c>
      <c r="M1047" s="123">
        <v>3</v>
      </c>
      <c r="N1047" s="123">
        <v>3</v>
      </c>
      <c r="O1047" s="123">
        <v>0</v>
      </c>
      <c r="P1047" s="123">
        <v>3</v>
      </c>
      <c r="Q1047" s="123">
        <v>1</v>
      </c>
      <c r="R1047" s="123">
        <v>2</v>
      </c>
      <c r="S1047" s="7" t="s">
        <v>163</v>
      </c>
      <c r="T1047" s="124"/>
      <c r="U1047" s="1"/>
    </row>
    <row r="1048" spans="1:21" ht="13.5" thickBot="1" x14ac:dyDescent="0.25">
      <c r="A1048" s="123">
        <v>138</v>
      </c>
      <c r="B1048" s="123">
        <v>66</v>
      </c>
      <c r="C1048" s="123">
        <v>72</v>
      </c>
      <c r="D1048" s="123">
        <v>69</v>
      </c>
      <c r="E1048" s="123">
        <v>11</v>
      </c>
      <c r="F1048" s="123">
        <v>58</v>
      </c>
      <c r="G1048" s="123">
        <v>32</v>
      </c>
      <c r="H1048" s="123">
        <v>29</v>
      </c>
      <c r="I1048" s="123">
        <v>3</v>
      </c>
      <c r="J1048" s="123">
        <v>9</v>
      </c>
      <c r="K1048" s="123">
        <v>2</v>
      </c>
      <c r="L1048" s="123">
        <v>7</v>
      </c>
      <c r="M1048" s="123">
        <v>24</v>
      </c>
      <c r="N1048" s="123">
        <v>23</v>
      </c>
      <c r="O1048" s="123">
        <v>1</v>
      </c>
      <c r="P1048" s="123">
        <v>4</v>
      </c>
      <c r="Q1048" s="123">
        <v>1</v>
      </c>
      <c r="R1048" s="123">
        <v>3</v>
      </c>
      <c r="S1048" s="7" t="s">
        <v>162</v>
      </c>
      <c r="T1048" s="124" t="s">
        <v>142</v>
      </c>
      <c r="U1048" s="1"/>
    </row>
    <row r="1049" spans="1:21" ht="13.5" thickBot="1" x14ac:dyDescent="0.25">
      <c r="A1049" s="123">
        <v>211</v>
      </c>
      <c r="B1049" s="123">
        <v>107</v>
      </c>
      <c r="C1049" s="123">
        <v>104</v>
      </c>
      <c r="D1049" s="123">
        <v>109</v>
      </c>
      <c r="E1049" s="123">
        <v>31</v>
      </c>
      <c r="F1049" s="123">
        <v>78</v>
      </c>
      <c r="G1049" s="123">
        <v>45</v>
      </c>
      <c r="H1049" s="123">
        <v>35</v>
      </c>
      <c r="I1049" s="123">
        <v>10</v>
      </c>
      <c r="J1049" s="123">
        <v>23</v>
      </c>
      <c r="K1049" s="123">
        <v>13</v>
      </c>
      <c r="L1049" s="123">
        <v>10</v>
      </c>
      <c r="M1049" s="123">
        <v>27</v>
      </c>
      <c r="N1049" s="123">
        <v>26</v>
      </c>
      <c r="O1049" s="123">
        <v>1</v>
      </c>
      <c r="P1049" s="123">
        <v>7</v>
      </c>
      <c r="Q1049" s="123">
        <v>2</v>
      </c>
      <c r="R1049" s="123">
        <v>5</v>
      </c>
      <c r="S1049" s="7" t="s">
        <v>13</v>
      </c>
      <c r="T1049" s="9"/>
      <c r="U1049" s="1"/>
    </row>
    <row r="1050" spans="1:21" ht="13.5" thickBot="1" x14ac:dyDescent="0.25">
      <c r="A1050" s="123">
        <v>10</v>
      </c>
      <c r="B1050" s="123">
        <v>0</v>
      </c>
      <c r="C1050" s="123">
        <v>10</v>
      </c>
      <c r="D1050" s="123">
        <v>3</v>
      </c>
      <c r="E1050" s="123">
        <v>0</v>
      </c>
      <c r="F1050" s="123">
        <v>3</v>
      </c>
      <c r="G1050" s="123">
        <v>2</v>
      </c>
      <c r="H1050" s="123">
        <v>0</v>
      </c>
      <c r="I1050" s="123">
        <v>2</v>
      </c>
      <c r="J1050" s="123">
        <v>5</v>
      </c>
      <c r="K1050" s="123">
        <v>0</v>
      </c>
      <c r="L1050" s="123">
        <v>5</v>
      </c>
      <c r="M1050" s="123">
        <v>0</v>
      </c>
      <c r="N1050" s="123">
        <v>0</v>
      </c>
      <c r="O1050" s="123">
        <v>0</v>
      </c>
      <c r="P1050" s="123">
        <v>0</v>
      </c>
      <c r="Q1050" s="123">
        <v>0</v>
      </c>
      <c r="R1050" s="123">
        <v>0</v>
      </c>
      <c r="S1050" s="7" t="s">
        <v>163</v>
      </c>
      <c r="T1050" s="124"/>
      <c r="U1050" s="1"/>
    </row>
    <row r="1051" spans="1:21" ht="13.5" thickBot="1" x14ac:dyDescent="0.25">
      <c r="A1051" s="123">
        <v>16</v>
      </c>
      <c r="B1051" s="123">
        <v>0</v>
      </c>
      <c r="C1051" s="123">
        <v>16</v>
      </c>
      <c r="D1051" s="123">
        <v>2</v>
      </c>
      <c r="E1051" s="123">
        <v>0</v>
      </c>
      <c r="F1051" s="123">
        <v>2</v>
      </c>
      <c r="G1051" s="123">
        <v>3</v>
      </c>
      <c r="H1051" s="123">
        <v>0</v>
      </c>
      <c r="I1051" s="123">
        <v>3</v>
      </c>
      <c r="J1051" s="123">
        <v>3</v>
      </c>
      <c r="K1051" s="123">
        <v>0</v>
      </c>
      <c r="L1051" s="123">
        <v>3</v>
      </c>
      <c r="M1051" s="123">
        <v>6</v>
      </c>
      <c r="N1051" s="123">
        <v>0</v>
      </c>
      <c r="O1051" s="123">
        <v>6</v>
      </c>
      <c r="P1051" s="123">
        <v>2</v>
      </c>
      <c r="Q1051" s="123">
        <v>0</v>
      </c>
      <c r="R1051" s="123">
        <v>2</v>
      </c>
      <c r="S1051" s="7" t="s">
        <v>162</v>
      </c>
      <c r="T1051" s="124" t="s">
        <v>143</v>
      </c>
      <c r="U1051" s="1"/>
    </row>
    <row r="1052" spans="1:21" ht="13.5" thickBot="1" x14ac:dyDescent="0.25">
      <c r="A1052" s="123">
        <v>26</v>
      </c>
      <c r="B1052" s="123">
        <v>0</v>
      </c>
      <c r="C1052" s="123">
        <v>26</v>
      </c>
      <c r="D1052" s="123">
        <v>5</v>
      </c>
      <c r="E1052" s="123">
        <v>0</v>
      </c>
      <c r="F1052" s="123">
        <v>5</v>
      </c>
      <c r="G1052" s="123">
        <v>5</v>
      </c>
      <c r="H1052" s="123">
        <v>0</v>
      </c>
      <c r="I1052" s="123">
        <v>5</v>
      </c>
      <c r="J1052" s="123">
        <v>8</v>
      </c>
      <c r="K1052" s="123">
        <v>0</v>
      </c>
      <c r="L1052" s="123">
        <v>8</v>
      </c>
      <c r="M1052" s="123">
        <v>6</v>
      </c>
      <c r="N1052" s="123">
        <v>0</v>
      </c>
      <c r="O1052" s="123">
        <v>6</v>
      </c>
      <c r="P1052" s="123">
        <v>2</v>
      </c>
      <c r="Q1052" s="123">
        <v>0</v>
      </c>
      <c r="R1052" s="123">
        <v>2</v>
      </c>
      <c r="S1052" s="7" t="s">
        <v>13</v>
      </c>
      <c r="T1052" s="9"/>
      <c r="U1052" s="1"/>
    </row>
    <row r="1053" spans="1:21" ht="13.5" thickBot="1" x14ac:dyDescent="0.25">
      <c r="A1053" s="123">
        <v>64</v>
      </c>
      <c r="B1053" s="123">
        <v>62</v>
      </c>
      <c r="C1053" s="123">
        <v>2</v>
      </c>
      <c r="D1053" s="123">
        <v>10</v>
      </c>
      <c r="E1053" s="123">
        <v>10</v>
      </c>
      <c r="F1053" s="123">
        <v>0</v>
      </c>
      <c r="G1053" s="123">
        <v>0</v>
      </c>
      <c r="H1053" s="123">
        <v>0</v>
      </c>
      <c r="I1053" s="123">
        <v>0</v>
      </c>
      <c r="J1053" s="123">
        <v>41</v>
      </c>
      <c r="K1053" s="123">
        <v>39</v>
      </c>
      <c r="L1053" s="123">
        <v>2</v>
      </c>
      <c r="M1053" s="123">
        <v>9</v>
      </c>
      <c r="N1053" s="123">
        <v>9</v>
      </c>
      <c r="O1053" s="123">
        <v>0</v>
      </c>
      <c r="P1053" s="123">
        <v>4</v>
      </c>
      <c r="Q1053" s="123">
        <v>4</v>
      </c>
      <c r="R1053" s="123">
        <v>0</v>
      </c>
      <c r="S1053" s="7" t="s">
        <v>163</v>
      </c>
      <c r="T1053" s="124"/>
      <c r="U1053" s="1"/>
    </row>
    <row r="1054" spans="1:21" ht="13.5" thickBot="1" x14ac:dyDescent="0.25">
      <c r="A1054" s="123">
        <v>47</v>
      </c>
      <c r="B1054" s="123">
        <v>43</v>
      </c>
      <c r="C1054" s="123">
        <v>4</v>
      </c>
      <c r="D1054" s="123">
        <v>12</v>
      </c>
      <c r="E1054" s="123">
        <v>8</v>
      </c>
      <c r="F1054" s="123">
        <v>4</v>
      </c>
      <c r="G1054" s="123">
        <v>0</v>
      </c>
      <c r="H1054" s="123">
        <v>0</v>
      </c>
      <c r="I1054" s="123">
        <v>0</v>
      </c>
      <c r="J1054" s="123">
        <v>31</v>
      </c>
      <c r="K1054" s="123">
        <v>31</v>
      </c>
      <c r="L1054" s="123">
        <v>0</v>
      </c>
      <c r="M1054" s="123">
        <v>4</v>
      </c>
      <c r="N1054" s="123">
        <v>4</v>
      </c>
      <c r="O1054" s="123">
        <v>0</v>
      </c>
      <c r="P1054" s="123">
        <v>0</v>
      </c>
      <c r="Q1054" s="123">
        <v>0</v>
      </c>
      <c r="R1054" s="123">
        <v>0</v>
      </c>
      <c r="S1054" s="7" t="s">
        <v>162</v>
      </c>
      <c r="T1054" s="124" t="s">
        <v>144</v>
      </c>
      <c r="U1054" s="1"/>
    </row>
    <row r="1055" spans="1:21" ht="13.5" thickBot="1" x14ac:dyDescent="0.25">
      <c r="A1055" s="123">
        <v>111</v>
      </c>
      <c r="B1055" s="123">
        <v>105</v>
      </c>
      <c r="C1055" s="123">
        <v>6</v>
      </c>
      <c r="D1055" s="123">
        <v>22</v>
      </c>
      <c r="E1055" s="123">
        <v>18</v>
      </c>
      <c r="F1055" s="123">
        <v>4</v>
      </c>
      <c r="G1055" s="123">
        <v>0</v>
      </c>
      <c r="H1055" s="123">
        <v>0</v>
      </c>
      <c r="I1055" s="123">
        <v>0</v>
      </c>
      <c r="J1055" s="123">
        <v>72</v>
      </c>
      <c r="K1055" s="123">
        <v>70</v>
      </c>
      <c r="L1055" s="123">
        <v>2</v>
      </c>
      <c r="M1055" s="123">
        <v>13</v>
      </c>
      <c r="N1055" s="123">
        <v>13</v>
      </c>
      <c r="O1055" s="123">
        <v>0</v>
      </c>
      <c r="P1055" s="123">
        <v>4</v>
      </c>
      <c r="Q1055" s="123">
        <v>4</v>
      </c>
      <c r="R1055" s="123">
        <v>0</v>
      </c>
      <c r="S1055" s="7" t="s">
        <v>13</v>
      </c>
      <c r="T1055" s="9"/>
      <c r="U1055" s="1"/>
    </row>
    <row r="1056" spans="1:21" ht="13.5" thickBot="1" x14ac:dyDescent="0.25">
      <c r="A1056" s="123">
        <v>9</v>
      </c>
      <c r="B1056" s="123">
        <v>0</v>
      </c>
      <c r="C1056" s="123">
        <v>9</v>
      </c>
      <c r="D1056" s="123">
        <v>4</v>
      </c>
      <c r="E1056" s="123">
        <v>0</v>
      </c>
      <c r="F1056" s="123">
        <v>4</v>
      </c>
      <c r="G1056" s="123">
        <v>2</v>
      </c>
      <c r="H1056" s="123">
        <v>0</v>
      </c>
      <c r="I1056" s="123">
        <v>2</v>
      </c>
      <c r="J1056" s="123">
        <v>3</v>
      </c>
      <c r="K1056" s="123">
        <v>0</v>
      </c>
      <c r="L1056" s="123">
        <v>3</v>
      </c>
      <c r="M1056" s="123">
        <v>0</v>
      </c>
      <c r="N1056" s="123">
        <v>0</v>
      </c>
      <c r="O1056" s="123">
        <v>0</v>
      </c>
      <c r="P1056" s="123">
        <v>0</v>
      </c>
      <c r="Q1056" s="123">
        <v>0</v>
      </c>
      <c r="R1056" s="123">
        <v>0</v>
      </c>
      <c r="S1056" s="7" t="s">
        <v>163</v>
      </c>
      <c r="T1056" s="124"/>
      <c r="U1056" s="1"/>
    </row>
    <row r="1057" spans="1:21" ht="13.5" thickBot="1" x14ac:dyDescent="0.25">
      <c r="A1057" s="123">
        <v>8</v>
      </c>
      <c r="B1057" s="123">
        <v>0</v>
      </c>
      <c r="C1057" s="123">
        <v>8</v>
      </c>
      <c r="D1057" s="123">
        <v>2</v>
      </c>
      <c r="E1057" s="123">
        <v>0</v>
      </c>
      <c r="F1057" s="123">
        <v>2</v>
      </c>
      <c r="G1057" s="123">
        <v>1</v>
      </c>
      <c r="H1057" s="123">
        <v>0</v>
      </c>
      <c r="I1057" s="123">
        <v>1</v>
      </c>
      <c r="J1057" s="123">
        <v>4</v>
      </c>
      <c r="K1057" s="123">
        <v>0</v>
      </c>
      <c r="L1057" s="123">
        <v>4</v>
      </c>
      <c r="M1057" s="123">
        <v>1</v>
      </c>
      <c r="N1057" s="123">
        <v>0</v>
      </c>
      <c r="O1057" s="123">
        <v>1</v>
      </c>
      <c r="P1057" s="123">
        <v>0</v>
      </c>
      <c r="Q1057" s="123">
        <v>0</v>
      </c>
      <c r="R1057" s="123">
        <v>0</v>
      </c>
      <c r="S1057" s="7" t="s">
        <v>162</v>
      </c>
      <c r="T1057" s="124" t="s">
        <v>145</v>
      </c>
      <c r="U1057" s="1"/>
    </row>
    <row r="1058" spans="1:21" ht="13.5" thickBot="1" x14ac:dyDescent="0.25">
      <c r="A1058" s="123">
        <v>17</v>
      </c>
      <c r="B1058" s="123">
        <v>0</v>
      </c>
      <c r="C1058" s="123">
        <v>17</v>
      </c>
      <c r="D1058" s="123">
        <v>6</v>
      </c>
      <c r="E1058" s="123">
        <v>0</v>
      </c>
      <c r="F1058" s="123">
        <v>6</v>
      </c>
      <c r="G1058" s="123">
        <v>3</v>
      </c>
      <c r="H1058" s="123">
        <v>0</v>
      </c>
      <c r="I1058" s="123">
        <v>3</v>
      </c>
      <c r="J1058" s="123">
        <v>7</v>
      </c>
      <c r="K1058" s="123">
        <v>0</v>
      </c>
      <c r="L1058" s="123">
        <v>7</v>
      </c>
      <c r="M1058" s="123">
        <v>1</v>
      </c>
      <c r="N1058" s="123">
        <v>0</v>
      </c>
      <c r="O1058" s="123">
        <v>1</v>
      </c>
      <c r="P1058" s="123">
        <v>0</v>
      </c>
      <c r="Q1058" s="123">
        <v>0</v>
      </c>
      <c r="R1058" s="123">
        <v>0</v>
      </c>
      <c r="S1058" s="7" t="s">
        <v>13</v>
      </c>
      <c r="T1058" s="9"/>
      <c r="U1058" s="1"/>
    </row>
    <row r="1059" spans="1:21" ht="13.5" thickBot="1" x14ac:dyDescent="0.25">
      <c r="A1059" s="123">
        <v>16</v>
      </c>
      <c r="B1059" s="123">
        <v>0</v>
      </c>
      <c r="C1059" s="123">
        <v>16</v>
      </c>
      <c r="D1059" s="123">
        <v>5</v>
      </c>
      <c r="E1059" s="123">
        <v>0</v>
      </c>
      <c r="F1059" s="123">
        <v>5</v>
      </c>
      <c r="G1059" s="123">
        <v>8</v>
      </c>
      <c r="H1059" s="123">
        <v>0</v>
      </c>
      <c r="I1059" s="123">
        <v>8</v>
      </c>
      <c r="J1059" s="123">
        <v>3</v>
      </c>
      <c r="K1059" s="123">
        <v>0</v>
      </c>
      <c r="L1059" s="123">
        <v>3</v>
      </c>
      <c r="M1059" s="123">
        <v>0</v>
      </c>
      <c r="N1059" s="123">
        <v>0</v>
      </c>
      <c r="O1059" s="123">
        <v>0</v>
      </c>
      <c r="P1059" s="123">
        <v>0</v>
      </c>
      <c r="Q1059" s="123">
        <v>0</v>
      </c>
      <c r="R1059" s="123">
        <v>0</v>
      </c>
      <c r="S1059" s="7" t="s">
        <v>163</v>
      </c>
      <c r="T1059" s="124"/>
      <c r="U1059" s="1"/>
    </row>
    <row r="1060" spans="1:21" ht="13.5" thickBot="1" x14ac:dyDescent="0.25">
      <c r="A1060" s="123">
        <v>6</v>
      </c>
      <c r="B1060" s="123">
        <v>0</v>
      </c>
      <c r="C1060" s="123">
        <v>6</v>
      </c>
      <c r="D1060" s="123">
        <v>1</v>
      </c>
      <c r="E1060" s="123">
        <v>0</v>
      </c>
      <c r="F1060" s="123">
        <v>1</v>
      </c>
      <c r="G1060" s="123">
        <v>1</v>
      </c>
      <c r="H1060" s="123">
        <v>0</v>
      </c>
      <c r="I1060" s="123">
        <v>1</v>
      </c>
      <c r="J1060" s="123">
        <v>3</v>
      </c>
      <c r="K1060" s="123">
        <v>0</v>
      </c>
      <c r="L1060" s="123">
        <v>3</v>
      </c>
      <c r="M1060" s="123">
        <v>0</v>
      </c>
      <c r="N1060" s="123">
        <v>0</v>
      </c>
      <c r="O1060" s="123">
        <v>0</v>
      </c>
      <c r="P1060" s="123">
        <v>1</v>
      </c>
      <c r="Q1060" s="123">
        <v>0</v>
      </c>
      <c r="R1060" s="123">
        <v>1</v>
      </c>
      <c r="S1060" s="7" t="s">
        <v>162</v>
      </c>
      <c r="T1060" s="124" t="s">
        <v>146</v>
      </c>
      <c r="U1060" s="1"/>
    </row>
    <row r="1061" spans="1:21" ht="13.5" thickBot="1" x14ac:dyDescent="0.25">
      <c r="A1061" s="123">
        <v>22</v>
      </c>
      <c r="B1061" s="123">
        <v>0</v>
      </c>
      <c r="C1061" s="123">
        <v>22</v>
      </c>
      <c r="D1061" s="123">
        <v>6</v>
      </c>
      <c r="E1061" s="123">
        <v>0</v>
      </c>
      <c r="F1061" s="123">
        <v>6</v>
      </c>
      <c r="G1061" s="123">
        <v>9</v>
      </c>
      <c r="H1061" s="123">
        <v>0</v>
      </c>
      <c r="I1061" s="123">
        <v>9</v>
      </c>
      <c r="J1061" s="123">
        <v>6</v>
      </c>
      <c r="K1061" s="123">
        <v>0</v>
      </c>
      <c r="L1061" s="123">
        <v>6</v>
      </c>
      <c r="M1061" s="123">
        <v>0</v>
      </c>
      <c r="N1061" s="123">
        <v>0</v>
      </c>
      <c r="O1061" s="123">
        <v>0</v>
      </c>
      <c r="P1061" s="123">
        <v>1</v>
      </c>
      <c r="Q1061" s="123">
        <v>0</v>
      </c>
      <c r="R1061" s="123">
        <v>1</v>
      </c>
      <c r="S1061" s="7" t="s">
        <v>13</v>
      </c>
      <c r="T1061" s="9"/>
      <c r="U1061" s="1"/>
    </row>
    <row r="1062" spans="1:21" ht="13.5" thickBot="1" x14ac:dyDescent="0.25">
      <c r="A1062" s="123">
        <v>3</v>
      </c>
      <c r="B1062" s="123">
        <v>3</v>
      </c>
      <c r="C1062" s="123">
        <v>0</v>
      </c>
      <c r="D1062" s="123">
        <v>1</v>
      </c>
      <c r="E1062" s="123">
        <v>1</v>
      </c>
      <c r="F1062" s="123">
        <v>0</v>
      </c>
      <c r="G1062" s="123">
        <v>0</v>
      </c>
      <c r="H1062" s="123">
        <v>0</v>
      </c>
      <c r="I1062" s="123">
        <v>0</v>
      </c>
      <c r="J1062" s="123">
        <v>1</v>
      </c>
      <c r="K1062" s="123">
        <v>1</v>
      </c>
      <c r="L1062" s="123">
        <v>0</v>
      </c>
      <c r="M1062" s="123">
        <v>1</v>
      </c>
      <c r="N1062" s="123">
        <v>1</v>
      </c>
      <c r="O1062" s="123">
        <v>0</v>
      </c>
      <c r="P1062" s="123">
        <v>0</v>
      </c>
      <c r="Q1062" s="123">
        <v>0</v>
      </c>
      <c r="R1062" s="123">
        <v>0</v>
      </c>
      <c r="S1062" s="7" t="s">
        <v>163</v>
      </c>
      <c r="T1062" s="124"/>
      <c r="U1062" s="1"/>
    </row>
    <row r="1063" spans="1:21" ht="13.5" thickBot="1" x14ac:dyDescent="0.25">
      <c r="A1063" s="123">
        <v>3</v>
      </c>
      <c r="B1063" s="123">
        <v>3</v>
      </c>
      <c r="C1063" s="123">
        <v>0</v>
      </c>
      <c r="D1063" s="123">
        <v>0</v>
      </c>
      <c r="E1063" s="123">
        <v>0</v>
      </c>
      <c r="F1063" s="123">
        <v>0</v>
      </c>
      <c r="G1063" s="123">
        <v>0</v>
      </c>
      <c r="H1063" s="123">
        <v>0</v>
      </c>
      <c r="I1063" s="123">
        <v>0</v>
      </c>
      <c r="J1063" s="123">
        <v>1</v>
      </c>
      <c r="K1063" s="123">
        <v>1</v>
      </c>
      <c r="L1063" s="123">
        <v>0</v>
      </c>
      <c r="M1063" s="123">
        <v>1</v>
      </c>
      <c r="N1063" s="123">
        <v>1</v>
      </c>
      <c r="O1063" s="123">
        <v>0</v>
      </c>
      <c r="P1063" s="123">
        <v>1</v>
      </c>
      <c r="Q1063" s="123">
        <v>1</v>
      </c>
      <c r="R1063" s="123">
        <v>0</v>
      </c>
      <c r="S1063" s="7" t="s">
        <v>162</v>
      </c>
      <c r="T1063" s="124" t="s">
        <v>148</v>
      </c>
      <c r="U1063" s="1"/>
    </row>
    <row r="1064" spans="1:21" ht="13.5" thickBot="1" x14ac:dyDescent="0.25">
      <c r="A1064" s="123">
        <v>6</v>
      </c>
      <c r="B1064" s="123">
        <v>6</v>
      </c>
      <c r="C1064" s="123">
        <v>0</v>
      </c>
      <c r="D1064" s="123">
        <v>1</v>
      </c>
      <c r="E1064" s="123">
        <v>1</v>
      </c>
      <c r="F1064" s="123">
        <v>0</v>
      </c>
      <c r="G1064" s="123">
        <v>0</v>
      </c>
      <c r="H1064" s="123">
        <v>0</v>
      </c>
      <c r="I1064" s="123">
        <v>0</v>
      </c>
      <c r="J1064" s="123">
        <v>2</v>
      </c>
      <c r="K1064" s="123">
        <v>2</v>
      </c>
      <c r="L1064" s="123">
        <v>0</v>
      </c>
      <c r="M1064" s="123">
        <v>2</v>
      </c>
      <c r="N1064" s="123">
        <v>2</v>
      </c>
      <c r="O1064" s="123">
        <v>0</v>
      </c>
      <c r="P1064" s="123">
        <v>1</v>
      </c>
      <c r="Q1064" s="123">
        <v>1</v>
      </c>
      <c r="R1064" s="123">
        <v>0</v>
      </c>
      <c r="S1064" s="7" t="s">
        <v>13</v>
      </c>
      <c r="T1064" s="9"/>
      <c r="U1064" s="1"/>
    </row>
    <row r="1065" spans="1:21" ht="13.5" thickBot="1" x14ac:dyDescent="0.25">
      <c r="A1065" s="123">
        <v>31</v>
      </c>
      <c r="B1065" s="123">
        <v>16</v>
      </c>
      <c r="C1065" s="123">
        <v>15</v>
      </c>
      <c r="D1065" s="123">
        <v>12</v>
      </c>
      <c r="E1065" s="123">
        <v>3</v>
      </c>
      <c r="F1065" s="123">
        <v>9</v>
      </c>
      <c r="G1065" s="123">
        <v>7</v>
      </c>
      <c r="H1065" s="123">
        <v>5</v>
      </c>
      <c r="I1065" s="123">
        <v>2</v>
      </c>
      <c r="J1065" s="123">
        <v>12</v>
      </c>
      <c r="K1065" s="123">
        <v>8</v>
      </c>
      <c r="L1065" s="123">
        <v>4</v>
      </c>
      <c r="M1065" s="123">
        <v>0</v>
      </c>
      <c r="N1065" s="123">
        <v>0</v>
      </c>
      <c r="O1065" s="123">
        <v>0</v>
      </c>
      <c r="P1065" s="123">
        <v>0</v>
      </c>
      <c r="Q1065" s="123">
        <v>0</v>
      </c>
      <c r="R1065" s="123">
        <v>0</v>
      </c>
      <c r="S1065" s="7" t="s">
        <v>163</v>
      </c>
      <c r="T1065" s="124"/>
      <c r="U1065" s="1"/>
    </row>
    <row r="1066" spans="1:21" ht="13.5" thickBot="1" x14ac:dyDescent="0.25">
      <c r="A1066" s="123">
        <v>103</v>
      </c>
      <c r="B1066" s="123">
        <v>57</v>
      </c>
      <c r="C1066" s="123">
        <v>46</v>
      </c>
      <c r="D1066" s="123">
        <v>2</v>
      </c>
      <c r="E1066" s="123">
        <v>1</v>
      </c>
      <c r="F1066" s="123">
        <v>1</v>
      </c>
      <c r="G1066" s="123">
        <v>24</v>
      </c>
      <c r="H1066" s="123">
        <v>8</v>
      </c>
      <c r="I1066" s="123">
        <v>16</v>
      </c>
      <c r="J1066" s="123">
        <v>76</v>
      </c>
      <c r="K1066" s="123">
        <v>47</v>
      </c>
      <c r="L1066" s="123">
        <v>29</v>
      </c>
      <c r="M1066" s="123">
        <v>1</v>
      </c>
      <c r="N1066" s="123">
        <v>1</v>
      </c>
      <c r="O1066" s="123">
        <v>0</v>
      </c>
      <c r="P1066" s="123">
        <v>0</v>
      </c>
      <c r="Q1066" s="123">
        <v>0</v>
      </c>
      <c r="R1066" s="123">
        <v>0</v>
      </c>
      <c r="S1066" s="7" t="s">
        <v>162</v>
      </c>
      <c r="T1066" s="124" t="s">
        <v>149</v>
      </c>
      <c r="U1066" s="1"/>
    </row>
    <row r="1067" spans="1:21" ht="13.5" thickBot="1" x14ac:dyDescent="0.25">
      <c r="A1067" s="123">
        <v>134</v>
      </c>
      <c r="B1067" s="123">
        <v>73</v>
      </c>
      <c r="C1067" s="123">
        <v>61</v>
      </c>
      <c r="D1067" s="123">
        <v>14</v>
      </c>
      <c r="E1067" s="123">
        <v>4</v>
      </c>
      <c r="F1067" s="123">
        <v>10</v>
      </c>
      <c r="G1067" s="123">
        <v>31</v>
      </c>
      <c r="H1067" s="123">
        <v>13</v>
      </c>
      <c r="I1067" s="123">
        <v>18</v>
      </c>
      <c r="J1067" s="123">
        <v>88</v>
      </c>
      <c r="K1067" s="123">
        <v>55</v>
      </c>
      <c r="L1067" s="123">
        <v>33</v>
      </c>
      <c r="M1067" s="123">
        <v>1</v>
      </c>
      <c r="N1067" s="123">
        <v>1</v>
      </c>
      <c r="O1067" s="123">
        <v>0</v>
      </c>
      <c r="P1067" s="123">
        <v>0</v>
      </c>
      <c r="Q1067" s="123">
        <v>0</v>
      </c>
      <c r="R1067" s="123">
        <v>0</v>
      </c>
      <c r="S1067" s="7" t="s">
        <v>13</v>
      </c>
      <c r="T1067" s="9"/>
      <c r="U1067" s="1"/>
    </row>
    <row r="1068" spans="1:21" ht="13.5" thickBot="1" x14ac:dyDescent="0.25">
      <c r="A1068" s="123">
        <v>16</v>
      </c>
      <c r="B1068" s="123">
        <v>7</v>
      </c>
      <c r="C1068" s="123">
        <v>9</v>
      </c>
      <c r="D1068" s="123">
        <v>1</v>
      </c>
      <c r="E1068" s="123">
        <v>0</v>
      </c>
      <c r="F1068" s="123">
        <v>1</v>
      </c>
      <c r="G1068" s="123">
        <v>3</v>
      </c>
      <c r="H1068" s="123">
        <v>0</v>
      </c>
      <c r="I1068" s="123">
        <v>3</v>
      </c>
      <c r="J1068" s="123">
        <v>11</v>
      </c>
      <c r="K1068" s="123">
        <v>6</v>
      </c>
      <c r="L1068" s="123">
        <v>5</v>
      </c>
      <c r="M1068" s="123">
        <v>1</v>
      </c>
      <c r="N1068" s="123">
        <v>1</v>
      </c>
      <c r="O1068" s="123">
        <v>0</v>
      </c>
      <c r="P1068" s="123">
        <v>0</v>
      </c>
      <c r="Q1068" s="123">
        <v>0</v>
      </c>
      <c r="R1068" s="123">
        <v>0</v>
      </c>
      <c r="S1068" s="7" t="s">
        <v>163</v>
      </c>
      <c r="T1068" s="124"/>
      <c r="U1068" s="1"/>
    </row>
    <row r="1069" spans="1:21" ht="13.5" thickBot="1" x14ac:dyDescent="0.25">
      <c r="A1069" s="123">
        <v>12</v>
      </c>
      <c r="B1069" s="123">
        <v>3</v>
      </c>
      <c r="C1069" s="123">
        <v>9</v>
      </c>
      <c r="D1069" s="123">
        <v>0</v>
      </c>
      <c r="E1069" s="123">
        <v>0</v>
      </c>
      <c r="F1069" s="123">
        <v>0</v>
      </c>
      <c r="G1069" s="123">
        <v>10</v>
      </c>
      <c r="H1069" s="123">
        <v>3</v>
      </c>
      <c r="I1069" s="123">
        <v>7</v>
      </c>
      <c r="J1069" s="123">
        <v>1</v>
      </c>
      <c r="K1069" s="123">
        <v>0</v>
      </c>
      <c r="L1069" s="123">
        <v>1</v>
      </c>
      <c r="M1069" s="123">
        <v>1</v>
      </c>
      <c r="N1069" s="123">
        <v>0</v>
      </c>
      <c r="O1069" s="123">
        <v>1</v>
      </c>
      <c r="P1069" s="123">
        <v>0</v>
      </c>
      <c r="Q1069" s="123">
        <v>0</v>
      </c>
      <c r="R1069" s="123">
        <v>0</v>
      </c>
      <c r="S1069" s="7" t="s">
        <v>162</v>
      </c>
      <c r="T1069" s="124" t="s">
        <v>150</v>
      </c>
      <c r="U1069" s="1"/>
    </row>
    <row r="1070" spans="1:21" ht="13.5" thickBot="1" x14ac:dyDescent="0.25">
      <c r="A1070" s="123">
        <v>28</v>
      </c>
      <c r="B1070" s="123">
        <v>10</v>
      </c>
      <c r="C1070" s="123">
        <v>18</v>
      </c>
      <c r="D1070" s="123">
        <v>1</v>
      </c>
      <c r="E1070" s="123">
        <v>0</v>
      </c>
      <c r="F1070" s="123">
        <v>1</v>
      </c>
      <c r="G1070" s="123">
        <v>13</v>
      </c>
      <c r="H1070" s="123">
        <v>3</v>
      </c>
      <c r="I1070" s="123">
        <v>10</v>
      </c>
      <c r="J1070" s="123">
        <v>12</v>
      </c>
      <c r="K1070" s="123">
        <v>6</v>
      </c>
      <c r="L1070" s="123">
        <v>6</v>
      </c>
      <c r="M1070" s="123">
        <v>2</v>
      </c>
      <c r="N1070" s="123">
        <v>1</v>
      </c>
      <c r="O1070" s="123">
        <v>1</v>
      </c>
      <c r="P1070" s="123">
        <v>0</v>
      </c>
      <c r="Q1070" s="123">
        <v>0</v>
      </c>
      <c r="R1070" s="123">
        <v>0</v>
      </c>
      <c r="S1070" s="7" t="s">
        <v>13</v>
      </c>
      <c r="T1070" s="9"/>
      <c r="U1070" s="1"/>
    </row>
    <row r="1071" spans="1:21" ht="13.5" thickBot="1" x14ac:dyDescent="0.25">
      <c r="A1071" s="123">
        <v>6</v>
      </c>
      <c r="B1071" s="123">
        <v>0</v>
      </c>
      <c r="C1071" s="123">
        <v>6</v>
      </c>
      <c r="D1071" s="123">
        <v>0</v>
      </c>
      <c r="E1071" s="123">
        <v>0</v>
      </c>
      <c r="F1071" s="123">
        <v>0</v>
      </c>
      <c r="G1071" s="123">
        <v>0</v>
      </c>
      <c r="H1071" s="123">
        <v>0</v>
      </c>
      <c r="I1071" s="123">
        <v>0</v>
      </c>
      <c r="J1071" s="123">
        <v>6</v>
      </c>
      <c r="K1071" s="123">
        <v>0</v>
      </c>
      <c r="L1071" s="123">
        <v>6</v>
      </c>
      <c r="M1071" s="123">
        <v>0</v>
      </c>
      <c r="N1071" s="123">
        <v>0</v>
      </c>
      <c r="O1071" s="123">
        <v>0</v>
      </c>
      <c r="P1071" s="123">
        <v>0</v>
      </c>
      <c r="Q1071" s="123">
        <v>0</v>
      </c>
      <c r="R1071" s="123">
        <v>0</v>
      </c>
      <c r="S1071" s="7" t="s">
        <v>163</v>
      </c>
      <c r="T1071" s="124"/>
      <c r="U1071" s="1"/>
    </row>
    <row r="1072" spans="1:21" ht="13.5" thickBot="1" x14ac:dyDescent="0.25">
      <c r="A1072" s="123">
        <v>1</v>
      </c>
      <c r="B1072" s="123">
        <v>0</v>
      </c>
      <c r="C1072" s="123">
        <v>1</v>
      </c>
      <c r="D1072" s="123">
        <v>0</v>
      </c>
      <c r="E1072" s="123">
        <v>0</v>
      </c>
      <c r="F1072" s="123">
        <v>0</v>
      </c>
      <c r="G1072" s="123">
        <v>0</v>
      </c>
      <c r="H1072" s="123">
        <v>0</v>
      </c>
      <c r="I1072" s="123">
        <v>0</v>
      </c>
      <c r="J1072" s="123">
        <v>1</v>
      </c>
      <c r="K1072" s="123">
        <v>0</v>
      </c>
      <c r="L1072" s="123">
        <v>1</v>
      </c>
      <c r="M1072" s="123">
        <v>0</v>
      </c>
      <c r="N1072" s="123">
        <v>0</v>
      </c>
      <c r="O1072" s="123">
        <v>0</v>
      </c>
      <c r="P1072" s="123">
        <v>0</v>
      </c>
      <c r="Q1072" s="123">
        <v>0</v>
      </c>
      <c r="R1072" s="123">
        <v>0</v>
      </c>
      <c r="S1072" s="7" t="s">
        <v>162</v>
      </c>
      <c r="T1072" s="124" t="s">
        <v>151</v>
      </c>
      <c r="U1072" s="1"/>
    </row>
    <row r="1073" spans="1:21" ht="13.5" thickBot="1" x14ac:dyDescent="0.25">
      <c r="A1073" s="123">
        <v>7</v>
      </c>
      <c r="B1073" s="123">
        <v>0</v>
      </c>
      <c r="C1073" s="123">
        <v>7</v>
      </c>
      <c r="D1073" s="123">
        <v>0</v>
      </c>
      <c r="E1073" s="123">
        <v>0</v>
      </c>
      <c r="F1073" s="123">
        <v>0</v>
      </c>
      <c r="G1073" s="123">
        <v>0</v>
      </c>
      <c r="H1073" s="123">
        <v>0</v>
      </c>
      <c r="I1073" s="123">
        <v>0</v>
      </c>
      <c r="J1073" s="123">
        <v>7</v>
      </c>
      <c r="K1073" s="123">
        <v>0</v>
      </c>
      <c r="L1073" s="123">
        <v>7</v>
      </c>
      <c r="M1073" s="123">
        <v>0</v>
      </c>
      <c r="N1073" s="123">
        <v>0</v>
      </c>
      <c r="O1073" s="123">
        <v>0</v>
      </c>
      <c r="P1073" s="123">
        <v>0</v>
      </c>
      <c r="Q1073" s="123">
        <v>0</v>
      </c>
      <c r="R1073" s="123">
        <v>0</v>
      </c>
      <c r="S1073" s="7" t="s">
        <v>13</v>
      </c>
      <c r="T1073" s="9"/>
      <c r="U1073" s="1"/>
    </row>
    <row r="1074" spans="1:21" ht="13.5" thickBot="1" x14ac:dyDescent="0.25">
      <c r="A1074" s="123">
        <v>19</v>
      </c>
      <c r="B1074" s="123">
        <v>6</v>
      </c>
      <c r="C1074" s="123">
        <v>13</v>
      </c>
      <c r="D1074" s="123">
        <v>14</v>
      </c>
      <c r="E1074" s="123">
        <v>3</v>
      </c>
      <c r="F1074" s="123">
        <v>11</v>
      </c>
      <c r="G1074" s="123">
        <v>0</v>
      </c>
      <c r="H1074" s="123">
        <v>0</v>
      </c>
      <c r="I1074" s="123">
        <v>0</v>
      </c>
      <c r="J1074" s="123">
        <v>4</v>
      </c>
      <c r="K1074" s="123">
        <v>3</v>
      </c>
      <c r="L1074" s="123">
        <v>1</v>
      </c>
      <c r="M1074" s="123">
        <v>1</v>
      </c>
      <c r="N1074" s="123">
        <v>0</v>
      </c>
      <c r="O1074" s="123">
        <v>1</v>
      </c>
      <c r="P1074" s="123">
        <v>0</v>
      </c>
      <c r="Q1074" s="123">
        <v>0</v>
      </c>
      <c r="R1074" s="123">
        <v>0</v>
      </c>
      <c r="S1074" s="7" t="s">
        <v>163</v>
      </c>
      <c r="T1074" s="124"/>
      <c r="U1074" s="1"/>
    </row>
    <row r="1075" spans="1:21" ht="13.5" thickBot="1" x14ac:dyDescent="0.25">
      <c r="A1075" s="123">
        <v>8</v>
      </c>
      <c r="B1075" s="123">
        <v>1</v>
      </c>
      <c r="C1075" s="123">
        <v>7</v>
      </c>
      <c r="D1075" s="123">
        <v>0</v>
      </c>
      <c r="E1075" s="123">
        <v>0</v>
      </c>
      <c r="F1075" s="123">
        <v>0</v>
      </c>
      <c r="G1075" s="123">
        <v>0</v>
      </c>
      <c r="H1075" s="123">
        <v>0</v>
      </c>
      <c r="I1075" s="123">
        <v>0</v>
      </c>
      <c r="J1075" s="123">
        <v>6</v>
      </c>
      <c r="K1075" s="123">
        <v>1</v>
      </c>
      <c r="L1075" s="123">
        <v>5</v>
      </c>
      <c r="M1075" s="123">
        <v>2</v>
      </c>
      <c r="N1075" s="123">
        <v>0</v>
      </c>
      <c r="O1075" s="123">
        <v>2</v>
      </c>
      <c r="P1075" s="123">
        <v>0</v>
      </c>
      <c r="Q1075" s="123">
        <v>0</v>
      </c>
      <c r="R1075" s="123">
        <v>0</v>
      </c>
      <c r="S1075" s="7" t="s">
        <v>162</v>
      </c>
      <c r="T1075" s="124" t="s">
        <v>152</v>
      </c>
      <c r="U1075" s="1"/>
    </row>
    <row r="1076" spans="1:21" ht="13.5" thickBot="1" x14ac:dyDescent="0.25">
      <c r="A1076" s="123">
        <v>27</v>
      </c>
      <c r="B1076" s="123">
        <v>7</v>
      </c>
      <c r="C1076" s="123">
        <v>20</v>
      </c>
      <c r="D1076" s="123">
        <v>14</v>
      </c>
      <c r="E1076" s="123">
        <v>3</v>
      </c>
      <c r="F1076" s="123">
        <v>11</v>
      </c>
      <c r="G1076" s="123">
        <v>0</v>
      </c>
      <c r="H1076" s="123">
        <v>0</v>
      </c>
      <c r="I1076" s="123">
        <v>0</v>
      </c>
      <c r="J1076" s="123">
        <v>10</v>
      </c>
      <c r="K1076" s="123">
        <v>4</v>
      </c>
      <c r="L1076" s="123">
        <v>6</v>
      </c>
      <c r="M1076" s="123">
        <v>3</v>
      </c>
      <c r="N1076" s="123">
        <v>0</v>
      </c>
      <c r="O1076" s="123">
        <v>3</v>
      </c>
      <c r="P1076" s="123">
        <v>0</v>
      </c>
      <c r="Q1076" s="123">
        <v>0</v>
      </c>
      <c r="R1076" s="123">
        <v>0</v>
      </c>
      <c r="S1076" s="7" t="s">
        <v>13</v>
      </c>
      <c r="T1076" s="9"/>
      <c r="U1076" s="1"/>
    </row>
    <row r="1077" spans="1:21" ht="13.5" thickBot="1" x14ac:dyDescent="0.25">
      <c r="A1077" s="123">
        <v>12</v>
      </c>
      <c r="B1077" s="123">
        <v>0</v>
      </c>
      <c r="C1077" s="123">
        <v>12</v>
      </c>
      <c r="D1077" s="123">
        <v>2</v>
      </c>
      <c r="E1077" s="123">
        <v>0</v>
      </c>
      <c r="F1077" s="123">
        <v>2</v>
      </c>
      <c r="G1077" s="123">
        <v>0</v>
      </c>
      <c r="H1077" s="123">
        <v>0</v>
      </c>
      <c r="I1077" s="123">
        <v>0</v>
      </c>
      <c r="J1077" s="123">
        <v>4</v>
      </c>
      <c r="K1077" s="123">
        <v>0</v>
      </c>
      <c r="L1077" s="123">
        <v>4</v>
      </c>
      <c r="M1077" s="123">
        <v>3</v>
      </c>
      <c r="N1077" s="123">
        <v>0</v>
      </c>
      <c r="O1077" s="123">
        <v>3</v>
      </c>
      <c r="P1077" s="123">
        <v>3</v>
      </c>
      <c r="Q1077" s="123">
        <v>0</v>
      </c>
      <c r="R1077" s="123">
        <v>3</v>
      </c>
      <c r="S1077" s="7" t="s">
        <v>163</v>
      </c>
      <c r="T1077" s="124"/>
      <c r="U1077" s="1"/>
    </row>
    <row r="1078" spans="1:21" ht="13.5" thickBot="1" x14ac:dyDescent="0.25">
      <c r="A1078" s="123">
        <v>7</v>
      </c>
      <c r="B1078" s="123">
        <v>0</v>
      </c>
      <c r="C1078" s="123">
        <v>7</v>
      </c>
      <c r="D1078" s="123">
        <v>1</v>
      </c>
      <c r="E1078" s="123">
        <v>0</v>
      </c>
      <c r="F1078" s="123">
        <v>1</v>
      </c>
      <c r="G1078" s="123">
        <v>0</v>
      </c>
      <c r="H1078" s="123">
        <v>0</v>
      </c>
      <c r="I1078" s="123">
        <v>0</v>
      </c>
      <c r="J1078" s="123">
        <v>6</v>
      </c>
      <c r="K1078" s="123">
        <v>0</v>
      </c>
      <c r="L1078" s="123">
        <v>6</v>
      </c>
      <c r="M1078" s="123">
        <v>0</v>
      </c>
      <c r="N1078" s="123">
        <v>0</v>
      </c>
      <c r="O1078" s="123">
        <v>0</v>
      </c>
      <c r="P1078" s="123">
        <v>0</v>
      </c>
      <c r="Q1078" s="123">
        <v>0</v>
      </c>
      <c r="R1078" s="123">
        <v>0</v>
      </c>
      <c r="S1078" s="7" t="s">
        <v>162</v>
      </c>
      <c r="T1078" s="124" t="s">
        <v>153</v>
      </c>
      <c r="U1078" s="1"/>
    </row>
    <row r="1079" spans="1:21" ht="13.5" thickBot="1" x14ac:dyDescent="0.25">
      <c r="A1079" s="123">
        <v>19</v>
      </c>
      <c r="B1079" s="123">
        <v>0</v>
      </c>
      <c r="C1079" s="123">
        <v>19</v>
      </c>
      <c r="D1079" s="123">
        <v>3</v>
      </c>
      <c r="E1079" s="123">
        <v>0</v>
      </c>
      <c r="F1079" s="123">
        <v>3</v>
      </c>
      <c r="G1079" s="123">
        <v>0</v>
      </c>
      <c r="H1079" s="123">
        <v>0</v>
      </c>
      <c r="I1079" s="123">
        <v>0</v>
      </c>
      <c r="J1079" s="123">
        <v>10</v>
      </c>
      <c r="K1079" s="123">
        <v>0</v>
      </c>
      <c r="L1079" s="123">
        <v>10</v>
      </c>
      <c r="M1079" s="123">
        <v>3</v>
      </c>
      <c r="N1079" s="123">
        <v>0</v>
      </c>
      <c r="O1079" s="123">
        <v>3</v>
      </c>
      <c r="P1079" s="123">
        <v>3</v>
      </c>
      <c r="Q1079" s="123">
        <v>0</v>
      </c>
      <c r="R1079" s="123">
        <v>3</v>
      </c>
      <c r="S1079" s="7" t="s">
        <v>13</v>
      </c>
      <c r="T1079" s="9"/>
      <c r="U1079" s="1"/>
    </row>
    <row r="1080" spans="1:21" ht="13.5" thickBot="1" x14ac:dyDescent="0.25">
      <c r="A1080" s="123">
        <v>18</v>
      </c>
      <c r="B1080" s="123">
        <v>10</v>
      </c>
      <c r="C1080" s="123">
        <v>8</v>
      </c>
      <c r="D1080" s="123">
        <v>2</v>
      </c>
      <c r="E1080" s="123">
        <v>0</v>
      </c>
      <c r="F1080" s="123">
        <v>2</v>
      </c>
      <c r="G1080" s="123">
        <v>1</v>
      </c>
      <c r="H1080" s="123">
        <v>0</v>
      </c>
      <c r="I1080" s="123">
        <v>1</v>
      </c>
      <c r="J1080" s="123">
        <v>13</v>
      </c>
      <c r="K1080" s="123">
        <v>10</v>
      </c>
      <c r="L1080" s="123">
        <v>3</v>
      </c>
      <c r="M1080" s="123">
        <v>0</v>
      </c>
      <c r="N1080" s="123">
        <v>0</v>
      </c>
      <c r="O1080" s="123">
        <v>0</v>
      </c>
      <c r="P1080" s="123">
        <v>2</v>
      </c>
      <c r="Q1080" s="123">
        <v>0</v>
      </c>
      <c r="R1080" s="123">
        <v>2</v>
      </c>
      <c r="S1080" s="7" t="s">
        <v>163</v>
      </c>
      <c r="T1080" s="124"/>
      <c r="U1080" s="1"/>
    </row>
    <row r="1081" spans="1:21" ht="13.5" thickBot="1" x14ac:dyDescent="0.25">
      <c r="A1081" s="123">
        <v>38</v>
      </c>
      <c r="B1081" s="123">
        <v>13</v>
      </c>
      <c r="C1081" s="123">
        <v>25</v>
      </c>
      <c r="D1081" s="123">
        <v>0</v>
      </c>
      <c r="E1081" s="123">
        <v>0</v>
      </c>
      <c r="F1081" s="123">
        <v>0</v>
      </c>
      <c r="G1081" s="123">
        <v>2</v>
      </c>
      <c r="H1081" s="123">
        <v>0</v>
      </c>
      <c r="I1081" s="123">
        <v>2</v>
      </c>
      <c r="J1081" s="123">
        <v>32</v>
      </c>
      <c r="K1081" s="123">
        <v>12</v>
      </c>
      <c r="L1081" s="123">
        <v>20</v>
      </c>
      <c r="M1081" s="123">
        <v>1</v>
      </c>
      <c r="N1081" s="123">
        <v>1</v>
      </c>
      <c r="O1081" s="123">
        <v>0</v>
      </c>
      <c r="P1081" s="123">
        <v>3</v>
      </c>
      <c r="Q1081" s="123">
        <v>0</v>
      </c>
      <c r="R1081" s="123">
        <v>3</v>
      </c>
      <c r="S1081" s="7" t="s">
        <v>162</v>
      </c>
      <c r="T1081" s="124" t="s">
        <v>154</v>
      </c>
      <c r="U1081" s="1"/>
    </row>
    <row r="1082" spans="1:21" ht="13.5" thickBot="1" x14ac:dyDescent="0.25">
      <c r="A1082" s="123">
        <v>56</v>
      </c>
      <c r="B1082" s="123">
        <v>23</v>
      </c>
      <c r="C1082" s="123">
        <v>33</v>
      </c>
      <c r="D1082" s="123">
        <v>2</v>
      </c>
      <c r="E1082" s="123">
        <v>0</v>
      </c>
      <c r="F1082" s="123">
        <v>2</v>
      </c>
      <c r="G1082" s="123">
        <v>3</v>
      </c>
      <c r="H1082" s="123">
        <v>0</v>
      </c>
      <c r="I1082" s="123">
        <v>3</v>
      </c>
      <c r="J1082" s="123">
        <v>45</v>
      </c>
      <c r="K1082" s="123">
        <v>22</v>
      </c>
      <c r="L1082" s="123">
        <v>23</v>
      </c>
      <c r="M1082" s="123">
        <v>1</v>
      </c>
      <c r="N1082" s="123">
        <v>1</v>
      </c>
      <c r="O1082" s="123">
        <v>0</v>
      </c>
      <c r="P1082" s="123">
        <v>5</v>
      </c>
      <c r="Q1082" s="123">
        <v>0</v>
      </c>
      <c r="R1082" s="123">
        <v>5</v>
      </c>
      <c r="S1082" s="7" t="s">
        <v>13</v>
      </c>
      <c r="T1082" s="9"/>
      <c r="U1082" s="1"/>
    </row>
    <row r="1083" spans="1:21" ht="13.5" thickBot="1" x14ac:dyDescent="0.25">
      <c r="A1083" s="123">
        <v>19</v>
      </c>
      <c r="B1083" s="123">
        <v>19</v>
      </c>
      <c r="C1083" s="123">
        <v>0</v>
      </c>
      <c r="D1083" s="123">
        <v>2</v>
      </c>
      <c r="E1083" s="123">
        <v>2</v>
      </c>
      <c r="F1083" s="123">
        <v>0</v>
      </c>
      <c r="G1083" s="123">
        <v>1</v>
      </c>
      <c r="H1083" s="123">
        <v>1</v>
      </c>
      <c r="I1083" s="123">
        <v>0</v>
      </c>
      <c r="J1083" s="123">
        <v>14</v>
      </c>
      <c r="K1083" s="123">
        <v>14</v>
      </c>
      <c r="L1083" s="123">
        <v>0</v>
      </c>
      <c r="M1083" s="123">
        <v>0</v>
      </c>
      <c r="N1083" s="123">
        <v>0</v>
      </c>
      <c r="O1083" s="123">
        <v>0</v>
      </c>
      <c r="P1083" s="123">
        <v>2</v>
      </c>
      <c r="Q1083" s="123">
        <v>2</v>
      </c>
      <c r="R1083" s="123">
        <v>0</v>
      </c>
      <c r="S1083" s="7" t="s">
        <v>163</v>
      </c>
      <c r="T1083" s="124"/>
      <c r="U1083" s="1"/>
    </row>
    <row r="1084" spans="1:21" ht="13.5" thickBot="1" x14ac:dyDescent="0.25">
      <c r="A1084" s="123">
        <v>6</v>
      </c>
      <c r="B1084" s="123">
        <v>6</v>
      </c>
      <c r="C1084" s="123">
        <v>0</v>
      </c>
      <c r="D1084" s="123">
        <v>1</v>
      </c>
      <c r="E1084" s="123">
        <v>1</v>
      </c>
      <c r="F1084" s="123">
        <v>0</v>
      </c>
      <c r="G1084" s="123">
        <v>0</v>
      </c>
      <c r="H1084" s="123">
        <v>0</v>
      </c>
      <c r="I1084" s="123">
        <v>0</v>
      </c>
      <c r="J1084" s="123">
        <v>3</v>
      </c>
      <c r="K1084" s="123">
        <v>3</v>
      </c>
      <c r="L1084" s="123">
        <v>0</v>
      </c>
      <c r="M1084" s="123">
        <v>1</v>
      </c>
      <c r="N1084" s="123">
        <v>1</v>
      </c>
      <c r="O1084" s="123">
        <v>0</v>
      </c>
      <c r="P1084" s="123">
        <v>1</v>
      </c>
      <c r="Q1084" s="123">
        <v>1</v>
      </c>
      <c r="R1084" s="123">
        <v>0</v>
      </c>
      <c r="S1084" s="7" t="s">
        <v>162</v>
      </c>
      <c r="T1084" s="124" t="s">
        <v>155</v>
      </c>
      <c r="U1084" s="1"/>
    </row>
    <row r="1085" spans="1:21" ht="13.5" thickBot="1" x14ac:dyDescent="0.25">
      <c r="A1085" s="123">
        <v>25</v>
      </c>
      <c r="B1085" s="123">
        <v>25</v>
      </c>
      <c r="C1085" s="123">
        <v>0</v>
      </c>
      <c r="D1085" s="123">
        <v>3</v>
      </c>
      <c r="E1085" s="123">
        <v>3</v>
      </c>
      <c r="F1085" s="123">
        <v>0</v>
      </c>
      <c r="G1085" s="123">
        <v>1</v>
      </c>
      <c r="H1085" s="123">
        <v>1</v>
      </c>
      <c r="I1085" s="123">
        <v>0</v>
      </c>
      <c r="J1085" s="123">
        <v>17</v>
      </c>
      <c r="K1085" s="123">
        <v>17</v>
      </c>
      <c r="L1085" s="123">
        <v>0</v>
      </c>
      <c r="M1085" s="123">
        <v>1</v>
      </c>
      <c r="N1085" s="123">
        <v>1</v>
      </c>
      <c r="O1085" s="123">
        <v>0</v>
      </c>
      <c r="P1085" s="123">
        <v>3</v>
      </c>
      <c r="Q1085" s="123">
        <v>3</v>
      </c>
      <c r="R1085" s="123">
        <v>0</v>
      </c>
      <c r="S1085" s="7" t="s">
        <v>13</v>
      </c>
      <c r="T1085" s="9"/>
      <c r="U1085" s="1"/>
    </row>
    <row r="1086" spans="1:21" ht="13.5" thickBot="1" x14ac:dyDescent="0.25">
      <c r="A1086" s="123">
        <v>6</v>
      </c>
      <c r="B1086" s="123">
        <v>5</v>
      </c>
      <c r="C1086" s="123">
        <v>1</v>
      </c>
      <c r="D1086" s="123">
        <v>0</v>
      </c>
      <c r="E1086" s="123">
        <v>0</v>
      </c>
      <c r="F1086" s="123">
        <v>0</v>
      </c>
      <c r="G1086" s="123">
        <v>3</v>
      </c>
      <c r="H1086" s="123">
        <v>3</v>
      </c>
      <c r="I1086" s="123">
        <v>0</v>
      </c>
      <c r="J1086" s="123">
        <v>2</v>
      </c>
      <c r="K1086" s="123">
        <v>1</v>
      </c>
      <c r="L1086" s="123">
        <v>1</v>
      </c>
      <c r="M1086" s="123">
        <v>0</v>
      </c>
      <c r="N1086" s="123">
        <v>0</v>
      </c>
      <c r="O1086" s="123">
        <v>0</v>
      </c>
      <c r="P1086" s="123">
        <v>1</v>
      </c>
      <c r="Q1086" s="123">
        <v>1</v>
      </c>
      <c r="R1086" s="123">
        <v>0</v>
      </c>
      <c r="S1086" s="7" t="s">
        <v>163</v>
      </c>
      <c r="T1086" s="124"/>
      <c r="U1086" s="1"/>
    </row>
    <row r="1087" spans="1:21" ht="13.5" thickBot="1" x14ac:dyDescent="0.25">
      <c r="A1087" s="123">
        <v>6</v>
      </c>
      <c r="B1087" s="123">
        <v>5</v>
      </c>
      <c r="C1087" s="123">
        <v>1</v>
      </c>
      <c r="D1087" s="123">
        <v>0</v>
      </c>
      <c r="E1087" s="123">
        <v>0</v>
      </c>
      <c r="F1087" s="123">
        <v>0</v>
      </c>
      <c r="G1087" s="123">
        <v>1</v>
      </c>
      <c r="H1087" s="123">
        <v>1</v>
      </c>
      <c r="I1087" s="123">
        <v>0</v>
      </c>
      <c r="J1087" s="123">
        <v>4</v>
      </c>
      <c r="K1087" s="123">
        <v>3</v>
      </c>
      <c r="L1087" s="123">
        <v>1</v>
      </c>
      <c r="M1087" s="123">
        <v>0</v>
      </c>
      <c r="N1087" s="123">
        <v>0</v>
      </c>
      <c r="O1087" s="123">
        <v>0</v>
      </c>
      <c r="P1087" s="123">
        <v>1</v>
      </c>
      <c r="Q1087" s="123">
        <v>1</v>
      </c>
      <c r="R1087" s="123">
        <v>0</v>
      </c>
      <c r="S1087" s="7" t="s">
        <v>162</v>
      </c>
      <c r="T1087" s="124" t="s">
        <v>156</v>
      </c>
      <c r="U1087" s="1"/>
    </row>
    <row r="1088" spans="1:21" ht="13.5" thickBot="1" x14ac:dyDescent="0.25">
      <c r="A1088" s="123">
        <v>12</v>
      </c>
      <c r="B1088" s="123">
        <v>10</v>
      </c>
      <c r="C1088" s="123">
        <v>2</v>
      </c>
      <c r="D1088" s="123">
        <v>0</v>
      </c>
      <c r="E1088" s="123">
        <v>0</v>
      </c>
      <c r="F1088" s="123">
        <v>0</v>
      </c>
      <c r="G1088" s="123">
        <v>4</v>
      </c>
      <c r="H1088" s="123">
        <v>4</v>
      </c>
      <c r="I1088" s="123">
        <v>0</v>
      </c>
      <c r="J1088" s="123">
        <v>6</v>
      </c>
      <c r="K1088" s="123">
        <v>4</v>
      </c>
      <c r="L1088" s="123">
        <v>2</v>
      </c>
      <c r="M1088" s="123">
        <v>0</v>
      </c>
      <c r="N1088" s="123">
        <v>0</v>
      </c>
      <c r="O1088" s="123">
        <v>0</v>
      </c>
      <c r="P1088" s="123">
        <v>2</v>
      </c>
      <c r="Q1088" s="123">
        <v>2</v>
      </c>
      <c r="R1088" s="123">
        <v>0</v>
      </c>
      <c r="S1088" s="7" t="s">
        <v>13</v>
      </c>
      <c r="T1088" s="9"/>
      <c r="U1088" s="1"/>
    </row>
    <row r="1089" spans="1:21" ht="13.5" thickBot="1" x14ac:dyDescent="0.25">
      <c r="A1089" s="123">
        <v>10</v>
      </c>
      <c r="B1089" s="123">
        <v>9</v>
      </c>
      <c r="C1089" s="123">
        <v>1</v>
      </c>
      <c r="D1089" s="123">
        <v>5</v>
      </c>
      <c r="E1089" s="123">
        <v>4</v>
      </c>
      <c r="F1089" s="123">
        <v>1</v>
      </c>
      <c r="G1089" s="123">
        <v>3</v>
      </c>
      <c r="H1089" s="123">
        <v>3</v>
      </c>
      <c r="I1089" s="123">
        <v>0</v>
      </c>
      <c r="J1089" s="123">
        <v>2</v>
      </c>
      <c r="K1089" s="123">
        <v>2</v>
      </c>
      <c r="L1089" s="123">
        <v>0</v>
      </c>
      <c r="M1089" s="123">
        <v>0</v>
      </c>
      <c r="N1089" s="123">
        <v>0</v>
      </c>
      <c r="O1089" s="123">
        <v>0</v>
      </c>
      <c r="P1089" s="123">
        <v>0</v>
      </c>
      <c r="Q1089" s="123">
        <v>0</v>
      </c>
      <c r="R1089" s="123">
        <v>0</v>
      </c>
      <c r="S1089" s="7" t="s">
        <v>163</v>
      </c>
      <c r="T1089" s="124"/>
      <c r="U1089" s="1"/>
    </row>
    <row r="1090" spans="1:21" ht="13.5" thickBot="1" x14ac:dyDescent="0.25">
      <c r="A1090" s="123">
        <v>9</v>
      </c>
      <c r="B1090" s="123">
        <v>5</v>
      </c>
      <c r="C1090" s="123">
        <v>4</v>
      </c>
      <c r="D1090" s="123">
        <v>0</v>
      </c>
      <c r="E1090" s="123">
        <v>0</v>
      </c>
      <c r="F1090" s="123">
        <v>0</v>
      </c>
      <c r="G1090" s="123">
        <v>1</v>
      </c>
      <c r="H1090" s="123">
        <v>1</v>
      </c>
      <c r="I1090" s="123">
        <v>0</v>
      </c>
      <c r="J1090" s="123">
        <v>6</v>
      </c>
      <c r="K1090" s="123">
        <v>2</v>
      </c>
      <c r="L1090" s="123">
        <v>4</v>
      </c>
      <c r="M1090" s="123">
        <v>2</v>
      </c>
      <c r="N1090" s="123">
        <v>2</v>
      </c>
      <c r="O1090" s="123">
        <v>0</v>
      </c>
      <c r="P1090" s="123">
        <v>0</v>
      </c>
      <c r="Q1090" s="123">
        <v>0</v>
      </c>
      <c r="R1090" s="123">
        <v>0</v>
      </c>
      <c r="S1090" s="7" t="s">
        <v>162</v>
      </c>
      <c r="T1090" s="124" t="s">
        <v>157</v>
      </c>
      <c r="U1090" s="1"/>
    </row>
    <row r="1091" spans="1:21" ht="13.5" thickBot="1" x14ac:dyDescent="0.25">
      <c r="A1091" s="123">
        <v>19</v>
      </c>
      <c r="B1091" s="123">
        <v>14</v>
      </c>
      <c r="C1091" s="123">
        <v>5</v>
      </c>
      <c r="D1091" s="123">
        <v>5</v>
      </c>
      <c r="E1091" s="123">
        <v>4</v>
      </c>
      <c r="F1091" s="123">
        <v>1</v>
      </c>
      <c r="G1091" s="123">
        <v>4</v>
      </c>
      <c r="H1091" s="123">
        <v>4</v>
      </c>
      <c r="I1091" s="123">
        <v>0</v>
      </c>
      <c r="J1091" s="123">
        <v>8</v>
      </c>
      <c r="K1091" s="123">
        <v>4</v>
      </c>
      <c r="L1091" s="123">
        <v>4</v>
      </c>
      <c r="M1091" s="123">
        <v>2</v>
      </c>
      <c r="N1091" s="123">
        <v>2</v>
      </c>
      <c r="O1091" s="123">
        <v>0</v>
      </c>
      <c r="P1091" s="123">
        <v>0</v>
      </c>
      <c r="Q1091" s="123">
        <v>0</v>
      </c>
      <c r="R1091" s="123">
        <v>0</v>
      </c>
      <c r="S1091" s="7" t="s">
        <v>13</v>
      </c>
      <c r="T1091" s="9"/>
      <c r="U1091" s="1"/>
    </row>
    <row r="1092" spans="1:21" ht="13.5" thickBot="1" x14ac:dyDescent="0.25">
      <c r="A1092" s="123">
        <v>492</v>
      </c>
      <c r="B1092" s="123">
        <v>303</v>
      </c>
      <c r="C1092" s="123">
        <v>189</v>
      </c>
      <c r="D1092" s="123">
        <v>115</v>
      </c>
      <c r="E1092" s="123">
        <v>47</v>
      </c>
      <c r="F1092" s="123">
        <v>68</v>
      </c>
      <c r="G1092" s="123">
        <v>72</v>
      </c>
      <c r="H1092" s="123">
        <v>30</v>
      </c>
      <c r="I1092" s="123">
        <v>42</v>
      </c>
      <c r="J1092" s="123">
        <v>238</v>
      </c>
      <c r="K1092" s="123">
        <v>186</v>
      </c>
      <c r="L1092" s="123">
        <v>52</v>
      </c>
      <c r="M1092" s="123">
        <v>36</v>
      </c>
      <c r="N1092" s="123">
        <v>28</v>
      </c>
      <c r="O1092" s="123">
        <v>8</v>
      </c>
      <c r="P1092" s="123">
        <v>31</v>
      </c>
      <c r="Q1092" s="123">
        <v>12</v>
      </c>
      <c r="R1092" s="123">
        <v>19</v>
      </c>
      <c r="S1092" s="7" t="s">
        <v>163</v>
      </c>
      <c r="T1092" s="3"/>
      <c r="U1092" s="1"/>
    </row>
    <row r="1093" spans="1:21" ht="13.5" thickBot="1" x14ac:dyDescent="0.25">
      <c r="A1093" s="123">
        <v>543</v>
      </c>
      <c r="B1093" s="123">
        <v>264</v>
      </c>
      <c r="C1093" s="123">
        <v>279</v>
      </c>
      <c r="D1093" s="123">
        <v>93</v>
      </c>
      <c r="E1093" s="123">
        <v>21</v>
      </c>
      <c r="F1093" s="123">
        <v>72</v>
      </c>
      <c r="G1093" s="123">
        <v>85</v>
      </c>
      <c r="H1093" s="123">
        <v>47</v>
      </c>
      <c r="I1093" s="123">
        <v>38</v>
      </c>
      <c r="J1093" s="123">
        <v>258</v>
      </c>
      <c r="K1093" s="123">
        <v>131</v>
      </c>
      <c r="L1093" s="123">
        <v>127</v>
      </c>
      <c r="M1093" s="123">
        <v>80</v>
      </c>
      <c r="N1093" s="123">
        <v>51</v>
      </c>
      <c r="O1093" s="123">
        <v>29</v>
      </c>
      <c r="P1093" s="123">
        <v>27</v>
      </c>
      <c r="Q1093" s="123">
        <v>14</v>
      </c>
      <c r="R1093" s="123">
        <v>13</v>
      </c>
      <c r="S1093" s="7" t="s">
        <v>162</v>
      </c>
      <c r="T1093" s="11" t="s">
        <v>211</v>
      </c>
      <c r="U1093" s="1"/>
    </row>
    <row r="1094" spans="1:21" ht="13.5" thickBot="1" x14ac:dyDescent="0.25">
      <c r="A1094" s="123">
        <v>1035</v>
      </c>
      <c r="B1094" s="123">
        <v>567</v>
      </c>
      <c r="C1094" s="123">
        <v>468</v>
      </c>
      <c r="D1094" s="123">
        <v>208</v>
      </c>
      <c r="E1094" s="123">
        <v>68</v>
      </c>
      <c r="F1094" s="123">
        <v>140</v>
      </c>
      <c r="G1094" s="123">
        <v>157</v>
      </c>
      <c r="H1094" s="123">
        <v>77</v>
      </c>
      <c r="I1094" s="123">
        <v>80</v>
      </c>
      <c r="J1094" s="123">
        <v>496</v>
      </c>
      <c r="K1094" s="123">
        <v>317</v>
      </c>
      <c r="L1094" s="123">
        <v>179</v>
      </c>
      <c r="M1094" s="123">
        <v>116</v>
      </c>
      <c r="N1094" s="123">
        <v>79</v>
      </c>
      <c r="O1094" s="123">
        <v>37</v>
      </c>
      <c r="P1094" s="123">
        <v>58</v>
      </c>
      <c r="Q1094" s="123">
        <v>26</v>
      </c>
      <c r="R1094" s="123">
        <v>32</v>
      </c>
      <c r="S1094" s="7" t="s">
        <v>13</v>
      </c>
      <c r="T1094" s="5"/>
      <c r="U1094" s="1"/>
    </row>
    <row r="1095" spans="1:21" ht="18" customHeight="1" x14ac:dyDescent="0.2">
      <c r="A1095" s="207"/>
      <c r="B1095" s="207"/>
      <c r="C1095" s="207"/>
      <c r="D1095" s="207"/>
      <c r="E1095" s="207"/>
      <c r="F1095" s="207"/>
      <c r="G1095" s="207"/>
      <c r="H1095" s="207"/>
      <c r="I1095" s="207"/>
      <c r="J1095" s="207"/>
      <c r="K1095" s="207"/>
      <c r="L1095" s="207"/>
      <c r="M1095" s="207"/>
      <c r="N1095" s="207"/>
      <c r="O1095" s="207"/>
      <c r="P1095" s="207"/>
      <c r="Q1095" s="207"/>
      <c r="R1095" s="207"/>
      <c r="S1095" s="207"/>
      <c r="T1095" s="207"/>
      <c r="U1095" s="1"/>
    </row>
  </sheetData>
  <mergeCells count="250">
    <mergeCell ref="A2:T2"/>
    <mergeCell ref="A3:T3"/>
    <mergeCell ref="A4:C4"/>
    <mergeCell ref="D4:F4"/>
    <mergeCell ref="G4:I4"/>
    <mergeCell ref="J4:L4"/>
    <mergeCell ref="M4:O4"/>
    <mergeCell ref="P4:R4"/>
    <mergeCell ref="S4:S5"/>
    <mergeCell ref="A12:T12"/>
    <mergeCell ref="A13:T13"/>
    <mergeCell ref="A14:T14"/>
    <mergeCell ref="A15:C15"/>
    <mergeCell ref="D15:F15"/>
    <mergeCell ref="G15:I15"/>
    <mergeCell ref="J15:L15"/>
    <mergeCell ref="M15:O15"/>
    <mergeCell ref="P15:R15"/>
    <mergeCell ref="S15:S16"/>
    <mergeCell ref="A23:T23"/>
    <mergeCell ref="A24:T24"/>
    <mergeCell ref="A25:T25"/>
    <mergeCell ref="A26:C26"/>
    <mergeCell ref="D26:F26"/>
    <mergeCell ref="G26:I26"/>
    <mergeCell ref="J26:L26"/>
    <mergeCell ref="M26:O26"/>
    <mergeCell ref="P26:R26"/>
    <mergeCell ref="S26:S27"/>
    <mergeCell ref="A76:T76"/>
    <mergeCell ref="A77:T77"/>
    <mergeCell ref="A78:T78"/>
    <mergeCell ref="A79:C79"/>
    <mergeCell ref="D79:F79"/>
    <mergeCell ref="G79:I79"/>
    <mergeCell ref="J79:L79"/>
    <mergeCell ref="M79:O79"/>
    <mergeCell ref="P79:R79"/>
    <mergeCell ref="S79:S80"/>
    <mergeCell ref="A165:T165"/>
    <mergeCell ref="A166:T166"/>
    <mergeCell ref="A167:T167"/>
    <mergeCell ref="A168:C168"/>
    <mergeCell ref="D168:F168"/>
    <mergeCell ref="G168:I168"/>
    <mergeCell ref="J168:L168"/>
    <mergeCell ref="M168:O168"/>
    <mergeCell ref="P168:R168"/>
    <mergeCell ref="S168:S169"/>
    <mergeCell ref="A245:T245"/>
    <mergeCell ref="A246:T246"/>
    <mergeCell ref="A247:T247"/>
    <mergeCell ref="A248:C248"/>
    <mergeCell ref="D248:F248"/>
    <mergeCell ref="G248:I248"/>
    <mergeCell ref="J248:L248"/>
    <mergeCell ref="M248:O248"/>
    <mergeCell ref="P248:R248"/>
    <mergeCell ref="S248:S249"/>
    <mergeCell ref="A283:T283"/>
    <mergeCell ref="A284:T284"/>
    <mergeCell ref="A285:T285"/>
    <mergeCell ref="A286:C286"/>
    <mergeCell ref="D286:F286"/>
    <mergeCell ref="G286:I286"/>
    <mergeCell ref="J286:L286"/>
    <mergeCell ref="M286:O286"/>
    <mergeCell ref="P286:R286"/>
    <mergeCell ref="S286:S287"/>
    <mergeCell ref="A390:T390"/>
    <mergeCell ref="A391:T391"/>
    <mergeCell ref="A392:T392"/>
    <mergeCell ref="A393:C393"/>
    <mergeCell ref="D393:F393"/>
    <mergeCell ref="G393:I393"/>
    <mergeCell ref="J393:L393"/>
    <mergeCell ref="M393:O393"/>
    <mergeCell ref="P393:R393"/>
    <mergeCell ref="S393:S394"/>
    <mergeCell ref="A443:T443"/>
    <mergeCell ref="A444:T444"/>
    <mergeCell ref="A445:T445"/>
    <mergeCell ref="A446:C446"/>
    <mergeCell ref="D446:F446"/>
    <mergeCell ref="G446:I446"/>
    <mergeCell ref="J446:L446"/>
    <mergeCell ref="M446:O446"/>
    <mergeCell ref="P446:R446"/>
    <mergeCell ref="S446:S447"/>
    <mergeCell ref="A529:T529"/>
    <mergeCell ref="A530:T530"/>
    <mergeCell ref="A531:T531"/>
    <mergeCell ref="A532:C532"/>
    <mergeCell ref="D532:F532"/>
    <mergeCell ref="G532:I532"/>
    <mergeCell ref="J532:L532"/>
    <mergeCell ref="M532:O532"/>
    <mergeCell ref="P532:R532"/>
    <mergeCell ref="S532:S533"/>
    <mergeCell ref="A558:T558"/>
    <mergeCell ref="A559:T559"/>
    <mergeCell ref="A560:T560"/>
    <mergeCell ref="A561:C561"/>
    <mergeCell ref="D561:F561"/>
    <mergeCell ref="G561:I561"/>
    <mergeCell ref="J561:L561"/>
    <mergeCell ref="M561:O561"/>
    <mergeCell ref="P561:R561"/>
    <mergeCell ref="S561:S562"/>
    <mergeCell ref="A569:T569"/>
    <mergeCell ref="A570:T570"/>
    <mergeCell ref="A571:T571"/>
    <mergeCell ref="A572:C572"/>
    <mergeCell ref="D572:F572"/>
    <mergeCell ref="G572:I572"/>
    <mergeCell ref="J572:L572"/>
    <mergeCell ref="M572:O572"/>
    <mergeCell ref="P572:R572"/>
    <mergeCell ref="S572:S573"/>
    <mergeCell ref="A589:T589"/>
    <mergeCell ref="A590:T590"/>
    <mergeCell ref="A591:T591"/>
    <mergeCell ref="A592:C592"/>
    <mergeCell ref="D592:F592"/>
    <mergeCell ref="G592:I592"/>
    <mergeCell ref="J592:L592"/>
    <mergeCell ref="M592:O592"/>
    <mergeCell ref="P592:R592"/>
    <mergeCell ref="S592:S593"/>
    <mergeCell ref="A645:T645"/>
    <mergeCell ref="A646:T646"/>
    <mergeCell ref="A647:T647"/>
    <mergeCell ref="A648:C648"/>
    <mergeCell ref="D648:F648"/>
    <mergeCell ref="G648:I648"/>
    <mergeCell ref="J648:L648"/>
    <mergeCell ref="M648:O648"/>
    <mergeCell ref="P648:R648"/>
    <mergeCell ref="S648:S649"/>
    <mergeCell ref="A674:T674"/>
    <mergeCell ref="A675:T675"/>
    <mergeCell ref="A676:T676"/>
    <mergeCell ref="A677:C677"/>
    <mergeCell ref="D677:F677"/>
    <mergeCell ref="G677:I677"/>
    <mergeCell ref="J677:L677"/>
    <mergeCell ref="M677:O677"/>
    <mergeCell ref="P677:R677"/>
    <mergeCell ref="S677:S678"/>
    <mergeCell ref="A712:T712"/>
    <mergeCell ref="A713:T713"/>
    <mergeCell ref="A714:T714"/>
    <mergeCell ref="A715:C715"/>
    <mergeCell ref="D715:F715"/>
    <mergeCell ref="G715:I715"/>
    <mergeCell ref="J715:L715"/>
    <mergeCell ref="M715:O715"/>
    <mergeCell ref="P715:R715"/>
    <mergeCell ref="S715:S716"/>
    <mergeCell ref="A750:T750"/>
    <mergeCell ref="A751:T751"/>
    <mergeCell ref="A752:T752"/>
    <mergeCell ref="A753:C753"/>
    <mergeCell ref="D753:F753"/>
    <mergeCell ref="G753:I753"/>
    <mergeCell ref="J753:L753"/>
    <mergeCell ref="M753:O753"/>
    <mergeCell ref="P753:R753"/>
    <mergeCell ref="S753:S754"/>
    <mergeCell ref="A779:T779"/>
    <mergeCell ref="A780:T780"/>
    <mergeCell ref="A781:T781"/>
    <mergeCell ref="A782:C782"/>
    <mergeCell ref="D782:F782"/>
    <mergeCell ref="G782:I782"/>
    <mergeCell ref="J782:L782"/>
    <mergeCell ref="M782:O782"/>
    <mergeCell ref="P782:R782"/>
    <mergeCell ref="S782:S783"/>
    <mergeCell ref="A799:T799"/>
    <mergeCell ref="A800:T800"/>
    <mergeCell ref="A801:T801"/>
    <mergeCell ref="A802:C802"/>
    <mergeCell ref="D802:F802"/>
    <mergeCell ref="G802:I802"/>
    <mergeCell ref="J802:L802"/>
    <mergeCell ref="M802:O802"/>
    <mergeCell ref="P802:R802"/>
    <mergeCell ref="S802:S803"/>
    <mergeCell ref="A828:T828"/>
    <mergeCell ref="A829:T829"/>
    <mergeCell ref="A830:T830"/>
    <mergeCell ref="A831:C831"/>
    <mergeCell ref="D831:F831"/>
    <mergeCell ref="G831:I831"/>
    <mergeCell ref="J831:L831"/>
    <mergeCell ref="M831:O831"/>
    <mergeCell ref="P831:R831"/>
    <mergeCell ref="S831:S832"/>
    <mergeCell ref="A851:T851"/>
    <mergeCell ref="A852:T852"/>
    <mergeCell ref="A853:T853"/>
    <mergeCell ref="A854:C854"/>
    <mergeCell ref="D854:F854"/>
    <mergeCell ref="G854:I854"/>
    <mergeCell ref="J854:L854"/>
    <mergeCell ref="M854:O854"/>
    <mergeCell ref="P854:R854"/>
    <mergeCell ref="S854:S855"/>
    <mergeCell ref="A991:T991"/>
    <mergeCell ref="A992:T992"/>
    <mergeCell ref="A993:T993"/>
    <mergeCell ref="A994:C994"/>
    <mergeCell ref="D994:F994"/>
    <mergeCell ref="G994:I994"/>
    <mergeCell ref="J994:L994"/>
    <mergeCell ref="M994:O994"/>
    <mergeCell ref="P994:R994"/>
    <mergeCell ref="S994:S995"/>
    <mergeCell ref="A1002:T1002"/>
    <mergeCell ref="A1003:T1003"/>
    <mergeCell ref="A1004:T1004"/>
    <mergeCell ref="A1005:C1005"/>
    <mergeCell ref="D1005:F1005"/>
    <mergeCell ref="G1005:I1005"/>
    <mergeCell ref="J1005:L1005"/>
    <mergeCell ref="M1005:O1005"/>
    <mergeCell ref="P1005:R1005"/>
    <mergeCell ref="S1005:S1006"/>
    <mergeCell ref="A1022:T1022"/>
    <mergeCell ref="A1023:T1023"/>
    <mergeCell ref="A1024:T1024"/>
    <mergeCell ref="A1025:C1025"/>
    <mergeCell ref="D1025:F1025"/>
    <mergeCell ref="G1025:I1025"/>
    <mergeCell ref="J1025:L1025"/>
    <mergeCell ref="M1025:O1025"/>
    <mergeCell ref="P1025:R1025"/>
    <mergeCell ref="S1025:S1026"/>
    <mergeCell ref="A1095:T1095"/>
    <mergeCell ref="A1033:T1033"/>
    <mergeCell ref="A1034:T1034"/>
    <mergeCell ref="A1035:T1035"/>
    <mergeCell ref="A1036:C1036"/>
    <mergeCell ref="D1036:F1036"/>
    <mergeCell ref="G1036:I1036"/>
    <mergeCell ref="J1036:L1036"/>
    <mergeCell ref="M1036:O1036"/>
    <mergeCell ref="P1036:R1036"/>
    <mergeCell ref="S1036:S1037"/>
  </mergeCells>
  <pageMargins left="0.4" right="0.4" top="0.25" bottom="0.25" header="0.25" footer="0.25"/>
  <pageSetup paperSize="9" orientation="landscape" horizontalDpi="0" verticalDpi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7"/>
  <sheetViews>
    <sheetView showGridLines="0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668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669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180</v>
      </c>
      <c r="K4" s="1"/>
    </row>
    <row r="5" spans="1:11" ht="13.5" thickBot="1" x14ac:dyDescent="0.25">
      <c r="A5" s="6">
        <f>SUM(B5:H5)</f>
        <v>331</v>
      </c>
      <c r="B5" s="6">
        <v>5</v>
      </c>
      <c r="C5" s="6">
        <v>0</v>
      </c>
      <c r="D5" s="6">
        <v>37</v>
      </c>
      <c r="E5" s="6">
        <v>99</v>
      </c>
      <c r="F5" s="6">
        <v>0</v>
      </c>
      <c r="G5" s="6">
        <v>116</v>
      </c>
      <c r="H5" s="6">
        <v>74</v>
      </c>
      <c r="I5" s="7" t="s">
        <v>10</v>
      </c>
      <c r="J5" s="124"/>
      <c r="K5" s="1"/>
    </row>
    <row r="6" spans="1:11" ht="13.5" thickBot="1" x14ac:dyDescent="0.25">
      <c r="A6" s="6">
        <f t="shared" ref="A6:A33" si="0">SUM(B6:H6)</f>
        <v>255</v>
      </c>
      <c r="B6" s="6">
        <v>2</v>
      </c>
      <c r="C6" s="6">
        <v>0</v>
      </c>
      <c r="D6" s="6">
        <v>14</v>
      </c>
      <c r="E6" s="6">
        <v>72</v>
      </c>
      <c r="F6" s="6">
        <v>0</v>
      </c>
      <c r="G6" s="6">
        <v>140</v>
      </c>
      <c r="H6" s="6">
        <v>27</v>
      </c>
      <c r="I6" s="7" t="s">
        <v>11</v>
      </c>
      <c r="J6" s="124" t="s">
        <v>48</v>
      </c>
      <c r="K6" s="1"/>
    </row>
    <row r="7" spans="1:11" ht="13.5" thickBot="1" x14ac:dyDescent="0.25">
      <c r="A7" s="6">
        <f t="shared" ref="A7:G7" si="1">SUM(A5:A6)</f>
        <v>586</v>
      </c>
      <c r="B7" s="6">
        <f t="shared" si="1"/>
        <v>7</v>
      </c>
      <c r="C7" s="6">
        <f t="shared" si="1"/>
        <v>0</v>
      </c>
      <c r="D7" s="6">
        <f t="shared" si="1"/>
        <v>51</v>
      </c>
      <c r="E7" s="6">
        <f t="shared" si="1"/>
        <v>171</v>
      </c>
      <c r="F7" s="6">
        <f t="shared" si="1"/>
        <v>0</v>
      </c>
      <c r="G7" s="6">
        <f t="shared" si="1"/>
        <v>256</v>
      </c>
      <c r="H7" s="6">
        <f>SUM(H5:H6)</f>
        <v>101</v>
      </c>
      <c r="I7" s="7" t="s">
        <v>13</v>
      </c>
      <c r="J7" s="9"/>
      <c r="K7" s="1"/>
    </row>
    <row r="8" spans="1:11" ht="13.5" thickBot="1" x14ac:dyDescent="0.25">
      <c r="A8" s="6">
        <f t="shared" si="0"/>
        <v>144</v>
      </c>
      <c r="B8" s="6">
        <v>1</v>
      </c>
      <c r="C8" s="6">
        <v>0</v>
      </c>
      <c r="D8" s="6">
        <v>31</v>
      </c>
      <c r="E8" s="6">
        <v>61</v>
      </c>
      <c r="F8" s="6">
        <v>0</v>
      </c>
      <c r="G8" s="6">
        <v>18</v>
      </c>
      <c r="H8" s="6">
        <v>33</v>
      </c>
      <c r="I8" s="7" t="s">
        <v>10</v>
      </c>
      <c r="J8" s="124"/>
      <c r="K8" s="1"/>
    </row>
    <row r="9" spans="1:11" ht="13.5" thickBot="1" x14ac:dyDescent="0.25">
      <c r="A9" s="6">
        <f t="shared" si="0"/>
        <v>211</v>
      </c>
      <c r="B9" s="6">
        <v>0</v>
      </c>
      <c r="C9" s="6">
        <v>0</v>
      </c>
      <c r="D9" s="6">
        <v>10</v>
      </c>
      <c r="E9" s="6">
        <v>106</v>
      </c>
      <c r="F9" s="6">
        <v>0</v>
      </c>
      <c r="G9" s="6">
        <v>68</v>
      </c>
      <c r="H9" s="6">
        <v>27</v>
      </c>
      <c r="I9" s="7" t="s">
        <v>11</v>
      </c>
      <c r="J9" s="124" t="s">
        <v>49</v>
      </c>
      <c r="K9" s="1"/>
    </row>
    <row r="10" spans="1:11" ht="13.5" thickBot="1" x14ac:dyDescent="0.25">
      <c r="A10" s="6">
        <f t="shared" ref="A10:H10" si="2">SUM(A8:A9)</f>
        <v>355</v>
      </c>
      <c r="B10" s="6">
        <f t="shared" si="2"/>
        <v>1</v>
      </c>
      <c r="C10" s="6">
        <f t="shared" si="2"/>
        <v>0</v>
      </c>
      <c r="D10" s="6">
        <f t="shared" si="2"/>
        <v>41</v>
      </c>
      <c r="E10" s="6">
        <f t="shared" si="2"/>
        <v>167</v>
      </c>
      <c r="F10" s="6">
        <f t="shared" si="2"/>
        <v>0</v>
      </c>
      <c r="G10" s="6">
        <f t="shared" si="2"/>
        <v>86</v>
      </c>
      <c r="H10" s="6">
        <f t="shared" si="2"/>
        <v>60</v>
      </c>
      <c r="I10" s="7" t="s">
        <v>13</v>
      </c>
      <c r="J10" s="9"/>
      <c r="K10" s="1"/>
    </row>
    <row r="11" spans="1:11" ht="13.5" thickBot="1" x14ac:dyDescent="0.25">
      <c r="A11" s="6">
        <f t="shared" si="0"/>
        <v>4770</v>
      </c>
      <c r="B11" s="6">
        <v>48</v>
      </c>
      <c r="C11" s="6">
        <v>0</v>
      </c>
      <c r="D11" s="6">
        <v>86</v>
      </c>
      <c r="E11" s="6">
        <v>1629</v>
      </c>
      <c r="F11" s="6">
        <v>5</v>
      </c>
      <c r="G11" s="6">
        <v>2064</v>
      </c>
      <c r="H11" s="6">
        <v>938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1180</v>
      </c>
      <c r="B12" s="6">
        <v>7</v>
      </c>
      <c r="C12" s="6">
        <v>0</v>
      </c>
      <c r="D12" s="6">
        <v>34</v>
      </c>
      <c r="E12" s="6">
        <v>430</v>
      </c>
      <c r="F12" s="6">
        <v>1</v>
      </c>
      <c r="G12" s="6">
        <v>364</v>
      </c>
      <c r="H12" s="6">
        <v>344</v>
      </c>
      <c r="I12" s="7" t="s">
        <v>11</v>
      </c>
      <c r="J12" s="124" t="s">
        <v>50</v>
      </c>
      <c r="K12" s="1"/>
    </row>
    <row r="13" spans="1:11" ht="13.5" thickBot="1" x14ac:dyDescent="0.25">
      <c r="A13" s="6">
        <f t="shared" ref="A13:H13" si="3">SUM(A11:A12)</f>
        <v>5950</v>
      </c>
      <c r="B13" s="6">
        <f t="shared" si="3"/>
        <v>55</v>
      </c>
      <c r="C13" s="6">
        <f t="shared" si="3"/>
        <v>0</v>
      </c>
      <c r="D13" s="6">
        <f t="shared" si="3"/>
        <v>120</v>
      </c>
      <c r="E13" s="6">
        <f t="shared" si="3"/>
        <v>2059</v>
      </c>
      <c r="F13" s="6">
        <f t="shared" si="3"/>
        <v>6</v>
      </c>
      <c r="G13" s="6">
        <f t="shared" si="3"/>
        <v>2428</v>
      </c>
      <c r="H13" s="6">
        <f t="shared" si="3"/>
        <v>1282</v>
      </c>
      <c r="I13" s="7" t="s">
        <v>13</v>
      </c>
      <c r="J13" s="9"/>
      <c r="K13" s="1"/>
    </row>
    <row r="14" spans="1:11" ht="13.5" thickBot="1" x14ac:dyDescent="0.25">
      <c r="A14" s="6">
        <f t="shared" si="0"/>
        <v>2487</v>
      </c>
      <c r="B14" s="6">
        <v>19</v>
      </c>
      <c r="C14" s="6">
        <v>1</v>
      </c>
      <c r="D14" s="6">
        <v>89</v>
      </c>
      <c r="E14" s="6">
        <v>885</v>
      </c>
      <c r="F14" s="6">
        <v>0</v>
      </c>
      <c r="G14" s="6">
        <v>1083</v>
      </c>
      <c r="H14" s="6">
        <v>410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744</v>
      </c>
      <c r="B15" s="6">
        <v>1</v>
      </c>
      <c r="C15" s="6">
        <v>0</v>
      </c>
      <c r="D15" s="6">
        <v>51</v>
      </c>
      <c r="E15" s="6">
        <v>318</v>
      </c>
      <c r="F15" s="6">
        <v>0</v>
      </c>
      <c r="G15" s="6">
        <v>206</v>
      </c>
      <c r="H15" s="6">
        <v>168</v>
      </c>
      <c r="I15" s="7" t="s">
        <v>11</v>
      </c>
      <c r="J15" s="124" t="s">
        <v>51</v>
      </c>
      <c r="K15" s="1"/>
    </row>
    <row r="16" spans="1:11" ht="13.5" thickBot="1" x14ac:dyDescent="0.25">
      <c r="A16" s="6">
        <f t="shared" ref="A16:H16" si="4">SUM(A14:A15)</f>
        <v>3231</v>
      </c>
      <c r="B16" s="6">
        <f t="shared" si="4"/>
        <v>20</v>
      </c>
      <c r="C16" s="6">
        <f t="shared" si="4"/>
        <v>1</v>
      </c>
      <c r="D16" s="6">
        <f t="shared" si="4"/>
        <v>140</v>
      </c>
      <c r="E16" s="6">
        <f t="shared" si="4"/>
        <v>1203</v>
      </c>
      <c r="F16" s="6">
        <f t="shared" si="4"/>
        <v>0</v>
      </c>
      <c r="G16" s="6">
        <f t="shared" si="4"/>
        <v>1289</v>
      </c>
      <c r="H16" s="6">
        <f t="shared" si="4"/>
        <v>578</v>
      </c>
      <c r="I16" s="7" t="s">
        <v>13</v>
      </c>
      <c r="J16" s="9"/>
      <c r="K16" s="1"/>
    </row>
    <row r="17" spans="1:11" ht="13.5" thickBot="1" x14ac:dyDescent="0.25">
      <c r="A17" s="6">
        <f t="shared" si="0"/>
        <v>2652</v>
      </c>
      <c r="B17" s="6">
        <v>31</v>
      </c>
      <c r="C17" s="6">
        <v>0</v>
      </c>
      <c r="D17" s="6">
        <v>45</v>
      </c>
      <c r="E17" s="6">
        <v>522</v>
      </c>
      <c r="F17" s="6">
        <v>1</v>
      </c>
      <c r="G17" s="6">
        <v>1698</v>
      </c>
      <c r="H17" s="6">
        <v>355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104</v>
      </c>
      <c r="B18" s="6">
        <v>0</v>
      </c>
      <c r="C18" s="6">
        <v>0</v>
      </c>
      <c r="D18" s="6">
        <v>4</v>
      </c>
      <c r="E18" s="6">
        <v>32</v>
      </c>
      <c r="F18" s="6">
        <v>0</v>
      </c>
      <c r="G18" s="6">
        <v>57</v>
      </c>
      <c r="H18" s="6">
        <v>11</v>
      </c>
      <c r="I18" s="7" t="s">
        <v>11</v>
      </c>
      <c r="J18" s="124" t="s">
        <v>52</v>
      </c>
      <c r="K18" s="1"/>
    </row>
    <row r="19" spans="1:11" ht="13.5" thickBot="1" x14ac:dyDescent="0.25">
      <c r="A19" s="6">
        <f t="shared" ref="A19:H19" si="5">SUM(A17:A18)</f>
        <v>2756</v>
      </c>
      <c r="B19" s="6">
        <f t="shared" si="5"/>
        <v>31</v>
      </c>
      <c r="C19" s="6">
        <f t="shared" si="5"/>
        <v>0</v>
      </c>
      <c r="D19" s="6">
        <f t="shared" si="5"/>
        <v>49</v>
      </c>
      <c r="E19" s="6">
        <f t="shared" si="5"/>
        <v>554</v>
      </c>
      <c r="F19" s="6">
        <f t="shared" si="5"/>
        <v>1</v>
      </c>
      <c r="G19" s="6">
        <f t="shared" si="5"/>
        <v>1755</v>
      </c>
      <c r="H19" s="6">
        <f t="shared" si="5"/>
        <v>366</v>
      </c>
      <c r="I19" s="7" t="s">
        <v>13</v>
      </c>
      <c r="J19" s="9"/>
      <c r="K19" s="1"/>
    </row>
    <row r="20" spans="1:11" ht="13.5" thickBot="1" x14ac:dyDescent="0.25">
      <c r="A20" s="6">
        <f t="shared" si="0"/>
        <v>1457</v>
      </c>
      <c r="B20" s="6">
        <v>17</v>
      </c>
      <c r="C20" s="6">
        <v>127</v>
      </c>
      <c r="D20" s="6">
        <v>53</v>
      </c>
      <c r="E20" s="6">
        <v>326</v>
      </c>
      <c r="F20" s="6">
        <v>0</v>
      </c>
      <c r="G20" s="6">
        <v>827</v>
      </c>
      <c r="H20" s="6">
        <v>107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805</v>
      </c>
      <c r="B21" s="6">
        <v>12</v>
      </c>
      <c r="C21" s="6">
        <v>33</v>
      </c>
      <c r="D21" s="6">
        <v>44</v>
      </c>
      <c r="E21" s="6">
        <v>287</v>
      </c>
      <c r="F21" s="6">
        <v>0</v>
      </c>
      <c r="G21" s="6">
        <v>273</v>
      </c>
      <c r="H21" s="6">
        <v>156</v>
      </c>
      <c r="I21" s="7" t="s">
        <v>11</v>
      </c>
      <c r="J21" s="124" t="s">
        <v>53</v>
      </c>
      <c r="K21" s="1"/>
    </row>
    <row r="22" spans="1:11" ht="13.5" thickBot="1" x14ac:dyDescent="0.25">
      <c r="A22" s="6">
        <f t="shared" ref="A22:H22" si="6">SUM(A20:A21)</f>
        <v>2262</v>
      </c>
      <c r="B22" s="6">
        <f t="shared" si="6"/>
        <v>29</v>
      </c>
      <c r="C22" s="6">
        <f t="shared" si="6"/>
        <v>160</v>
      </c>
      <c r="D22" s="6">
        <f t="shared" si="6"/>
        <v>97</v>
      </c>
      <c r="E22" s="6">
        <f t="shared" si="6"/>
        <v>613</v>
      </c>
      <c r="F22" s="6">
        <f t="shared" si="6"/>
        <v>0</v>
      </c>
      <c r="G22" s="6">
        <f t="shared" si="6"/>
        <v>1100</v>
      </c>
      <c r="H22" s="6">
        <f t="shared" si="6"/>
        <v>263</v>
      </c>
      <c r="I22" s="7" t="s">
        <v>13</v>
      </c>
      <c r="J22" s="9"/>
      <c r="K22" s="1"/>
    </row>
    <row r="23" spans="1:11" ht="13.5" thickBot="1" x14ac:dyDescent="0.25">
      <c r="A23" s="6">
        <f t="shared" si="0"/>
        <v>19</v>
      </c>
      <c r="B23" s="6">
        <v>0</v>
      </c>
      <c r="C23" s="6">
        <v>1</v>
      </c>
      <c r="D23" s="6">
        <v>5</v>
      </c>
      <c r="E23" s="6">
        <v>4</v>
      </c>
      <c r="F23" s="6">
        <v>0</v>
      </c>
      <c r="G23" s="6">
        <v>5</v>
      </c>
      <c r="H23" s="6">
        <v>4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7</v>
      </c>
      <c r="B24" s="6">
        <v>0</v>
      </c>
      <c r="C24" s="6">
        <v>0</v>
      </c>
      <c r="D24" s="6">
        <v>0</v>
      </c>
      <c r="E24" s="6">
        <v>6</v>
      </c>
      <c r="F24" s="6">
        <v>0</v>
      </c>
      <c r="G24" s="6">
        <v>1</v>
      </c>
      <c r="H24" s="6">
        <v>0</v>
      </c>
      <c r="I24" s="7" t="s">
        <v>11</v>
      </c>
      <c r="J24" s="124" t="s">
        <v>54</v>
      </c>
      <c r="K24" s="1"/>
    </row>
    <row r="25" spans="1:11" ht="13.5" thickBot="1" x14ac:dyDescent="0.25">
      <c r="A25" s="6">
        <f t="shared" ref="A25:H25" si="7">SUM(A23:A24)</f>
        <v>26</v>
      </c>
      <c r="B25" s="6">
        <f t="shared" si="7"/>
        <v>0</v>
      </c>
      <c r="C25" s="6">
        <f t="shared" si="7"/>
        <v>1</v>
      </c>
      <c r="D25" s="6">
        <f t="shared" si="7"/>
        <v>5</v>
      </c>
      <c r="E25" s="6">
        <f t="shared" si="7"/>
        <v>10</v>
      </c>
      <c r="F25" s="6">
        <f t="shared" si="7"/>
        <v>0</v>
      </c>
      <c r="G25" s="6">
        <f t="shared" si="7"/>
        <v>6</v>
      </c>
      <c r="H25" s="6">
        <f t="shared" si="7"/>
        <v>4</v>
      </c>
      <c r="I25" s="7" t="s">
        <v>13</v>
      </c>
      <c r="J25" s="9"/>
      <c r="K25" s="1"/>
    </row>
    <row r="26" spans="1:11" ht="13.5" thickBot="1" x14ac:dyDescent="0.25">
      <c r="A26" s="6">
        <f t="shared" si="0"/>
        <v>667</v>
      </c>
      <c r="B26" s="6">
        <v>2</v>
      </c>
      <c r="C26" s="6">
        <v>0</v>
      </c>
      <c r="D26" s="6">
        <v>20</v>
      </c>
      <c r="E26" s="6">
        <v>251</v>
      </c>
      <c r="F26" s="6">
        <v>21</v>
      </c>
      <c r="G26" s="6">
        <v>156</v>
      </c>
      <c r="H26" s="6">
        <v>217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96</v>
      </c>
      <c r="B27" s="6">
        <v>1</v>
      </c>
      <c r="C27" s="6">
        <v>0</v>
      </c>
      <c r="D27" s="6">
        <v>0</v>
      </c>
      <c r="E27" s="6">
        <v>15</v>
      </c>
      <c r="F27" s="6">
        <v>0</v>
      </c>
      <c r="G27" s="6">
        <v>50</v>
      </c>
      <c r="H27" s="6">
        <v>30</v>
      </c>
      <c r="I27" s="7" t="s">
        <v>11</v>
      </c>
      <c r="J27" s="124" t="s">
        <v>55</v>
      </c>
      <c r="K27" s="1"/>
    </row>
    <row r="28" spans="1:11" ht="13.5" thickBot="1" x14ac:dyDescent="0.25">
      <c r="A28" s="6">
        <f t="shared" ref="A28:H28" si="8">SUM(A26:A27)</f>
        <v>763</v>
      </c>
      <c r="B28" s="6">
        <f t="shared" si="8"/>
        <v>3</v>
      </c>
      <c r="C28" s="6">
        <f t="shared" si="8"/>
        <v>0</v>
      </c>
      <c r="D28" s="6">
        <f t="shared" si="8"/>
        <v>20</v>
      </c>
      <c r="E28" s="6">
        <f t="shared" si="8"/>
        <v>266</v>
      </c>
      <c r="F28" s="6">
        <f t="shared" si="8"/>
        <v>21</v>
      </c>
      <c r="G28" s="6">
        <f t="shared" si="8"/>
        <v>206</v>
      </c>
      <c r="H28" s="6">
        <f t="shared" si="8"/>
        <v>247</v>
      </c>
      <c r="I28" s="7" t="s">
        <v>13</v>
      </c>
      <c r="J28" s="9"/>
      <c r="K28" s="1"/>
    </row>
    <row r="29" spans="1:11" ht="13.5" thickBot="1" x14ac:dyDescent="0.25">
      <c r="A29" s="6">
        <f t="shared" si="0"/>
        <v>27</v>
      </c>
      <c r="B29" s="6">
        <v>0</v>
      </c>
      <c r="C29" s="6">
        <v>0</v>
      </c>
      <c r="D29" s="6">
        <v>3</v>
      </c>
      <c r="E29" s="6">
        <v>8</v>
      </c>
      <c r="F29" s="6">
        <v>0</v>
      </c>
      <c r="G29" s="6">
        <v>12</v>
      </c>
      <c r="H29" s="6">
        <v>4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71</v>
      </c>
      <c r="B30" s="6">
        <v>1</v>
      </c>
      <c r="C30" s="6">
        <v>0</v>
      </c>
      <c r="D30" s="6">
        <v>2</v>
      </c>
      <c r="E30" s="6">
        <v>15</v>
      </c>
      <c r="F30" s="6">
        <v>0</v>
      </c>
      <c r="G30" s="6">
        <v>34</v>
      </c>
      <c r="H30" s="6">
        <v>19</v>
      </c>
      <c r="I30" s="7" t="s">
        <v>11</v>
      </c>
      <c r="J30" s="124" t="s">
        <v>56</v>
      </c>
      <c r="K30" s="1"/>
    </row>
    <row r="31" spans="1:11" ht="13.5" thickBot="1" x14ac:dyDescent="0.25">
      <c r="A31" s="6">
        <f t="shared" ref="A31:H31" si="9">SUM(A29:A30)</f>
        <v>98</v>
      </c>
      <c r="B31" s="6">
        <f t="shared" si="9"/>
        <v>1</v>
      </c>
      <c r="C31" s="6">
        <f t="shared" si="9"/>
        <v>0</v>
      </c>
      <c r="D31" s="6">
        <f t="shared" si="9"/>
        <v>5</v>
      </c>
      <c r="E31" s="6">
        <f t="shared" si="9"/>
        <v>23</v>
      </c>
      <c r="F31" s="6">
        <f t="shared" si="9"/>
        <v>0</v>
      </c>
      <c r="G31" s="6">
        <f t="shared" si="9"/>
        <v>46</v>
      </c>
      <c r="H31" s="6">
        <f t="shared" si="9"/>
        <v>23</v>
      </c>
      <c r="I31" s="7" t="s">
        <v>13</v>
      </c>
      <c r="J31" s="9"/>
      <c r="K31" s="1"/>
    </row>
    <row r="32" spans="1:11" ht="13.5" thickBot="1" x14ac:dyDescent="0.25">
      <c r="A32" s="6">
        <f t="shared" si="0"/>
        <v>657</v>
      </c>
      <c r="B32" s="6">
        <v>358</v>
      </c>
      <c r="C32" s="6">
        <v>2</v>
      </c>
      <c r="D32" s="6">
        <v>4</v>
      </c>
      <c r="E32" s="6">
        <v>144</v>
      </c>
      <c r="F32" s="6">
        <v>0</v>
      </c>
      <c r="G32" s="6">
        <v>84</v>
      </c>
      <c r="H32" s="6">
        <v>65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87</v>
      </c>
      <c r="B33" s="6">
        <v>29</v>
      </c>
      <c r="C33" s="6">
        <v>1</v>
      </c>
      <c r="D33" s="6">
        <v>1</v>
      </c>
      <c r="E33" s="6">
        <v>24</v>
      </c>
      <c r="F33" s="6">
        <v>0</v>
      </c>
      <c r="G33" s="6">
        <v>24</v>
      </c>
      <c r="H33" s="6">
        <v>8</v>
      </c>
      <c r="I33" s="7" t="s">
        <v>11</v>
      </c>
      <c r="J33" s="124" t="s">
        <v>57</v>
      </c>
      <c r="K33" s="1"/>
    </row>
    <row r="34" spans="1:11" ht="13.5" thickBot="1" x14ac:dyDescent="0.25">
      <c r="A34" s="6">
        <f t="shared" ref="A34:H34" si="10">SUM(A32:A33)</f>
        <v>744</v>
      </c>
      <c r="B34" s="6">
        <f t="shared" si="10"/>
        <v>387</v>
      </c>
      <c r="C34" s="6">
        <f t="shared" si="10"/>
        <v>3</v>
      </c>
      <c r="D34" s="6">
        <f t="shared" si="10"/>
        <v>5</v>
      </c>
      <c r="E34" s="6">
        <f t="shared" si="10"/>
        <v>168</v>
      </c>
      <c r="F34" s="6">
        <f t="shared" si="10"/>
        <v>0</v>
      </c>
      <c r="G34" s="6">
        <f t="shared" si="10"/>
        <v>108</v>
      </c>
      <c r="H34" s="6">
        <f t="shared" si="10"/>
        <v>73</v>
      </c>
      <c r="I34" s="7" t="s">
        <v>13</v>
      </c>
      <c r="J34" s="9"/>
      <c r="K34" s="1"/>
    </row>
    <row r="35" spans="1:11" ht="13.5" thickBot="1" x14ac:dyDescent="0.25">
      <c r="A35" s="6">
        <f t="shared" ref="A35:G37" si="11">A5+A8+A11+A14+A17+A20+A23+A26+A29+A32</f>
        <v>13211</v>
      </c>
      <c r="B35" s="6">
        <f t="shared" si="11"/>
        <v>481</v>
      </c>
      <c r="C35" s="6">
        <f t="shared" si="11"/>
        <v>131</v>
      </c>
      <c r="D35" s="6">
        <f t="shared" si="11"/>
        <v>373</v>
      </c>
      <c r="E35" s="6">
        <f t="shared" si="11"/>
        <v>3929</v>
      </c>
      <c r="F35" s="6">
        <f t="shared" si="11"/>
        <v>27</v>
      </c>
      <c r="G35" s="6">
        <f t="shared" si="11"/>
        <v>6063</v>
      </c>
      <c r="H35" s="6">
        <f>H5+H8+H11+H14+H17+H20+H23+H26+H29+H32</f>
        <v>2207</v>
      </c>
      <c r="I35" s="7" t="s">
        <v>10</v>
      </c>
      <c r="J35" s="3"/>
      <c r="K35" s="1"/>
    </row>
    <row r="36" spans="1:11" ht="13.5" thickBot="1" x14ac:dyDescent="0.25">
      <c r="A36" s="6">
        <f t="shared" si="11"/>
        <v>3560</v>
      </c>
      <c r="B36" s="6">
        <f t="shared" si="11"/>
        <v>53</v>
      </c>
      <c r="C36" s="6">
        <f t="shared" si="11"/>
        <v>34</v>
      </c>
      <c r="D36" s="6">
        <f t="shared" si="11"/>
        <v>160</v>
      </c>
      <c r="E36" s="6">
        <f t="shared" si="11"/>
        <v>1305</v>
      </c>
      <c r="F36" s="6">
        <f t="shared" si="11"/>
        <v>1</v>
      </c>
      <c r="G36" s="6">
        <f t="shared" si="11"/>
        <v>1217</v>
      </c>
      <c r="H36" s="6">
        <f>H6+H9+H12+H15+H18+H21+H24+H27+H30+H33</f>
        <v>790</v>
      </c>
      <c r="I36" s="7" t="s">
        <v>11</v>
      </c>
      <c r="J36" s="11" t="s">
        <v>211</v>
      </c>
      <c r="K36" s="1"/>
    </row>
    <row r="37" spans="1:11" ht="13.5" thickBot="1" x14ac:dyDescent="0.25">
      <c r="A37" s="6">
        <f t="shared" si="11"/>
        <v>16771</v>
      </c>
      <c r="B37" s="6">
        <f t="shared" si="11"/>
        <v>534</v>
      </c>
      <c r="C37" s="6">
        <f t="shared" si="11"/>
        <v>165</v>
      </c>
      <c r="D37" s="6">
        <f t="shared" si="11"/>
        <v>533</v>
      </c>
      <c r="E37" s="6">
        <f t="shared" si="11"/>
        <v>5234</v>
      </c>
      <c r="F37" s="6">
        <f t="shared" si="11"/>
        <v>28</v>
      </c>
      <c r="G37" s="6">
        <f t="shared" si="11"/>
        <v>7280</v>
      </c>
      <c r="H37" s="6">
        <f>H7+H10+H13+H16+H19+H22+H25+H28+H31+H34</f>
        <v>2997</v>
      </c>
      <c r="I37" s="7" t="s">
        <v>13</v>
      </c>
      <c r="J37" s="5"/>
      <c r="K37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7"/>
  <sheetViews>
    <sheetView showGridLines="0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670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671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180</v>
      </c>
      <c r="K4" s="1"/>
    </row>
    <row r="5" spans="1:11" ht="13.5" thickBot="1" x14ac:dyDescent="0.25">
      <c r="A5" s="6">
        <f>SUM(B5:H5)</f>
        <v>190</v>
      </c>
      <c r="B5" s="6">
        <v>5</v>
      </c>
      <c r="C5" s="6">
        <v>0</v>
      </c>
      <c r="D5" s="6">
        <v>34</v>
      </c>
      <c r="E5" s="6">
        <v>64</v>
      </c>
      <c r="F5" s="6">
        <v>0</v>
      </c>
      <c r="G5" s="6">
        <v>43</v>
      </c>
      <c r="H5" s="6">
        <v>44</v>
      </c>
      <c r="I5" s="7" t="s">
        <v>10</v>
      </c>
      <c r="J5" s="124"/>
      <c r="K5" s="1"/>
    </row>
    <row r="6" spans="1:11" ht="13.5" thickBot="1" x14ac:dyDescent="0.25">
      <c r="A6" s="6">
        <f t="shared" ref="A6:A33" si="0">SUM(B6:H6)</f>
        <v>141</v>
      </c>
      <c r="B6" s="6">
        <v>2</v>
      </c>
      <c r="C6" s="6">
        <v>0</v>
      </c>
      <c r="D6" s="6">
        <v>12</v>
      </c>
      <c r="E6" s="6">
        <v>24</v>
      </c>
      <c r="F6" s="6">
        <v>0</v>
      </c>
      <c r="G6" s="6">
        <v>92</v>
      </c>
      <c r="H6" s="6">
        <v>11</v>
      </c>
      <c r="I6" s="7" t="s">
        <v>11</v>
      </c>
      <c r="J6" s="124" t="s">
        <v>48</v>
      </c>
      <c r="K6" s="1"/>
    </row>
    <row r="7" spans="1:11" ht="13.5" thickBot="1" x14ac:dyDescent="0.25">
      <c r="A7" s="6">
        <f t="shared" ref="A7:G7" si="1">SUM(A5:A6)</f>
        <v>331</v>
      </c>
      <c r="B7" s="6">
        <f t="shared" si="1"/>
        <v>7</v>
      </c>
      <c r="C7" s="6">
        <f t="shared" si="1"/>
        <v>0</v>
      </c>
      <c r="D7" s="6">
        <f t="shared" si="1"/>
        <v>46</v>
      </c>
      <c r="E7" s="6">
        <f t="shared" si="1"/>
        <v>88</v>
      </c>
      <c r="F7" s="6">
        <f t="shared" si="1"/>
        <v>0</v>
      </c>
      <c r="G7" s="6">
        <f t="shared" si="1"/>
        <v>135</v>
      </c>
      <c r="H7" s="6">
        <f>SUM(H5:H6)</f>
        <v>55</v>
      </c>
      <c r="I7" s="7" t="s">
        <v>13</v>
      </c>
      <c r="J7" s="9"/>
      <c r="K7" s="1"/>
    </row>
    <row r="8" spans="1:11" ht="13.5" thickBot="1" x14ac:dyDescent="0.25">
      <c r="A8" s="6">
        <f t="shared" si="0"/>
        <v>91</v>
      </c>
      <c r="B8" s="6">
        <v>1</v>
      </c>
      <c r="C8" s="6">
        <v>0</v>
      </c>
      <c r="D8" s="6">
        <v>23</v>
      </c>
      <c r="E8" s="6">
        <v>33</v>
      </c>
      <c r="F8" s="6">
        <v>0</v>
      </c>
      <c r="G8" s="6">
        <v>16</v>
      </c>
      <c r="H8" s="6">
        <v>18</v>
      </c>
      <c r="I8" s="7" t="s">
        <v>10</v>
      </c>
      <c r="J8" s="124"/>
      <c r="K8" s="1"/>
    </row>
    <row r="9" spans="1:11" ht="13.5" thickBot="1" x14ac:dyDescent="0.25">
      <c r="A9" s="6">
        <f t="shared" si="0"/>
        <v>98</v>
      </c>
      <c r="B9" s="6">
        <v>0</v>
      </c>
      <c r="C9" s="6">
        <v>0</v>
      </c>
      <c r="D9" s="6">
        <v>5</v>
      </c>
      <c r="E9" s="6">
        <v>26</v>
      </c>
      <c r="F9" s="6">
        <v>0</v>
      </c>
      <c r="G9" s="6">
        <v>56</v>
      </c>
      <c r="H9" s="6">
        <v>11</v>
      </c>
      <c r="I9" s="7" t="s">
        <v>11</v>
      </c>
      <c r="J9" s="124" t="s">
        <v>49</v>
      </c>
      <c r="K9" s="1"/>
    </row>
    <row r="10" spans="1:11" ht="13.5" thickBot="1" x14ac:dyDescent="0.25">
      <c r="A10" s="6">
        <f t="shared" ref="A10:H10" si="2">SUM(A8:A9)</f>
        <v>189</v>
      </c>
      <c r="B10" s="6">
        <f t="shared" si="2"/>
        <v>1</v>
      </c>
      <c r="C10" s="6">
        <f t="shared" si="2"/>
        <v>0</v>
      </c>
      <c r="D10" s="6">
        <f t="shared" si="2"/>
        <v>28</v>
      </c>
      <c r="E10" s="6">
        <f t="shared" si="2"/>
        <v>59</v>
      </c>
      <c r="F10" s="6">
        <f t="shared" si="2"/>
        <v>0</v>
      </c>
      <c r="G10" s="6">
        <f t="shared" si="2"/>
        <v>72</v>
      </c>
      <c r="H10" s="6">
        <f t="shared" si="2"/>
        <v>29</v>
      </c>
      <c r="I10" s="7" t="s">
        <v>13</v>
      </c>
      <c r="J10" s="9"/>
      <c r="K10" s="1"/>
    </row>
    <row r="11" spans="1:11" ht="13.5" thickBot="1" x14ac:dyDescent="0.25">
      <c r="A11" s="6">
        <f t="shared" si="0"/>
        <v>1712</v>
      </c>
      <c r="B11" s="6">
        <v>19</v>
      </c>
      <c r="C11" s="6">
        <v>0</v>
      </c>
      <c r="D11" s="6">
        <v>74</v>
      </c>
      <c r="E11" s="6">
        <v>1045</v>
      </c>
      <c r="F11" s="6">
        <v>5</v>
      </c>
      <c r="G11" s="6">
        <v>314</v>
      </c>
      <c r="H11" s="6">
        <v>255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603</v>
      </c>
      <c r="B12" s="6">
        <v>3</v>
      </c>
      <c r="C12" s="6">
        <v>0</v>
      </c>
      <c r="D12" s="6">
        <v>27</v>
      </c>
      <c r="E12" s="6">
        <v>248</v>
      </c>
      <c r="F12" s="6">
        <v>1</v>
      </c>
      <c r="G12" s="6">
        <v>74</v>
      </c>
      <c r="H12" s="6">
        <v>250</v>
      </c>
      <c r="I12" s="7" t="s">
        <v>11</v>
      </c>
      <c r="J12" s="124" t="s">
        <v>50</v>
      </c>
      <c r="K12" s="1"/>
    </row>
    <row r="13" spans="1:11" ht="13.5" thickBot="1" x14ac:dyDescent="0.25">
      <c r="A13" s="6">
        <f t="shared" ref="A13:H13" si="3">SUM(A11:A12)</f>
        <v>2315</v>
      </c>
      <c r="B13" s="6">
        <f t="shared" si="3"/>
        <v>22</v>
      </c>
      <c r="C13" s="6">
        <f t="shared" si="3"/>
        <v>0</v>
      </c>
      <c r="D13" s="6">
        <f t="shared" si="3"/>
        <v>101</v>
      </c>
      <c r="E13" s="6">
        <f t="shared" si="3"/>
        <v>1293</v>
      </c>
      <c r="F13" s="6">
        <f t="shared" si="3"/>
        <v>6</v>
      </c>
      <c r="G13" s="6">
        <f t="shared" si="3"/>
        <v>388</v>
      </c>
      <c r="H13" s="6">
        <f t="shared" si="3"/>
        <v>505</v>
      </c>
      <c r="I13" s="7" t="s">
        <v>13</v>
      </c>
      <c r="J13" s="9"/>
      <c r="K13" s="1"/>
    </row>
    <row r="14" spans="1:11" ht="13.5" thickBot="1" x14ac:dyDescent="0.25">
      <c r="A14" s="6">
        <f t="shared" si="0"/>
        <v>1189</v>
      </c>
      <c r="B14" s="6">
        <v>11</v>
      </c>
      <c r="C14" s="6">
        <v>1</v>
      </c>
      <c r="D14" s="6">
        <v>80</v>
      </c>
      <c r="E14" s="6">
        <v>732</v>
      </c>
      <c r="F14" s="6">
        <v>0</v>
      </c>
      <c r="G14" s="6">
        <v>200</v>
      </c>
      <c r="H14" s="6">
        <v>165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499</v>
      </c>
      <c r="B15" s="6">
        <v>1</v>
      </c>
      <c r="C15" s="6">
        <v>0</v>
      </c>
      <c r="D15" s="6">
        <v>44</v>
      </c>
      <c r="E15" s="6">
        <v>252</v>
      </c>
      <c r="F15" s="6">
        <v>0</v>
      </c>
      <c r="G15" s="6">
        <v>80</v>
      </c>
      <c r="H15" s="6">
        <v>122</v>
      </c>
      <c r="I15" s="7" t="s">
        <v>11</v>
      </c>
      <c r="J15" s="124" t="s">
        <v>51</v>
      </c>
      <c r="K15" s="1"/>
    </row>
    <row r="16" spans="1:11" ht="13.5" thickBot="1" x14ac:dyDescent="0.25">
      <c r="A16" s="6">
        <f t="shared" ref="A16:H16" si="4">SUM(A14:A15)</f>
        <v>1688</v>
      </c>
      <c r="B16" s="6">
        <f t="shared" si="4"/>
        <v>12</v>
      </c>
      <c r="C16" s="6">
        <f t="shared" si="4"/>
        <v>1</v>
      </c>
      <c r="D16" s="6">
        <f t="shared" si="4"/>
        <v>124</v>
      </c>
      <c r="E16" s="6">
        <f t="shared" si="4"/>
        <v>984</v>
      </c>
      <c r="F16" s="6">
        <f t="shared" si="4"/>
        <v>0</v>
      </c>
      <c r="G16" s="6">
        <f t="shared" si="4"/>
        <v>280</v>
      </c>
      <c r="H16" s="6">
        <f t="shared" si="4"/>
        <v>287</v>
      </c>
      <c r="I16" s="7" t="s">
        <v>13</v>
      </c>
      <c r="J16" s="9"/>
      <c r="K16" s="1"/>
    </row>
    <row r="17" spans="1:11" ht="13.5" thickBot="1" x14ac:dyDescent="0.25">
      <c r="A17" s="6">
        <f t="shared" si="0"/>
        <v>1017</v>
      </c>
      <c r="B17" s="6">
        <v>12</v>
      </c>
      <c r="C17" s="6">
        <v>0</v>
      </c>
      <c r="D17" s="6">
        <v>37</v>
      </c>
      <c r="E17" s="6">
        <v>431</v>
      </c>
      <c r="F17" s="6">
        <v>1</v>
      </c>
      <c r="G17" s="6">
        <v>421</v>
      </c>
      <c r="H17" s="6">
        <v>115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57</v>
      </c>
      <c r="B18" s="6">
        <v>0</v>
      </c>
      <c r="C18" s="6">
        <v>0</v>
      </c>
      <c r="D18" s="6">
        <v>3</v>
      </c>
      <c r="E18" s="6">
        <v>26</v>
      </c>
      <c r="F18" s="6">
        <v>0</v>
      </c>
      <c r="G18" s="6">
        <v>20</v>
      </c>
      <c r="H18" s="6">
        <v>8</v>
      </c>
      <c r="I18" s="7" t="s">
        <v>11</v>
      </c>
      <c r="J18" s="124" t="s">
        <v>52</v>
      </c>
      <c r="K18" s="1"/>
    </row>
    <row r="19" spans="1:11" ht="13.5" thickBot="1" x14ac:dyDescent="0.25">
      <c r="A19" s="6">
        <f t="shared" ref="A19:H19" si="5">SUM(A17:A18)</f>
        <v>1074</v>
      </c>
      <c r="B19" s="6">
        <f t="shared" si="5"/>
        <v>12</v>
      </c>
      <c r="C19" s="6">
        <f t="shared" si="5"/>
        <v>0</v>
      </c>
      <c r="D19" s="6">
        <f t="shared" si="5"/>
        <v>40</v>
      </c>
      <c r="E19" s="6">
        <f t="shared" si="5"/>
        <v>457</v>
      </c>
      <c r="F19" s="6">
        <f t="shared" si="5"/>
        <v>1</v>
      </c>
      <c r="G19" s="6">
        <f t="shared" si="5"/>
        <v>441</v>
      </c>
      <c r="H19" s="6">
        <f t="shared" si="5"/>
        <v>123</v>
      </c>
      <c r="I19" s="7" t="s">
        <v>13</v>
      </c>
      <c r="J19" s="9"/>
      <c r="K19" s="1"/>
    </row>
    <row r="20" spans="1:11" ht="13.5" thickBot="1" x14ac:dyDescent="0.25">
      <c r="A20" s="6">
        <f t="shared" si="0"/>
        <v>909</v>
      </c>
      <c r="B20" s="6">
        <v>11</v>
      </c>
      <c r="C20" s="6">
        <v>107</v>
      </c>
      <c r="D20" s="6">
        <v>49</v>
      </c>
      <c r="E20" s="6">
        <v>294</v>
      </c>
      <c r="F20" s="6">
        <v>0</v>
      </c>
      <c r="G20" s="6">
        <v>371</v>
      </c>
      <c r="H20" s="6">
        <v>77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615</v>
      </c>
      <c r="B21" s="6">
        <v>10</v>
      </c>
      <c r="C21" s="6">
        <v>23</v>
      </c>
      <c r="D21" s="6">
        <v>37</v>
      </c>
      <c r="E21" s="6">
        <v>251</v>
      </c>
      <c r="F21" s="6">
        <v>0</v>
      </c>
      <c r="G21" s="6">
        <v>153</v>
      </c>
      <c r="H21" s="6">
        <v>141</v>
      </c>
      <c r="I21" s="7" t="s">
        <v>11</v>
      </c>
      <c r="J21" s="124" t="s">
        <v>53</v>
      </c>
      <c r="K21" s="1"/>
    </row>
    <row r="22" spans="1:11" ht="13.5" thickBot="1" x14ac:dyDescent="0.25">
      <c r="A22" s="6">
        <f t="shared" ref="A22:H22" si="6">SUM(A20:A21)</f>
        <v>1524</v>
      </c>
      <c r="B22" s="6">
        <f t="shared" si="6"/>
        <v>21</v>
      </c>
      <c r="C22" s="6">
        <f t="shared" si="6"/>
        <v>130</v>
      </c>
      <c r="D22" s="6">
        <f t="shared" si="6"/>
        <v>86</v>
      </c>
      <c r="E22" s="6">
        <f t="shared" si="6"/>
        <v>545</v>
      </c>
      <c r="F22" s="6">
        <f t="shared" si="6"/>
        <v>0</v>
      </c>
      <c r="G22" s="6">
        <f t="shared" si="6"/>
        <v>524</v>
      </c>
      <c r="H22" s="6">
        <f t="shared" si="6"/>
        <v>218</v>
      </c>
      <c r="I22" s="7" t="s">
        <v>13</v>
      </c>
      <c r="J22" s="9"/>
      <c r="K22" s="1"/>
    </row>
    <row r="23" spans="1:11" ht="13.5" thickBot="1" x14ac:dyDescent="0.25">
      <c r="A23" s="6">
        <f t="shared" si="0"/>
        <v>12</v>
      </c>
      <c r="B23" s="6">
        <v>0</v>
      </c>
      <c r="C23" s="6">
        <v>0</v>
      </c>
      <c r="D23" s="6">
        <v>4</v>
      </c>
      <c r="E23" s="6">
        <v>4</v>
      </c>
      <c r="F23" s="6">
        <v>0</v>
      </c>
      <c r="G23" s="6">
        <v>0</v>
      </c>
      <c r="H23" s="6">
        <v>4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6</v>
      </c>
      <c r="B24" s="6">
        <v>0</v>
      </c>
      <c r="C24" s="6">
        <v>0</v>
      </c>
      <c r="D24" s="6">
        <v>0</v>
      </c>
      <c r="E24" s="6">
        <v>6</v>
      </c>
      <c r="F24" s="6">
        <v>0</v>
      </c>
      <c r="G24" s="6">
        <v>0</v>
      </c>
      <c r="H24" s="6">
        <v>0</v>
      </c>
      <c r="I24" s="7" t="s">
        <v>11</v>
      </c>
      <c r="J24" s="124" t="s">
        <v>54</v>
      </c>
      <c r="K24" s="1"/>
    </row>
    <row r="25" spans="1:11" ht="13.5" thickBot="1" x14ac:dyDescent="0.25">
      <c r="A25" s="6">
        <f t="shared" ref="A25:H25" si="7">SUM(A23:A24)</f>
        <v>18</v>
      </c>
      <c r="B25" s="6">
        <f t="shared" si="7"/>
        <v>0</v>
      </c>
      <c r="C25" s="6">
        <f t="shared" si="7"/>
        <v>0</v>
      </c>
      <c r="D25" s="6">
        <f t="shared" si="7"/>
        <v>4</v>
      </c>
      <c r="E25" s="6">
        <f t="shared" si="7"/>
        <v>10</v>
      </c>
      <c r="F25" s="6">
        <f t="shared" si="7"/>
        <v>0</v>
      </c>
      <c r="G25" s="6">
        <f t="shared" si="7"/>
        <v>0</v>
      </c>
      <c r="H25" s="6">
        <f t="shared" si="7"/>
        <v>4</v>
      </c>
      <c r="I25" s="7" t="s">
        <v>13</v>
      </c>
      <c r="J25" s="9"/>
      <c r="K25" s="1"/>
    </row>
    <row r="26" spans="1:11" ht="13.5" thickBot="1" x14ac:dyDescent="0.25">
      <c r="A26" s="6">
        <f t="shared" si="0"/>
        <v>304</v>
      </c>
      <c r="B26" s="6">
        <v>2</v>
      </c>
      <c r="C26" s="6">
        <v>0</v>
      </c>
      <c r="D26" s="6">
        <v>16</v>
      </c>
      <c r="E26" s="6">
        <v>188</v>
      </c>
      <c r="F26" s="6">
        <v>0</v>
      </c>
      <c r="G26" s="6">
        <v>27</v>
      </c>
      <c r="H26" s="6">
        <v>71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45</v>
      </c>
      <c r="B27" s="6">
        <v>1</v>
      </c>
      <c r="C27" s="6">
        <v>0</v>
      </c>
      <c r="D27" s="6">
        <v>0</v>
      </c>
      <c r="E27" s="6">
        <v>13</v>
      </c>
      <c r="F27" s="6">
        <v>0</v>
      </c>
      <c r="G27" s="6">
        <v>10</v>
      </c>
      <c r="H27" s="6">
        <v>21</v>
      </c>
      <c r="I27" s="7" t="s">
        <v>11</v>
      </c>
      <c r="J27" s="124" t="s">
        <v>55</v>
      </c>
      <c r="K27" s="1"/>
    </row>
    <row r="28" spans="1:11" ht="13.5" thickBot="1" x14ac:dyDescent="0.25">
      <c r="A28" s="6">
        <f t="shared" ref="A28:H28" si="8">SUM(A26:A27)</f>
        <v>349</v>
      </c>
      <c r="B28" s="6">
        <f t="shared" si="8"/>
        <v>3</v>
      </c>
      <c r="C28" s="6">
        <f t="shared" si="8"/>
        <v>0</v>
      </c>
      <c r="D28" s="6">
        <f t="shared" si="8"/>
        <v>16</v>
      </c>
      <c r="E28" s="6">
        <f t="shared" si="8"/>
        <v>201</v>
      </c>
      <c r="F28" s="6">
        <f t="shared" si="8"/>
        <v>0</v>
      </c>
      <c r="G28" s="6">
        <f t="shared" si="8"/>
        <v>37</v>
      </c>
      <c r="H28" s="6">
        <f t="shared" si="8"/>
        <v>92</v>
      </c>
      <c r="I28" s="7" t="s">
        <v>13</v>
      </c>
      <c r="J28" s="9"/>
      <c r="K28" s="1"/>
    </row>
    <row r="29" spans="1:11" ht="13.5" thickBot="1" x14ac:dyDescent="0.25">
      <c r="A29" s="6">
        <f t="shared" si="0"/>
        <v>9</v>
      </c>
      <c r="B29" s="6">
        <v>0</v>
      </c>
      <c r="C29" s="6">
        <v>0</v>
      </c>
      <c r="D29" s="6">
        <v>3</v>
      </c>
      <c r="E29" s="6">
        <v>4</v>
      </c>
      <c r="F29" s="6">
        <v>0</v>
      </c>
      <c r="G29" s="6">
        <v>1</v>
      </c>
      <c r="H29" s="6">
        <v>1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17</v>
      </c>
      <c r="B30" s="6">
        <v>0</v>
      </c>
      <c r="C30" s="6">
        <v>0</v>
      </c>
      <c r="D30" s="6">
        <v>1</v>
      </c>
      <c r="E30" s="6">
        <v>7</v>
      </c>
      <c r="F30" s="6">
        <v>0</v>
      </c>
      <c r="G30" s="6">
        <v>5</v>
      </c>
      <c r="H30" s="6">
        <v>4</v>
      </c>
      <c r="I30" s="7" t="s">
        <v>11</v>
      </c>
      <c r="J30" s="124" t="s">
        <v>56</v>
      </c>
      <c r="K30" s="1"/>
    </row>
    <row r="31" spans="1:11" ht="13.5" thickBot="1" x14ac:dyDescent="0.25">
      <c r="A31" s="6">
        <f t="shared" ref="A31:H31" si="9">SUM(A29:A30)</f>
        <v>26</v>
      </c>
      <c r="B31" s="6">
        <f t="shared" si="9"/>
        <v>0</v>
      </c>
      <c r="C31" s="6">
        <f t="shared" si="9"/>
        <v>0</v>
      </c>
      <c r="D31" s="6">
        <f t="shared" si="9"/>
        <v>4</v>
      </c>
      <c r="E31" s="6">
        <f t="shared" si="9"/>
        <v>11</v>
      </c>
      <c r="F31" s="6">
        <f t="shared" si="9"/>
        <v>0</v>
      </c>
      <c r="G31" s="6">
        <f t="shared" si="9"/>
        <v>6</v>
      </c>
      <c r="H31" s="6">
        <f t="shared" si="9"/>
        <v>5</v>
      </c>
      <c r="I31" s="7" t="s">
        <v>13</v>
      </c>
      <c r="J31" s="9"/>
      <c r="K31" s="1"/>
    </row>
    <row r="32" spans="1:11" ht="13.5" thickBot="1" x14ac:dyDescent="0.25">
      <c r="A32" s="6">
        <f t="shared" si="0"/>
        <v>595</v>
      </c>
      <c r="B32" s="6">
        <v>321</v>
      </c>
      <c r="C32" s="6">
        <v>2</v>
      </c>
      <c r="D32" s="6">
        <v>4</v>
      </c>
      <c r="E32" s="6">
        <v>141</v>
      </c>
      <c r="F32" s="6">
        <v>0</v>
      </c>
      <c r="G32" s="6">
        <v>67</v>
      </c>
      <c r="H32" s="6">
        <v>60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73</v>
      </c>
      <c r="B33" s="6">
        <v>23</v>
      </c>
      <c r="C33" s="6">
        <v>1</v>
      </c>
      <c r="D33" s="6">
        <v>0</v>
      </c>
      <c r="E33" s="6">
        <v>21</v>
      </c>
      <c r="F33" s="6">
        <v>0</v>
      </c>
      <c r="G33" s="6">
        <v>20</v>
      </c>
      <c r="H33" s="6">
        <v>8</v>
      </c>
      <c r="I33" s="7" t="s">
        <v>11</v>
      </c>
      <c r="J33" s="124" t="s">
        <v>57</v>
      </c>
      <c r="K33" s="1"/>
    </row>
    <row r="34" spans="1:11" ht="13.5" thickBot="1" x14ac:dyDescent="0.25">
      <c r="A34" s="6">
        <f t="shared" ref="A34:H34" si="10">SUM(A32:A33)</f>
        <v>668</v>
      </c>
      <c r="B34" s="6">
        <f t="shared" si="10"/>
        <v>344</v>
      </c>
      <c r="C34" s="6">
        <f t="shared" si="10"/>
        <v>3</v>
      </c>
      <c r="D34" s="6">
        <f t="shared" si="10"/>
        <v>4</v>
      </c>
      <c r="E34" s="6">
        <f t="shared" si="10"/>
        <v>162</v>
      </c>
      <c r="F34" s="6">
        <f t="shared" si="10"/>
        <v>0</v>
      </c>
      <c r="G34" s="6">
        <f t="shared" si="10"/>
        <v>87</v>
      </c>
      <c r="H34" s="6">
        <f t="shared" si="10"/>
        <v>68</v>
      </c>
      <c r="I34" s="7" t="s">
        <v>13</v>
      </c>
      <c r="J34" s="9"/>
      <c r="K34" s="1"/>
    </row>
    <row r="35" spans="1:11" ht="13.5" thickBot="1" x14ac:dyDescent="0.25">
      <c r="A35" s="6">
        <f t="shared" ref="A35:G37" si="11">A5+A8+A11+A14+A17+A20+A23+A26+A29+A32</f>
        <v>6028</v>
      </c>
      <c r="B35" s="6">
        <f t="shared" si="11"/>
        <v>382</v>
      </c>
      <c r="C35" s="6">
        <f t="shared" si="11"/>
        <v>110</v>
      </c>
      <c r="D35" s="6">
        <f t="shared" si="11"/>
        <v>324</v>
      </c>
      <c r="E35" s="6">
        <f t="shared" si="11"/>
        <v>2936</v>
      </c>
      <c r="F35" s="6">
        <f t="shared" si="11"/>
        <v>6</v>
      </c>
      <c r="G35" s="6">
        <f t="shared" si="11"/>
        <v>1460</v>
      </c>
      <c r="H35" s="6">
        <f>H5+H8+H11+H14+H17+H20+H23+H26+H29+H32</f>
        <v>810</v>
      </c>
      <c r="I35" s="7" t="s">
        <v>10</v>
      </c>
      <c r="J35" s="3"/>
      <c r="K35" s="1"/>
    </row>
    <row r="36" spans="1:11" ht="13.5" thickBot="1" x14ac:dyDescent="0.25">
      <c r="A36" s="6">
        <f t="shared" si="11"/>
        <v>2154</v>
      </c>
      <c r="B36" s="6">
        <f t="shared" si="11"/>
        <v>40</v>
      </c>
      <c r="C36" s="6">
        <f t="shared" si="11"/>
        <v>24</v>
      </c>
      <c r="D36" s="6">
        <f t="shared" si="11"/>
        <v>129</v>
      </c>
      <c r="E36" s="6">
        <f t="shared" si="11"/>
        <v>874</v>
      </c>
      <c r="F36" s="6">
        <f t="shared" si="11"/>
        <v>1</v>
      </c>
      <c r="G36" s="6">
        <f t="shared" si="11"/>
        <v>510</v>
      </c>
      <c r="H36" s="6">
        <f>H6+H9+H12+H15+H18+H21+H24+H27+H30+H33</f>
        <v>576</v>
      </c>
      <c r="I36" s="7" t="s">
        <v>11</v>
      </c>
      <c r="J36" s="11" t="s">
        <v>211</v>
      </c>
      <c r="K36" s="1"/>
    </row>
    <row r="37" spans="1:11" ht="13.5" thickBot="1" x14ac:dyDescent="0.25">
      <c r="A37" s="6">
        <f t="shared" si="11"/>
        <v>8182</v>
      </c>
      <c r="B37" s="6">
        <f t="shared" si="11"/>
        <v>422</v>
      </c>
      <c r="C37" s="6">
        <f t="shared" si="11"/>
        <v>134</v>
      </c>
      <c r="D37" s="6">
        <f t="shared" si="11"/>
        <v>453</v>
      </c>
      <c r="E37" s="6">
        <f t="shared" si="11"/>
        <v>3810</v>
      </c>
      <c r="F37" s="6">
        <f t="shared" si="11"/>
        <v>7</v>
      </c>
      <c r="G37" s="6">
        <f t="shared" si="11"/>
        <v>1970</v>
      </c>
      <c r="H37" s="6">
        <f>H7+H10+H13+H16+H19+H22+H25+H28+H31+H34</f>
        <v>1386</v>
      </c>
      <c r="I37" s="7" t="s">
        <v>13</v>
      </c>
      <c r="J37" s="5"/>
      <c r="K37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37"/>
  <sheetViews>
    <sheetView showGridLines="0" topLeftCell="A34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672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673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180</v>
      </c>
      <c r="K4" s="1"/>
    </row>
    <row r="5" spans="1:11" ht="13.5" thickBot="1" x14ac:dyDescent="0.25">
      <c r="A5" s="6">
        <f>SUM(B5:H5)</f>
        <v>141</v>
      </c>
      <c r="B5" s="6">
        <v>0</v>
      </c>
      <c r="C5" s="6">
        <v>0</v>
      </c>
      <c r="D5" s="6">
        <v>3</v>
      </c>
      <c r="E5" s="6">
        <v>35</v>
      </c>
      <c r="F5" s="6">
        <v>0</v>
      </c>
      <c r="G5" s="6">
        <v>73</v>
      </c>
      <c r="H5" s="6">
        <v>30</v>
      </c>
      <c r="I5" s="7" t="s">
        <v>10</v>
      </c>
      <c r="J5" s="124"/>
      <c r="K5" s="1"/>
    </row>
    <row r="6" spans="1:11" ht="13.5" thickBot="1" x14ac:dyDescent="0.25">
      <c r="A6" s="6">
        <f t="shared" ref="A6:A33" si="0">SUM(B6:H6)</f>
        <v>114</v>
      </c>
      <c r="B6" s="6">
        <v>0</v>
      </c>
      <c r="C6" s="6">
        <v>0</v>
      </c>
      <c r="D6" s="6">
        <v>2</v>
      </c>
      <c r="E6" s="6">
        <v>48</v>
      </c>
      <c r="F6" s="6">
        <v>0</v>
      </c>
      <c r="G6" s="6">
        <v>48</v>
      </c>
      <c r="H6" s="6">
        <v>16</v>
      </c>
      <c r="I6" s="7" t="s">
        <v>11</v>
      </c>
      <c r="J6" s="124" t="s">
        <v>48</v>
      </c>
      <c r="K6" s="1"/>
    </row>
    <row r="7" spans="1:11" ht="13.5" thickBot="1" x14ac:dyDescent="0.25">
      <c r="A7" s="6">
        <f t="shared" ref="A7:G7" si="1">SUM(A5:A6)</f>
        <v>255</v>
      </c>
      <c r="B7" s="6">
        <f t="shared" si="1"/>
        <v>0</v>
      </c>
      <c r="C7" s="6">
        <f t="shared" si="1"/>
        <v>0</v>
      </c>
      <c r="D7" s="6">
        <f t="shared" si="1"/>
        <v>5</v>
      </c>
      <c r="E7" s="6">
        <f t="shared" si="1"/>
        <v>83</v>
      </c>
      <c r="F7" s="6">
        <f t="shared" si="1"/>
        <v>0</v>
      </c>
      <c r="G7" s="6">
        <f t="shared" si="1"/>
        <v>121</v>
      </c>
      <c r="H7" s="6">
        <f>SUM(H5:H6)</f>
        <v>46</v>
      </c>
      <c r="I7" s="7" t="s">
        <v>13</v>
      </c>
      <c r="J7" s="9"/>
      <c r="K7" s="1"/>
    </row>
    <row r="8" spans="1:11" ht="13.5" thickBot="1" x14ac:dyDescent="0.25">
      <c r="A8" s="6">
        <f t="shared" si="0"/>
        <v>53</v>
      </c>
      <c r="B8" s="6">
        <v>0</v>
      </c>
      <c r="C8" s="6">
        <v>0</v>
      </c>
      <c r="D8" s="6">
        <v>8</v>
      </c>
      <c r="E8" s="6">
        <v>28</v>
      </c>
      <c r="F8" s="6">
        <v>0</v>
      </c>
      <c r="G8" s="6">
        <v>2</v>
      </c>
      <c r="H8" s="6">
        <v>15</v>
      </c>
      <c r="I8" s="7" t="s">
        <v>10</v>
      </c>
      <c r="J8" s="124"/>
      <c r="K8" s="1"/>
    </row>
    <row r="9" spans="1:11" ht="13.5" thickBot="1" x14ac:dyDescent="0.25">
      <c r="A9" s="6">
        <f t="shared" si="0"/>
        <v>113</v>
      </c>
      <c r="B9" s="6">
        <v>0</v>
      </c>
      <c r="C9" s="6">
        <v>0</v>
      </c>
      <c r="D9" s="6">
        <v>5</v>
      </c>
      <c r="E9" s="6">
        <v>80</v>
      </c>
      <c r="F9" s="6">
        <v>0</v>
      </c>
      <c r="G9" s="6">
        <v>12</v>
      </c>
      <c r="H9" s="6">
        <v>16</v>
      </c>
      <c r="I9" s="7" t="s">
        <v>11</v>
      </c>
      <c r="J9" s="124" t="s">
        <v>49</v>
      </c>
      <c r="K9" s="1"/>
    </row>
    <row r="10" spans="1:11" ht="13.5" thickBot="1" x14ac:dyDescent="0.25">
      <c r="A10" s="6">
        <f t="shared" ref="A10:H10" si="2">SUM(A8:A9)</f>
        <v>166</v>
      </c>
      <c r="B10" s="6">
        <f t="shared" si="2"/>
        <v>0</v>
      </c>
      <c r="C10" s="6">
        <f t="shared" si="2"/>
        <v>0</v>
      </c>
      <c r="D10" s="6">
        <f t="shared" si="2"/>
        <v>13</v>
      </c>
      <c r="E10" s="6">
        <f t="shared" si="2"/>
        <v>108</v>
      </c>
      <c r="F10" s="6">
        <f t="shared" si="2"/>
        <v>0</v>
      </c>
      <c r="G10" s="6">
        <f t="shared" si="2"/>
        <v>14</v>
      </c>
      <c r="H10" s="6">
        <f t="shared" si="2"/>
        <v>31</v>
      </c>
      <c r="I10" s="7" t="s">
        <v>13</v>
      </c>
      <c r="J10" s="9"/>
      <c r="K10" s="1"/>
    </row>
    <row r="11" spans="1:11" ht="13.5" thickBot="1" x14ac:dyDescent="0.25">
      <c r="A11" s="6">
        <f t="shared" si="0"/>
        <v>3058</v>
      </c>
      <c r="B11" s="6">
        <v>29</v>
      </c>
      <c r="C11" s="6">
        <v>0</v>
      </c>
      <c r="D11" s="6">
        <v>12</v>
      </c>
      <c r="E11" s="6">
        <v>584</v>
      </c>
      <c r="F11" s="6">
        <v>0</v>
      </c>
      <c r="G11" s="6">
        <v>1750</v>
      </c>
      <c r="H11" s="6">
        <v>683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577</v>
      </c>
      <c r="B12" s="6">
        <v>4</v>
      </c>
      <c r="C12" s="6">
        <v>0</v>
      </c>
      <c r="D12" s="6">
        <v>7</v>
      </c>
      <c r="E12" s="6">
        <v>182</v>
      </c>
      <c r="F12" s="6">
        <v>0</v>
      </c>
      <c r="G12" s="6">
        <v>290</v>
      </c>
      <c r="H12" s="6">
        <v>94</v>
      </c>
      <c r="I12" s="7" t="s">
        <v>11</v>
      </c>
      <c r="J12" s="124" t="s">
        <v>50</v>
      </c>
      <c r="K12" s="1"/>
    </row>
    <row r="13" spans="1:11" ht="13.5" thickBot="1" x14ac:dyDescent="0.25">
      <c r="A13" s="6">
        <f t="shared" ref="A13:H13" si="3">SUM(A11:A12)</f>
        <v>3635</v>
      </c>
      <c r="B13" s="6">
        <f t="shared" si="3"/>
        <v>33</v>
      </c>
      <c r="C13" s="6">
        <f t="shared" si="3"/>
        <v>0</v>
      </c>
      <c r="D13" s="6">
        <f t="shared" si="3"/>
        <v>19</v>
      </c>
      <c r="E13" s="6">
        <f t="shared" si="3"/>
        <v>766</v>
      </c>
      <c r="F13" s="6">
        <f t="shared" si="3"/>
        <v>0</v>
      </c>
      <c r="G13" s="6">
        <f t="shared" si="3"/>
        <v>2040</v>
      </c>
      <c r="H13" s="6">
        <f t="shared" si="3"/>
        <v>777</v>
      </c>
      <c r="I13" s="7" t="s">
        <v>13</v>
      </c>
      <c r="J13" s="9"/>
      <c r="K13" s="1"/>
    </row>
    <row r="14" spans="1:11" ht="13.5" thickBot="1" x14ac:dyDescent="0.25">
      <c r="A14" s="6">
        <f t="shared" si="0"/>
        <v>1298</v>
      </c>
      <c r="B14" s="6">
        <v>8</v>
      </c>
      <c r="C14" s="6">
        <v>0</v>
      </c>
      <c r="D14" s="6">
        <v>9</v>
      </c>
      <c r="E14" s="6">
        <v>153</v>
      </c>
      <c r="F14" s="6">
        <v>0</v>
      </c>
      <c r="G14" s="6">
        <v>883</v>
      </c>
      <c r="H14" s="6">
        <v>245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245</v>
      </c>
      <c r="B15" s="6">
        <v>0</v>
      </c>
      <c r="C15" s="6">
        <v>0</v>
      </c>
      <c r="D15" s="6">
        <v>7</v>
      </c>
      <c r="E15" s="6">
        <v>66</v>
      </c>
      <c r="F15" s="6">
        <v>0</v>
      </c>
      <c r="G15" s="6">
        <v>126</v>
      </c>
      <c r="H15" s="6">
        <v>46</v>
      </c>
      <c r="I15" s="7" t="s">
        <v>11</v>
      </c>
      <c r="J15" s="124" t="s">
        <v>51</v>
      </c>
      <c r="K15" s="1"/>
    </row>
    <row r="16" spans="1:11" ht="13.5" thickBot="1" x14ac:dyDescent="0.25">
      <c r="A16" s="6">
        <f t="shared" ref="A16:H16" si="4">SUM(A14:A15)</f>
        <v>1543</v>
      </c>
      <c r="B16" s="6">
        <f t="shared" si="4"/>
        <v>8</v>
      </c>
      <c r="C16" s="6">
        <f t="shared" si="4"/>
        <v>0</v>
      </c>
      <c r="D16" s="6">
        <f t="shared" si="4"/>
        <v>16</v>
      </c>
      <c r="E16" s="6">
        <f t="shared" si="4"/>
        <v>219</v>
      </c>
      <c r="F16" s="6">
        <f t="shared" si="4"/>
        <v>0</v>
      </c>
      <c r="G16" s="6">
        <f t="shared" si="4"/>
        <v>1009</v>
      </c>
      <c r="H16" s="6">
        <f t="shared" si="4"/>
        <v>291</v>
      </c>
      <c r="I16" s="7" t="s">
        <v>13</v>
      </c>
      <c r="J16" s="9"/>
      <c r="K16" s="1"/>
    </row>
    <row r="17" spans="1:11" ht="13.5" thickBot="1" x14ac:dyDescent="0.25">
      <c r="A17" s="6">
        <f t="shared" si="0"/>
        <v>1635</v>
      </c>
      <c r="B17" s="6">
        <v>19</v>
      </c>
      <c r="C17" s="6">
        <v>0</v>
      </c>
      <c r="D17" s="6">
        <v>8</v>
      </c>
      <c r="E17" s="6">
        <v>91</v>
      </c>
      <c r="F17" s="6">
        <v>0</v>
      </c>
      <c r="G17" s="6">
        <v>1277</v>
      </c>
      <c r="H17" s="6">
        <v>240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47</v>
      </c>
      <c r="B18" s="6">
        <v>0</v>
      </c>
      <c r="C18" s="6">
        <v>0</v>
      </c>
      <c r="D18" s="6">
        <v>1</v>
      </c>
      <c r="E18" s="6">
        <v>6</v>
      </c>
      <c r="F18" s="6">
        <v>0</v>
      </c>
      <c r="G18" s="6">
        <v>37</v>
      </c>
      <c r="H18" s="6">
        <v>3</v>
      </c>
      <c r="I18" s="7" t="s">
        <v>11</v>
      </c>
      <c r="J18" s="124" t="s">
        <v>52</v>
      </c>
      <c r="K18" s="1"/>
    </row>
    <row r="19" spans="1:11" ht="13.5" thickBot="1" x14ac:dyDescent="0.25">
      <c r="A19" s="6">
        <f t="shared" ref="A19:H19" si="5">SUM(A17:A18)</f>
        <v>1682</v>
      </c>
      <c r="B19" s="6">
        <f t="shared" si="5"/>
        <v>19</v>
      </c>
      <c r="C19" s="6">
        <f t="shared" si="5"/>
        <v>0</v>
      </c>
      <c r="D19" s="6">
        <f t="shared" si="5"/>
        <v>9</v>
      </c>
      <c r="E19" s="6">
        <f t="shared" si="5"/>
        <v>97</v>
      </c>
      <c r="F19" s="6">
        <f t="shared" si="5"/>
        <v>0</v>
      </c>
      <c r="G19" s="6">
        <f t="shared" si="5"/>
        <v>1314</v>
      </c>
      <c r="H19" s="6">
        <f t="shared" si="5"/>
        <v>243</v>
      </c>
      <c r="I19" s="7" t="s">
        <v>13</v>
      </c>
      <c r="J19" s="9"/>
      <c r="K19" s="1"/>
    </row>
    <row r="20" spans="1:11" ht="13.5" thickBot="1" x14ac:dyDescent="0.25">
      <c r="A20" s="6">
        <f t="shared" si="0"/>
        <v>548</v>
      </c>
      <c r="B20" s="6">
        <v>6</v>
      </c>
      <c r="C20" s="6">
        <v>20</v>
      </c>
      <c r="D20" s="6">
        <v>4</v>
      </c>
      <c r="E20" s="6">
        <v>32</v>
      </c>
      <c r="F20" s="6">
        <v>0</v>
      </c>
      <c r="G20" s="6">
        <v>456</v>
      </c>
      <c r="H20" s="6">
        <v>30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190</v>
      </c>
      <c r="B21" s="6">
        <v>2</v>
      </c>
      <c r="C21" s="6">
        <v>10</v>
      </c>
      <c r="D21" s="6">
        <v>7</v>
      </c>
      <c r="E21" s="6">
        <v>36</v>
      </c>
      <c r="F21" s="6">
        <v>0</v>
      </c>
      <c r="G21" s="6">
        <v>120</v>
      </c>
      <c r="H21" s="6">
        <v>15</v>
      </c>
      <c r="I21" s="7" t="s">
        <v>11</v>
      </c>
      <c r="J21" s="124" t="s">
        <v>53</v>
      </c>
      <c r="K21" s="1"/>
    </row>
    <row r="22" spans="1:11" ht="13.5" thickBot="1" x14ac:dyDescent="0.25">
      <c r="A22" s="6">
        <f t="shared" ref="A22:H22" si="6">SUM(A20:A21)</f>
        <v>738</v>
      </c>
      <c r="B22" s="6">
        <f t="shared" si="6"/>
        <v>8</v>
      </c>
      <c r="C22" s="6">
        <f t="shared" si="6"/>
        <v>30</v>
      </c>
      <c r="D22" s="6">
        <f t="shared" si="6"/>
        <v>11</v>
      </c>
      <c r="E22" s="6">
        <f t="shared" si="6"/>
        <v>68</v>
      </c>
      <c r="F22" s="6">
        <f t="shared" si="6"/>
        <v>0</v>
      </c>
      <c r="G22" s="6">
        <f t="shared" si="6"/>
        <v>576</v>
      </c>
      <c r="H22" s="6">
        <f t="shared" si="6"/>
        <v>45</v>
      </c>
      <c r="I22" s="7" t="s">
        <v>13</v>
      </c>
      <c r="J22" s="9"/>
      <c r="K22" s="1"/>
    </row>
    <row r="23" spans="1:11" ht="13.5" thickBot="1" x14ac:dyDescent="0.25">
      <c r="A23" s="6">
        <f t="shared" si="0"/>
        <v>7</v>
      </c>
      <c r="B23" s="6">
        <v>0</v>
      </c>
      <c r="C23" s="6">
        <v>1</v>
      </c>
      <c r="D23" s="6">
        <v>1</v>
      </c>
      <c r="E23" s="6">
        <v>0</v>
      </c>
      <c r="F23" s="6">
        <v>0</v>
      </c>
      <c r="G23" s="6">
        <v>5</v>
      </c>
      <c r="H23" s="6">
        <v>0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1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1</v>
      </c>
      <c r="H24" s="6">
        <v>0</v>
      </c>
      <c r="I24" s="7" t="s">
        <v>11</v>
      </c>
      <c r="J24" s="124" t="s">
        <v>54</v>
      </c>
      <c r="K24" s="1"/>
    </row>
    <row r="25" spans="1:11" ht="13.5" thickBot="1" x14ac:dyDescent="0.25">
      <c r="A25" s="6">
        <f t="shared" ref="A25:H25" si="7">SUM(A23:A24)</f>
        <v>8</v>
      </c>
      <c r="B25" s="6">
        <f t="shared" si="7"/>
        <v>0</v>
      </c>
      <c r="C25" s="6">
        <f t="shared" si="7"/>
        <v>1</v>
      </c>
      <c r="D25" s="6">
        <f t="shared" si="7"/>
        <v>1</v>
      </c>
      <c r="E25" s="6">
        <f t="shared" si="7"/>
        <v>0</v>
      </c>
      <c r="F25" s="6">
        <f t="shared" si="7"/>
        <v>0</v>
      </c>
      <c r="G25" s="6">
        <f t="shared" si="7"/>
        <v>6</v>
      </c>
      <c r="H25" s="6">
        <f t="shared" si="7"/>
        <v>0</v>
      </c>
      <c r="I25" s="7" t="s">
        <v>13</v>
      </c>
      <c r="J25" s="9"/>
      <c r="K25" s="1"/>
    </row>
    <row r="26" spans="1:11" ht="13.5" thickBot="1" x14ac:dyDescent="0.25">
      <c r="A26" s="6">
        <f t="shared" si="0"/>
        <v>363</v>
      </c>
      <c r="B26" s="6">
        <v>0</v>
      </c>
      <c r="C26" s="6">
        <v>0</v>
      </c>
      <c r="D26" s="6">
        <v>4</v>
      </c>
      <c r="E26" s="6">
        <v>63</v>
      </c>
      <c r="F26" s="6">
        <v>21</v>
      </c>
      <c r="G26" s="6">
        <v>129</v>
      </c>
      <c r="H26" s="6">
        <v>146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51</v>
      </c>
      <c r="B27" s="6">
        <v>0</v>
      </c>
      <c r="C27" s="6">
        <v>0</v>
      </c>
      <c r="D27" s="6">
        <v>0</v>
      </c>
      <c r="E27" s="6">
        <v>2</v>
      </c>
      <c r="F27" s="6">
        <v>0</v>
      </c>
      <c r="G27" s="6">
        <v>40</v>
      </c>
      <c r="H27" s="6">
        <v>9</v>
      </c>
      <c r="I27" s="7" t="s">
        <v>11</v>
      </c>
      <c r="J27" s="124" t="s">
        <v>55</v>
      </c>
      <c r="K27" s="1"/>
    </row>
    <row r="28" spans="1:11" ht="13.5" thickBot="1" x14ac:dyDescent="0.25">
      <c r="A28" s="6">
        <f t="shared" ref="A28:H28" si="8">SUM(A26:A27)</f>
        <v>414</v>
      </c>
      <c r="B28" s="6">
        <f t="shared" si="8"/>
        <v>0</v>
      </c>
      <c r="C28" s="6">
        <f t="shared" si="8"/>
        <v>0</v>
      </c>
      <c r="D28" s="6">
        <f t="shared" si="8"/>
        <v>4</v>
      </c>
      <c r="E28" s="6">
        <f t="shared" si="8"/>
        <v>65</v>
      </c>
      <c r="F28" s="6">
        <f t="shared" si="8"/>
        <v>21</v>
      </c>
      <c r="G28" s="6">
        <f t="shared" si="8"/>
        <v>169</v>
      </c>
      <c r="H28" s="6">
        <f t="shared" si="8"/>
        <v>155</v>
      </c>
      <c r="I28" s="7" t="s">
        <v>13</v>
      </c>
      <c r="J28" s="9"/>
      <c r="K28" s="1"/>
    </row>
    <row r="29" spans="1:11" ht="13.5" thickBot="1" x14ac:dyDescent="0.25">
      <c r="A29" s="6">
        <f t="shared" si="0"/>
        <v>18</v>
      </c>
      <c r="B29" s="6">
        <v>0</v>
      </c>
      <c r="C29" s="6">
        <v>0</v>
      </c>
      <c r="D29" s="6">
        <v>0</v>
      </c>
      <c r="E29" s="6">
        <v>4</v>
      </c>
      <c r="F29" s="6">
        <v>0</v>
      </c>
      <c r="G29" s="6">
        <v>11</v>
      </c>
      <c r="H29" s="6">
        <v>3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54</v>
      </c>
      <c r="B30" s="6">
        <v>1</v>
      </c>
      <c r="C30" s="6">
        <v>0</v>
      </c>
      <c r="D30" s="6">
        <v>1</v>
      </c>
      <c r="E30" s="6">
        <v>8</v>
      </c>
      <c r="F30" s="6">
        <v>0</v>
      </c>
      <c r="G30" s="6">
        <v>29</v>
      </c>
      <c r="H30" s="6">
        <v>15</v>
      </c>
      <c r="I30" s="7" t="s">
        <v>11</v>
      </c>
      <c r="J30" s="124" t="s">
        <v>56</v>
      </c>
      <c r="K30" s="1"/>
    </row>
    <row r="31" spans="1:11" ht="13.5" thickBot="1" x14ac:dyDescent="0.25">
      <c r="A31" s="6">
        <f t="shared" ref="A31:H31" si="9">SUM(A29:A30)</f>
        <v>72</v>
      </c>
      <c r="B31" s="6">
        <f t="shared" si="9"/>
        <v>1</v>
      </c>
      <c r="C31" s="6">
        <f t="shared" si="9"/>
        <v>0</v>
      </c>
      <c r="D31" s="6">
        <f t="shared" si="9"/>
        <v>1</v>
      </c>
      <c r="E31" s="6">
        <f t="shared" si="9"/>
        <v>12</v>
      </c>
      <c r="F31" s="6">
        <f t="shared" si="9"/>
        <v>0</v>
      </c>
      <c r="G31" s="6">
        <f t="shared" si="9"/>
        <v>40</v>
      </c>
      <c r="H31" s="6">
        <f t="shared" si="9"/>
        <v>18</v>
      </c>
      <c r="I31" s="7" t="s">
        <v>13</v>
      </c>
      <c r="J31" s="9"/>
      <c r="K31" s="1"/>
    </row>
    <row r="32" spans="1:11" ht="13.5" thickBot="1" x14ac:dyDescent="0.25">
      <c r="A32" s="6">
        <f t="shared" si="0"/>
        <v>62</v>
      </c>
      <c r="B32" s="6">
        <v>37</v>
      </c>
      <c r="C32" s="6">
        <v>0</v>
      </c>
      <c r="D32" s="6">
        <v>0</v>
      </c>
      <c r="E32" s="6">
        <v>3</v>
      </c>
      <c r="F32" s="6">
        <v>0</v>
      </c>
      <c r="G32" s="6">
        <v>17</v>
      </c>
      <c r="H32" s="6">
        <v>5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14</v>
      </c>
      <c r="B33" s="6">
        <v>6</v>
      </c>
      <c r="C33" s="6">
        <v>0</v>
      </c>
      <c r="D33" s="6">
        <v>1</v>
      </c>
      <c r="E33" s="6">
        <v>3</v>
      </c>
      <c r="F33" s="6">
        <v>0</v>
      </c>
      <c r="G33" s="6">
        <v>4</v>
      </c>
      <c r="H33" s="6">
        <v>0</v>
      </c>
      <c r="I33" s="7" t="s">
        <v>11</v>
      </c>
      <c r="J33" s="124" t="s">
        <v>57</v>
      </c>
      <c r="K33" s="1"/>
    </row>
    <row r="34" spans="1:11" ht="13.5" thickBot="1" x14ac:dyDescent="0.25">
      <c r="A34" s="6">
        <f t="shared" ref="A34:H34" si="10">SUM(A32:A33)</f>
        <v>76</v>
      </c>
      <c r="B34" s="6">
        <f t="shared" si="10"/>
        <v>43</v>
      </c>
      <c r="C34" s="6">
        <f t="shared" si="10"/>
        <v>0</v>
      </c>
      <c r="D34" s="6">
        <f t="shared" si="10"/>
        <v>1</v>
      </c>
      <c r="E34" s="6">
        <f t="shared" si="10"/>
        <v>6</v>
      </c>
      <c r="F34" s="6">
        <f t="shared" si="10"/>
        <v>0</v>
      </c>
      <c r="G34" s="6">
        <f t="shared" si="10"/>
        <v>21</v>
      </c>
      <c r="H34" s="6">
        <f t="shared" si="10"/>
        <v>5</v>
      </c>
      <c r="I34" s="7" t="s">
        <v>13</v>
      </c>
      <c r="J34" s="9"/>
      <c r="K34" s="1"/>
    </row>
    <row r="35" spans="1:11" ht="13.5" thickBot="1" x14ac:dyDescent="0.25">
      <c r="A35" s="6">
        <f t="shared" ref="A35:G37" si="11">A5+A8+A11+A14+A17+A20+A23+A26+A29+A32</f>
        <v>7183</v>
      </c>
      <c r="B35" s="6">
        <f t="shared" si="11"/>
        <v>99</v>
      </c>
      <c r="C35" s="6">
        <f t="shared" si="11"/>
        <v>21</v>
      </c>
      <c r="D35" s="6">
        <f t="shared" si="11"/>
        <v>49</v>
      </c>
      <c r="E35" s="6">
        <f t="shared" si="11"/>
        <v>993</v>
      </c>
      <c r="F35" s="6">
        <f t="shared" si="11"/>
        <v>21</v>
      </c>
      <c r="G35" s="6">
        <f t="shared" si="11"/>
        <v>4603</v>
      </c>
      <c r="H35" s="6">
        <f>H5+H8+H11+H14+H17+H20+H23+H26+H29+H32</f>
        <v>1397</v>
      </c>
      <c r="I35" s="7" t="s">
        <v>10</v>
      </c>
      <c r="J35" s="3"/>
      <c r="K35" s="1"/>
    </row>
    <row r="36" spans="1:11" ht="13.5" thickBot="1" x14ac:dyDescent="0.25">
      <c r="A36" s="6">
        <f t="shared" si="11"/>
        <v>1406</v>
      </c>
      <c r="B36" s="6">
        <f t="shared" si="11"/>
        <v>13</v>
      </c>
      <c r="C36" s="6">
        <f t="shared" si="11"/>
        <v>10</v>
      </c>
      <c r="D36" s="6">
        <f t="shared" si="11"/>
        <v>31</v>
      </c>
      <c r="E36" s="6">
        <f t="shared" si="11"/>
        <v>431</v>
      </c>
      <c r="F36" s="6">
        <f t="shared" si="11"/>
        <v>0</v>
      </c>
      <c r="G36" s="6">
        <f t="shared" si="11"/>
        <v>707</v>
      </c>
      <c r="H36" s="6">
        <f>H6+H9+H12+H15+H18+H21+H24+H27+H30+H33</f>
        <v>214</v>
      </c>
      <c r="I36" s="7" t="s">
        <v>11</v>
      </c>
      <c r="J36" s="11" t="s">
        <v>211</v>
      </c>
      <c r="K36" s="1"/>
    </row>
    <row r="37" spans="1:11" ht="13.5" thickBot="1" x14ac:dyDescent="0.25">
      <c r="A37" s="6">
        <f t="shared" si="11"/>
        <v>8589</v>
      </c>
      <c r="B37" s="6">
        <f t="shared" si="11"/>
        <v>112</v>
      </c>
      <c r="C37" s="6">
        <f t="shared" si="11"/>
        <v>31</v>
      </c>
      <c r="D37" s="6">
        <f t="shared" si="11"/>
        <v>80</v>
      </c>
      <c r="E37" s="6">
        <f t="shared" si="11"/>
        <v>1424</v>
      </c>
      <c r="F37" s="6">
        <f t="shared" si="11"/>
        <v>21</v>
      </c>
      <c r="G37" s="6">
        <f t="shared" si="11"/>
        <v>5310</v>
      </c>
      <c r="H37" s="6">
        <f>H7+H10+H13+H16+H19+H22+H25+H28+H31+H34</f>
        <v>1611</v>
      </c>
      <c r="I37" s="7" t="s">
        <v>13</v>
      </c>
      <c r="J37" s="5"/>
      <c r="K37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2"/>
  <sheetViews>
    <sheetView showGridLines="0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674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675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676</v>
      </c>
      <c r="K4" s="1"/>
    </row>
    <row r="5" spans="1:11" ht="13.5" thickBot="1" x14ac:dyDescent="0.25">
      <c r="A5" s="6">
        <f>SUM(B5:H5)</f>
        <v>3</v>
      </c>
      <c r="B5" s="6">
        <v>0</v>
      </c>
      <c r="C5" s="6">
        <v>0</v>
      </c>
      <c r="D5" s="6">
        <v>0</v>
      </c>
      <c r="E5" s="6">
        <v>2</v>
      </c>
      <c r="F5" s="6">
        <v>0</v>
      </c>
      <c r="G5" s="6">
        <v>1</v>
      </c>
      <c r="H5" s="6">
        <v>0</v>
      </c>
      <c r="I5" s="7" t="s">
        <v>10</v>
      </c>
      <c r="J5" s="124"/>
      <c r="K5" s="1"/>
    </row>
    <row r="6" spans="1:11" ht="13.5" thickBot="1" x14ac:dyDescent="0.25">
      <c r="A6" s="6">
        <f t="shared" ref="A6:A69" si="0">SUM(B6:H6)</f>
        <v>2</v>
      </c>
      <c r="B6" s="6">
        <v>0</v>
      </c>
      <c r="C6" s="6">
        <v>0</v>
      </c>
      <c r="D6" s="6">
        <v>0</v>
      </c>
      <c r="E6" s="6">
        <v>1</v>
      </c>
      <c r="F6" s="6">
        <v>0</v>
      </c>
      <c r="G6" s="6">
        <v>1</v>
      </c>
      <c r="H6" s="6">
        <v>0</v>
      </c>
      <c r="I6" s="7" t="s">
        <v>11</v>
      </c>
      <c r="J6" s="124" t="s">
        <v>12</v>
      </c>
      <c r="K6" s="1"/>
    </row>
    <row r="7" spans="1:11" ht="13.5" thickBot="1" x14ac:dyDescent="0.25">
      <c r="A7" s="6">
        <f t="shared" ref="A7:G7" si="1">SUM(A5:A6)</f>
        <v>5</v>
      </c>
      <c r="B7" s="6">
        <f t="shared" si="1"/>
        <v>0</v>
      </c>
      <c r="C7" s="6">
        <f t="shared" si="1"/>
        <v>0</v>
      </c>
      <c r="D7" s="6">
        <f t="shared" si="1"/>
        <v>0</v>
      </c>
      <c r="E7" s="6">
        <f t="shared" si="1"/>
        <v>3</v>
      </c>
      <c r="F7" s="6">
        <f t="shared" si="1"/>
        <v>0</v>
      </c>
      <c r="G7" s="6">
        <f t="shared" si="1"/>
        <v>2</v>
      </c>
      <c r="H7" s="6">
        <f>SUM(H5:H6)</f>
        <v>0</v>
      </c>
      <c r="I7" s="7" t="s">
        <v>13</v>
      </c>
      <c r="J7" s="9"/>
      <c r="K7" s="1"/>
    </row>
    <row r="8" spans="1:11" ht="13.5" thickBot="1" x14ac:dyDescent="0.25">
      <c r="A8" s="6">
        <f t="shared" si="0"/>
        <v>4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4</v>
      </c>
      <c r="H8" s="6">
        <v>0</v>
      </c>
      <c r="I8" s="7" t="s">
        <v>10</v>
      </c>
      <c r="J8" s="124"/>
      <c r="K8" s="1"/>
    </row>
    <row r="9" spans="1:11" ht="13.5" thickBot="1" x14ac:dyDescent="0.25">
      <c r="A9" s="6">
        <f t="shared" si="0"/>
        <v>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3</v>
      </c>
      <c r="H9" s="6">
        <v>0</v>
      </c>
      <c r="I9" s="7" t="s">
        <v>11</v>
      </c>
      <c r="J9" s="124" t="s">
        <v>14</v>
      </c>
      <c r="K9" s="1"/>
    </row>
    <row r="10" spans="1:11" ht="13.5" thickBot="1" x14ac:dyDescent="0.25">
      <c r="A10" s="6">
        <f t="shared" ref="A10:H10" si="2">SUM(A8:A9)</f>
        <v>7</v>
      </c>
      <c r="B10" s="6">
        <f t="shared" si="2"/>
        <v>0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7</v>
      </c>
      <c r="H10" s="6">
        <f t="shared" si="2"/>
        <v>0</v>
      </c>
      <c r="I10" s="7" t="s">
        <v>13</v>
      </c>
      <c r="J10" s="9"/>
      <c r="K10" s="1"/>
    </row>
    <row r="11" spans="1:11" ht="13.5" thickBot="1" x14ac:dyDescent="0.25">
      <c r="A11" s="6">
        <f t="shared" si="0"/>
        <v>225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106</v>
      </c>
      <c r="H11" s="6">
        <v>119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564</v>
      </c>
      <c r="B12" s="6">
        <v>1</v>
      </c>
      <c r="C12" s="6">
        <v>0</v>
      </c>
      <c r="D12" s="6">
        <v>0</v>
      </c>
      <c r="E12" s="6">
        <v>0</v>
      </c>
      <c r="F12" s="6">
        <v>0</v>
      </c>
      <c r="G12" s="6">
        <v>261</v>
      </c>
      <c r="H12" s="6">
        <v>302</v>
      </c>
      <c r="I12" s="7" t="s">
        <v>11</v>
      </c>
      <c r="J12" s="124" t="s">
        <v>15</v>
      </c>
      <c r="K12" s="1"/>
    </row>
    <row r="13" spans="1:11" ht="13.5" thickBot="1" x14ac:dyDescent="0.25">
      <c r="A13" s="6">
        <f t="shared" ref="A13:H13" si="3">SUM(A11:A12)</f>
        <v>789</v>
      </c>
      <c r="B13" s="6">
        <f t="shared" si="3"/>
        <v>1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0</v>
      </c>
      <c r="G13" s="6">
        <f t="shared" si="3"/>
        <v>367</v>
      </c>
      <c r="H13" s="6">
        <f t="shared" si="3"/>
        <v>421</v>
      </c>
      <c r="I13" s="7" t="s">
        <v>13</v>
      </c>
      <c r="J13" s="9"/>
      <c r="K13" s="1"/>
    </row>
    <row r="14" spans="1:11" ht="13.5" thickBot="1" x14ac:dyDescent="0.25">
      <c r="A14" s="6">
        <f t="shared" si="0"/>
        <v>11</v>
      </c>
      <c r="B14" s="6">
        <v>0</v>
      </c>
      <c r="C14" s="6">
        <v>0</v>
      </c>
      <c r="D14" s="6">
        <v>2</v>
      </c>
      <c r="E14" s="6">
        <v>0</v>
      </c>
      <c r="F14" s="6">
        <v>0</v>
      </c>
      <c r="G14" s="6">
        <v>8</v>
      </c>
      <c r="H14" s="6">
        <v>1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7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7</v>
      </c>
      <c r="H15" s="6">
        <v>0</v>
      </c>
      <c r="I15" s="7" t="s">
        <v>11</v>
      </c>
      <c r="J15" s="124" t="s">
        <v>16</v>
      </c>
      <c r="K15" s="1"/>
    </row>
    <row r="16" spans="1:11" ht="13.5" thickBot="1" x14ac:dyDescent="0.25">
      <c r="A16" s="6">
        <f t="shared" ref="A16:H16" si="4">SUM(A14:A15)</f>
        <v>18</v>
      </c>
      <c r="B16" s="6">
        <f t="shared" si="4"/>
        <v>0</v>
      </c>
      <c r="C16" s="6">
        <f t="shared" si="4"/>
        <v>0</v>
      </c>
      <c r="D16" s="6">
        <f t="shared" si="4"/>
        <v>2</v>
      </c>
      <c r="E16" s="6">
        <f t="shared" si="4"/>
        <v>0</v>
      </c>
      <c r="F16" s="6">
        <f t="shared" si="4"/>
        <v>0</v>
      </c>
      <c r="G16" s="6">
        <f t="shared" si="4"/>
        <v>15</v>
      </c>
      <c r="H16" s="6">
        <f t="shared" si="4"/>
        <v>1</v>
      </c>
      <c r="I16" s="7" t="s">
        <v>13</v>
      </c>
      <c r="J16" s="9"/>
      <c r="K16" s="1"/>
    </row>
    <row r="17" spans="1:11" ht="13.5" thickBot="1" x14ac:dyDescent="0.25">
      <c r="A17" s="6">
        <f t="shared" si="0"/>
        <v>88</v>
      </c>
      <c r="B17" s="6">
        <v>0</v>
      </c>
      <c r="C17" s="6">
        <v>1</v>
      </c>
      <c r="D17" s="6">
        <v>5</v>
      </c>
      <c r="E17" s="6">
        <v>10</v>
      </c>
      <c r="F17" s="6">
        <v>0</v>
      </c>
      <c r="G17" s="6">
        <v>71</v>
      </c>
      <c r="H17" s="6">
        <v>1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9</v>
      </c>
      <c r="B18" s="6">
        <v>0</v>
      </c>
      <c r="C18" s="6">
        <v>0</v>
      </c>
      <c r="D18" s="6">
        <v>0</v>
      </c>
      <c r="E18" s="6">
        <v>4</v>
      </c>
      <c r="F18" s="6">
        <v>0</v>
      </c>
      <c r="G18" s="6">
        <v>5</v>
      </c>
      <c r="H18" s="6">
        <v>0</v>
      </c>
      <c r="I18" s="7" t="s">
        <v>11</v>
      </c>
      <c r="J18" s="124" t="s">
        <v>31</v>
      </c>
      <c r="K18" s="1"/>
    </row>
    <row r="19" spans="1:11" ht="13.5" thickBot="1" x14ac:dyDescent="0.25">
      <c r="A19" s="6">
        <f t="shared" ref="A19:H19" si="5">SUM(A17:A18)</f>
        <v>97</v>
      </c>
      <c r="B19" s="6">
        <f t="shared" si="5"/>
        <v>0</v>
      </c>
      <c r="C19" s="6">
        <f t="shared" si="5"/>
        <v>1</v>
      </c>
      <c r="D19" s="6">
        <f t="shared" si="5"/>
        <v>5</v>
      </c>
      <c r="E19" s="6">
        <f t="shared" si="5"/>
        <v>14</v>
      </c>
      <c r="F19" s="6">
        <f t="shared" si="5"/>
        <v>0</v>
      </c>
      <c r="G19" s="6">
        <f t="shared" si="5"/>
        <v>76</v>
      </c>
      <c r="H19" s="6">
        <f t="shared" si="5"/>
        <v>1</v>
      </c>
      <c r="I19" s="7" t="s">
        <v>13</v>
      </c>
      <c r="J19" s="9"/>
      <c r="K19" s="1"/>
    </row>
    <row r="20" spans="1:11" ht="13.5" thickBot="1" x14ac:dyDescent="0.25">
      <c r="A20" s="6">
        <f t="shared" si="0"/>
        <v>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4</v>
      </c>
      <c r="H20" s="6">
        <v>0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2</v>
      </c>
      <c r="B21" s="6">
        <v>0</v>
      </c>
      <c r="C21" s="6">
        <v>0</v>
      </c>
      <c r="D21" s="6">
        <v>0</v>
      </c>
      <c r="E21" s="6">
        <v>1</v>
      </c>
      <c r="F21" s="6">
        <v>0</v>
      </c>
      <c r="G21" s="6">
        <v>1</v>
      </c>
      <c r="H21" s="6">
        <v>0</v>
      </c>
      <c r="I21" s="7" t="s">
        <v>11</v>
      </c>
      <c r="J21" s="124" t="s">
        <v>17</v>
      </c>
      <c r="K21" s="1"/>
    </row>
    <row r="22" spans="1:11" ht="13.5" thickBot="1" x14ac:dyDescent="0.25">
      <c r="A22" s="6">
        <f t="shared" ref="A22:H22" si="6">SUM(A20:A21)</f>
        <v>6</v>
      </c>
      <c r="B22" s="6">
        <f t="shared" si="6"/>
        <v>0</v>
      </c>
      <c r="C22" s="6">
        <f t="shared" si="6"/>
        <v>0</v>
      </c>
      <c r="D22" s="6">
        <f t="shared" si="6"/>
        <v>0</v>
      </c>
      <c r="E22" s="6">
        <f t="shared" si="6"/>
        <v>1</v>
      </c>
      <c r="F22" s="6">
        <f t="shared" si="6"/>
        <v>0</v>
      </c>
      <c r="G22" s="6">
        <f t="shared" si="6"/>
        <v>5</v>
      </c>
      <c r="H22" s="6">
        <f t="shared" si="6"/>
        <v>0</v>
      </c>
      <c r="I22" s="7" t="s">
        <v>13</v>
      </c>
      <c r="J22" s="9"/>
      <c r="K22" s="1"/>
    </row>
    <row r="23" spans="1:11" ht="13.5" thickBot="1" x14ac:dyDescent="0.25">
      <c r="A23" s="6">
        <f t="shared" si="0"/>
        <v>0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0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7" t="s">
        <v>11</v>
      </c>
      <c r="J24" s="124" t="s">
        <v>18</v>
      </c>
      <c r="K24" s="1"/>
    </row>
    <row r="25" spans="1:11" ht="13.5" thickBot="1" x14ac:dyDescent="0.25">
      <c r="A25" s="6">
        <f t="shared" ref="A25:H25" si="7">SUM(A23:A24)</f>
        <v>0</v>
      </c>
      <c r="B25" s="6">
        <f t="shared" si="7"/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7" t="s">
        <v>13</v>
      </c>
      <c r="J25" s="9"/>
      <c r="K25" s="1"/>
    </row>
    <row r="26" spans="1:11" ht="13.5" thickBot="1" x14ac:dyDescent="0.25">
      <c r="A26" s="6">
        <f t="shared" si="0"/>
        <v>54</v>
      </c>
      <c r="B26" s="6">
        <v>0</v>
      </c>
      <c r="C26" s="6">
        <v>0</v>
      </c>
      <c r="D26" s="6">
        <v>0</v>
      </c>
      <c r="E26" s="6">
        <v>1</v>
      </c>
      <c r="F26" s="6">
        <v>0</v>
      </c>
      <c r="G26" s="6">
        <v>51</v>
      </c>
      <c r="H26" s="6">
        <v>2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65</v>
      </c>
      <c r="B27" s="6">
        <v>0</v>
      </c>
      <c r="C27" s="6">
        <v>0</v>
      </c>
      <c r="D27" s="6">
        <v>0</v>
      </c>
      <c r="E27" s="6">
        <v>6</v>
      </c>
      <c r="F27" s="6">
        <v>0</v>
      </c>
      <c r="G27" s="6">
        <v>59</v>
      </c>
      <c r="H27" s="6">
        <v>0</v>
      </c>
      <c r="I27" s="7" t="s">
        <v>11</v>
      </c>
      <c r="J27" s="124" t="s">
        <v>19</v>
      </c>
      <c r="K27" s="1"/>
    </row>
    <row r="28" spans="1:11" ht="13.5" thickBot="1" x14ac:dyDescent="0.25">
      <c r="A28" s="6">
        <f t="shared" ref="A28:H28" si="8">SUM(A26:A27)</f>
        <v>119</v>
      </c>
      <c r="B28" s="6">
        <f t="shared" si="8"/>
        <v>0</v>
      </c>
      <c r="C28" s="6">
        <f t="shared" si="8"/>
        <v>0</v>
      </c>
      <c r="D28" s="6">
        <f t="shared" si="8"/>
        <v>0</v>
      </c>
      <c r="E28" s="6">
        <f t="shared" si="8"/>
        <v>7</v>
      </c>
      <c r="F28" s="6">
        <f t="shared" si="8"/>
        <v>0</v>
      </c>
      <c r="G28" s="6">
        <f t="shared" si="8"/>
        <v>110</v>
      </c>
      <c r="H28" s="6">
        <f t="shared" si="8"/>
        <v>2</v>
      </c>
      <c r="I28" s="7" t="s">
        <v>13</v>
      </c>
      <c r="J28" s="9"/>
      <c r="K28" s="1"/>
    </row>
    <row r="29" spans="1:11" ht="13.5" thickBot="1" x14ac:dyDescent="0.25">
      <c r="A29" s="6">
        <f t="shared" si="0"/>
        <v>136</v>
      </c>
      <c r="B29" s="6">
        <v>10</v>
      </c>
      <c r="C29" s="6">
        <v>19</v>
      </c>
      <c r="D29" s="6">
        <v>4</v>
      </c>
      <c r="E29" s="6">
        <v>15</v>
      </c>
      <c r="F29" s="6">
        <v>0</v>
      </c>
      <c r="G29" s="6">
        <v>86</v>
      </c>
      <c r="H29" s="6">
        <v>2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56</v>
      </c>
      <c r="B30" s="6">
        <v>0</v>
      </c>
      <c r="C30" s="6">
        <v>1</v>
      </c>
      <c r="D30" s="6">
        <v>4</v>
      </c>
      <c r="E30" s="6">
        <v>6</v>
      </c>
      <c r="F30" s="6">
        <v>0</v>
      </c>
      <c r="G30" s="6">
        <v>45</v>
      </c>
      <c r="H30" s="6">
        <v>0</v>
      </c>
      <c r="I30" s="7" t="s">
        <v>11</v>
      </c>
      <c r="J30" s="124" t="s">
        <v>35</v>
      </c>
      <c r="K30" s="1"/>
    </row>
    <row r="31" spans="1:11" ht="13.5" thickBot="1" x14ac:dyDescent="0.25">
      <c r="A31" s="6">
        <f t="shared" ref="A31:H31" si="9">SUM(A29:A30)</f>
        <v>192</v>
      </c>
      <c r="B31" s="6">
        <f t="shared" si="9"/>
        <v>10</v>
      </c>
      <c r="C31" s="6">
        <f t="shared" si="9"/>
        <v>20</v>
      </c>
      <c r="D31" s="6">
        <f t="shared" si="9"/>
        <v>8</v>
      </c>
      <c r="E31" s="6">
        <f t="shared" si="9"/>
        <v>21</v>
      </c>
      <c r="F31" s="6">
        <f t="shared" si="9"/>
        <v>0</v>
      </c>
      <c r="G31" s="6">
        <f t="shared" si="9"/>
        <v>131</v>
      </c>
      <c r="H31" s="6">
        <f t="shared" si="9"/>
        <v>2</v>
      </c>
      <c r="I31" s="7" t="s">
        <v>13</v>
      </c>
      <c r="J31" s="9"/>
      <c r="K31" s="1"/>
    </row>
    <row r="32" spans="1:11" ht="13.5" thickBot="1" x14ac:dyDescent="0.25">
      <c r="A32" s="6">
        <f t="shared" si="0"/>
        <v>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1</v>
      </c>
      <c r="H32" s="6">
        <v>0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5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5</v>
      </c>
      <c r="H33" s="6">
        <v>0</v>
      </c>
      <c r="I33" s="7" t="s">
        <v>11</v>
      </c>
      <c r="J33" s="124" t="s">
        <v>20</v>
      </c>
      <c r="K33" s="1"/>
    </row>
    <row r="34" spans="1:11" ht="13.5" thickBot="1" x14ac:dyDescent="0.25">
      <c r="A34" s="6">
        <f t="shared" ref="A34:H34" si="10">SUM(A32:A33)</f>
        <v>6</v>
      </c>
      <c r="B34" s="6">
        <f t="shared" si="10"/>
        <v>0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0</v>
      </c>
      <c r="G34" s="6">
        <f t="shared" si="10"/>
        <v>6</v>
      </c>
      <c r="H34" s="6">
        <f t="shared" si="10"/>
        <v>0</v>
      </c>
      <c r="I34" s="7" t="s">
        <v>13</v>
      </c>
      <c r="J34" s="9"/>
      <c r="K34" s="1"/>
    </row>
    <row r="35" spans="1:11" ht="13.5" thickBot="1" x14ac:dyDescent="0.25">
      <c r="A35" s="6">
        <f t="shared" si="0"/>
        <v>3</v>
      </c>
      <c r="B35" s="6">
        <v>1</v>
      </c>
      <c r="C35" s="6">
        <v>0</v>
      </c>
      <c r="D35" s="6">
        <v>1</v>
      </c>
      <c r="E35" s="6">
        <v>0</v>
      </c>
      <c r="F35" s="6">
        <v>0</v>
      </c>
      <c r="G35" s="6">
        <v>1</v>
      </c>
      <c r="H35" s="6">
        <v>0</v>
      </c>
      <c r="I35" s="7" t="s">
        <v>10</v>
      </c>
      <c r="J35" s="124"/>
      <c r="K35" s="1"/>
    </row>
    <row r="36" spans="1:11" ht="13.5" thickBot="1" x14ac:dyDescent="0.25">
      <c r="A36" s="6">
        <f t="shared" si="0"/>
        <v>3</v>
      </c>
      <c r="B36" s="6">
        <v>0</v>
      </c>
      <c r="C36" s="6">
        <v>0</v>
      </c>
      <c r="D36" s="6">
        <v>0</v>
      </c>
      <c r="E36" s="6">
        <v>1</v>
      </c>
      <c r="F36" s="6">
        <v>0</v>
      </c>
      <c r="G36" s="6">
        <v>2</v>
      </c>
      <c r="H36" s="6">
        <v>0</v>
      </c>
      <c r="I36" s="7" t="s">
        <v>11</v>
      </c>
      <c r="J36" s="124" t="s">
        <v>21</v>
      </c>
      <c r="K36" s="1"/>
    </row>
    <row r="37" spans="1:11" ht="13.5" thickBot="1" x14ac:dyDescent="0.25">
      <c r="A37" s="6">
        <f t="shared" ref="A37:H37" si="11">SUM(A35:A36)</f>
        <v>6</v>
      </c>
      <c r="B37" s="6">
        <f t="shared" si="11"/>
        <v>1</v>
      </c>
      <c r="C37" s="6">
        <f t="shared" si="11"/>
        <v>0</v>
      </c>
      <c r="D37" s="6">
        <f t="shared" si="11"/>
        <v>1</v>
      </c>
      <c r="E37" s="6">
        <f t="shared" si="11"/>
        <v>1</v>
      </c>
      <c r="F37" s="6">
        <f t="shared" si="11"/>
        <v>0</v>
      </c>
      <c r="G37" s="6">
        <f t="shared" si="11"/>
        <v>3</v>
      </c>
      <c r="H37" s="6">
        <f t="shared" si="11"/>
        <v>0</v>
      </c>
      <c r="I37" s="7" t="s">
        <v>13</v>
      </c>
      <c r="J37" s="9"/>
      <c r="K37" s="1"/>
    </row>
    <row r="38" spans="1:11" ht="13.5" thickBot="1" x14ac:dyDescent="0.25">
      <c r="A38" s="6">
        <f t="shared" si="0"/>
        <v>27</v>
      </c>
      <c r="B38" s="6">
        <v>0</v>
      </c>
      <c r="C38" s="6">
        <v>0</v>
      </c>
      <c r="D38" s="6">
        <v>0</v>
      </c>
      <c r="E38" s="6">
        <v>2</v>
      </c>
      <c r="F38" s="6">
        <v>0</v>
      </c>
      <c r="G38" s="6">
        <v>23</v>
      </c>
      <c r="H38" s="6">
        <v>2</v>
      </c>
      <c r="I38" s="7" t="s">
        <v>10</v>
      </c>
      <c r="J38" s="124"/>
      <c r="K38" s="1"/>
    </row>
    <row r="39" spans="1:11" ht="13.5" thickBot="1" x14ac:dyDescent="0.25">
      <c r="A39" s="6">
        <f t="shared" si="0"/>
        <v>71</v>
      </c>
      <c r="B39" s="6">
        <v>0</v>
      </c>
      <c r="C39" s="6">
        <v>0</v>
      </c>
      <c r="D39" s="6">
        <v>0</v>
      </c>
      <c r="E39" s="6">
        <v>15</v>
      </c>
      <c r="F39" s="6">
        <v>0</v>
      </c>
      <c r="G39" s="6">
        <v>53</v>
      </c>
      <c r="H39" s="6">
        <v>3</v>
      </c>
      <c r="I39" s="7" t="s">
        <v>11</v>
      </c>
      <c r="J39" s="124" t="s">
        <v>22</v>
      </c>
      <c r="K39" s="1"/>
    </row>
    <row r="40" spans="1:11" ht="13.5" thickBot="1" x14ac:dyDescent="0.25">
      <c r="A40" s="6">
        <f t="shared" ref="A40:H40" si="12">SUM(A38:A39)</f>
        <v>98</v>
      </c>
      <c r="B40" s="6">
        <f t="shared" si="12"/>
        <v>0</v>
      </c>
      <c r="C40" s="6">
        <f t="shared" si="12"/>
        <v>0</v>
      </c>
      <c r="D40" s="6">
        <f t="shared" si="12"/>
        <v>0</v>
      </c>
      <c r="E40" s="6">
        <f t="shared" si="12"/>
        <v>17</v>
      </c>
      <c r="F40" s="6">
        <f t="shared" si="12"/>
        <v>0</v>
      </c>
      <c r="G40" s="6">
        <f t="shared" si="12"/>
        <v>76</v>
      </c>
      <c r="H40" s="6">
        <f t="shared" si="12"/>
        <v>5</v>
      </c>
      <c r="I40" s="7" t="s">
        <v>13</v>
      </c>
      <c r="J40" s="9"/>
      <c r="K40" s="1"/>
    </row>
    <row r="41" spans="1:11" ht="13.5" thickBot="1" x14ac:dyDescent="0.25">
      <c r="A41" s="6">
        <f t="shared" si="0"/>
        <v>96</v>
      </c>
      <c r="B41" s="6">
        <v>3</v>
      </c>
      <c r="C41" s="6">
        <v>0</v>
      </c>
      <c r="D41" s="6">
        <v>0</v>
      </c>
      <c r="E41" s="6">
        <v>3</v>
      </c>
      <c r="F41" s="6">
        <v>1</v>
      </c>
      <c r="G41" s="6">
        <v>89</v>
      </c>
      <c r="H41" s="6">
        <v>0</v>
      </c>
      <c r="I41" s="7" t="s">
        <v>10</v>
      </c>
      <c r="J41" s="124"/>
      <c r="K41" s="1"/>
    </row>
    <row r="42" spans="1:11" ht="13.5" thickBot="1" x14ac:dyDescent="0.25">
      <c r="A42" s="6">
        <f t="shared" si="0"/>
        <v>29</v>
      </c>
      <c r="B42" s="6">
        <v>1</v>
      </c>
      <c r="C42" s="6">
        <v>1</v>
      </c>
      <c r="D42" s="6">
        <v>0</v>
      </c>
      <c r="E42" s="6">
        <v>5</v>
      </c>
      <c r="F42" s="6">
        <v>0</v>
      </c>
      <c r="G42" s="6">
        <v>22</v>
      </c>
      <c r="H42" s="6">
        <v>0</v>
      </c>
      <c r="I42" s="7" t="s">
        <v>11</v>
      </c>
      <c r="J42" s="124" t="s">
        <v>36</v>
      </c>
      <c r="K42" s="1"/>
    </row>
    <row r="43" spans="1:11" ht="13.5" thickBot="1" x14ac:dyDescent="0.25">
      <c r="A43" s="6">
        <f t="shared" ref="A43:H43" si="13">SUM(A41:A42)</f>
        <v>125</v>
      </c>
      <c r="B43" s="6">
        <f t="shared" si="13"/>
        <v>4</v>
      </c>
      <c r="C43" s="6">
        <f t="shared" si="13"/>
        <v>1</v>
      </c>
      <c r="D43" s="6">
        <f t="shared" si="13"/>
        <v>0</v>
      </c>
      <c r="E43" s="6">
        <f t="shared" si="13"/>
        <v>8</v>
      </c>
      <c r="F43" s="6">
        <f t="shared" si="13"/>
        <v>1</v>
      </c>
      <c r="G43" s="6">
        <f t="shared" si="13"/>
        <v>111</v>
      </c>
      <c r="H43" s="6">
        <f t="shared" si="13"/>
        <v>0</v>
      </c>
      <c r="I43" s="7" t="s">
        <v>13</v>
      </c>
      <c r="J43" s="9"/>
      <c r="K43" s="1"/>
    </row>
    <row r="44" spans="1:11" ht="13.5" thickBot="1" x14ac:dyDescent="0.25">
      <c r="A44" s="6">
        <f t="shared" si="0"/>
        <v>94</v>
      </c>
      <c r="B44" s="6">
        <v>0</v>
      </c>
      <c r="C44" s="6">
        <v>1</v>
      </c>
      <c r="D44" s="6">
        <v>2</v>
      </c>
      <c r="E44" s="6">
        <v>13</v>
      </c>
      <c r="F44" s="6">
        <v>5</v>
      </c>
      <c r="G44" s="6">
        <v>67</v>
      </c>
      <c r="H44" s="6">
        <v>6</v>
      </c>
      <c r="I44" s="7" t="s">
        <v>10</v>
      </c>
      <c r="J44" s="124"/>
      <c r="K44" s="1"/>
    </row>
    <row r="45" spans="1:11" ht="13.5" thickBot="1" x14ac:dyDescent="0.25">
      <c r="A45" s="6">
        <f t="shared" si="0"/>
        <v>27</v>
      </c>
      <c r="B45" s="6">
        <v>0</v>
      </c>
      <c r="C45" s="6">
        <v>0</v>
      </c>
      <c r="D45" s="6">
        <v>0</v>
      </c>
      <c r="E45" s="6">
        <v>8</v>
      </c>
      <c r="F45" s="6">
        <v>1</v>
      </c>
      <c r="G45" s="6">
        <v>17</v>
      </c>
      <c r="H45" s="6">
        <v>1</v>
      </c>
      <c r="I45" s="7" t="s">
        <v>11</v>
      </c>
      <c r="J45" s="124" t="s">
        <v>32</v>
      </c>
      <c r="K45" s="1"/>
    </row>
    <row r="46" spans="1:11" ht="13.5" thickBot="1" x14ac:dyDescent="0.25">
      <c r="A46" s="6">
        <f t="shared" ref="A46:H46" si="14">SUM(A44:A45)</f>
        <v>121</v>
      </c>
      <c r="B46" s="6">
        <f t="shared" si="14"/>
        <v>0</v>
      </c>
      <c r="C46" s="6">
        <f t="shared" si="14"/>
        <v>1</v>
      </c>
      <c r="D46" s="6">
        <f t="shared" si="14"/>
        <v>2</v>
      </c>
      <c r="E46" s="6">
        <f t="shared" si="14"/>
        <v>21</v>
      </c>
      <c r="F46" s="6">
        <f t="shared" si="14"/>
        <v>6</v>
      </c>
      <c r="G46" s="6">
        <f t="shared" si="14"/>
        <v>84</v>
      </c>
      <c r="H46" s="6">
        <f t="shared" si="14"/>
        <v>7</v>
      </c>
      <c r="I46" s="7" t="s">
        <v>13</v>
      </c>
      <c r="J46" s="9"/>
      <c r="K46" s="1"/>
    </row>
    <row r="47" spans="1:11" ht="13.5" thickBot="1" x14ac:dyDescent="0.25">
      <c r="A47" s="6">
        <f t="shared" si="0"/>
        <v>75</v>
      </c>
      <c r="B47" s="6">
        <v>3</v>
      </c>
      <c r="C47" s="6">
        <v>1</v>
      </c>
      <c r="D47" s="6">
        <v>15</v>
      </c>
      <c r="E47" s="6">
        <v>27</v>
      </c>
      <c r="F47" s="6">
        <v>0</v>
      </c>
      <c r="G47" s="6">
        <v>20</v>
      </c>
      <c r="H47" s="6">
        <v>9</v>
      </c>
      <c r="I47" s="7" t="s">
        <v>10</v>
      </c>
      <c r="J47" s="124"/>
      <c r="K47" s="1"/>
    </row>
    <row r="48" spans="1:11" ht="13.5" thickBot="1" x14ac:dyDescent="0.25">
      <c r="A48" s="6">
        <f t="shared" si="0"/>
        <v>21</v>
      </c>
      <c r="B48" s="6">
        <v>1</v>
      </c>
      <c r="C48" s="6">
        <v>0</v>
      </c>
      <c r="D48" s="6">
        <v>3</v>
      </c>
      <c r="E48" s="6">
        <v>8</v>
      </c>
      <c r="F48" s="6">
        <v>0</v>
      </c>
      <c r="G48" s="6">
        <v>9</v>
      </c>
      <c r="H48" s="6">
        <v>0</v>
      </c>
      <c r="I48" s="7" t="s">
        <v>11</v>
      </c>
      <c r="J48" s="124" t="s">
        <v>23</v>
      </c>
      <c r="K48" s="1"/>
    </row>
    <row r="49" spans="1:11" ht="13.5" thickBot="1" x14ac:dyDescent="0.25">
      <c r="A49" s="6">
        <f t="shared" ref="A49:H49" si="15">SUM(A47:A48)</f>
        <v>96</v>
      </c>
      <c r="B49" s="6">
        <f t="shared" si="15"/>
        <v>4</v>
      </c>
      <c r="C49" s="6">
        <f t="shared" si="15"/>
        <v>1</v>
      </c>
      <c r="D49" s="6">
        <f t="shared" si="15"/>
        <v>18</v>
      </c>
      <c r="E49" s="6">
        <f t="shared" si="15"/>
        <v>35</v>
      </c>
      <c r="F49" s="6">
        <f t="shared" si="15"/>
        <v>0</v>
      </c>
      <c r="G49" s="6">
        <f t="shared" si="15"/>
        <v>29</v>
      </c>
      <c r="H49" s="6">
        <f t="shared" si="15"/>
        <v>9</v>
      </c>
      <c r="I49" s="7" t="s">
        <v>13</v>
      </c>
      <c r="J49" s="9"/>
      <c r="K49" s="1"/>
    </row>
    <row r="50" spans="1:11" ht="13.5" thickBot="1" x14ac:dyDescent="0.25">
      <c r="A50" s="6">
        <f t="shared" si="0"/>
        <v>2123</v>
      </c>
      <c r="B50" s="6">
        <v>52</v>
      </c>
      <c r="C50" s="6">
        <v>26</v>
      </c>
      <c r="D50" s="6">
        <v>44</v>
      </c>
      <c r="E50" s="6">
        <v>840</v>
      </c>
      <c r="F50" s="6">
        <v>0</v>
      </c>
      <c r="G50" s="6">
        <v>1127</v>
      </c>
      <c r="H50" s="6">
        <v>34</v>
      </c>
      <c r="I50" s="7" t="s">
        <v>10</v>
      </c>
      <c r="J50" s="124"/>
      <c r="K50" s="1"/>
    </row>
    <row r="51" spans="1:11" ht="13.5" thickBot="1" x14ac:dyDescent="0.25">
      <c r="A51" s="6">
        <f t="shared" si="0"/>
        <v>473</v>
      </c>
      <c r="B51" s="6">
        <v>9</v>
      </c>
      <c r="C51" s="6">
        <v>12</v>
      </c>
      <c r="D51" s="6">
        <v>18</v>
      </c>
      <c r="E51" s="6">
        <v>238</v>
      </c>
      <c r="F51" s="6">
        <v>0</v>
      </c>
      <c r="G51" s="6">
        <v>187</v>
      </c>
      <c r="H51" s="6">
        <v>9</v>
      </c>
      <c r="I51" s="7" t="s">
        <v>11</v>
      </c>
      <c r="J51" s="124" t="s">
        <v>41</v>
      </c>
      <c r="K51" s="1"/>
    </row>
    <row r="52" spans="1:11" ht="13.5" thickBot="1" x14ac:dyDescent="0.25">
      <c r="A52" s="6">
        <f t="shared" ref="A52:H52" si="16">SUM(A50:A51)</f>
        <v>2596</v>
      </c>
      <c r="B52" s="6">
        <f t="shared" si="16"/>
        <v>61</v>
      </c>
      <c r="C52" s="6">
        <f t="shared" si="16"/>
        <v>38</v>
      </c>
      <c r="D52" s="6">
        <f t="shared" si="16"/>
        <v>62</v>
      </c>
      <c r="E52" s="6">
        <f t="shared" si="16"/>
        <v>1078</v>
      </c>
      <c r="F52" s="6">
        <f t="shared" si="16"/>
        <v>0</v>
      </c>
      <c r="G52" s="6">
        <f t="shared" si="16"/>
        <v>1314</v>
      </c>
      <c r="H52" s="6">
        <f t="shared" si="16"/>
        <v>43</v>
      </c>
      <c r="I52" s="7" t="s">
        <v>13</v>
      </c>
      <c r="J52" s="9"/>
      <c r="K52" s="1"/>
    </row>
    <row r="53" spans="1:11" ht="13.5" thickBot="1" x14ac:dyDescent="0.25">
      <c r="A53" s="6">
        <f t="shared" si="0"/>
        <v>16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16</v>
      </c>
      <c r="H53" s="6">
        <v>0</v>
      </c>
      <c r="I53" s="7" t="s">
        <v>10</v>
      </c>
      <c r="J53" s="124"/>
      <c r="K53" s="1"/>
    </row>
    <row r="54" spans="1:11" ht="13.5" thickBot="1" x14ac:dyDescent="0.25">
      <c r="A54" s="6">
        <f t="shared" si="0"/>
        <v>4</v>
      </c>
      <c r="B54" s="6">
        <v>0</v>
      </c>
      <c r="C54" s="6">
        <v>0</v>
      </c>
      <c r="D54" s="6">
        <v>0</v>
      </c>
      <c r="E54" s="6">
        <v>1</v>
      </c>
      <c r="F54" s="6">
        <v>0</v>
      </c>
      <c r="G54" s="6">
        <v>3</v>
      </c>
      <c r="H54" s="6">
        <v>0</v>
      </c>
      <c r="I54" s="7" t="s">
        <v>11</v>
      </c>
      <c r="J54" s="124" t="s">
        <v>24</v>
      </c>
      <c r="K54" s="1"/>
    </row>
    <row r="55" spans="1:11" ht="13.5" thickBot="1" x14ac:dyDescent="0.25">
      <c r="A55" s="6">
        <f t="shared" ref="A55:H55" si="17">SUM(A53:A54)</f>
        <v>20</v>
      </c>
      <c r="B55" s="6">
        <f t="shared" si="17"/>
        <v>0</v>
      </c>
      <c r="C55" s="6">
        <f t="shared" si="17"/>
        <v>0</v>
      </c>
      <c r="D55" s="6">
        <f t="shared" si="17"/>
        <v>0</v>
      </c>
      <c r="E55" s="6">
        <f t="shared" si="17"/>
        <v>1</v>
      </c>
      <c r="F55" s="6">
        <f t="shared" si="17"/>
        <v>0</v>
      </c>
      <c r="G55" s="6">
        <f t="shared" si="17"/>
        <v>19</v>
      </c>
      <c r="H55" s="6">
        <f t="shared" si="17"/>
        <v>0</v>
      </c>
      <c r="I55" s="7" t="s">
        <v>13</v>
      </c>
      <c r="J55" s="9"/>
      <c r="K55" s="1"/>
    </row>
    <row r="56" spans="1:11" ht="13.5" thickBot="1" x14ac:dyDescent="0.25">
      <c r="A56" s="6">
        <f t="shared" si="0"/>
        <v>4795</v>
      </c>
      <c r="B56" s="6">
        <v>71</v>
      </c>
      <c r="C56" s="6">
        <v>3</v>
      </c>
      <c r="D56" s="6">
        <v>186</v>
      </c>
      <c r="E56" s="6">
        <v>1397</v>
      </c>
      <c r="F56" s="6">
        <v>0</v>
      </c>
      <c r="G56" s="6">
        <v>1618</v>
      </c>
      <c r="H56" s="6">
        <v>1520</v>
      </c>
      <c r="I56" s="7" t="s">
        <v>10</v>
      </c>
      <c r="J56" s="124"/>
      <c r="K56" s="1"/>
    </row>
    <row r="57" spans="1:11" ht="13.5" thickBot="1" x14ac:dyDescent="0.25">
      <c r="A57" s="6">
        <f t="shared" si="0"/>
        <v>1183</v>
      </c>
      <c r="B57" s="6">
        <v>15</v>
      </c>
      <c r="C57" s="6">
        <v>5</v>
      </c>
      <c r="D57" s="6">
        <v>101</v>
      </c>
      <c r="E57" s="6">
        <v>476</v>
      </c>
      <c r="F57" s="6">
        <v>0</v>
      </c>
      <c r="G57" s="6">
        <v>184</v>
      </c>
      <c r="H57" s="6">
        <v>402</v>
      </c>
      <c r="I57" s="7" t="s">
        <v>11</v>
      </c>
      <c r="J57" s="124" t="s">
        <v>37</v>
      </c>
      <c r="K57" s="1"/>
    </row>
    <row r="58" spans="1:11" ht="13.5" thickBot="1" x14ac:dyDescent="0.25">
      <c r="A58" s="6">
        <f t="shared" ref="A58:H58" si="18">SUM(A56:A57)</f>
        <v>5978</v>
      </c>
      <c r="B58" s="6">
        <f t="shared" si="18"/>
        <v>86</v>
      </c>
      <c r="C58" s="6">
        <f t="shared" si="18"/>
        <v>8</v>
      </c>
      <c r="D58" s="6">
        <f t="shared" si="18"/>
        <v>287</v>
      </c>
      <c r="E58" s="6">
        <f t="shared" si="18"/>
        <v>1873</v>
      </c>
      <c r="F58" s="6">
        <f t="shared" si="18"/>
        <v>0</v>
      </c>
      <c r="G58" s="6">
        <f t="shared" si="18"/>
        <v>1802</v>
      </c>
      <c r="H58" s="6">
        <f t="shared" si="18"/>
        <v>1922</v>
      </c>
      <c r="I58" s="7" t="s">
        <v>13</v>
      </c>
      <c r="J58" s="9"/>
      <c r="K58" s="1"/>
    </row>
    <row r="59" spans="1:11" ht="13.5" thickBot="1" x14ac:dyDescent="0.25">
      <c r="A59" s="6">
        <f t="shared" si="0"/>
        <v>1248</v>
      </c>
      <c r="B59" s="6">
        <v>2</v>
      </c>
      <c r="C59" s="6">
        <v>12</v>
      </c>
      <c r="D59" s="6">
        <v>29</v>
      </c>
      <c r="E59" s="6">
        <v>76</v>
      </c>
      <c r="F59" s="6">
        <v>0</v>
      </c>
      <c r="G59" s="6">
        <v>758</v>
      </c>
      <c r="H59" s="6">
        <v>371</v>
      </c>
      <c r="I59" s="7" t="s">
        <v>10</v>
      </c>
      <c r="J59" s="124"/>
      <c r="K59" s="1"/>
    </row>
    <row r="60" spans="1:11" ht="13.5" thickBot="1" x14ac:dyDescent="0.25">
      <c r="A60" s="6">
        <f t="shared" si="0"/>
        <v>166</v>
      </c>
      <c r="B60" s="6">
        <v>3</v>
      </c>
      <c r="C60" s="6">
        <v>5</v>
      </c>
      <c r="D60" s="6">
        <v>0</v>
      </c>
      <c r="E60" s="6">
        <v>94</v>
      </c>
      <c r="F60" s="6">
        <v>0</v>
      </c>
      <c r="G60" s="6">
        <v>41</v>
      </c>
      <c r="H60" s="6">
        <v>23</v>
      </c>
      <c r="I60" s="7" t="s">
        <v>11</v>
      </c>
      <c r="J60" s="124" t="s">
        <v>42</v>
      </c>
      <c r="K60" s="1"/>
    </row>
    <row r="61" spans="1:11" ht="13.5" thickBot="1" x14ac:dyDescent="0.25">
      <c r="A61" s="6">
        <f t="shared" ref="A61:H61" si="19">SUM(A59:A60)</f>
        <v>1414</v>
      </c>
      <c r="B61" s="6">
        <f t="shared" si="19"/>
        <v>5</v>
      </c>
      <c r="C61" s="6">
        <f t="shared" si="19"/>
        <v>17</v>
      </c>
      <c r="D61" s="6">
        <f t="shared" si="19"/>
        <v>29</v>
      </c>
      <c r="E61" s="6">
        <f t="shared" si="19"/>
        <v>170</v>
      </c>
      <c r="F61" s="6">
        <f t="shared" si="19"/>
        <v>0</v>
      </c>
      <c r="G61" s="6">
        <f t="shared" si="19"/>
        <v>799</v>
      </c>
      <c r="H61" s="6">
        <f t="shared" si="19"/>
        <v>394</v>
      </c>
      <c r="I61" s="7" t="s">
        <v>13</v>
      </c>
      <c r="J61" s="9"/>
      <c r="K61" s="1"/>
    </row>
    <row r="62" spans="1:11" ht="13.5" thickBot="1" x14ac:dyDescent="0.25">
      <c r="A62" s="6">
        <f t="shared" si="0"/>
        <v>129</v>
      </c>
      <c r="B62" s="6">
        <v>0</v>
      </c>
      <c r="C62" s="6">
        <v>54</v>
      </c>
      <c r="D62" s="6">
        <v>3</v>
      </c>
      <c r="E62" s="6">
        <v>50</v>
      </c>
      <c r="F62" s="6">
        <v>0</v>
      </c>
      <c r="G62" s="6">
        <v>20</v>
      </c>
      <c r="H62" s="6">
        <v>2</v>
      </c>
      <c r="I62" s="7" t="s">
        <v>10</v>
      </c>
      <c r="J62" s="124"/>
      <c r="K62" s="1"/>
    </row>
    <row r="63" spans="1:11" ht="13.5" thickBot="1" x14ac:dyDescent="0.25">
      <c r="A63" s="6">
        <f t="shared" si="0"/>
        <v>69</v>
      </c>
      <c r="B63" s="6">
        <v>0</v>
      </c>
      <c r="C63" s="6">
        <v>8</v>
      </c>
      <c r="D63" s="6">
        <v>1</v>
      </c>
      <c r="E63" s="6">
        <v>16</v>
      </c>
      <c r="F63" s="6">
        <v>0</v>
      </c>
      <c r="G63" s="6">
        <v>30</v>
      </c>
      <c r="H63" s="6">
        <v>14</v>
      </c>
      <c r="I63" s="7" t="s">
        <v>11</v>
      </c>
      <c r="J63" s="124" t="s">
        <v>38</v>
      </c>
      <c r="K63" s="1"/>
    </row>
    <row r="64" spans="1:11" ht="13.5" thickBot="1" x14ac:dyDescent="0.25">
      <c r="A64" s="6">
        <f t="shared" ref="A64:H64" si="20">SUM(A62:A63)</f>
        <v>198</v>
      </c>
      <c r="B64" s="6">
        <f t="shared" si="20"/>
        <v>0</v>
      </c>
      <c r="C64" s="6">
        <f t="shared" si="20"/>
        <v>62</v>
      </c>
      <c r="D64" s="6">
        <f t="shared" si="20"/>
        <v>4</v>
      </c>
      <c r="E64" s="6">
        <f t="shared" si="20"/>
        <v>66</v>
      </c>
      <c r="F64" s="6">
        <f t="shared" si="20"/>
        <v>0</v>
      </c>
      <c r="G64" s="6">
        <f t="shared" si="20"/>
        <v>50</v>
      </c>
      <c r="H64" s="6">
        <f t="shared" si="20"/>
        <v>16</v>
      </c>
      <c r="I64" s="7" t="s">
        <v>13</v>
      </c>
      <c r="J64" s="9"/>
      <c r="K64" s="1"/>
    </row>
    <row r="65" spans="1:11" ht="13.5" thickBot="1" x14ac:dyDescent="0.25">
      <c r="A65" s="6">
        <f t="shared" si="0"/>
        <v>3</v>
      </c>
      <c r="B65" s="6">
        <v>0</v>
      </c>
      <c r="C65" s="6">
        <v>0</v>
      </c>
      <c r="D65" s="6">
        <v>0</v>
      </c>
      <c r="E65" s="6">
        <v>3</v>
      </c>
      <c r="F65" s="6">
        <v>0</v>
      </c>
      <c r="G65" s="6">
        <v>0</v>
      </c>
      <c r="H65" s="6">
        <v>0</v>
      </c>
      <c r="I65" s="7" t="s">
        <v>10</v>
      </c>
      <c r="J65" s="124"/>
      <c r="K65" s="1"/>
    </row>
    <row r="66" spans="1:11" ht="13.5" thickBot="1" x14ac:dyDescent="0.25">
      <c r="A66" s="6">
        <f t="shared" si="0"/>
        <v>8</v>
      </c>
      <c r="B66" s="6">
        <v>0</v>
      </c>
      <c r="C66" s="6">
        <v>0</v>
      </c>
      <c r="D66" s="6">
        <v>1</v>
      </c>
      <c r="E66" s="6">
        <v>3</v>
      </c>
      <c r="F66" s="6">
        <v>0</v>
      </c>
      <c r="G66" s="6">
        <v>4</v>
      </c>
      <c r="H66" s="6">
        <v>0</v>
      </c>
      <c r="I66" s="7" t="s">
        <v>11</v>
      </c>
      <c r="J66" s="124" t="s">
        <v>39</v>
      </c>
      <c r="K66" s="1"/>
    </row>
    <row r="67" spans="1:11" ht="13.5" thickBot="1" x14ac:dyDescent="0.25">
      <c r="A67" s="6">
        <f t="shared" ref="A67:H67" si="21">SUM(A65:A66)</f>
        <v>11</v>
      </c>
      <c r="B67" s="6">
        <f t="shared" si="21"/>
        <v>0</v>
      </c>
      <c r="C67" s="6">
        <f t="shared" si="21"/>
        <v>0</v>
      </c>
      <c r="D67" s="6">
        <f t="shared" si="21"/>
        <v>1</v>
      </c>
      <c r="E67" s="6">
        <f t="shared" si="21"/>
        <v>6</v>
      </c>
      <c r="F67" s="6">
        <f t="shared" si="21"/>
        <v>0</v>
      </c>
      <c r="G67" s="6">
        <f t="shared" si="21"/>
        <v>4</v>
      </c>
      <c r="H67" s="6">
        <f t="shared" si="21"/>
        <v>0</v>
      </c>
      <c r="I67" s="7" t="s">
        <v>13</v>
      </c>
      <c r="J67" s="9"/>
      <c r="K67" s="1"/>
    </row>
    <row r="68" spans="1:11" ht="13.5" thickBot="1" x14ac:dyDescent="0.25">
      <c r="A68" s="6">
        <f t="shared" si="0"/>
        <v>278</v>
      </c>
      <c r="B68" s="6">
        <v>10</v>
      </c>
      <c r="C68" s="6">
        <v>1</v>
      </c>
      <c r="D68" s="6">
        <v>15</v>
      </c>
      <c r="E68" s="6">
        <v>46</v>
      </c>
      <c r="F68" s="6">
        <v>6</v>
      </c>
      <c r="G68" s="6">
        <v>195</v>
      </c>
      <c r="H68" s="6">
        <v>5</v>
      </c>
      <c r="I68" s="7" t="s">
        <v>10</v>
      </c>
      <c r="J68" s="124"/>
      <c r="K68" s="1"/>
    </row>
    <row r="69" spans="1:11" ht="13.5" thickBot="1" x14ac:dyDescent="0.25">
      <c r="A69" s="6">
        <f t="shared" si="0"/>
        <v>73</v>
      </c>
      <c r="B69" s="6">
        <v>1</v>
      </c>
      <c r="C69" s="6">
        <v>0</v>
      </c>
      <c r="D69" s="6">
        <v>3</v>
      </c>
      <c r="E69" s="6">
        <v>23</v>
      </c>
      <c r="F69" s="6">
        <v>0</v>
      </c>
      <c r="G69" s="6">
        <v>43</v>
      </c>
      <c r="H69" s="6">
        <v>3</v>
      </c>
      <c r="I69" s="7" t="s">
        <v>11</v>
      </c>
      <c r="J69" s="124" t="s">
        <v>25</v>
      </c>
      <c r="K69" s="1"/>
    </row>
    <row r="70" spans="1:11" ht="13.5" thickBot="1" x14ac:dyDescent="0.25">
      <c r="A70" s="6">
        <f t="shared" ref="A70:H70" si="22">SUM(A68:A69)</f>
        <v>351</v>
      </c>
      <c r="B70" s="6">
        <f t="shared" si="22"/>
        <v>11</v>
      </c>
      <c r="C70" s="6">
        <f t="shared" si="22"/>
        <v>1</v>
      </c>
      <c r="D70" s="6">
        <f t="shared" si="22"/>
        <v>18</v>
      </c>
      <c r="E70" s="6">
        <f t="shared" si="22"/>
        <v>69</v>
      </c>
      <c r="F70" s="6">
        <f t="shared" si="22"/>
        <v>6</v>
      </c>
      <c r="G70" s="6">
        <f t="shared" si="22"/>
        <v>238</v>
      </c>
      <c r="H70" s="6">
        <f t="shared" si="22"/>
        <v>8</v>
      </c>
      <c r="I70" s="7" t="s">
        <v>13</v>
      </c>
      <c r="J70" s="9"/>
      <c r="K70" s="1"/>
    </row>
    <row r="71" spans="1:11" ht="13.5" thickBot="1" x14ac:dyDescent="0.25">
      <c r="A71" s="6">
        <f t="shared" ref="A71:A78" si="23">SUM(B71:H71)</f>
        <v>8</v>
      </c>
      <c r="B71" s="6">
        <v>0</v>
      </c>
      <c r="C71" s="6">
        <v>0</v>
      </c>
      <c r="D71" s="6">
        <v>1</v>
      </c>
      <c r="E71" s="6">
        <v>0</v>
      </c>
      <c r="F71" s="6">
        <v>0</v>
      </c>
      <c r="G71" s="6">
        <v>7</v>
      </c>
      <c r="H71" s="6">
        <v>0</v>
      </c>
      <c r="I71" s="7" t="s">
        <v>10</v>
      </c>
      <c r="J71" s="124"/>
      <c r="K71" s="1"/>
    </row>
    <row r="72" spans="1:11" ht="13.5" thickBot="1" x14ac:dyDescent="0.25">
      <c r="A72" s="6">
        <f t="shared" si="23"/>
        <v>14</v>
      </c>
      <c r="B72" s="6">
        <v>0</v>
      </c>
      <c r="C72" s="6">
        <v>0</v>
      </c>
      <c r="D72" s="6">
        <v>0</v>
      </c>
      <c r="E72" s="6">
        <v>2</v>
      </c>
      <c r="F72" s="6">
        <v>0</v>
      </c>
      <c r="G72" s="6">
        <v>12</v>
      </c>
      <c r="H72" s="6">
        <v>0</v>
      </c>
      <c r="I72" s="7" t="s">
        <v>11</v>
      </c>
      <c r="J72" s="124" t="s">
        <v>26</v>
      </c>
      <c r="K72" s="1"/>
    </row>
    <row r="73" spans="1:11" ht="13.5" thickBot="1" x14ac:dyDescent="0.25">
      <c r="A73" s="6">
        <f t="shared" ref="A73:H73" si="24">SUM(A71:A72)</f>
        <v>22</v>
      </c>
      <c r="B73" s="6">
        <f t="shared" si="24"/>
        <v>0</v>
      </c>
      <c r="C73" s="6">
        <f t="shared" si="24"/>
        <v>0</v>
      </c>
      <c r="D73" s="6">
        <f t="shared" si="24"/>
        <v>1</v>
      </c>
      <c r="E73" s="6">
        <f t="shared" si="24"/>
        <v>2</v>
      </c>
      <c r="F73" s="6">
        <f t="shared" si="24"/>
        <v>0</v>
      </c>
      <c r="G73" s="6">
        <f t="shared" si="24"/>
        <v>19</v>
      </c>
      <c r="H73" s="6">
        <f t="shared" si="24"/>
        <v>0</v>
      </c>
      <c r="I73" s="7" t="s">
        <v>13</v>
      </c>
      <c r="J73" s="9"/>
      <c r="K73" s="1"/>
    </row>
    <row r="74" spans="1:11" ht="13.5" thickBot="1" x14ac:dyDescent="0.25">
      <c r="A74" s="6">
        <f t="shared" si="23"/>
        <v>76</v>
      </c>
      <c r="B74" s="6">
        <v>0</v>
      </c>
      <c r="C74" s="6">
        <v>0</v>
      </c>
      <c r="D74" s="6">
        <v>1</v>
      </c>
      <c r="E74" s="6">
        <v>0</v>
      </c>
      <c r="F74" s="6">
        <v>0</v>
      </c>
      <c r="G74" s="6">
        <v>75</v>
      </c>
      <c r="H74" s="6">
        <v>0</v>
      </c>
      <c r="I74" s="7" t="s">
        <v>10</v>
      </c>
      <c r="J74" s="124"/>
      <c r="K74" s="1"/>
    </row>
    <row r="75" spans="1:11" ht="13.5" thickBot="1" x14ac:dyDescent="0.25">
      <c r="A75" s="6">
        <f t="shared" si="23"/>
        <v>27</v>
      </c>
      <c r="B75" s="6">
        <v>0</v>
      </c>
      <c r="C75" s="6">
        <v>0</v>
      </c>
      <c r="D75" s="6">
        <v>0</v>
      </c>
      <c r="E75" s="6">
        <v>6</v>
      </c>
      <c r="F75" s="6">
        <v>0</v>
      </c>
      <c r="G75" s="6">
        <v>21</v>
      </c>
      <c r="H75" s="6">
        <v>0</v>
      </c>
      <c r="I75" s="7" t="s">
        <v>11</v>
      </c>
      <c r="J75" s="124" t="s">
        <v>27</v>
      </c>
      <c r="K75" s="1"/>
    </row>
    <row r="76" spans="1:11" ht="13.5" thickBot="1" x14ac:dyDescent="0.25">
      <c r="A76" s="6">
        <f t="shared" ref="A76:H76" si="25">SUM(A74:A75)</f>
        <v>103</v>
      </c>
      <c r="B76" s="6">
        <f t="shared" si="25"/>
        <v>0</v>
      </c>
      <c r="C76" s="6">
        <f t="shared" si="25"/>
        <v>0</v>
      </c>
      <c r="D76" s="6">
        <f t="shared" si="25"/>
        <v>1</v>
      </c>
      <c r="E76" s="6">
        <f t="shared" si="25"/>
        <v>6</v>
      </c>
      <c r="F76" s="6">
        <f t="shared" si="25"/>
        <v>0</v>
      </c>
      <c r="G76" s="6">
        <f t="shared" si="25"/>
        <v>96</v>
      </c>
      <c r="H76" s="6">
        <f t="shared" si="25"/>
        <v>0</v>
      </c>
      <c r="I76" s="7" t="s">
        <v>13</v>
      </c>
      <c r="J76" s="9"/>
      <c r="K76" s="1"/>
    </row>
    <row r="77" spans="1:11" ht="13.5" thickBot="1" x14ac:dyDescent="0.25">
      <c r="A77" s="6">
        <f t="shared" si="23"/>
        <v>3714</v>
      </c>
      <c r="B77" s="6">
        <v>329</v>
      </c>
      <c r="C77" s="6">
        <v>13</v>
      </c>
      <c r="D77" s="6">
        <v>65</v>
      </c>
      <c r="E77" s="6">
        <v>1444</v>
      </c>
      <c r="F77" s="6">
        <v>15</v>
      </c>
      <c r="G77" s="6">
        <v>1715</v>
      </c>
      <c r="H77" s="6">
        <v>133</v>
      </c>
      <c r="I77" s="7" t="s">
        <v>10</v>
      </c>
      <c r="J77" s="124"/>
      <c r="K77" s="1"/>
    </row>
    <row r="78" spans="1:11" ht="13.5" thickBot="1" x14ac:dyDescent="0.25">
      <c r="A78" s="6">
        <f t="shared" si="23"/>
        <v>679</v>
      </c>
      <c r="B78" s="6">
        <v>22</v>
      </c>
      <c r="C78" s="6">
        <v>2</v>
      </c>
      <c r="D78" s="6">
        <v>29</v>
      </c>
      <c r="E78" s="6">
        <v>391</v>
      </c>
      <c r="F78" s="6">
        <v>0</v>
      </c>
      <c r="G78" s="6">
        <v>202</v>
      </c>
      <c r="H78" s="6">
        <v>33</v>
      </c>
      <c r="I78" s="7" t="s">
        <v>11</v>
      </c>
      <c r="J78" s="124" t="s">
        <v>33</v>
      </c>
      <c r="K78" s="1"/>
    </row>
    <row r="79" spans="1:11" ht="13.5" thickBot="1" x14ac:dyDescent="0.25">
      <c r="A79" s="6">
        <f t="shared" ref="A79:H79" si="26">SUM(A77:A78)</f>
        <v>4393</v>
      </c>
      <c r="B79" s="6">
        <f t="shared" si="26"/>
        <v>351</v>
      </c>
      <c r="C79" s="6">
        <f t="shared" si="26"/>
        <v>15</v>
      </c>
      <c r="D79" s="6">
        <f t="shared" si="26"/>
        <v>94</v>
      </c>
      <c r="E79" s="6">
        <f t="shared" si="26"/>
        <v>1835</v>
      </c>
      <c r="F79" s="6">
        <f t="shared" si="26"/>
        <v>15</v>
      </c>
      <c r="G79" s="6">
        <f t="shared" si="26"/>
        <v>1917</v>
      </c>
      <c r="H79" s="6">
        <f t="shared" si="26"/>
        <v>166</v>
      </c>
      <c r="I79" s="7" t="s">
        <v>13</v>
      </c>
      <c r="J79" s="9"/>
      <c r="K79" s="1"/>
    </row>
    <row r="80" spans="1:11" ht="13.5" thickBot="1" x14ac:dyDescent="0.25">
      <c r="A80" s="6">
        <f t="shared" ref="A80:G82" si="27">A5+A8+A11+A14+A17+A20+A23+A26+A29+A32+A35+A38+A41+A44+A47+A50+A53+A56+A59+A62+A65+A68+A71+A74+A77</f>
        <v>13211</v>
      </c>
      <c r="B80" s="6">
        <f t="shared" si="27"/>
        <v>481</v>
      </c>
      <c r="C80" s="6">
        <f t="shared" si="27"/>
        <v>131</v>
      </c>
      <c r="D80" s="6">
        <f t="shared" si="27"/>
        <v>373</v>
      </c>
      <c r="E80" s="6">
        <f t="shared" si="27"/>
        <v>3929</v>
      </c>
      <c r="F80" s="6">
        <f t="shared" si="27"/>
        <v>27</v>
      </c>
      <c r="G80" s="6">
        <f t="shared" si="27"/>
        <v>6063</v>
      </c>
      <c r="H80" s="6">
        <f>H5+H8+H11+H14+H17+H20+H23+H26+H29+H32+H35+H38+H41+H44+H47+H50+H53+H56+H59+H62+H65+H68+H71+H74+H77</f>
        <v>2207</v>
      </c>
      <c r="I80" s="7" t="s">
        <v>10</v>
      </c>
      <c r="J80" s="3"/>
      <c r="K80" s="1"/>
    </row>
    <row r="81" spans="1:11" ht="13.5" thickBot="1" x14ac:dyDescent="0.25">
      <c r="A81" s="6">
        <f t="shared" si="27"/>
        <v>3560</v>
      </c>
      <c r="B81" s="6">
        <f t="shared" si="27"/>
        <v>53</v>
      </c>
      <c r="C81" s="6">
        <f t="shared" si="27"/>
        <v>34</v>
      </c>
      <c r="D81" s="6">
        <f t="shared" si="27"/>
        <v>160</v>
      </c>
      <c r="E81" s="6">
        <f t="shared" si="27"/>
        <v>1305</v>
      </c>
      <c r="F81" s="6">
        <f t="shared" si="27"/>
        <v>1</v>
      </c>
      <c r="G81" s="6">
        <f t="shared" si="27"/>
        <v>1217</v>
      </c>
      <c r="H81" s="6">
        <f>H6+H9+H12+H15+H18+H21+H24+H27+H30+H33+H36+H39+H42+H45+H48+H51+H54+H57+H60+H63+H66+H69+H72+H75+H78</f>
        <v>790</v>
      </c>
      <c r="I81" s="7" t="s">
        <v>11</v>
      </c>
      <c r="J81" s="11" t="s">
        <v>211</v>
      </c>
      <c r="K81" s="1"/>
    </row>
    <row r="82" spans="1:11" ht="13.5" thickBot="1" x14ac:dyDescent="0.25">
      <c r="A82" s="6">
        <f t="shared" si="27"/>
        <v>16771</v>
      </c>
      <c r="B82" s="6">
        <f t="shared" si="27"/>
        <v>534</v>
      </c>
      <c r="C82" s="6">
        <f t="shared" si="27"/>
        <v>165</v>
      </c>
      <c r="D82" s="6">
        <f t="shared" si="27"/>
        <v>533</v>
      </c>
      <c r="E82" s="6">
        <f t="shared" si="27"/>
        <v>5234</v>
      </c>
      <c r="F82" s="6">
        <f t="shared" si="27"/>
        <v>28</v>
      </c>
      <c r="G82" s="6">
        <f t="shared" si="27"/>
        <v>7280</v>
      </c>
      <c r="H82" s="6">
        <f>H7+H10+H13+H16+H19+H22+H25+H28+H31+H34+H37+H40+H43+H46+H49+H52+H55+H58+H61+H64+H67+H70+H73+H76+H79</f>
        <v>2997</v>
      </c>
      <c r="I82" s="7" t="s">
        <v>13</v>
      </c>
      <c r="J82" s="5"/>
      <c r="K82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82"/>
  <sheetViews>
    <sheetView showGridLines="0" topLeftCell="A79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677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678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676</v>
      </c>
      <c r="K4" s="1"/>
    </row>
    <row r="5" spans="1:11" ht="13.5" thickBot="1" x14ac:dyDescent="0.25">
      <c r="A5" s="6">
        <f>SUM(B5:H5)</f>
        <v>0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7" t="s">
        <v>10</v>
      </c>
      <c r="J5" s="124"/>
      <c r="K5" s="1"/>
    </row>
    <row r="6" spans="1:11" ht="13.5" thickBot="1" x14ac:dyDescent="0.25">
      <c r="A6" s="6">
        <f t="shared" ref="A6:A69" si="0">SUM(B6:H6)</f>
        <v>1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1</v>
      </c>
      <c r="H6" s="6">
        <v>0</v>
      </c>
      <c r="I6" s="7" t="s">
        <v>11</v>
      </c>
      <c r="J6" s="124" t="s">
        <v>12</v>
      </c>
      <c r="K6" s="1"/>
    </row>
    <row r="7" spans="1:11" ht="13.5" thickBot="1" x14ac:dyDescent="0.25">
      <c r="A7" s="6">
        <f t="shared" ref="A7:G7" si="1">SUM(A5:A6)</f>
        <v>1</v>
      </c>
      <c r="B7" s="6">
        <f t="shared" si="1"/>
        <v>0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0</v>
      </c>
      <c r="G7" s="6">
        <f t="shared" si="1"/>
        <v>1</v>
      </c>
      <c r="H7" s="6">
        <f>SUM(H5:H6)</f>
        <v>0</v>
      </c>
      <c r="I7" s="7" t="s">
        <v>13</v>
      </c>
      <c r="J7" s="9"/>
      <c r="K7" s="1"/>
    </row>
    <row r="8" spans="1:11" ht="13.5" thickBot="1" x14ac:dyDescent="0.25">
      <c r="A8" s="6">
        <f t="shared" si="0"/>
        <v>0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 t="s">
        <v>10</v>
      </c>
      <c r="J8" s="124"/>
      <c r="K8" s="1"/>
    </row>
    <row r="9" spans="1:11" ht="13.5" thickBot="1" x14ac:dyDescent="0.25">
      <c r="A9" s="6">
        <f t="shared" si="0"/>
        <v>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7" t="s">
        <v>11</v>
      </c>
      <c r="J9" s="124" t="s">
        <v>14</v>
      </c>
      <c r="K9" s="1"/>
    </row>
    <row r="10" spans="1:11" ht="13.5" thickBot="1" x14ac:dyDescent="0.25">
      <c r="A10" s="6">
        <f t="shared" ref="A10:H10" si="2">SUM(A8:A9)</f>
        <v>0</v>
      </c>
      <c r="B10" s="6">
        <f t="shared" si="2"/>
        <v>0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0</v>
      </c>
      <c r="I10" s="7" t="s">
        <v>13</v>
      </c>
      <c r="J10" s="9"/>
      <c r="K10" s="1"/>
    </row>
    <row r="11" spans="1:11" ht="13.5" thickBot="1" x14ac:dyDescent="0.25">
      <c r="A11" s="6">
        <f t="shared" si="0"/>
        <v>214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95</v>
      </c>
      <c r="H11" s="6">
        <v>119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558</v>
      </c>
      <c r="B12" s="6">
        <v>1</v>
      </c>
      <c r="C12" s="6">
        <v>0</v>
      </c>
      <c r="D12" s="6">
        <v>0</v>
      </c>
      <c r="E12" s="6">
        <v>0</v>
      </c>
      <c r="F12" s="6">
        <v>0</v>
      </c>
      <c r="G12" s="6">
        <v>257</v>
      </c>
      <c r="H12" s="6">
        <v>300</v>
      </c>
      <c r="I12" s="7" t="s">
        <v>11</v>
      </c>
      <c r="J12" s="124" t="s">
        <v>15</v>
      </c>
      <c r="K12" s="1"/>
    </row>
    <row r="13" spans="1:11" ht="13.5" thickBot="1" x14ac:dyDescent="0.25">
      <c r="A13" s="6">
        <f t="shared" ref="A13:H13" si="3">SUM(A11:A12)</f>
        <v>772</v>
      </c>
      <c r="B13" s="6">
        <f t="shared" si="3"/>
        <v>1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0</v>
      </c>
      <c r="G13" s="6">
        <f t="shared" si="3"/>
        <v>352</v>
      </c>
      <c r="H13" s="6">
        <f t="shared" si="3"/>
        <v>419</v>
      </c>
      <c r="I13" s="7" t="s">
        <v>13</v>
      </c>
      <c r="J13" s="9"/>
      <c r="K13" s="1"/>
    </row>
    <row r="14" spans="1:11" ht="13.5" thickBot="1" x14ac:dyDescent="0.25">
      <c r="A14" s="6">
        <f t="shared" si="0"/>
        <v>2</v>
      </c>
      <c r="B14" s="6">
        <v>0</v>
      </c>
      <c r="C14" s="6">
        <v>0</v>
      </c>
      <c r="D14" s="6">
        <v>1</v>
      </c>
      <c r="E14" s="6">
        <v>0</v>
      </c>
      <c r="F14" s="6">
        <v>0</v>
      </c>
      <c r="G14" s="6">
        <v>0</v>
      </c>
      <c r="H14" s="6">
        <v>1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0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7" t="s">
        <v>11</v>
      </c>
      <c r="J15" s="124" t="s">
        <v>16</v>
      </c>
      <c r="K15" s="1"/>
    </row>
    <row r="16" spans="1:11" ht="13.5" thickBot="1" x14ac:dyDescent="0.25">
      <c r="A16" s="6">
        <f t="shared" ref="A16:H16" si="4">SUM(A14:A15)</f>
        <v>2</v>
      </c>
      <c r="B16" s="6">
        <f t="shared" si="4"/>
        <v>0</v>
      </c>
      <c r="C16" s="6">
        <f t="shared" si="4"/>
        <v>0</v>
      </c>
      <c r="D16" s="6">
        <f t="shared" si="4"/>
        <v>1</v>
      </c>
      <c r="E16" s="6">
        <f t="shared" si="4"/>
        <v>0</v>
      </c>
      <c r="F16" s="6">
        <f t="shared" si="4"/>
        <v>0</v>
      </c>
      <c r="G16" s="6">
        <f t="shared" si="4"/>
        <v>0</v>
      </c>
      <c r="H16" s="6">
        <f t="shared" si="4"/>
        <v>1</v>
      </c>
      <c r="I16" s="7" t="s">
        <v>13</v>
      </c>
      <c r="J16" s="9"/>
      <c r="K16" s="1"/>
    </row>
    <row r="17" spans="1:11" ht="13.5" thickBot="1" x14ac:dyDescent="0.25">
      <c r="A17" s="6">
        <f t="shared" si="0"/>
        <v>18</v>
      </c>
      <c r="B17" s="6">
        <v>0</v>
      </c>
      <c r="C17" s="6">
        <v>1</v>
      </c>
      <c r="D17" s="6">
        <v>5</v>
      </c>
      <c r="E17" s="6">
        <v>5</v>
      </c>
      <c r="F17" s="6">
        <v>0</v>
      </c>
      <c r="G17" s="6">
        <v>7</v>
      </c>
      <c r="H17" s="6">
        <v>0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4</v>
      </c>
      <c r="B18" s="6">
        <v>0</v>
      </c>
      <c r="C18" s="6">
        <v>0</v>
      </c>
      <c r="D18" s="6">
        <v>0</v>
      </c>
      <c r="E18" s="6">
        <v>3</v>
      </c>
      <c r="F18" s="6">
        <v>0</v>
      </c>
      <c r="G18" s="6">
        <v>1</v>
      </c>
      <c r="H18" s="6">
        <v>0</v>
      </c>
      <c r="I18" s="7" t="s">
        <v>11</v>
      </c>
      <c r="J18" s="124" t="s">
        <v>31</v>
      </c>
      <c r="K18" s="1"/>
    </row>
    <row r="19" spans="1:11" ht="13.5" thickBot="1" x14ac:dyDescent="0.25">
      <c r="A19" s="6">
        <f t="shared" ref="A19:H19" si="5">SUM(A17:A18)</f>
        <v>22</v>
      </c>
      <c r="B19" s="6">
        <f t="shared" si="5"/>
        <v>0</v>
      </c>
      <c r="C19" s="6">
        <f t="shared" si="5"/>
        <v>1</v>
      </c>
      <c r="D19" s="6">
        <f t="shared" si="5"/>
        <v>5</v>
      </c>
      <c r="E19" s="6">
        <f t="shared" si="5"/>
        <v>8</v>
      </c>
      <c r="F19" s="6">
        <f t="shared" si="5"/>
        <v>0</v>
      </c>
      <c r="G19" s="6">
        <f t="shared" si="5"/>
        <v>8</v>
      </c>
      <c r="H19" s="6">
        <f t="shared" si="5"/>
        <v>0</v>
      </c>
      <c r="I19" s="7" t="s">
        <v>13</v>
      </c>
      <c r="J19" s="9"/>
      <c r="K19" s="1"/>
    </row>
    <row r="20" spans="1:11" ht="13.5" thickBot="1" x14ac:dyDescent="0.25">
      <c r="A20" s="6">
        <f t="shared" si="0"/>
        <v>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2</v>
      </c>
      <c r="H20" s="6">
        <v>0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0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7" t="s">
        <v>11</v>
      </c>
      <c r="J21" s="124" t="s">
        <v>17</v>
      </c>
      <c r="K21" s="1"/>
    </row>
    <row r="22" spans="1:11" ht="13.5" thickBot="1" x14ac:dyDescent="0.25">
      <c r="A22" s="6">
        <f t="shared" ref="A22:H22" si="6">SUM(A20:A21)</f>
        <v>2</v>
      </c>
      <c r="B22" s="6">
        <f t="shared" si="6"/>
        <v>0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0</v>
      </c>
      <c r="G22" s="6">
        <f t="shared" si="6"/>
        <v>2</v>
      </c>
      <c r="H22" s="6">
        <f t="shared" si="6"/>
        <v>0</v>
      </c>
      <c r="I22" s="7" t="s">
        <v>13</v>
      </c>
      <c r="J22" s="9"/>
      <c r="K22" s="1"/>
    </row>
    <row r="23" spans="1:11" ht="13.5" thickBot="1" x14ac:dyDescent="0.25">
      <c r="A23" s="6">
        <f t="shared" si="0"/>
        <v>0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0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7" t="s">
        <v>11</v>
      </c>
      <c r="J24" s="124" t="s">
        <v>18</v>
      </c>
      <c r="K24" s="1"/>
    </row>
    <row r="25" spans="1:11" ht="13.5" thickBot="1" x14ac:dyDescent="0.25">
      <c r="A25" s="6">
        <f t="shared" ref="A25:H25" si="7">SUM(A23:A24)</f>
        <v>0</v>
      </c>
      <c r="B25" s="6">
        <f t="shared" si="7"/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7" t="s">
        <v>13</v>
      </c>
      <c r="J25" s="9"/>
      <c r="K25" s="1"/>
    </row>
    <row r="26" spans="1:11" ht="13.5" thickBot="1" x14ac:dyDescent="0.25">
      <c r="A26" s="6">
        <f t="shared" si="0"/>
        <v>15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13</v>
      </c>
      <c r="H26" s="6">
        <v>2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7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7</v>
      </c>
      <c r="H27" s="6">
        <v>0</v>
      </c>
      <c r="I27" s="7" t="s">
        <v>11</v>
      </c>
      <c r="J27" s="124" t="s">
        <v>19</v>
      </c>
      <c r="K27" s="1"/>
    </row>
    <row r="28" spans="1:11" ht="13.5" thickBot="1" x14ac:dyDescent="0.25">
      <c r="A28" s="6">
        <f t="shared" ref="A28:H28" si="8">SUM(A26:A27)</f>
        <v>22</v>
      </c>
      <c r="B28" s="6">
        <f t="shared" si="8"/>
        <v>0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0</v>
      </c>
      <c r="G28" s="6">
        <f t="shared" si="8"/>
        <v>20</v>
      </c>
      <c r="H28" s="6">
        <f t="shared" si="8"/>
        <v>2</v>
      </c>
      <c r="I28" s="7" t="s">
        <v>13</v>
      </c>
      <c r="J28" s="9"/>
      <c r="K28" s="1"/>
    </row>
    <row r="29" spans="1:11" ht="13.5" thickBot="1" x14ac:dyDescent="0.25">
      <c r="A29" s="6">
        <f t="shared" si="0"/>
        <v>98</v>
      </c>
      <c r="B29" s="6">
        <v>8</v>
      </c>
      <c r="C29" s="6">
        <v>17</v>
      </c>
      <c r="D29" s="6">
        <v>3</v>
      </c>
      <c r="E29" s="6">
        <v>9</v>
      </c>
      <c r="F29" s="6">
        <v>0</v>
      </c>
      <c r="G29" s="6">
        <v>59</v>
      </c>
      <c r="H29" s="6">
        <v>2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43</v>
      </c>
      <c r="B30" s="6">
        <v>0</v>
      </c>
      <c r="C30" s="6">
        <v>1</v>
      </c>
      <c r="D30" s="6">
        <v>3</v>
      </c>
      <c r="E30" s="6">
        <v>3</v>
      </c>
      <c r="F30" s="6">
        <v>0</v>
      </c>
      <c r="G30" s="6">
        <v>36</v>
      </c>
      <c r="H30" s="6">
        <v>0</v>
      </c>
      <c r="I30" s="7" t="s">
        <v>11</v>
      </c>
      <c r="J30" s="124" t="s">
        <v>35</v>
      </c>
      <c r="K30" s="1"/>
    </row>
    <row r="31" spans="1:11" ht="13.5" thickBot="1" x14ac:dyDescent="0.25">
      <c r="A31" s="6">
        <f t="shared" ref="A31:H31" si="9">SUM(A29:A30)</f>
        <v>141</v>
      </c>
      <c r="B31" s="6">
        <f t="shared" si="9"/>
        <v>8</v>
      </c>
      <c r="C31" s="6">
        <f t="shared" si="9"/>
        <v>18</v>
      </c>
      <c r="D31" s="6">
        <f t="shared" si="9"/>
        <v>6</v>
      </c>
      <c r="E31" s="6">
        <f t="shared" si="9"/>
        <v>12</v>
      </c>
      <c r="F31" s="6">
        <f t="shared" si="9"/>
        <v>0</v>
      </c>
      <c r="G31" s="6">
        <f t="shared" si="9"/>
        <v>95</v>
      </c>
      <c r="H31" s="6">
        <f t="shared" si="9"/>
        <v>2</v>
      </c>
      <c r="I31" s="7" t="s">
        <v>13</v>
      </c>
      <c r="J31" s="9"/>
      <c r="K31" s="1"/>
    </row>
    <row r="32" spans="1:11" ht="13.5" thickBot="1" x14ac:dyDescent="0.25">
      <c r="A32" s="6">
        <f t="shared" si="0"/>
        <v>0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1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1</v>
      </c>
      <c r="H33" s="6">
        <v>0</v>
      </c>
      <c r="I33" s="7" t="s">
        <v>11</v>
      </c>
      <c r="J33" s="124" t="s">
        <v>20</v>
      </c>
      <c r="K33" s="1"/>
    </row>
    <row r="34" spans="1:11" ht="13.5" thickBot="1" x14ac:dyDescent="0.25">
      <c r="A34" s="6">
        <f t="shared" ref="A34:H34" si="10">SUM(A32:A33)</f>
        <v>1</v>
      </c>
      <c r="B34" s="6">
        <f t="shared" si="10"/>
        <v>0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0</v>
      </c>
      <c r="G34" s="6">
        <f t="shared" si="10"/>
        <v>1</v>
      </c>
      <c r="H34" s="6">
        <f t="shared" si="10"/>
        <v>0</v>
      </c>
      <c r="I34" s="7" t="s">
        <v>13</v>
      </c>
      <c r="J34" s="9"/>
      <c r="K34" s="1"/>
    </row>
    <row r="35" spans="1:11" ht="13.5" thickBot="1" x14ac:dyDescent="0.25">
      <c r="A35" s="6">
        <f t="shared" si="0"/>
        <v>2</v>
      </c>
      <c r="B35" s="6">
        <v>1</v>
      </c>
      <c r="C35" s="6">
        <v>0</v>
      </c>
      <c r="D35" s="6">
        <v>1</v>
      </c>
      <c r="E35" s="6">
        <v>0</v>
      </c>
      <c r="F35" s="6">
        <v>0</v>
      </c>
      <c r="G35" s="6">
        <v>0</v>
      </c>
      <c r="H35" s="6">
        <v>0</v>
      </c>
      <c r="I35" s="7" t="s">
        <v>10</v>
      </c>
      <c r="J35" s="124"/>
      <c r="K35" s="1"/>
    </row>
    <row r="36" spans="1:11" ht="13.5" thickBot="1" x14ac:dyDescent="0.25">
      <c r="A36" s="6">
        <f t="shared" si="0"/>
        <v>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7" t="s">
        <v>11</v>
      </c>
      <c r="J36" s="124" t="s">
        <v>21</v>
      </c>
      <c r="K36" s="1"/>
    </row>
    <row r="37" spans="1:11" ht="13.5" thickBot="1" x14ac:dyDescent="0.25">
      <c r="A37" s="6">
        <f t="shared" ref="A37:H37" si="11">SUM(A35:A36)</f>
        <v>2</v>
      </c>
      <c r="B37" s="6">
        <f t="shared" si="11"/>
        <v>1</v>
      </c>
      <c r="C37" s="6">
        <f t="shared" si="11"/>
        <v>0</v>
      </c>
      <c r="D37" s="6">
        <f t="shared" si="11"/>
        <v>1</v>
      </c>
      <c r="E37" s="6">
        <f t="shared" si="11"/>
        <v>0</v>
      </c>
      <c r="F37" s="6">
        <f t="shared" si="11"/>
        <v>0</v>
      </c>
      <c r="G37" s="6">
        <f t="shared" si="11"/>
        <v>0</v>
      </c>
      <c r="H37" s="6">
        <f t="shared" si="11"/>
        <v>0</v>
      </c>
      <c r="I37" s="7" t="s">
        <v>13</v>
      </c>
      <c r="J37" s="9"/>
      <c r="K37" s="1"/>
    </row>
    <row r="38" spans="1:11" ht="13.5" thickBot="1" x14ac:dyDescent="0.25">
      <c r="A38" s="6">
        <f t="shared" si="0"/>
        <v>1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1</v>
      </c>
      <c r="I38" s="7" t="s">
        <v>10</v>
      </c>
      <c r="J38" s="124"/>
      <c r="K38" s="1"/>
    </row>
    <row r="39" spans="1:11" ht="13.5" thickBot="1" x14ac:dyDescent="0.25">
      <c r="A39" s="6">
        <f t="shared" si="0"/>
        <v>14</v>
      </c>
      <c r="B39" s="6">
        <v>0</v>
      </c>
      <c r="C39" s="6">
        <v>0</v>
      </c>
      <c r="D39" s="6">
        <v>0</v>
      </c>
      <c r="E39" s="6">
        <v>9</v>
      </c>
      <c r="F39" s="6">
        <v>0</v>
      </c>
      <c r="G39" s="6">
        <v>3</v>
      </c>
      <c r="H39" s="6">
        <v>2</v>
      </c>
      <c r="I39" s="7" t="s">
        <v>11</v>
      </c>
      <c r="J39" s="124" t="s">
        <v>22</v>
      </c>
      <c r="K39" s="1"/>
    </row>
    <row r="40" spans="1:11" ht="13.5" thickBot="1" x14ac:dyDescent="0.25">
      <c r="A40" s="6">
        <f t="shared" ref="A40:H40" si="12">SUM(A38:A39)</f>
        <v>15</v>
      </c>
      <c r="B40" s="6">
        <f t="shared" si="12"/>
        <v>0</v>
      </c>
      <c r="C40" s="6">
        <f t="shared" si="12"/>
        <v>0</v>
      </c>
      <c r="D40" s="6">
        <f t="shared" si="12"/>
        <v>0</v>
      </c>
      <c r="E40" s="6">
        <f t="shared" si="12"/>
        <v>9</v>
      </c>
      <c r="F40" s="6">
        <f t="shared" si="12"/>
        <v>0</v>
      </c>
      <c r="G40" s="6">
        <f t="shared" si="12"/>
        <v>3</v>
      </c>
      <c r="H40" s="6">
        <f t="shared" si="12"/>
        <v>3</v>
      </c>
      <c r="I40" s="7" t="s">
        <v>13</v>
      </c>
      <c r="J40" s="9"/>
      <c r="K40" s="1"/>
    </row>
    <row r="41" spans="1:11" ht="13.5" thickBot="1" x14ac:dyDescent="0.25">
      <c r="A41" s="6">
        <f t="shared" si="0"/>
        <v>63</v>
      </c>
      <c r="B41" s="6">
        <v>3</v>
      </c>
      <c r="C41" s="6">
        <v>0</v>
      </c>
      <c r="D41" s="6">
        <v>0</v>
      </c>
      <c r="E41" s="6">
        <v>2</v>
      </c>
      <c r="F41" s="6">
        <v>1</v>
      </c>
      <c r="G41" s="6">
        <v>57</v>
      </c>
      <c r="H41" s="6">
        <v>0</v>
      </c>
      <c r="I41" s="7" t="s">
        <v>10</v>
      </c>
      <c r="J41" s="124"/>
      <c r="K41" s="1"/>
    </row>
    <row r="42" spans="1:11" ht="13.5" thickBot="1" x14ac:dyDescent="0.25">
      <c r="A42" s="6">
        <f t="shared" si="0"/>
        <v>18</v>
      </c>
      <c r="B42" s="6">
        <v>1</v>
      </c>
      <c r="C42" s="6">
        <v>1</v>
      </c>
      <c r="D42" s="6">
        <v>0</v>
      </c>
      <c r="E42" s="6">
        <v>0</v>
      </c>
      <c r="F42" s="6">
        <v>0</v>
      </c>
      <c r="G42" s="6">
        <v>16</v>
      </c>
      <c r="H42" s="6">
        <v>0</v>
      </c>
      <c r="I42" s="7" t="s">
        <v>11</v>
      </c>
      <c r="J42" s="124" t="s">
        <v>36</v>
      </c>
      <c r="K42" s="1"/>
    </row>
    <row r="43" spans="1:11" ht="13.5" thickBot="1" x14ac:dyDescent="0.25">
      <c r="A43" s="6">
        <f t="shared" ref="A43:H43" si="13">SUM(A41:A42)</f>
        <v>81</v>
      </c>
      <c r="B43" s="6">
        <f t="shared" si="13"/>
        <v>4</v>
      </c>
      <c r="C43" s="6">
        <f t="shared" si="13"/>
        <v>1</v>
      </c>
      <c r="D43" s="6">
        <f t="shared" si="13"/>
        <v>0</v>
      </c>
      <c r="E43" s="6">
        <f t="shared" si="13"/>
        <v>2</v>
      </c>
      <c r="F43" s="6">
        <f t="shared" si="13"/>
        <v>1</v>
      </c>
      <c r="G43" s="6">
        <f t="shared" si="13"/>
        <v>73</v>
      </c>
      <c r="H43" s="6">
        <f t="shared" si="13"/>
        <v>0</v>
      </c>
      <c r="I43" s="7" t="s">
        <v>13</v>
      </c>
      <c r="J43" s="9"/>
      <c r="K43" s="1"/>
    </row>
    <row r="44" spans="1:11" ht="13.5" thickBot="1" x14ac:dyDescent="0.25">
      <c r="A44" s="6">
        <f t="shared" si="0"/>
        <v>24</v>
      </c>
      <c r="B44" s="6">
        <v>0</v>
      </c>
      <c r="C44" s="6">
        <v>1</v>
      </c>
      <c r="D44" s="6">
        <v>1</v>
      </c>
      <c r="E44" s="6">
        <v>9</v>
      </c>
      <c r="F44" s="6">
        <v>5</v>
      </c>
      <c r="G44" s="6">
        <v>4</v>
      </c>
      <c r="H44" s="6">
        <v>4</v>
      </c>
      <c r="I44" s="7" t="s">
        <v>10</v>
      </c>
      <c r="J44" s="124"/>
      <c r="K44" s="1"/>
    </row>
    <row r="45" spans="1:11" ht="13.5" thickBot="1" x14ac:dyDescent="0.25">
      <c r="A45" s="6">
        <f t="shared" si="0"/>
        <v>6</v>
      </c>
      <c r="B45" s="6">
        <v>0</v>
      </c>
      <c r="C45" s="6">
        <v>0</v>
      </c>
      <c r="D45" s="6">
        <v>0</v>
      </c>
      <c r="E45" s="6">
        <v>3</v>
      </c>
      <c r="F45" s="6">
        <v>1</v>
      </c>
      <c r="G45" s="6">
        <v>2</v>
      </c>
      <c r="H45" s="6">
        <v>0</v>
      </c>
      <c r="I45" s="7" t="s">
        <v>11</v>
      </c>
      <c r="J45" s="124" t="s">
        <v>32</v>
      </c>
      <c r="K45" s="1"/>
    </row>
    <row r="46" spans="1:11" ht="13.5" thickBot="1" x14ac:dyDescent="0.25">
      <c r="A46" s="6">
        <f t="shared" ref="A46:H46" si="14">SUM(A44:A45)</f>
        <v>30</v>
      </c>
      <c r="B46" s="6">
        <f t="shared" si="14"/>
        <v>0</v>
      </c>
      <c r="C46" s="6">
        <f t="shared" si="14"/>
        <v>1</v>
      </c>
      <c r="D46" s="6">
        <f t="shared" si="14"/>
        <v>1</v>
      </c>
      <c r="E46" s="6">
        <f t="shared" si="14"/>
        <v>12</v>
      </c>
      <c r="F46" s="6">
        <f t="shared" si="14"/>
        <v>6</v>
      </c>
      <c r="G46" s="6">
        <f t="shared" si="14"/>
        <v>6</v>
      </c>
      <c r="H46" s="6">
        <f t="shared" si="14"/>
        <v>4</v>
      </c>
      <c r="I46" s="7" t="s">
        <v>13</v>
      </c>
      <c r="J46" s="9"/>
      <c r="K46" s="1"/>
    </row>
    <row r="47" spans="1:11" ht="13.5" thickBot="1" x14ac:dyDescent="0.25">
      <c r="A47" s="6">
        <f t="shared" si="0"/>
        <v>75</v>
      </c>
      <c r="B47" s="6">
        <v>3</v>
      </c>
      <c r="C47" s="6">
        <v>1</v>
      </c>
      <c r="D47" s="6">
        <v>15</v>
      </c>
      <c r="E47" s="6">
        <v>27</v>
      </c>
      <c r="F47" s="6">
        <v>0</v>
      </c>
      <c r="G47" s="6">
        <v>20</v>
      </c>
      <c r="H47" s="6">
        <v>9</v>
      </c>
      <c r="I47" s="7" t="s">
        <v>10</v>
      </c>
      <c r="J47" s="124"/>
      <c r="K47" s="1"/>
    </row>
    <row r="48" spans="1:11" ht="13.5" thickBot="1" x14ac:dyDescent="0.25">
      <c r="A48" s="6">
        <f t="shared" si="0"/>
        <v>21</v>
      </c>
      <c r="B48" s="6">
        <v>1</v>
      </c>
      <c r="C48" s="6">
        <v>0</v>
      </c>
      <c r="D48" s="6">
        <v>3</v>
      </c>
      <c r="E48" s="6">
        <v>8</v>
      </c>
      <c r="F48" s="6">
        <v>0</v>
      </c>
      <c r="G48" s="6">
        <v>9</v>
      </c>
      <c r="H48" s="6">
        <v>0</v>
      </c>
      <c r="I48" s="7" t="s">
        <v>11</v>
      </c>
      <c r="J48" s="124" t="s">
        <v>23</v>
      </c>
      <c r="K48" s="1"/>
    </row>
    <row r="49" spans="1:11" ht="13.5" thickBot="1" x14ac:dyDescent="0.25">
      <c r="A49" s="6">
        <f t="shared" ref="A49:H49" si="15">SUM(A47:A48)</f>
        <v>96</v>
      </c>
      <c r="B49" s="6">
        <f t="shared" si="15"/>
        <v>4</v>
      </c>
      <c r="C49" s="6">
        <f t="shared" si="15"/>
        <v>1</v>
      </c>
      <c r="D49" s="6">
        <f t="shared" si="15"/>
        <v>18</v>
      </c>
      <c r="E49" s="6">
        <f t="shared" si="15"/>
        <v>35</v>
      </c>
      <c r="F49" s="6">
        <f t="shared" si="15"/>
        <v>0</v>
      </c>
      <c r="G49" s="6">
        <f t="shared" si="15"/>
        <v>29</v>
      </c>
      <c r="H49" s="6">
        <f t="shared" si="15"/>
        <v>9</v>
      </c>
      <c r="I49" s="7" t="s">
        <v>13</v>
      </c>
      <c r="J49" s="9"/>
      <c r="K49" s="1"/>
    </row>
    <row r="50" spans="1:11" ht="13.5" thickBot="1" x14ac:dyDescent="0.25">
      <c r="A50" s="6">
        <f t="shared" si="0"/>
        <v>1187</v>
      </c>
      <c r="B50" s="6">
        <v>31</v>
      </c>
      <c r="C50" s="6">
        <v>22</v>
      </c>
      <c r="D50" s="6">
        <v>42</v>
      </c>
      <c r="E50" s="6">
        <v>725</v>
      </c>
      <c r="F50" s="6">
        <v>0</v>
      </c>
      <c r="G50" s="6">
        <v>340</v>
      </c>
      <c r="H50" s="6">
        <v>27</v>
      </c>
      <c r="I50" s="7" t="s">
        <v>10</v>
      </c>
      <c r="J50" s="124"/>
      <c r="K50" s="1"/>
    </row>
    <row r="51" spans="1:11" ht="13.5" thickBot="1" x14ac:dyDescent="0.25">
      <c r="A51" s="6">
        <f t="shared" si="0"/>
        <v>230</v>
      </c>
      <c r="B51" s="6">
        <v>7</v>
      </c>
      <c r="C51" s="6">
        <v>9</v>
      </c>
      <c r="D51" s="6">
        <v>13</v>
      </c>
      <c r="E51" s="6">
        <v>156</v>
      </c>
      <c r="F51" s="6">
        <v>0</v>
      </c>
      <c r="G51" s="6">
        <v>39</v>
      </c>
      <c r="H51" s="6">
        <v>6</v>
      </c>
      <c r="I51" s="7" t="s">
        <v>11</v>
      </c>
      <c r="J51" s="124" t="s">
        <v>41</v>
      </c>
      <c r="K51" s="1"/>
    </row>
    <row r="52" spans="1:11" ht="13.5" thickBot="1" x14ac:dyDescent="0.25">
      <c r="A52" s="6">
        <f t="shared" ref="A52:H52" si="16">SUM(A50:A51)</f>
        <v>1417</v>
      </c>
      <c r="B52" s="6">
        <f t="shared" si="16"/>
        <v>38</v>
      </c>
      <c r="C52" s="6">
        <f t="shared" si="16"/>
        <v>31</v>
      </c>
      <c r="D52" s="6">
        <f t="shared" si="16"/>
        <v>55</v>
      </c>
      <c r="E52" s="6">
        <f t="shared" si="16"/>
        <v>881</v>
      </c>
      <c r="F52" s="6">
        <f t="shared" si="16"/>
        <v>0</v>
      </c>
      <c r="G52" s="6">
        <f t="shared" si="16"/>
        <v>379</v>
      </c>
      <c r="H52" s="6">
        <f t="shared" si="16"/>
        <v>33</v>
      </c>
      <c r="I52" s="7" t="s">
        <v>13</v>
      </c>
      <c r="J52" s="9"/>
      <c r="K52" s="1"/>
    </row>
    <row r="53" spans="1:11" ht="13.5" thickBot="1" x14ac:dyDescent="0.25">
      <c r="A53" s="6">
        <f t="shared" si="0"/>
        <v>3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3</v>
      </c>
      <c r="H53" s="6">
        <v>0</v>
      </c>
      <c r="I53" s="7" t="s">
        <v>10</v>
      </c>
      <c r="J53" s="124"/>
      <c r="K53" s="1"/>
    </row>
    <row r="54" spans="1:11" ht="13.5" thickBot="1" x14ac:dyDescent="0.25">
      <c r="A54" s="6">
        <f t="shared" si="0"/>
        <v>1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1</v>
      </c>
      <c r="H54" s="6">
        <v>0</v>
      </c>
      <c r="I54" s="7" t="s">
        <v>11</v>
      </c>
      <c r="J54" s="124" t="s">
        <v>24</v>
      </c>
      <c r="K54" s="1"/>
    </row>
    <row r="55" spans="1:11" ht="13.5" thickBot="1" x14ac:dyDescent="0.25">
      <c r="A55" s="6">
        <f t="shared" ref="A55:H55" si="17">SUM(A53:A54)</f>
        <v>4</v>
      </c>
      <c r="B55" s="6">
        <f t="shared" si="17"/>
        <v>0</v>
      </c>
      <c r="C55" s="6">
        <f t="shared" si="17"/>
        <v>0</v>
      </c>
      <c r="D55" s="6">
        <f t="shared" si="17"/>
        <v>0</v>
      </c>
      <c r="E55" s="6">
        <f t="shared" si="17"/>
        <v>0</v>
      </c>
      <c r="F55" s="6">
        <f t="shared" si="17"/>
        <v>0</v>
      </c>
      <c r="G55" s="6">
        <f t="shared" si="17"/>
        <v>4</v>
      </c>
      <c r="H55" s="6">
        <f t="shared" si="17"/>
        <v>0</v>
      </c>
      <c r="I55" s="7" t="s">
        <v>13</v>
      </c>
      <c r="J55" s="9"/>
      <c r="K55" s="1"/>
    </row>
    <row r="56" spans="1:11" ht="13.5" thickBot="1" x14ac:dyDescent="0.25">
      <c r="A56" s="6">
        <f t="shared" si="0"/>
        <v>1995</v>
      </c>
      <c r="B56" s="6">
        <v>16</v>
      </c>
      <c r="C56" s="6">
        <v>3</v>
      </c>
      <c r="D56" s="6">
        <v>162</v>
      </c>
      <c r="E56" s="6">
        <v>962</v>
      </c>
      <c r="F56" s="6">
        <v>0</v>
      </c>
      <c r="G56" s="6">
        <v>296</v>
      </c>
      <c r="H56" s="6">
        <v>556</v>
      </c>
      <c r="I56" s="7" t="s">
        <v>10</v>
      </c>
      <c r="J56" s="124"/>
      <c r="K56" s="1"/>
    </row>
    <row r="57" spans="1:11" ht="13.5" thickBot="1" x14ac:dyDescent="0.25">
      <c r="A57" s="6">
        <f t="shared" si="0"/>
        <v>710</v>
      </c>
      <c r="B57" s="6">
        <v>8</v>
      </c>
      <c r="C57" s="6">
        <v>4</v>
      </c>
      <c r="D57" s="6">
        <v>84</v>
      </c>
      <c r="E57" s="6">
        <v>325</v>
      </c>
      <c r="F57" s="6">
        <v>0</v>
      </c>
      <c r="G57" s="6">
        <v>44</v>
      </c>
      <c r="H57" s="6">
        <v>245</v>
      </c>
      <c r="I57" s="7" t="s">
        <v>11</v>
      </c>
      <c r="J57" s="124" t="s">
        <v>37</v>
      </c>
      <c r="K57" s="1"/>
    </row>
    <row r="58" spans="1:11" ht="13.5" thickBot="1" x14ac:dyDescent="0.25">
      <c r="A58" s="6">
        <f t="shared" ref="A58:H58" si="18">SUM(A56:A57)</f>
        <v>2705</v>
      </c>
      <c r="B58" s="6">
        <f t="shared" si="18"/>
        <v>24</v>
      </c>
      <c r="C58" s="6">
        <f t="shared" si="18"/>
        <v>7</v>
      </c>
      <c r="D58" s="6">
        <f t="shared" si="18"/>
        <v>246</v>
      </c>
      <c r="E58" s="6">
        <f t="shared" si="18"/>
        <v>1287</v>
      </c>
      <c r="F58" s="6">
        <f t="shared" si="18"/>
        <v>0</v>
      </c>
      <c r="G58" s="6">
        <f t="shared" si="18"/>
        <v>340</v>
      </c>
      <c r="H58" s="6">
        <f t="shared" si="18"/>
        <v>801</v>
      </c>
      <c r="I58" s="7" t="s">
        <v>13</v>
      </c>
      <c r="J58" s="9"/>
      <c r="K58" s="1"/>
    </row>
    <row r="59" spans="1:11" ht="13.5" thickBot="1" x14ac:dyDescent="0.25">
      <c r="A59" s="6">
        <f t="shared" si="0"/>
        <v>52</v>
      </c>
      <c r="B59" s="6">
        <v>0</v>
      </c>
      <c r="C59" s="6">
        <v>0</v>
      </c>
      <c r="D59" s="6">
        <v>26</v>
      </c>
      <c r="E59" s="6">
        <v>26</v>
      </c>
      <c r="F59" s="6">
        <v>0</v>
      </c>
      <c r="G59" s="6">
        <v>0</v>
      </c>
      <c r="H59" s="6">
        <v>0</v>
      </c>
      <c r="I59" s="7" t="s">
        <v>10</v>
      </c>
      <c r="J59" s="124"/>
      <c r="K59" s="1"/>
    </row>
    <row r="60" spans="1:11" ht="13.5" thickBot="1" x14ac:dyDescent="0.25">
      <c r="A60" s="6">
        <f t="shared" si="0"/>
        <v>78</v>
      </c>
      <c r="B60" s="6">
        <v>0</v>
      </c>
      <c r="C60" s="6">
        <v>0</v>
      </c>
      <c r="D60" s="6">
        <v>0</v>
      </c>
      <c r="E60" s="6">
        <v>78</v>
      </c>
      <c r="F60" s="6">
        <v>0</v>
      </c>
      <c r="G60" s="6">
        <v>0</v>
      </c>
      <c r="H60" s="6">
        <v>0</v>
      </c>
      <c r="I60" s="7" t="s">
        <v>11</v>
      </c>
      <c r="J60" s="124" t="s">
        <v>42</v>
      </c>
      <c r="K60" s="1"/>
    </row>
    <row r="61" spans="1:11" ht="13.5" thickBot="1" x14ac:dyDescent="0.25">
      <c r="A61" s="6">
        <f t="shared" ref="A61:H61" si="19">SUM(A59:A60)</f>
        <v>130</v>
      </c>
      <c r="B61" s="6">
        <f t="shared" si="19"/>
        <v>0</v>
      </c>
      <c r="C61" s="6">
        <f t="shared" si="19"/>
        <v>0</v>
      </c>
      <c r="D61" s="6">
        <f t="shared" si="19"/>
        <v>26</v>
      </c>
      <c r="E61" s="6">
        <f t="shared" si="19"/>
        <v>104</v>
      </c>
      <c r="F61" s="6">
        <f t="shared" si="19"/>
        <v>0</v>
      </c>
      <c r="G61" s="6">
        <f t="shared" si="19"/>
        <v>0</v>
      </c>
      <c r="H61" s="6">
        <f t="shared" si="19"/>
        <v>0</v>
      </c>
      <c r="I61" s="7" t="s">
        <v>13</v>
      </c>
      <c r="J61" s="9"/>
      <c r="K61" s="1"/>
    </row>
    <row r="62" spans="1:11" ht="13.5" thickBot="1" x14ac:dyDescent="0.25">
      <c r="A62" s="6">
        <f t="shared" si="0"/>
        <v>111</v>
      </c>
      <c r="B62" s="6">
        <v>0</v>
      </c>
      <c r="C62" s="6">
        <v>53</v>
      </c>
      <c r="D62" s="6">
        <v>3</v>
      </c>
      <c r="E62" s="6">
        <v>46</v>
      </c>
      <c r="F62" s="6">
        <v>0</v>
      </c>
      <c r="G62" s="6">
        <v>7</v>
      </c>
      <c r="H62" s="6">
        <v>2</v>
      </c>
      <c r="I62" s="7" t="s">
        <v>10</v>
      </c>
      <c r="J62" s="124"/>
      <c r="K62" s="1"/>
    </row>
    <row r="63" spans="1:11" ht="13.5" thickBot="1" x14ac:dyDescent="0.25">
      <c r="A63" s="6">
        <f t="shared" si="0"/>
        <v>32</v>
      </c>
      <c r="B63" s="6">
        <v>0</v>
      </c>
      <c r="C63" s="6">
        <v>7</v>
      </c>
      <c r="D63" s="6">
        <v>0</v>
      </c>
      <c r="E63" s="6">
        <v>11</v>
      </c>
      <c r="F63" s="6">
        <v>0</v>
      </c>
      <c r="G63" s="6">
        <v>12</v>
      </c>
      <c r="H63" s="6">
        <v>2</v>
      </c>
      <c r="I63" s="7" t="s">
        <v>11</v>
      </c>
      <c r="J63" s="124" t="s">
        <v>38</v>
      </c>
      <c r="K63" s="1"/>
    </row>
    <row r="64" spans="1:11" ht="13.5" thickBot="1" x14ac:dyDescent="0.25">
      <c r="A64" s="6">
        <f t="shared" ref="A64:H64" si="20">SUM(A62:A63)</f>
        <v>143</v>
      </c>
      <c r="B64" s="6">
        <f t="shared" si="20"/>
        <v>0</v>
      </c>
      <c r="C64" s="6">
        <f t="shared" si="20"/>
        <v>60</v>
      </c>
      <c r="D64" s="6">
        <f t="shared" si="20"/>
        <v>3</v>
      </c>
      <c r="E64" s="6">
        <f t="shared" si="20"/>
        <v>57</v>
      </c>
      <c r="F64" s="6">
        <f t="shared" si="20"/>
        <v>0</v>
      </c>
      <c r="G64" s="6">
        <f t="shared" si="20"/>
        <v>19</v>
      </c>
      <c r="H64" s="6">
        <f t="shared" si="20"/>
        <v>4</v>
      </c>
      <c r="I64" s="7" t="s">
        <v>13</v>
      </c>
      <c r="J64" s="9"/>
      <c r="K64" s="1"/>
    </row>
    <row r="65" spans="1:11" ht="13.5" thickBot="1" x14ac:dyDescent="0.25">
      <c r="A65" s="6">
        <f t="shared" si="0"/>
        <v>3</v>
      </c>
      <c r="B65" s="6">
        <v>0</v>
      </c>
      <c r="C65" s="6">
        <v>0</v>
      </c>
      <c r="D65" s="6">
        <v>0</v>
      </c>
      <c r="E65" s="6">
        <v>3</v>
      </c>
      <c r="F65" s="6">
        <v>0</v>
      </c>
      <c r="G65" s="6">
        <v>0</v>
      </c>
      <c r="H65" s="6">
        <v>0</v>
      </c>
      <c r="I65" s="7" t="s">
        <v>10</v>
      </c>
      <c r="J65" s="124"/>
      <c r="K65" s="1"/>
    </row>
    <row r="66" spans="1:11" ht="13.5" thickBot="1" x14ac:dyDescent="0.25">
      <c r="A66" s="6">
        <f t="shared" si="0"/>
        <v>4</v>
      </c>
      <c r="B66" s="6">
        <v>0</v>
      </c>
      <c r="C66" s="6">
        <v>0</v>
      </c>
      <c r="D66" s="6">
        <v>0</v>
      </c>
      <c r="E66" s="6">
        <v>3</v>
      </c>
      <c r="F66" s="6">
        <v>0</v>
      </c>
      <c r="G66" s="6">
        <v>1</v>
      </c>
      <c r="H66" s="6">
        <v>0</v>
      </c>
      <c r="I66" s="7" t="s">
        <v>11</v>
      </c>
      <c r="J66" s="124" t="s">
        <v>39</v>
      </c>
      <c r="K66" s="1"/>
    </row>
    <row r="67" spans="1:11" ht="13.5" thickBot="1" x14ac:dyDescent="0.25">
      <c r="A67" s="6">
        <f t="shared" ref="A67:H67" si="21">SUM(A65:A66)</f>
        <v>7</v>
      </c>
      <c r="B67" s="6">
        <f t="shared" si="21"/>
        <v>0</v>
      </c>
      <c r="C67" s="6">
        <f t="shared" si="21"/>
        <v>0</v>
      </c>
      <c r="D67" s="6">
        <f t="shared" si="21"/>
        <v>0</v>
      </c>
      <c r="E67" s="6">
        <f t="shared" si="21"/>
        <v>6</v>
      </c>
      <c r="F67" s="6">
        <f t="shared" si="21"/>
        <v>0</v>
      </c>
      <c r="G67" s="6">
        <f t="shared" si="21"/>
        <v>1</v>
      </c>
      <c r="H67" s="6">
        <f t="shared" si="21"/>
        <v>0</v>
      </c>
      <c r="I67" s="7" t="s">
        <v>13</v>
      </c>
      <c r="J67" s="9"/>
      <c r="K67" s="1"/>
    </row>
    <row r="68" spans="1:11" ht="13.5" thickBot="1" x14ac:dyDescent="0.25">
      <c r="A68" s="6">
        <f t="shared" si="0"/>
        <v>60</v>
      </c>
      <c r="B68" s="6">
        <v>10</v>
      </c>
      <c r="C68" s="6">
        <v>1</v>
      </c>
      <c r="D68" s="6">
        <v>7</v>
      </c>
      <c r="E68" s="6">
        <v>15</v>
      </c>
      <c r="F68" s="6">
        <v>0</v>
      </c>
      <c r="G68" s="6">
        <v>23</v>
      </c>
      <c r="H68" s="6">
        <v>4</v>
      </c>
      <c r="I68" s="7" t="s">
        <v>10</v>
      </c>
      <c r="J68" s="124"/>
      <c r="K68" s="1"/>
    </row>
    <row r="69" spans="1:11" ht="13.5" thickBot="1" x14ac:dyDescent="0.25">
      <c r="A69" s="6">
        <f t="shared" si="0"/>
        <v>9</v>
      </c>
      <c r="B69" s="6">
        <v>1</v>
      </c>
      <c r="C69" s="6">
        <v>0</v>
      </c>
      <c r="D69" s="6">
        <v>2</v>
      </c>
      <c r="E69" s="6">
        <v>5</v>
      </c>
      <c r="F69" s="6">
        <v>0</v>
      </c>
      <c r="G69" s="6">
        <v>1</v>
      </c>
      <c r="H69" s="6">
        <v>0</v>
      </c>
      <c r="I69" s="7" t="s">
        <v>11</v>
      </c>
      <c r="J69" s="124" t="s">
        <v>25</v>
      </c>
      <c r="K69" s="1"/>
    </row>
    <row r="70" spans="1:11" ht="13.5" thickBot="1" x14ac:dyDescent="0.25">
      <c r="A70" s="6">
        <f t="shared" ref="A70:H70" si="22">SUM(A68:A69)</f>
        <v>69</v>
      </c>
      <c r="B70" s="6">
        <f t="shared" si="22"/>
        <v>11</v>
      </c>
      <c r="C70" s="6">
        <f t="shared" si="22"/>
        <v>1</v>
      </c>
      <c r="D70" s="6">
        <f t="shared" si="22"/>
        <v>9</v>
      </c>
      <c r="E70" s="6">
        <f t="shared" si="22"/>
        <v>20</v>
      </c>
      <c r="F70" s="6">
        <f t="shared" si="22"/>
        <v>0</v>
      </c>
      <c r="G70" s="6">
        <f t="shared" si="22"/>
        <v>24</v>
      </c>
      <c r="H70" s="6">
        <f t="shared" si="22"/>
        <v>4</v>
      </c>
      <c r="I70" s="7" t="s">
        <v>13</v>
      </c>
      <c r="J70" s="9"/>
      <c r="K70" s="1"/>
    </row>
    <row r="71" spans="1:11" ht="13.5" thickBot="1" x14ac:dyDescent="0.25">
      <c r="A71" s="6">
        <f t="shared" ref="A71:A78" si="23">SUM(B71:H71)</f>
        <v>2</v>
      </c>
      <c r="B71" s="6">
        <v>0</v>
      </c>
      <c r="C71" s="6">
        <v>0</v>
      </c>
      <c r="D71" s="6">
        <v>1</v>
      </c>
      <c r="E71" s="6">
        <v>0</v>
      </c>
      <c r="F71" s="6">
        <v>0</v>
      </c>
      <c r="G71" s="6">
        <v>1</v>
      </c>
      <c r="H71" s="6">
        <v>0</v>
      </c>
      <c r="I71" s="7" t="s">
        <v>10</v>
      </c>
      <c r="J71" s="124"/>
      <c r="K71" s="1"/>
    </row>
    <row r="72" spans="1:11" ht="13.5" thickBot="1" x14ac:dyDescent="0.25">
      <c r="A72" s="6">
        <f t="shared" si="23"/>
        <v>3</v>
      </c>
      <c r="B72" s="6">
        <v>0</v>
      </c>
      <c r="C72" s="6">
        <v>0</v>
      </c>
      <c r="D72" s="6">
        <v>0</v>
      </c>
      <c r="E72" s="6">
        <v>1</v>
      </c>
      <c r="F72" s="6">
        <v>0</v>
      </c>
      <c r="G72" s="6">
        <v>2</v>
      </c>
      <c r="H72" s="6">
        <v>0</v>
      </c>
      <c r="I72" s="7" t="s">
        <v>11</v>
      </c>
      <c r="J72" s="124" t="s">
        <v>26</v>
      </c>
      <c r="K72" s="1"/>
    </row>
    <row r="73" spans="1:11" ht="13.5" thickBot="1" x14ac:dyDescent="0.25">
      <c r="A73" s="6">
        <f t="shared" ref="A73:H73" si="24">SUM(A71:A72)</f>
        <v>5</v>
      </c>
      <c r="B73" s="6">
        <f t="shared" si="24"/>
        <v>0</v>
      </c>
      <c r="C73" s="6">
        <f t="shared" si="24"/>
        <v>0</v>
      </c>
      <c r="D73" s="6">
        <f t="shared" si="24"/>
        <v>1</v>
      </c>
      <c r="E73" s="6">
        <f t="shared" si="24"/>
        <v>1</v>
      </c>
      <c r="F73" s="6">
        <f t="shared" si="24"/>
        <v>0</v>
      </c>
      <c r="G73" s="6">
        <f t="shared" si="24"/>
        <v>3</v>
      </c>
      <c r="H73" s="6">
        <f t="shared" si="24"/>
        <v>0</v>
      </c>
      <c r="I73" s="7" t="s">
        <v>13</v>
      </c>
      <c r="J73" s="9"/>
      <c r="K73" s="1"/>
    </row>
    <row r="74" spans="1:11" ht="13.5" thickBot="1" x14ac:dyDescent="0.25">
      <c r="A74" s="6">
        <f t="shared" si="23"/>
        <v>2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2</v>
      </c>
      <c r="H74" s="6">
        <v>0</v>
      </c>
      <c r="I74" s="7" t="s">
        <v>10</v>
      </c>
      <c r="J74" s="124"/>
      <c r="K74" s="1"/>
    </row>
    <row r="75" spans="1:11" ht="13.5" thickBot="1" x14ac:dyDescent="0.25">
      <c r="A75" s="6">
        <f t="shared" si="23"/>
        <v>0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7" t="s">
        <v>11</v>
      </c>
      <c r="J75" s="124" t="s">
        <v>27</v>
      </c>
      <c r="K75" s="1"/>
    </row>
    <row r="76" spans="1:11" ht="13.5" thickBot="1" x14ac:dyDescent="0.25">
      <c r="A76" s="6">
        <f t="shared" ref="A76:H76" si="25">SUM(A74:A75)</f>
        <v>2</v>
      </c>
      <c r="B76" s="6">
        <f t="shared" si="25"/>
        <v>0</v>
      </c>
      <c r="C76" s="6">
        <f t="shared" si="25"/>
        <v>0</v>
      </c>
      <c r="D76" s="6">
        <f t="shared" si="25"/>
        <v>0</v>
      </c>
      <c r="E76" s="6">
        <f t="shared" si="25"/>
        <v>0</v>
      </c>
      <c r="F76" s="6">
        <f t="shared" si="25"/>
        <v>0</v>
      </c>
      <c r="G76" s="6">
        <f t="shared" si="25"/>
        <v>2</v>
      </c>
      <c r="H76" s="6">
        <f t="shared" si="25"/>
        <v>0</v>
      </c>
      <c r="I76" s="7" t="s">
        <v>13</v>
      </c>
      <c r="J76" s="9"/>
      <c r="K76" s="1"/>
    </row>
    <row r="77" spans="1:11" ht="13.5" thickBot="1" x14ac:dyDescent="0.25">
      <c r="A77" s="6">
        <f t="shared" si="23"/>
        <v>2099</v>
      </c>
      <c r="B77" s="6">
        <v>310</v>
      </c>
      <c r="C77" s="6">
        <v>11</v>
      </c>
      <c r="D77" s="6">
        <v>57</v>
      </c>
      <c r="E77" s="6">
        <v>1107</v>
      </c>
      <c r="F77" s="6">
        <v>0</v>
      </c>
      <c r="G77" s="6">
        <v>531</v>
      </c>
      <c r="H77" s="6">
        <v>83</v>
      </c>
      <c r="I77" s="7" t="s">
        <v>10</v>
      </c>
      <c r="J77" s="124"/>
      <c r="K77" s="1"/>
    </row>
    <row r="78" spans="1:11" ht="13.5" thickBot="1" x14ac:dyDescent="0.25">
      <c r="A78" s="6">
        <f t="shared" si="23"/>
        <v>414</v>
      </c>
      <c r="B78" s="6">
        <v>21</v>
      </c>
      <c r="C78" s="6">
        <v>2</v>
      </c>
      <c r="D78" s="6">
        <v>24</v>
      </c>
      <c r="E78" s="6">
        <v>269</v>
      </c>
      <c r="F78" s="6">
        <v>0</v>
      </c>
      <c r="G78" s="6">
        <v>77</v>
      </c>
      <c r="H78" s="6">
        <v>21</v>
      </c>
      <c r="I78" s="7" t="s">
        <v>11</v>
      </c>
      <c r="J78" s="124" t="s">
        <v>33</v>
      </c>
      <c r="K78" s="1"/>
    </row>
    <row r="79" spans="1:11" ht="13.5" thickBot="1" x14ac:dyDescent="0.25">
      <c r="A79" s="6">
        <f t="shared" ref="A79:H79" si="26">SUM(A77:A78)</f>
        <v>2513</v>
      </c>
      <c r="B79" s="6">
        <f t="shared" si="26"/>
        <v>331</v>
      </c>
      <c r="C79" s="6">
        <f t="shared" si="26"/>
        <v>13</v>
      </c>
      <c r="D79" s="6">
        <f t="shared" si="26"/>
        <v>81</v>
      </c>
      <c r="E79" s="6">
        <f t="shared" si="26"/>
        <v>1376</v>
      </c>
      <c r="F79" s="6">
        <f t="shared" si="26"/>
        <v>0</v>
      </c>
      <c r="G79" s="6">
        <f t="shared" si="26"/>
        <v>608</v>
      </c>
      <c r="H79" s="6">
        <f t="shared" si="26"/>
        <v>104</v>
      </c>
      <c r="I79" s="7" t="s">
        <v>13</v>
      </c>
      <c r="J79" s="9"/>
      <c r="K79" s="1"/>
    </row>
    <row r="80" spans="1:11" ht="13.5" thickBot="1" x14ac:dyDescent="0.25">
      <c r="A80" s="6">
        <f t="shared" ref="A80:G82" si="27">A5+A8+A11+A14+A17+A20+A23+A26+A29+A32+A35+A38+A41+A44+A47+A50+A53+A56+A59+A62+A65+A68+A71+A74+A77</f>
        <v>6028</v>
      </c>
      <c r="B80" s="6">
        <f t="shared" si="27"/>
        <v>382</v>
      </c>
      <c r="C80" s="6">
        <f t="shared" si="27"/>
        <v>110</v>
      </c>
      <c r="D80" s="6">
        <f t="shared" si="27"/>
        <v>324</v>
      </c>
      <c r="E80" s="6">
        <f t="shared" si="27"/>
        <v>2936</v>
      </c>
      <c r="F80" s="6">
        <f t="shared" si="27"/>
        <v>6</v>
      </c>
      <c r="G80" s="6">
        <f t="shared" si="27"/>
        <v>1460</v>
      </c>
      <c r="H80" s="6">
        <f>H5+H8+H11+H14+H17+H20+H23+H26+H29+H32+H35+H38+H41+H44+H47+H50+H53+H56+H59+H62+H65+H68+H71+H74+H77</f>
        <v>810</v>
      </c>
      <c r="I80" s="7" t="s">
        <v>10</v>
      </c>
      <c r="J80" s="3"/>
      <c r="K80" s="1"/>
    </row>
    <row r="81" spans="1:11" ht="13.5" thickBot="1" x14ac:dyDescent="0.25">
      <c r="A81" s="6">
        <f t="shared" si="27"/>
        <v>2154</v>
      </c>
      <c r="B81" s="6">
        <f t="shared" si="27"/>
        <v>40</v>
      </c>
      <c r="C81" s="6">
        <f t="shared" si="27"/>
        <v>24</v>
      </c>
      <c r="D81" s="6">
        <f t="shared" si="27"/>
        <v>129</v>
      </c>
      <c r="E81" s="6">
        <f t="shared" si="27"/>
        <v>874</v>
      </c>
      <c r="F81" s="6">
        <f t="shared" si="27"/>
        <v>1</v>
      </c>
      <c r="G81" s="6">
        <f t="shared" si="27"/>
        <v>510</v>
      </c>
      <c r="H81" s="6">
        <f>H6+H9+H12+H15+H18+H21+H24+H27+H30+H33+H36+H39+H42+H45+H48+H51+H54+H57+H60+H63+H66+H69+H72+H75+H78</f>
        <v>576</v>
      </c>
      <c r="I81" s="7" t="s">
        <v>11</v>
      </c>
      <c r="J81" s="11" t="s">
        <v>211</v>
      </c>
      <c r="K81" s="1"/>
    </row>
    <row r="82" spans="1:11" ht="13.5" thickBot="1" x14ac:dyDescent="0.25">
      <c r="A82" s="6">
        <f t="shared" si="27"/>
        <v>8182</v>
      </c>
      <c r="B82" s="6">
        <f t="shared" si="27"/>
        <v>422</v>
      </c>
      <c r="C82" s="6">
        <f t="shared" si="27"/>
        <v>134</v>
      </c>
      <c r="D82" s="6">
        <f t="shared" si="27"/>
        <v>453</v>
      </c>
      <c r="E82" s="6">
        <f t="shared" si="27"/>
        <v>3810</v>
      </c>
      <c r="F82" s="6">
        <f t="shared" si="27"/>
        <v>7</v>
      </c>
      <c r="G82" s="6">
        <f t="shared" si="27"/>
        <v>1970</v>
      </c>
      <c r="H82" s="6">
        <f>H7+H10+H13+H16+H19+H22+H25+H28+H31+H34+H37+H40+H43+H46+H49+H52+H55+H58+H61+H64+H67+H70+H73+H76+H79</f>
        <v>1386</v>
      </c>
      <c r="I82" s="7" t="s">
        <v>13</v>
      </c>
      <c r="J82" s="5"/>
      <c r="K82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76"/>
  <sheetViews>
    <sheetView showGridLines="0" topLeftCell="A37" zoomScale="90" zoomScaleNormal="90" workbookViewId="0">
      <selection activeCell="H35" sqref="H35"/>
    </sheetView>
  </sheetViews>
  <sheetFormatPr defaultRowHeight="12.75" x14ac:dyDescent="0.2"/>
  <cols>
    <col min="1" max="9" width="11" style="2" customWidth="1"/>
    <col min="10" max="10" width="27.375" style="2" customWidth="1"/>
    <col min="11" max="11" width="4.125" style="2" customWidth="1"/>
    <col min="12" max="256" width="9" style="2"/>
    <col min="257" max="265" width="11" style="2" customWidth="1"/>
    <col min="266" max="266" width="27.375" style="2" customWidth="1"/>
    <col min="267" max="267" width="4.125" style="2" customWidth="1"/>
    <col min="268" max="512" width="9" style="2"/>
    <col min="513" max="521" width="11" style="2" customWidth="1"/>
    <col min="522" max="522" width="27.375" style="2" customWidth="1"/>
    <col min="523" max="523" width="4.125" style="2" customWidth="1"/>
    <col min="524" max="768" width="9" style="2"/>
    <col min="769" max="777" width="11" style="2" customWidth="1"/>
    <col min="778" max="778" width="27.375" style="2" customWidth="1"/>
    <col min="779" max="779" width="4.125" style="2" customWidth="1"/>
    <col min="780" max="1024" width="9" style="2"/>
    <col min="1025" max="1033" width="11" style="2" customWidth="1"/>
    <col min="1034" max="1034" width="27.375" style="2" customWidth="1"/>
    <col min="1035" max="1035" width="4.125" style="2" customWidth="1"/>
    <col min="1036" max="1280" width="9" style="2"/>
    <col min="1281" max="1289" width="11" style="2" customWidth="1"/>
    <col min="1290" max="1290" width="27.375" style="2" customWidth="1"/>
    <col min="1291" max="1291" width="4.125" style="2" customWidth="1"/>
    <col min="1292" max="1536" width="9" style="2"/>
    <col min="1537" max="1545" width="11" style="2" customWidth="1"/>
    <col min="1546" max="1546" width="27.375" style="2" customWidth="1"/>
    <col min="1547" max="1547" width="4.125" style="2" customWidth="1"/>
    <col min="1548" max="1792" width="9" style="2"/>
    <col min="1793" max="1801" width="11" style="2" customWidth="1"/>
    <col min="1802" max="1802" width="27.375" style="2" customWidth="1"/>
    <col min="1803" max="1803" width="4.125" style="2" customWidth="1"/>
    <col min="1804" max="2048" width="9" style="2"/>
    <col min="2049" max="2057" width="11" style="2" customWidth="1"/>
    <col min="2058" max="2058" width="27.375" style="2" customWidth="1"/>
    <col min="2059" max="2059" width="4.125" style="2" customWidth="1"/>
    <col min="2060" max="2304" width="9" style="2"/>
    <col min="2305" max="2313" width="11" style="2" customWidth="1"/>
    <col min="2314" max="2314" width="27.375" style="2" customWidth="1"/>
    <col min="2315" max="2315" width="4.125" style="2" customWidth="1"/>
    <col min="2316" max="2560" width="9" style="2"/>
    <col min="2561" max="2569" width="11" style="2" customWidth="1"/>
    <col min="2570" max="2570" width="27.375" style="2" customWidth="1"/>
    <col min="2571" max="2571" width="4.125" style="2" customWidth="1"/>
    <col min="2572" max="2816" width="9" style="2"/>
    <col min="2817" max="2825" width="11" style="2" customWidth="1"/>
    <col min="2826" max="2826" width="27.375" style="2" customWidth="1"/>
    <col min="2827" max="2827" width="4.125" style="2" customWidth="1"/>
    <col min="2828" max="3072" width="9" style="2"/>
    <col min="3073" max="3081" width="11" style="2" customWidth="1"/>
    <col min="3082" max="3082" width="27.375" style="2" customWidth="1"/>
    <col min="3083" max="3083" width="4.125" style="2" customWidth="1"/>
    <col min="3084" max="3328" width="9" style="2"/>
    <col min="3329" max="3337" width="11" style="2" customWidth="1"/>
    <col min="3338" max="3338" width="27.375" style="2" customWidth="1"/>
    <col min="3339" max="3339" width="4.125" style="2" customWidth="1"/>
    <col min="3340" max="3584" width="9" style="2"/>
    <col min="3585" max="3593" width="11" style="2" customWidth="1"/>
    <col min="3594" max="3594" width="27.375" style="2" customWidth="1"/>
    <col min="3595" max="3595" width="4.125" style="2" customWidth="1"/>
    <col min="3596" max="3840" width="9" style="2"/>
    <col min="3841" max="3849" width="11" style="2" customWidth="1"/>
    <col min="3850" max="3850" width="27.375" style="2" customWidth="1"/>
    <col min="3851" max="3851" width="4.125" style="2" customWidth="1"/>
    <col min="3852" max="4096" width="9" style="2"/>
    <col min="4097" max="4105" width="11" style="2" customWidth="1"/>
    <col min="4106" max="4106" width="27.375" style="2" customWidth="1"/>
    <col min="4107" max="4107" width="4.125" style="2" customWidth="1"/>
    <col min="4108" max="4352" width="9" style="2"/>
    <col min="4353" max="4361" width="11" style="2" customWidth="1"/>
    <col min="4362" max="4362" width="27.375" style="2" customWidth="1"/>
    <col min="4363" max="4363" width="4.125" style="2" customWidth="1"/>
    <col min="4364" max="4608" width="9" style="2"/>
    <col min="4609" max="4617" width="11" style="2" customWidth="1"/>
    <col min="4618" max="4618" width="27.375" style="2" customWidth="1"/>
    <col min="4619" max="4619" width="4.125" style="2" customWidth="1"/>
    <col min="4620" max="4864" width="9" style="2"/>
    <col min="4865" max="4873" width="11" style="2" customWidth="1"/>
    <col min="4874" max="4874" width="27.375" style="2" customWidth="1"/>
    <col min="4875" max="4875" width="4.125" style="2" customWidth="1"/>
    <col min="4876" max="5120" width="9" style="2"/>
    <col min="5121" max="5129" width="11" style="2" customWidth="1"/>
    <col min="5130" max="5130" width="27.375" style="2" customWidth="1"/>
    <col min="5131" max="5131" width="4.125" style="2" customWidth="1"/>
    <col min="5132" max="5376" width="9" style="2"/>
    <col min="5377" max="5385" width="11" style="2" customWidth="1"/>
    <col min="5386" max="5386" width="27.375" style="2" customWidth="1"/>
    <col min="5387" max="5387" width="4.125" style="2" customWidth="1"/>
    <col min="5388" max="5632" width="9" style="2"/>
    <col min="5633" max="5641" width="11" style="2" customWidth="1"/>
    <col min="5642" max="5642" width="27.375" style="2" customWidth="1"/>
    <col min="5643" max="5643" width="4.125" style="2" customWidth="1"/>
    <col min="5644" max="5888" width="9" style="2"/>
    <col min="5889" max="5897" width="11" style="2" customWidth="1"/>
    <col min="5898" max="5898" width="27.375" style="2" customWidth="1"/>
    <col min="5899" max="5899" width="4.125" style="2" customWidth="1"/>
    <col min="5900" max="6144" width="9" style="2"/>
    <col min="6145" max="6153" width="11" style="2" customWidth="1"/>
    <col min="6154" max="6154" width="27.375" style="2" customWidth="1"/>
    <col min="6155" max="6155" width="4.125" style="2" customWidth="1"/>
    <col min="6156" max="6400" width="9" style="2"/>
    <col min="6401" max="6409" width="11" style="2" customWidth="1"/>
    <col min="6410" max="6410" width="27.375" style="2" customWidth="1"/>
    <col min="6411" max="6411" width="4.125" style="2" customWidth="1"/>
    <col min="6412" max="6656" width="9" style="2"/>
    <col min="6657" max="6665" width="11" style="2" customWidth="1"/>
    <col min="6666" max="6666" width="27.375" style="2" customWidth="1"/>
    <col min="6667" max="6667" width="4.125" style="2" customWidth="1"/>
    <col min="6668" max="6912" width="9" style="2"/>
    <col min="6913" max="6921" width="11" style="2" customWidth="1"/>
    <col min="6922" max="6922" width="27.375" style="2" customWidth="1"/>
    <col min="6923" max="6923" width="4.125" style="2" customWidth="1"/>
    <col min="6924" max="7168" width="9" style="2"/>
    <col min="7169" max="7177" width="11" style="2" customWidth="1"/>
    <col min="7178" max="7178" width="27.375" style="2" customWidth="1"/>
    <col min="7179" max="7179" width="4.125" style="2" customWidth="1"/>
    <col min="7180" max="7424" width="9" style="2"/>
    <col min="7425" max="7433" width="11" style="2" customWidth="1"/>
    <col min="7434" max="7434" width="27.375" style="2" customWidth="1"/>
    <col min="7435" max="7435" width="4.125" style="2" customWidth="1"/>
    <col min="7436" max="7680" width="9" style="2"/>
    <col min="7681" max="7689" width="11" style="2" customWidth="1"/>
    <col min="7690" max="7690" width="27.375" style="2" customWidth="1"/>
    <col min="7691" max="7691" width="4.125" style="2" customWidth="1"/>
    <col min="7692" max="7936" width="9" style="2"/>
    <col min="7937" max="7945" width="11" style="2" customWidth="1"/>
    <col min="7946" max="7946" width="27.375" style="2" customWidth="1"/>
    <col min="7947" max="7947" width="4.125" style="2" customWidth="1"/>
    <col min="7948" max="8192" width="9" style="2"/>
    <col min="8193" max="8201" width="11" style="2" customWidth="1"/>
    <col min="8202" max="8202" width="27.375" style="2" customWidth="1"/>
    <col min="8203" max="8203" width="4.125" style="2" customWidth="1"/>
    <col min="8204" max="8448" width="9" style="2"/>
    <col min="8449" max="8457" width="11" style="2" customWidth="1"/>
    <col min="8458" max="8458" width="27.375" style="2" customWidth="1"/>
    <col min="8459" max="8459" width="4.125" style="2" customWidth="1"/>
    <col min="8460" max="8704" width="9" style="2"/>
    <col min="8705" max="8713" width="11" style="2" customWidth="1"/>
    <col min="8714" max="8714" width="27.375" style="2" customWidth="1"/>
    <col min="8715" max="8715" width="4.125" style="2" customWidth="1"/>
    <col min="8716" max="8960" width="9" style="2"/>
    <col min="8961" max="8969" width="11" style="2" customWidth="1"/>
    <col min="8970" max="8970" width="27.375" style="2" customWidth="1"/>
    <col min="8971" max="8971" width="4.125" style="2" customWidth="1"/>
    <col min="8972" max="9216" width="9" style="2"/>
    <col min="9217" max="9225" width="11" style="2" customWidth="1"/>
    <col min="9226" max="9226" width="27.375" style="2" customWidth="1"/>
    <col min="9227" max="9227" width="4.125" style="2" customWidth="1"/>
    <col min="9228" max="9472" width="9" style="2"/>
    <col min="9473" max="9481" width="11" style="2" customWidth="1"/>
    <col min="9482" max="9482" width="27.375" style="2" customWidth="1"/>
    <col min="9483" max="9483" width="4.125" style="2" customWidth="1"/>
    <col min="9484" max="9728" width="9" style="2"/>
    <col min="9729" max="9737" width="11" style="2" customWidth="1"/>
    <col min="9738" max="9738" width="27.375" style="2" customWidth="1"/>
    <col min="9739" max="9739" width="4.125" style="2" customWidth="1"/>
    <col min="9740" max="9984" width="9" style="2"/>
    <col min="9985" max="9993" width="11" style="2" customWidth="1"/>
    <col min="9994" max="9994" width="27.375" style="2" customWidth="1"/>
    <col min="9995" max="9995" width="4.125" style="2" customWidth="1"/>
    <col min="9996" max="10240" width="9" style="2"/>
    <col min="10241" max="10249" width="11" style="2" customWidth="1"/>
    <col min="10250" max="10250" width="27.375" style="2" customWidth="1"/>
    <col min="10251" max="10251" width="4.125" style="2" customWidth="1"/>
    <col min="10252" max="10496" width="9" style="2"/>
    <col min="10497" max="10505" width="11" style="2" customWidth="1"/>
    <col min="10506" max="10506" width="27.375" style="2" customWidth="1"/>
    <col min="10507" max="10507" width="4.125" style="2" customWidth="1"/>
    <col min="10508" max="10752" width="9" style="2"/>
    <col min="10753" max="10761" width="11" style="2" customWidth="1"/>
    <col min="10762" max="10762" width="27.375" style="2" customWidth="1"/>
    <col min="10763" max="10763" width="4.125" style="2" customWidth="1"/>
    <col min="10764" max="11008" width="9" style="2"/>
    <col min="11009" max="11017" width="11" style="2" customWidth="1"/>
    <col min="11018" max="11018" width="27.375" style="2" customWidth="1"/>
    <col min="11019" max="11019" width="4.125" style="2" customWidth="1"/>
    <col min="11020" max="11264" width="9" style="2"/>
    <col min="11265" max="11273" width="11" style="2" customWidth="1"/>
    <col min="11274" max="11274" width="27.375" style="2" customWidth="1"/>
    <col min="11275" max="11275" width="4.125" style="2" customWidth="1"/>
    <col min="11276" max="11520" width="9" style="2"/>
    <col min="11521" max="11529" width="11" style="2" customWidth="1"/>
    <col min="11530" max="11530" width="27.375" style="2" customWidth="1"/>
    <col min="11531" max="11531" width="4.125" style="2" customWidth="1"/>
    <col min="11532" max="11776" width="9" style="2"/>
    <col min="11777" max="11785" width="11" style="2" customWidth="1"/>
    <col min="11786" max="11786" width="27.375" style="2" customWidth="1"/>
    <col min="11787" max="11787" width="4.125" style="2" customWidth="1"/>
    <col min="11788" max="12032" width="9" style="2"/>
    <col min="12033" max="12041" width="11" style="2" customWidth="1"/>
    <col min="12042" max="12042" width="27.375" style="2" customWidth="1"/>
    <col min="12043" max="12043" width="4.125" style="2" customWidth="1"/>
    <col min="12044" max="12288" width="9" style="2"/>
    <col min="12289" max="12297" width="11" style="2" customWidth="1"/>
    <col min="12298" max="12298" width="27.375" style="2" customWidth="1"/>
    <col min="12299" max="12299" width="4.125" style="2" customWidth="1"/>
    <col min="12300" max="12544" width="9" style="2"/>
    <col min="12545" max="12553" width="11" style="2" customWidth="1"/>
    <col min="12554" max="12554" width="27.375" style="2" customWidth="1"/>
    <col min="12555" max="12555" width="4.125" style="2" customWidth="1"/>
    <col min="12556" max="12800" width="9" style="2"/>
    <col min="12801" max="12809" width="11" style="2" customWidth="1"/>
    <col min="12810" max="12810" width="27.375" style="2" customWidth="1"/>
    <col min="12811" max="12811" width="4.125" style="2" customWidth="1"/>
    <col min="12812" max="13056" width="9" style="2"/>
    <col min="13057" max="13065" width="11" style="2" customWidth="1"/>
    <col min="13066" max="13066" width="27.375" style="2" customWidth="1"/>
    <col min="13067" max="13067" width="4.125" style="2" customWidth="1"/>
    <col min="13068" max="13312" width="9" style="2"/>
    <col min="13313" max="13321" width="11" style="2" customWidth="1"/>
    <col min="13322" max="13322" width="27.375" style="2" customWidth="1"/>
    <col min="13323" max="13323" width="4.125" style="2" customWidth="1"/>
    <col min="13324" max="13568" width="9" style="2"/>
    <col min="13569" max="13577" width="11" style="2" customWidth="1"/>
    <col min="13578" max="13578" width="27.375" style="2" customWidth="1"/>
    <col min="13579" max="13579" width="4.125" style="2" customWidth="1"/>
    <col min="13580" max="13824" width="9" style="2"/>
    <col min="13825" max="13833" width="11" style="2" customWidth="1"/>
    <col min="13834" max="13834" width="27.375" style="2" customWidth="1"/>
    <col min="13835" max="13835" width="4.125" style="2" customWidth="1"/>
    <col min="13836" max="14080" width="9" style="2"/>
    <col min="14081" max="14089" width="11" style="2" customWidth="1"/>
    <col min="14090" max="14090" width="27.375" style="2" customWidth="1"/>
    <col min="14091" max="14091" width="4.125" style="2" customWidth="1"/>
    <col min="14092" max="14336" width="9" style="2"/>
    <col min="14337" max="14345" width="11" style="2" customWidth="1"/>
    <col min="14346" max="14346" width="27.375" style="2" customWidth="1"/>
    <col min="14347" max="14347" width="4.125" style="2" customWidth="1"/>
    <col min="14348" max="14592" width="9" style="2"/>
    <col min="14593" max="14601" width="11" style="2" customWidth="1"/>
    <col min="14602" max="14602" width="27.375" style="2" customWidth="1"/>
    <col min="14603" max="14603" width="4.125" style="2" customWidth="1"/>
    <col min="14604" max="14848" width="9" style="2"/>
    <col min="14849" max="14857" width="11" style="2" customWidth="1"/>
    <col min="14858" max="14858" width="27.375" style="2" customWidth="1"/>
    <col min="14859" max="14859" width="4.125" style="2" customWidth="1"/>
    <col min="14860" max="15104" width="9" style="2"/>
    <col min="15105" max="15113" width="11" style="2" customWidth="1"/>
    <col min="15114" max="15114" width="27.375" style="2" customWidth="1"/>
    <col min="15115" max="15115" width="4.125" style="2" customWidth="1"/>
    <col min="15116" max="15360" width="9" style="2"/>
    <col min="15361" max="15369" width="11" style="2" customWidth="1"/>
    <col min="15370" max="15370" width="27.375" style="2" customWidth="1"/>
    <col min="15371" max="15371" width="4.125" style="2" customWidth="1"/>
    <col min="15372" max="15616" width="9" style="2"/>
    <col min="15617" max="15625" width="11" style="2" customWidth="1"/>
    <col min="15626" max="15626" width="27.375" style="2" customWidth="1"/>
    <col min="15627" max="15627" width="4.125" style="2" customWidth="1"/>
    <col min="15628" max="15872" width="9" style="2"/>
    <col min="15873" max="15881" width="11" style="2" customWidth="1"/>
    <col min="15882" max="15882" width="27.375" style="2" customWidth="1"/>
    <col min="15883" max="15883" width="4.125" style="2" customWidth="1"/>
    <col min="15884" max="16128" width="9" style="2"/>
    <col min="16129" max="16137" width="11" style="2" customWidth="1"/>
    <col min="16138" max="16138" width="27.375" style="2" customWidth="1"/>
    <col min="16139" max="16139" width="4.125" style="2" customWidth="1"/>
    <col min="16140" max="16384" width="9" style="2"/>
  </cols>
  <sheetData>
    <row r="1" spans="1:11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0.100000000000001" customHeight="1" x14ac:dyDescent="0.2">
      <c r="A2" s="159" t="s">
        <v>679</v>
      </c>
      <c r="B2" s="159"/>
      <c r="C2" s="159"/>
      <c r="D2" s="159"/>
      <c r="E2" s="159"/>
      <c r="F2" s="159"/>
      <c r="G2" s="159"/>
      <c r="H2" s="159"/>
      <c r="I2" s="159"/>
      <c r="J2" s="159"/>
      <c r="K2" s="1"/>
    </row>
    <row r="3" spans="1:11" ht="20.100000000000001" customHeight="1" thickBot="1" x14ac:dyDescent="0.25">
      <c r="A3" s="160" t="s">
        <v>680</v>
      </c>
      <c r="B3" s="160"/>
      <c r="C3" s="160"/>
      <c r="D3" s="160"/>
      <c r="E3" s="160"/>
      <c r="F3" s="160"/>
      <c r="G3" s="160"/>
      <c r="H3" s="160"/>
      <c r="I3" s="160"/>
      <c r="J3" s="160"/>
      <c r="K3" s="1"/>
    </row>
    <row r="4" spans="1:11" ht="13.5" thickBot="1" x14ac:dyDescent="0.25">
      <c r="A4" s="7" t="s">
        <v>232</v>
      </c>
      <c r="B4" s="7" t="s">
        <v>57</v>
      </c>
      <c r="C4" s="7" t="s">
        <v>63</v>
      </c>
      <c r="D4" s="7" t="s">
        <v>61</v>
      </c>
      <c r="E4" s="7" t="s">
        <v>62</v>
      </c>
      <c r="F4" s="7" t="s">
        <v>64</v>
      </c>
      <c r="G4" s="7" t="s">
        <v>65</v>
      </c>
      <c r="H4" s="7" t="s">
        <v>66</v>
      </c>
      <c r="I4" s="3" t="s">
        <v>8</v>
      </c>
      <c r="J4" s="47" t="s">
        <v>676</v>
      </c>
      <c r="K4" s="1"/>
    </row>
    <row r="5" spans="1:11" ht="13.5" thickBot="1" x14ac:dyDescent="0.25">
      <c r="A5" s="6">
        <f>SUM(B5:H5)</f>
        <v>3</v>
      </c>
      <c r="B5" s="6">
        <v>0</v>
      </c>
      <c r="C5" s="6">
        <v>0</v>
      </c>
      <c r="D5" s="6">
        <v>0</v>
      </c>
      <c r="E5" s="6">
        <v>2</v>
      </c>
      <c r="F5" s="6">
        <v>0</v>
      </c>
      <c r="G5" s="6">
        <v>1</v>
      </c>
      <c r="H5" s="6">
        <v>0</v>
      </c>
      <c r="I5" s="7" t="s">
        <v>10</v>
      </c>
      <c r="J5" s="124"/>
      <c r="K5" s="1"/>
    </row>
    <row r="6" spans="1:11" ht="13.5" thickBot="1" x14ac:dyDescent="0.25">
      <c r="A6" s="6">
        <f t="shared" ref="A6:A69" si="0">SUM(B6:H6)</f>
        <v>1</v>
      </c>
      <c r="B6" s="6">
        <v>0</v>
      </c>
      <c r="C6" s="6">
        <v>0</v>
      </c>
      <c r="D6" s="6">
        <v>0</v>
      </c>
      <c r="E6" s="6">
        <v>1</v>
      </c>
      <c r="F6" s="6">
        <v>0</v>
      </c>
      <c r="G6" s="6">
        <v>0</v>
      </c>
      <c r="H6" s="6">
        <v>0</v>
      </c>
      <c r="I6" s="7" t="s">
        <v>11</v>
      </c>
      <c r="J6" s="124" t="s">
        <v>12</v>
      </c>
      <c r="K6" s="1"/>
    </row>
    <row r="7" spans="1:11" ht="13.5" thickBot="1" x14ac:dyDescent="0.25">
      <c r="A7" s="6">
        <f t="shared" ref="A7:G7" si="1">SUM(A5:A6)</f>
        <v>4</v>
      </c>
      <c r="B7" s="6">
        <f t="shared" si="1"/>
        <v>0</v>
      </c>
      <c r="C7" s="6">
        <f t="shared" si="1"/>
        <v>0</v>
      </c>
      <c r="D7" s="6">
        <f t="shared" si="1"/>
        <v>0</v>
      </c>
      <c r="E7" s="6">
        <f t="shared" si="1"/>
        <v>3</v>
      </c>
      <c r="F7" s="6">
        <f t="shared" si="1"/>
        <v>0</v>
      </c>
      <c r="G7" s="6">
        <f t="shared" si="1"/>
        <v>1</v>
      </c>
      <c r="H7" s="6">
        <f>SUM(H5:H6)</f>
        <v>0</v>
      </c>
      <c r="I7" s="7" t="s">
        <v>13</v>
      </c>
      <c r="J7" s="9"/>
      <c r="K7" s="1"/>
    </row>
    <row r="8" spans="1:11" ht="13.5" thickBot="1" x14ac:dyDescent="0.25">
      <c r="A8" s="6">
        <f t="shared" si="0"/>
        <v>4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4</v>
      </c>
      <c r="H8" s="6">
        <v>0</v>
      </c>
      <c r="I8" s="7" t="s">
        <v>10</v>
      </c>
      <c r="J8" s="124"/>
      <c r="K8" s="1"/>
    </row>
    <row r="9" spans="1:11" ht="13.5" thickBot="1" x14ac:dyDescent="0.25">
      <c r="A9" s="6">
        <f t="shared" si="0"/>
        <v>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3</v>
      </c>
      <c r="H9" s="6">
        <v>0</v>
      </c>
      <c r="I9" s="7" t="s">
        <v>11</v>
      </c>
      <c r="J9" s="124" t="s">
        <v>14</v>
      </c>
      <c r="K9" s="1"/>
    </row>
    <row r="10" spans="1:11" ht="13.5" thickBot="1" x14ac:dyDescent="0.25">
      <c r="A10" s="6">
        <f t="shared" ref="A10:H10" si="2">SUM(A8:A9)</f>
        <v>7</v>
      </c>
      <c r="B10" s="6">
        <f t="shared" si="2"/>
        <v>0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7</v>
      </c>
      <c r="H10" s="6">
        <f t="shared" si="2"/>
        <v>0</v>
      </c>
      <c r="I10" s="7" t="s">
        <v>13</v>
      </c>
      <c r="J10" s="9"/>
      <c r="K10" s="1"/>
    </row>
    <row r="11" spans="1:11" ht="13.5" thickBot="1" x14ac:dyDescent="0.25">
      <c r="A11" s="6">
        <f t="shared" si="0"/>
        <v>11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11</v>
      </c>
      <c r="H11" s="6">
        <v>0</v>
      </c>
      <c r="I11" s="7" t="s">
        <v>10</v>
      </c>
      <c r="J11" s="124"/>
      <c r="K11" s="1"/>
    </row>
    <row r="12" spans="1:11" ht="13.5" thickBot="1" x14ac:dyDescent="0.25">
      <c r="A12" s="6">
        <f t="shared" si="0"/>
        <v>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4</v>
      </c>
      <c r="H12" s="6">
        <v>2</v>
      </c>
      <c r="I12" s="7" t="s">
        <v>11</v>
      </c>
      <c r="J12" s="124" t="s">
        <v>15</v>
      </c>
      <c r="K12" s="1"/>
    </row>
    <row r="13" spans="1:11" ht="13.5" thickBot="1" x14ac:dyDescent="0.25">
      <c r="A13" s="6">
        <f t="shared" ref="A13:H13" si="3">SUM(A11:A12)</f>
        <v>17</v>
      </c>
      <c r="B13" s="6">
        <f t="shared" si="3"/>
        <v>0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0</v>
      </c>
      <c r="G13" s="6">
        <f t="shared" si="3"/>
        <v>15</v>
      </c>
      <c r="H13" s="6">
        <f t="shared" si="3"/>
        <v>2</v>
      </c>
      <c r="I13" s="7" t="s">
        <v>13</v>
      </c>
      <c r="J13" s="9"/>
      <c r="K13" s="1"/>
    </row>
    <row r="14" spans="1:11" ht="13.5" thickBot="1" x14ac:dyDescent="0.25">
      <c r="A14" s="6">
        <f t="shared" si="0"/>
        <v>9</v>
      </c>
      <c r="B14" s="6">
        <v>0</v>
      </c>
      <c r="C14" s="6">
        <v>0</v>
      </c>
      <c r="D14" s="6">
        <v>1</v>
      </c>
      <c r="E14" s="6">
        <v>0</v>
      </c>
      <c r="F14" s="6">
        <v>0</v>
      </c>
      <c r="G14" s="6">
        <v>8</v>
      </c>
      <c r="H14" s="6">
        <v>0</v>
      </c>
      <c r="I14" s="7" t="s">
        <v>10</v>
      </c>
      <c r="J14" s="124"/>
      <c r="K14" s="1"/>
    </row>
    <row r="15" spans="1:11" ht="13.5" thickBot="1" x14ac:dyDescent="0.25">
      <c r="A15" s="6">
        <f t="shared" si="0"/>
        <v>7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7</v>
      </c>
      <c r="H15" s="6">
        <v>0</v>
      </c>
      <c r="I15" s="7" t="s">
        <v>11</v>
      </c>
      <c r="J15" s="124" t="s">
        <v>16</v>
      </c>
      <c r="K15" s="1"/>
    </row>
    <row r="16" spans="1:11" ht="13.5" thickBot="1" x14ac:dyDescent="0.25">
      <c r="A16" s="6">
        <f t="shared" ref="A16:H16" si="4">SUM(A14:A15)</f>
        <v>16</v>
      </c>
      <c r="B16" s="6">
        <f t="shared" si="4"/>
        <v>0</v>
      </c>
      <c r="C16" s="6">
        <f t="shared" si="4"/>
        <v>0</v>
      </c>
      <c r="D16" s="6">
        <f t="shared" si="4"/>
        <v>1</v>
      </c>
      <c r="E16" s="6">
        <f t="shared" si="4"/>
        <v>0</v>
      </c>
      <c r="F16" s="6">
        <f t="shared" si="4"/>
        <v>0</v>
      </c>
      <c r="G16" s="6">
        <f t="shared" si="4"/>
        <v>15</v>
      </c>
      <c r="H16" s="6">
        <f t="shared" si="4"/>
        <v>0</v>
      </c>
      <c r="I16" s="7" t="s">
        <v>13</v>
      </c>
      <c r="J16" s="9"/>
      <c r="K16" s="1"/>
    </row>
    <row r="17" spans="1:11" ht="13.5" thickBot="1" x14ac:dyDescent="0.25">
      <c r="A17" s="6">
        <f t="shared" si="0"/>
        <v>70</v>
      </c>
      <c r="B17" s="6">
        <v>0</v>
      </c>
      <c r="C17" s="6">
        <v>0</v>
      </c>
      <c r="D17" s="6">
        <v>0</v>
      </c>
      <c r="E17" s="6">
        <v>5</v>
      </c>
      <c r="F17" s="6">
        <v>0</v>
      </c>
      <c r="G17" s="6">
        <v>64</v>
      </c>
      <c r="H17" s="6">
        <v>1</v>
      </c>
      <c r="I17" s="7" t="s">
        <v>10</v>
      </c>
      <c r="J17" s="124"/>
      <c r="K17" s="1"/>
    </row>
    <row r="18" spans="1:11" ht="13.5" thickBot="1" x14ac:dyDescent="0.25">
      <c r="A18" s="6">
        <f t="shared" si="0"/>
        <v>5</v>
      </c>
      <c r="B18" s="6">
        <v>0</v>
      </c>
      <c r="C18" s="6">
        <v>0</v>
      </c>
      <c r="D18" s="6">
        <v>0</v>
      </c>
      <c r="E18" s="6">
        <v>1</v>
      </c>
      <c r="F18" s="6">
        <v>0</v>
      </c>
      <c r="G18" s="6">
        <v>4</v>
      </c>
      <c r="H18" s="6">
        <v>0</v>
      </c>
      <c r="I18" s="7" t="s">
        <v>11</v>
      </c>
      <c r="J18" s="124" t="s">
        <v>31</v>
      </c>
      <c r="K18" s="1"/>
    </row>
    <row r="19" spans="1:11" ht="13.5" thickBot="1" x14ac:dyDescent="0.25">
      <c r="A19" s="6">
        <f t="shared" ref="A19:H19" si="5">SUM(A17:A18)</f>
        <v>75</v>
      </c>
      <c r="B19" s="6">
        <f t="shared" si="5"/>
        <v>0</v>
      </c>
      <c r="C19" s="6">
        <f t="shared" si="5"/>
        <v>0</v>
      </c>
      <c r="D19" s="6">
        <f t="shared" si="5"/>
        <v>0</v>
      </c>
      <c r="E19" s="6">
        <f t="shared" si="5"/>
        <v>6</v>
      </c>
      <c r="F19" s="6">
        <f t="shared" si="5"/>
        <v>0</v>
      </c>
      <c r="G19" s="6">
        <f t="shared" si="5"/>
        <v>68</v>
      </c>
      <c r="H19" s="6">
        <f t="shared" si="5"/>
        <v>1</v>
      </c>
      <c r="I19" s="7" t="s">
        <v>13</v>
      </c>
      <c r="J19" s="9"/>
      <c r="K19" s="1"/>
    </row>
    <row r="20" spans="1:11" ht="13.5" thickBot="1" x14ac:dyDescent="0.25">
      <c r="A20" s="6">
        <f t="shared" si="0"/>
        <v>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2</v>
      </c>
      <c r="H20" s="6">
        <v>0</v>
      </c>
      <c r="I20" s="7" t="s">
        <v>10</v>
      </c>
      <c r="J20" s="124"/>
      <c r="K20" s="1"/>
    </row>
    <row r="21" spans="1:11" ht="13.5" thickBot="1" x14ac:dyDescent="0.25">
      <c r="A21" s="6">
        <f t="shared" si="0"/>
        <v>2</v>
      </c>
      <c r="B21" s="6">
        <v>0</v>
      </c>
      <c r="C21" s="6">
        <v>0</v>
      </c>
      <c r="D21" s="6">
        <v>0</v>
      </c>
      <c r="E21" s="6">
        <v>1</v>
      </c>
      <c r="F21" s="6">
        <v>0</v>
      </c>
      <c r="G21" s="6">
        <v>1</v>
      </c>
      <c r="H21" s="6">
        <v>0</v>
      </c>
      <c r="I21" s="7" t="s">
        <v>11</v>
      </c>
      <c r="J21" s="124" t="s">
        <v>17</v>
      </c>
      <c r="K21" s="1"/>
    </row>
    <row r="22" spans="1:11" ht="13.5" thickBot="1" x14ac:dyDescent="0.25">
      <c r="A22" s="6">
        <f t="shared" ref="A22:H22" si="6">SUM(A20:A21)</f>
        <v>4</v>
      </c>
      <c r="B22" s="6">
        <f t="shared" si="6"/>
        <v>0</v>
      </c>
      <c r="C22" s="6">
        <f t="shared" si="6"/>
        <v>0</v>
      </c>
      <c r="D22" s="6">
        <f t="shared" si="6"/>
        <v>0</v>
      </c>
      <c r="E22" s="6">
        <f t="shared" si="6"/>
        <v>1</v>
      </c>
      <c r="F22" s="6">
        <f t="shared" si="6"/>
        <v>0</v>
      </c>
      <c r="G22" s="6">
        <f t="shared" si="6"/>
        <v>3</v>
      </c>
      <c r="H22" s="6">
        <f t="shared" si="6"/>
        <v>0</v>
      </c>
      <c r="I22" s="7" t="s">
        <v>13</v>
      </c>
      <c r="J22" s="9"/>
      <c r="K22" s="1"/>
    </row>
    <row r="23" spans="1:11" ht="13.5" thickBot="1" x14ac:dyDescent="0.25">
      <c r="A23" s="6">
        <f t="shared" si="0"/>
        <v>39</v>
      </c>
      <c r="B23" s="6">
        <v>0</v>
      </c>
      <c r="C23" s="6">
        <v>0</v>
      </c>
      <c r="D23" s="6">
        <v>0</v>
      </c>
      <c r="E23" s="6">
        <v>1</v>
      </c>
      <c r="F23" s="6">
        <v>0</v>
      </c>
      <c r="G23" s="6">
        <v>38</v>
      </c>
      <c r="H23" s="6">
        <v>0</v>
      </c>
      <c r="I23" s="7" t="s">
        <v>10</v>
      </c>
      <c r="J23" s="124"/>
      <c r="K23" s="1"/>
    </row>
    <row r="24" spans="1:11" ht="13.5" thickBot="1" x14ac:dyDescent="0.25">
      <c r="A24" s="6">
        <f t="shared" si="0"/>
        <v>58</v>
      </c>
      <c r="B24" s="6">
        <v>0</v>
      </c>
      <c r="C24" s="6">
        <v>0</v>
      </c>
      <c r="D24" s="6">
        <v>0</v>
      </c>
      <c r="E24" s="6">
        <v>6</v>
      </c>
      <c r="F24" s="6">
        <v>0</v>
      </c>
      <c r="G24" s="6">
        <v>52</v>
      </c>
      <c r="H24" s="6">
        <v>0</v>
      </c>
      <c r="I24" s="7" t="s">
        <v>11</v>
      </c>
      <c r="J24" s="124" t="s">
        <v>19</v>
      </c>
      <c r="K24" s="1"/>
    </row>
    <row r="25" spans="1:11" ht="13.5" thickBot="1" x14ac:dyDescent="0.25">
      <c r="A25" s="6">
        <f t="shared" ref="A25:H25" si="7">SUM(A23:A24)</f>
        <v>97</v>
      </c>
      <c r="B25" s="6">
        <f t="shared" si="7"/>
        <v>0</v>
      </c>
      <c r="C25" s="6">
        <f t="shared" si="7"/>
        <v>0</v>
      </c>
      <c r="D25" s="6">
        <f t="shared" si="7"/>
        <v>0</v>
      </c>
      <c r="E25" s="6">
        <f t="shared" si="7"/>
        <v>7</v>
      </c>
      <c r="F25" s="6">
        <f t="shared" si="7"/>
        <v>0</v>
      </c>
      <c r="G25" s="6">
        <f t="shared" si="7"/>
        <v>90</v>
      </c>
      <c r="H25" s="6">
        <f t="shared" si="7"/>
        <v>0</v>
      </c>
      <c r="I25" s="7" t="s">
        <v>13</v>
      </c>
      <c r="J25" s="9"/>
      <c r="K25" s="1"/>
    </row>
    <row r="26" spans="1:11" ht="13.5" thickBot="1" x14ac:dyDescent="0.25">
      <c r="A26" s="6">
        <f t="shared" si="0"/>
        <v>38</v>
      </c>
      <c r="B26" s="6">
        <v>2</v>
      </c>
      <c r="C26" s="6">
        <v>2</v>
      </c>
      <c r="D26" s="6">
        <v>1</v>
      </c>
      <c r="E26" s="6">
        <v>6</v>
      </c>
      <c r="F26" s="6">
        <v>0</v>
      </c>
      <c r="G26" s="6">
        <v>27</v>
      </c>
      <c r="H26" s="6">
        <v>0</v>
      </c>
      <c r="I26" s="7" t="s">
        <v>10</v>
      </c>
      <c r="J26" s="124"/>
      <c r="K26" s="1"/>
    </row>
    <row r="27" spans="1:11" ht="13.5" thickBot="1" x14ac:dyDescent="0.25">
      <c r="A27" s="6">
        <f t="shared" si="0"/>
        <v>13</v>
      </c>
      <c r="B27" s="6">
        <v>0</v>
      </c>
      <c r="C27" s="6">
        <v>0</v>
      </c>
      <c r="D27" s="6">
        <v>1</v>
      </c>
      <c r="E27" s="6">
        <v>3</v>
      </c>
      <c r="F27" s="6">
        <v>0</v>
      </c>
      <c r="G27" s="6">
        <v>9</v>
      </c>
      <c r="H27" s="6">
        <v>0</v>
      </c>
      <c r="I27" s="7" t="s">
        <v>11</v>
      </c>
      <c r="J27" s="124" t="s">
        <v>35</v>
      </c>
      <c r="K27" s="1"/>
    </row>
    <row r="28" spans="1:11" ht="13.5" thickBot="1" x14ac:dyDescent="0.25">
      <c r="A28" s="6">
        <f t="shared" ref="A28:H28" si="8">SUM(A26:A27)</f>
        <v>51</v>
      </c>
      <c r="B28" s="6">
        <f t="shared" si="8"/>
        <v>2</v>
      </c>
      <c r="C28" s="6">
        <f t="shared" si="8"/>
        <v>2</v>
      </c>
      <c r="D28" s="6">
        <f t="shared" si="8"/>
        <v>2</v>
      </c>
      <c r="E28" s="6">
        <f t="shared" si="8"/>
        <v>9</v>
      </c>
      <c r="F28" s="6">
        <f t="shared" si="8"/>
        <v>0</v>
      </c>
      <c r="G28" s="6">
        <f t="shared" si="8"/>
        <v>36</v>
      </c>
      <c r="H28" s="6">
        <f t="shared" si="8"/>
        <v>0</v>
      </c>
      <c r="I28" s="7" t="s">
        <v>13</v>
      </c>
      <c r="J28" s="9"/>
      <c r="K28" s="1"/>
    </row>
    <row r="29" spans="1:11" ht="13.5" thickBot="1" x14ac:dyDescent="0.25">
      <c r="A29" s="6">
        <f t="shared" si="0"/>
        <v>1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1</v>
      </c>
      <c r="H29" s="6">
        <v>0</v>
      </c>
      <c r="I29" s="7" t="s">
        <v>10</v>
      </c>
      <c r="J29" s="124"/>
      <c r="K29" s="1"/>
    </row>
    <row r="30" spans="1:11" ht="13.5" thickBot="1" x14ac:dyDescent="0.25">
      <c r="A30" s="6">
        <f t="shared" si="0"/>
        <v>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4</v>
      </c>
      <c r="H30" s="6">
        <v>0</v>
      </c>
      <c r="I30" s="7" t="s">
        <v>11</v>
      </c>
      <c r="J30" s="124" t="s">
        <v>20</v>
      </c>
      <c r="K30" s="1"/>
    </row>
    <row r="31" spans="1:11" ht="13.5" thickBot="1" x14ac:dyDescent="0.25">
      <c r="A31" s="6">
        <f t="shared" ref="A31:H31" si="9">SUM(A29:A30)</f>
        <v>5</v>
      </c>
      <c r="B31" s="6">
        <f t="shared" si="9"/>
        <v>0</v>
      </c>
      <c r="C31" s="6">
        <f t="shared" si="9"/>
        <v>0</v>
      </c>
      <c r="D31" s="6">
        <f t="shared" si="9"/>
        <v>0</v>
      </c>
      <c r="E31" s="6">
        <f t="shared" si="9"/>
        <v>0</v>
      </c>
      <c r="F31" s="6">
        <f t="shared" si="9"/>
        <v>0</v>
      </c>
      <c r="G31" s="6">
        <f t="shared" si="9"/>
        <v>5</v>
      </c>
      <c r="H31" s="6">
        <f t="shared" si="9"/>
        <v>0</v>
      </c>
      <c r="I31" s="7" t="s">
        <v>13</v>
      </c>
      <c r="J31" s="9"/>
      <c r="K31" s="1"/>
    </row>
    <row r="32" spans="1:11" ht="13.5" thickBot="1" x14ac:dyDescent="0.25">
      <c r="A32" s="6">
        <f t="shared" si="0"/>
        <v>1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1</v>
      </c>
      <c r="H32" s="6">
        <v>0</v>
      </c>
      <c r="I32" s="7" t="s">
        <v>10</v>
      </c>
      <c r="J32" s="124"/>
      <c r="K32" s="1"/>
    </row>
    <row r="33" spans="1:11" ht="13.5" thickBot="1" x14ac:dyDescent="0.25">
      <c r="A33" s="6">
        <f t="shared" si="0"/>
        <v>3</v>
      </c>
      <c r="B33" s="6">
        <v>0</v>
      </c>
      <c r="C33" s="6">
        <v>0</v>
      </c>
      <c r="D33" s="6">
        <v>0</v>
      </c>
      <c r="E33" s="6">
        <v>1</v>
      </c>
      <c r="F33" s="6">
        <v>0</v>
      </c>
      <c r="G33" s="6">
        <v>2</v>
      </c>
      <c r="H33" s="6">
        <v>0</v>
      </c>
      <c r="I33" s="7" t="s">
        <v>11</v>
      </c>
      <c r="J33" s="124" t="s">
        <v>21</v>
      </c>
      <c r="K33" s="1"/>
    </row>
    <row r="34" spans="1:11" ht="13.5" thickBot="1" x14ac:dyDescent="0.25">
      <c r="A34" s="6">
        <f t="shared" ref="A34:H34" si="10">SUM(A32:A33)</f>
        <v>4</v>
      </c>
      <c r="B34" s="6">
        <f t="shared" si="10"/>
        <v>0</v>
      </c>
      <c r="C34" s="6">
        <f t="shared" si="10"/>
        <v>0</v>
      </c>
      <c r="D34" s="6">
        <f t="shared" si="10"/>
        <v>0</v>
      </c>
      <c r="E34" s="6">
        <f t="shared" si="10"/>
        <v>1</v>
      </c>
      <c r="F34" s="6">
        <f t="shared" si="10"/>
        <v>0</v>
      </c>
      <c r="G34" s="6">
        <f t="shared" si="10"/>
        <v>3</v>
      </c>
      <c r="H34" s="6">
        <f t="shared" si="10"/>
        <v>0</v>
      </c>
      <c r="I34" s="7" t="s">
        <v>13</v>
      </c>
      <c r="J34" s="9"/>
      <c r="K34" s="1"/>
    </row>
    <row r="35" spans="1:11" ht="13.5" thickBot="1" x14ac:dyDescent="0.25">
      <c r="A35" s="6">
        <f t="shared" si="0"/>
        <v>26</v>
      </c>
      <c r="B35" s="6">
        <v>0</v>
      </c>
      <c r="C35" s="6">
        <v>0</v>
      </c>
      <c r="D35" s="6">
        <v>0</v>
      </c>
      <c r="E35" s="6">
        <v>2</v>
      </c>
      <c r="F35" s="6">
        <v>0</v>
      </c>
      <c r="G35" s="6">
        <v>23</v>
      </c>
      <c r="H35" s="6">
        <v>1</v>
      </c>
      <c r="I35" s="7" t="s">
        <v>10</v>
      </c>
      <c r="J35" s="124"/>
      <c r="K35" s="1"/>
    </row>
    <row r="36" spans="1:11" ht="13.5" thickBot="1" x14ac:dyDescent="0.25">
      <c r="A36" s="6">
        <f t="shared" si="0"/>
        <v>57</v>
      </c>
      <c r="B36" s="6">
        <v>0</v>
      </c>
      <c r="C36" s="6">
        <v>0</v>
      </c>
      <c r="D36" s="6">
        <v>0</v>
      </c>
      <c r="E36" s="6">
        <v>6</v>
      </c>
      <c r="F36" s="6">
        <v>0</v>
      </c>
      <c r="G36" s="6">
        <v>50</v>
      </c>
      <c r="H36" s="6">
        <v>1</v>
      </c>
      <c r="I36" s="7" t="s">
        <v>11</v>
      </c>
      <c r="J36" s="124" t="s">
        <v>22</v>
      </c>
      <c r="K36" s="1"/>
    </row>
    <row r="37" spans="1:11" ht="13.5" thickBot="1" x14ac:dyDescent="0.25">
      <c r="A37" s="6">
        <f t="shared" ref="A37:H37" si="11">SUM(A35:A36)</f>
        <v>83</v>
      </c>
      <c r="B37" s="6">
        <f t="shared" si="11"/>
        <v>0</v>
      </c>
      <c r="C37" s="6">
        <f t="shared" si="11"/>
        <v>0</v>
      </c>
      <c r="D37" s="6">
        <f t="shared" si="11"/>
        <v>0</v>
      </c>
      <c r="E37" s="6">
        <f t="shared" si="11"/>
        <v>8</v>
      </c>
      <c r="F37" s="6">
        <f t="shared" si="11"/>
        <v>0</v>
      </c>
      <c r="G37" s="6">
        <f t="shared" si="11"/>
        <v>73</v>
      </c>
      <c r="H37" s="6">
        <f t="shared" si="11"/>
        <v>2</v>
      </c>
      <c r="I37" s="7" t="s">
        <v>13</v>
      </c>
      <c r="J37" s="9"/>
      <c r="K37" s="1"/>
    </row>
    <row r="38" spans="1:11" ht="13.5" thickBot="1" x14ac:dyDescent="0.25">
      <c r="A38" s="6">
        <f t="shared" si="0"/>
        <v>33</v>
      </c>
      <c r="B38" s="6">
        <v>0</v>
      </c>
      <c r="C38" s="6">
        <v>0</v>
      </c>
      <c r="D38" s="6">
        <v>0</v>
      </c>
      <c r="E38" s="6">
        <v>1</v>
      </c>
      <c r="F38" s="6">
        <v>0</v>
      </c>
      <c r="G38" s="6">
        <v>32</v>
      </c>
      <c r="H38" s="6">
        <v>0</v>
      </c>
      <c r="I38" s="7" t="s">
        <v>10</v>
      </c>
      <c r="J38" s="124"/>
      <c r="K38" s="1"/>
    </row>
    <row r="39" spans="1:11" ht="13.5" thickBot="1" x14ac:dyDescent="0.25">
      <c r="A39" s="6">
        <f t="shared" si="0"/>
        <v>11</v>
      </c>
      <c r="B39" s="6">
        <v>0</v>
      </c>
      <c r="C39" s="6">
        <v>0</v>
      </c>
      <c r="D39" s="6">
        <v>0</v>
      </c>
      <c r="E39" s="6">
        <v>5</v>
      </c>
      <c r="F39" s="6">
        <v>0</v>
      </c>
      <c r="G39" s="6">
        <v>6</v>
      </c>
      <c r="H39" s="6">
        <v>0</v>
      </c>
      <c r="I39" s="7" t="s">
        <v>11</v>
      </c>
      <c r="J39" s="124" t="s">
        <v>36</v>
      </c>
      <c r="K39" s="1"/>
    </row>
    <row r="40" spans="1:11" ht="13.5" thickBot="1" x14ac:dyDescent="0.25">
      <c r="A40" s="6">
        <f t="shared" ref="A40:H40" si="12">SUM(A38:A39)</f>
        <v>44</v>
      </c>
      <c r="B40" s="6">
        <f t="shared" si="12"/>
        <v>0</v>
      </c>
      <c r="C40" s="6">
        <f t="shared" si="12"/>
        <v>0</v>
      </c>
      <c r="D40" s="6">
        <f t="shared" si="12"/>
        <v>0</v>
      </c>
      <c r="E40" s="6">
        <f t="shared" si="12"/>
        <v>6</v>
      </c>
      <c r="F40" s="6">
        <f t="shared" si="12"/>
        <v>0</v>
      </c>
      <c r="G40" s="6">
        <f t="shared" si="12"/>
        <v>38</v>
      </c>
      <c r="H40" s="6">
        <f t="shared" si="12"/>
        <v>0</v>
      </c>
      <c r="I40" s="7" t="s">
        <v>13</v>
      </c>
      <c r="J40" s="9"/>
      <c r="K40" s="1"/>
    </row>
    <row r="41" spans="1:11" ht="13.5" thickBot="1" x14ac:dyDescent="0.25">
      <c r="A41" s="6">
        <f t="shared" si="0"/>
        <v>70</v>
      </c>
      <c r="B41" s="6">
        <v>0</v>
      </c>
      <c r="C41" s="6">
        <v>0</v>
      </c>
      <c r="D41" s="6">
        <v>1</v>
      </c>
      <c r="E41" s="6">
        <v>4</v>
      </c>
      <c r="F41" s="6">
        <v>0</v>
      </c>
      <c r="G41" s="6">
        <v>63</v>
      </c>
      <c r="H41" s="6">
        <v>2</v>
      </c>
      <c r="I41" s="7" t="s">
        <v>10</v>
      </c>
      <c r="J41" s="124"/>
      <c r="K41" s="1"/>
    </row>
    <row r="42" spans="1:11" ht="13.5" thickBot="1" x14ac:dyDescent="0.25">
      <c r="A42" s="6">
        <f t="shared" si="0"/>
        <v>21</v>
      </c>
      <c r="B42" s="6">
        <v>0</v>
      </c>
      <c r="C42" s="6">
        <v>0</v>
      </c>
      <c r="D42" s="6">
        <v>0</v>
      </c>
      <c r="E42" s="6">
        <v>5</v>
      </c>
      <c r="F42" s="6">
        <v>0</v>
      </c>
      <c r="G42" s="6">
        <v>15</v>
      </c>
      <c r="H42" s="6">
        <v>1</v>
      </c>
      <c r="I42" s="7" t="s">
        <v>11</v>
      </c>
      <c r="J42" s="124" t="s">
        <v>32</v>
      </c>
      <c r="K42" s="1"/>
    </row>
    <row r="43" spans="1:11" ht="13.5" thickBot="1" x14ac:dyDescent="0.25">
      <c r="A43" s="6">
        <f t="shared" ref="A43:H43" si="13">SUM(A41:A42)</f>
        <v>91</v>
      </c>
      <c r="B43" s="6">
        <f t="shared" si="13"/>
        <v>0</v>
      </c>
      <c r="C43" s="6">
        <f t="shared" si="13"/>
        <v>0</v>
      </c>
      <c r="D43" s="6">
        <f t="shared" si="13"/>
        <v>1</v>
      </c>
      <c r="E43" s="6">
        <f t="shared" si="13"/>
        <v>9</v>
      </c>
      <c r="F43" s="6">
        <f t="shared" si="13"/>
        <v>0</v>
      </c>
      <c r="G43" s="6">
        <f t="shared" si="13"/>
        <v>78</v>
      </c>
      <c r="H43" s="6">
        <f t="shared" si="13"/>
        <v>3</v>
      </c>
      <c r="I43" s="7" t="s">
        <v>13</v>
      </c>
      <c r="J43" s="9"/>
      <c r="K43" s="1"/>
    </row>
    <row r="44" spans="1:11" ht="13.5" thickBot="1" x14ac:dyDescent="0.25">
      <c r="A44" s="6">
        <f t="shared" si="0"/>
        <v>936</v>
      </c>
      <c r="B44" s="6">
        <v>21</v>
      </c>
      <c r="C44" s="6">
        <v>4</v>
      </c>
      <c r="D44" s="6">
        <v>2</v>
      </c>
      <c r="E44" s="6">
        <v>115</v>
      </c>
      <c r="F44" s="6">
        <v>0</v>
      </c>
      <c r="G44" s="6">
        <v>787</v>
      </c>
      <c r="H44" s="6">
        <v>7</v>
      </c>
      <c r="I44" s="7" t="s">
        <v>10</v>
      </c>
      <c r="J44" s="124"/>
      <c r="K44" s="1"/>
    </row>
    <row r="45" spans="1:11" ht="13.5" thickBot="1" x14ac:dyDescent="0.25">
      <c r="A45" s="6">
        <f t="shared" si="0"/>
        <v>243</v>
      </c>
      <c r="B45" s="6">
        <v>2</v>
      </c>
      <c r="C45" s="6">
        <v>3</v>
      </c>
      <c r="D45" s="6">
        <v>5</v>
      </c>
      <c r="E45" s="6">
        <v>82</v>
      </c>
      <c r="F45" s="6">
        <v>0</v>
      </c>
      <c r="G45" s="6">
        <v>148</v>
      </c>
      <c r="H45" s="6">
        <v>3</v>
      </c>
      <c r="I45" s="7" t="s">
        <v>11</v>
      </c>
      <c r="J45" s="124" t="s">
        <v>41</v>
      </c>
      <c r="K45" s="1"/>
    </row>
    <row r="46" spans="1:11" ht="13.5" thickBot="1" x14ac:dyDescent="0.25">
      <c r="A46" s="6">
        <f t="shared" ref="A46:H46" si="14">SUM(A44:A45)</f>
        <v>1179</v>
      </c>
      <c r="B46" s="6">
        <f t="shared" si="14"/>
        <v>23</v>
      </c>
      <c r="C46" s="6">
        <f t="shared" si="14"/>
        <v>7</v>
      </c>
      <c r="D46" s="6">
        <f t="shared" si="14"/>
        <v>7</v>
      </c>
      <c r="E46" s="6">
        <f t="shared" si="14"/>
        <v>197</v>
      </c>
      <c r="F46" s="6">
        <f t="shared" si="14"/>
        <v>0</v>
      </c>
      <c r="G46" s="6">
        <f t="shared" si="14"/>
        <v>935</v>
      </c>
      <c r="H46" s="6">
        <f t="shared" si="14"/>
        <v>10</v>
      </c>
      <c r="I46" s="7" t="s">
        <v>13</v>
      </c>
      <c r="J46" s="9"/>
      <c r="K46" s="1"/>
    </row>
    <row r="47" spans="1:11" ht="13.5" thickBot="1" x14ac:dyDescent="0.25">
      <c r="A47" s="6">
        <f t="shared" si="0"/>
        <v>13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13</v>
      </c>
      <c r="H47" s="6">
        <v>0</v>
      </c>
      <c r="I47" s="7" t="s">
        <v>10</v>
      </c>
      <c r="J47" s="124"/>
      <c r="K47" s="1"/>
    </row>
    <row r="48" spans="1:11" ht="13.5" thickBot="1" x14ac:dyDescent="0.25">
      <c r="A48" s="6">
        <f t="shared" si="0"/>
        <v>3</v>
      </c>
      <c r="B48" s="6">
        <v>0</v>
      </c>
      <c r="C48" s="6">
        <v>0</v>
      </c>
      <c r="D48" s="6">
        <v>0</v>
      </c>
      <c r="E48" s="6">
        <v>1</v>
      </c>
      <c r="F48" s="6">
        <v>0</v>
      </c>
      <c r="G48" s="6">
        <v>2</v>
      </c>
      <c r="H48" s="6">
        <v>0</v>
      </c>
      <c r="I48" s="7" t="s">
        <v>11</v>
      </c>
      <c r="J48" s="124" t="s">
        <v>24</v>
      </c>
      <c r="K48" s="1"/>
    </row>
    <row r="49" spans="1:11" ht="13.5" thickBot="1" x14ac:dyDescent="0.25">
      <c r="A49" s="6">
        <f t="shared" ref="A49:H49" si="15">SUM(A47:A48)</f>
        <v>16</v>
      </c>
      <c r="B49" s="6">
        <f t="shared" si="15"/>
        <v>0</v>
      </c>
      <c r="C49" s="6">
        <f t="shared" si="15"/>
        <v>0</v>
      </c>
      <c r="D49" s="6">
        <f t="shared" si="15"/>
        <v>0</v>
      </c>
      <c r="E49" s="6">
        <f t="shared" si="15"/>
        <v>1</v>
      </c>
      <c r="F49" s="6">
        <f t="shared" si="15"/>
        <v>0</v>
      </c>
      <c r="G49" s="6">
        <f t="shared" si="15"/>
        <v>15</v>
      </c>
      <c r="H49" s="6">
        <f t="shared" si="15"/>
        <v>0</v>
      </c>
      <c r="I49" s="7" t="s">
        <v>13</v>
      </c>
      <c r="J49" s="9"/>
      <c r="K49" s="1"/>
    </row>
    <row r="50" spans="1:11" ht="13.5" thickBot="1" x14ac:dyDescent="0.25">
      <c r="A50" s="6">
        <f t="shared" si="0"/>
        <v>2800</v>
      </c>
      <c r="B50" s="6">
        <v>55</v>
      </c>
      <c r="C50" s="6">
        <v>0</v>
      </c>
      <c r="D50" s="6">
        <v>24</v>
      </c>
      <c r="E50" s="6">
        <v>435</v>
      </c>
      <c r="F50" s="6">
        <v>0</v>
      </c>
      <c r="G50" s="6">
        <v>1322</v>
      </c>
      <c r="H50" s="6">
        <v>964</v>
      </c>
      <c r="I50" s="7" t="s">
        <v>10</v>
      </c>
      <c r="J50" s="124"/>
      <c r="K50" s="1"/>
    </row>
    <row r="51" spans="1:11" ht="13.5" thickBot="1" x14ac:dyDescent="0.25">
      <c r="A51" s="6">
        <f t="shared" si="0"/>
        <v>473</v>
      </c>
      <c r="B51" s="6">
        <v>7</v>
      </c>
      <c r="C51" s="6">
        <v>1</v>
      </c>
      <c r="D51" s="6">
        <v>17</v>
      </c>
      <c r="E51" s="6">
        <v>151</v>
      </c>
      <c r="F51" s="6">
        <v>0</v>
      </c>
      <c r="G51" s="6">
        <v>140</v>
      </c>
      <c r="H51" s="6">
        <v>157</v>
      </c>
      <c r="I51" s="7" t="s">
        <v>11</v>
      </c>
      <c r="J51" s="124" t="s">
        <v>37</v>
      </c>
      <c r="K51" s="1"/>
    </row>
    <row r="52" spans="1:11" ht="13.5" thickBot="1" x14ac:dyDescent="0.25">
      <c r="A52" s="6">
        <f t="shared" ref="A52:H52" si="16">SUM(A50:A51)</f>
        <v>3273</v>
      </c>
      <c r="B52" s="6">
        <f t="shared" si="16"/>
        <v>62</v>
      </c>
      <c r="C52" s="6">
        <f t="shared" si="16"/>
        <v>1</v>
      </c>
      <c r="D52" s="6">
        <f t="shared" si="16"/>
        <v>41</v>
      </c>
      <c r="E52" s="6">
        <f t="shared" si="16"/>
        <v>586</v>
      </c>
      <c r="F52" s="6">
        <f t="shared" si="16"/>
        <v>0</v>
      </c>
      <c r="G52" s="6">
        <f t="shared" si="16"/>
        <v>1462</v>
      </c>
      <c r="H52" s="6">
        <f t="shared" si="16"/>
        <v>1121</v>
      </c>
      <c r="I52" s="7" t="s">
        <v>13</v>
      </c>
      <c r="J52" s="9"/>
      <c r="K52" s="1"/>
    </row>
    <row r="53" spans="1:11" ht="13.5" thickBot="1" x14ac:dyDescent="0.25">
      <c r="A53" s="6">
        <f t="shared" si="0"/>
        <v>1196</v>
      </c>
      <c r="B53" s="6">
        <v>2</v>
      </c>
      <c r="C53" s="6">
        <v>12</v>
      </c>
      <c r="D53" s="6">
        <v>3</v>
      </c>
      <c r="E53" s="6">
        <v>50</v>
      </c>
      <c r="F53" s="6">
        <v>0</v>
      </c>
      <c r="G53" s="6">
        <v>758</v>
      </c>
      <c r="H53" s="6">
        <v>371</v>
      </c>
      <c r="I53" s="7" t="s">
        <v>10</v>
      </c>
      <c r="J53" s="124"/>
      <c r="K53" s="1"/>
    </row>
    <row r="54" spans="1:11" ht="13.5" thickBot="1" x14ac:dyDescent="0.25">
      <c r="A54" s="6">
        <f t="shared" si="0"/>
        <v>88</v>
      </c>
      <c r="B54" s="6">
        <v>3</v>
      </c>
      <c r="C54" s="6">
        <v>5</v>
      </c>
      <c r="D54" s="6">
        <v>0</v>
      </c>
      <c r="E54" s="6">
        <v>16</v>
      </c>
      <c r="F54" s="6">
        <v>0</v>
      </c>
      <c r="G54" s="6">
        <v>41</v>
      </c>
      <c r="H54" s="6">
        <v>23</v>
      </c>
      <c r="I54" s="7" t="s">
        <v>11</v>
      </c>
      <c r="J54" s="124" t="s">
        <v>42</v>
      </c>
      <c r="K54" s="1"/>
    </row>
    <row r="55" spans="1:11" ht="13.5" thickBot="1" x14ac:dyDescent="0.25">
      <c r="A55" s="6">
        <f t="shared" ref="A55:H55" si="17">SUM(A53:A54)</f>
        <v>1284</v>
      </c>
      <c r="B55" s="6">
        <f t="shared" si="17"/>
        <v>5</v>
      </c>
      <c r="C55" s="6">
        <f t="shared" si="17"/>
        <v>17</v>
      </c>
      <c r="D55" s="6">
        <f t="shared" si="17"/>
        <v>3</v>
      </c>
      <c r="E55" s="6">
        <f t="shared" si="17"/>
        <v>66</v>
      </c>
      <c r="F55" s="6">
        <f t="shared" si="17"/>
        <v>0</v>
      </c>
      <c r="G55" s="6">
        <f t="shared" si="17"/>
        <v>799</v>
      </c>
      <c r="H55" s="6">
        <f t="shared" si="17"/>
        <v>394</v>
      </c>
      <c r="I55" s="7" t="s">
        <v>13</v>
      </c>
      <c r="J55" s="9"/>
      <c r="K55" s="1"/>
    </row>
    <row r="56" spans="1:11" ht="13.5" thickBot="1" x14ac:dyDescent="0.25">
      <c r="A56" s="6">
        <f t="shared" si="0"/>
        <v>18</v>
      </c>
      <c r="B56" s="6">
        <v>0</v>
      </c>
      <c r="C56" s="6">
        <v>1</v>
      </c>
      <c r="D56" s="6">
        <v>0</v>
      </c>
      <c r="E56" s="6">
        <v>4</v>
      </c>
      <c r="F56" s="6">
        <v>0</v>
      </c>
      <c r="G56" s="6">
        <v>13</v>
      </c>
      <c r="H56" s="6">
        <v>0</v>
      </c>
      <c r="I56" s="7" t="s">
        <v>10</v>
      </c>
      <c r="J56" s="124"/>
      <c r="K56" s="1"/>
    </row>
    <row r="57" spans="1:11" ht="13.5" thickBot="1" x14ac:dyDescent="0.25">
      <c r="A57" s="6">
        <f t="shared" si="0"/>
        <v>37</v>
      </c>
      <c r="B57" s="6">
        <v>0</v>
      </c>
      <c r="C57" s="6">
        <v>1</v>
      </c>
      <c r="D57" s="6">
        <v>1</v>
      </c>
      <c r="E57" s="6">
        <v>5</v>
      </c>
      <c r="F57" s="6">
        <v>0</v>
      </c>
      <c r="G57" s="6">
        <v>18</v>
      </c>
      <c r="H57" s="6">
        <v>12</v>
      </c>
      <c r="I57" s="7" t="s">
        <v>11</v>
      </c>
      <c r="J57" s="124" t="s">
        <v>38</v>
      </c>
      <c r="K57" s="1"/>
    </row>
    <row r="58" spans="1:11" ht="13.5" thickBot="1" x14ac:dyDescent="0.25">
      <c r="A58" s="6">
        <f t="shared" ref="A58:H58" si="18">SUM(A56:A57)</f>
        <v>55</v>
      </c>
      <c r="B58" s="6">
        <f t="shared" si="18"/>
        <v>0</v>
      </c>
      <c r="C58" s="6">
        <f t="shared" si="18"/>
        <v>2</v>
      </c>
      <c r="D58" s="6">
        <f t="shared" si="18"/>
        <v>1</v>
      </c>
      <c r="E58" s="6">
        <f t="shared" si="18"/>
        <v>9</v>
      </c>
      <c r="F58" s="6">
        <f t="shared" si="18"/>
        <v>0</v>
      </c>
      <c r="G58" s="6">
        <f t="shared" si="18"/>
        <v>31</v>
      </c>
      <c r="H58" s="6">
        <f t="shared" si="18"/>
        <v>12</v>
      </c>
      <c r="I58" s="7" t="s">
        <v>13</v>
      </c>
      <c r="J58" s="9"/>
      <c r="K58" s="1"/>
    </row>
    <row r="59" spans="1:11" ht="13.5" thickBot="1" x14ac:dyDescent="0.25">
      <c r="A59" s="6">
        <f t="shared" si="0"/>
        <v>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7" t="s">
        <v>10</v>
      </c>
      <c r="J59" s="124"/>
      <c r="K59" s="1"/>
    </row>
    <row r="60" spans="1:11" ht="13.5" thickBot="1" x14ac:dyDescent="0.25">
      <c r="A60" s="6">
        <f t="shared" si="0"/>
        <v>4</v>
      </c>
      <c r="B60" s="6">
        <v>0</v>
      </c>
      <c r="C60" s="6">
        <v>0</v>
      </c>
      <c r="D60" s="6">
        <v>1</v>
      </c>
      <c r="E60" s="6">
        <v>0</v>
      </c>
      <c r="F60" s="6">
        <v>0</v>
      </c>
      <c r="G60" s="6">
        <v>3</v>
      </c>
      <c r="H60" s="6">
        <v>0</v>
      </c>
      <c r="I60" s="7" t="s">
        <v>11</v>
      </c>
      <c r="J60" s="124" t="s">
        <v>39</v>
      </c>
      <c r="K60" s="1"/>
    </row>
    <row r="61" spans="1:11" ht="13.5" thickBot="1" x14ac:dyDescent="0.25">
      <c r="A61" s="6">
        <f t="shared" ref="A61:H61" si="19">SUM(A59:A60)</f>
        <v>4</v>
      </c>
      <c r="B61" s="6">
        <f t="shared" si="19"/>
        <v>0</v>
      </c>
      <c r="C61" s="6">
        <f t="shared" si="19"/>
        <v>0</v>
      </c>
      <c r="D61" s="6">
        <f t="shared" si="19"/>
        <v>1</v>
      </c>
      <c r="E61" s="6">
        <f t="shared" si="19"/>
        <v>0</v>
      </c>
      <c r="F61" s="6">
        <f t="shared" si="19"/>
        <v>0</v>
      </c>
      <c r="G61" s="6">
        <f t="shared" si="19"/>
        <v>3</v>
      </c>
      <c r="H61" s="6">
        <f t="shared" si="19"/>
        <v>0</v>
      </c>
      <c r="I61" s="7" t="s">
        <v>13</v>
      </c>
      <c r="J61" s="9"/>
      <c r="K61" s="1"/>
    </row>
    <row r="62" spans="1:11" ht="13.5" thickBot="1" x14ac:dyDescent="0.25">
      <c r="A62" s="6">
        <f t="shared" si="0"/>
        <v>218</v>
      </c>
      <c r="B62" s="6">
        <v>0</v>
      </c>
      <c r="C62" s="6">
        <v>0</v>
      </c>
      <c r="D62" s="6">
        <v>8</v>
      </c>
      <c r="E62" s="6">
        <v>31</v>
      </c>
      <c r="F62" s="6">
        <v>6</v>
      </c>
      <c r="G62" s="6">
        <v>172</v>
      </c>
      <c r="H62" s="6">
        <v>1</v>
      </c>
      <c r="I62" s="7" t="s">
        <v>10</v>
      </c>
      <c r="J62" s="124"/>
      <c r="K62" s="1"/>
    </row>
    <row r="63" spans="1:11" ht="13.5" thickBot="1" x14ac:dyDescent="0.25">
      <c r="A63" s="6">
        <f t="shared" si="0"/>
        <v>64</v>
      </c>
      <c r="B63" s="6">
        <v>0</v>
      </c>
      <c r="C63" s="6">
        <v>0</v>
      </c>
      <c r="D63" s="6">
        <v>1</v>
      </c>
      <c r="E63" s="6">
        <v>18</v>
      </c>
      <c r="F63" s="6">
        <v>0</v>
      </c>
      <c r="G63" s="6">
        <v>42</v>
      </c>
      <c r="H63" s="6">
        <v>3</v>
      </c>
      <c r="I63" s="7" t="s">
        <v>11</v>
      </c>
      <c r="J63" s="124" t="s">
        <v>25</v>
      </c>
      <c r="K63" s="1"/>
    </row>
    <row r="64" spans="1:11" ht="13.5" thickBot="1" x14ac:dyDescent="0.25">
      <c r="A64" s="6">
        <f t="shared" ref="A64:H64" si="20">SUM(A62:A63)</f>
        <v>282</v>
      </c>
      <c r="B64" s="6">
        <f t="shared" si="20"/>
        <v>0</v>
      </c>
      <c r="C64" s="6">
        <f t="shared" si="20"/>
        <v>0</v>
      </c>
      <c r="D64" s="6">
        <f t="shared" si="20"/>
        <v>9</v>
      </c>
      <c r="E64" s="6">
        <f t="shared" si="20"/>
        <v>49</v>
      </c>
      <c r="F64" s="6">
        <f t="shared" si="20"/>
        <v>6</v>
      </c>
      <c r="G64" s="6">
        <f t="shared" si="20"/>
        <v>214</v>
      </c>
      <c r="H64" s="6">
        <f t="shared" si="20"/>
        <v>4</v>
      </c>
      <c r="I64" s="7" t="s">
        <v>13</v>
      </c>
      <c r="J64" s="9"/>
      <c r="K64" s="1"/>
    </row>
    <row r="65" spans="1:11" ht="13.5" thickBot="1" x14ac:dyDescent="0.25">
      <c r="A65" s="6">
        <f t="shared" si="0"/>
        <v>6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6</v>
      </c>
      <c r="H65" s="6">
        <v>0</v>
      </c>
      <c r="I65" s="7" t="s">
        <v>10</v>
      </c>
      <c r="J65" s="124"/>
      <c r="K65" s="1"/>
    </row>
    <row r="66" spans="1:11" ht="13.5" thickBot="1" x14ac:dyDescent="0.25">
      <c r="A66" s="6">
        <f t="shared" si="0"/>
        <v>11</v>
      </c>
      <c r="B66" s="6">
        <v>0</v>
      </c>
      <c r="C66" s="6">
        <v>0</v>
      </c>
      <c r="D66" s="6">
        <v>0</v>
      </c>
      <c r="E66" s="6">
        <v>1</v>
      </c>
      <c r="F66" s="6">
        <v>0</v>
      </c>
      <c r="G66" s="6">
        <v>10</v>
      </c>
      <c r="H66" s="6">
        <v>0</v>
      </c>
      <c r="I66" s="7" t="s">
        <v>11</v>
      </c>
      <c r="J66" s="124" t="s">
        <v>26</v>
      </c>
      <c r="K66" s="1"/>
    </row>
    <row r="67" spans="1:11" ht="13.5" thickBot="1" x14ac:dyDescent="0.25">
      <c r="A67" s="6">
        <f t="shared" ref="A67:H67" si="21">SUM(A65:A66)</f>
        <v>17</v>
      </c>
      <c r="B67" s="6">
        <f t="shared" si="21"/>
        <v>0</v>
      </c>
      <c r="C67" s="6">
        <f t="shared" si="21"/>
        <v>0</v>
      </c>
      <c r="D67" s="6">
        <f t="shared" si="21"/>
        <v>0</v>
      </c>
      <c r="E67" s="6">
        <f t="shared" si="21"/>
        <v>1</v>
      </c>
      <c r="F67" s="6">
        <f t="shared" si="21"/>
        <v>0</v>
      </c>
      <c r="G67" s="6">
        <f t="shared" si="21"/>
        <v>16</v>
      </c>
      <c r="H67" s="6">
        <f t="shared" si="21"/>
        <v>0</v>
      </c>
      <c r="I67" s="7" t="s">
        <v>13</v>
      </c>
      <c r="J67" s="9"/>
      <c r="K67" s="1"/>
    </row>
    <row r="68" spans="1:11" ht="13.5" thickBot="1" x14ac:dyDescent="0.25">
      <c r="A68" s="6">
        <f t="shared" si="0"/>
        <v>74</v>
      </c>
      <c r="B68" s="6">
        <v>0</v>
      </c>
      <c r="C68" s="6">
        <v>0</v>
      </c>
      <c r="D68" s="6">
        <v>1</v>
      </c>
      <c r="E68" s="6">
        <v>0</v>
      </c>
      <c r="F68" s="6">
        <v>0</v>
      </c>
      <c r="G68" s="6">
        <v>73</v>
      </c>
      <c r="H68" s="6">
        <v>0</v>
      </c>
      <c r="I68" s="7" t="s">
        <v>10</v>
      </c>
      <c r="J68" s="124"/>
      <c r="K68" s="1"/>
    </row>
    <row r="69" spans="1:11" ht="13.5" thickBot="1" x14ac:dyDescent="0.25">
      <c r="A69" s="6">
        <f t="shared" si="0"/>
        <v>27</v>
      </c>
      <c r="B69" s="6">
        <v>0</v>
      </c>
      <c r="C69" s="6">
        <v>0</v>
      </c>
      <c r="D69" s="6">
        <v>0</v>
      </c>
      <c r="E69" s="6">
        <v>6</v>
      </c>
      <c r="F69" s="6">
        <v>0</v>
      </c>
      <c r="G69" s="6">
        <v>21</v>
      </c>
      <c r="H69" s="6">
        <v>0</v>
      </c>
      <c r="I69" s="7" t="s">
        <v>11</v>
      </c>
      <c r="J69" s="124" t="s">
        <v>27</v>
      </c>
      <c r="K69" s="1"/>
    </row>
    <row r="70" spans="1:11" ht="13.5" thickBot="1" x14ac:dyDescent="0.25">
      <c r="A70" s="6">
        <f t="shared" ref="A70:H70" si="22">SUM(A68:A69)</f>
        <v>101</v>
      </c>
      <c r="B70" s="6">
        <f t="shared" si="22"/>
        <v>0</v>
      </c>
      <c r="C70" s="6">
        <f t="shared" si="22"/>
        <v>0</v>
      </c>
      <c r="D70" s="6">
        <f t="shared" si="22"/>
        <v>1</v>
      </c>
      <c r="E70" s="6">
        <f t="shared" si="22"/>
        <v>6</v>
      </c>
      <c r="F70" s="6">
        <f t="shared" si="22"/>
        <v>0</v>
      </c>
      <c r="G70" s="6">
        <f t="shared" si="22"/>
        <v>94</v>
      </c>
      <c r="H70" s="6">
        <f t="shared" si="22"/>
        <v>0</v>
      </c>
      <c r="I70" s="7" t="s">
        <v>13</v>
      </c>
      <c r="J70" s="9"/>
      <c r="K70" s="1"/>
    </row>
    <row r="71" spans="1:11" ht="13.5" thickBot="1" x14ac:dyDescent="0.25">
      <c r="A71" s="6">
        <f t="shared" ref="A71:A72" si="23">SUM(B71:H71)</f>
        <v>1615</v>
      </c>
      <c r="B71" s="6">
        <v>19</v>
      </c>
      <c r="C71" s="6">
        <v>2</v>
      </c>
      <c r="D71" s="6">
        <v>8</v>
      </c>
      <c r="E71" s="6">
        <v>337</v>
      </c>
      <c r="F71" s="6">
        <v>15</v>
      </c>
      <c r="G71" s="6">
        <v>1184</v>
      </c>
      <c r="H71" s="6">
        <v>50</v>
      </c>
      <c r="I71" s="7" t="s">
        <v>10</v>
      </c>
      <c r="J71" s="124"/>
      <c r="K71" s="1"/>
    </row>
    <row r="72" spans="1:11" ht="13.5" thickBot="1" x14ac:dyDescent="0.25">
      <c r="A72" s="6">
        <f t="shared" si="23"/>
        <v>265</v>
      </c>
      <c r="B72" s="6">
        <v>1</v>
      </c>
      <c r="C72" s="6">
        <v>0</v>
      </c>
      <c r="D72" s="6">
        <v>5</v>
      </c>
      <c r="E72" s="6">
        <v>122</v>
      </c>
      <c r="F72" s="6">
        <v>0</v>
      </c>
      <c r="G72" s="6">
        <v>125</v>
      </c>
      <c r="H72" s="6">
        <v>12</v>
      </c>
      <c r="I72" s="7" t="s">
        <v>11</v>
      </c>
      <c r="J72" s="124" t="s">
        <v>33</v>
      </c>
      <c r="K72" s="1"/>
    </row>
    <row r="73" spans="1:11" ht="13.5" thickBot="1" x14ac:dyDescent="0.25">
      <c r="A73" s="6">
        <f t="shared" ref="A73:H73" si="24">SUM(A71:A72)</f>
        <v>1880</v>
      </c>
      <c r="B73" s="6">
        <f t="shared" si="24"/>
        <v>20</v>
      </c>
      <c r="C73" s="6">
        <f t="shared" si="24"/>
        <v>2</v>
      </c>
      <c r="D73" s="6">
        <f t="shared" si="24"/>
        <v>13</v>
      </c>
      <c r="E73" s="6">
        <f t="shared" si="24"/>
        <v>459</v>
      </c>
      <c r="F73" s="6">
        <f t="shared" si="24"/>
        <v>15</v>
      </c>
      <c r="G73" s="6">
        <f t="shared" si="24"/>
        <v>1309</v>
      </c>
      <c r="H73" s="6">
        <f t="shared" si="24"/>
        <v>62</v>
      </c>
      <c r="I73" s="7" t="s">
        <v>13</v>
      </c>
      <c r="J73" s="9"/>
      <c r="K73" s="1"/>
    </row>
    <row r="74" spans="1:11" ht="13.5" thickBot="1" x14ac:dyDescent="0.25">
      <c r="A74" s="6">
        <f t="shared" ref="A74:G76" si="25">A5+A8+A11+A14+A17+A20+A23+A26+A29+A32+A35+A38+A41+A44+A47+A50+A53+A56+A59+A62+A65+A68+A71</f>
        <v>7183</v>
      </c>
      <c r="B74" s="6">
        <f t="shared" si="25"/>
        <v>99</v>
      </c>
      <c r="C74" s="6">
        <f t="shared" si="25"/>
        <v>21</v>
      </c>
      <c r="D74" s="6">
        <f t="shared" si="25"/>
        <v>49</v>
      </c>
      <c r="E74" s="6">
        <f t="shared" si="25"/>
        <v>993</v>
      </c>
      <c r="F74" s="6">
        <f t="shared" si="25"/>
        <v>21</v>
      </c>
      <c r="G74" s="6">
        <f t="shared" si="25"/>
        <v>4603</v>
      </c>
      <c r="H74" s="6">
        <f>H5+H8+H11+H14+H17+H20+H23+H26+H29+H32+H35+H38+H41+H44+H47+H50+H53+H56+H59+H62+H65+H68+H71</f>
        <v>1397</v>
      </c>
      <c r="I74" s="7" t="s">
        <v>10</v>
      </c>
      <c r="J74" s="3"/>
      <c r="K74" s="1"/>
    </row>
    <row r="75" spans="1:11" ht="13.5" thickBot="1" x14ac:dyDescent="0.25">
      <c r="A75" s="6">
        <f t="shared" si="25"/>
        <v>1406</v>
      </c>
      <c r="B75" s="6">
        <f t="shared" si="25"/>
        <v>13</v>
      </c>
      <c r="C75" s="6">
        <f t="shared" si="25"/>
        <v>10</v>
      </c>
      <c r="D75" s="6">
        <f t="shared" si="25"/>
        <v>31</v>
      </c>
      <c r="E75" s="6">
        <f t="shared" si="25"/>
        <v>431</v>
      </c>
      <c r="F75" s="6">
        <f t="shared" si="25"/>
        <v>0</v>
      </c>
      <c r="G75" s="6">
        <f t="shared" si="25"/>
        <v>707</v>
      </c>
      <c r="H75" s="6">
        <f>H6+H9+H12+H15+H18+H21+H24+H27+H30+H33+H36+H39+H42+H45+H48+H51+H54+H57+H60+H63+H66+H69+H72</f>
        <v>214</v>
      </c>
      <c r="I75" s="7" t="s">
        <v>11</v>
      </c>
      <c r="J75" s="11" t="s">
        <v>211</v>
      </c>
      <c r="K75" s="1"/>
    </row>
    <row r="76" spans="1:11" ht="13.5" thickBot="1" x14ac:dyDescent="0.25">
      <c r="A76" s="6">
        <f t="shared" si="25"/>
        <v>8589</v>
      </c>
      <c r="B76" s="6">
        <f t="shared" si="25"/>
        <v>112</v>
      </c>
      <c r="C76" s="6">
        <f t="shared" si="25"/>
        <v>31</v>
      </c>
      <c r="D76" s="6">
        <f t="shared" si="25"/>
        <v>80</v>
      </c>
      <c r="E76" s="6">
        <f t="shared" si="25"/>
        <v>1424</v>
      </c>
      <c r="F76" s="6">
        <f t="shared" si="25"/>
        <v>21</v>
      </c>
      <c r="G76" s="6">
        <f t="shared" si="25"/>
        <v>5310</v>
      </c>
      <c r="H76" s="6">
        <f>H7+H10+H13+H16+H19+H22+H25+H28+H31+H34+H37+H40+H43+H46+H49+H52+H55+H58+H61+H64+H67+H70+H73</f>
        <v>1611</v>
      </c>
      <c r="I76" s="7" t="s">
        <v>13</v>
      </c>
      <c r="J76" s="5"/>
      <c r="K76" s="1"/>
    </row>
  </sheetData>
  <mergeCells count="2">
    <mergeCell ref="A2:J2"/>
    <mergeCell ref="A3:J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8"/>
  <sheetViews>
    <sheetView showGridLines="0" zoomScale="90" zoomScaleNormal="90" workbookViewId="0">
      <selection activeCell="H35" sqref="H35"/>
    </sheetView>
  </sheetViews>
  <sheetFormatPr defaultRowHeight="12.75" x14ac:dyDescent="0.2"/>
  <cols>
    <col min="1" max="11" width="8.25" style="2" customWidth="1"/>
    <col min="12" max="12" width="11" style="2" customWidth="1"/>
    <col min="13" max="13" width="27.375" style="2" customWidth="1"/>
    <col min="14" max="14" width="4" style="2" customWidth="1"/>
    <col min="15" max="256" width="9" style="2"/>
    <col min="257" max="267" width="8.25" style="2" customWidth="1"/>
    <col min="268" max="268" width="11" style="2" customWidth="1"/>
    <col min="269" max="269" width="27.375" style="2" customWidth="1"/>
    <col min="270" max="270" width="4" style="2" customWidth="1"/>
    <col min="271" max="512" width="9" style="2"/>
    <col min="513" max="523" width="8.25" style="2" customWidth="1"/>
    <col min="524" max="524" width="11" style="2" customWidth="1"/>
    <col min="525" max="525" width="27.375" style="2" customWidth="1"/>
    <col min="526" max="526" width="4" style="2" customWidth="1"/>
    <col min="527" max="768" width="9" style="2"/>
    <col min="769" max="779" width="8.25" style="2" customWidth="1"/>
    <col min="780" max="780" width="11" style="2" customWidth="1"/>
    <col min="781" max="781" width="27.375" style="2" customWidth="1"/>
    <col min="782" max="782" width="4" style="2" customWidth="1"/>
    <col min="783" max="1024" width="9" style="2"/>
    <col min="1025" max="1035" width="8.25" style="2" customWidth="1"/>
    <col min="1036" max="1036" width="11" style="2" customWidth="1"/>
    <col min="1037" max="1037" width="27.375" style="2" customWidth="1"/>
    <col min="1038" max="1038" width="4" style="2" customWidth="1"/>
    <col min="1039" max="1280" width="9" style="2"/>
    <col min="1281" max="1291" width="8.25" style="2" customWidth="1"/>
    <col min="1292" max="1292" width="11" style="2" customWidth="1"/>
    <col min="1293" max="1293" width="27.375" style="2" customWidth="1"/>
    <col min="1294" max="1294" width="4" style="2" customWidth="1"/>
    <col min="1295" max="1536" width="9" style="2"/>
    <col min="1537" max="1547" width="8.25" style="2" customWidth="1"/>
    <col min="1548" max="1548" width="11" style="2" customWidth="1"/>
    <col min="1549" max="1549" width="27.375" style="2" customWidth="1"/>
    <col min="1550" max="1550" width="4" style="2" customWidth="1"/>
    <col min="1551" max="1792" width="9" style="2"/>
    <col min="1793" max="1803" width="8.25" style="2" customWidth="1"/>
    <col min="1804" max="1804" width="11" style="2" customWidth="1"/>
    <col min="1805" max="1805" width="27.375" style="2" customWidth="1"/>
    <col min="1806" max="1806" width="4" style="2" customWidth="1"/>
    <col min="1807" max="2048" width="9" style="2"/>
    <col min="2049" max="2059" width="8.25" style="2" customWidth="1"/>
    <col min="2060" max="2060" width="11" style="2" customWidth="1"/>
    <col min="2061" max="2061" width="27.375" style="2" customWidth="1"/>
    <col min="2062" max="2062" width="4" style="2" customWidth="1"/>
    <col min="2063" max="2304" width="9" style="2"/>
    <col min="2305" max="2315" width="8.25" style="2" customWidth="1"/>
    <col min="2316" max="2316" width="11" style="2" customWidth="1"/>
    <col min="2317" max="2317" width="27.375" style="2" customWidth="1"/>
    <col min="2318" max="2318" width="4" style="2" customWidth="1"/>
    <col min="2319" max="2560" width="9" style="2"/>
    <col min="2561" max="2571" width="8.25" style="2" customWidth="1"/>
    <col min="2572" max="2572" width="11" style="2" customWidth="1"/>
    <col min="2573" max="2573" width="27.375" style="2" customWidth="1"/>
    <col min="2574" max="2574" width="4" style="2" customWidth="1"/>
    <col min="2575" max="2816" width="9" style="2"/>
    <col min="2817" max="2827" width="8.25" style="2" customWidth="1"/>
    <col min="2828" max="2828" width="11" style="2" customWidth="1"/>
    <col min="2829" max="2829" width="27.375" style="2" customWidth="1"/>
    <col min="2830" max="2830" width="4" style="2" customWidth="1"/>
    <col min="2831" max="3072" width="9" style="2"/>
    <col min="3073" max="3083" width="8.25" style="2" customWidth="1"/>
    <col min="3084" max="3084" width="11" style="2" customWidth="1"/>
    <col min="3085" max="3085" width="27.375" style="2" customWidth="1"/>
    <col min="3086" max="3086" width="4" style="2" customWidth="1"/>
    <col min="3087" max="3328" width="9" style="2"/>
    <col min="3329" max="3339" width="8.25" style="2" customWidth="1"/>
    <col min="3340" max="3340" width="11" style="2" customWidth="1"/>
    <col min="3341" max="3341" width="27.375" style="2" customWidth="1"/>
    <col min="3342" max="3342" width="4" style="2" customWidth="1"/>
    <col min="3343" max="3584" width="9" style="2"/>
    <col min="3585" max="3595" width="8.25" style="2" customWidth="1"/>
    <col min="3596" max="3596" width="11" style="2" customWidth="1"/>
    <col min="3597" max="3597" width="27.375" style="2" customWidth="1"/>
    <col min="3598" max="3598" width="4" style="2" customWidth="1"/>
    <col min="3599" max="3840" width="9" style="2"/>
    <col min="3841" max="3851" width="8.25" style="2" customWidth="1"/>
    <col min="3852" max="3852" width="11" style="2" customWidth="1"/>
    <col min="3853" max="3853" width="27.375" style="2" customWidth="1"/>
    <col min="3854" max="3854" width="4" style="2" customWidth="1"/>
    <col min="3855" max="4096" width="9" style="2"/>
    <col min="4097" max="4107" width="8.25" style="2" customWidth="1"/>
    <col min="4108" max="4108" width="11" style="2" customWidth="1"/>
    <col min="4109" max="4109" width="27.375" style="2" customWidth="1"/>
    <col min="4110" max="4110" width="4" style="2" customWidth="1"/>
    <col min="4111" max="4352" width="9" style="2"/>
    <col min="4353" max="4363" width="8.25" style="2" customWidth="1"/>
    <col min="4364" max="4364" width="11" style="2" customWidth="1"/>
    <col min="4365" max="4365" width="27.375" style="2" customWidth="1"/>
    <col min="4366" max="4366" width="4" style="2" customWidth="1"/>
    <col min="4367" max="4608" width="9" style="2"/>
    <col min="4609" max="4619" width="8.25" style="2" customWidth="1"/>
    <col min="4620" max="4620" width="11" style="2" customWidth="1"/>
    <col min="4621" max="4621" width="27.375" style="2" customWidth="1"/>
    <col min="4622" max="4622" width="4" style="2" customWidth="1"/>
    <col min="4623" max="4864" width="9" style="2"/>
    <col min="4865" max="4875" width="8.25" style="2" customWidth="1"/>
    <col min="4876" max="4876" width="11" style="2" customWidth="1"/>
    <col min="4877" max="4877" width="27.375" style="2" customWidth="1"/>
    <col min="4878" max="4878" width="4" style="2" customWidth="1"/>
    <col min="4879" max="5120" width="9" style="2"/>
    <col min="5121" max="5131" width="8.25" style="2" customWidth="1"/>
    <col min="5132" max="5132" width="11" style="2" customWidth="1"/>
    <col min="5133" max="5133" width="27.375" style="2" customWidth="1"/>
    <col min="5134" max="5134" width="4" style="2" customWidth="1"/>
    <col min="5135" max="5376" width="9" style="2"/>
    <col min="5377" max="5387" width="8.25" style="2" customWidth="1"/>
    <col min="5388" max="5388" width="11" style="2" customWidth="1"/>
    <col min="5389" max="5389" width="27.375" style="2" customWidth="1"/>
    <col min="5390" max="5390" width="4" style="2" customWidth="1"/>
    <col min="5391" max="5632" width="9" style="2"/>
    <col min="5633" max="5643" width="8.25" style="2" customWidth="1"/>
    <col min="5644" max="5644" width="11" style="2" customWidth="1"/>
    <col min="5645" max="5645" width="27.375" style="2" customWidth="1"/>
    <col min="5646" max="5646" width="4" style="2" customWidth="1"/>
    <col min="5647" max="5888" width="9" style="2"/>
    <col min="5889" max="5899" width="8.25" style="2" customWidth="1"/>
    <col min="5900" max="5900" width="11" style="2" customWidth="1"/>
    <col min="5901" max="5901" width="27.375" style="2" customWidth="1"/>
    <col min="5902" max="5902" width="4" style="2" customWidth="1"/>
    <col min="5903" max="6144" width="9" style="2"/>
    <col min="6145" max="6155" width="8.25" style="2" customWidth="1"/>
    <col min="6156" max="6156" width="11" style="2" customWidth="1"/>
    <col min="6157" max="6157" width="27.375" style="2" customWidth="1"/>
    <col min="6158" max="6158" width="4" style="2" customWidth="1"/>
    <col min="6159" max="6400" width="9" style="2"/>
    <col min="6401" max="6411" width="8.25" style="2" customWidth="1"/>
    <col min="6412" max="6412" width="11" style="2" customWidth="1"/>
    <col min="6413" max="6413" width="27.375" style="2" customWidth="1"/>
    <col min="6414" max="6414" width="4" style="2" customWidth="1"/>
    <col min="6415" max="6656" width="9" style="2"/>
    <col min="6657" max="6667" width="8.25" style="2" customWidth="1"/>
    <col min="6668" max="6668" width="11" style="2" customWidth="1"/>
    <col min="6669" max="6669" width="27.375" style="2" customWidth="1"/>
    <col min="6670" max="6670" width="4" style="2" customWidth="1"/>
    <col min="6671" max="6912" width="9" style="2"/>
    <col min="6913" max="6923" width="8.25" style="2" customWidth="1"/>
    <col min="6924" max="6924" width="11" style="2" customWidth="1"/>
    <col min="6925" max="6925" width="27.375" style="2" customWidth="1"/>
    <col min="6926" max="6926" width="4" style="2" customWidth="1"/>
    <col min="6927" max="7168" width="9" style="2"/>
    <col min="7169" max="7179" width="8.25" style="2" customWidth="1"/>
    <col min="7180" max="7180" width="11" style="2" customWidth="1"/>
    <col min="7181" max="7181" width="27.375" style="2" customWidth="1"/>
    <col min="7182" max="7182" width="4" style="2" customWidth="1"/>
    <col min="7183" max="7424" width="9" style="2"/>
    <col min="7425" max="7435" width="8.25" style="2" customWidth="1"/>
    <col min="7436" max="7436" width="11" style="2" customWidth="1"/>
    <col min="7437" max="7437" width="27.375" style="2" customWidth="1"/>
    <col min="7438" max="7438" width="4" style="2" customWidth="1"/>
    <col min="7439" max="7680" width="9" style="2"/>
    <col min="7681" max="7691" width="8.25" style="2" customWidth="1"/>
    <col min="7692" max="7692" width="11" style="2" customWidth="1"/>
    <col min="7693" max="7693" width="27.375" style="2" customWidth="1"/>
    <col min="7694" max="7694" width="4" style="2" customWidth="1"/>
    <col min="7695" max="7936" width="9" style="2"/>
    <col min="7937" max="7947" width="8.25" style="2" customWidth="1"/>
    <col min="7948" max="7948" width="11" style="2" customWidth="1"/>
    <col min="7949" max="7949" width="27.375" style="2" customWidth="1"/>
    <col min="7950" max="7950" width="4" style="2" customWidth="1"/>
    <col min="7951" max="8192" width="9" style="2"/>
    <col min="8193" max="8203" width="8.25" style="2" customWidth="1"/>
    <col min="8204" max="8204" width="11" style="2" customWidth="1"/>
    <col min="8205" max="8205" width="27.375" style="2" customWidth="1"/>
    <col min="8206" max="8206" width="4" style="2" customWidth="1"/>
    <col min="8207" max="8448" width="9" style="2"/>
    <col min="8449" max="8459" width="8.25" style="2" customWidth="1"/>
    <col min="8460" max="8460" width="11" style="2" customWidth="1"/>
    <col min="8461" max="8461" width="27.375" style="2" customWidth="1"/>
    <col min="8462" max="8462" width="4" style="2" customWidth="1"/>
    <col min="8463" max="8704" width="9" style="2"/>
    <col min="8705" max="8715" width="8.25" style="2" customWidth="1"/>
    <col min="8716" max="8716" width="11" style="2" customWidth="1"/>
    <col min="8717" max="8717" width="27.375" style="2" customWidth="1"/>
    <col min="8718" max="8718" width="4" style="2" customWidth="1"/>
    <col min="8719" max="8960" width="9" style="2"/>
    <col min="8961" max="8971" width="8.25" style="2" customWidth="1"/>
    <col min="8972" max="8972" width="11" style="2" customWidth="1"/>
    <col min="8973" max="8973" width="27.375" style="2" customWidth="1"/>
    <col min="8974" max="8974" width="4" style="2" customWidth="1"/>
    <col min="8975" max="9216" width="9" style="2"/>
    <col min="9217" max="9227" width="8.25" style="2" customWidth="1"/>
    <col min="9228" max="9228" width="11" style="2" customWidth="1"/>
    <col min="9229" max="9229" width="27.375" style="2" customWidth="1"/>
    <col min="9230" max="9230" width="4" style="2" customWidth="1"/>
    <col min="9231" max="9472" width="9" style="2"/>
    <col min="9473" max="9483" width="8.25" style="2" customWidth="1"/>
    <col min="9484" max="9484" width="11" style="2" customWidth="1"/>
    <col min="9485" max="9485" width="27.375" style="2" customWidth="1"/>
    <col min="9486" max="9486" width="4" style="2" customWidth="1"/>
    <col min="9487" max="9728" width="9" style="2"/>
    <col min="9729" max="9739" width="8.25" style="2" customWidth="1"/>
    <col min="9740" max="9740" width="11" style="2" customWidth="1"/>
    <col min="9741" max="9741" width="27.375" style="2" customWidth="1"/>
    <col min="9742" max="9742" width="4" style="2" customWidth="1"/>
    <col min="9743" max="9984" width="9" style="2"/>
    <col min="9985" max="9995" width="8.25" style="2" customWidth="1"/>
    <col min="9996" max="9996" width="11" style="2" customWidth="1"/>
    <col min="9997" max="9997" width="27.375" style="2" customWidth="1"/>
    <col min="9998" max="9998" width="4" style="2" customWidth="1"/>
    <col min="9999" max="10240" width="9" style="2"/>
    <col min="10241" max="10251" width="8.25" style="2" customWidth="1"/>
    <col min="10252" max="10252" width="11" style="2" customWidth="1"/>
    <col min="10253" max="10253" width="27.375" style="2" customWidth="1"/>
    <col min="10254" max="10254" width="4" style="2" customWidth="1"/>
    <col min="10255" max="10496" width="9" style="2"/>
    <col min="10497" max="10507" width="8.25" style="2" customWidth="1"/>
    <col min="10508" max="10508" width="11" style="2" customWidth="1"/>
    <col min="10509" max="10509" width="27.375" style="2" customWidth="1"/>
    <col min="10510" max="10510" width="4" style="2" customWidth="1"/>
    <col min="10511" max="10752" width="9" style="2"/>
    <col min="10753" max="10763" width="8.25" style="2" customWidth="1"/>
    <col min="10764" max="10764" width="11" style="2" customWidth="1"/>
    <col min="10765" max="10765" width="27.375" style="2" customWidth="1"/>
    <col min="10766" max="10766" width="4" style="2" customWidth="1"/>
    <col min="10767" max="11008" width="9" style="2"/>
    <col min="11009" max="11019" width="8.25" style="2" customWidth="1"/>
    <col min="11020" max="11020" width="11" style="2" customWidth="1"/>
    <col min="11021" max="11021" width="27.375" style="2" customWidth="1"/>
    <col min="11022" max="11022" width="4" style="2" customWidth="1"/>
    <col min="11023" max="11264" width="9" style="2"/>
    <col min="11265" max="11275" width="8.25" style="2" customWidth="1"/>
    <col min="11276" max="11276" width="11" style="2" customWidth="1"/>
    <col min="11277" max="11277" width="27.375" style="2" customWidth="1"/>
    <col min="11278" max="11278" width="4" style="2" customWidth="1"/>
    <col min="11279" max="11520" width="9" style="2"/>
    <col min="11521" max="11531" width="8.25" style="2" customWidth="1"/>
    <col min="11532" max="11532" width="11" style="2" customWidth="1"/>
    <col min="11533" max="11533" width="27.375" style="2" customWidth="1"/>
    <col min="11534" max="11534" width="4" style="2" customWidth="1"/>
    <col min="11535" max="11776" width="9" style="2"/>
    <col min="11777" max="11787" width="8.25" style="2" customWidth="1"/>
    <col min="11788" max="11788" width="11" style="2" customWidth="1"/>
    <col min="11789" max="11789" width="27.375" style="2" customWidth="1"/>
    <col min="11790" max="11790" width="4" style="2" customWidth="1"/>
    <col min="11791" max="12032" width="9" style="2"/>
    <col min="12033" max="12043" width="8.25" style="2" customWidth="1"/>
    <col min="12044" max="12044" width="11" style="2" customWidth="1"/>
    <col min="12045" max="12045" width="27.375" style="2" customWidth="1"/>
    <col min="12046" max="12046" width="4" style="2" customWidth="1"/>
    <col min="12047" max="12288" width="9" style="2"/>
    <col min="12289" max="12299" width="8.25" style="2" customWidth="1"/>
    <col min="12300" max="12300" width="11" style="2" customWidth="1"/>
    <col min="12301" max="12301" width="27.375" style="2" customWidth="1"/>
    <col min="12302" max="12302" width="4" style="2" customWidth="1"/>
    <col min="12303" max="12544" width="9" style="2"/>
    <col min="12545" max="12555" width="8.25" style="2" customWidth="1"/>
    <col min="12556" max="12556" width="11" style="2" customWidth="1"/>
    <col min="12557" max="12557" width="27.375" style="2" customWidth="1"/>
    <col min="12558" max="12558" width="4" style="2" customWidth="1"/>
    <col min="12559" max="12800" width="9" style="2"/>
    <col min="12801" max="12811" width="8.25" style="2" customWidth="1"/>
    <col min="12812" max="12812" width="11" style="2" customWidth="1"/>
    <col min="12813" max="12813" width="27.375" style="2" customWidth="1"/>
    <col min="12814" max="12814" width="4" style="2" customWidth="1"/>
    <col min="12815" max="13056" width="9" style="2"/>
    <col min="13057" max="13067" width="8.25" style="2" customWidth="1"/>
    <col min="13068" max="13068" width="11" style="2" customWidth="1"/>
    <col min="13069" max="13069" width="27.375" style="2" customWidth="1"/>
    <col min="13070" max="13070" width="4" style="2" customWidth="1"/>
    <col min="13071" max="13312" width="9" style="2"/>
    <col min="13313" max="13323" width="8.25" style="2" customWidth="1"/>
    <col min="13324" max="13324" width="11" style="2" customWidth="1"/>
    <col min="13325" max="13325" width="27.375" style="2" customWidth="1"/>
    <col min="13326" max="13326" width="4" style="2" customWidth="1"/>
    <col min="13327" max="13568" width="9" style="2"/>
    <col min="13569" max="13579" width="8.25" style="2" customWidth="1"/>
    <col min="13580" max="13580" width="11" style="2" customWidth="1"/>
    <col min="13581" max="13581" width="27.375" style="2" customWidth="1"/>
    <col min="13582" max="13582" width="4" style="2" customWidth="1"/>
    <col min="13583" max="13824" width="9" style="2"/>
    <col min="13825" max="13835" width="8.25" style="2" customWidth="1"/>
    <col min="13836" max="13836" width="11" style="2" customWidth="1"/>
    <col min="13837" max="13837" width="27.375" style="2" customWidth="1"/>
    <col min="13838" max="13838" width="4" style="2" customWidth="1"/>
    <col min="13839" max="14080" width="9" style="2"/>
    <col min="14081" max="14091" width="8.25" style="2" customWidth="1"/>
    <col min="14092" max="14092" width="11" style="2" customWidth="1"/>
    <col min="14093" max="14093" width="27.375" style="2" customWidth="1"/>
    <col min="14094" max="14094" width="4" style="2" customWidth="1"/>
    <col min="14095" max="14336" width="9" style="2"/>
    <col min="14337" max="14347" width="8.25" style="2" customWidth="1"/>
    <col min="14348" max="14348" width="11" style="2" customWidth="1"/>
    <col min="14349" max="14349" width="27.375" style="2" customWidth="1"/>
    <col min="14350" max="14350" width="4" style="2" customWidth="1"/>
    <col min="14351" max="14592" width="9" style="2"/>
    <col min="14593" max="14603" width="8.25" style="2" customWidth="1"/>
    <col min="14604" max="14604" width="11" style="2" customWidth="1"/>
    <col min="14605" max="14605" width="27.375" style="2" customWidth="1"/>
    <col min="14606" max="14606" width="4" style="2" customWidth="1"/>
    <col min="14607" max="14848" width="9" style="2"/>
    <col min="14849" max="14859" width="8.25" style="2" customWidth="1"/>
    <col min="14860" max="14860" width="11" style="2" customWidth="1"/>
    <col min="14861" max="14861" width="27.375" style="2" customWidth="1"/>
    <col min="14862" max="14862" width="4" style="2" customWidth="1"/>
    <col min="14863" max="15104" width="9" style="2"/>
    <col min="15105" max="15115" width="8.25" style="2" customWidth="1"/>
    <col min="15116" max="15116" width="11" style="2" customWidth="1"/>
    <col min="15117" max="15117" width="27.375" style="2" customWidth="1"/>
    <col min="15118" max="15118" width="4" style="2" customWidth="1"/>
    <col min="15119" max="15360" width="9" style="2"/>
    <col min="15361" max="15371" width="8.25" style="2" customWidth="1"/>
    <col min="15372" max="15372" width="11" style="2" customWidth="1"/>
    <col min="15373" max="15373" width="27.375" style="2" customWidth="1"/>
    <col min="15374" max="15374" width="4" style="2" customWidth="1"/>
    <col min="15375" max="15616" width="9" style="2"/>
    <col min="15617" max="15627" width="8.25" style="2" customWidth="1"/>
    <col min="15628" max="15628" width="11" style="2" customWidth="1"/>
    <col min="15629" max="15629" width="27.375" style="2" customWidth="1"/>
    <col min="15630" max="15630" width="4" style="2" customWidth="1"/>
    <col min="15631" max="15872" width="9" style="2"/>
    <col min="15873" max="15883" width="8.25" style="2" customWidth="1"/>
    <col min="15884" max="15884" width="11" style="2" customWidth="1"/>
    <col min="15885" max="15885" width="27.375" style="2" customWidth="1"/>
    <col min="15886" max="15886" width="4" style="2" customWidth="1"/>
    <col min="15887" max="16128" width="9" style="2"/>
    <col min="16129" max="16139" width="8.25" style="2" customWidth="1"/>
    <col min="16140" max="16140" width="11" style="2" customWidth="1"/>
    <col min="16141" max="16141" width="27.375" style="2" customWidth="1"/>
    <col min="16142" max="16142" width="4" style="2" customWidth="1"/>
    <col min="16143" max="16384" width="9" style="2"/>
  </cols>
  <sheetData>
    <row r="1" spans="1:14" ht="20.100000000000001" customHeight="1" x14ac:dyDescent="0.2">
      <c r="A1" s="159" t="s">
        <v>681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"/>
    </row>
    <row r="2" spans="1:14" ht="20.100000000000001" customHeight="1" thickBot="1" x14ac:dyDescent="0.25">
      <c r="A2" s="160" t="s">
        <v>682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"/>
    </row>
    <row r="3" spans="1:14" ht="26.25" thickBot="1" x14ac:dyDescent="0.25">
      <c r="A3" s="7" t="s">
        <v>232</v>
      </c>
      <c r="B3" s="7" t="s">
        <v>57</v>
      </c>
      <c r="C3" s="7" t="s">
        <v>56</v>
      </c>
      <c r="D3" s="7" t="s">
        <v>683</v>
      </c>
      <c r="E3" s="7" t="s">
        <v>54</v>
      </c>
      <c r="F3" s="7" t="s">
        <v>53</v>
      </c>
      <c r="G3" s="7" t="s">
        <v>52</v>
      </c>
      <c r="H3" s="7" t="s">
        <v>51</v>
      </c>
      <c r="I3" s="7" t="s">
        <v>684</v>
      </c>
      <c r="J3" s="7" t="s">
        <v>49</v>
      </c>
      <c r="K3" s="7" t="s">
        <v>48</v>
      </c>
      <c r="L3" s="3" t="s">
        <v>8</v>
      </c>
      <c r="M3" s="47" t="s">
        <v>676</v>
      </c>
      <c r="N3" s="1"/>
    </row>
    <row r="4" spans="1:14" ht="13.5" thickBot="1" x14ac:dyDescent="0.25">
      <c r="A4" s="6">
        <f>SUM(B4:K4)</f>
        <v>3</v>
      </c>
      <c r="B4" s="6">
        <v>0</v>
      </c>
      <c r="C4" s="6">
        <v>0</v>
      </c>
      <c r="D4" s="6">
        <v>3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7" t="s">
        <v>10</v>
      </c>
      <c r="M4" s="124"/>
      <c r="N4" s="1"/>
    </row>
    <row r="5" spans="1:14" ht="13.5" thickBot="1" x14ac:dyDescent="0.25">
      <c r="A5" s="6">
        <f t="shared" ref="A5:A68" si="0">SUM(B5:K5)</f>
        <v>2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1</v>
      </c>
      <c r="J5" s="6">
        <v>1</v>
      </c>
      <c r="K5" s="6">
        <v>0</v>
      </c>
      <c r="L5" s="7" t="s">
        <v>11</v>
      </c>
      <c r="M5" s="124" t="s">
        <v>12</v>
      </c>
      <c r="N5" s="1"/>
    </row>
    <row r="6" spans="1:14" ht="13.5" thickBot="1" x14ac:dyDescent="0.25">
      <c r="A6" s="6">
        <f t="shared" ref="A6:J6" si="1">SUM(A4:A5)</f>
        <v>5</v>
      </c>
      <c r="B6" s="6">
        <f t="shared" si="1"/>
        <v>0</v>
      </c>
      <c r="C6" s="6">
        <f t="shared" si="1"/>
        <v>0</v>
      </c>
      <c r="D6" s="6">
        <f t="shared" si="1"/>
        <v>3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1</v>
      </c>
      <c r="J6" s="6">
        <f t="shared" si="1"/>
        <v>1</v>
      </c>
      <c r="K6" s="6">
        <f>SUM(K4:K5)</f>
        <v>0</v>
      </c>
      <c r="L6" s="7" t="s">
        <v>13</v>
      </c>
      <c r="M6" s="9"/>
      <c r="N6" s="1"/>
    </row>
    <row r="7" spans="1:14" ht="13.5" thickBot="1" x14ac:dyDescent="0.25">
      <c r="A7" s="6">
        <f t="shared" si="0"/>
        <v>4</v>
      </c>
      <c r="B7" s="6">
        <v>1</v>
      </c>
      <c r="C7" s="6">
        <v>0</v>
      </c>
      <c r="D7" s="6">
        <v>0</v>
      </c>
      <c r="E7" s="6">
        <v>0</v>
      </c>
      <c r="F7" s="6">
        <v>0</v>
      </c>
      <c r="G7" s="6">
        <v>1</v>
      </c>
      <c r="H7" s="6">
        <v>0</v>
      </c>
      <c r="I7" s="6">
        <v>1</v>
      </c>
      <c r="J7" s="6">
        <v>0</v>
      </c>
      <c r="K7" s="6">
        <v>1</v>
      </c>
      <c r="L7" s="7" t="s">
        <v>10</v>
      </c>
      <c r="M7" s="124"/>
      <c r="N7" s="1"/>
    </row>
    <row r="8" spans="1:14" ht="13.5" thickBot="1" x14ac:dyDescent="0.25">
      <c r="A8" s="6">
        <f t="shared" si="0"/>
        <v>3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2</v>
      </c>
      <c r="J8" s="6">
        <v>0</v>
      </c>
      <c r="K8" s="6">
        <v>1</v>
      </c>
      <c r="L8" s="7" t="s">
        <v>11</v>
      </c>
      <c r="M8" s="124" t="s">
        <v>14</v>
      </c>
      <c r="N8" s="1"/>
    </row>
    <row r="9" spans="1:14" ht="13.5" thickBot="1" x14ac:dyDescent="0.25">
      <c r="A9" s="6">
        <f t="shared" ref="A9:K9" si="2">SUM(A7:A8)</f>
        <v>7</v>
      </c>
      <c r="B9" s="6">
        <f t="shared" si="2"/>
        <v>1</v>
      </c>
      <c r="C9" s="6">
        <f t="shared" si="2"/>
        <v>0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1</v>
      </c>
      <c r="H9" s="6">
        <f t="shared" si="2"/>
        <v>0</v>
      </c>
      <c r="I9" s="6">
        <f t="shared" si="2"/>
        <v>3</v>
      </c>
      <c r="J9" s="6">
        <f t="shared" si="2"/>
        <v>0</v>
      </c>
      <c r="K9" s="6">
        <f t="shared" si="2"/>
        <v>2</v>
      </c>
      <c r="L9" s="7" t="s">
        <v>13</v>
      </c>
      <c r="M9" s="9"/>
      <c r="N9" s="1"/>
    </row>
    <row r="10" spans="1:14" ht="13.5" thickBot="1" x14ac:dyDescent="0.25">
      <c r="A10" s="6">
        <f t="shared" si="0"/>
        <v>225</v>
      </c>
      <c r="B10" s="6">
        <v>8</v>
      </c>
      <c r="C10" s="6">
        <v>0</v>
      </c>
      <c r="D10" s="6">
        <v>9</v>
      </c>
      <c r="E10" s="6">
        <v>0</v>
      </c>
      <c r="F10" s="6">
        <v>20</v>
      </c>
      <c r="G10" s="6">
        <v>40</v>
      </c>
      <c r="H10" s="6">
        <v>43</v>
      </c>
      <c r="I10" s="6">
        <v>59</v>
      </c>
      <c r="J10" s="6">
        <v>11</v>
      </c>
      <c r="K10" s="6">
        <v>35</v>
      </c>
      <c r="L10" s="7" t="s">
        <v>10</v>
      </c>
      <c r="M10" s="124"/>
      <c r="N10" s="1"/>
    </row>
    <row r="11" spans="1:14" ht="13.5" thickBot="1" x14ac:dyDescent="0.25">
      <c r="A11" s="6">
        <f t="shared" si="0"/>
        <v>564</v>
      </c>
      <c r="B11" s="6">
        <v>7</v>
      </c>
      <c r="C11" s="6">
        <v>0</v>
      </c>
      <c r="D11" s="6">
        <v>18</v>
      </c>
      <c r="E11" s="6">
        <v>0</v>
      </c>
      <c r="F11" s="6">
        <v>84</v>
      </c>
      <c r="G11" s="6">
        <v>17</v>
      </c>
      <c r="H11" s="6">
        <v>109</v>
      </c>
      <c r="I11" s="6">
        <v>187</v>
      </c>
      <c r="J11" s="6">
        <v>63</v>
      </c>
      <c r="K11" s="6">
        <v>79</v>
      </c>
      <c r="L11" s="7" t="s">
        <v>11</v>
      </c>
      <c r="M11" s="124" t="s">
        <v>15</v>
      </c>
      <c r="N11" s="1"/>
    </row>
    <row r="12" spans="1:14" ht="13.5" thickBot="1" x14ac:dyDescent="0.25">
      <c r="A12" s="6">
        <f t="shared" ref="A12:K12" si="3">SUM(A10:A11)</f>
        <v>789</v>
      </c>
      <c r="B12" s="6">
        <f t="shared" si="3"/>
        <v>15</v>
      </c>
      <c r="C12" s="6">
        <f t="shared" si="3"/>
        <v>0</v>
      </c>
      <c r="D12" s="6">
        <f t="shared" si="3"/>
        <v>27</v>
      </c>
      <c r="E12" s="6">
        <f t="shared" si="3"/>
        <v>0</v>
      </c>
      <c r="F12" s="6">
        <f t="shared" si="3"/>
        <v>104</v>
      </c>
      <c r="G12" s="6">
        <f t="shared" si="3"/>
        <v>57</v>
      </c>
      <c r="H12" s="6">
        <f t="shared" si="3"/>
        <v>152</v>
      </c>
      <c r="I12" s="6">
        <f t="shared" si="3"/>
        <v>246</v>
      </c>
      <c r="J12" s="6">
        <f t="shared" si="3"/>
        <v>74</v>
      </c>
      <c r="K12" s="6">
        <f t="shared" si="3"/>
        <v>114</v>
      </c>
      <c r="L12" s="7" t="s">
        <v>13</v>
      </c>
      <c r="M12" s="9"/>
      <c r="N12" s="1"/>
    </row>
    <row r="13" spans="1:14" ht="13.5" thickBot="1" x14ac:dyDescent="0.25">
      <c r="A13" s="6">
        <f t="shared" si="0"/>
        <v>11</v>
      </c>
      <c r="B13" s="6">
        <v>0</v>
      </c>
      <c r="C13" s="6">
        <v>0</v>
      </c>
      <c r="D13" s="6">
        <v>3</v>
      </c>
      <c r="E13" s="6">
        <v>1</v>
      </c>
      <c r="F13" s="6">
        <v>3</v>
      </c>
      <c r="G13" s="6">
        <v>1</v>
      </c>
      <c r="H13" s="6">
        <v>0</v>
      </c>
      <c r="I13" s="6">
        <v>1</v>
      </c>
      <c r="J13" s="6">
        <v>2</v>
      </c>
      <c r="K13" s="6">
        <v>0</v>
      </c>
      <c r="L13" s="7" t="s">
        <v>10</v>
      </c>
      <c r="M13" s="124"/>
      <c r="N13" s="1"/>
    </row>
    <row r="14" spans="1:14" ht="13.5" thickBot="1" x14ac:dyDescent="0.25">
      <c r="A14" s="6">
        <f t="shared" si="0"/>
        <v>7</v>
      </c>
      <c r="B14" s="6">
        <v>0</v>
      </c>
      <c r="C14" s="6">
        <v>0</v>
      </c>
      <c r="D14" s="6">
        <v>3</v>
      </c>
      <c r="E14" s="6">
        <v>0</v>
      </c>
      <c r="F14" s="6">
        <v>2</v>
      </c>
      <c r="G14" s="6">
        <v>0</v>
      </c>
      <c r="H14" s="6">
        <v>0</v>
      </c>
      <c r="I14" s="6">
        <v>2</v>
      </c>
      <c r="J14" s="6">
        <v>0</v>
      </c>
      <c r="K14" s="6">
        <v>0</v>
      </c>
      <c r="L14" s="7" t="s">
        <v>11</v>
      </c>
      <c r="M14" s="124" t="s">
        <v>16</v>
      </c>
      <c r="N14" s="1"/>
    </row>
    <row r="15" spans="1:14" ht="13.5" thickBot="1" x14ac:dyDescent="0.25">
      <c r="A15" s="6">
        <f t="shared" ref="A15:K15" si="4">SUM(A13:A14)</f>
        <v>18</v>
      </c>
      <c r="B15" s="6">
        <f t="shared" si="4"/>
        <v>0</v>
      </c>
      <c r="C15" s="6">
        <f t="shared" si="4"/>
        <v>0</v>
      </c>
      <c r="D15" s="6">
        <f t="shared" si="4"/>
        <v>6</v>
      </c>
      <c r="E15" s="6">
        <f t="shared" si="4"/>
        <v>1</v>
      </c>
      <c r="F15" s="6">
        <f t="shared" si="4"/>
        <v>5</v>
      </c>
      <c r="G15" s="6">
        <f t="shared" si="4"/>
        <v>1</v>
      </c>
      <c r="H15" s="6">
        <f t="shared" si="4"/>
        <v>0</v>
      </c>
      <c r="I15" s="6">
        <f t="shared" si="4"/>
        <v>3</v>
      </c>
      <c r="J15" s="6">
        <f t="shared" si="4"/>
        <v>2</v>
      </c>
      <c r="K15" s="6">
        <f t="shared" si="4"/>
        <v>0</v>
      </c>
      <c r="L15" s="7" t="s">
        <v>13</v>
      </c>
      <c r="M15" s="9"/>
      <c r="N15" s="1"/>
    </row>
    <row r="16" spans="1:14" ht="13.5" thickBot="1" x14ac:dyDescent="0.25">
      <c r="A16" s="6">
        <f t="shared" si="0"/>
        <v>88</v>
      </c>
      <c r="B16" s="6">
        <v>0</v>
      </c>
      <c r="C16" s="6">
        <v>0</v>
      </c>
      <c r="D16" s="6">
        <v>0</v>
      </c>
      <c r="E16" s="6">
        <v>0</v>
      </c>
      <c r="F16" s="6">
        <v>28</v>
      </c>
      <c r="G16" s="6">
        <v>9</v>
      </c>
      <c r="H16" s="6">
        <v>15</v>
      </c>
      <c r="I16" s="6">
        <v>23</v>
      </c>
      <c r="J16" s="6">
        <v>2</v>
      </c>
      <c r="K16" s="6">
        <v>11</v>
      </c>
      <c r="L16" s="7" t="s">
        <v>10</v>
      </c>
      <c r="M16" s="124"/>
      <c r="N16" s="1"/>
    </row>
    <row r="17" spans="1:14" ht="13.5" thickBot="1" x14ac:dyDescent="0.25">
      <c r="A17" s="6">
        <f t="shared" si="0"/>
        <v>9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1</v>
      </c>
      <c r="H17" s="6">
        <v>4</v>
      </c>
      <c r="I17" s="6">
        <v>3</v>
      </c>
      <c r="J17" s="6">
        <v>0</v>
      </c>
      <c r="K17" s="6">
        <v>1</v>
      </c>
      <c r="L17" s="7" t="s">
        <v>11</v>
      </c>
      <c r="M17" s="124" t="s">
        <v>31</v>
      </c>
      <c r="N17" s="1"/>
    </row>
    <row r="18" spans="1:14" ht="13.5" thickBot="1" x14ac:dyDescent="0.25">
      <c r="A18" s="6">
        <f t="shared" ref="A18:K18" si="5">SUM(A16:A17)</f>
        <v>97</v>
      </c>
      <c r="B18" s="6">
        <f t="shared" si="5"/>
        <v>0</v>
      </c>
      <c r="C18" s="6">
        <f t="shared" si="5"/>
        <v>0</v>
      </c>
      <c r="D18" s="6">
        <f t="shared" si="5"/>
        <v>0</v>
      </c>
      <c r="E18" s="6">
        <f t="shared" si="5"/>
        <v>0</v>
      </c>
      <c r="F18" s="6">
        <f t="shared" si="5"/>
        <v>28</v>
      </c>
      <c r="G18" s="6">
        <f t="shared" si="5"/>
        <v>10</v>
      </c>
      <c r="H18" s="6">
        <f t="shared" si="5"/>
        <v>19</v>
      </c>
      <c r="I18" s="6">
        <f t="shared" si="5"/>
        <v>26</v>
      </c>
      <c r="J18" s="6">
        <f t="shared" si="5"/>
        <v>2</v>
      </c>
      <c r="K18" s="6">
        <f t="shared" si="5"/>
        <v>12</v>
      </c>
      <c r="L18" s="7" t="s">
        <v>13</v>
      </c>
      <c r="M18" s="9"/>
      <c r="N18" s="1"/>
    </row>
    <row r="19" spans="1:14" ht="13.5" thickBot="1" x14ac:dyDescent="0.25">
      <c r="A19" s="6">
        <f t="shared" si="0"/>
        <v>4</v>
      </c>
      <c r="B19" s="6">
        <v>0</v>
      </c>
      <c r="C19" s="6">
        <v>0</v>
      </c>
      <c r="D19" s="6">
        <v>0</v>
      </c>
      <c r="E19" s="6">
        <v>0</v>
      </c>
      <c r="F19" s="6">
        <v>1</v>
      </c>
      <c r="G19" s="6">
        <v>1</v>
      </c>
      <c r="H19" s="6">
        <v>2</v>
      </c>
      <c r="I19" s="6">
        <v>0</v>
      </c>
      <c r="J19" s="6">
        <v>0</v>
      </c>
      <c r="K19" s="6">
        <v>0</v>
      </c>
      <c r="L19" s="7" t="s">
        <v>10</v>
      </c>
      <c r="M19" s="124"/>
      <c r="N19" s="1"/>
    </row>
    <row r="20" spans="1:14" ht="13.5" thickBot="1" x14ac:dyDescent="0.25">
      <c r="A20" s="6">
        <f t="shared" si="0"/>
        <v>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1</v>
      </c>
      <c r="J20" s="6">
        <v>0</v>
      </c>
      <c r="K20" s="6">
        <v>1</v>
      </c>
      <c r="L20" s="7" t="s">
        <v>11</v>
      </c>
      <c r="M20" s="124" t="s">
        <v>17</v>
      </c>
      <c r="N20" s="1"/>
    </row>
    <row r="21" spans="1:14" ht="13.5" thickBot="1" x14ac:dyDescent="0.25">
      <c r="A21" s="6">
        <f t="shared" ref="A21:K21" si="6">SUM(A19:A20)</f>
        <v>6</v>
      </c>
      <c r="B21" s="6">
        <f t="shared" si="6"/>
        <v>0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1</v>
      </c>
      <c r="G21" s="6">
        <f t="shared" si="6"/>
        <v>1</v>
      </c>
      <c r="H21" s="6">
        <f t="shared" si="6"/>
        <v>2</v>
      </c>
      <c r="I21" s="6">
        <f t="shared" si="6"/>
        <v>1</v>
      </c>
      <c r="J21" s="6">
        <f t="shared" si="6"/>
        <v>0</v>
      </c>
      <c r="K21" s="6">
        <f t="shared" si="6"/>
        <v>1</v>
      </c>
      <c r="L21" s="7" t="s">
        <v>13</v>
      </c>
      <c r="M21" s="9"/>
      <c r="N21" s="1"/>
    </row>
    <row r="22" spans="1:14" ht="13.5" thickBot="1" x14ac:dyDescent="0.25">
      <c r="A22" s="6">
        <f t="shared" si="0"/>
        <v>54</v>
      </c>
      <c r="B22" s="6">
        <v>2</v>
      </c>
      <c r="C22" s="6">
        <v>0</v>
      </c>
      <c r="D22" s="6">
        <v>11</v>
      </c>
      <c r="E22" s="6">
        <v>0</v>
      </c>
      <c r="F22" s="6">
        <v>11</v>
      </c>
      <c r="G22" s="6">
        <v>8</v>
      </c>
      <c r="H22" s="6">
        <v>4</v>
      </c>
      <c r="I22" s="6">
        <v>18</v>
      </c>
      <c r="J22" s="6">
        <v>0</v>
      </c>
      <c r="K22" s="6">
        <v>0</v>
      </c>
      <c r="L22" s="7" t="s">
        <v>10</v>
      </c>
      <c r="M22" s="124"/>
      <c r="N22" s="1"/>
    </row>
    <row r="23" spans="1:14" ht="13.5" thickBot="1" x14ac:dyDescent="0.25">
      <c r="A23" s="6">
        <f t="shared" si="0"/>
        <v>65</v>
      </c>
      <c r="B23" s="6">
        <v>0</v>
      </c>
      <c r="C23" s="6">
        <v>4</v>
      </c>
      <c r="D23" s="6">
        <v>10</v>
      </c>
      <c r="E23" s="6">
        <v>0</v>
      </c>
      <c r="F23" s="6">
        <v>13</v>
      </c>
      <c r="G23" s="6">
        <v>5</v>
      </c>
      <c r="H23" s="6">
        <v>7</v>
      </c>
      <c r="I23" s="6">
        <v>20</v>
      </c>
      <c r="J23" s="6">
        <v>0</v>
      </c>
      <c r="K23" s="6">
        <v>6</v>
      </c>
      <c r="L23" s="7" t="s">
        <v>11</v>
      </c>
      <c r="M23" s="124" t="s">
        <v>19</v>
      </c>
      <c r="N23" s="1"/>
    </row>
    <row r="24" spans="1:14" ht="13.5" thickBot="1" x14ac:dyDescent="0.25">
      <c r="A24" s="6">
        <f t="shared" ref="A24:K24" si="7">SUM(A22:A23)</f>
        <v>119</v>
      </c>
      <c r="B24" s="6">
        <f t="shared" si="7"/>
        <v>2</v>
      </c>
      <c r="C24" s="6">
        <f t="shared" si="7"/>
        <v>4</v>
      </c>
      <c r="D24" s="6">
        <f t="shared" si="7"/>
        <v>21</v>
      </c>
      <c r="E24" s="6">
        <f t="shared" si="7"/>
        <v>0</v>
      </c>
      <c r="F24" s="6">
        <f t="shared" si="7"/>
        <v>24</v>
      </c>
      <c r="G24" s="6">
        <f t="shared" si="7"/>
        <v>13</v>
      </c>
      <c r="H24" s="6">
        <f t="shared" si="7"/>
        <v>11</v>
      </c>
      <c r="I24" s="6">
        <f t="shared" si="7"/>
        <v>38</v>
      </c>
      <c r="J24" s="6">
        <f t="shared" si="7"/>
        <v>0</v>
      </c>
      <c r="K24" s="6">
        <f t="shared" si="7"/>
        <v>6</v>
      </c>
      <c r="L24" s="7" t="s">
        <v>13</v>
      </c>
      <c r="M24" s="9"/>
      <c r="N24" s="1"/>
    </row>
    <row r="25" spans="1:14" ht="13.5" thickBot="1" x14ac:dyDescent="0.25">
      <c r="A25" s="6">
        <f t="shared" si="0"/>
        <v>136</v>
      </c>
      <c r="B25" s="6">
        <v>10</v>
      </c>
      <c r="C25" s="6">
        <v>0</v>
      </c>
      <c r="D25" s="6">
        <v>0</v>
      </c>
      <c r="E25" s="6">
        <v>6</v>
      </c>
      <c r="F25" s="6">
        <v>90</v>
      </c>
      <c r="G25" s="6">
        <v>15</v>
      </c>
      <c r="H25" s="6">
        <v>7</v>
      </c>
      <c r="I25" s="6">
        <v>4</v>
      </c>
      <c r="J25" s="6">
        <v>0</v>
      </c>
      <c r="K25" s="6">
        <v>4</v>
      </c>
      <c r="L25" s="7" t="s">
        <v>10</v>
      </c>
      <c r="M25" s="124"/>
      <c r="N25" s="1"/>
    </row>
    <row r="26" spans="1:14" ht="13.5" thickBot="1" x14ac:dyDescent="0.25">
      <c r="A26" s="6">
        <f t="shared" si="0"/>
        <v>56</v>
      </c>
      <c r="B26" s="6">
        <v>0</v>
      </c>
      <c r="C26" s="6">
        <v>0</v>
      </c>
      <c r="D26" s="6">
        <v>0</v>
      </c>
      <c r="E26" s="6">
        <v>1</v>
      </c>
      <c r="F26" s="6">
        <v>41</v>
      </c>
      <c r="G26" s="6">
        <v>2</v>
      </c>
      <c r="H26" s="6">
        <v>4</v>
      </c>
      <c r="I26" s="6">
        <v>5</v>
      </c>
      <c r="J26" s="6">
        <v>0</v>
      </c>
      <c r="K26" s="6">
        <v>3</v>
      </c>
      <c r="L26" s="7" t="s">
        <v>11</v>
      </c>
      <c r="M26" s="124" t="s">
        <v>35</v>
      </c>
      <c r="N26" s="1"/>
    </row>
    <row r="27" spans="1:14" ht="13.5" thickBot="1" x14ac:dyDescent="0.25">
      <c r="A27" s="6">
        <f t="shared" ref="A27:K27" si="8">SUM(A25:A26)</f>
        <v>192</v>
      </c>
      <c r="B27" s="6">
        <f t="shared" si="8"/>
        <v>10</v>
      </c>
      <c r="C27" s="6">
        <f t="shared" si="8"/>
        <v>0</v>
      </c>
      <c r="D27" s="6">
        <f t="shared" si="8"/>
        <v>0</v>
      </c>
      <c r="E27" s="6">
        <f t="shared" si="8"/>
        <v>7</v>
      </c>
      <c r="F27" s="6">
        <f t="shared" si="8"/>
        <v>131</v>
      </c>
      <c r="G27" s="6">
        <f t="shared" si="8"/>
        <v>17</v>
      </c>
      <c r="H27" s="6">
        <f t="shared" si="8"/>
        <v>11</v>
      </c>
      <c r="I27" s="6">
        <f t="shared" si="8"/>
        <v>9</v>
      </c>
      <c r="J27" s="6">
        <f t="shared" si="8"/>
        <v>0</v>
      </c>
      <c r="K27" s="6">
        <f t="shared" si="8"/>
        <v>7</v>
      </c>
      <c r="L27" s="7" t="s">
        <v>13</v>
      </c>
      <c r="M27" s="9"/>
      <c r="N27" s="1"/>
    </row>
    <row r="28" spans="1:14" ht="13.5" thickBot="1" x14ac:dyDescent="0.25">
      <c r="A28" s="6">
        <f t="shared" si="0"/>
        <v>1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1</v>
      </c>
      <c r="H28" s="6">
        <v>0</v>
      </c>
      <c r="I28" s="6">
        <v>0</v>
      </c>
      <c r="J28" s="6">
        <v>0</v>
      </c>
      <c r="K28" s="6">
        <v>0</v>
      </c>
      <c r="L28" s="7" t="s">
        <v>10</v>
      </c>
      <c r="M28" s="124"/>
      <c r="N28" s="1"/>
    </row>
    <row r="29" spans="1:14" ht="13.5" thickBot="1" x14ac:dyDescent="0.25">
      <c r="A29" s="6">
        <f t="shared" si="0"/>
        <v>5</v>
      </c>
      <c r="B29" s="6">
        <v>0</v>
      </c>
      <c r="C29" s="6">
        <v>0</v>
      </c>
      <c r="D29" s="6">
        <v>2</v>
      </c>
      <c r="E29" s="6">
        <v>0</v>
      </c>
      <c r="F29" s="6">
        <v>0</v>
      </c>
      <c r="G29" s="6">
        <v>0</v>
      </c>
      <c r="H29" s="6">
        <v>1</v>
      </c>
      <c r="I29" s="6">
        <v>1</v>
      </c>
      <c r="J29" s="6">
        <v>0</v>
      </c>
      <c r="K29" s="6">
        <v>1</v>
      </c>
      <c r="L29" s="7" t="s">
        <v>11</v>
      </c>
      <c r="M29" s="124" t="s">
        <v>20</v>
      </c>
      <c r="N29" s="1"/>
    </row>
    <row r="30" spans="1:14" ht="13.5" thickBot="1" x14ac:dyDescent="0.25">
      <c r="A30" s="6">
        <f t="shared" ref="A30:K30" si="9">SUM(A28:A29)</f>
        <v>6</v>
      </c>
      <c r="B30" s="6">
        <f t="shared" si="9"/>
        <v>0</v>
      </c>
      <c r="C30" s="6">
        <f t="shared" si="9"/>
        <v>0</v>
      </c>
      <c r="D30" s="6">
        <f t="shared" si="9"/>
        <v>2</v>
      </c>
      <c r="E30" s="6">
        <f t="shared" si="9"/>
        <v>0</v>
      </c>
      <c r="F30" s="6">
        <f t="shared" si="9"/>
        <v>0</v>
      </c>
      <c r="G30" s="6">
        <f t="shared" si="9"/>
        <v>1</v>
      </c>
      <c r="H30" s="6">
        <f t="shared" si="9"/>
        <v>1</v>
      </c>
      <c r="I30" s="6">
        <f t="shared" si="9"/>
        <v>1</v>
      </c>
      <c r="J30" s="6">
        <f t="shared" si="9"/>
        <v>0</v>
      </c>
      <c r="K30" s="6">
        <f t="shared" si="9"/>
        <v>1</v>
      </c>
      <c r="L30" s="7" t="s">
        <v>13</v>
      </c>
      <c r="M30" s="9"/>
      <c r="N30" s="1"/>
    </row>
    <row r="31" spans="1:14" ht="13.5" thickBot="1" x14ac:dyDescent="0.25">
      <c r="A31" s="6">
        <f t="shared" si="0"/>
        <v>3</v>
      </c>
      <c r="B31" s="6">
        <v>0</v>
      </c>
      <c r="C31" s="6">
        <v>0</v>
      </c>
      <c r="D31" s="6">
        <v>1</v>
      </c>
      <c r="E31" s="6">
        <v>0</v>
      </c>
      <c r="F31" s="6">
        <v>0</v>
      </c>
      <c r="G31" s="6">
        <v>0</v>
      </c>
      <c r="H31" s="6">
        <v>1</v>
      </c>
      <c r="I31" s="6">
        <v>0</v>
      </c>
      <c r="J31" s="6">
        <v>1</v>
      </c>
      <c r="K31" s="6">
        <v>0</v>
      </c>
      <c r="L31" s="7" t="s">
        <v>10</v>
      </c>
      <c r="M31" s="124"/>
      <c r="N31" s="1"/>
    </row>
    <row r="32" spans="1:14" ht="13.5" thickBot="1" x14ac:dyDescent="0.25">
      <c r="A32" s="6">
        <f t="shared" si="0"/>
        <v>3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1</v>
      </c>
      <c r="H32" s="6">
        <v>1</v>
      </c>
      <c r="I32" s="6">
        <v>1</v>
      </c>
      <c r="J32" s="6">
        <v>0</v>
      </c>
      <c r="K32" s="6">
        <v>0</v>
      </c>
      <c r="L32" s="7" t="s">
        <v>11</v>
      </c>
      <c r="M32" s="124" t="s">
        <v>21</v>
      </c>
      <c r="N32" s="1"/>
    </row>
    <row r="33" spans="1:14" ht="13.5" thickBot="1" x14ac:dyDescent="0.25">
      <c r="A33" s="6">
        <f t="shared" ref="A33:K33" si="10">SUM(A31:A32)</f>
        <v>6</v>
      </c>
      <c r="B33" s="6">
        <f t="shared" si="10"/>
        <v>0</v>
      </c>
      <c r="C33" s="6">
        <f t="shared" si="10"/>
        <v>0</v>
      </c>
      <c r="D33" s="6">
        <f t="shared" si="10"/>
        <v>1</v>
      </c>
      <c r="E33" s="6">
        <f t="shared" si="10"/>
        <v>0</v>
      </c>
      <c r="F33" s="6">
        <f t="shared" si="10"/>
        <v>0</v>
      </c>
      <c r="G33" s="6">
        <f t="shared" si="10"/>
        <v>1</v>
      </c>
      <c r="H33" s="6">
        <f t="shared" si="10"/>
        <v>2</v>
      </c>
      <c r="I33" s="6">
        <f t="shared" si="10"/>
        <v>1</v>
      </c>
      <c r="J33" s="6">
        <f t="shared" si="10"/>
        <v>1</v>
      </c>
      <c r="K33" s="6">
        <f t="shared" si="10"/>
        <v>0</v>
      </c>
      <c r="L33" s="7" t="s">
        <v>13</v>
      </c>
      <c r="M33" s="9"/>
      <c r="N33" s="1"/>
    </row>
    <row r="34" spans="1:14" ht="13.5" thickBot="1" x14ac:dyDescent="0.25">
      <c r="A34" s="6">
        <f t="shared" si="0"/>
        <v>27</v>
      </c>
      <c r="B34" s="6">
        <v>1</v>
      </c>
      <c r="C34" s="6">
        <v>0</v>
      </c>
      <c r="D34" s="6">
        <v>0</v>
      </c>
      <c r="E34" s="6">
        <v>0</v>
      </c>
      <c r="F34" s="6">
        <v>19</v>
      </c>
      <c r="G34" s="6">
        <v>1</v>
      </c>
      <c r="H34" s="6">
        <v>2</v>
      </c>
      <c r="I34" s="6">
        <v>3</v>
      </c>
      <c r="J34" s="6">
        <v>1</v>
      </c>
      <c r="K34" s="6">
        <v>0</v>
      </c>
      <c r="L34" s="7" t="s">
        <v>10</v>
      </c>
      <c r="M34" s="124"/>
      <c r="N34" s="1"/>
    </row>
    <row r="35" spans="1:14" ht="13.5" thickBot="1" x14ac:dyDescent="0.25">
      <c r="A35" s="6">
        <f t="shared" si="0"/>
        <v>71</v>
      </c>
      <c r="B35" s="6">
        <v>3</v>
      </c>
      <c r="C35" s="6">
        <v>1</v>
      </c>
      <c r="D35" s="6">
        <v>0</v>
      </c>
      <c r="E35" s="6">
        <v>0</v>
      </c>
      <c r="F35" s="6">
        <v>32</v>
      </c>
      <c r="G35" s="6">
        <v>0</v>
      </c>
      <c r="H35" s="6">
        <v>8</v>
      </c>
      <c r="I35" s="6">
        <v>19</v>
      </c>
      <c r="J35" s="6">
        <v>8</v>
      </c>
      <c r="K35" s="6">
        <v>0</v>
      </c>
      <c r="L35" s="7" t="s">
        <v>11</v>
      </c>
      <c r="M35" s="124" t="s">
        <v>22</v>
      </c>
      <c r="N35" s="1"/>
    </row>
    <row r="36" spans="1:14" ht="13.5" thickBot="1" x14ac:dyDescent="0.25">
      <c r="A36" s="6">
        <f t="shared" ref="A36:K36" si="11">SUM(A34:A35)</f>
        <v>98</v>
      </c>
      <c r="B36" s="6">
        <f t="shared" si="11"/>
        <v>4</v>
      </c>
      <c r="C36" s="6">
        <f t="shared" si="11"/>
        <v>1</v>
      </c>
      <c r="D36" s="6">
        <f t="shared" si="11"/>
        <v>0</v>
      </c>
      <c r="E36" s="6">
        <f t="shared" si="11"/>
        <v>0</v>
      </c>
      <c r="F36" s="6">
        <f t="shared" si="11"/>
        <v>51</v>
      </c>
      <c r="G36" s="6">
        <f t="shared" si="11"/>
        <v>1</v>
      </c>
      <c r="H36" s="6">
        <f t="shared" si="11"/>
        <v>10</v>
      </c>
      <c r="I36" s="6">
        <f t="shared" si="11"/>
        <v>22</v>
      </c>
      <c r="J36" s="6">
        <f t="shared" si="11"/>
        <v>9</v>
      </c>
      <c r="K36" s="6">
        <f t="shared" si="11"/>
        <v>0</v>
      </c>
      <c r="L36" s="7" t="s">
        <v>13</v>
      </c>
      <c r="M36" s="9"/>
      <c r="N36" s="1"/>
    </row>
    <row r="37" spans="1:14" ht="13.5" thickBot="1" x14ac:dyDescent="0.25">
      <c r="A37" s="6">
        <f t="shared" si="0"/>
        <v>96</v>
      </c>
      <c r="B37" s="6">
        <v>0</v>
      </c>
      <c r="C37" s="6">
        <v>0</v>
      </c>
      <c r="D37" s="6">
        <v>0</v>
      </c>
      <c r="E37" s="6">
        <v>0</v>
      </c>
      <c r="F37" s="6">
        <v>83</v>
      </c>
      <c r="G37" s="6">
        <v>3</v>
      </c>
      <c r="H37" s="6">
        <v>5</v>
      </c>
      <c r="I37" s="6">
        <v>2</v>
      </c>
      <c r="J37" s="6">
        <v>0</v>
      </c>
      <c r="K37" s="6">
        <v>3</v>
      </c>
      <c r="L37" s="7" t="s">
        <v>10</v>
      </c>
      <c r="M37" s="124"/>
      <c r="N37" s="1"/>
    </row>
    <row r="38" spans="1:14" ht="13.5" thickBot="1" x14ac:dyDescent="0.25">
      <c r="A38" s="6">
        <f t="shared" si="0"/>
        <v>29</v>
      </c>
      <c r="B38" s="6">
        <v>0</v>
      </c>
      <c r="C38" s="6">
        <v>0</v>
      </c>
      <c r="D38" s="6">
        <v>0</v>
      </c>
      <c r="E38" s="6">
        <v>0</v>
      </c>
      <c r="F38" s="6">
        <v>20</v>
      </c>
      <c r="G38" s="6">
        <v>1</v>
      </c>
      <c r="H38" s="6">
        <v>2</v>
      </c>
      <c r="I38" s="6">
        <v>5</v>
      </c>
      <c r="J38" s="6">
        <v>0</v>
      </c>
      <c r="K38" s="6">
        <v>1</v>
      </c>
      <c r="L38" s="7" t="s">
        <v>11</v>
      </c>
      <c r="M38" s="124" t="s">
        <v>36</v>
      </c>
      <c r="N38" s="1"/>
    </row>
    <row r="39" spans="1:14" ht="13.5" thickBot="1" x14ac:dyDescent="0.25">
      <c r="A39" s="6">
        <f t="shared" ref="A39:K39" si="12">SUM(A37:A38)</f>
        <v>125</v>
      </c>
      <c r="B39" s="6">
        <f t="shared" si="12"/>
        <v>0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103</v>
      </c>
      <c r="G39" s="6">
        <f t="shared" si="12"/>
        <v>4</v>
      </c>
      <c r="H39" s="6">
        <f t="shared" si="12"/>
        <v>7</v>
      </c>
      <c r="I39" s="6">
        <f t="shared" si="12"/>
        <v>7</v>
      </c>
      <c r="J39" s="6">
        <f t="shared" si="12"/>
        <v>0</v>
      </c>
      <c r="K39" s="6">
        <f t="shared" si="12"/>
        <v>4</v>
      </c>
      <c r="L39" s="7" t="s">
        <v>13</v>
      </c>
      <c r="M39" s="9"/>
      <c r="N39" s="1"/>
    </row>
    <row r="40" spans="1:14" ht="13.5" thickBot="1" x14ac:dyDescent="0.25">
      <c r="A40" s="6">
        <f t="shared" si="0"/>
        <v>94</v>
      </c>
      <c r="B40" s="6">
        <v>1</v>
      </c>
      <c r="C40" s="6">
        <v>0</v>
      </c>
      <c r="D40" s="6">
        <v>0</v>
      </c>
      <c r="E40" s="6">
        <v>0</v>
      </c>
      <c r="F40" s="6">
        <v>22</v>
      </c>
      <c r="G40" s="6">
        <v>10</v>
      </c>
      <c r="H40" s="6">
        <v>42</v>
      </c>
      <c r="I40" s="6">
        <v>10</v>
      </c>
      <c r="J40" s="6">
        <v>0</v>
      </c>
      <c r="K40" s="6">
        <v>9</v>
      </c>
      <c r="L40" s="7" t="s">
        <v>10</v>
      </c>
      <c r="M40" s="124"/>
      <c r="N40" s="1"/>
    </row>
    <row r="41" spans="1:14" ht="13.5" thickBot="1" x14ac:dyDescent="0.25">
      <c r="A41" s="6">
        <f t="shared" si="0"/>
        <v>27</v>
      </c>
      <c r="B41" s="6">
        <v>0</v>
      </c>
      <c r="C41" s="6">
        <v>0</v>
      </c>
      <c r="D41" s="6">
        <v>0</v>
      </c>
      <c r="E41" s="6">
        <v>0</v>
      </c>
      <c r="F41" s="6">
        <v>8</v>
      </c>
      <c r="G41" s="6">
        <v>0</v>
      </c>
      <c r="H41" s="6">
        <v>2</v>
      </c>
      <c r="I41" s="6">
        <v>7</v>
      </c>
      <c r="J41" s="6">
        <v>1</v>
      </c>
      <c r="K41" s="6">
        <v>9</v>
      </c>
      <c r="L41" s="7" t="s">
        <v>11</v>
      </c>
      <c r="M41" s="124" t="s">
        <v>32</v>
      </c>
      <c r="N41" s="1"/>
    </row>
    <row r="42" spans="1:14" ht="13.5" thickBot="1" x14ac:dyDescent="0.25">
      <c r="A42" s="6">
        <f t="shared" ref="A42:K42" si="13">SUM(A40:A41)</f>
        <v>121</v>
      </c>
      <c r="B42" s="6">
        <f t="shared" si="13"/>
        <v>1</v>
      </c>
      <c r="C42" s="6">
        <f t="shared" si="13"/>
        <v>0</v>
      </c>
      <c r="D42" s="6">
        <f t="shared" si="13"/>
        <v>0</v>
      </c>
      <c r="E42" s="6">
        <f t="shared" si="13"/>
        <v>0</v>
      </c>
      <c r="F42" s="6">
        <f t="shared" si="13"/>
        <v>30</v>
      </c>
      <c r="G42" s="6">
        <f t="shared" si="13"/>
        <v>10</v>
      </c>
      <c r="H42" s="6">
        <f t="shared" si="13"/>
        <v>44</v>
      </c>
      <c r="I42" s="6">
        <f t="shared" si="13"/>
        <v>17</v>
      </c>
      <c r="J42" s="6">
        <f t="shared" si="13"/>
        <v>1</v>
      </c>
      <c r="K42" s="6">
        <f t="shared" si="13"/>
        <v>18</v>
      </c>
      <c r="L42" s="7" t="s">
        <v>13</v>
      </c>
      <c r="M42" s="9"/>
      <c r="N42" s="1"/>
    </row>
    <row r="43" spans="1:14" ht="13.5" thickBot="1" x14ac:dyDescent="0.25">
      <c r="A43" s="6">
        <f t="shared" si="0"/>
        <v>75</v>
      </c>
      <c r="B43" s="6">
        <v>12</v>
      </c>
      <c r="C43" s="6">
        <v>2</v>
      </c>
      <c r="D43" s="6">
        <v>5</v>
      </c>
      <c r="E43" s="6">
        <v>1</v>
      </c>
      <c r="F43" s="6">
        <v>17</v>
      </c>
      <c r="G43" s="6">
        <v>6</v>
      </c>
      <c r="H43" s="6">
        <v>5</v>
      </c>
      <c r="I43" s="6">
        <v>14</v>
      </c>
      <c r="J43" s="6">
        <v>9</v>
      </c>
      <c r="K43" s="6">
        <v>4</v>
      </c>
      <c r="L43" s="7" t="s">
        <v>10</v>
      </c>
      <c r="M43" s="124"/>
      <c r="N43" s="1"/>
    </row>
    <row r="44" spans="1:14" ht="13.5" thickBot="1" x14ac:dyDescent="0.25">
      <c r="A44" s="6">
        <f t="shared" si="0"/>
        <v>21</v>
      </c>
      <c r="B44" s="6">
        <v>1</v>
      </c>
      <c r="C44" s="6">
        <v>1</v>
      </c>
      <c r="D44" s="6">
        <v>0</v>
      </c>
      <c r="E44" s="6">
        <v>0</v>
      </c>
      <c r="F44" s="6">
        <v>8</v>
      </c>
      <c r="G44" s="6">
        <v>1</v>
      </c>
      <c r="H44" s="6">
        <v>0</v>
      </c>
      <c r="I44" s="6">
        <v>4</v>
      </c>
      <c r="J44" s="6">
        <v>4</v>
      </c>
      <c r="K44" s="6">
        <v>2</v>
      </c>
      <c r="L44" s="7" t="s">
        <v>11</v>
      </c>
      <c r="M44" s="124" t="s">
        <v>23</v>
      </c>
      <c r="N44" s="1"/>
    </row>
    <row r="45" spans="1:14" ht="13.5" thickBot="1" x14ac:dyDescent="0.25">
      <c r="A45" s="6">
        <f t="shared" ref="A45:K45" si="14">SUM(A43:A44)</f>
        <v>96</v>
      </c>
      <c r="B45" s="6">
        <f t="shared" si="14"/>
        <v>13</v>
      </c>
      <c r="C45" s="6">
        <f t="shared" si="14"/>
        <v>3</v>
      </c>
      <c r="D45" s="6">
        <f t="shared" si="14"/>
        <v>5</v>
      </c>
      <c r="E45" s="6">
        <f t="shared" si="14"/>
        <v>1</v>
      </c>
      <c r="F45" s="6">
        <f t="shared" si="14"/>
        <v>25</v>
      </c>
      <c r="G45" s="6">
        <f t="shared" si="14"/>
        <v>7</v>
      </c>
      <c r="H45" s="6">
        <f t="shared" si="14"/>
        <v>5</v>
      </c>
      <c r="I45" s="6">
        <f t="shared" si="14"/>
        <v>18</v>
      </c>
      <c r="J45" s="6">
        <f t="shared" si="14"/>
        <v>13</v>
      </c>
      <c r="K45" s="6">
        <f t="shared" si="14"/>
        <v>6</v>
      </c>
      <c r="L45" s="7" t="s">
        <v>13</v>
      </c>
      <c r="M45" s="9"/>
      <c r="N45" s="1"/>
    </row>
    <row r="46" spans="1:14" ht="13.5" thickBot="1" x14ac:dyDescent="0.25">
      <c r="A46" s="6">
        <f t="shared" si="0"/>
        <v>2123</v>
      </c>
      <c r="B46" s="6">
        <v>122</v>
      </c>
      <c r="C46" s="6">
        <v>4</v>
      </c>
      <c r="D46" s="6">
        <v>41</v>
      </c>
      <c r="E46" s="6">
        <v>1</v>
      </c>
      <c r="F46" s="6">
        <v>163</v>
      </c>
      <c r="G46" s="6">
        <v>547</v>
      </c>
      <c r="H46" s="6">
        <v>376</v>
      </c>
      <c r="I46" s="6">
        <v>831</v>
      </c>
      <c r="J46" s="6">
        <v>17</v>
      </c>
      <c r="K46" s="6">
        <v>21</v>
      </c>
      <c r="L46" s="7" t="s">
        <v>10</v>
      </c>
      <c r="M46" s="124"/>
      <c r="N46" s="1"/>
    </row>
    <row r="47" spans="1:14" ht="13.5" thickBot="1" x14ac:dyDescent="0.25">
      <c r="A47" s="6">
        <f t="shared" si="0"/>
        <v>473</v>
      </c>
      <c r="B47" s="6">
        <v>18</v>
      </c>
      <c r="C47" s="6">
        <v>13</v>
      </c>
      <c r="D47" s="6">
        <v>4</v>
      </c>
      <c r="E47" s="6">
        <v>0</v>
      </c>
      <c r="F47" s="6">
        <v>80</v>
      </c>
      <c r="G47" s="6">
        <v>28</v>
      </c>
      <c r="H47" s="6">
        <v>113</v>
      </c>
      <c r="I47" s="6">
        <v>182</v>
      </c>
      <c r="J47" s="6">
        <v>19</v>
      </c>
      <c r="K47" s="6">
        <v>16</v>
      </c>
      <c r="L47" s="7" t="s">
        <v>11</v>
      </c>
      <c r="M47" s="124" t="s">
        <v>41</v>
      </c>
      <c r="N47" s="1"/>
    </row>
    <row r="48" spans="1:14" ht="13.5" thickBot="1" x14ac:dyDescent="0.25">
      <c r="A48" s="6">
        <f t="shared" ref="A48:K48" si="15">SUM(A46:A47)</f>
        <v>2596</v>
      </c>
      <c r="B48" s="6">
        <f t="shared" si="15"/>
        <v>140</v>
      </c>
      <c r="C48" s="6">
        <f t="shared" si="15"/>
        <v>17</v>
      </c>
      <c r="D48" s="6">
        <f t="shared" si="15"/>
        <v>45</v>
      </c>
      <c r="E48" s="6">
        <f t="shared" si="15"/>
        <v>1</v>
      </c>
      <c r="F48" s="6">
        <f t="shared" si="15"/>
        <v>243</v>
      </c>
      <c r="G48" s="6">
        <f t="shared" si="15"/>
        <v>575</v>
      </c>
      <c r="H48" s="6">
        <f t="shared" si="15"/>
        <v>489</v>
      </c>
      <c r="I48" s="6">
        <f t="shared" si="15"/>
        <v>1013</v>
      </c>
      <c r="J48" s="6">
        <f t="shared" si="15"/>
        <v>36</v>
      </c>
      <c r="K48" s="6">
        <f t="shared" si="15"/>
        <v>37</v>
      </c>
      <c r="L48" s="7" t="s">
        <v>13</v>
      </c>
      <c r="M48" s="9"/>
      <c r="N48" s="1"/>
    </row>
    <row r="49" spans="1:14" ht="13.5" thickBot="1" x14ac:dyDescent="0.25">
      <c r="A49" s="6">
        <f t="shared" si="0"/>
        <v>16</v>
      </c>
      <c r="B49" s="6">
        <v>0</v>
      </c>
      <c r="C49" s="6">
        <v>0</v>
      </c>
      <c r="D49" s="6">
        <v>0</v>
      </c>
      <c r="E49" s="6">
        <v>0</v>
      </c>
      <c r="F49" s="6">
        <v>15</v>
      </c>
      <c r="G49" s="6">
        <v>1</v>
      </c>
      <c r="H49" s="6">
        <v>0</v>
      </c>
      <c r="I49" s="6">
        <v>0</v>
      </c>
      <c r="J49" s="6">
        <v>0</v>
      </c>
      <c r="K49" s="6">
        <v>0</v>
      </c>
      <c r="L49" s="7" t="s">
        <v>10</v>
      </c>
      <c r="M49" s="124"/>
      <c r="N49" s="1"/>
    </row>
    <row r="50" spans="1:14" ht="13.5" thickBot="1" x14ac:dyDescent="0.25">
      <c r="A50" s="6">
        <f t="shared" si="0"/>
        <v>4</v>
      </c>
      <c r="B50" s="6">
        <v>0</v>
      </c>
      <c r="C50" s="6">
        <v>0</v>
      </c>
      <c r="D50" s="6">
        <v>0</v>
      </c>
      <c r="E50" s="6">
        <v>0</v>
      </c>
      <c r="F50" s="6">
        <v>1</v>
      </c>
      <c r="G50" s="6">
        <v>0</v>
      </c>
      <c r="H50" s="6">
        <v>0</v>
      </c>
      <c r="I50" s="6">
        <v>3</v>
      </c>
      <c r="J50" s="6">
        <v>0</v>
      </c>
      <c r="K50" s="6">
        <v>0</v>
      </c>
      <c r="L50" s="7" t="s">
        <v>11</v>
      </c>
      <c r="M50" s="124" t="s">
        <v>24</v>
      </c>
      <c r="N50" s="1"/>
    </row>
    <row r="51" spans="1:14" ht="13.5" thickBot="1" x14ac:dyDescent="0.25">
      <c r="A51" s="6">
        <f t="shared" ref="A51:K51" si="16">SUM(A49:A50)</f>
        <v>20</v>
      </c>
      <c r="B51" s="6">
        <f t="shared" si="16"/>
        <v>0</v>
      </c>
      <c r="C51" s="6">
        <f t="shared" si="16"/>
        <v>0</v>
      </c>
      <c r="D51" s="6">
        <f t="shared" si="16"/>
        <v>0</v>
      </c>
      <c r="E51" s="6">
        <f t="shared" si="16"/>
        <v>0</v>
      </c>
      <c r="F51" s="6">
        <f t="shared" si="16"/>
        <v>16</v>
      </c>
      <c r="G51" s="6">
        <f t="shared" si="16"/>
        <v>1</v>
      </c>
      <c r="H51" s="6">
        <f t="shared" si="16"/>
        <v>0</v>
      </c>
      <c r="I51" s="6">
        <f t="shared" si="16"/>
        <v>3</v>
      </c>
      <c r="J51" s="6">
        <f t="shared" si="16"/>
        <v>0</v>
      </c>
      <c r="K51" s="6">
        <f t="shared" si="16"/>
        <v>0</v>
      </c>
      <c r="L51" s="7" t="s">
        <v>13</v>
      </c>
      <c r="M51" s="9"/>
      <c r="N51" s="1"/>
    </row>
    <row r="52" spans="1:14" ht="13.5" thickBot="1" x14ac:dyDescent="0.25">
      <c r="A52" s="6">
        <f t="shared" si="0"/>
        <v>4795</v>
      </c>
      <c r="B52" s="6">
        <v>20</v>
      </c>
      <c r="C52" s="6">
        <v>7</v>
      </c>
      <c r="D52" s="6">
        <v>435</v>
      </c>
      <c r="E52" s="6">
        <v>6</v>
      </c>
      <c r="F52" s="6">
        <v>309</v>
      </c>
      <c r="G52" s="6">
        <v>1066</v>
      </c>
      <c r="H52" s="6">
        <v>911</v>
      </c>
      <c r="I52" s="6">
        <v>1901</v>
      </c>
      <c r="J52" s="6">
        <v>42</v>
      </c>
      <c r="K52" s="6">
        <v>98</v>
      </c>
      <c r="L52" s="7" t="s">
        <v>10</v>
      </c>
      <c r="M52" s="124"/>
      <c r="N52" s="1"/>
    </row>
    <row r="53" spans="1:14" ht="13.5" thickBot="1" x14ac:dyDescent="0.25">
      <c r="A53" s="6">
        <f t="shared" si="0"/>
        <v>1183</v>
      </c>
      <c r="B53" s="6">
        <v>11</v>
      </c>
      <c r="C53" s="6">
        <v>23</v>
      </c>
      <c r="D53" s="6">
        <v>38</v>
      </c>
      <c r="E53" s="6">
        <v>0</v>
      </c>
      <c r="F53" s="6">
        <v>283</v>
      </c>
      <c r="G53" s="6">
        <v>25</v>
      </c>
      <c r="H53" s="6">
        <v>282</v>
      </c>
      <c r="I53" s="6">
        <v>419</v>
      </c>
      <c r="J53" s="6">
        <v>40</v>
      </c>
      <c r="K53" s="6">
        <v>62</v>
      </c>
      <c r="L53" s="7" t="s">
        <v>11</v>
      </c>
      <c r="M53" s="124" t="s">
        <v>37</v>
      </c>
      <c r="N53" s="1"/>
    </row>
    <row r="54" spans="1:14" ht="13.5" thickBot="1" x14ac:dyDescent="0.25">
      <c r="A54" s="6">
        <f t="shared" ref="A54:K54" si="17">SUM(A52:A53)</f>
        <v>5978</v>
      </c>
      <c r="B54" s="6">
        <f t="shared" si="17"/>
        <v>31</v>
      </c>
      <c r="C54" s="6">
        <f t="shared" si="17"/>
        <v>30</v>
      </c>
      <c r="D54" s="6">
        <f t="shared" si="17"/>
        <v>473</v>
      </c>
      <c r="E54" s="6">
        <f t="shared" si="17"/>
        <v>6</v>
      </c>
      <c r="F54" s="6">
        <f t="shared" si="17"/>
        <v>592</v>
      </c>
      <c r="G54" s="6">
        <f t="shared" si="17"/>
        <v>1091</v>
      </c>
      <c r="H54" s="6">
        <f t="shared" si="17"/>
        <v>1193</v>
      </c>
      <c r="I54" s="6">
        <f t="shared" si="17"/>
        <v>2320</v>
      </c>
      <c r="J54" s="6">
        <f t="shared" si="17"/>
        <v>82</v>
      </c>
      <c r="K54" s="6">
        <f t="shared" si="17"/>
        <v>160</v>
      </c>
      <c r="L54" s="7" t="s">
        <v>13</v>
      </c>
      <c r="M54" s="9"/>
      <c r="N54" s="1"/>
    </row>
    <row r="55" spans="1:14" ht="13.5" thickBot="1" x14ac:dyDescent="0.25">
      <c r="A55" s="6">
        <f t="shared" si="0"/>
        <v>1248</v>
      </c>
      <c r="B55" s="6">
        <v>10</v>
      </c>
      <c r="C55" s="6">
        <v>3</v>
      </c>
      <c r="D55" s="6">
        <v>17</v>
      </c>
      <c r="E55" s="6">
        <v>4</v>
      </c>
      <c r="F55" s="6">
        <v>28</v>
      </c>
      <c r="G55" s="6">
        <v>242</v>
      </c>
      <c r="H55" s="6">
        <v>263</v>
      </c>
      <c r="I55" s="6">
        <v>601</v>
      </c>
      <c r="J55" s="6">
        <v>7</v>
      </c>
      <c r="K55" s="6">
        <v>73</v>
      </c>
      <c r="L55" s="7" t="s">
        <v>10</v>
      </c>
      <c r="M55" s="124"/>
      <c r="N55" s="1"/>
    </row>
    <row r="56" spans="1:14" ht="13.5" thickBot="1" x14ac:dyDescent="0.25">
      <c r="A56" s="6">
        <f t="shared" si="0"/>
        <v>166</v>
      </c>
      <c r="B56" s="6">
        <v>7</v>
      </c>
      <c r="C56" s="6">
        <v>6</v>
      </c>
      <c r="D56" s="6">
        <v>4</v>
      </c>
      <c r="E56" s="6">
        <v>6</v>
      </c>
      <c r="F56" s="6">
        <v>22</v>
      </c>
      <c r="G56" s="6">
        <v>11</v>
      </c>
      <c r="H56" s="6">
        <v>28</v>
      </c>
      <c r="I56" s="6">
        <v>58</v>
      </c>
      <c r="J56" s="6">
        <v>11</v>
      </c>
      <c r="K56" s="6">
        <v>13</v>
      </c>
      <c r="L56" s="7" t="s">
        <v>11</v>
      </c>
      <c r="M56" s="124" t="s">
        <v>42</v>
      </c>
      <c r="N56" s="1"/>
    </row>
    <row r="57" spans="1:14" ht="13.5" thickBot="1" x14ac:dyDescent="0.25">
      <c r="A57" s="6">
        <f t="shared" ref="A57:K57" si="18">SUM(A55:A56)</f>
        <v>1414</v>
      </c>
      <c r="B57" s="6">
        <f t="shared" si="18"/>
        <v>17</v>
      </c>
      <c r="C57" s="6">
        <f t="shared" si="18"/>
        <v>9</v>
      </c>
      <c r="D57" s="6">
        <f t="shared" si="18"/>
        <v>21</v>
      </c>
      <c r="E57" s="6">
        <f t="shared" si="18"/>
        <v>10</v>
      </c>
      <c r="F57" s="6">
        <f t="shared" si="18"/>
        <v>50</v>
      </c>
      <c r="G57" s="6">
        <f t="shared" si="18"/>
        <v>253</v>
      </c>
      <c r="H57" s="6">
        <f t="shared" si="18"/>
        <v>291</v>
      </c>
      <c r="I57" s="6">
        <f t="shared" si="18"/>
        <v>659</v>
      </c>
      <c r="J57" s="6">
        <f t="shared" si="18"/>
        <v>18</v>
      </c>
      <c r="K57" s="6">
        <f t="shared" si="18"/>
        <v>86</v>
      </c>
      <c r="L57" s="7" t="s">
        <v>13</v>
      </c>
      <c r="M57" s="9"/>
      <c r="N57" s="1"/>
    </row>
    <row r="58" spans="1:14" ht="13.5" thickBot="1" x14ac:dyDescent="0.25">
      <c r="A58" s="6">
        <f t="shared" si="0"/>
        <v>129</v>
      </c>
      <c r="B58" s="6">
        <v>0</v>
      </c>
      <c r="C58" s="6">
        <v>0</v>
      </c>
      <c r="D58" s="6">
        <v>8</v>
      </c>
      <c r="E58" s="6">
        <v>0</v>
      </c>
      <c r="F58" s="6">
        <v>61</v>
      </c>
      <c r="G58" s="6">
        <v>8</v>
      </c>
      <c r="H58" s="6">
        <v>7</v>
      </c>
      <c r="I58" s="6">
        <v>37</v>
      </c>
      <c r="J58" s="6">
        <v>0</v>
      </c>
      <c r="K58" s="6">
        <v>8</v>
      </c>
      <c r="L58" s="7" t="s">
        <v>10</v>
      </c>
      <c r="M58" s="124"/>
      <c r="N58" s="1"/>
    </row>
    <row r="59" spans="1:14" ht="13.5" thickBot="1" x14ac:dyDescent="0.25">
      <c r="A59" s="6">
        <f t="shared" si="0"/>
        <v>69</v>
      </c>
      <c r="B59" s="6">
        <v>1</v>
      </c>
      <c r="C59" s="6">
        <v>13</v>
      </c>
      <c r="D59" s="6">
        <v>1</v>
      </c>
      <c r="E59" s="6">
        <v>0</v>
      </c>
      <c r="F59" s="6">
        <v>10</v>
      </c>
      <c r="G59" s="6">
        <v>1</v>
      </c>
      <c r="H59" s="6">
        <v>7</v>
      </c>
      <c r="I59" s="6">
        <v>17</v>
      </c>
      <c r="J59" s="6">
        <v>0</v>
      </c>
      <c r="K59" s="6">
        <v>19</v>
      </c>
      <c r="L59" s="7" t="s">
        <v>11</v>
      </c>
      <c r="M59" s="124" t="s">
        <v>38</v>
      </c>
      <c r="N59" s="1"/>
    </row>
    <row r="60" spans="1:14" ht="13.5" thickBot="1" x14ac:dyDescent="0.25">
      <c r="A60" s="6">
        <f t="shared" ref="A60:K60" si="19">SUM(A58:A59)</f>
        <v>198</v>
      </c>
      <c r="B60" s="6">
        <f t="shared" si="19"/>
        <v>1</v>
      </c>
      <c r="C60" s="6">
        <f t="shared" si="19"/>
        <v>13</v>
      </c>
      <c r="D60" s="6">
        <f t="shared" si="19"/>
        <v>9</v>
      </c>
      <c r="E60" s="6">
        <f t="shared" si="19"/>
        <v>0</v>
      </c>
      <c r="F60" s="6">
        <f t="shared" si="19"/>
        <v>71</v>
      </c>
      <c r="G60" s="6">
        <f t="shared" si="19"/>
        <v>9</v>
      </c>
      <c r="H60" s="6">
        <f t="shared" si="19"/>
        <v>14</v>
      </c>
      <c r="I60" s="6">
        <f t="shared" si="19"/>
        <v>54</v>
      </c>
      <c r="J60" s="6">
        <f t="shared" si="19"/>
        <v>0</v>
      </c>
      <c r="K60" s="6">
        <f t="shared" si="19"/>
        <v>27</v>
      </c>
      <c r="L60" s="7" t="s">
        <v>13</v>
      </c>
      <c r="M60" s="9"/>
      <c r="N60" s="1"/>
    </row>
    <row r="61" spans="1:14" ht="13.5" thickBot="1" x14ac:dyDescent="0.25">
      <c r="A61" s="6">
        <f t="shared" si="0"/>
        <v>3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1</v>
      </c>
      <c r="H61" s="6">
        <v>0</v>
      </c>
      <c r="I61" s="6">
        <v>1</v>
      </c>
      <c r="J61" s="6">
        <v>0</v>
      </c>
      <c r="K61" s="6">
        <v>1</v>
      </c>
      <c r="L61" s="7" t="s">
        <v>10</v>
      </c>
      <c r="M61" s="124"/>
      <c r="N61" s="1"/>
    </row>
    <row r="62" spans="1:14" ht="13.5" thickBot="1" x14ac:dyDescent="0.25">
      <c r="A62" s="6">
        <f t="shared" si="0"/>
        <v>8</v>
      </c>
      <c r="B62" s="6">
        <v>0</v>
      </c>
      <c r="C62" s="6">
        <v>1</v>
      </c>
      <c r="D62" s="6">
        <v>0</v>
      </c>
      <c r="E62" s="6">
        <v>0</v>
      </c>
      <c r="F62" s="6">
        <v>3</v>
      </c>
      <c r="G62" s="6">
        <v>0</v>
      </c>
      <c r="H62" s="6">
        <v>2</v>
      </c>
      <c r="I62" s="6">
        <v>2</v>
      </c>
      <c r="J62" s="6">
        <v>0</v>
      </c>
      <c r="K62" s="6">
        <v>0</v>
      </c>
      <c r="L62" s="7" t="s">
        <v>11</v>
      </c>
      <c r="M62" s="124" t="s">
        <v>39</v>
      </c>
      <c r="N62" s="1"/>
    </row>
    <row r="63" spans="1:14" ht="13.5" thickBot="1" x14ac:dyDescent="0.25">
      <c r="A63" s="6">
        <f t="shared" ref="A63:K63" si="20">SUM(A61:A62)</f>
        <v>11</v>
      </c>
      <c r="B63" s="6">
        <f t="shared" si="20"/>
        <v>0</v>
      </c>
      <c r="C63" s="6">
        <f t="shared" si="20"/>
        <v>1</v>
      </c>
      <c r="D63" s="6">
        <f t="shared" si="20"/>
        <v>0</v>
      </c>
      <c r="E63" s="6">
        <f t="shared" si="20"/>
        <v>0</v>
      </c>
      <c r="F63" s="6">
        <f t="shared" si="20"/>
        <v>3</v>
      </c>
      <c r="G63" s="6">
        <f t="shared" si="20"/>
        <v>1</v>
      </c>
      <c r="H63" s="6">
        <f t="shared" si="20"/>
        <v>2</v>
      </c>
      <c r="I63" s="6">
        <f t="shared" si="20"/>
        <v>3</v>
      </c>
      <c r="J63" s="6">
        <f t="shared" si="20"/>
        <v>0</v>
      </c>
      <c r="K63" s="6">
        <f t="shared" si="20"/>
        <v>1</v>
      </c>
      <c r="L63" s="7" t="s">
        <v>13</v>
      </c>
      <c r="M63" s="9"/>
      <c r="N63" s="1"/>
    </row>
    <row r="64" spans="1:14" ht="13.5" thickBot="1" x14ac:dyDescent="0.25">
      <c r="A64" s="6">
        <f t="shared" si="0"/>
        <v>278</v>
      </c>
      <c r="B64" s="6">
        <v>12</v>
      </c>
      <c r="C64" s="6">
        <v>0</v>
      </c>
      <c r="D64" s="6">
        <v>36</v>
      </c>
      <c r="E64" s="6">
        <v>0</v>
      </c>
      <c r="F64" s="6">
        <v>102</v>
      </c>
      <c r="G64" s="6">
        <v>40</v>
      </c>
      <c r="H64" s="6">
        <v>11</v>
      </c>
      <c r="I64" s="6">
        <v>48</v>
      </c>
      <c r="J64" s="6">
        <v>17</v>
      </c>
      <c r="K64" s="6">
        <v>12</v>
      </c>
      <c r="L64" s="7" t="s">
        <v>10</v>
      </c>
      <c r="M64" s="124"/>
      <c r="N64" s="1"/>
    </row>
    <row r="65" spans="1:14" ht="13.5" thickBot="1" x14ac:dyDescent="0.25">
      <c r="A65" s="6">
        <f t="shared" si="0"/>
        <v>73</v>
      </c>
      <c r="B65" s="6">
        <v>0</v>
      </c>
      <c r="C65" s="6">
        <v>2</v>
      </c>
      <c r="D65" s="6">
        <v>7</v>
      </c>
      <c r="E65" s="6">
        <v>0</v>
      </c>
      <c r="F65" s="6">
        <v>19</v>
      </c>
      <c r="G65" s="6">
        <v>1</v>
      </c>
      <c r="H65" s="6">
        <v>1</v>
      </c>
      <c r="I65" s="6">
        <v>16</v>
      </c>
      <c r="J65" s="6">
        <v>17</v>
      </c>
      <c r="K65" s="6">
        <v>10</v>
      </c>
      <c r="L65" s="7" t="s">
        <v>11</v>
      </c>
      <c r="M65" s="124" t="s">
        <v>25</v>
      </c>
      <c r="N65" s="1"/>
    </row>
    <row r="66" spans="1:14" ht="13.5" thickBot="1" x14ac:dyDescent="0.25">
      <c r="A66" s="6">
        <f t="shared" ref="A66:K66" si="21">SUM(A64:A65)</f>
        <v>351</v>
      </c>
      <c r="B66" s="6">
        <f t="shared" si="21"/>
        <v>12</v>
      </c>
      <c r="C66" s="6">
        <f t="shared" si="21"/>
        <v>2</v>
      </c>
      <c r="D66" s="6">
        <f t="shared" si="21"/>
        <v>43</v>
      </c>
      <c r="E66" s="6">
        <f t="shared" si="21"/>
        <v>0</v>
      </c>
      <c r="F66" s="6">
        <f t="shared" si="21"/>
        <v>121</v>
      </c>
      <c r="G66" s="6">
        <f t="shared" si="21"/>
        <v>41</v>
      </c>
      <c r="H66" s="6">
        <f t="shared" si="21"/>
        <v>12</v>
      </c>
      <c r="I66" s="6">
        <f t="shared" si="21"/>
        <v>64</v>
      </c>
      <c r="J66" s="6">
        <f t="shared" si="21"/>
        <v>34</v>
      </c>
      <c r="K66" s="6">
        <f t="shared" si="21"/>
        <v>22</v>
      </c>
      <c r="L66" s="7" t="s">
        <v>13</v>
      </c>
      <c r="M66" s="9"/>
      <c r="N66" s="1"/>
    </row>
    <row r="67" spans="1:14" ht="13.5" thickBot="1" x14ac:dyDescent="0.25">
      <c r="A67" s="6">
        <f t="shared" si="0"/>
        <v>8</v>
      </c>
      <c r="B67" s="6">
        <v>0</v>
      </c>
      <c r="C67" s="6">
        <v>0</v>
      </c>
      <c r="D67" s="6">
        <v>0</v>
      </c>
      <c r="E67" s="6">
        <v>0</v>
      </c>
      <c r="F67" s="6">
        <v>1</v>
      </c>
      <c r="G67" s="6">
        <v>1</v>
      </c>
      <c r="H67" s="6">
        <v>1</v>
      </c>
      <c r="I67" s="6">
        <v>5</v>
      </c>
      <c r="J67" s="6">
        <v>0</v>
      </c>
      <c r="K67" s="6">
        <v>0</v>
      </c>
      <c r="L67" s="7" t="s">
        <v>10</v>
      </c>
      <c r="M67" s="124"/>
      <c r="N67" s="1"/>
    </row>
    <row r="68" spans="1:14" ht="13.5" thickBot="1" x14ac:dyDescent="0.25">
      <c r="A68" s="6">
        <f t="shared" si="0"/>
        <v>14</v>
      </c>
      <c r="B68" s="6">
        <v>0</v>
      </c>
      <c r="C68" s="6">
        <v>1</v>
      </c>
      <c r="D68" s="6">
        <v>1</v>
      </c>
      <c r="E68" s="6">
        <v>0</v>
      </c>
      <c r="F68" s="6">
        <v>3</v>
      </c>
      <c r="G68" s="6">
        <v>0</v>
      </c>
      <c r="H68" s="6">
        <v>1</v>
      </c>
      <c r="I68" s="6">
        <v>8</v>
      </c>
      <c r="J68" s="6">
        <v>0</v>
      </c>
      <c r="K68" s="6">
        <v>0</v>
      </c>
      <c r="L68" s="7" t="s">
        <v>11</v>
      </c>
      <c r="M68" s="124" t="s">
        <v>26</v>
      </c>
      <c r="N68" s="1"/>
    </row>
    <row r="69" spans="1:14" ht="13.5" thickBot="1" x14ac:dyDescent="0.25">
      <c r="A69" s="6">
        <f t="shared" ref="A69:K69" si="22">SUM(A67:A68)</f>
        <v>22</v>
      </c>
      <c r="B69" s="6">
        <f t="shared" si="22"/>
        <v>0</v>
      </c>
      <c r="C69" s="6">
        <f t="shared" si="22"/>
        <v>1</v>
      </c>
      <c r="D69" s="6">
        <f t="shared" si="22"/>
        <v>1</v>
      </c>
      <c r="E69" s="6">
        <f t="shared" si="22"/>
        <v>0</v>
      </c>
      <c r="F69" s="6">
        <f t="shared" si="22"/>
        <v>4</v>
      </c>
      <c r="G69" s="6">
        <f t="shared" si="22"/>
        <v>1</v>
      </c>
      <c r="H69" s="6">
        <f t="shared" si="22"/>
        <v>2</v>
      </c>
      <c r="I69" s="6">
        <f t="shared" si="22"/>
        <v>13</v>
      </c>
      <c r="J69" s="6">
        <f t="shared" si="22"/>
        <v>0</v>
      </c>
      <c r="K69" s="6">
        <f t="shared" si="22"/>
        <v>0</v>
      </c>
      <c r="L69" s="7" t="s">
        <v>13</v>
      </c>
      <c r="M69" s="9"/>
      <c r="N69" s="1"/>
    </row>
    <row r="70" spans="1:14" ht="13.5" thickBot="1" x14ac:dyDescent="0.25">
      <c r="A70" s="6">
        <f t="shared" ref="A70:A74" si="23">SUM(B70:K70)</f>
        <v>76</v>
      </c>
      <c r="B70" s="6">
        <v>0</v>
      </c>
      <c r="C70" s="6">
        <v>0</v>
      </c>
      <c r="D70" s="6">
        <v>0</v>
      </c>
      <c r="E70" s="6">
        <v>0</v>
      </c>
      <c r="F70" s="6">
        <v>67</v>
      </c>
      <c r="G70" s="6">
        <v>5</v>
      </c>
      <c r="H70" s="6">
        <v>3</v>
      </c>
      <c r="I70" s="6">
        <v>0</v>
      </c>
      <c r="J70" s="6">
        <v>1</v>
      </c>
      <c r="K70" s="6">
        <v>0</v>
      </c>
      <c r="L70" s="7" t="s">
        <v>10</v>
      </c>
      <c r="M70" s="124"/>
      <c r="N70" s="1"/>
    </row>
    <row r="71" spans="1:14" ht="13.5" thickBot="1" x14ac:dyDescent="0.25">
      <c r="A71" s="6">
        <f t="shared" si="23"/>
        <v>27</v>
      </c>
      <c r="B71" s="6">
        <v>0</v>
      </c>
      <c r="C71" s="6">
        <v>0</v>
      </c>
      <c r="D71" s="6">
        <v>0</v>
      </c>
      <c r="E71" s="6">
        <v>0</v>
      </c>
      <c r="F71" s="6">
        <v>5</v>
      </c>
      <c r="G71" s="6">
        <v>0</v>
      </c>
      <c r="H71" s="6">
        <v>5</v>
      </c>
      <c r="I71" s="6">
        <v>10</v>
      </c>
      <c r="J71" s="6">
        <v>4</v>
      </c>
      <c r="K71" s="6">
        <v>3</v>
      </c>
      <c r="L71" s="7" t="s">
        <v>11</v>
      </c>
      <c r="M71" s="124" t="s">
        <v>27</v>
      </c>
      <c r="N71" s="1"/>
    </row>
    <row r="72" spans="1:14" ht="13.5" thickBot="1" x14ac:dyDescent="0.25">
      <c r="A72" s="6">
        <f t="shared" ref="A72:K72" si="24">SUM(A70:A71)</f>
        <v>103</v>
      </c>
      <c r="B72" s="6">
        <f t="shared" si="24"/>
        <v>0</v>
      </c>
      <c r="C72" s="6">
        <f t="shared" si="24"/>
        <v>0</v>
      </c>
      <c r="D72" s="6">
        <f t="shared" si="24"/>
        <v>0</v>
      </c>
      <c r="E72" s="6">
        <f t="shared" si="24"/>
        <v>0</v>
      </c>
      <c r="F72" s="6">
        <f t="shared" si="24"/>
        <v>72</v>
      </c>
      <c r="G72" s="6">
        <f t="shared" si="24"/>
        <v>5</v>
      </c>
      <c r="H72" s="6">
        <f t="shared" si="24"/>
        <v>8</v>
      </c>
      <c r="I72" s="6">
        <f t="shared" si="24"/>
        <v>10</v>
      </c>
      <c r="J72" s="6">
        <f t="shared" si="24"/>
        <v>5</v>
      </c>
      <c r="K72" s="6">
        <f t="shared" si="24"/>
        <v>3</v>
      </c>
      <c r="L72" s="7" t="s">
        <v>13</v>
      </c>
      <c r="M72" s="9"/>
      <c r="N72" s="1"/>
    </row>
    <row r="73" spans="1:14" ht="13.5" thickBot="1" x14ac:dyDescent="0.25">
      <c r="A73" s="6">
        <f t="shared" si="23"/>
        <v>3714</v>
      </c>
      <c r="B73" s="6">
        <v>458</v>
      </c>
      <c r="C73" s="6">
        <v>11</v>
      </c>
      <c r="D73" s="6">
        <v>98</v>
      </c>
      <c r="E73" s="6">
        <v>0</v>
      </c>
      <c r="F73" s="6">
        <v>417</v>
      </c>
      <c r="G73" s="6">
        <v>645</v>
      </c>
      <c r="H73" s="6">
        <v>789</v>
      </c>
      <c r="I73" s="6">
        <v>1211</v>
      </c>
      <c r="J73" s="6">
        <v>34</v>
      </c>
      <c r="K73" s="6">
        <v>51</v>
      </c>
      <c r="L73" s="7" t="s">
        <v>10</v>
      </c>
      <c r="M73" s="124"/>
      <c r="N73" s="1"/>
    </row>
    <row r="74" spans="1:14" ht="13.5" thickBot="1" x14ac:dyDescent="0.25">
      <c r="A74" s="6">
        <f t="shared" si="23"/>
        <v>679</v>
      </c>
      <c r="B74" s="6">
        <v>39</v>
      </c>
      <c r="C74" s="6">
        <v>6</v>
      </c>
      <c r="D74" s="6">
        <v>8</v>
      </c>
      <c r="E74" s="6">
        <v>0</v>
      </c>
      <c r="F74" s="6">
        <v>171</v>
      </c>
      <c r="G74" s="6">
        <v>10</v>
      </c>
      <c r="H74" s="6">
        <v>167</v>
      </c>
      <c r="I74" s="6">
        <v>207</v>
      </c>
      <c r="J74" s="6">
        <v>43</v>
      </c>
      <c r="K74" s="6">
        <v>28</v>
      </c>
      <c r="L74" s="7" t="s">
        <v>11</v>
      </c>
      <c r="M74" s="124" t="s">
        <v>33</v>
      </c>
      <c r="N74" s="1"/>
    </row>
    <row r="75" spans="1:14" ht="13.5" thickBot="1" x14ac:dyDescent="0.25">
      <c r="A75" s="6">
        <f t="shared" ref="A75:K75" si="25">SUM(A73:A74)</f>
        <v>4393</v>
      </c>
      <c r="B75" s="6">
        <f t="shared" si="25"/>
        <v>497</v>
      </c>
      <c r="C75" s="6">
        <f t="shared" si="25"/>
        <v>17</v>
      </c>
      <c r="D75" s="6">
        <f t="shared" si="25"/>
        <v>106</v>
      </c>
      <c r="E75" s="6">
        <f t="shared" si="25"/>
        <v>0</v>
      </c>
      <c r="F75" s="6">
        <f t="shared" si="25"/>
        <v>588</v>
      </c>
      <c r="G75" s="6">
        <f t="shared" si="25"/>
        <v>655</v>
      </c>
      <c r="H75" s="6">
        <f t="shared" si="25"/>
        <v>956</v>
      </c>
      <c r="I75" s="6">
        <f t="shared" si="25"/>
        <v>1418</v>
      </c>
      <c r="J75" s="6">
        <f t="shared" si="25"/>
        <v>77</v>
      </c>
      <c r="K75" s="6">
        <f t="shared" si="25"/>
        <v>79</v>
      </c>
      <c r="L75" s="7" t="s">
        <v>13</v>
      </c>
      <c r="M75" s="9"/>
      <c r="N75" s="1"/>
    </row>
    <row r="76" spans="1:14" ht="13.5" thickBot="1" x14ac:dyDescent="0.25">
      <c r="A76" s="6">
        <f t="shared" ref="A76:J78" si="26">A4+A7+A10+A13+A16+A19+A22+A25+A28+A31+A34+A37+A40+A43+A46+A49+A52+A58+A55+A61+A64+A67+A70+A73</f>
        <v>13211</v>
      </c>
      <c r="B76" s="6">
        <f t="shared" si="26"/>
        <v>657</v>
      </c>
      <c r="C76" s="6">
        <f t="shared" si="26"/>
        <v>27</v>
      </c>
      <c r="D76" s="6">
        <f t="shared" si="26"/>
        <v>667</v>
      </c>
      <c r="E76" s="6">
        <f t="shared" si="26"/>
        <v>19</v>
      </c>
      <c r="F76" s="6">
        <f t="shared" si="26"/>
        <v>1457</v>
      </c>
      <c r="G76" s="6">
        <f t="shared" si="26"/>
        <v>2652</v>
      </c>
      <c r="H76" s="6">
        <f t="shared" si="26"/>
        <v>2487</v>
      </c>
      <c r="I76" s="6">
        <f t="shared" si="26"/>
        <v>4770</v>
      </c>
      <c r="J76" s="6">
        <f t="shared" si="26"/>
        <v>144</v>
      </c>
      <c r="K76" s="6">
        <f>K4+K7+K10+K13+K16+K19+K22+K25+K28+K31+K34+K37+K40+K43+K46+K49+K52+K58+K55+K61+K64+K67+K70+K73</f>
        <v>331</v>
      </c>
      <c r="L76" s="7" t="s">
        <v>10</v>
      </c>
      <c r="M76" s="3"/>
      <c r="N76" s="1"/>
    </row>
    <row r="77" spans="1:14" ht="13.5" thickBot="1" x14ac:dyDescent="0.25">
      <c r="A77" s="6">
        <f t="shared" si="26"/>
        <v>3560</v>
      </c>
      <c r="B77" s="6">
        <f t="shared" si="26"/>
        <v>87</v>
      </c>
      <c r="C77" s="6">
        <f t="shared" si="26"/>
        <v>71</v>
      </c>
      <c r="D77" s="6">
        <f t="shared" si="26"/>
        <v>96</v>
      </c>
      <c r="E77" s="6">
        <f t="shared" si="26"/>
        <v>7</v>
      </c>
      <c r="F77" s="6">
        <f t="shared" si="26"/>
        <v>805</v>
      </c>
      <c r="G77" s="6">
        <f t="shared" si="26"/>
        <v>104</v>
      </c>
      <c r="H77" s="6">
        <f t="shared" si="26"/>
        <v>744</v>
      </c>
      <c r="I77" s="6">
        <f t="shared" si="26"/>
        <v>1180</v>
      </c>
      <c r="J77" s="6">
        <f t="shared" si="26"/>
        <v>211</v>
      </c>
      <c r="K77" s="6">
        <f>K5+K8+K11+K14+K17+K20+K23+K26+K29+K32+K35+K38+K41+K44+K47+K50+K53+K59+K56+K62+K65+K68+K71+K74</f>
        <v>255</v>
      </c>
      <c r="L77" s="7" t="s">
        <v>11</v>
      </c>
      <c r="M77" s="11" t="s">
        <v>211</v>
      </c>
      <c r="N77" s="1"/>
    </row>
    <row r="78" spans="1:14" ht="13.5" thickBot="1" x14ac:dyDescent="0.25">
      <c r="A78" s="6">
        <f t="shared" si="26"/>
        <v>16771</v>
      </c>
      <c r="B78" s="6">
        <f t="shared" si="26"/>
        <v>744</v>
      </c>
      <c r="C78" s="6">
        <f t="shared" si="26"/>
        <v>98</v>
      </c>
      <c r="D78" s="6">
        <f t="shared" si="26"/>
        <v>763</v>
      </c>
      <c r="E78" s="6">
        <f t="shared" si="26"/>
        <v>26</v>
      </c>
      <c r="F78" s="6">
        <f t="shared" si="26"/>
        <v>2262</v>
      </c>
      <c r="G78" s="6">
        <f t="shared" si="26"/>
        <v>2756</v>
      </c>
      <c r="H78" s="6">
        <f t="shared" si="26"/>
        <v>3231</v>
      </c>
      <c r="I78" s="6">
        <f t="shared" si="26"/>
        <v>5950</v>
      </c>
      <c r="J78" s="6">
        <f t="shared" si="26"/>
        <v>355</v>
      </c>
      <c r="K78" s="6">
        <f>K6+K9+K12+K15+K18+K21+K24+K27+K30+K33+K36+K39+K42+K45+K48+K51+K54+K60+K57+K63+K66+K69+K72+K75</f>
        <v>586</v>
      </c>
      <c r="L78" s="7" t="s">
        <v>13</v>
      </c>
      <c r="M78" s="5"/>
      <c r="N78" s="1"/>
    </row>
  </sheetData>
  <mergeCells count="2">
    <mergeCell ref="A1:M1"/>
    <mergeCell ref="A2:M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5"/>
  <sheetViews>
    <sheetView showGridLines="0" zoomScale="90" zoomScaleNormal="90" workbookViewId="0">
      <selection activeCell="H35" sqref="H35"/>
    </sheetView>
  </sheetViews>
  <sheetFormatPr defaultRowHeight="12.75" x14ac:dyDescent="0.2"/>
  <cols>
    <col min="1" max="11" width="8.25" style="2" customWidth="1"/>
    <col min="12" max="12" width="11" style="2" customWidth="1"/>
    <col min="13" max="13" width="27.375" style="2" customWidth="1"/>
    <col min="14" max="14" width="4" style="2" customWidth="1"/>
    <col min="15" max="256" width="9" style="2"/>
    <col min="257" max="267" width="8.25" style="2" customWidth="1"/>
    <col min="268" max="268" width="11" style="2" customWidth="1"/>
    <col min="269" max="269" width="27.375" style="2" customWidth="1"/>
    <col min="270" max="270" width="4" style="2" customWidth="1"/>
    <col min="271" max="512" width="9" style="2"/>
    <col min="513" max="523" width="8.25" style="2" customWidth="1"/>
    <col min="524" max="524" width="11" style="2" customWidth="1"/>
    <col min="525" max="525" width="27.375" style="2" customWidth="1"/>
    <col min="526" max="526" width="4" style="2" customWidth="1"/>
    <col min="527" max="768" width="9" style="2"/>
    <col min="769" max="779" width="8.25" style="2" customWidth="1"/>
    <col min="780" max="780" width="11" style="2" customWidth="1"/>
    <col min="781" max="781" width="27.375" style="2" customWidth="1"/>
    <col min="782" max="782" width="4" style="2" customWidth="1"/>
    <col min="783" max="1024" width="9" style="2"/>
    <col min="1025" max="1035" width="8.25" style="2" customWidth="1"/>
    <col min="1036" max="1036" width="11" style="2" customWidth="1"/>
    <col min="1037" max="1037" width="27.375" style="2" customWidth="1"/>
    <col min="1038" max="1038" width="4" style="2" customWidth="1"/>
    <col min="1039" max="1280" width="9" style="2"/>
    <col min="1281" max="1291" width="8.25" style="2" customWidth="1"/>
    <col min="1292" max="1292" width="11" style="2" customWidth="1"/>
    <col min="1293" max="1293" width="27.375" style="2" customWidth="1"/>
    <col min="1294" max="1294" width="4" style="2" customWidth="1"/>
    <col min="1295" max="1536" width="9" style="2"/>
    <col min="1537" max="1547" width="8.25" style="2" customWidth="1"/>
    <col min="1548" max="1548" width="11" style="2" customWidth="1"/>
    <col min="1549" max="1549" width="27.375" style="2" customWidth="1"/>
    <col min="1550" max="1550" width="4" style="2" customWidth="1"/>
    <col min="1551" max="1792" width="9" style="2"/>
    <col min="1793" max="1803" width="8.25" style="2" customWidth="1"/>
    <col min="1804" max="1804" width="11" style="2" customWidth="1"/>
    <col min="1805" max="1805" width="27.375" style="2" customWidth="1"/>
    <col min="1806" max="1806" width="4" style="2" customWidth="1"/>
    <col min="1807" max="2048" width="9" style="2"/>
    <col min="2049" max="2059" width="8.25" style="2" customWidth="1"/>
    <col min="2060" max="2060" width="11" style="2" customWidth="1"/>
    <col min="2061" max="2061" width="27.375" style="2" customWidth="1"/>
    <col min="2062" max="2062" width="4" style="2" customWidth="1"/>
    <col min="2063" max="2304" width="9" style="2"/>
    <col min="2305" max="2315" width="8.25" style="2" customWidth="1"/>
    <col min="2316" max="2316" width="11" style="2" customWidth="1"/>
    <col min="2317" max="2317" width="27.375" style="2" customWidth="1"/>
    <col min="2318" max="2318" width="4" style="2" customWidth="1"/>
    <col min="2319" max="2560" width="9" style="2"/>
    <col min="2561" max="2571" width="8.25" style="2" customWidth="1"/>
    <col min="2572" max="2572" width="11" style="2" customWidth="1"/>
    <col min="2573" max="2573" width="27.375" style="2" customWidth="1"/>
    <col min="2574" max="2574" width="4" style="2" customWidth="1"/>
    <col min="2575" max="2816" width="9" style="2"/>
    <col min="2817" max="2827" width="8.25" style="2" customWidth="1"/>
    <col min="2828" max="2828" width="11" style="2" customWidth="1"/>
    <col min="2829" max="2829" width="27.375" style="2" customWidth="1"/>
    <col min="2830" max="2830" width="4" style="2" customWidth="1"/>
    <col min="2831" max="3072" width="9" style="2"/>
    <col min="3073" max="3083" width="8.25" style="2" customWidth="1"/>
    <col min="3084" max="3084" width="11" style="2" customWidth="1"/>
    <col min="3085" max="3085" width="27.375" style="2" customWidth="1"/>
    <col min="3086" max="3086" width="4" style="2" customWidth="1"/>
    <col min="3087" max="3328" width="9" style="2"/>
    <col min="3329" max="3339" width="8.25" style="2" customWidth="1"/>
    <col min="3340" max="3340" width="11" style="2" customWidth="1"/>
    <col min="3341" max="3341" width="27.375" style="2" customWidth="1"/>
    <col min="3342" max="3342" width="4" style="2" customWidth="1"/>
    <col min="3343" max="3584" width="9" style="2"/>
    <col min="3585" max="3595" width="8.25" style="2" customWidth="1"/>
    <col min="3596" max="3596" width="11" style="2" customWidth="1"/>
    <col min="3597" max="3597" width="27.375" style="2" customWidth="1"/>
    <col min="3598" max="3598" width="4" style="2" customWidth="1"/>
    <col min="3599" max="3840" width="9" style="2"/>
    <col min="3841" max="3851" width="8.25" style="2" customWidth="1"/>
    <col min="3852" max="3852" width="11" style="2" customWidth="1"/>
    <col min="3853" max="3853" width="27.375" style="2" customWidth="1"/>
    <col min="3854" max="3854" width="4" style="2" customWidth="1"/>
    <col min="3855" max="4096" width="9" style="2"/>
    <col min="4097" max="4107" width="8.25" style="2" customWidth="1"/>
    <col min="4108" max="4108" width="11" style="2" customWidth="1"/>
    <col min="4109" max="4109" width="27.375" style="2" customWidth="1"/>
    <col min="4110" max="4110" width="4" style="2" customWidth="1"/>
    <col min="4111" max="4352" width="9" style="2"/>
    <col min="4353" max="4363" width="8.25" style="2" customWidth="1"/>
    <col min="4364" max="4364" width="11" style="2" customWidth="1"/>
    <col min="4365" max="4365" width="27.375" style="2" customWidth="1"/>
    <col min="4366" max="4366" width="4" style="2" customWidth="1"/>
    <col min="4367" max="4608" width="9" style="2"/>
    <col min="4609" max="4619" width="8.25" style="2" customWidth="1"/>
    <col min="4620" max="4620" width="11" style="2" customWidth="1"/>
    <col min="4621" max="4621" width="27.375" style="2" customWidth="1"/>
    <col min="4622" max="4622" width="4" style="2" customWidth="1"/>
    <col min="4623" max="4864" width="9" style="2"/>
    <col min="4865" max="4875" width="8.25" style="2" customWidth="1"/>
    <col min="4876" max="4876" width="11" style="2" customWidth="1"/>
    <col min="4877" max="4877" width="27.375" style="2" customWidth="1"/>
    <col min="4878" max="4878" width="4" style="2" customWidth="1"/>
    <col min="4879" max="5120" width="9" style="2"/>
    <col min="5121" max="5131" width="8.25" style="2" customWidth="1"/>
    <col min="5132" max="5132" width="11" style="2" customWidth="1"/>
    <col min="5133" max="5133" width="27.375" style="2" customWidth="1"/>
    <col min="5134" max="5134" width="4" style="2" customWidth="1"/>
    <col min="5135" max="5376" width="9" style="2"/>
    <col min="5377" max="5387" width="8.25" style="2" customWidth="1"/>
    <col min="5388" max="5388" width="11" style="2" customWidth="1"/>
    <col min="5389" max="5389" width="27.375" style="2" customWidth="1"/>
    <col min="5390" max="5390" width="4" style="2" customWidth="1"/>
    <col min="5391" max="5632" width="9" style="2"/>
    <col min="5633" max="5643" width="8.25" style="2" customWidth="1"/>
    <col min="5644" max="5644" width="11" style="2" customWidth="1"/>
    <col min="5645" max="5645" width="27.375" style="2" customWidth="1"/>
    <col min="5646" max="5646" width="4" style="2" customWidth="1"/>
    <col min="5647" max="5888" width="9" style="2"/>
    <col min="5889" max="5899" width="8.25" style="2" customWidth="1"/>
    <col min="5900" max="5900" width="11" style="2" customWidth="1"/>
    <col min="5901" max="5901" width="27.375" style="2" customWidth="1"/>
    <col min="5902" max="5902" width="4" style="2" customWidth="1"/>
    <col min="5903" max="6144" width="9" style="2"/>
    <col min="6145" max="6155" width="8.25" style="2" customWidth="1"/>
    <col min="6156" max="6156" width="11" style="2" customWidth="1"/>
    <col min="6157" max="6157" width="27.375" style="2" customWidth="1"/>
    <col min="6158" max="6158" width="4" style="2" customWidth="1"/>
    <col min="6159" max="6400" width="9" style="2"/>
    <col min="6401" max="6411" width="8.25" style="2" customWidth="1"/>
    <col min="6412" max="6412" width="11" style="2" customWidth="1"/>
    <col min="6413" max="6413" width="27.375" style="2" customWidth="1"/>
    <col min="6414" max="6414" width="4" style="2" customWidth="1"/>
    <col min="6415" max="6656" width="9" style="2"/>
    <col min="6657" max="6667" width="8.25" style="2" customWidth="1"/>
    <col min="6668" max="6668" width="11" style="2" customWidth="1"/>
    <col min="6669" max="6669" width="27.375" style="2" customWidth="1"/>
    <col min="6670" max="6670" width="4" style="2" customWidth="1"/>
    <col min="6671" max="6912" width="9" style="2"/>
    <col min="6913" max="6923" width="8.25" style="2" customWidth="1"/>
    <col min="6924" max="6924" width="11" style="2" customWidth="1"/>
    <col min="6925" max="6925" width="27.375" style="2" customWidth="1"/>
    <col min="6926" max="6926" width="4" style="2" customWidth="1"/>
    <col min="6927" max="7168" width="9" style="2"/>
    <col min="7169" max="7179" width="8.25" style="2" customWidth="1"/>
    <col min="7180" max="7180" width="11" style="2" customWidth="1"/>
    <col min="7181" max="7181" width="27.375" style="2" customWidth="1"/>
    <col min="7182" max="7182" width="4" style="2" customWidth="1"/>
    <col min="7183" max="7424" width="9" style="2"/>
    <col min="7425" max="7435" width="8.25" style="2" customWidth="1"/>
    <col min="7436" max="7436" width="11" style="2" customWidth="1"/>
    <col min="7437" max="7437" width="27.375" style="2" customWidth="1"/>
    <col min="7438" max="7438" width="4" style="2" customWidth="1"/>
    <col min="7439" max="7680" width="9" style="2"/>
    <col min="7681" max="7691" width="8.25" style="2" customWidth="1"/>
    <col min="7692" max="7692" width="11" style="2" customWidth="1"/>
    <col min="7693" max="7693" width="27.375" style="2" customWidth="1"/>
    <col min="7694" max="7694" width="4" style="2" customWidth="1"/>
    <col min="7695" max="7936" width="9" style="2"/>
    <col min="7937" max="7947" width="8.25" style="2" customWidth="1"/>
    <col min="7948" max="7948" width="11" style="2" customWidth="1"/>
    <col min="7949" max="7949" width="27.375" style="2" customWidth="1"/>
    <col min="7950" max="7950" width="4" style="2" customWidth="1"/>
    <col min="7951" max="8192" width="9" style="2"/>
    <col min="8193" max="8203" width="8.25" style="2" customWidth="1"/>
    <col min="8204" max="8204" width="11" style="2" customWidth="1"/>
    <col min="8205" max="8205" width="27.375" style="2" customWidth="1"/>
    <col min="8206" max="8206" width="4" style="2" customWidth="1"/>
    <col min="8207" max="8448" width="9" style="2"/>
    <col min="8449" max="8459" width="8.25" style="2" customWidth="1"/>
    <col min="8460" max="8460" width="11" style="2" customWidth="1"/>
    <col min="8461" max="8461" width="27.375" style="2" customWidth="1"/>
    <col min="8462" max="8462" width="4" style="2" customWidth="1"/>
    <col min="8463" max="8704" width="9" style="2"/>
    <col min="8705" max="8715" width="8.25" style="2" customWidth="1"/>
    <col min="8716" max="8716" width="11" style="2" customWidth="1"/>
    <col min="8717" max="8717" width="27.375" style="2" customWidth="1"/>
    <col min="8718" max="8718" width="4" style="2" customWidth="1"/>
    <col min="8719" max="8960" width="9" style="2"/>
    <col min="8961" max="8971" width="8.25" style="2" customWidth="1"/>
    <col min="8972" max="8972" width="11" style="2" customWidth="1"/>
    <col min="8973" max="8973" width="27.375" style="2" customWidth="1"/>
    <col min="8974" max="8974" width="4" style="2" customWidth="1"/>
    <col min="8975" max="9216" width="9" style="2"/>
    <col min="9217" max="9227" width="8.25" style="2" customWidth="1"/>
    <col min="9228" max="9228" width="11" style="2" customWidth="1"/>
    <col min="9229" max="9229" width="27.375" style="2" customWidth="1"/>
    <col min="9230" max="9230" width="4" style="2" customWidth="1"/>
    <col min="9231" max="9472" width="9" style="2"/>
    <col min="9473" max="9483" width="8.25" style="2" customWidth="1"/>
    <col min="9484" max="9484" width="11" style="2" customWidth="1"/>
    <col min="9485" max="9485" width="27.375" style="2" customWidth="1"/>
    <col min="9486" max="9486" width="4" style="2" customWidth="1"/>
    <col min="9487" max="9728" width="9" style="2"/>
    <col min="9729" max="9739" width="8.25" style="2" customWidth="1"/>
    <col min="9740" max="9740" width="11" style="2" customWidth="1"/>
    <col min="9741" max="9741" width="27.375" style="2" customWidth="1"/>
    <col min="9742" max="9742" width="4" style="2" customWidth="1"/>
    <col min="9743" max="9984" width="9" style="2"/>
    <col min="9985" max="9995" width="8.25" style="2" customWidth="1"/>
    <col min="9996" max="9996" width="11" style="2" customWidth="1"/>
    <col min="9997" max="9997" width="27.375" style="2" customWidth="1"/>
    <col min="9998" max="9998" width="4" style="2" customWidth="1"/>
    <col min="9999" max="10240" width="9" style="2"/>
    <col min="10241" max="10251" width="8.25" style="2" customWidth="1"/>
    <col min="10252" max="10252" width="11" style="2" customWidth="1"/>
    <col min="10253" max="10253" width="27.375" style="2" customWidth="1"/>
    <col min="10254" max="10254" width="4" style="2" customWidth="1"/>
    <col min="10255" max="10496" width="9" style="2"/>
    <col min="10497" max="10507" width="8.25" style="2" customWidth="1"/>
    <col min="10508" max="10508" width="11" style="2" customWidth="1"/>
    <col min="10509" max="10509" width="27.375" style="2" customWidth="1"/>
    <col min="10510" max="10510" width="4" style="2" customWidth="1"/>
    <col min="10511" max="10752" width="9" style="2"/>
    <col min="10753" max="10763" width="8.25" style="2" customWidth="1"/>
    <col min="10764" max="10764" width="11" style="2" customWidth="1"/>
    <col min="10765" max="10765" width="27.375" style="2" customWidth="1"/>
    <col min="10766" max="10766" width="4" style="2" customWidth="1"/>
    <col min="10767" max="11008" width="9" style="2"/>
    <col min="11009" max="11019" width="8.25" style="2" customWidth="1"/>
    <col min="11020" max="11020" width="11" style="2" customWidth="1"/>
    <col min="11021" max="11021" width="27.375" style="2" customWidth="1"/>
    <col min="11022" max="11022" width="4" style="2" customWidth="1"/>
    <col min="11023" max="11264" width="9" style="2"/>
    <col min="11265" max="11275" width="8.25" style="2" customWidth="1"/>
    <col min="11276" max="11276" width="11" style="2" customWidth="1"/>
    <col min="11277" max="11277" width="27.375" style="2" customWidth="1"/>
    <col min="11278" max="11278" width="4" style="2" customWidth="1"/>
    <col min="11279" max="11520" width="9" style="2"/>
    <col min="11521" max="11531" width="8.25" style="2" customWidth="1"/>
    <col min="11532" max="11532" width="11" style="2" customWidth="1"/>
    <col min="11533" max="11533" width="27.375" style="2" customWidth="1"/>
    <col min="11534" max="11534" width="4" style="2" customWidth="1"/>
    <col min="11535" max="11776" width="9" style="2"/>
    <col min="11777" max="11787" width="8.25" style="2" customWidth="1"/>
    <col min="11788" max="11788" width="11" style="2" customWidth="1"/>
    <col min="11789" max="11789" width="27.375" style="2" customWidth="1"/>
    <col min="11790" max="11790" width="4" style="2" customWidth="1"/>
    <col min="11791" max="12032" width="9" style="2"/>
    <col min="12033" max="12043" width="8.25" style="2" customWidth="1"/>
    <col min="12044" max="12044" width="11" style="2" customWidth="1"/>
    <col min="12045" max="12045" width="27.375" style="2" customWidth="1"/>
    <col min="12046" max="12046" width="4" style="2" customWidth="1"/>
    <col min="12047" max="12288" width="9" style="2"/>
    <col min="12289" max="12299" width="8.25" style="2" customWidth="1"/>
    <col min="12300" max="12300" width="11" style="2" customWidth="1"/>
    <col min="12301" max="12301" width="27.375" style="2" customWidth="1"/>
    <col min="12302" max="12302" width="4" style="2" customWidth="1"/>
    <col min="12303" max="12544" width="9" style="2"/>
    <col min="12545" max="12555" width="8.25" style="2" customWidth="1"/>
    <col min="12556" max="12556" width="11" style="2" customWidth="1"/>
    <col min="12557" max="12557" width="27.375" style="2" customWidth="1"/>
    <col min="12558" max="12558" width="4" style="2" customWidth="1"/>
    <col min="12559" max="12800" width="9" style="2"/>
    <col min="12801" max="12811" width="8.25" style="2" customWidth="1"/>
    <col min="12812" max="12812" width="11" style="2" customWidth="1"/>
    <col min="12813" max="12813" width="27.375" style="2" customWidth="1"/>
    <col min="12814" max="12814" width="4" style="2" customWidth="1"/>
    <col min="12815" max="13056" width="9" style="2"/>
    <col min="13057" max="13067" width="8.25" style="2" customWidth="1"/>
    <col min="13068" max="13068" width="11" style="2" customWidth="1"/>
    <col min="13069" max="13069" width="27.375" style="2" customWidth="1"/>
    <col min="13070" max="13070" width="4" style="2" customWidth="1"/>
    <col min="13071" max="13312" width="9" style="2"/>
    <col min="13313" max="13323" width="8.25" style="2" customWidth="1"/>
    <col min="13324" max="13324" width="11" style="2" customWidth="1"/>
    <col min="13325" max="13325" width="27.375" style="2" customWidth="1"/>
    <col min="13326" max="13326" width="4" style="2" customWidth="1"/>
    <col min="13327" max="13568" width="9" style="2"/>
    <col min="13569" max="13579" width="8.25" style="2" customWidth="1"/>
    <col min="13580" max="13580" width="11" style="2" customWidth="1"/>
    <col min="13581" max="13581" width="27.375" style="2" customWidth="1"/>
    <col min="13582" max="13582" width="4" style="2" customWidth="1"/>
    <col min="13583" max="13824" width="9" style="2"/>
    <col min="13825" max="13835" width="8.25" style="2" customWidth="1"/>
    <col min="13836" max="13836" width="11" style="2" customWidth="1"/>
    <col min="13837" max="13837" width="27.375" style="2" customWidth="1"/>
    <col min="13838" max="13838" width="4" style="2" customWidth="1"/>
    <col min="13839" max="14080" width="9" style="2"/>
    <col min="14081" max="14091" width="8.25" style="2" customWidth="1"/>
    <col min="14092" max="14092" width="11" style="2" customWidth="1"/>
    <col min="14093" max="14093" width="27.375" style="2" customWidth="1"/>
    <col min="14094" max="14094" width="4" style="2" customWidth="1"/>
    <col min="14095" max="14336" width="9" style="2"/>
    <col min="14337" max="14347" width="8.25" style="2" customWidth="1"/>
    <col min="14348" max="14348" width="11" style="2" customWidth="1"/>
    <col min="14349" max="14349" width="27.375" style="2" customWidth="1"/>
    <col min="14350" max="14350" width="4" style="2" customWidth="1"/>
    <col min="14351" max="14592" width="9" style="2"/>
    <col min="14593" max="14603" width="8.25" style="2" customWidth="1"/>
    <col min="14604" max="14604" width="11" style="2" customWidth="1"/>
    <col min="14605" max="14605" width="27.375" style="2" customWidth="1"/>
    <col min="14606" max="14606" width="4" style="2" customWidth="1"/>
    <col min="14607" max="14848" width="9" style="2"/>
    <col min="14849" max="14859" width="8.25" style="2" customWidth="1"/>
    <col min="14860" max="14860" width="11" style="2" customWidth="1"/>
    <col min="14861" max="14861" width="27.375" style="2" customWidth="1"/>
    <col min="14862" max="14862" width="4" style="2" customWidth="1"/>
    <col min="14863" max="15104" width="9" style="2"/>
    <col min="15105" max="15115" width="8.25" style="2" customWidth="1"/>
    <col min="15116" max="15116" width="11" style="2" customWidth="1"/>
    <col min="15117" max="15117" width="27.375" style="2" customWidth="1"/>
    <col min="15118" max="15118" width="4" style="2" customWidth="1"/>
    <col min="15119" max="15360" width="9" style="2"/>
    <col min="15361" max="15371" width="8.25" style="2" customWidth="1"/>
    <col min="15372" max="15372" width="11" style="2" customWidth="1"/>
    <col min="15373" max="15373" width="27.375" style="2" customWidth="1"/>
    <col min="15374" max="15374" width="4" style="2" customWidth="1"/>
    <col min="15375" max="15616" width="9" style="2"/>
    <col min="15617" max="15627" width="8.25" style="2" customWidth="1"/>
    <col min="15628" max="15628" width="11" style="2" customWidth="1"/>
    <col min="15629" max="15629" width="27.375" style="2" customWidth="1"/>
    <col min="15630" max="15630" width="4" style="2" customWidth="1"/>
    <col min="15631" max="15872" width="9" style="2"/>
    <col min="15873" max="15883" width="8.25" style="2" customWidth="1"/>
    <col min="15884" max="15884" width="11" style="2" customWidth="1"/>
    <col min="15885" max="15885" width="27.375" style="2" customWidth="1"/>
    <col min="15886" max="15886" width="4" style="2" customWidth="1"/>
    <col min="15887" max="16128" width="9" style="2"/>
    <col min="16129" max="16139" width="8.25" style="2" customWidth="1"/>
    <col min="16140" max="16140" width="11" style="2" customWidth="1"/>
    <col min="16141" max="16141" width="27.375" style="2" customWidth="1"/>
    <col min="16142" max="16142" width="4" style="2" customWidth="1"/>
    <col min="16143" max="16384" width="9" style="2"/>
  </cols>
  <sheetData>
    <row r="1" spans="1:14" ht="20.100000000000001" customHeight="1" x14ac:dyDescent="0.2">
      <c r="A1" s="159" t="s">
        <v>685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"/>
    </row>
    <row r="2" spans="1:14" ht="20.100000000000001" customHeight="1" thickBot="1" x14ac:dyDescent="0.25">
      <c r="A2" s="160" t="s">
        <v>686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"/>
    </row>
    <row r="3" spans="1:14" ht="26.25" thickBot="1" x14ac:dyDescent="0.25">
      <c r="A3" s="7" t="s">
        <v>232</v>
      </c>
      <c r="B3" s="7" t="s">
        <v>57</v>
      </c>
      <c r="C3" s="7" t="s">
        <v>56</v>
      </c>
      <c r="D3" s="7" t="s">
        <v>683</v>
      </c>
      <c r="E3" s="7" t="s">
        <v>54</v>
      </c>
      <c r="F3" s="7" t="s">
        <v>53</v>
      </c>
      <c r="G3" s="7" t="s">
        <v>52</v>
      </c>
      <c r="H3" s="7" t="s">
        <v>51</v>
      </c>
      <c r="I3" s="7" t="s">
        <v>684</v>
      </c>
      <c r="J3" s="7" t="s">
        <v>49</v>
      </c>
      <c r="K3" s="7" t="s">
        <v>48</v>
      </c>
      <c r="L3" s="3" t="s">
        <v>8</v>
      </c>
      <c r="M3" s="47" t="s">
        <v>676</v>
      </c>
      <c r="N3" s="1"/>
    </row>
    <row r="4" spans="1:14" ht="13.5" thickBot="1" x14ac:dyDescent="0.25">
      <c r="A4" s="6">
        <f>SUM(B4:K4)</f>
        <v>0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7" t="s">
        <v>10</v>
      </c>
      <c r="M4" s="124"/>
      <c r="N4" s="1"/>
    </row>
    <row r="5" spans="1:14" ht="13.5" thickBot="1" x14ac:dyDescent="0.25">
      <c r="A5" s="6">
        <f t="shared" ref="A5:A68" si="0">SUM(B5:K5)</f>
        <v>1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1</v>
      </c>
      <c r="J5" s="6">
        <v>0</v>
      </c>
      <c r="K5" s="6">
        <v>0</v>
      </c>
      <c r="L5" s="7" t="s">
        <v>11</v>
      </c>
      <c r="M5" s="124" t="s">
        <v>12</v>
      </c>
      <c r="N5" s="1"/>
    </row>
    <row r="6" spans="1:14" ht="13.5" thickBot="1" x14ac:dyDescent="0.25">
      <c r="A6" s="6">
        <f t="shared" ref="A6:J6" si="1">SUM(A4:A5)</f>
        <v>1</v>
      </c>
      <c r="B6" s="6">
        <f t="shared" si="1"/>
        <v>0</v>
      </c>
      <c r="C6" s="6">
        <f t="shared" si="1"/>
        <v>0</v>
      </c>
      <c r="D6" s="6">
        <f t="shared" si="1"/>
        <v>0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1</v>
      </c>
      <c r="J6" s="6">
        <f t="shared" si="1"/>
        <v>0</v>
      </c>
      <c r="K6" s="6">
        <f>SUM(K4:K5)</f>
        <v>0</v>
      </c>
      <c r="L6" s="7" t="s">
        <v>13</v>
      </c>
      <c r="M6" s="9"/>
      <c r="N6" s="1"/>
    </row>
    <row r="7" spans="1:14" ht="13.5" thickBot="1" x14ac:dyDescent="0.25">
      <c r="A7" s="6">
        <f t="shared" si="0"/>
        <v>214</v>
      </c>
      <c r="B7" s="6">
        <v>8</v>
      </c>
      <c r="C7" s="6">
        <v>0</v>
      </c>
      <c r="D7" s="6">
        <v>7</v>
      </c>
      <c r="E7" s="6">
        <v>0</v>
      </c>
      <c r="F7" s="6">
        <v>20</v>
      </c>
      <c r="G7" s="6">
        <v>37</v>
      </c>
      <c r="H7" s="6">
        <v>37</v>
      </c>
      <c r="I7" s="6">
        <v>59</v>
      </c>
      <c r="J7" s="6">
        <v>11</v>
      </c>
      <c r="K7" s="6">
        <v>35</v>
      </c>
      <c r="L7" s="7" t="s">
        <v>10</v>
      </c>
      <c r="M7" s="124"/>
      <c r="N7" s="1"/>
    </row>
    <row r="8" spans="1:14" ht="13.5" thickBot="1" x14ac:dyDescent="0.25">
      <c r="A8" s="6">
        <f t="shared" si="0"/>
        <v>558</v>
      </c>
      <c r="B8" s="6">
        <v>7</v>
      </c>
      <c r="C8" s="6">
        <v>0</v>
      </c>
      <c r="D8" s="6">
        <v>18</v>
      </c>
      <c r="E8" s="6">
        <v>0</v>
      </c>
      <c r="F8" s="6">
        <v>84</v>
      </c>
      <c r="G8" s="6">
        <v>17</v>
      </c>
      <c r="H8" s="6">
        <v>108</v>
      </c>
      <c r="I8" s="6">
        <v>185</v>
      </c>
      <c r="J8" s="6">
        <v>62</v>
      </c>
      <c r="K8" s="6">
        <v>77</v>
      </c>
      <c r="L8" s="7" t="s">
        <v>11</v>
      </c>
      <c r="M8" s="124" t="s">
        <v>15</v>
      </c>
      <c r="N8" s="1"/>
    </row>
    <row r="9" spans="1:14" ht="13.5" thickBot="1" x14ac:dyDescent="0.25">
      <c r="A9" s="6">
        <f t="shared" ref="A9:K9" si="2">SUM(A7:A8)</f>
        <v>772</v>
      </c>
      <c r="B9" s="6">
        <f t="shared" si="2"/>
        <v>15</v>
      </c>
      <c r="C9" s="6">
        <f t="shared" si="2"/>
        <v>0</v>
      </c>
      <c r="D9" s="6">
        <f t="shared" si="2"/>
        <v>25</v>
      </c>
      <c r="E9" s="6">
        <f t="shared" si="2"/>
        <v>0</v>
      </c>
      <c r="F9" s="6">
        <f t="shared" si="2"/>
        <v>104</v>
      </c>
      <c r="G9" s="6">
        <f t="shared" si="2"/>
        <v>54</v>
      </c>
      <c r="H9" s="6">
        <f t="shared" si="2"/>
        <v>145</v>
      </c>
      <c r="I9" s="6">
        <f t="shared" si="2"/>
        <v>244</v>
      </c>
      <c r="J9" s="6">
        <f t="shared" si="2"/>
        <v>73</v>
      </c>
      <c r="K9" s="6">
        <f t="shared" si="2"/>
        <v>112</v>
      </c>
      <c r="L9" s="7" t="s">
        <v>13</v>
      </c>
      <c r="M9" s="9"/>
      <c r="N9" s="1"/>
    </row>
    <row r="10" spans="1:14" ht="13.5" thickBot="1" x14ac:dyDescent="0.25">
      <c r="A10" s="6">
        <f t="shared" si="0"/>
        <v>2</v>
      </c>
      <c r="B10" s="6">
        <v>0</v>
      </c>
      <c r="C10" s="6">
        <v>0</v>
      </c>
      <c r="D10" s="6">
        <v>0</v>
      </c>
      <c r="E10" s="6">
        <v>1</v>
      </c>
      <c r="F10" s="6">
        <v>0</v>
      </c>
      <c r="G10" s="6">
        <v>0</v>
      </c>
      <c r="H10" s="6">
        <v>0</v>
      </c>
      <c r="I10" s="6">
        <v>0</v>
      </c>
      <c r="J10" s="6">
        <v>1</v>
      </c>
      <c r="K10" s="6">
        <v>0</v>
      </c>
      <c r="L10" s="7" t="s">
        <v>10</v>
      </c>
      <c r="M10" s="124"/>
      <c r="N10" s="1"/>
    </row>
    <row r="11" spans="1:14" ht="13.5" thickBot="1" x14ac:dyDescent="0.25">
      <c r="A11" s="6">
        <f t="shared" si="0"/>
        <v>0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7" t="s">
        <v>11</v>
      </c>
      <c r="M11" s="124" t="s">
        <v>16</v>
      </c>
      <c r="N11" s="1"/>
    </row>
    <row r="12" spans="1:14" ht="13.5" thickBot="1" x14ac:dyDescent="0.25">
      <c r="A12" s="6">
        <f t="shared" ref="A12:K12" si="3">SUM(A10:A11)</f>
        <v>2</v>
      </c>
      <c r="B12" s="6">
        <f t="shared" si="3"/>
        <v>0</v>
      </c>
      <c r="C12" s="6">
        <f t="shared" si="3"/>
        <v>0</v>
      </c>
      <c r="D12" s="6">
        <f t="shared" si="3"/>
        <v>0</v>
      </c>
      <c r="E12" s="6">
        <f t="shared" si="3"/>
        <v>1</v>
      </c>
      <c r="F12" s="6">
        <f t="shared" si="3"/>
        <v>0</v>
      </c>
      <c r="G12" s="6">
        <f t="shared" si="3"/>
        <v>0</v>
      </c>
      <c r="H12" s="6">
        <f t="shared" si="3"/>
        <v>0</v>
      </c>
      <c r="I12" s="6">
        <f t="shared" si="3"/>
        <v>0</v>
      </c>
      <c r="J12" s="6">
        <f t="shared" si="3"/>
        <v>1</v>
      </c>
      <c r="K12" s="6">
        <f t="shared" si="3"/>
        <v>0</v>
      </c>
      <c r="L12" s="7" t="s">
        <v>13</v>
      </c>
      <c r="M12" s="9"/>
      <c r="N12" s="1"/>
    </row>
    <row r="13" spans="1:14" ht="13.5" thickBot="1" x14ac:dyDescent="0.25">
      <c r="A13" s="6">
        <f t="shared" si="0"/>
        <v>18</v>
      </c>
      <c r="B13" s="6">
        <v>0</v>
      </c>
      <c r="C13" s="6">
        <v>0</v>
      </c>
      <c r="D13" s="6">
        <v>0</v>
      </c>
      <c r="E13" s="6">
        <v>0</v>
      </c>
      <c r="F13" s="6">
        <v>6</v>
      </c>
      <c r="G13" s="6">
        <v>2</v>
      </c>
      <c r="H13" s="6">
        <v>2</v>
      </c>
      <c r="I13" s="6">
        <v>4</v>
      </c>
      <c r="J13" s="6">
        <v>0</v>
      </c>
      <c r="K13" s="6">
        <v>4</v>
      </c>
      <c r="L13" s="7" t="s">
        <v>10</v>
      </c>
      <c r="M13" s="124"/>
      <c r="N13" s="1"/>
    </row>
    <row r="14" spans="1:14" ht="13.5" thickBot="1" x14ac:dyDescent="0.25">
      <c r="A14" s="6">
        <f t="shared" si="0"/>
        <v>4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3</v>
      </c>
      <c r="I14" s="6">
        <v>0</v>
      </c>
      <c r="J14" s="6">
        <v>0</v>
      </c>
      <c r="K14" s="6">
        <v>1</v>
      </c>
      <c r="L14" s="7" t="s">
        <v>11</v>
      </c>
      <c r="M14" s="124" t="s">
        <v>31</v>
      </c>
      <c r="N14" s="1"/>
    </row>
    <row r="15" spans="1:14" ht="13.5" thickBot="1" x14ac:dyDescent="0.25">
      <c r="A15" s="6">
        <f t="shared" ref="A15:K15" si="4">SUM(A13:A14)</f>
        <v>22</v>
      </c>
      <c r="B15" s="6">
        <f t="shared" si="4"/>
        <v>0</v>
      </c>
      <c r="C15" s="6">
        <f t="shared" si="4"/>
        <v>0</v>
      </c>
      <c r="D15" s="6">
        <f t="shared" si="4"/>
        <v>0</v>
      </c>
      <c r="E15" s="6">
        <f t="shared" si="4"/>
        <v>0</v>
      </c>
      <c r="F15" s="6">
        <f t="shared" si="4"/>
        <v>6</v>
      </c>
      <c r="G15" s="6">
        <f t="shared" si="4"/>
        <v>2</v>
      </c>
      <c r="H15" s="6">
        <f t="shared" si="4"/>
        <v>5</v>
      </c>
      <c r="I15" s="6">
        <f t="shared" si="4"/>
        <v>4</v>
      </c>
      <c r="J15" s="6">
        <f t="shared" si="4"/>
        <v>0</v>
      </c>
      <c r="K15" s="6">
        <f t="shared" si="4"/>
        <v>5</v>
      </c>
      <c r="L15" s="7" t="s">
        <v>13</v>
      </c>
      <c r="M15" s="9"/>
      <c r="N15" s="1"/>
    </row>
    <row r="16" spans="1:14" ht="13.5" thickBot="1" x14ac:dyDescent="0.25">
      <c r="A16" s="6">
        <f t="shared" si="0"/>
        <v>2</v>
      </c>
      <c r="B16" s="6">
        <v>0</v>
      </c>
      <c r="C16" s="6">
        <v>0</v>
      </c>
      <c r="D16" s="6">
        <v>0</v>
      </c>
      <c r="E16" s="6">
        <v>0</v>
      </c>
      <c r="F16" s="6">
        <v>1</v>
      </c>
      <c r="G16" s="6">
        <v>1</v>
      </c>
      <c r="H16" s="6">
        <v>0</v>
      </c>
      <c r="I16" s="6">
        <v>0</v>
      </c>
      <c r="J16" s="6">
        <v>0</v>
      </c>
      <c r="K16" s="6">
        <v>0</v>
      </c>
      <c r="L16" s="7" t="s">
        <v>10</v>
      </c>
      <c r="M16" s="124"/>
      <c r="N16" s="1"/>
    </row>
    <row r="17" spans="1:14" ht="13.5" thickBot="1" x14ac:dyDescent="0.25">
      <c r="A17" s="6">
        <f t="shared" si="0"/>
        <v>0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7" t="s">
        <v>11</v>
      </c>
      <c r="M17" s="124" t="s">
        <v>17</v>
      </c>
      <c r="N17" s="1"/>
    </row>
    <row r="18" spans="1:14" ht="13.5" thickBot="1" x14ac:dyDescent="0.25">
      <c r="A18" s="6">
        <f t="shared" ref="A18:K18" si="5">SUM(A16:A17)</f>
        <v>2</v>
      </c>
      <c r="B18" s="6">
        <f t="shared" si="5"/>
        <v>0</v>
      </c>
      <c r="C18" s="6">
        <f t="shared" si="5"/>
        <v>0</v>
      </c>
      <c r="D18" s="6">
        <f t="shared" si="5"/>
        <v>0</v>
      </c>
      <c r="E18" s="6">
        <f t="shared" si="5"/>
        <v>0</v>
      </c>
      <c r="F18" s="6">
        <f t="shared" si="5"/>
        <v>1</v>
      </c>
      <c r="G18" s="6">
        <f t="shared" si="5"/>
        <v>1</v>
      </c>
      <c r="H18" s="6">
        <f t="shared" si="5"/>
        <v>0</v>
      </c>
      <c r="I18" s="6">
        <f t="shared" si="5"/>
        <v>0</v>
      </c>
      <c r="J18" s="6">
        <f t="shared" si="5"/>
        <v>0</v>
      </c>
      <c r="K18" s="6">
        <f t="shared" si="5"/>
        <v>0</v>
      </c>
      <c r="L18" s="7" t="s">
        <v>13</v>
      </c>
      <c r="M18" s="9"/>
      <c r="N18" s="1"/>
    </row>
    <row r="19" spans="1:14" ht="13.5" thickBot="1" x14ac:dyDescent="0.25">
      <c r="A19" s="6">
        <f t="shared" si="0"/>
        <v>15</v>
      </c>
      <c r="B19" s="6">
        <v>2</v>
      </c>
      <c r="C19" s="6">
        <v>0</v>
      </c>
      <c r="D19" s="6">
        <v>1</v>
      </c>
      <c r="E19" s="6">
        <v>0</v>
      </c>
      <c r="F19" s="6">
        <v>7</v>
      </c>
      <c r="G19" s="6">
        <v>2</v>
      </c>
      <c r="H19" s="6">
        <v>0</v>
      </c>
      <c r="I19" s="6">
        <v>3</v>
      </c>
      <c r="J19" s="6">
        <v>0</v>
      </c>
      <c r="K19" s="6">
        <v>0</v>
      </c>
      <c r="L19" s="7" t="s">
        <v>10</v>
      </c>
      <c r="M19" s="124"/>
      <c r="N19" s="1"/>
    </row>
    <row r="20" spans="1:14" ht="13.5" thickBot="1" x14ac:dyDescent="0.25">
      <c r="A20" s="6">
        <f t="shared" si="0"/>
        <v>7</v>
      </c>
      <c r="B20" s="6">
        <v>0</v>
      </c>
      <c r="C20" s="6">
        <v>1</v>
      </c>
      <c r="D20" s="6">
        <v>1</v>
      </c>
      <c r="E20" s="6">
        <v>0</v>
      </c>
      <c r="F20" s="6">
        <v>2</v>
      </c>
      <c r="G20" s="6">
        <v>0</v>
      </c>
      <c r="H20" s="6">
        <v>0</v>
      </c>
      <c r="I20" s="6">
        <v>3</v>
      </c>
      <c r="J20" s="6">
        <v>0</v>
      </c>
      <c r="K20" s="6">
        <v>0</v>
      </c>
      <c r="L20" s="7" t="s">
        <v>11</v>
      </c>
      <c r="M20" s="124" t="s">
        <v>19</v>
      </c>
      <c r="N20" s="1"/>
    </row>
    <row r="21" spans="1:14" ht="13.5" thickBot="1" x14ac:dyDescent="0.25">
      <c r="A21" s="6">
        <f t="shared" ref="A21:K21" si="6">SUM(A19:A20)</f>
        <v>22</v>
      </c>
      <c r="B21" s="6">
        <f t="shared" si="6"/>
        <v>2</v>
      </c>
      <c r="C21" s="6">
        <f t="shared" si="6"/>
        <v>1</v>
      </c>
      <c r="D21" s="6">
        <f t="shared" si="6"/>
        <v>2</v>
      </c>
      <c r="E21" s="6">
        <f t="shared" si="6"/>
        <v>0</v>
      </c>
      <c r="F21" s="6">
        <f t="shared" si="6"/>
        <v>9</v>
      </c>
      <c r="G21" s="6">
        <f t="shared" si="6"/>
        <v>2</v>
      </c>
      <c r="H21" s="6">
        <f t="shared" si="6"/>
        <v>0</v>
      </c>
      <c r="I21" s="6">
        <f t="shared" si="6"/>
        <v>6</v>
      </c>
      <c r="J21" s="6">
        <f t="shared" si="6"/>
        <v>0</v>
      </c>
      <c r="K21" s="6">
        <f t="shared" si="6"/>
        <v>0</v>
      </c>
      <c r="L21" s="7" t="s">
        <v>13</v>
      </c>
      <c r="M21" s="9"/>
      <c r="N21" s="1"/>
    </row>
    <row r="22" spans="1:14" ht="13.5" thickBot="1" x14ac:dyDescent="0.25">
      <c r="A22" s="6">
        <f t="shared" si="0"/>
        <v>98</v>
      </c>
      <c r="B22" s="6">
        <v>8</v>
      </c>
      <c r="C22" s="6">
        <v>0</v>
      </c>
      <c r="D22" s="6">
        <v>0</v>
      </c>
      <c r="E22" s="6">
        <v>0</v>
      </c>
      <c r="F22" s="6">
        <v>80</v>
      </c>
      <c r="G22" s="6">
        <v>4</v>
      </c>
      <c r="H22" s="6">
        <v>4</v>
      </c>
      <c r="I22" s="6">
        <v>1</v>
      </c>
      <c r="J22" s="6">
        <v>0</v>
      </c>
      <c r="K22" s="6">
        <v>1</v>
      </c>
      <c r="L22" s="7" t="s">
        <v>10</v>
      </c>
      <c r="M22" s="124"/>
      <c r="N22" s="1"/>
    </row>
    <row r="23" spans="1:14" ht="13.5" thickBot="1" x14ac:dyDescent="0.25">
      <c r="A23" s="6">
        <f t="shared" si="0"/>
        <v>43</v>
      </c>
      <c r="B23" s="6">
        <v>0</v>
      </c>
      <c r="C23" s="6">
        <v>0</v>
      </c>
      <c r="D23" s="6">
        <v>0</v>
      </c>
      <c r="E23" s="6">
        <v>0</v>
      </c>
      <c r="F23" s="6">
        <v>39</v>
      </c>
      <c r="G23" s="6">
        <v>2</v>
      </c>
      <c r="H23" s="6">
        <v>1</v>
      </c>
      <c r="I23" s="6">
        <v>1</v>
      </c>
      <c r="J23" s="6">
        <v>0</v>
      </c>
      <c r="K23" s="6">
        <v>0</v>
      </c>
      <c r="L23" s="7" t="s">
        <v>11</v>
      </c>
      <c r="M23" s="124" t="s">
        <v>35</v>
      </c>
      <c r="N23" s="1"/>
    </row>
    <row r="24" spans="1:14" ht="13.5" thickBot="1" x14ac:dyDescent="0.25">
      <c r="A24" s="6">
        <f t="shared" ref="A24:K24" si="7">SUM(A22:A23)</f>
        <v>141</v>
      </c>
      <c r="B24" s="6">
        <f t="shared" si="7"/>
        <v>8</v>
      </c>
      <c r="C24" s="6">
        <f t="shared" si="7"/>
        <v>0</v>
      </c>
      <c r="D24" s="6">
        <f t="shared" si="7"/>
        <v>0</v>
      </c>
      <c r="E24" s="6">
        <f t="shared" si="7"/>
        <v>0</v>
      </c>
      <c r="F24" s="6">
        <f t="shared" si="7"/>
        <v>119</v>
      </c>
      <c r="G24" s="6">
        <f t="shared" si="7"/>
        <v>6</v>
      </c>
      <c r="H24" s="6">
        <f t="shared" si="7"/>
        <v>5</v>
      </c>
      <c r="I24" s="6">
        <f t="shared" si="7"/>
        <v>2</v>
      </c>
      <c r="J24" s="6">
        <f t="shared" si="7"/>
        <v>0</v>
      </c>
      <c r="K24" s="6">
        <f t="shared" si="7"/>
        <v>1</v>
      </c>
      <c r="L24" s="7" t="s">
        <v>13</v>
      </c>
      <c r="M24" s="9"/>
      <c r="N24" s="1"/>
    </row>
    <row r="25" spans="1:14" ht="13.5" thickBot="1" x14ac:dyDescent="0.25">
      <c r="A25" s="6">
        <f t="shared" si="0"/>
        <v>0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7" t="s">
        <v>10</v>
      </c>
      <c r="M25" s="124"/>
      <c r="N25" s="1"/>
    </row>
    <row r="26" spans="1:14" ht="13.5" thickBot="1" x14ac:dyDescent="0.25">
      <c r="A26" s="6">
        <f t="shared" si="0"/>
        <v>1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1</v>
      </c>
      <c r="L26" s="7" t="s">
        <v>11</v>
      </c>
      <c r="M26" s="124" t="s">
        <v>20</v>
      </c>
      <c r="N26" s="1"/>
    </row>
    <row r="27" spans="1:14" ht="13.5" thickBot="1" x14ac:dyDescent="0.25">
      <c r="A27" s="6">
        <f t="shared" ref="A27:K27" si="8">SUM(A25:A26)</f>
        <v>1</v>
      </c>
      <c r="B27" s="6">
        <f t="shared" si="8"/>
        <v>0</v>
      </c>
      <c r="C27" s="6">
        <f t="shared" si="8"/>
        <v>0</v>
      </c>
      <c r="D27" s="6">
        <f t="shared" si="8"/>
        <v>0</v>
      </c>
      <c r="E27" s="6">
        <f t="shared" si="8"/>
        <v>0</v>
      </c>
      <c r="F27" s="6">
        <f t="shared" si="8"/>
        <v>0</v>
      </c>
      <c r="G27" s="6">
        <f t="shared" si="8"/>
        <v>0</v>
      </c>
      <c r="H27" s="6">
        <f t="shared" si="8"/>
        <v>0</v>
      </c>
      <c r="I27" s="6">
        <f t="shared" si="8"/>
        <v>0</v>
      </c>
      <c r="J27" s="6">
        <f t="shared" si="8"/>
        <v>0</v>
      </c>
      <c r="K27" s="6">
        <f t="shared" si="8"/>
        <v>1</v>
      </c>
      <c r="L27" s="7" t="s">
        <v>13</v>
      </c>
      <c r="M27" s="9"/>
      <c r="N27" s="1"/>
    </row>
    <row r="28" spans="1:14" ht="13.5" thickBot="1" x14ac:dyDescent="0.25">
      <c r="A28" s="6">
        <f t="shared" si="0"/>
        <v>2</v>
      </c>
      <c r="B28" s="6">
        <v>0</v>
      </c>
      <c r="C28" s="6">
        <v>0</v>
      </c>
      <c r="D28" s="6">
        <v>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1</v>
      </c>
      <c r="K28" s="6">
        <v>0</v>
      </c>
      <c r="L28" s="7" t="s">
        <v>10</v>
      </c>
      <c r="M28" s="124"/>
      <c r="N28" s="1"/>
    </row>
    <row r="29" spans="1:14" ht="13.5" thickBot="1" x14ac:dyDescent="0.25">
      <c r="A29" s="6">
        <f t="shared" si="0"/>
        <v>0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7" t="s">
        <v>11</v>
      </c>
      <c r="M29" s="124" t="s">
        <v>21</v>
      </c>
      <c r="N29" s="1"/>
    </row>
    <row r="30" spans="1:14" ht="13.5" thickBot="1" x14ac:dyDescent="0.25">
      <c r="A30" s="6">
        <f t="shared" ref="A30:K30" si="9">SUM(A28:A29)</f>
        <v>2</v>
      </c>
      <c r="B30" s="6">
        <f t="shared" si="9"/>
        <v>0</v>
      </c>
      <c r="C30" s="6">
        <f t="shared" si="9"/>
        <v>0</v>
      </c>
      <c r="D30" s="6">
        <f t="shared" si="9"/>
        <v>1</v>
      </c>
      <c r="E30" s="6">
        <f t="shared" si="9"/>
        <v>0</v>
      </c>
      <c r="F30" s="6">
        <f t="shared" si="9"/>
        <v>0</v>
      </c>
      <c r="G30" s="6">
        <f t="shared" si="9"/>
        <v>0</v>
      </c>
      <c r="H30" s="6">
        <f t="shared" si="9"/>
        <v>0</v>
      </c>
      <c r="I30" s="6">
        <f t="shared" si="9"/>
        <v>0</v>
      </c>
      <c r="J30" s="6">
        <f t="shared" si="9"/>
        <v>1</v>
      </c>
      <c r="K30" s="6">
        <f t="shared" si="9"/>
        <v>0</v>
      </c>
      <c r="L30" s="7" t="s">
        <v>13</v>
      </c>
      <c r="M30" s="9"/>
      <c r="N30" s="1"/>
    </row>
    <row r="31" spans="1:14" ht="13.5" thickBot="1" x14ac:dyDescent="0.25">
      <c r="A31" s="6">
        <f t="shared" si="0"/>
        <v>1</v>
      </c>
      <c r="B31" s="6">
        <v>1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7" t="s">
        <v>10</v>
      </c>
      <c r="M31" s="124"/>
      <c r="N31" s="1"/>
    </row>
    <row r="32" spans="1:14" ht="13.5" thickBot="1" x14ac:dyDescent="0.25">
      <c r="A32" s="6">
        <f t="shared" si="0"/>
        <v>14</v>
      </c>
      <c r="B32" s="6">
        <v>3</v>
      </c>
      <c r="C32" s="6">
        <v>0</v>
      </c>
      <c r="D32" s="6">
        <v>0</v>
      </c>
      <c r="E32" s="6">
        <v>0</v>
      </c>
      <c r="F32" s="6">
        <v>3</v>
      </c>
      <c r="G32" s="6">
        <v>0</v>
      </c>
      <c r="H32" s="6">
        <v>0</v>
      </c>
      <c r="I32" s="6">
        <v>2</v>
      </c>
      <c r="J32" s="6">
        <v>6</v>
      </c>
      <c r="K32" s="6">
        <v>0</v>
      </c>
      <c r="L32" s="7" t="s">
        <v>11</v>
      </c>
      <c r="M32" s="124" t="s">
        <v>22</v>
      </c>
      <c r="N32" s="1"/>
    </row>
    <row r="33" spans="1:14" ht="13.5" thickBot="1" x14ac:dyDescent="0.25">
      <c r="A33" s="6">
        <f t="shared" ref="A33:K33" si="10">SUM(A31:A32)</f>
        <v>15</v>
      </c>
      <c r="B33" s="6">
        <f t="shared" si="10"/>
        <v>4</v>
      </c>
      <c r="C33" s="6">
        <f t="shared" si="10"/>
        <v>0</v>
      </c>
      <c r="D33" s="6">
        <f t="shared" si="10"/>
        <v>0</v>
      </c>
      <c r="E33" s="6">
        <f t="shared" si="10"/>
        <v>0</v>
      </c>
      <c r="F33" s="6">
        <f t="shared" si="10"/>
        <v>3</v>
      </c>
      <c r="G33" s="6">
        <f t="shared" si="10"/>
        <v>0</v>
      </c>
      <c r="H33" s="6">
        <f t="shared" si="10"/>
        <v>0</v>
      </c>
      <c r="I33" s="6">
        <f t="shared" si="10"/>
        <v>2</v>
      </c>
      <c r="J33" s="6">
        <f t="shared" si="10"/>
        <v>6</v>
      </c>
      <c r="K33" s="6">
        <f t="shared" si="10"/>
        <v>0</v>
      </c>
      <c r="L33" s="7" t="s">
        <v>13</v>
      </c>
      <c r="M33" s="9"/>
      <c r="N33" s="1"/>
    </row>
    <row r="34" spans="1:14" ht="13.5" thickBot="1" x14ac:dyDescent="0.25">
      <c r="A34" s="6">
        <f t="shared" si="0"/>
        <v>63</v>
      </c>
      <c r="B34" s="6">
        <v>0</v>
      </c>
      <c r="C34" s="6">
        <v>0</v>
      </c>
      <c r="D34" s="6">
        <v>0</v>
      </c>
      <c r="E34" s="6">
        <v>0</v>
      </c>
      <c r="F34" s="6">
        <v>57</v>
      </c>
      <c r="G34" s="6">
        <v>2</v>
      </c>
      <c r="H34" s="6">
        <v>1</v>
      </c>
      <c r="I34" s="6">
        <v>0</v>
      </c>
      <c r="J34" s="6">
        <v>0</v>
      </c>
      <c r="K34" s="6">
        <v>3</v>
      </c>
      <c r="L34" s="7" t="s">
        <v>10</v>
      </c>
      <c r="M34" s="124"/>
      <c r="N34" s="1"/>
    </row>
    <row r="35" spans="1:14" ht="13.5" thickBot="1" x14ac:dyDescent="0.25">
      <c r="A35" s="6">
        <f t="shared" si="0"/>
        <v>18</v>
      </c>
      <c r="B35" s="6">
        <v>0</v>
      </c>
      <c r="C35" s="6">
        <v>0</v>
      </c>
      <c r="D35" s="6">
        <v>0</v>
      </c>
      <c r="E35" s="6">
        <v>0</v>
      </c>
      <c r="F35" s="6">
        <v>17</v>
      </c>
      <c r="G35" s="6">
        <v>0</v>
      </c>
      <c r="H35" s="6">
        <v>0</v>
      </c>
      <c r="I35" s="6">
        <v>0</v>
      </c>
      <c r="J35" s="6">
        <v>0</v>
      </c>
      <c r="K35" s="6">
        <v>1</v>
      </c>
      <c r="L35" s="7" t="s">
        <v>11</v>
      </c>
      <c r="M35" s="124" t="s">
        <v>36</v>
      </c>
      <c r="N35" s="1"/>
    </row>
    <row r="36" spans="1:14" ht="13.5" thickBot="1" x14ac:dyDescent="0.25">
      <c r="A36" s="6">
        <f t="shared" ref="A36:K36" si="11">SUM(A34:A35)</f>
        <v>81</v>
      </c>
      <c r="B36" s="6">
        <f t="shared" si="11"/>
        <v>0</v>
      </c>
      <c r="C36" s="6">
        <f t="shared" si="11"/>
        <v>0</v>
      </c>
      <c r="D36" s="6">
        <f t="shared" si="11"/>
        <v>0</v>
      </c>
      <c r="E36" s="6">
        <f t="shared" si="11"/>
        <v>0</v>
      </c>
      <c r="F36" s="6">
        <f t="shared" si="11"/>
        <v>74</v>
      </c>
      <c r="G36" s="6">
        <f t="shared" si="11"/>
        <v>2</v>
      </c>
      <c r="H36" s="6">
        <f t="shared" si="11"/>
        <v>1</v>
      </c>
      <c r="I36" s="6">
        <f t="shared" si="11"/>
        <v>0</v>
      </c>
      <c r="J36" s="6">
        <f t="shared" si="11"/>
        <v>0</v>
      </c>
      <c r="K36" s="6">
        <f t="shared" si="11"/>
        <v>4</v>
      </c>
      <c r="L36" s="7" t="s">
        <v>13</v>
      </c>
      <c r="M36" s="9"/>
      <c r="N36" s="1"/>
    </row>
    <row r="37" spans="1:14" ht="13.5" thickBot="1" x14ac:dyDescent="0.25">
      <c r="A37" s="6">
        <f t="shared" si="0"/>
        <v>24</v>
      </c>
      <c r="B37" s="6">
        <v>0</v>
      </c>
      <c r="C37" s="6">
        <v>0</v>
      </c>
      <c r="D37" s="6">
        <v>0</v>
      </c>
      <c r="E37" s="6">
        <v>0</v>
      </c>
      <c r="F37" s="6">
        <v>2</v>
      </c>
      <c r="G37" s="6">
        <v>2</v>
      </c>
      <c r="H37" s="6">
        <v>6</v>
      </c>
      <c r="I37" s="6">
        <v>5</v>
      </c>
      <c r="J37" s="6">
        <v>0</v>
      </c>
      <c r="K37" s="6">
        <v>9</v>
      </c>
      <c r="L37" s="7" t="s">
        <v>10</v>
      </c>
      <c r="M37" s="124"/>
      <c r="N37" s="1"/>
    </row>
    <row r="38" spans="1:14" ht="13.5" thickBot="1" x14ac:dyDescent="0.25">
      <c r="A38" s="6">
        <f t="shared" si="0"/>
        <v>6</v>
      </c>
      <c r="B38" s="6">
        <v>0</v>
      </c>
      <c r="C38" s="6">
        <v>0</v>
      </c>
      <c r="D38" s="6">
        <v>0</v>
      </c>
      <c r="E38" s="6">
        <v>0</v>
      </c>
      <c r="F38" s="6">
        <v>2</v>
      </c>
      <c r="G38" s="6">
        <v>0</v>
      </c>
      <c r="H38" s="6">
        <v>1</v>
      </c>
      <c r="I38" s="6">
        <v>2</v>
      </c>
      <c r="J38" s="6">
        <v>0</v>
      </c>
      <c r="K38" s="6">
        <v>1</v>
      </c>
      <c r="L38" s="7" t="s">
        <v>11</v>
      </c>
      <c r="M38" s="124" t="s">
        <v>32</v>
      </c>
      <c r="N38" s="1"/>
    </row>
    <row r="39" spans="1:14" ht="13.5" thickBot="1" x14ac:dyDescent="0.25">
      <c r="A39" s="6">
        <f t="shared" ref="A39:K39" si="12">SUM(A37:A38)</f>
        <v>30</v>
      </c>
      <c r="B39" s="6">
        <f t="shared" si="12"/>
        <v>0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4</v>
      </c>
      <c r="G39" s="6">
        <f t="shared" si="12"/>
        <v>2</v>
      </c>
      <c r="H39" s="6">
        <f t="shared" si="12"/>
        <v>7</v>
      </c>
      <c r="I39" s="6">
        <f t="shared" si="12"/>
        <v>7</v>
      </c>
      <c r="J39" s="6">
        <f t="shared" si="12"/>
        <v>0</v>
      </c>
      <c r="K39" s="6">
        <f t="shared" si="12"/>
        <v>10</v>
      </c>
      <c r="L39" s="7" t="s">
        <v>13</v>
      </c>
      <c r="M39" s="9"/>
      <c r="N39" s="1"/>
    </row>
    <row r="40" spans="1:14" ht="13.5" thickBot="1" x14ac:dyDescent="0.25">
      <c r="A40" s="6">
        <f t="shared" si="0"/>
        <v>75</v>
      </c>
      <c r="B40" s="6">
        <v>12</v>
      </c>
      <c r="C40" s="6">
        <v>2</v>
      </c>
      <c r="D40" s="6">
        <v>5</v>
      </c>
      <c r="E40" s="6">
        <v>1</v>
      </c>
      <c r="F40" s="6">
        <v>17</v>
      </c>
      <c r="G40" s="6">
        <v>6</v>
      </c>
      <c r="H40" s="6">
        <v>5</v>
      </c>
      <c r="I40" s="6">
        <v>14</v>
      </c>
      <c r="J40" s="6">
        <v>9</v>
      </c>
      <c r="K40" s="6">
        <v>4</v>
      </c>
      <c r="L40" s="7" t="s">
        <v>10</v>
      </c>
      <c r="M40" s="124"/>
      <c r="N40" s="1"/>
    </row>
    <row r="41" spans="1:14" ht="13.5" thickBot="1" x14ac:dyDescent="0.25">
      <c r="A41" s="6">
        <f t="shared" si="0"/>
        <v>21</v>
      </c>
      <c r="B41" s="6">
        <v>1</v>
      </c>
      <c r="C41" s="6">
        <v>1</v>
      </c>
      <c r="D41" s="6">
        <v>0</v>
      </c>
      <c r="E41" s="6">
        <v>0</v>
      </c>
      <c r="F41" s="6">
        <v>8</v>
      </c>
      <c r="G41" s="6">
        <v>1</v>
      </c>
      <c r="H41" s="6">
        <v>0</v>
      </c>
      <c r="I41" s="6">
        <v>4</v>
      </c>
      <c r="J41" s="6">
        <v>4</v>
      </c>
      <c r="K41" s="6">
        <v>2</v>
      </c>
      <c r="L41" s="7" t="s">
        <v>11</v>
      </c>
      <c r="M41" s="124" t="s">
        <v>23</v>
      </c>
      <c r="N41" s="1"/>
    </row>
    <row r="42" spans="1:14" ht="13.5" thickBot="1" x14ac:dyDescent="0.25">
      <c r="A42" s="6">
        <f t="shared" ref="A42:K42" si="13">SUM(A40:A41)</f>
        <v>96</v>
      </c>
      <c r="B42" s="6">
        <f t="shared" si="13"/>
        <v>13</v>
      </c>
      <c r="C42" s="6">
        <f t="shared" si="13"/>
        <v>3</v>
      </c>
      <c r="D42" s="6">
        <f t="shared" si="13"/>
        <v>5</v>
      </c>
      <c r="E42" s="6">
        <f t="shared" si="13"/>
        <v>1</v>
      </c>
      <c r="F42" s="6">
        <f t="shared" si="13"/>
        <v>25</v>
      </c>
      <c r="G42" s="6">
        <f t="shared" si="13"/>
        <v>7</v>
      </c>
      <c r="H42" s="6">
        <f t="shared" si="13"/>
        <v>5</v>
      </c>
      <c r="I42" s="6">
        <f t="shared" si="13"/>
        <v>18</v>
      </c>
      <c r="J42" s="6">
        <f t="shared" si="13"/>
        <v>13</v>
      </c>
      <c r="K42" s="6">
        <f t="shared" si="13"/>
        <v>6</v>
      </c>
      <c r="L42" s="7" t="s">
        <v>13</v>
      </c>
      <c r="M42" s="9"/>
      <c r="N42" s="1"/>
    </row>
    <row r="43" spans="1:14" ht="13.5" thickBot="1" x14ac:dyDescent="0.25">
      <c r="A43" s="6">
        <f t="shared" si="0"/>
        <v>1187</v>
      </c>
      <c r="B43" s="6">
        <v>104</v>
      </c>
      <c r="C43" s="6">
        <v>1</v>
      </c>
      <c r="D43" s="6">
        <v>29</v>
      </c>
      <c r="E43" s="6">
        <v>1</v>
      </c>
      <c r="F43" s="6">
        <v>128</v>
      </c>
      <c r="G43" s="6">
        <v>261</v>
      </c>
      <c r="H43" s="6">
        <v>204</v>
      </c>
      <c r="I43" s="6">
        <v>430</v>
      </c>
      <c r="J43" s="6">
        <v>15</v>
      </c>
      <c r="K43" s="6">
        <v>14</v>
      </c>
      <c r="L43" s="7" t="s">
        <v>10</v>
      </c>
      <c r="M43" s="124"/>
      <c r="N43" s="1"/>
    </row>
    <row r="44" spans="1:14" ht="13.5" thickBot="1" x14ac:dyDescent="0.25">
      <c r="A44" s="6">
        <f t="shared" si="0"/>
        <v>230</v>
      </c>
      <c r="B44" s="6">
        <v>14</v>
      </c>
      <c r="C44" s="6">
        <v>1</v>
      </c>
      <c r="D44" s="6">
        <v>2</v>
      </c>
      <c r="E44" s="6">
        <v>0</v>
      </c>
      <c r="F44" s="6">
        <v>57</v>
      </c>
      <c r="G44" s="6">
        <v>12</v>
      </c>
      <c r="H44" s="6">
        <v>62</v>
      </c>
      <c r="I44" s="6">
        <v>75</v>
      </c>
      <c r="J44" s="6">
        <v>4</v>
      </c>
      <c r="K44" s="6">
        <v>3</v>
      </c>
      <c r="L44" s="7" t="s">
        <v>11</v>
      </c>
      <c r="M44" s="124" t="s">
        <v>41</v>
      </c>
      <c r="N44" s="1"/>
    </row>
    <row r="45" spans="1:14" ht="13.5" thickBot="1" x14ac:dyDescent="0.25">
      <c r="A45" s="6">
        <f t="shared" ref="A45:K45" si="14">SUM(A43:A44)</f>
        <v>1417</v>
      </c>
      <c r="B45" s="6">
        <f t="shared" si="14"/>
        <v>118</v>
      </c>
      <c r="C45" s="6">
        <f t="shared" si="14"/>
        <v>2</v>
      </c>
      <c r="D45" s="6">
        <f t="shared" si="14"/>
        <v>31</v>
      </c>
      <c r="E45" s="6">
        <f t="shared" si="14"/>
        <v>1</v>
      </c>
      <c r="F45" s="6">
        <f t="shared" si="14"/>
        <v>185</v>
      </c>
      <c r="G45" s="6">
        <f t="shared" si="14"/>
        <v>273</v>
      </c>
      <c r="H45" s="6">
        <f t="shared" si="14"/>
        <v>266</v>
      </c>
      <c r="I45" s="6">
        <f t="shared" si="14"/>
        <v>505</v>
      </c>
      <c r="J45" s="6">
        <f t="shared" si="14"/>
        <v>19</v>
      </c>
      <c r="K45" s="6">
        <f t="shared" si="14"/>
        <v>17</v>
      </c>
      <c r="L45" s="7" t="s">
        <v>13</v>
      </c>
      <c r="M45" s="9"/>
      <c r="N45" s="1"/>
    </row>
    <row r="46" spans="1:14" ht="13.5" thickBot="1" x14ac:dyDescent="0.25">
      <c r="A46" s="6">
        <f t="shared" si="0"/>
        <v>3</v>
      </c>
      <c r="B46" s="6">
        <v>0</v>
      </c>
      <c r="C46" s="6">
        <v>0</v>
      </c>
      <c r="D46" s="6">
        <v>0</v>
      </c>
      <c r="E46" s="6">
        <v>0</v>
      </c>
      <c r="F46" s="6">
        <v>2</v>
      </c>
      <c r="G46" s="6">
        <v>1</v>
      </c>
      <c r="H46" s="6">
        <v>0</v>
      </c>
      <c r="I46" s="6">
        <v>0</v>
      </c>
      <c r="J46" s="6">
        <v>0</v>
      </c>
      <c r="K46" s="6">
        <v>0</v>
      </c>
      <c r="L46" s="7" t="s">
        <v>10</v>
      </c>
      <c r="M46" s="124"/>
      <c r="N46" s="1"/>
    </row>
    <row r="47" spans="1:14" ht="13.5" thickBot="1" x14ac:dyDescent="0.25">
      <c r="A47" s="6">
        <f t="shared" si="0"/>
        <v>1</v>
      </c>
      <c r="B47" s="6">
        <v>0</v>
      </c>
      <c r="C47" s="6">
        <v>0</v>
      </c>
      <c r="D47" s="6">
        <v>0</v>
      </c>
      <c r="E47" s="6">
        <v>0</v>
      </c>
      <c r="F47" s="6">
        <v>1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7" t="s">
        <v>11</v>
      </c>
      <c r="M47" s="124" t="s">
        <v>24</v>
      </c>
      <c r="N47" s="1"/>
    </row>
    <row r="48" spans="1:14" ht="13.5" thickBot="1" x14ac:dyDescent="0.25">
      <c r="A48" s="6">
        <f t="shared" ref="A48:K48" si="15">SUM(A46:A47)</f>
        <v>4</v>
      </c>
      <c r="B48" s="6">
        <f t="shared" si="15"/>
        <v>0</v>
      </c>
      <c r="C48" s="6">
        <f t="shared" si="15"/>
        <v>0</v>
      </c>
      <c r="D48" s="6">
        <f t="shared" si="15"/>
        <v>0</v>
      </c>
      <c r="E48" s="6">
        <f t="shared" si="15"/>
        <v>0</v>
      </c>
      <c r="F48" s="6">
        <f t="shared" si="15"/>
        <v>3</v>
      </c>
      <c r="G48" s="6">
        <f t="shared" si="15"/>
        <v>1</v>
      </c>
      <c r="H48" s="6">
        <f t="shared" si="15"/>
        <v>0</v>
      </c>
      <c r="I48" s="6">
        <f t="shared" si="15"/>
        <v>0</v>
      </c>
      <c r="J48" s="6">
        <f t="shared" si="15"/>
        <v>0</v>
      </c>
      <c r="K48" s="6">
        <f t="shared" si="15"/>
        <v>0</v>
      </c>
      <c r="L48" s="7" t="s">
        <v>13</v>
      </c>
      <c r="M48" s="9"/>
      <c r="N48" s="1"/>
    </row>
    <row r="49" spans="1:14" ht="13.5" thickBot="1" x14ac:dyDescent="0.25">
      <c r="A49" s="6">
        <f t="shared" si="0"/>
        <v>1995</v>
      </c>
      <c r="B49" s="6">
        <v>12</v>
      </c>
      <c r="C49" s="6">
        <v>2</v>
      </c>
      <c r="D49" s="6">
        <v>183</v>
      </c>
      <c r="E49" s="6">
        <v>5</v>
      </c>
      <c r="F49" s="6">
        <v>227</v>
      </c>
      <c r="G49" s="6">
        <v>387</v>
      </c>
      <c r="H49" s="6">
        <v>450</v>
      </c>
      <c r="I49" s="6">
        <v>624</v>
      </c>
      <c r="J49" s="6">
        <v>28</v>
      </c>
      <c r="K49" s="6">
        <v>77</v>
      </c>
      <c r="L49" s="7" t="s">
        <v>10</v>
      </c>
      <c r="M49" s="124"/>
      <c r="N49" s="1"/>
    </row>
    <row r="50" spans="1:14" ht="13.5" thickBot="1" x14ac:dyDescent="0.25">
      <c r="A50" s="6">
        <f t="shared" si="0"/>
        <v>710</v>
      </c>
      <c r="B50" s="6">
        <v>8</v>
      </c>
      <c r="C50" s="6">
        <v>6</v>
      </c>
      <c r="D50" s="6">
        <v>17</v>
      </c>
      <c r="E50" s="6">
        <v>0</v>
      </c>
      <c r="F50" s="6">
        <v>235</v>
      </c>
      <c r="G50" s="6">
        <v>12</v>
      </c>
      <c r="H50" s="6">
        <v>198</v>
      </c>
      <c r="I50" s="6">
        <v>195</v>
      </c>
      <c r="J50" s="6">
        <v>10</v>
      </c>
      <c r="K50" s="6">
        <v>29</v>
      </c>
      <c r="L50" s="7" t="s">
        <v>11</v>
      </c>
      <c r="M50" s="124" t="s">
        <v>37</v>
      </c>
      <c r="N50" s="1"/>
    </row>
    <row r="51" spans="1:14" ht="13.5" thickBot="1" x14ac:dyDescent="0.25">
      <c r="A51" s="6">
        <f t="shared" ref="A51:K51" si="16">SUM(A49:A50)</f>
        <v>2705</v>
      </c>
      <c r="B51" s="6">
        <f t="shared" si="16"/>
        <v>20</v>
      </c>
      <c r="C51" s="6">
        <f t="shared" si="16"/>
        <v>8</v>
      </c>
      <c r="D51" s="6">
        <f t="shared" si="16"/>
        <v>200</v>
      </c>
      <c r="E51" s="6">
        <f t="shared" si="16"/>
        <v>5</v>
      </c>
      <c r="F51" s="6">
        <f t="shared" si="16"/>
        <v>462</v>
      </c>
      <c r="G51" s="6">
        <f t="shared" si="16"/>
        <v>399</v>
      </c>
      <c r="H51" s="6">
        <f t="shared" si="16"/>
        <v>648</v>
      </c>
      <c r="I51" s="6">
        <f t="shared" si="16"/>
        <v>819</v>
      </c>
      <c r="J51" s="6">
        <f t="shared" si="16"/>
        <v>38</v>
      </c>
      <c r="K51" s="6">
        <f t="shared" si="16"/>
        <v>106</v>
      </c>
      <c r="L51" s="7" t="s">
        <v>13</v>
      </c>
      <c r="M51" s="9"/>
      <c r="N51" s="1"/>
    </row>
    <row r="52" spans="1:14" ht="13.5" thickBot="1" x14ac:dyDescent="0.25">
      <c r="A52" s="6">
        <f t="shared" si="0"/>
        <v>52</v>
      </c>
      <c r="B52" s="6">
        <v>2</v>
      </c>
      <c r="C52" s="6">
        <v>2</v>
      </c>
      <c r="D52" s="6">
        <v>2</v>
      </c>
      <c r="E52" s="6">
        <v>4</v>
      </c>
      <c r="F52" s="6">
        <v>8</v>
      </c>
      <c r="G52" s="6">
        <v>6</v>
      </c>
      <c r="H52" s="6">
        <v>8</v>
      </c>
      <c r="I52" s="6">
        <v>14</v>
      </c>
      <c r="J52" s="6">
        <v>4</v>
      </c>
      <c r="K52" s="6">
        <v>2</v>
      </c>
      <c r="L52" s="7" t="s">
        <v>10</v>
      </c>
      <c r="M52" s="124"/>
      <c r="N52" s="1"/>
    </row>
    <row r="53" spans="1:14" ht="13.5" thickBot="1" x14ac:dyDescent="0.25">
      <c r="A53" s="6">
        <f t="shared" si="0"/>
        <v>78</v>
      </c>
      <c r="B53" s="6">
        <v>3</v>
      </c>
      <c r="C53" s="6">
        <v>3</v>
      </c>
      <c r="D53" s="6">
        <v>3</v>
      </c>
      <c r="E53" s="6">
        <v>6</v>
      </c>
      <c r="F53" s="6">
        <v>12</v>
      </c>
      <c r="G53" s="6">
        <v>9</v>
      </c>
      <c r="H53" s="6">
        <v>12</v>
      </c>
      <c r="I53" s="6">
        <v>21</v>
      </c>
      <c r="J53" s="6">
        <v>6</v>
      </c>
      <c r="K53" s="6">
        <v>3</v>
      </c>
      <c r="L53" s="7" t="s">
        <v>11</v>
      </c>
      <c r="M53" s="124" t="s">
        <v>42</v>
      </c>
      <c r="N53" s="1"/>
    </row>
    <row r="54" spans="1:14" ht="13.5" thickBot="1" x14ac:dyDescent="0.25">
      <c r="A54" s="6">
        <f t="shared" ref="A54:K54" si="17">SUM(A52:A53)</f>
        <v>130</v>
      </c>
      <c r="B54" s="6">
        <f t="shared" si="17"/>
        <v>5</v>
      </c>
      <c r="C54" s="6">
        <f t="shared" si="17"/>
        <v>5</v>
      </c>
      <c r="D54" s="6">
        <f t="shared" si="17"/>
        <v>5</v>
      </c>
      <c r="E54" s="6">
        <f t="shared" si="17"/>
        <v>10</v>
      </c>
      <c r="F54" s="6">
        <f t="shared" si="17"/>
        <v>20</v>
      </c>
      <c r="G54" s="6">
        <f t="shared" si="17"/>
        <v>15</v>
      </c>
      <c r="H54" s="6">
        <f t="shared" si="17"/>
        <v>20</v>
      </c>
      <c r="I54" s="6">
        <f t="shared" si="17"/>
        <v>35</v>
      </c>
      <c r="J54" s="6">
        <f t="shared" si="17"/>
        <v>10</v>
      </c>
      <c r="K54" s="6">
        <f t="shared" si="17"/>
        <v>5</v>
      </c>
      <c r="L54" s="7" t="s">
        <v>13</v>
      </c>
      <c r="M54" s="9"/>
      <c r="N54" s="1"/>
    </row>
    <row r="55" spans="1:14" ht="13.5" thickBot="1" x14ac:dyDescent="0.25">
      <c r="A55" s="6">
        <f t="shared" si="0"/>
        <v>111</v>
      </c>
      <c r="B55" s="6">
        <v>0</v>
      </c>
      <c r="C55" s="6">
        <v>0</v>
      </c>
      <c r="D55" s="6">
        <v>6</v>
      </c>
      <c r="E55" s="6">
        <v>0</v>
      </c>
      <c r="F55" s="6">
        <v>59</v>
      </c>
      <c r="G55" s="6">
        <v>8</v>
      </c>
      <c r="H55" s="6">
        <v>6</v>
      </c>
      <c r="I55" s="6">
        <v>24</v>
      </c>
      <c r="J55" s="6">
        <v>0</v>
      </c>
      <c r="K55" s="6">
        <v>8</v>
      </c>
      <c r="L55" s="7" t="s">
        <v>10</v>
      </c>
      <c r="M55" s="124"/>
      <c r="N55" s="1"/>
    </row>
    <row r="56" spans="1:14" ht="13.5" thickBot="1" x14ac:dyDescent="0.25">
      <c r="A56" s="6">
        <f t="shared" si="0"/>
        <v>32</v>
      </c>
      <c r="B56" s="6">
        <v>1</v>
      </c>
      <c r="C56" s="6">
        <v>2</v>
      </c>
      <c r="D56" s="6">
        <v>0</v>
      </c>
      <c r="E56" s="6">
        <v>0</v>
      </c>
      <c r="F56" s="6">
        <v>9</v>
      </c>
      <c r="G56" s="6">
        <v>0</v>
      </c>
      <c r="H56" s="6">
        <v>5</v>
      </c>
      <c r="I56" s="6">
        <v>5</v>
      </c>
      <c r="J56" s="6">
        <v>0</v>
      </c>
      <c r="K56" s="6">
        <v>10</v>
      </c>
      <c r="L56" s="7" t="s">
        <v>11</v>
      </c>
      <c r="M56" s="124" t="s">
        <v>38</v>
      </c>
      <c r="N56" s="1"/>
    </row>
    <row r="57" spans="1:14" ht="13.5" thickBot="1" x14ac:dyDescent="0.25">
      <c r="A57" s="6">
        <f t="shared" ref="A57:K57" si="18">SUM(A55:A56)</f>
        <v>143</v>
      </c>
      <c r="B57" s="6">
        <f t="shared" si="18"/>
        <v>1</v>
      </c>
      <c r="C57" s="6">
        <f t="shared" si="18"/>
        <v>2</v>
      </c>
      <c r="D57" s="6">
        <f t="shared" si="18"/>
        <v>6</v>
      </c>
      <c r="E57" s="6">
        <f t="shared" si="18"/>
        <v>0</v>
      </c>
      <c r="F57" s="6">
        <f t="shared" si="18"/>
        <v>68</v>
      </c>
      <c r="G57" s="6">
        <f t="shared" si="18"/>
        <v>8</v>
      </c>
      <c r="H57" s="6">
        <f t="shared" si="18"/>
        <v>11</v>
      </c>
      <c r="I57" s="6">
        <f t="shared" si="18"/>
        <v>29</v>
      </c>
      <c r="J57" s="6">
        <f t="shared" si="18"/>
        <v>0</v>
      </c>
      <c r="K57" s="6">
        <f t="shared" si="18"/>
        <v>18</v>
      </c>
      <c r="L57" s="7" t="s">
        <v>13</v>
      </c>
      <c r="M57" s="9"/>
      <c r="N57" s="1"/>
    </row>
    <row r="58" spans="1:14" ht="13.5" thickBot="1" x14ac:dyDescent="0.25">
      <c r="A58" s="6">
        <f t="shared" si="0"/>
        <v>3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1</v>
      </c>
      <c r="H58" s="6">
        <v>0</v>
      </c>
      <c r="I58" s="6">
        <v>1</v>
      </c>
      <c r="J58" s="6">
        <v>0</v>
      </c>
      <c r="K58" s="6">
        <v>1</v>
      </c>
      <c r="L58" s="7" t="s">
        <v>10</v>
      </c>
      <c r="M58" s="124"/>
      <c r="N58" s="1"/>
    </row>
    <row r="59" spans="1:14" ht="13.5" thickBot="1" x14ac:dyDescent="0.25">
      <c r="A59" s="6">
        <f t="shared" si="0"/>
        <v>4</v>
      </c>
      <c r="B59" s="6">
        <v>0</v>
      </c>
      <c r="C59" s="6">
        <v>1</v>
      </c>
      <c r="D59" s="6">
        <v>0</v>
      </c>
      <c r="E59" s="6">
        <v>0</v>
      </c>
      <c r="F59" s="6">
        <v>2</v>
      </c>
      <c r="G59" s="6">
        <v>0</v>
      </c>
      <c r="H59" s="6">
        <v>0</v>
      </c>
      <c r="I59" s="6">
        <v>1</v>
      </c>
      <c r="J59" s="6">
        <v>0</v>
      </c>
      <c r="K59" s="6">
        <v>0</v>
      </c>
      <c r="L59" s="7" t="s">
        <v>11</v>
      </c>
      <c r="M59" s="124" t="s">
        <v>39</v>
      </c>
      <c r="N59" s="1"/>
    </row>
    <row r="60" spans="1:14" ht="13.5" thickBot="1" x14ac:dyDescent="0.25">
      <c r="A60" s="6">
        <f t="shared" ref="A60:K60" si="19">SUM(A58:A59)</f>
        <v>7</v>
      </c>
      <c r="B60" s="6">
        <f t="shared" si="19"/>
        <v>0</v>
      </c>
      <c r="C60" s="6">
        <f t="shared" si="19"/>
        <v>1</v>
      </c>
      <c r="D60" s="6">
        <f t="shared" si="19"/>
        <v>0</v>
      </c>
      <c r="E60" s="6">
        <f t="shared" si="19"/>
        <v>0</v>
      </c>
      <c r="F60" s="6">
        <f t="shared" si="19"/>
        <v>2</v>
      </c>
      <c r="G60" s="6">
        <f t="shared" si="19"/>
        <v>1</v>
      </c>
      <c r="H60" s="6">
        <f t="shared" si="19"/>
        <v>0</v>
      </c>
      <c r="I60" s="6">
        <f t="shared" si="19"/>
        <v>2</v>
      </c>
      <c r="J60" s="6">
        <f t="shared" si="19"/>
        <v>0</v>
      </c>
      <c r="K60" s="6">
        <f t="shared" si="19"/>
        <v>1</v>
      </c>
      <c r="L60" s="7" t="s">
        <v>13</v>
      </c>
      <c r="M60" s="9"/>
      <c r="N60" s="1"/>
    </row>
    <row r="61" spans="1:14" ht="13.5" thickBot="1" x14ac:dyDescent="0.25">
      <c r="A61" s="6">
        <f t="shared" si="0"/>
        <v>60</v>
      </c>
      <c r="B61" s="6">
        <v>12</v>
      </c>
      <c r="C61" s="6">
        <v>0</v>
      </c>
      <c r="D61" s="6">
        <v>5</v>
      </c>
      <c r="E61" s="6">
        <v>0</v>
      </c>
      <c r="F61" s="6">
        <v>14</v>
      </c>
      <c r="G61" s="6">
        <v>7</v>
      </c>
      <c r="H61" s="6">
        <v>3</v>
      </c>
      <c r="I61" s="6">
        <v>10</v>
      </c>
      <c r="J61" s="6">
        <v>5</v>
      </c>
      <c r="K61" s="6">
        <v>4</v>
      </c>
      <c r="L61" s="7" t="s">
        <v>10</v>
      </c>
      <c r="M61" s="124"/>
      <c r="N61" s="1"/>
    </row>
    <row r="62" spans="1:14" ht="13.5" thickBot="1" x14ac:dyDescent="0.25">
      <c r="A62" s="6">
        <f t="shared" si="0"/>
        <v>9</v>
      </c>
      <c r="B62" s="6">
        <v>0</v>
      </c>
      <c r="C62" s="6">
        <v>1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2</v>
      </c>
      <c r="J62" s="6">
        <v>1</v>
      </c>
      <c r="K62" s="6">
        <v>5</v>
      </c>
      <c r="L62" s="7" t="s">
        <v>11</v>
      </c>
      <c r="M62" s="124" t="s">
        <v>25</v>
      </c>
      <c r="N62" s="1"/>
    </row>
    <row r="63" spans="1:14" ht="13.5" thickBot="1" x14ac:dyDescent="0.25">
      <c r="A63" s="6">
        <f t="shared" ref="A63:K63" si="20">SUM(A61:A62)</f>
        <v>69</v>
      </c>
      <c r="B63" s="6">
        <f t="shared" si="20"/>
        <v>12</v>
      </c>
      <c r="C63" s="6">
        <f t="shared" si="20"/>
        <v>1</v>
      </c>
      <c r="D63" s="6">
        <f t="shared" si="20"/>
        <v>5</v>
      </c>
      <c r="E63" s="6">
        <f t="shared" si="20"/>
        <v>0</v>
      </c>
      <c r="F63" s="6">
        <f t="shared" si="20"/>
        <v>14</v>
      </c>
      <c r="G63" s="6">
        <f t="shared" si="20"/>
        <v>7</v>
      </c>
      <c r="H63" s="6">
        <f t="shared" si="20"/>
        <v>3</v>
      </c>
      <c r="I63" s="6">
        <f t="shared" si="20"/>
        <v>12</v>
      </c>
      <c r="J63" s="6">
        <f t="shared" si="20"/>
        <v>6</v>
      </c>
      <c r="K63" s="6">
        <f t="shared" si="20"/>
        <v>9</v>
      </c>
      <c r="L63" s="7" t="s">
        <v>13</v>
      </c>
      <c r="M63" s="9"/>
      <c r="N63" s="1"/>
    </row>
    <row r="64" spans="1:14" ht="13.5" thickBot="1" x14ac:dyDescent="0.25">
      <c r="A64" s="6">
        <f t="shared" si="0"/>
        <v>2</v>
      </c>
      <c r="B64" s="6">
        <v>0</v>
      </c>
      <c r="C64" s="6">
        <v>0</v>
      </c>
      <c r="D64" s="6">
        <v>0</v>
      </c>
      <c r="E64" s="6">
        <v>0</v>
      </c>
      <c r="F64" s="6">
        <v>1</v>
      </c>
      <c r="G64" s="6">
        <v>0</v>
      </c>
      <c r="H64" s="6">
        <v>0</v>
      </c>
      <c r="I64" s="6">
        <v>1</v>
      </c>
      <c r="J64" s="6">
        <v>0</v>
      </c>
      <c r="K64" s="6">
        <v>0</v>
      </c>
      <c r="L64" s="7" t="s">
        <v>10</v>
      </c>
      <c r="M64" s="124"/>
      <c r="N64" s="1"/>
    </row>
    <row r="65" spans="1:14" ht="13.5" thickBot="1" x14ac:dyDescent="0.25">
      <c r="A65" s="6">
        <f t="shared" si="0"/>
        <v>3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1</v>
      </c>
      <c r="I65" s="6">
        <v>2</v>
      </c>
      <c r="J65" s="6">
        <v>0</v>
      </c>
      <c r="K65" s="6">
        <v>0</v>
      </c>
      <c r="L65" s="7" t="s">
        <v>11</v>
      </c>
      <c r="M65" s="124" t="s">
        <v>26</v>
      </c>
      <c r="N65" s="1"/>
    </row>
    <row r="66" spans="1:14" ht="13.5" thickBot="1" x14ac:dyDescent="0.25">
      <c r="A66" s="6">
        <f t="shared" ref="A66:K66" si="21">SUM(A64:A65)</f>
        <v>5</v>
      </c>
      <c r="B66" s="6">
        <f t="shared" si="21"/>
        <v>0</v>
      </c>
      <c r="C66" s="6">
        <f t="shared" si="21"/>
        <v>0</v>
      </c>
      <c r="D66" s="6">
        <f t="shared" si="21"/>
        <v>0</v>
      </c>
      <c r="E66" s="6">
        <f t="shared" si="21"/>
        <v>0</v>
      </c>
      <c r="F66" s="6">
        <f t="shared" si="21"/>
        <v>1</v>
      </c>
      <c r="G66" s="6">
        <f t="shared" si="21"/>
        <v>0</v>
      </c>
      <c r="H66" s="6">
        <f t="shared" si="21"/>
        <v>1</v>
      </c>
      <c r="I66" s="6">
        <f t="shared" si="21"/>
        <v>3</v>
      </c>
      <c r="J66" s="6">
        <f t="shared" si="21"/>
        <v>0</v>
      </c>
      <c r="K66" s="6">
        <f t="shared" si="21"/>
        <v>0</v>
      </c>
      <c r="L66" s="7" t="s">
        <v>13</v>
      </c>
      <c r="M66" s="9"/>
      <c r="N66" s="1"/>
    </row>
    <row r="67" spans="1:14" ht="13.5" thickBot="1" x14ac:dyDescent="0.25">
      <c r="A67" s="6">
        <f t="shared" si="0"/>
        <v>2</v>
      </c>
      <c r="B67" s="6">
        <v>0</v>
      </c>
      <c r="C67" s="6">
        <v>0</v>
      </c>
      <c r="D67" s="6">
        <v>0</v>
      </c>
      <c r="E67" s="6">
        <v>0</v>
      </c>
      <c r="F67" s="6">
        <v>2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7" t="s">
        <v>10</v>
      </c>
      <c r="M67" s="124"/>
      <c r="N67" s="1"/>
    </row>
    <row r="68" spans="1:14" ht="13.5" thickBot="1" x14ac:dyDescent="0.25">
      <c r="A68" s="6">
        <f t="shared" si="0"/>
        <v>0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7" t="s">
        <v>11</v>
      </c>
      <c r="M68" s="124" t="s">
        <v>27</v>
      </c>
      <c r="N68" s="1"/>
    </row>
    <row r="69" spans="1:14" ht="13.5" thickBot="1" x14ac:dyDescent="0.25">
      <c r="A69" s="6">
        <f t="shared" ref="A69:K69" si="22">SUM(A67:A68)</f>
        <v>2</v>
      </c>
      <c r="B69" s="6">
        <f t="shared" si="22"/>
        <v>0</v>
      </c>
      <c r="C69" s="6">
        <f t="shared" si="22"/>
        <v>0</v>
      </c>
      <c r="D69" s="6">
        <f t="shared" si="22"/>
        <v>0</v>
      </c>
      <c r="E69" s="6">
        <f t="shared" si="22"/>
        <v>0</v>
      </c>
      <c r="F69" s="6">
        <f t="shared" si="22"/>
        <v>2</v>
      </c>
      <c r="G69" s="6">
        <f t="shared" si="22"/>
        <v>0</v>
      </c>
      <c r="H69" s="6">
        <f t="shared" si="22"/>
        <v>0</v>
      </c>
      <c r="I69" s="6">
        <f t="shared" si="22"/>
        <v>0</v>
      </c>
      <c r="J69" s="6">
        <f t="shared" si="22"/>
        <v>0</v>
      </c>
      <c r="K69" s="6">
        <f t="shared" si="22"/>
        <v>0</v>
      </c>
      <c r="L69" s="7" t="s">
        <v>13</v>
      </c>
      <c r="M69" s="9"/>
      <c r="N69" s="1"/>
    </row>
    <row r="70" spans="1:14" ht="13.5" thickBot="1" x14ac:dyDescent="0.25">
      <c r="A70" s="6">
        <f t="shared" ref="A70:A71" si="23">SUM(B70:K70)</f>
        <v>2099</v>
      </c>
      <c r="B70" s="6">
        <v>434</v>
      </c>
      <c r="C70" s="6">
        <v>2</v>
      </c>
      <c r="D70" s="6">
        <v>65</v>
      </c>
      <c r="E70" s="6">
        <v>0</v>
      </c>
      <c r="F70" s="6">
        <v>278</v>
      </c>
      <c r="G70" s="6">
        <v>290</v>
      </c>
      <c r="H70" s="6">
        <v>463</v>
      </c>
      <c r="I70" s="6">
        <v>522</v>
      </c>
      <c r="J70" s="6">
        <v>17</v>
      </c>
      <c r="K70" s="6">
        <v>28</v>
      </c>
      <c r="L70" s="7" t="s">
        <v>10</v>
      </c>
      <c r="M70" s="124"/>
      <c r="N70" s="1"/>
    </row>
    <row r="71" spans="1:14" ht="13.5" thickBot="1" x14ac:dyDescent="0.25">
      <c r="A71" s="6">
        <f t="shared" si="23"/>
        <v>414</v>
      </c>
      <c r="B71" s="6">
        <v>36</v>
      </c>
      <c r="C71" s="6">
        <v>1</v>
      </c>
      <c r="D71" s="6">
        <v>4</v>
      </c>
      <c r="E71" s="6">
        <v>0</v>
      </c>
      <c r="F71" s="6">
        <v>144</v>
      </c>
      <c r="G71" s="6">
        <v>4</v>
      </c>
      <c r="H71" s="6">
        <v>108</v>
      </c>
      <c r="I71" s="6">
        <v>104</v>
      </c>
      <c r="J71" s="6">
        <v>5</v>
      </c>
      <c r="K71" s="6">
        <v>8</v>
      </c>
      <c r="L71" s="7" t="s">
        <v>11</v>
      </c>
      <c r="M71" s="124" t="s">
        <v>33</v>
      </c>
      <c r="N71" s="1"/>
    </row>
    <row r="72" spans="1:14" ht="13.5" thickBot="1" x14ac:dyDescent="0.25">
      <c r="A72" s="6">
        <f t="shared" ref="A72:K72" si="24">SUM(A70:A71)</f>
        <v>2513</v>
      </c>
      <c r="B72" s="6">
        <f t="shared" si="24"/>
        <v>470</v>
      </c>
      <c r="C72" s="6">
        <f t="shared" si="24"/>
        <v>3</v>
      </c>
      <c r="D72" s="6">
        <f t="shared" si="24"/>
        <v>69</v>
      </c>
      <c r="E72" s="6">
        <f t="shared" si="24"/>
        <v>0</v>
      </c>
      <c r="F72" s="6">
        <f t="shared" si="24"/>
        <v>422</v>
      </c>
      <c r="G72" s="6">
        <f t="shared" si="24"/>
        <v>294</v>
      </c>
      <c r="H72" s="6">
        <f t="shared" si="24"/>
        <v>571</v>
      </c>
      <c r="I72" s="6">
        <f t="shared" si="24"/>
        <v>626</v>
      </c>
      <c r="J72" s="6">
        <f t="shared" si="24"/>
        <v>22</v>
      </c>
      <c r="K72" s="6">
        <f t="shared" si="24"/>
        <v>36</v>
      </c>
      <c r="L72" s="7" t="s">
        <v>13</v>
      </c>
      <c r="M72" s="9"/>
      <c r="N72" s="1"/>
    </row>
    <row r="73" spans="1:14" ht="13.5" thickBot="1" x14ac:dyDescent="0.25">
      <c r="A73" s="6">
        <f t="shared" ref="A73:J75" si="25">A4+A7+A10+A13+A16+A19+A22+A25+A28+A31+A34+A37+A40+A43+A46+A49+A52+A55+A58+A61+A64+A67+A70</f>
        <v>6028</v>
      </c>
      <c r="B73" s="6">
        <f t="shared" si="25"/>
        <v>595</v>
      </c>
      <c r="C73" s="6">
        <f t="shared" si="25"/>
        <v>9</v>
      </c>
      <c r="D73" s="6">
        <f t="shared" si="25"/>
        <v>304</v>
      </c>
      <c r="E73" s="6">
        <f t="shared" si="25"/>
        <v>12</v>
      </c>
      <c r="F73" s="6">
        <f t="shared" si="25"/>
        <v>909</v>
      </c>
      <c r="G73" s="6">
        <f t="shared" si="25"/>
        <v>1017</v>
      </c>
      <c r="H73" s="6">
        <f t="shared" si="25"/>
        <v>1189</v>
      </c>
      <c r="I73" s="6">
        <f t="shared" si="25"/>
        <v>1712</v>
      </c>
      <c r="J73" s="6">
        <f t="shared" si="25"/>
        <v>91</v>
      </c>
      <c r="K73" s="6">
        <f>K4+K7+K10+K13+K16+K19+K22+K25+K28+K31+K34+K37+K40+K43+K46+K49+K52+K55+K58+K61+K64+K67+K70</f>
        <v>190</v>
      </c>
      <c r="L73" s="7" t="s">
        <v>10</v>
      </c>
      <c r="M73" s="3"/>
      <c r="N73" s="1"/>
    </row>
    <row r="74" spans="1:14" ht="13.5" thickBot="1" x14ac:dyDescent="0.25">
      <c r="A74" s="6">
        <f t="shared" si="25"/>
        <v>2154</v>
      </c>
      <c r="B74" s="6">
        <f t="shared" si="25"/>
        <v>73</v>
      </c>
      <c r="C74" s="6">
        <f t="shared" si="25"/>
        <v>17</v>
      </c>
      <c r="D74" s="6">
        <f t="shared" si="25"/>
        <v>45</v>
      </c>
      <c r="E74" s="6">
        <f t="shared" si="25"/>
        <v>6</v>
      </c>
      <c r="F74" s="6">
        <f t="shared" si="25"/>
        <v>615</v>
      </c>
      <c r="G74" s="6">
        <f t="shared" si="25"/>
        <v>57</v>
      </c>
      <c r="H74" s="6">
        <f t="shared" si="25"/>
        <v>499</v>
      </c>
      <c r="I74" s="6">
        <f t="shared" si="25"/>
        <v>603</v>
      </c>
      <c r="J74" s="6">
        <f t="shared" si="25"/>
        <v>98</v>
      </c>
      <c r="K74" s="6">
        <f>K5+K8+K11+K14+K17+K20+K23+K26+K29+K32+K35+K38+K41+K44+K47+K50+K53+K56+K59+K62+K65+K68+K71</f>
        <v>141</v>
      </c>
      <c r="L74" s="7" t="s">
        <v>11</v>
      </c>
      <c r="M74" s="11" t="s">
        <v>211</v>
      </c>
      <c r="N74" s="1"/>
    </row>
    <row r="75" spans="1:14" ht="13.5" thickBot="1" x14ac:dyDescent="0.25">
      <c r="A75" s="6">
        <f t="shared" si="25"/>
        <v>8182</v>
      </c>
      <c r="B75" s="6">
        <f t="shared" si="25"/>
        <v>668</v>
      </c>
      <c r="C75" s="6">
        <f t="shared" si="25"/>
        <v>26</v>
      </c>
      <c r="D75" s="6">
        <f t="shared" si="25"/>
        <v>349</v>
      </c>
      <c r="E75" s="6">
        <f t="shared" si="25"/>
        <v>18</v>
      </c>
      <c r="F75" s="6">
        <f t="shared" si="25"/>
        <v>1524</v>
      </c>
      <c r="G75" s="6">
        <f t="shared" si="25"/>
        <v>1074</v>
      </c>
      <c r="H75" s="6">
        <f t="shared" si="25"/>
        <v>1688</v>
      </c>
      <c r="I75" s="6">
        <f t="shared" si="25"/>
        <v>2315</v>
      </c>
      <c r="J75" s="6">
        <f t="shared" si="25"/>
        <v>189</v>
      </c>
      <c r="K75" s="6">
        <f>K6+K9+K12+K15+K18+K21+K24+K27+K30+K33+K36+K39+K42+K45+K48+K51+K54+K57+K60+K63+K66+K69+K72</f>
        <v>331</v>
      </c>
      <c r="L75" s="7" t="s">
        <v>13</v>
      </c>
      <c r="M75" s="5"/>
      <c r="N75" s="1"/>
    </row>
  </sheetData>
  <mergeCells count="2">
    <mergeCell ref="A1:M1"/>
    <mergeCell ref="A2:M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75"/>
  <sheetViews>
    <sheetView showGridLines="0" topLeftCell="A37" zoomScale="90" zoomScaleNormal="90" workbookViewId="0">
      <selection activeCell="H35" sqref="H35"/>
    </sheetView>
  </sheetViews>
  <sheetFormatPr defaultRowHeight="12.75" x14ac:dyDescent="0.2"/>
  <cols>
    <col min="1" max="11" width="8.25" style="2" customWidth="1"/>
    <col min="12" max="12" width="11" style="2" customWidth="1"/>
    <col min="13" max="13" width="27.375" style="2" customWidth="1"/>
    <col min="14" max="14" width="4" style="2" customWidth="1"/>
    <col min="15" max="256" width="9" style="2"/>
    <col min="257" max="267" width="8.25" style="2" customWidth="1"/>
    <col min="268" max="268" width="11" style="2" customWidth="1"/>
    <col min="269" max="269" width="27.375" style="2" customWidth="1"/>
    <col min="270" max="270" width="4" style="2" customWidth="1"/>
    <col min="271" max="512" width="9" style="2"/>
    <col min="513" max="523" width="8.25" style="2" customWidth="1"/>
    <col min="524" max="524" width="11" style="2" customWidth="1"/>
    <col min="525" max="525" width="27.375" style="2" customWidth="1"/>
    <col min="526" max="526" width="4" style="2" customWidth="1"/>
    <col min="527" max="768" width="9" style="2"/>
    <col min="769" max="779" width="8.25" style="2" customWidth="1"/>
    <col min="780" max="780" width="11" style="2" customWidth="1"/>
    <col min="781" max="781" width="27.375" style="2" customWidth="1"/>
    <col min="782" max="782" width="4" style="2" customWidth="1"/>
    <col min="783" max="1024" width="9" style="2"/>
    <col min="1025" max="1035" width="8.25" style="2" customWidth="1"/>
    <col min="1036" max="1036" width="11" style="2" customWidth="1"/>
    <col min="1037" max="1037" width="27.375" style="2" customWidth="1"/>
    <col min="1038" max="1038" width="4" style="2" customWidth="1"/>
    <col min="1039" max="1280" width="9" style="2"/>
    <col min="1281" max="1291" width="8.25" style="2" customWidth="1"/>
    <col min="1292" max="1292" width="11" style="2" customWidth="1"/>
    <col min="1293" max="1293" width="27.375" style="2" customWidth="1"/>
    <col min="1294" max="1294" width="4" style="2" customWidth="1"/>
    <col min="1295" max="1536" width="9" style="2"/>
    <col min="1537" max="1547" width="8.25" style="2" customWidth="1"/>
    <col min="1548" max="1548" width="11" style="2" customWidth="1"/>
    <col min="1549" max="1549" width="27.375" style="2" customWidth="1"/>
    <col min="1550" max="1550" width="4" style="2" customWidth="1"/>
    <col min="1551" max="1792" width="9" style="2"/>
    <col min="1793" max="1803" width="8.25" style="2" customWidth="1"/>
    <col min="1804" max="1804" width="11" style="2" customWidth="1"/>
    <col min="1805" max="1805" width="27.375" style="2" customWidth="1"/>
    <col min="1806" max="1806" width="4" style="2" customWidth="1"/>
    <col min="1807" max="2048" width="9" style="2"/>
    <col min="2049" max="2059" width="8.25" style="2" customWidth="1"/>
    <col min="2060" max="2060" width="11" style="2" customWidth="1"/>
    <col min="2061" max="2061" width="27.375" style="2" customWidth="1"/>
    <col min="2062" max="2062" width="4" style="2" customWidth="1"/>
    <col min="2063" max="2304" width="9" style="2"/>
    <col min="2305" max="2315" width="8.25" style="2" customWidth="1"/>
    <col min="2316" max="2316" width="11" style="2" customWidth="1"/>
    <col min="2317" max="2317" width="27.375" style="2" customWidth="1"/>
    <col min="2318" max="2318" width="4" style="2" customWidth="1"/>
    <col min="2319" max="2560" width="9" style="2"/>
    <col min="2561" max="2571" width="8.25" style="2" customWidth="1"/>
    <col min="2572" max="2572" width="11" style="2" customWidth="1"/>
    <col min="2573" max="2573" width="27.375" style="2" customWidth="1"/>
    <col min="2574" max="2574" width="4" style="2" customWidth="1"/>
    <col min="2575" max="2816" width="9" style="2"/>
    <col min="2817" max="2827" width="8.25" style="2" customWidth="1"/>
    <col min="2828" max="2828" width="11" style="2" customWidth="1"/>
    <col min="2829" max="2829" width="27.375" style="2" customWidth="1"/>
    <col min="2830" max="2830" width="4" style="2" customWidth="1"/>
    <col min="2831" max="3072" width="9" style="2"/>
    <col min="3073" max="3083" width="8.25" style="2" customWidth="1"/>
    <col min="3084" max="3084" width="11" style="2" customWidth="1"/>
    <col min="3085" max="3085" width="27.375" style="2" customWidth="1"/>
    <col min="3086" max="3086" width="4" style="2" customWidth="1"/>
    <col min="3087" max="3328" width="9" style="2"/>
    <col min="3329" max="3339" width="8.25" style="2" customWidth="1"/>
    <col min="3340" max="3340" width="11" style="2" customWidth="1"/>
    <col min="3341" max="3341" width="27.375" style="2" customWidth="1"/>
    <col min="3342" max="3342" width="4" style="2" customWidth="1"/>
    <col min="3343" max="3584" width="9" style="2"/>
    <col min="3585" max="3595" width="8.25" style="2" customWidth="1"/>
    <col min="3596" max="3596" width="11" style="2" customWidth="1"/>
    <col min="3597" max="3597" width="27.375" style="2" customWidth="1"/>
    <col min="3598" max="3598" width="4" style="2" customWidth="1"/>
    <col min="3599" max="3840" width="9" style="2"/>
    <col min="3841" max="3851" width="8.25" style="2" customWidth="1"/>
    <col min="3852" max="3852" width="11" style="2" customWidth="1"/>
    <col min="3853" max="3853" width="27.375" style="2" customWidth="1"/>
    <col min="3854" max="3854" width="4" style="2" customWidth="1"/>
    <col min="3855" max="4096" width="9" style="2"/>
    <col min="4097" max="4107" width="8.25" style="2" customWidth="1"/>
    <col min="4108" max="4108" width="11" style="2" customWidth="1"/>
    <col min="4109" max="4109" width="27.375" style="2" customWidth="1"/>
    <col min="4110" max="4110" width="4" style="2" customWidth="1"/>
    <col min="4111" max="4352" width="9" style="2"/>
    <col min="4353" max="4363" width="8.25" style="2" customWidth="1"/>
    <col min="4364" max="4364" width="11" style="2" customWidth="1"/>
    <col min="4365" max="4365" width="27.375" style="2" customWidth="1"/>
    <col min="4366" max="4366" width="4" style="2" customWidth="1"/>
    <col min="4367" max="4608" width="9" style="2"/>
    <col min="4609" max="4619" width="8.25" style="2" customWidth="1"/>
    <col min="4620" max="4620" width="11" style="2" customWidth="1"/>
    <col min="4621" max="4621" width="27.375" style="2" customWidth="1"/>
    <col min="4622" max="4622" width="4" style="2" customWidth="1"/>
    <col min="4623" max="4864" width="9" style="2"/>
    <col min="4865" max="4875" width="8.25" style="2" customWidth="1"/>
    <col min="4876" max="4876" width="11" style="2" customWidth="1"/>
    <col min="4877" max="4877" width="27.375" style="2" customWidth="1"/>
    <col min="4878" max="4878" width="4" style="2" customWidth="1"/>
    <col min="4879" max="5120" width="9" style="2"/>
    <col min="5121" max="5131" width="8.25" style="2" customWidth="1"/>
    <col min="5132" max="5132" width="11" style="2" customWidth="1"/>
    <col min="5133" max="5133" width="27.375" style="2" customWidth="1"/>
    <col min="5134" max="5134" width="4" style="2" customWidth="1"/>
    <col min="5135" max="5376" width="9" style="2"/>
    <col min="5377" max="5387" width="8.25" style="2" customWidth="1"/>
    <col min="5388" max="5388" width="11" style="2" customWidth="1"/>
    <col min="5389" max="5389" width="27.375" style="2" customWidth="1"/>
    <col min="5390" max="5390" width="4" style="2" customWidth="1"/>
    <col min="5391" max="5632" width="9" style="2"/>
    <col min="5633" max="5643" width="8.25" style="2" customWidth="1"/>
    <col min="5644" max="5644" width="11" style="2" customWidth="1"/>
    <col min="5645" max="5645" width="27.375" style="2" customWidth="1"/>
    <col min="5646" max="5646" width="4" style="2" customWidth="1"/>
    <col min="5647" max="5888" width="9" style="2"/>
    <col min="5889" max="5899" width="8.25" style="2" customWidth="1"/>
    <col min="5900" max="5900" width="11" style="2" customWidth="1"/>
    <col min="5901" max="5901" width="27.375" style="2" customWidth="1"/>
    <col min="5902" max="5902" width="4" style="2" customWidth="1"/>
    <col min="5903" max="6144" width="9" style="2"/>
    <col min="6145" max="6155" width="8.25" style="2" customWidth="1"/>
    <col min="6156" max="6156" width="11" style="2" customWidth="1"/>
    <col min="6157" max="6157" width="27.375" style="2" customWidth="1"/>
    <col min="6158" max="6158" width="4" style="2" customWidth="1"/>
    <col min="6159" max="6400" width="9" style="2"/>
    <col min="6401" max="6411" width="8.25" style="2" customWidth="1"/>
    <col min="6412" max="6412" width="11" style="2" customWidth="1"/>
    <col min="6413" max="6413" width="27.375" style="2" customWidth="1"/>
    <col min="6414" max="6414" width="4" style="2" customWidth="1"/>
    <col min="6415" max="6656" width="9" style="2"/>
    <col min="6657" max="6667" width="8.25" style="2" customWidth="1"/>
    <col min="6668" max="6668" width="11" style="2" customWidth="1"/>
    <col min="6669" max="6669" width="27.375" style="2" customWidth="1"/>
    <col min="6670" max="6670" width="4" style="2" customWidth="1"/>
    <col min="6671" max="6912" width="9" style="2"/>
    <col min="6913" max="6923" width="8.25" style="2" customWidth="1"/>
    <col min="6924" max="6924" width="11" style="2" customWidth="1"/>
    <col min="6925" max="6925" width="27.375" style="2" customWidth="1"/>
    <col min="6926" max="6926" width="4" style="2" customWidth="1"/>
    <col min="6927" max="7168" width="9" style="2"/>
    <col min="7169" max="7179" width="8.25" style="2" customWidth="1"/>
    <col min="7180" max="7180" width="11" style="2" customWidth="1"/>
    <col min="7181" max="7181" width="27.375" style="2" customWidth="1"/>
    <col min="7182" max="7182" width="4" style="2" customWidth="1"/>
    <col min="7183" max="7424" width="9" style="2"/>
    <col min="7425" max="7435" width="8.25" style="2" customWidth="1"/>
    <col min="7436" max="7436" width="11" style="2" customWidth="1"/>
    <col min="7437" max="7437" width="27.375" style="2" customWidth="1"/>
    <col min="7438" max="7438" width="4" style="2" customWidth="1"/>
    <col min="7439" max="7680" width="9" style="2"/>
    <col min="7681" max="7691" width="8.25" style="2" customWidth="1"/>
    <col min="7692" max="7692" width="11" style="2" customWidth="1"/>
    <col min="7693" max="7693" width="27.375" style="2" customWidth="1"/>
    <col min="7694" max="7694" width="4" style="2" customWidth="1"/>
    <col min="7695" max="7936" width="9" style="2"/>
    <col min="7937" max="7947" width="8.25" style="2" customWidth="1"/>
    <col min="7948" max="7948" width="11" style="2" customWidth="1"/>
    <col min="7949" max="7949" width="27.375" style="2" customWidth="1"/>
    <col min="7950" max="7950" width="4" style="2" customWidth="1"/>
    <col min="7951" max="8192" width="9" style="2"/>
    <col min="8193" max="8203" width="8.25" style="2" customWidth="1"/>
    <col min="8204" max="8204" width="11" style="2" customWidth="1"/>
    <col min="8205" max="8205" width="27.375" style="2" customWidth="1"/>
    <col min="8206" max="8206" width="4" style="2" customWidth="1"/>
    <col min="8207" max="8448" width="9" style="2"/>
    <col min="8449" max="8459" width="8.25" style="2" customWidth="1"/>
    <col min="8460" max="8460" width="11" style="2" customWidth="1"/>
    <col min="8461" max="8461" width="27.375" style="2" customWidth="1"/>
    <col min="8462" max="8462" width="4" style="2" customWidth="1"/>
    <col min="8463" max="8704" width="9" style="2"/>
    <col min="8705" max="8715" width="8.25" style="2" customWidth="1"/>
    <col min="8716" max="8716" width="11" style="2" customWidth="1"/>
    <col min="8717" max="8717" width="27.375" style="2" customWidth="1"/>
    <col min="8718" max="8718" width="4" style="2" customWidth="1"/>
    <col min="8719" max="8960" width="9" style="2"/>
    <col min="8961" max="8971" width="8.25" style="2" customWidth="1"/>
    <col min="8972" max="8972" width="11" style="2" customWidth="1"/>
    <col min="8973" max="8973" width="27.375" style="2" customWidth="1"/>
    <col min="8974" max="8974" width="4" style="2" customWidth="1"/>
    <col min="8975" max="9216" width="9" style="2"/>
    <col min="9217" max="9227" width="8.25" style="2" customWidth="1"/>
    <col min="9228" max="9228" width="11" style="2" customWidth="1"/>
    <col min="9229" max="9229" width="27.375" style="2" customWidth="1"/>
    <col min="9230" max="9230" width="4" style="2" customWidth="1"/>
    <col min="9231" max="9472" width="9" style="2"/>
    <col min="9473" max="9483" width="8.25" style="2" customWidth="1"/>
    <col min="9484" max="9484" width="11" style="2" customWidth="1"/>
    <col min="9485" max="9485" width="27.375" style="2" customWidth="1"/>
    <col min="9486" max="9486" width="4" style="2" customWidth="1"/>
    <col min="9487" max="9728" width="9" style="2"/>
    <col min="9729" max="9739" width="8.25" style="2" customWidth="1"/>
    <col min="9740" max="9740" width="11" style="2" customWidth="1"/>
    <col min="9741" max="9741" width="27.375" style="2" customWidth="1"/>
    <col min="9742" max="9742" width="4" style="2" customWidth="1"/>
    <col min="9743" max="9984" width="9" style="2"/>
    <col min="9985" max="9995" width="8.25" style="2" customWidth="1"/>
    <col min="9996" max="9996" width="11" style="2" customWidth="1"/>
    <col min="9997" max="9997" width="27.375" style="2" customWidth="1"/>
    <col min="9998" max="9998" width="4" style="2" customWidth="1"/>
    <col min="9999" max="10240" width="9" style="2"/>
    <col min="10241" max="10251" width="8.25" style="2" customWidth="1"/>
    <col min="10252" max="10252" width="11" style="2" customWidth="1"/>
    <col min="10253" max="10253" width="27.375" style="2" customWidth="1"/>
    <col min="10254" max="10254" width="4" style="2" customWidth="1"/>
    <col min="10255" max="10496" width="9" style="2"/>
    <col min="10497" max="10507" width="8.25" style="2" customWidth="1"/>
    <col min="10508" max="10508" width="11" style="2" customWidth="1"/>
    <col min="10509" max="10509" width="27.375" style="2" customWidth="1"/>
    <col min="10510" max="10510" width="4" style="2" customWidth="1"/>
    <col min="10511" max="10752" width="9" style="2"/>
    <col min="10753" max="10763" width="8.25" style="2" customWidth="1"/>
    <col min="10764" max="10764" width="11" style="2" customWidth="1"/>
    <col min="10765" max="10765" width="27.375" style="2" customWidth="1"/>
    <col min="10766" max="10766" width="4" style="2" customWidth="1"/>
    <col min="10767" max="11008" width="9" style="2"/>
    <col min="11009" max="11019" width="8.25" style="2" customWidth="1"/>
    <col min="11020" max="11020" width="11" style="2" customWidth="1"/>
    <col min="11021" max="11021" width="27.375" style="2" customWidth="1"/>
    <col min="11022" max="11022" width="4" style="2" customWidth="1"/>
    <col min="11023" max="11264" width="9" style="2"/>
    <col min="11265" max="11275" width="8.25" style="2" customWidth="1"/>
    <col min="11276" max="11276" width="11" style="2" customWidth="1"/>
    <col min="11277" max="11277" width="27.375" style="2" customWidth="1"/>
    <col min="11278" max="11278" width="4" style="2" customWidth="1"/>
    <col min="11279" max="11520" width="9" style="2"/>
    <col min="11521" max="11531" width="8.25" style="2" customWidth="1"/>
    <col min="11532" max="11532" width="11" style="2" customWidth="1"/>
    <col min="11533" max="11533" width="27.375" style="2" customWidth="1"/>
    <col min="11534" max="11534" width="4" style="2" customWidth="1"/>
    <col min="11535" max="11776" width="9" style="2"/>
    <col min="11777" max="11787" width="8.25" style="2" customWidth="1"/>
    <col min="11788" max="11788" width="11" style="2" customWidth="1"/>
    <col min="11789" max="11789" width="27.375" style="2" customWidth="1"/>
    <col min="11790" max="11790" width="4" style="2" customWidth="1"/>
    <col min="11791" max="12032" width="9" style="2"/>
    <col min="12033" max="12043" width="8.25" style="2" customWidth="1"/>
    <col min="12044" max="12044" width="11" style="2" customWidth="1"/>
    <col min="12045" max="12045" width="27.375" style="2" customWidth="1"/>
    <col min="12046" max="12046" width="4" style="2" customWidth="1"/>
    <col min="12047" max="12288" width="9" style="2"/>
    <col min="12289" max="12299" width="8.25" style="2" customWidth="1"/>
    <col min="12300" max="12300" width="11" style="2" customWidth="1"/>
    <col min="12301" max="12301" width="27.375" style="2" customWidth="1"/>
    <col min="12302" max="12302" width="4" style="2" customWidth="1"/>
    <col min="12303" max="12544" width="9" style="2"/>
    <col min="12545" max="12555" width="8.25" style="2" customWidth="1"/>
    <col min="12556" max="12556" width="11" style="2" customWidth="1"/>
    <col min="12557" max="12557" width="27.375" style="2" customWidth="1"/>
    <col min="12558" max="12558" width="4" style="2" customWidth="1"/>
    <col min="12559" max="12800" width="9" style="2"/>
    <col min="12801" max="12811" width="8.25" style="2" customWidth="1"/>
    <col min="12812" max="12812" width="11" style="2" customWidth="1"/>
    <col min="12813" max="12813" width="27.375" style="2" customWidth="1"/>
    <col min="12814" max="12814" width="4" style="2" customWidth="1"/>
    <col min="12815" max="13056" width="9" style="2"/>
    <col min="13057" max="13067" width="8.25" style="2" customWidth="1"/>
    <col min="13068" max="13068" width="11" style="2" customWidth="1"/>
    <col min="13069" max="13069" width="27.375" style="2" customWidth="1"/>
    <col min="13070" max="13070" width="4" style="2" customWidth="1"/>
    <col min="13071" max="13312" width="9" style="2"/>
    <col min="13313" max="13323" width="8.25" style="2" customWidth="1"/>
    <col min="13324" max="13324" width="11" style="2" customWidth="1"/>
    <col min="13325" max="13325" width="27.375" style="2" customWidth="1"/>
    <col min="13326" max="13326" width="4" style="2" customWidth="1"/>
    <col min="13327" max="13568" width="9" style="2"/>
    <col min="13569" max="13579" width="8.25" style="2" customWidth="1"/>
    <col min="13580" max="13580" width="11" style="2" customWidth="1"/>
    <col min="13581" max="13581" width="27.375" style="2" customWidth="1"/>
    <col min="13582" max="13582" width="4" style="2" customWidth="1"/>
    <col min="13583" max="13824" width="9" style="2"/>
    <col min="13825" max="13835" width="8.25" style="2" customWidth="1"/>
    <col min="13836" max="13836" width="11" style="2" customWidth="1"/>
    <col min="13837" max="13837" width="27.375" style="2" customWidth="1"/>
    <col min="13838" max="13838" width="4" style="2" customWidth="1"/>
    <col min="13839" max="14080" width="9" style="2"/>
    <col min="14081" max="14091" width="8.25" style="2" customWidth="1"/>
    <col min="14092" max="14092" width="11" style="2" customWidth="1"/>
    <col min="14093" max="14093" width="27.375" style="2" customWidth="1"/>
    <col min="14094" max="14094" width="4" style="2" customWidth="1"/>
    <col min="14095" max="14336" width="9" style="2"/>
    <col min="14337" max="14347" width="8.25" style="2" customWidth="1"/>
    <col min="14348" max="14348" width="11" style="2" customWidth="1"/>
    <col min="14349" max="14349" width="27.375" style="2" customWidth="1"/>
    <col min="14350" max="14350" width="4" style="2" customWidth="1"/>
    <col min="14351" max="14592" width="9" style="2"/>
    <col min="14593" max="14603" width="8.25" style="2" customWidth="1"/>
    <col min="14604" max="14604" width="11" style="2" customWidth="1"/>
    <col min="14605" max="14605" width="27.375" style="2" customWidth="1"/>
    <col min="14606" max="14606" width="4" style="2" customWidth="1"/>
    <col min="14607" max="14848" width="9" style="2"/>
    <col min="14849" max="14859" width="8.25" style="2" customWidth="1"/>
    <col min="14860" max="14860" width="11" style="2" customWidth="1"/>
    <col min="14861" max="14861" width="27.375" style="2" customWidth="1"/>
    <col min="14862" max="14862" width="4" style="2" customWidth="1"/>
    <col min="14863" max="15104" width="9" style="2"/>
    <col min="15105" max="15115" width="8.25" style="2" customWidth="1"/>
    <col min="15116" max="15116" width="11" style="2" customWidth="1"/>
    <col min="15117" max="15117" width="27.375" style="2" customWidth="1"/>
    <col min="15118" max="15118" width="4" style="2" customWidth="1"/>
    <col min="15119" max="15360" width="9" style="2"/>
    <col min="15361" max="15371" width="8.25" style="2" customWidth="1"/>
    <col min="15372" max="15372" width="11" style="2" customWidth="1"/>
    <col min="15373" max="15373" width="27.375" style="2" customWidth="1"/>
    <col min="15374" max="15374" width="4" style="2" customWidth="1"/>
    <col min="15375" max="15616" width="9" style="2"/>
    <col min="15617" max="15627" width="8.25" style="2" customWidth="1"/>
    <col min="15628" max="15628" width="11" style="2" customWidth="1"/>
    <col min="15629" max="15629" width="27.375" style="2" customWidth="1"/>
    <col min="15630" max="15630" width="4" style="2" customWidth="1"/>
    <col min="15631" max="15872" width="9" style="2"/>
    <col min="15873" max="15883" width="8.25" style="2" customWidth="1"/>
    <col min="15884" max="15884" width="11" style="2" customWidth="1"/>
    <col min="15885" max="15885" width="27.375" style="2" customWidth="1"/>
    <col min="15886" max="15886" width="4" style="2" customWidth="1"/>
    <col min="15887" max="16128" width="9" style="2"/>
    <col min="16129" max="16139" width="8.25" style="2" customWidth="1"/>
    <col min="16140" max="16140" width="11" style="2" customWidth="1"/>
    <col min="16141" max="16141" width="27.375" style="2" customWidth="1"/>
    <col min="16142" max="16142" width="4" style="2" customWidth="1"/>
    <col min="16143" max="16384" width="9" style="2"/>
  </cols>
  <sheetData>
    <row r="1" spans="1:14" ht="20.100000000000001" customHeight="1" x14ac:dyDescent="0.2">
      <c r="A1" s="159" t="s">
        <v>687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"/>
    </row>
    <row r="2" spans="1:14" ht="20.100000000000001" customHeight="1" thickBot="1" x14ac:dyDescent="0.25">
      <c r="A2" s="160" t="s">
        <v>688</v>
      </c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"/>
    </row>
    <row r="3" spans="1:14" ht="26.25" thickBot="1" x14ac:dyDescent="0.25">
      <c r="A3" s="7" t="s">
        <v>232</v>
      </c>
      <c r="B3" s="7" t="s">
        <v>57</v>
      </c>
      <c r="C3" s="7" t="s">
        <v>56</v>
      </c>
      <c r="D3" s="7" t="s">
        <v>683</v>
      </c>
      <c r="E3" s="7" t="s">
        <v>54</v>
      </c>
      <c r="F3" s="7" t="s">
        <v>53</v>
      </c>
      <c r="G3" s="7" t="s">
        <v>52</v>
      </c>
      <c r="H3" s="7" t="s">
        <v>51</v>
      </c>
      <c r="I3" s="7" t="s">
        <v>684</v>
      </c>
      <c r="J3" s="7" t="s">
        <v>49</v>
      </c>
      <c r="K3" s="7" t="s">
        <v>48</v>
      </c>
      <c r="L3" s="3" t="s">
        <v>8</v>
      </c>
      <c r="M3" s="47" t="s">
        <v>676</v>
      </c>
      <c r="N3" s="1"/>
    </row>
    <row r="4" spans="1:14" ht="13.5" thickBot="1" x14ac:dyDescent="0.25">
      <c r="A4" s="6">
        <f>SUM(B4:K4)</f>
        <v>3</v>
      </c>
      <c r="B4" s="6">
        <v>0</v>
      </c>
      <c r="C4" s="6">
        <v>0</v>
      </c>
      <c r="D4" s="6">
        <v>3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7" t="s">
        <v>10</v>
      </c>
      <c r="M4" s="124"/>
      <c r="N4" s="1"/>
    </row>
    <row r="5" spans="1:14" ht="13.5" thickBot="1" x14ac:dyDescent="0.25">
      <c r="A5" s="6">
        <f t="shared" ref="A5:A68" si="0">SUM(B5:K5)</f>
        <v>1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1</v>
      </c>
      <c r="K5" s="6">
        <v>0</v>
      </c>
      <c r="L5" s="7" t="s">
        <v>11</v>
      </c>
      <c r="M5" s="124" t="s">
        <v>12</v>
      </c>
      <c r="N5" s="1"/>
    </row>
    <row r="6" spans="1:14" ht="13.5" thickBot="1" x14ac:dyDescent="0.25">
      <c r="A6" s="6">
        <f t="shared" ref="A6:J6" si="1">SUM(A4:A5)</f>
        <v>4</v>
      </c>
      <c r="B6" s="6">
        <f t="shared" si="1"/>
        <v>0</v>
      </c>
      <c r="C6" s="6">
        <f t="shared" si="1"/>
        <v>0</v>
      </c>
      <c r="D6" s="6">
        <f t="shared" si="1"/>
        <v>3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0</v>
      </c>
      <c r="J6" s="6">
        <f t="shared" si="1"/>
        <v>1</v>
      </c>
      <c r="K6" s="6">
        <f>SUM(K4:K5)</f>
        <v>0</v>
      </c>
      <c r="L6" s="7" t="s">
        <v>13</v>
      </c>
      <c r="M6" s="9"/>
      <c r="N6" s="1"/>
    </row>
    <row r="7" spans="1:14" ht="13.5" thickBot="1" x14ac:dyDescent="0.25">
      <c r="A7" s="6">
        <f t="shared" si="0"/>
        <v>4</v>
      </c>
      <c r="B7" s="6">
        <v>1</v>
      </c>
      <c r="C7" s="6">
        <v>0</v>
      </c>
      <c r="D7" s="6">
        <v>0</v>
      </c>
      <c r="E7" s="6">
        <v>0</v>
      </c>
      <c r="F7" s="6">
        <v>0</v>
      </c>
      <c r="G7" s="6">
        <v>1</v>
      </c>
      <c r="H7" s="6">
        <v>0</v>
      </c>
      <c r="I7" s="6">
        <v>1</v>
      </c>
      <c r="J7" s="6">
        <v>0</v>
      </c>
      <c r="K7" s="6">
        <v>1</v>
      </c>
      <c r="L7" s="7" t="s">
        <v>10</v>
      </c>
      <c r="M7" s="124"/>
      <c r="N7" s="1"/>
    </row>
    <row r="8" spans="1:14" ht="13.5" thickBot="1" x14ac:dyDescent="0.25">
      <c r="A8" s="6">
        <f t="shared" si="0"/>
        <v>3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2</v>
      </c>
      <c r="J8" s="6">
        <v>0</v>
      </c>
      <c r="K8" s="6">
        <v>1</v>
      </c>
      <c r="L8" s="7" t="s">
        <v>11</v>
      </c>
      <c r="M8" s="124" t="s">
        <v>14</v>
      </c>
      <c r="N8" s="1"/>
    </row>
    <row r="9" spans="1:14" ht="13.5" thickBot="1" x14ac:dyDescent="0.25">
      <c r="A9" s="6">
        <f t="shared" ref="A9:K9" si="2">SUM(A7:A8)</f>
        <v>7</v>
      </c>
      <c r="B9" s="6">
        <f t="shared" si="2"/>
        <v>1</v>
      </c>
      <c r="C9" s="6">
        <f t="shared" si="2"/>
        <v>0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1</v>
      </c>
      <c r="H9" s="6">
        <f t="shared" si="2"/>
        <v>0</v>
      </c>
      <c r="I9" s="6">
        <f t="shared" si="2"/>
        <v>3</v>
      </c>
      <c r="J9" s="6">
        <f t="shared" si="2"/>
        <v>0</v>
      </c>
      <c r="K9" s="6">
        <f t="shared" si="2"/>
        <v>2</v>
      </c>
      <c r="L9" s="7" t="s">
        <v>13</v>
      </c>
      <c r="M9" s="9"/>
      <c r="N9" s="1"/>
    </row>
    <row r="10" spans="1:14" ht="13.5" thickBot="1" x14ac:dyDescent="0.25">
      <c r="A10" s="6">
        <f t="shared" si="0"/>
        <v>11</v>
      </c>
      <c r="B10" s="6">
        <v>0</v>
      </c>
      <c r="C10" s="6">
        <v>0</v>
      </c>
      <c r="D10" s="6">
        <v>2</v>
      </c>
      <c r="E10" s="6">
        <v>0</v>
      </c>
      <c r="F10" s="6">
        <v>0</v>
      </c>
      <c r="G10" s="6">
        <v>3</v>
      </c>
      <c r="H10" s="6">
        <v>6</v>
      </c>
      <c r="I10" s="6">
        <v>0</v>
      </c>
      <c r="J10" s="6">
        <v>0</v>
      </c>
      <c r="K10" s="6">
        <v>0</v>
      </c>
      <c r="L10" s="7" t="s">
        <v>10</v>
      </c>
      <c r="M10" s="124"/>
      <c r="N10" s="1"/>
    </row>
    <row r="11" spans="1:14" ht="13.5" thickBot="1" x14ac:dyDescent="0.25">
      <c r="A11" s="6">
        <f t="shared" si="0"/>
        <v>6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1</v>
      </c>
      <c r="I11" s="6">
        <v>2</v>
      </c>
      <c r="J11" s="6">
        <v>1</v>
      </c>
      <c r="K11" s="6">
        <v>2</v>
      </c>
      <c r="L11" s="7" t="s">
        <v>11</v>
      </c>
      <c r="M11" s="124" t="s">
        <v>15</v>
      </c>
      <c r="N11" s="1"/>
    </row>
    <row r="12" spans="1:14" ht="13.5" thickBot="1" x14ac:dyDescent="0.25">
      <c r="A12" s="6">
        <f t="shared" ref="A12:K12" si="3">SUM(A10:A11)</f>
        <v>17</v>
      </c>
      <c r="B12" s="6">
        <f t="shared" si="3"/>
        <v>0</v>
      </c>
      <c r="C12" s="6">
        <f t="shared" si="3"/>
        <v>0</v>
      </c>
      <c r="D12" s="6">
        <f t="shared" si="3"/>
        <v>2</v>
      </c>
      <c r="E12" s="6">
        <f t="shared" si="3"/>
        <v>0</v>
      </c>
      <c r="F12" s="6">
        <f t="shared" si="3"/>
        <v>0</v>
      </c>
      <c r="G12" s="6">
        <f t="shared" si="3"/>
        <v>3</v>
      </c>
      <c r="H12" s="6">
        <f t="shared" si="3"/>
        <v>7</v>
      </c>
      <c r="I12" s="6">
        <f t="shared" si="3"/>
        <v>2</v>
      </c>
      <c r="J12" s="6">
        <f t="shared" si="3"/>
        <v>1</v>
      </c>
      <c r="K12" s="6">
        <f t="shared" si="3"/>
        <v>2</v>
      </c>
      <c r="L12" s="7" t="s">
        <v>13</v>
      </c>
      <c r="M12" s="9"/>
      <c r="N12" s="1"/>
    </row>
    <row r="13" spans="1:14" ht="13.5" thickBot="1" x14ac:dyDescent="0.25">
      <c r="A13" s="6">
        <f t="shared" si="0"/>
        <v>9</v>
      </c>
      <c r="B13" s="6">
        <v>0</v>
      </c>
      <c r="C13" s="6">
        <v>0</v>
      </c>
      <c r="D13" s="6">
        <v>3</v>
      </c>
      <c r="E13" s="6">
        <v>0</v>
      </c>
      <c r="F13" s="6">
        <v>3</v>
      </c>
      <c r="G13" s="6">
        <v>1</v>
      </c>
      <c r="H13" s="6">
        <v>0</v>
      </c>
      <c r="I13" s="6">
        <v>1</v>
      </c>
      <c r="J13" s="6">
        <v>1</v>
      </c>
      <c r="K13" s="6">
        <v>0</v>
      </c>
      <c r="L13" s="7" t="s">
        <v>10</v>
      </c>
      <c r="M13" s="124"/>
      <c r="N13" s="1"/>
    </row>
    <row r="14" spans="1:14" ht="13.5" thickBot="1" x14ac:dyDescent="0.25">
      <c r="A14" s="6">
        <f t="shared" si="0"/>
        <v>7</v>
      </c>
      <c r="B14" s="6">
        <v>0</v>
      </c>
      <c r="C14" s="6">
        <v>0</v>
      </c>
      <c r="D14" s="6">
        <v>3</v>
      </c>
      <c r="E14" s="6">
        <v>0</v>
      </c>
      <c r="F14" s="6">
        <v>2</v>
      </c>
      <c r="G14" s="6">
        <v>0</v>
      </c>
      <c r="H14" s="6">
        <v>0</v>
      </c>
      <c r="I14" s="6">
        <v>2</v>
      </c>
      <c r="J14" s="6">
        <v>0</v>
      </c>
      <c r="K14" s="6">
        <v>0</v>
      </c>
      <c r="L14" s="7" t="s">
        <v>11</v>
      </c>
      <c r="M14" s="124" t="s">
        <v>16</v>
      </c>
      <c r="N14" s="1"/>
    </row>
    <row r="15" spans="1:14" ht="13.5" thickBot="1" x14ac:dyDescent="0.25">
      <c r="A15" s="6">
        <f t="shared" ref="A15:K15" si="4">SUM(A13:A14)</f>
        <v>16</v>
      </c>
      <c r="B15" s="6">
        <f t="shared" si="4"/>
        <v>0</v>
      </c>
      <c r="C15" s="6">
        <f t="shared" si="4"/>
        <v>0</v>
      </c>
      <c r="D15" s="6">
        <f t="shared" si="4"/>
        <v>6</v>
      </c>
      <c r="E15" s="6">
        <f t="shared" si="4"/>
        <v>0</v>
      </c>
      <c r="F15" s="6">
        <f t="shared" si="4"/>
        <v>5</v>
      </c>
      <c r="G15" s="6">
        <f t="shared" si="4"/>
        <v>1</v>
      </c>
      <c r="H15" s="6">
        <f t="shared" si="4"/>
        <v>0</v>
      </c>
      <c r="I15" s="6">
        <f t="shared" si="4"/>
        <v>3</v>
      </c>
      <c r="J15" s="6">
        <f t="shared" si="4"/>
        <v>1</v>
      </c>
      <c r="K15" s="6">
        <f t="shared" si="4"/>
        <v>0</v>
      </c>
      <c r="L15" s="7" t="s">
        <v>13</v>
      </c>
      <c r="M15" s="9"/>
      <c r="N15" s="1"/>
    </row>
    <row r="16" spans="1:14" ht="13.5" thickBot="1" x14ac:dyDescent="0.25">
      <c r="A16" s="6">
        <f t="shared" si="0"/>
        <v>70</v>
      </c>
      <c r="B16" s="6">
        <v>0</v>
      </c>
      <c r="C16" s="6">
        <v>0</v>
      </c>
      <c r="D16" s="6">
        <v>0</v>
      </c>
      <c r="E16" s="6">
        <v>0</v>
      </c>
      <c r="F16" s="6">
        <v>22</v>
      </c>
      <c r="G16" s="6">
        <v>7</v>
      </c>
      <c r="H16" s="6">
        <v>13</v>
      </c>
      <c r="I16" s="6">
        <v>19</v>
      </c>
      <c r="J16" s="6">
        <v>2</v>
      </c>
      <c r="K16" s="6">
        <v>7</v>
      </c>
      <c r="L16" s="7" t="s">
        <v>10</v>
      </c>
      <c r="M16" s="124"/>
      <c r="N16" s="1"/>
    </row>
    <row r="17" spans="1:14" ht="13.5" thickBot="1" x14ac:dyDescent="0.25">
      <c r="A17" s="6">
        <f t="shared" si="0"/>
        <v>5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1</v>
      </c>
      <c r="H17" s="6">
        <v>1</v>
      </c>
      <c r="I17" s="6">
        <v>3</v>
      </c>
      <c r="J17" s="6">
        <v>0</v>
      </c>
      <c r="K17" s="6">
        <v>0</v>
      </c>
      <c r="L17" s="7" t="s">
        <v>11</v>
      </c>
      <c r="M17" s="124" t="s">
        <v>31</v>
      </c>
      <c r="N17" s="1"/>
    </row>
    <row r="18" spans="1:14" ht="13.5" thickBot="1" x14ac:dyDescent="0.25">
      <c r="A18" s="6">
        <f t="shared" ref="A18:K18" si="5">SUM(A16:A17)</f>
        <v>75</v>
      </c>
      <c r="B18" s="6">
        <f t="shared" si="5"/>
        <v>0</v>
      </c>
      <c r="C18" s="6">
        <f t="shared" si="5"/>
        <v>0</v>
      </c>
      <c r="D18" s="6">
        <f t="shared" si="5"/>
        <v>0</v>
      </c>
      <c r="E18" s="6">
        <f t="shared" si="5"/>
        <v>0</v>
      </c>
      <c r="F18" s="6">
        <f t="shared" si="5"/>
        <v>22</v>
      </c>
      <c r="G18" s="6">
        <f t="shared" si="5"/>
        <v>8</v>
      </c>
      <c r="H18" s="6">
        <f t="shared" si="5"/>
        <v>14</v>
      </c>
      <c r="I18" s="6">
        <f t="shared" si="5"/>
        <v>22</v>
      </c>
      <c r="J18" s="6">
        <f t="shared" si="5"/>
        <v>2</v>
      </c>
      <c r="K18" s="6">
        <f t="shared" si="5"/>
        <v>7</v>
      </c>
      <c r="L18" s="7" t="s">
        <v>13</v>
      </c>
      <c r="M18" s="9"/>
      <c r="N18" s="1"/>
    </row>
    <row r="19" spans="1:14" ht="13.5" thickBot="1" x14ac:dyDescent="0.25">
      <c r="A19" s="6">
        <f t="shared" si="0"/>
        <v>2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2</v>
      </c>
      <c r="I19" s="6">
        <v>0</v>
      </c>
      <c r="J19" s="6">
        <v>0</v>
      </c>
      <c r="K19" s="6">
        <v>0</v>
      </c>
      <c r="L19" s="7" t="s">
        <v>10</v>
      </c>
      <c r="M19" s="124"/>
      <c r="N19" s="1"/>
    </row>
    <row r="20" spans="1:14" ht="13.5" thickBot="1" x14ac:dyDescent="0.25">
      <c r="A20" s="6">
        <f t="shared" si="0"/>
        <v>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1</v>
      </c>
      <c r="J20" s="6">
        <v>0</v>
      </c>
      <c r="K20" s="6">
        <v>1</v>
      </c>
      <c r="L20" s="7" t="s">
        <v>11</v>
      </c>
      <c r="M20" s="124" t="s">
        <v>17</v>
      </c>
      <c r="N20" s="1"/>
    </row>
    <row r="21" spans="1:14" ht="13.5" thickBot="1" x14ac:dyDescent="0.25">
      <c r="A21" s="6">
        <f t="shared" ref="A21:K21" si="6">SUM(A19:A20)</f>
        <v>4</v>
      </c>
      <c r="B21" s="6">
        <f t="shared" si="6"/>
        <v>0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0</v>
      </c>
      <c r="H21" s="6">
        <f t="shared" si="6"/>
        <v>2</v>
      </c>
      <c r="I21" s="6">
        <f t="shared" si="6"/>
        <v>1</v>
      </c>
      <c r="J21" s="6">
        <f t="shared" si="6"/>
        <v>0</v>
      </c>
      <c r="K21" s="6">
        <f t="shared" si="6"/>
        <v>1</v>
      </c>
      <c r="L21" s="7" t="s">
        <v>13</v>
      </c>
      <c r="M21" s="9"/>
      <c r="N21" s="1"/>
    </row>
    <row r="22" spans="1:14" ht="13.5" thickBot="1" x14ac:dyDescent="0.25">
      <c r="A22" s="6">
        <f t="shared" si="0"/>
        <v>39</v>
      </c>
      <c r="B22" s="6">
        <v>0</v>
      </c>
      <c r="C22" s="6">
        <v>0</v>
      </c>
      <c r="D22" s="6">
        <v>10</v>
      </c>
      <c r="E22" s="6">
        <v>0</v>
      </c>
      <c r="F22" s="6">
        <v>4</v>
      </c>
      <c r="G22" s="6">
        <v>6</v>
      </c>
      <c r="H22" s="6">
        <v>4</v>
      </c>
      <c r="I22" s="6">
        <v>15</v>
      </c>
      <c r="J22" s="6">
        <v>0</v>
      </c>
      <c r="K22" s="6">
        <v>0</v>
      </c>
      <c r="L22" s="7" t="s">
        <v>10</v>
      </c>
      <c r="M22" s="124"/>
      <c r="N22" s="1"/>
    </row>
    <row r="23" spans="1:14" ht="13.5" thickBot="1" x14ac:dyDescent="0.25">
      <c r="A23" s="6">
        <f t="shared" si="0"/>
        <v>58</v>
      </c>
      <c r="B23" s="6">
        <v>0</v>
      </c>
      <c r="C23" s="6">
        <v>3</v>
      </c>
      <c r="D23" s="6">
        <v>9</v>
      </c>
      <c r="E23" s="6">
        <v>0</v>
      </c>
      <c r="F23" s="6">
        <v>11</v>
      </c>
      <c r="G23" s="6">
        <v>5</v>
      </c>
      <c r="H23" s="6">
        <v>7</v>
      </c>
      <c r="I23" s="6">
        <v>17</v>
      </c>
      <c r="J23" s="6">
        <v>0</v>
      </c>
      <c r="K23" s="6">
        <v>6</v>
      </c>
      <c r="L23" s="7" t="s">
        <v>11</v>
      </c>
      <c r="M23" s="124" t="s">
        <v>19</v>
      </c>
      <c r="N23" s="1"/>
    </row>
    <row r="24" spans="1:14" ht="13.5" thickBot="1" x14ac:dyDescent="0.25">
      <c r="A24" s="6">
        <f t="shared" ref="A24:K24" si="7">SUM(A22:A23)</f>
        <v>97</v>
      </c>
      <c r="B24" s="6">
        <f t="shared" si="7"/>
        <v>0</v>
      </c>
      <c r="C24" s="6">
        <f t="shared" si="7"/>
        <v>3</v>
      </c>
      <c r="D24" s="6">
        <f t="shared" si="7"/>
        <v>19</v>
      </c>
      <c r="E24" s="6">
        <f t="shared" si="7"/>
        <v>0</v>
      </c>
      <c r="F24" s="6">
        <f t="shared" si="7"/>
        <v>15</v>
      </c>
      <c r="G24" s="6">
        <f t="shared" si="7"/>
        <v>11</v>
      </c>
      <c r="H24" s="6">
        <f t="shared" si="7"/>
        <v>11</v>
      </c>
      <c r="I24" s="6">
        <f t="shared" si="7"/>
        <v>32</v>
      </c>
      <c r="J24" s="6">
        <f t="shared" si="7"/>
        <v>0</v>
      </c>
      <c r="K24" s="6">
        <f t="shared" si="7"/>
        <v>6</v>
      </c>
      <c r="L24" s="7" t="s">
        <v>13</v>
      </c>
      <c r="M24" s="9"/>
      <c r="N24" s="1"/>
    </row>
    <row r="25" spans="1:14" ht="13.5" thickBot="1" x14ac:dyDescent="0.25">
      <c r="A25" s="6">
        <f t="shared" si="0"/>
        <v>38</v>
      </c>
      <c r="B25" s="6">
        <v>2</v>
      </c>
      <c r="C25" s="6">
        <v>0</v>
      </c>
      <c r="D25" s="6">
        <v>0</v>
      </c>
      <c r="E25" s="6">
        <v>6</v>
      </c>
      <c r="F25" s="6">
        <v>10</v>
      </c>
      <c r="G25" s="6">
        <v>11</v>
      </c>
      <c r="H25" s="6">
        <v>3</v>
      </c>
      <c r="I25" s="6">
        <v>3</v>
      </c>
      <c r="J25" s="6">
        <v>0</v>
      </c>
      <c r="K25" s="6">
        <v>3</v>
      </c>
      <c r="L25" s="7" t="s">
        <v>10</v>
      </c>
      <c r="M25" s="124"/>
      <c r="N25" s="1"/>
    </row>
    <row r="26" spans="1:14" ht="13.5" thickBot="1" x14ac:dyDescent="0.25">
      <c r="A26" s="6">
        <f t="shared" si="0"/>
        <v>13</v>
      </c>
      <c r="B26" s="6">
        <v>0</v>
      </c>
      <c r="C26" s="6">
        <v>0</v>
      </c>
      <c r="D26" s="6">
        <v>0</v>
      </c>
      <c r="E26" s="6">
        <v>1</v>
      </c>
      <c r="F26" s="6">
        <v>2</v>
      </c>
      <c r="G26" s="6">
        <v>0</v>
      </c>
      <c r="H26" s="6">
        <v>3</v>
      </c>
      <c r="I26" s="6">
        <v>4</v>
      </c>
      <c r="J26" s="6">
        <v>0</v>
      </c>
      <c r="K26" s="6">
        <v>3</v>
      </c>
      <c r="L26" s="7" t="s">
        <v>11</v>
      </c>
      <c r="M26" s="124" t="s">
        <v>35</v>
      </c>
      <c r="N26" s="1"/>
    </row>
    <row r="27" spans="1:14" ht="13.5" thickBot="1" x14ac:dyDescent="0.25">
      <c r="A27" s="6">
        <f t="shared" ref="A27:K27" si="8">SUM(A25:A26)</f>
        <v>51</v>
      </c>
      <c r="B27" s="6">
        <f t="shared" si="8"/>
        <v>2</v>
      </c>
      <c r="C27" s="6">
        <f t="shared" si="8"/>
        <v>0</v>
      </c>
      <c r="D27" s="6">
        <f t="shared" si="8"/>
        <v>0</v>
      </c>
      <c r="E27" s="6">
        <f t="shared" si="8"/>
        <v>7</v>
      </c>
      <c r="F27" s="6">
        <f t="shared" si="8"/>
        <v>12</v>
      </c>
      <c r="G27" s="6">
        <f t="shared" si="8"/>
        <v>11</v>
      </c>
      <c r="H27" s="6">
        <f t="shared" si="8"/>
        <v>6</v>
      </c>
      <c r="I27" s="6">
        <f t="shared" si="8"/>
        <v>7</v>
      </c>
      <c r="J27" s="6">
        <f t="shared" si="8"/>
        <v>0</v>
      </c>
      <c r="K27" s="6">
        <f t="shared" si="8"/>
        <v>6</v>
      </c>
      <c r="L27" s="7" t="s">
        <v>13</v>
      </c>
      <c r="M27" s="9"/>
      <c r="N27" s="1"/>
    </row>
    <row r="28" spans="1:14" ht="13.5" thickBot="1" x14ac:dyDescent="0.25">
      <c r="A28" s="6">
        <f t="shared" si="0"/>
        <v>1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1</v>
      </c>
      <c r="H28" s="6">
        <v>0</v>
      </c>
      <c r="I28" s="6">
        <v>0</v>
      </c>
      <c r="J28" s="6">
        <v>0</v>
      </c>
      <c r="K28" s="6">
        <v>0</v>
      </c>
      <c r="L28" s="7" t="s">
        <v>10</v>
      </c>
      <c r="M28" s="124"/>
      <c r="N28" s="1"/>
    </row>
    <row r="29" spans="1:14" ht="13.5" thickBot="1" x14ac:dyDescent="0.25">
      <c r="A29" s="6">
        <f t="shared" si="0"/>
        <v>4</v>
      </c>
      <c r="B29" s="6">
        <v>0</v>
      </c>
      <c r="C29" s="6">
        <v>0</v>
      </c>
      <c r="D29" s="6">
        <v>2</v>
      </c>
      <c r="E29" s="6">
        <v>0</v>
      </c>
      <c r="F29" s="6">
        <v>0</v>
      </c>
      <c r="G29" s="6">
        <v>0</v>
      </c>
      <c r="H29" s="6">
        <v>1</v>
      </c>
      <c r="I29" s="6">
        <v>1</v>
      </c>
      <c r="J29" s="6">
        <v>0</v>
      </c>
      <c r="K29" s="6">
        <v>0</v>
      </c>
      <c r="L29" s="7" t="s">
        <v>11</v>
      </c>
      <c r="M29" s="124" t="s">
        <v>20</v>
      </c>
      <c r="N29" s="1"/>
    </row>
    <row r="30" spans="1:14" ht="13.5" thickBot="1" x14ac:dyDescent="0.25">
      <c r="A30" s="6">
        <f t="shared" ref="A30:K30" si="9">SUM(A28:A29)</f>
        <v>5</v>
      </c>
      <c r="B30" s="6">
        <f t="shared" si="9"/>
        <v>0</v>
      </c>
      <c r="C30" s="6">
        <f t="shared" si="9"/>
        <v>0</v>
      </c>
      <c r="D30" s="6">
        <f t="shared" si="9"/>
        <v>2</v>
      </c>
      <c r="E30" s="6">
        <f t="shared" si="9"/>
        <v>0</v>
      </c>
      <c r="F30" s="6">
        <f t="shared" si="9"/>
        <v>0</v>
      </c>
      <c r="G30" s="6">
        <f t="shared" si="9"/>
        <v>1</v>
      </c>
      <c r="H30" s="6">
        <f t="shared" si="9"/>
        <v>1</v>
      </c>
      <c r="I30" s="6">
        <f t="shared" si="9"/>
        <v>1</v>
      </c>
      <c r="J30" s="6">
        <f t="shared" si="9"/>
        <v>0</v>
      </c>
      <c r="K30" s="6">
        <f t="shared" si="9"/>
        <v>0</v>
      </c>
      <c r="L30" s="7" t="s">
        <v>13</v>
      </c>
      <c r="M30" s="9"/>
      <c r="N30" s="1"/>
    </row>
    <row r="31" spans="1:14" ht="13.5" thickBot="1" x14ac:dyDescent="0.25">
      <c r="A31" s="6">
        <f t="shared" si="0"/>
        <v>1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1</v>
      </c>
      <c r="I31" s="6">
        <v>0</v>
      </c>
      <c r="J31" s="6">
        <v>0</v>
      </c>
      <c r="K31" s="6">
        <v>0</v>
      </c>
      <c r="L31" s="7" t="s">
        <v>10</v>
      </c>
      <c r="M31" s="124"/>
      <c r="N31" s="1"/>
    </row>
    <row r="32" spans="1:14" ht="13.5" thickBot="1" x14ac:dyDescent="0.25">
      <c r="A32" s="6">
        <f t="shared" si="0"/>
        <v>3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1</v>
      </c>
      <c r="H32" s="6">
        <v>1</v>
      </c>
      <c r="I32" s="6">
        <v>1</v>
      </c>
      <c r="J32" s="6">
        <v>0</v>
      </c>
      <c r="K32" s="6">
        <v>0</v>
      </c>
      <c r="L32" s="7" t="s">
        <v>11</v>
      </c>
      <c r="M32" s="124" t="s">
        <v>21</v>
      </c>
      <c r="N32" s="1"/>
    </row>
    <row r="33" spans="1:14" ht="13.5" thickBot="1" x14ac:dyDescent="0.25">
      <c r="A33" s="6">
        <f t="shared" ref="A33:K33" si="10">SUM(A31:A32)</f>
        <v>4</v>
      </c>
      <c r="B33" s="6">
        <f t="shared" si="10"/>
        <v>0</v>
      </c>
      <c r="C33" s="6">
        <f t="shared" si="10"/>
        <v>0</v>
      </c>
      <c r="D33" s="6">
        <f t="shared" si="10"/>
        <v>0</v>
      </c>
      <c r="E33" s="6">
        <f t="shared" si="10"/>
        <v>0</v>
      </c>
      <c r="F33" s="6">
        <f t="shared" si="10"/>
        <v>0</v>
      </c>
      <c r="G33" s="6">
        <f t="shared" si="10"/>
        <v>1</v>
      </c>
      <c r="H33" s="6">
        <f t="shared" si="10"/>
        <v>2</v>
      </c>
      <c r="I33" s="6">
        <f t="shared" si="10"/>
        <v>1</v>
      </c>
      <c r="J33" s="6">
        <f t="shared" si="10"/>
        <v>0</v>
      </c>
      <c r="K33" s="6">
        <f t="shared" si="10"/>
        <v>0</v>
      </c>
      <c r="L33" s="7" t="s">
        <v>13</v>
      </c>
      <c r="M33" s="9"/>
      <c r="N33" s="1"/>
    </row>
    <row r="34" spans="1:14" ht="13.5" thickBot="1" x14ac:dyDescent="0.25">
      <c r="A34" s="6">
        <f t="shared" si="0"/>
        <v>26</v>
      </c>
      <c r="B34" s="6">
        <v>0</v>
      </c>
      <c r="C34" s="6">
        <v>0</v>
      </c>
      <c r="D34" s="6">
        <v>0</v>
      </c>
      <c r="E34" s="6">
        <v>0</v>
      </c>
      <c r="F34" s="6">
        <v>19</v>
      </c>
      <c r="G34" s="6">
        <v>1</v>
      </c>
      <c r="H34" s="6">
        <v>2</v>
      </c>
      <c r="I34" s="6">
        <v>3</v>
      </c>
      <c r="J34" s="6">
        <v>1</v>
      </c>
      <c r="K34" s="6">
        <v>0</v>
      </c>
      <c r="L34" s="7" t="s">
        <v>10</v>
      </c>
      <c r="M34" s="124"/>
      <c r="N34" s="1"/>
    </row>
    <row r="35" spans="1:14" ht="13.5" thickBot="1" x14ac:dyDescent="0.25">
      <c r="A35" s="6">
        <f t="shared" si="0"/>
        <v>57</v>
      </c>
      <c r="B35" s="6">
        <v>0</v>
      </c>
      <c r="C35" s="6">
        <v>1</v>
      </c>
      <c r="D35" s="6">
        <v>0</v>
      </c>
      <c r="E35" s="6">
        <v>0</v>
      </c>
      <c r="F35" s="6">
        <v>29</v>
      </c>
      <c r="G35" s="6">
        <v>0</v>
      </c>
      <c r="H35" s="6">
        <v>8</v>
      </c>
      <c r="I35" s="6">
        <v>17</v>
      </c>
      <c r="J35" s="6">
        <v>2</v>
      </c>
      <c r="K35" s="6">
        <v>0</v>
      </c>
      <c r="L35" s="7" t="s">
        <v>11</v>
      </c>
      <c r="M35" s="124" t="s">
        <v>22</v>
      </c>
      <c r="N35" s="1"/>
    </row>
    <row r="36" spans="1:14" ht="13.5" thickBot="1" x14ac:dyDescent="0.25">
      <c r="A36" s="6">
        <f t="shared" ref="A36:K36" si="11">SUM(A34:A35)</f>
        <v>83</v>
      </c>
      <c r="B36" s="6">
        <f t="shared" si="11"/>
        <v>0</v>
      </c>
      <c r="C36" s="6">
        <f t="shared" si="11"/>
        <v>1</v>
      </c>
      <c r="D36" s="6">
        <f t="shared" si="11"/>
        <v>0</v>
      </c>
      <c r="E36" s="6">
        <f t="shared" si="11"/>
        <v>0</v>
      </c>
      <c r="F36" s="6">
        <f t="shared" si="11"/>
        <v>48</v>
      </c>
      <c r="G36" s="6">
        <f t="shared" si="11"/>
        <v>1</v>
      </c>
      <c r="H36" s="6">
        <f t="shared" si="11"/>
        <v>10</v>
      </c>
      <c r="I36" s="6">
        <f t="shared" si="11"/>
        <v>20</v>
      </c>
      <c r="J36" s="6">
        <f t="shared" si="11"/>
        <v>3</v>
      </c>
      <c r="K36" s="6">
        <f t="shared" si="11"/>
        <v>0</v>
      </c>
      <c r="L36" s="7" t="s">
        <v>13</v>
      </c>
      <c r="M36" s="9"/>
      <c r="N36" s="1"/>
    </row>
    <row r="37" spans="1:14" ht="13.5" thickBot="1" x14ac:dyDescent="0.25">
      <c r="A37" s="6">
        <f t="shared" si="0"/>
        <v>33</v>
      </c>
      <c r="B37" s="6">
        <v>0</v>
      </c>
      <c r="C37" s="6">
        <v>0</v>
      </c>
      <c r="D37" s="6">
        <v>0</v>
      </c>
      <c r="E37" s="6">
        <v>0</v>
      </c>
      <c r="F37" s="6">
        <v>26</v>
      </c>
      <c r="G37" s="6">
        <v>1</v>
      </c>
      <c r="H37" s="6">
        <v>4</v>
      </c>
      <c r="I37" s="6">
        <v>2</v>
      </c>
      <c r="J37" s="6">
        <v>0</v>
      </c>
      <c r="K37" s="6">
        <v>0</v>
      </c>
      <c r="L37" s="7" t="s">
        <v>10</v>
      </c>
      <c r="M37" s="124"/>
      <c r="N37" s="1"/>
    </row>
    <row r="38" spans="1:14" ht="13.5" thickBot="1" x14ac:dyDescent="0.25">
      <c r="A38" s="6">
        <f t="shared" si="0"/>
        <v>11</v>
      </c>
      <c r="B38" s="6">
        <v>0</v>
      </c>
      <c r="C38" s="6">
        <v>0</v>
      </c>
      <c r="D38" s="6">
        <v>0</v>
      </c>
      <c r="E38" s="6">
        <v>0</v>
      </c>
      <c r="F38" s="6">
        <v>3</v>
      </c>
      <c r="G38" s="6">
        <v>1</v>
      </c>
      <c r="H38" s="6">
        <v>2</v>
      </c>
      <c r="I38" s="6">
        <v>5</v>
      </c>
      <c r="J38" s="6">
        <v>0</v>
      </c>
      <c r="K38" s="6">
        <v>0</v>
      </c>
      <c r="L38" s="7" t="s">
        <v>11</v>
      </c>
      <c r="M38" s="124" t="s">
        <v>36</v>
      </c>
      <c r="N38" s="1"/>
    </row>
    <row r="39" spans="1:14" ht="13.5" thickBot="1" x14ac:dyDescent="0.25">
      <c r="A39" s="6">
        <f t="shared" ref="A39:K39" si="12">SUM(A37:A38)</f>
        <v>44</v>
      </c>
      <c r="B39" s="6">
        <f t="shared" si="12"/>
        <v>0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29</v>
      </c>
      <c r="G39" s="6">
        <f t="shared" si="12"/>
        <v>2</v>
      </c>
      <c r="H39" s="6">
        <f t="shared" si="12"/>
        <v>6</v>
      </c>
      <c r="I39" s="6">
        <f t="shared" si="12"/>
        <v>7</v>
      </c>
      <c r="J39" s="6">
        <f t="shared" si="12"/>
        <v>0</v>
      </c>
      <c r="K39" s="6">
        <f t="shared" si="12"/>
        <v>0</v>
      </c>
      <c r="L39" s="7" t="s">
        <v>13</v>
      </c>
      <c r="M39" s="9"/>
      <c r="N39" s="1"/>
    </row>
    <row r="40" spans="1:14" ht="13.5" thickBot="1" x14ac:dyDescent="0.25">
      <c r="A40" s="6">
        <f t="shared" si="0"/>
        <v>70</v>
      </c>
      <c r="B40" s="6">
        <v>1</v>
      </c>
      <c r="C40" s="6">
        <v>0</v>
      </c>
      <c r="D40" s="6">
        <v>0</v>
      </c>
      <c r="E40" s="6">
        <v>0</v>
      </c>
      <c r="F40" s="6">
        <v>20</v>
      </c>
      <c r="G40" s="6">
        <v>8</v>
      </c>
      <c r="H40" s="6">
        <v>36</v>
      </c>
      <c r="I40" s="6">
        <v>5</v>
      </c>
      <c r="J40" s="6">
        <v>0</v>
      </c>
      <c r="K40" s="6">
        <v>0</v>
      </c>
      <c r="L40" s="7" t="s">
        <v>10</v>
      </c>
      <c r="M40" s="124"/>
      <c r="N40" s="1"/>
    </row>
    <row r="41" spans="1:14" ht="13.5" thickBot="1" x14ac:dyDescent="0.25">
      <c r="A41" s="6">
        <f t="shared" si="0"/>
        <v>21</v>
      </c>
      <c r="B41" s="6">
        <v>0</v>
      </c>
      <c r="C41" s="6">
        <v>0</v>
      </c>
      <c r="D41" s="6">
        <v>0</v>
      </c>
      <c r="E41" s="6">
        <v>0</v>
      </c>
      <c r="F41" s="6">
        <v>6</v>
      </c>
      <c r="G41" s="6">
        <v>0</v>
      </c>
      <c r="H41" s="6">
        <v>1</v>
      </c>
      <c r="I41" s="6">
        <v>5</v>
      </c>
      <c r="J41" s="6">
        <v>1</v>
      </c>
      <c r="K41" s="6">
        <v>8</v>
      </c>
      <c r="L41" s="7" t="s">
        <v>11</v>
      </c>
      <c r="M41" s="124" t="s">
        <v>32</v>
      </c>
      <c r="N41" s="1"/>
    </row>
    <row r="42" spans="1:14" ht="13.5" thickBot="1" x14ac:dyDescent="0.25">
      <c r="A42" s="6">
        <f t="shared" ref="A42:K42" si="13">SUM(A40:A41)</f>
        <v>91</v>
      </c>
      <c r="B42" s="6">
        <f t="shared" si="13"/>
        <v>1</v>
      </c>
      <c r="C42" s="6">
        <f t="shared" si="13"/>
        <v>0</v>
      </c>
      <c r="D42" s="6">
        <f t="shared" si="13"/>
        <v>0</v>
      </c>
      <c r="E42" s="6">
        <f t="shared" si="13"/>
        <v>0</v>
      </c>
      <c r="F42" s="6">
        <f t="shared" si="13"/>
        <v>26</v>
      </c>
      <c r="G42" s="6">
        <f t="shared" si="13"/>
        <v>8</v>
      </c>
      <c r="H42" s="6">
        <f t="shared" si="13"/>
        <v>37</v>
      </c>
      <c r="I42" s="6">
        <f t="shared" si="13"/>
        <v>10</v>
      </c>
      <c r="J42" s="6">
        <f t="shared" si="13"/>
        <v>1</v>
      </c>
      <c r="K42" s="6">
        <f t="shared" si="13"/>
        <v>8</v>
      </c>
      <c r="L42" s="7" t="s">
        <v>13</v>
      </c>
      <c r="M42" s="9"/>
      <c r="N42" s="1"/>
    </row>
    <row r="43" spans="1:14" ht="13.5" thickBot="1" x14ac:dyDescent="0.25">
      <c r="A43" s="6">
        <f t="shared" si="0"/>
        <v>936</v>
      </c>
      <c r="B43" s="6">
        <v>18</v>
      </c>
      <c r="C43" s="6">
        <v>3</v>
      </c>
      <c r="D43" s="6">
        <v>12</v>
      </c>
      <c r="E43" s="6">
        <v>0</v>
      </c>
      <c r="F43" s="6">
        <v>35</v>
      </c>
      <c r="G43" s="6">
        <v>286</v>
      </c>
      <c r="H43" s="6">
        <v>172</v>
      </c>
      <c r="I43" s="6">
        <v>401</v>
      </c>
      <c r="J43" s="6">
        <v>2</v>
      </c>
      <c r="K43" s="6">
        <v>7</v>
      </c>
      <c r="L43" s="7" t="s">
        <v>10</v>
      </c>
      <c r="M43" s="124"/>
      <c r="N43" s="1"/>
    </row>
    <row r="44" spans="1:14" ht="13.5" thickBot="1" x14ac:dyDescent="0.25">
      <c r="A44" s="6">
        <f t="shared" si="0"/>
        <v>243</v>
      </c>
      <c r="B44" s="6">
        <v>4</v>
      </c>
      <c r="C44" s="6">
        <v>12</v>
      </c>
      <c r="D44" s="6">
        <v>2</v>
      </c>
      <c r="E44" s="6">
        <v>0</v>
      </c>
      <c r="F44" s="6">
        <v>23</v>
      </c>
      <c r="G44" s="6">
        <v>16</v>
      </c>
      <c r="H44" s="6">
        <v>51</v>
      </c>
      <c r="I44" s="6">
        <v>107</v>
      </c>
      <c r="J44" s="6">
        <v>15</v>
      </c>
      <c r="K44" s="6">
        <v>13</v>
      </c>
      <c r="L44" s="7" t="s">
        <v>11</v>
      </c>
      <c r="M44" s="124" t="s">
        <v>41</v>
      </c>
      <c r="N44" s="1"/>
    </row>
    <row r="45" spans="1:14" ht="13.5" thickBot="1" x14ac:dyDescent="0.25">
      <c r="A45" s="6">
        <f t="shared" ref="A45:K45" si="14">SUM(A43:A44)</f>
        <v>1179</v>
      </c>
      <c r="B45" s="6">
        <f t="shared" si="14"/>
        <v>22</v>
      </c>
      <c r="C45" s="6">
        <f t="shared" si="14"/>
        <v>15</v>
      </c>
      <c r="D45" s="6">
        <f t="shared" si="14"/>
        <v>14</v>
      </c>
      <c r="E45" s="6">
        <f t="shared" si="14"/>
        <v>0</v>
      </c>
      <c r="F45" s="6">
        <f t="shared" si="14"/>
        <v>58</v>
      </c>
      <c r="G45" s="6">
        <f t="shared" si="14"/>
        <v>302</v>
      </c>
      <c r="H45" s="6">
        <f t="shared" si="14"/>
        <v>223</v>
      </c>
      <c r="I45" s="6">
        <f t="shared" si="14"/>
        <v>508</v>
      </c>
      <c r="J45" s="6">
        <f t="shared" si="14"/>
        <v>17</v>
      </c>
      <c r="K45" s="6">
        <f t="shared" si="14"/>
        <v>20</v>
      </c>
      <c r="L45" s="7" t="s">
        <v>13</v>
      </c>
      <c r="M45" s="9"/>
      <c r="N45" s="1"/>
    </row>
    <row r="46" spans="1:14" ht="13.5" thickBot="1" x14ac:dyDescent="0.25">
      <c r="A46" s="6">
        <f t="shared" si="0"/>
        <v>13</v>
      </c>
      <c r="B46" s="6">
        <v>0</v>
      </c>
      <c r="C46" s="6">
        <v>0</v>
      </c>
      <c r="D46" s="6">
        <v>0</v>
      </c>
      <c r="E46" s="6">
        <v>0</v>
      </c>
      <c r="F46" s="6">
        <v>13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7" t="s">
        <v>10</v>
      </c>
      <c r="M46" s="124"/>
      <c r="N46" s="1"/>
    </row>
    <row r="47" spans="1:14" ht="13.5" thickBot="1" x14ac:dyDescent="0.25">
      <c r="A47" s="6">
        <f t="shared" si="0"/>
        <v>3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3</v>
      </c>
      <c r="J47" s="6">
        <v>0</v>
      </c>
      <c r="K47" s="6">
        <v>0</v>
      </c>
      <c r="L47" s="7" t="s">
        <v>11</v>
      </c>
      <c r="M47" s="124" t="s">
        <v>24</v>
      </c>
      <c r="N47" s="1"/>
    </row>
    <row r="48" spans="1:14" ht="13.5" thickBot="1" x14ac:dyDescent="0.25">
      <c r="A48" s="6">
        <f t="shared" ref="A48:K48" si="15">SUM(A46:A47)</f>
        <v>16</v>
      </c>
      <c r="B48" s="6">
        <f t="shared" si="15"/>
        <v>0</v>
      </c>
      <c r="C48" s="6">
        <f t="shared" si="15"/>
        <v>0</v>
      </c>
      <c r="D48" s="6">
        <f t="shared" si="15"/>
        <v>0</v>
      </c>
      <c r="E48" s="6">
        <f t="shared" si="15"/>
        <v>0</v>
      </c>
      <c r="F48" s="6">
        <f t="shared" si="15"/>
        <v>13</v>
      </c>
      <c r="G48" s="6">
        <f t="shared" si="15"/>
        <v>0</v>
      </c>
      <c r="H48" s="6">
        <f t="shared" si="15"/>
        <v>0</v>
      </c>
      <c r="I48" s="6">
        <f t="shared" si="15"/>
        <v>3</v>
      </c>
      <c r="J48" s="6">
        <f t="shared" si="15"/>
        <v>0</v>
      </c>
      <c r="K48" s="6">
        <f t="shared" si="15"/>
        <v>0</v>
      </c>
      <c r="L48" s="7" t="s">
        <v>13</v>
      </c>
      <c r="M48" s="9"/>
      <c r="N48" s="1"/>
    </row>
    <row r="49" spans="1:14" ht="13.5" thickBot="1" x14ac:dyDescent="0.25">
      <c r="A49" s="6">
        <f t="shared" si="0"/>
        <v>2800</v>
      </c>
      <c r="B49" s="6">
        <v>8</v>
      </c>
      <c r="C49" s="6">
        <v>5</v>
      </c>
      <c r="D49" s="6">
        <v>252</v>
      </c>
      <c r="E49" s="6">
        <v>1</v>
      </c>
      <c r="F49" s="6">
        <v>82</v>
      </c>
      <c r="G49" s="6">
        <v>679</v>
      </c>
      <c r="H49" s="6">
        <v>461</v>
      </c>
      <c r="I49" s="6">
        <v>1277</v>
      </c>
      <c r="J49" s="6">
        <v>14</v>
      </c>
      <c r="K49" s="6">
        <v>21</v>
      </c>
      <c r="L49" s="7" t="s">
        <v>10</v>
      </c>
      <c r="M49" s="124"/>
      <c r="N49" s="1"/>
    </row>
    <row r="50" spans="1:14" ht="13.5" thickBot="1" x14ac:dyDescent="0.25">
      <c r="A50" s="6">
        <f t="shared" si="0"/>
        <v>473</v>
      </c>
      <c r="B50" s="6">
        <v>3</v>
      </c>
      <c r="C50" s="6">
        <v>17</v>
      </c>
      <c r="D50" s="6">
        <v>21</v>
      </c>
      <c r="E50" s="6">
        <v>0</v>
      </c>
      <c r="F50" s="6">
        <v>48</v>
      </c>
      <c r="G50" s="6">
        <v>13</v>
      </c>
      <c r="H50" s="6">
        <v>84</v>
      </c>
      <c r="I50" s="6">
        <v>224</v>
      </c>
      <c r="J50" s="6">
        <v>30</v>
      </c>
      <c r="K50" s="6">
        <v>33</v>
      </c>
      <c r="L50" s="7" t="s">
        <v>11</v>
      </c>
      <c r="M50" s="124" t="s">
        <v>37</v>
      </c>
      <c r="N50" s="1"/>
    </row>
    <row r="51" spans="1:14" ht="13.5" thickBot="1" x14ac:dyDescent="0.25">
      <c r="A51" s="6">
        <f t="shared" ref="A51:K51" si="16">SUM(A49:A50)</f>
        <v>3273</v>
      </c>
      <c r="B51" s="6">
        <f t="shared" si="16"/>
        <v>11</v>
      </c>
      <c r="C51" s="6">
        <f t="shared" si="16"/>
        <v>22</v>
      </c>
      <c r="D51" s="6">
        <f t="shared" si="16"/>
        <v>273</v>
      </c>
      <c r="E51" s="6">
        <f t="shared" si="16"/>
        <v>1</v>
      </c>
      <c r="F51" s="6">
        <f t="shared" si="16"/>
        <v>130</v>
      </c>
      <c r="G51" s="6">
        <f t="shared" si="16"/>
        <v>692</v>
      </c>
      <c r="H51" s="6">
        <f t="shared" si="16"/>
        <v>545</v>
      </c>
      <c r="I51" s="6">
        <f t="shared" si="16"/>
        <v>1501</v>
      </c>
      <c r="J51" s="6">
        <f t="shared" si="16"/>
        <v>44</v>
      </c>
      <c r="K51" s="6">
        <f t="shared" si="16"/>
        <v>54</v>
      </c>
      <c r="L51" s="7" t="s">
        <v>13</v>
      </c>
      <c r="M51" s="9"/>
      <c r="N51" s="1"/>
    </row>
    <row r="52" spans="1:14" ht="13.5" thickBot="1" x14ac:dyDescent="0.25">
      <c r="A52" s="6">
        <f t="shared" si="0"/>
        <v>1196</v>
      </c>
      <c r="B52" s="6">
        <v>8</v>
      </c>
      <c r="C52" s="6">
        <v>1</v>
      </c>
      <c r="D52" s="6">
        <v>15</v>
      </c>
      <c r="E52" s="6">
        <v>0</v>
      </c>
      <c r="F52" s="6">
        <v>20</v>
      </c>
      <c r="G52" s="6">
        <v>236</v>
      </c>
      <c r="H52" s="6">
        <v>255</v>
      </c>
      <c r="I52" s="6">
        <v>587</v>
      </c>
      <c r="J52" s="6">
        <v>3</v>
      </c>
      <c r="K52" s="6">
        <v>71</v>
      </c>
      <c r="L52" s="7" t="s">
        <v>10</v>
      </c>
      <c r="M52" s="124"/>
      <c r="N52" s="1"/>
    </row>
    <row r="53" spans="1:14" ht="13.5" thickBot="1" x14ac:dyDescent="0.25">
      <c r="A53" s="6">
        <f t="shared" si="0"/>
        <v>88</v>
      </c>
      <c r="B53" s="6">
        <v>4</v>
      </c>
      <c r="C53" s="6">
        <v>3</v>
      </c>
      <c r="D53" s="6">
        <v>1</v>
      </c>
      <c r="E53" s="6">
        <v>0</v>
      </c>
      <c r="F53" s="6">
        <v>10</v>
      </c>
      <c r="G53" s="6">
        <v>2</v>
      </c>
      <c r="H53" s="6">
        <v>16</v>
      </c>
      <c r="I53" s="6">
        <v>37</v>
      </c>
      <c r="J53" s="6">
        <v>5</v>
      </c>
      <c r="K53" s="6">
        <v>10</v>
      </c>
      <c r="L53" s="7" t="s">
        <v>11</v>
      </c>
      <c r="M53" s="124" t="s">
        <v>42</v>
      </c>
      <c r="N53" s="1"/>
    </row>
    <row r="54" spans="1:14" ht="13.5" thickBot="1" x14ac:dyDescent="0.25">
      <c r="A54" s="6">
        <f t="shared" ref="A54:K54" si="17">SUM(A52:A53)</f>
        <v>1284</v>
      </c>
      <c r="B54" s="6">
        <f t="shared" si="17"/>
        <v>12</v>
      </c>
      <c r="C54" s="6">
        <f t="shared" si="17"/>
        <v>4</v>
      </c>
      <c r="D54" s="6">
        <f t="shared" si="17"/>
        <v>16</v>
      </c>
      <c r="E54" s="6">
        <f t="shared" si="17"/>
        <v>0</v>
      </c>
      <c r="F54" s="6">
        <f t="shared" si="17"/>
        <v>30</v>
      </c>
      <c r="G54" s="6">
        <f t="shared" si="17"/>
        <v>238</v>
      </c>
      <c r="H54" s="6">
        <f t="shared" si="17"/>
        <v>271</v>
      </c>
      <c r="I54" s="6">
        <f t="shared" si="17"/>
        <v>624</v>
      </c>
      <c r="J54" s="6">
        <f t="shared" si="17"/>
        <v>8</v>
      </c>
      <c r="K54" s="6">
        <f t="shared" si="17"/>
        <v>81</v>
      </c>
      <c r="L54" s="7" t="s">
        <v>13</v>
      </c>
      <c r="M54" s="9"/>
      <c r="N54" s="1"/>
    </row>
    <row r="55" spans="1:14" ht="13.5" thickBot="1" x14ac:dyDescent="0.25">
      <c r="A55" s="6">
        <f t="shared" si="0"/>
        <v>18</v>
      </c>
      <c r="B55" s="6">
        <v>0</v>
      </c>
      <c r="C55" s="6">
        <v>0</v>
      </c>
      <c r="D55" s="6">
        <v>2</v>
      </c>
      <c r="E55" s="6">
        <v>0</v>
      </c>
      <c r="F55" s="6">
        <v>2</v>
      </c>
      <c r="G55" s="6">
        <v>0</v>
      </c>
      <c r="H55" s="6">
        <v>1</v>
      </c>
      <c r="I55" s="6">
        <v>13</v>
      </c>
      <c r="J55" s="6">
        <v>0</v>
      </c>
      <c r="K55" s="6">
        <v>0</v>
      </c>
      <c r="L55" s="7" t="s">
        <v>10</v>
      </c>
      <c r="M55" s="124"/>
      <c r="N55" s="1"/>
    </row>
    <row r="56" spans="1:14" ht="13.5" thickBot="1" x14ac:dyDescent="0.25">
      <c r="A56" s="6">
        <f t="shared" si="0"/>
        <v>37</v>
      </c>
      <c r="B56" s="6">
        <v>0</v>
      </c>
      <c r="C56" s="6">
        <v>11</v>
      </c>
      <c r="D56" s="6">
        <v>1</v>
      </c>
      <c r="E56" s="6">
        <v>0</v>
      </c>
      <c r="F56" s="6">
        <v>1</v>
      </c>
      <c r="G56" s="6">
        <v>1</v>
      </c>
      <c r="H56" s="6">
        <v>2</v>
      </c>
      <c r="I56" s="6">
        <v>12</v>
      </c>
      <c r="J56" s="6">
        <v>0</v>
      </c>
      <c r="K56" s="6">
        <v>9</v>
      </c>
      <c r="L56" s="7" t="s">
        <v>11</v>
      </c>
      <c r="M56" s="124" t="s">
        <v>38</v>
      </c>
      <c r="N56" s="1"/>
    </row>
    <row r="57" spans="1:14" ht="13.5" thickBot="1" x14ac:dyDescent="0.25">
      <c r="A57" s="6">
        <f t="shared" ref="A57:K57" si="18">SUM(A55:A56)</f>
        <v>55</v>
      </c>
      <c r="B57" s="6">
        <f t="shared" si="18"/>
        <v>0</v>
      </c>
      <c r="C57" s="6">
        <f t="shared" si="18"/>
        <v>11</v>
      </c>
      <c r="D57" s="6">
        <f t="shared" si="18"/>
        <v>3</v>
      </c>
      <c r="E57" s="6">
        <f t="shared" si="18"/>
        <v>0</v>
      </c>
      <c r="F57" s="6">
        <f t="shared" si="18"/>
        <v>3</v>
      </c>
      <c r="G57" s="6">
        <f t="shared" si="18"/>
        <v>1</v>
      </c>
      <c r="H57" s="6">
        <f t="shared" si="18"/>
        <v>3</v>
      </c>
      <c r="I57" s="6">
        <f t="shared" si="18"/>
        <v>25</v>
      </c>
      <c r="J57" s="6">
        <f t="shared" si="18"/>
        <v>0</v>
      </c>
      <c r="K57" s="6">
        <f t="shared" si="18"/>
        <v>9</v>
      </c>
      <c r="L57" s="7" t="s">
        <v>13</v>
      </c>
      <c r="M57" s="9"/>
      <c r="N57" s="1"/>
    </row>
    <row r="58" spans="1:14" ht="13.5" thickBot="1" x14ac:dyDescent="0.25">
      <c r="A58" s="6">
        <f t="shared" si="0"/>
        <v>0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7" t="s">
        <v>10</v>
      </c>
      <c r="M58" s="124"/>
      <c r="N58" s="1"/>
    </row>
    <row r="59" spans="1:14" ht="13.5" thickBot="1" x14ac:dyDescent="0.25">
      <c r="A59" s="6">
        <f t="shared" si="0"/>
        <v>4</v>
      </c>
      <c r="B59" s="6">
        <v>0</v>
      </c>
      <c r="C59" s="6">
        <v>0</v>
      </c>
      <c r="D59" s="6">
        <v>0</v>
      </c>
      <c r="E59" s="6">
        <v>0</v>
      </c>
      <c r="F59" s="6">
        <v>1</v>
      </c>
      <c r="G59" s="6">
        <v>0</v>
      </c>
      <c r="H59" s="6">
        <v>2</v>
      </c>
      <c r="I59" s="6">
        <v>1</v>
      </c>
      <c r="J59" s="6">
        <v>0</v>
      </c>
      <c r="K59" s="6">
        <v>0</v>
      </c>
      <c r="L59" s="7" t="s">
        <v>11</v>
      </c>
      <c r="M59" s="124" t="s">
        <v>39</v>
      </c>
      <c r="N59" s="1"/>
    </row>
    <row r="60" spans="1:14" ht="13.5" thickBot="1" x14ac:dyDescent="0.25">
      <c r="A60" s="6">
        <f t="shared" ref="A60:K60" si="19">SUM(A58:A59)</f>
        <v>4</v>
      </c>
      <c r="B60" s="6">
        <f t="shared" si="19"/>
        <v>0</v>
      </c>
      <c r="C60" s="6">
        <f t="shared" si="19"/>
        <v>0</v>
      </c>
      <c r="D60" s="6">
        <f t="shared" si="19"/>
        <v>0</v>
      </c>
      <c r="E60" s="6">
        <f t="shared" si="19"/>
        <v>0</v>
      </c>
      <c r="F60" s="6">
        <f t="shared" si="19"/>
        <v>1</v>
      </c>
      <c r="G60" s="6">
        <f t="shared" si="19"/>
        <v>0</v>
      </c>
      <c r="H60" s="6">
        <f t="shared" si="19"/>
        <v>2</v>
      </c>
      <c r="I60" s="6">
        <f t="shared" si="19"/>
        <v>1</v>
      </c>
      <c r="J60" s="6">
        <f t="shared" si="19"/>
        <v>0</v>
      </c>
      <c r="K60" s="6">
        <f t="shared" si="19"/>
        <v>0</v>
      </c>
      <c r="L60" s="7" t="s">
        <v>13</v>
      </c>
      <c r="M60" s="9"/>
      <c r="N60" s="1"/>
    </row>
    <row r="61" spans="1:14" ht="13.5" thickBot="1" x14ac:dyDescent="0.25">
      <c r="A61" s="6">
        <f t="shared" si="0"/>
        <v>218</v>
      </c>
      <c r="B61" s="6">
        <v>0</v>
      </c>
      <c r="C61" s="6">
        <v>0</v>
      </c>
      <c r="D61" s="6">
        <v>31</v>
      </c>
      <c r="E61" s="6">
        <v>0</v>
      </c>
      <c r="F61" s="6">
        <v>88</v>
      </c>
      <c r="G61" s="6">
        <v>33</v>
      </c>
      <c r="H61" s="6">
        <v>8</v>
      </c>
      <c r="I61" s="6">
        <v>38</v>
      </c>
      <c r="J61" s="6">
        <v>12</v>
      </c>
      <c r="K61" s="6">
        <v>8</v>
      </c>
      <c r="L61" s="7" t="s">
        <v>10</v>
      </c>
      <c r="M61" s="124"/>
      <c r="N61" s="1"/>
    </row>
    <row r="62" spans="1:14" ht="13.5" thickBot="1" x14ac:dyDescent="0.25">
      <c r="A62" s="6">
        <f t="shared" si="0"/>
        <v>64</v>
      </c>
      <c r="B62" s="6">
        <v>0</v>
      </c>
      <c r="C62" s="6">
        <v>1</v>
      </c>
      <c r="D62" s="6">
        <v>7</v>
      </c>
      <c r="E62" s="6">
        <v>0</v>
      </c>
      <c r="F62" s="6">
        <v>19</v>
      </c>
      <c r="G62" s="6">
        <v>1</v>
      </c>
      <c r="H62" s="6">
        <v>1</v>
      </c>
      <c r="I62" s="6">
        <v>14</v>
      </c>
      <c r="J62" s="6">
        <v>16</v>
      </c>
      <c r="K62" s="6">
        <v>5</v>
      </c>
      <c r="L62" s="7" t="s">
        <v>11</v>
      </c>
      <c r="M62" s="124" t="s">
        <v>25</v>
      </c>
      <c r="N62" s="1"/>
    </row>
    <row r="63" spans="1:14" ht="13.5" thickBot="1" x14ac:dyDescent="0.25">
      <c r="A63" s="6">
        <f t="shared" ref="A63:K63" si="20">SUM(A61:A62)</f>
        <v>282</v>
      </c>
      <c r="B63" s="6">
        <f t="shared" si="20"/>
        <v>0</v>
      </c>
      <c r="C63" s="6">
        <f t="shared" si="20"/>
        <v>1</v>
      </c>
      <c r="D63" s="6">
        <f t="shared" si="20"/>
        <v>38</v>
      </c>
      <c r="E63" s="6">
        <f t="shared" si="20"/>
        <v>0</v>
      </c>
      <c r="F63" s="6">
        <f t="shared" si="20"/>
        <v>107</v>
      </c>
      <c r="G63" s="6">
        <f t="shared" si="20"/>
        <v>34</v>
      </c>
      <c r="H63" s="6">
        <f t="shared" si="20"/>
        <v>9</v>
      </c>
      <c r="I63" s="6">
        <f t="shared" si="20"/>
        <v>52</v>
      </c>
      <c r="J63" s="6">
        <f t="shared" si="20"/>
        <v>28</v>
      </c>
      <c r="K63" s="6">
        <f t="shared" si="20"/>
        <v>13</v>
      </c>
      <c r="L63" s="7" t="s">
        <v>13</v>
      </c>
      <c r="M63" s="9"/>
      <c r="N63" s="1"/>
    </row>
    <row r="64" spans="1:14" ht="13.5" thickBot="1" x14ac:dyDescent="0.25">
      <c r="A64" s="6">
        <f t="shared" si="0"/>
        <v>6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1</v>
      </c>
      <c r="H64" s="6">
        <v>1</v>
      </c>
      <c r="I64" s="6">
        <v>4</v>
      </c>
      <c r="J64" s="6">
        <v>0</v>
      </c>
      <c r="K64" s="6">
        <v>0</v>
      </c>
      <c r="L64" s="7" t="s">
        <v>10</v>
      </c>
      <c r="M64" s="124"/>
      <c r="N64" s="1"/>
    </row>
    <row r="65" spans="1:14" ht="13.5" thickBot="1" x14ac:dyDescent="0.25">
      <c r="A65" s="6">
        <f t="shared" si="0"/>
        <v>11</v>
      </c>
      <c r="B65" s="6">
        <v>0</v>
      </c>
      <c r="C65" s="6">
        <v>1</v>
      </c>
      <c r="D65" s="6">
        <v>1</v>
      </c>
      <c r="E65" s="6">
        <v>0</v>
      </c>
      <c r="F65" s="6">
        <v>3</v>
      </c>
      <c r="G65" s="6">
        <v>0</v>
      </c>
      <c r="H65" s="6">
        <v>0</v>
      </c>
      <c r="I65" s="6">
        <v>6</v>
      </c>
      <c r="J65" s="6">
        <v>0</v>
      </c>
      <c r="K65" s="6">
        <v>0</v>
      </c>
      <c r="L65" s="7" t="s">
        <v>11</v>
      </c>
      <c r="M65" s="124" t="s">
        <v>26</v>
      </c>
      <c r="N65" s="1"/>
    </row>
    <row r="66" spans="1:14" ht="13.5" thickBot="1" x14ac:dyDescent="0.25">
      <c r="A66" s="6">
        <f t="shared" ref="A66:K66" si="21">SUM(A64:A65)</f>
        <v>17</v>
      </c>
      <c r="B66" s="6">
        <f t="shared" si="21"/>
        <v>0</v>
      </c>
      <c r="C66" s="6">
        <f t="shared" si="21"/>
        <v>1</v>
      </c>
      <c r="D66" s="6">
        <f t="shared" si="21"/>
        <v>1</v>
      </c>
      <c r="E66" s="6">
        <f t="shared" si="21"/>
        <v>0</v>
      </c>
      <c r="F66" s="6">
        <f t="shared" si="21"/>
        <v>3</v>
      </c>
      <c r="G66" s="6">
        <f t="shared" si="21"/>
        <v>1</v>
      </c>
      <c r="H66" s="6">
        <f t="shared" si="21"/>
        <v>1</v>
      </c>
      <c r="I66" s="6">
        <f t="shared" si="21"/>
        <v>10</v>
      </c>
      <c r="J66" s="6">
        <f t="shared" si="21"/>
        <v>0</v>
      </c>
      <c r="K66" s="6">
        <f t="shared" si="21"/>
        <v>0</v>
      </c>
      <c r="L66" s="7" t="s">
        <v>13</v>
      </c>
      <c r="M66" s="9"/>
      <c r="N66" s="1"/>
    </row>
    <row r="67" spans="1:14" ht="13.5" thickBot="1" x14ac:dyDescent="0.25">
      <c r="A67" s="6">
        <f t="shared" si="0"/>
        <v>74</v>
      </c>
      <c r="B67" s="6">
        <v>0</v>
      </c>
      <c r="C67" s="6">
        <v>0</v>
      </c>
      <c r="D67" s="6">
        <v>0</v>
      </c>
      <c r="E67" s="6">
        <v>0</v>
      </c>
      <c r="F67" s="6">
        <v>65</v>
      </c>
      <c r="G67" s="6">
        <v>5</v>
      </c>
      <c r="H67" s="6">
        <v>3</v>
      </c>
      <c r="I67" s="6">
        <v>0</v>
      </c>
      <c r="J67" s="6">
        <v>1</v>
      </c>
      <c r="K67" s="6">
        <v>0</v>
      </c>
      <c r="L67" s="7" t="s">
        <v>10</v>
      </c>
      <c r="M67" s="124"/>
      <c r="N67" s="1"/>
    </row>
    <row r="68" spans="1:14" ht="13.5" thickBot="1" x14ac:dyDescent="0.25">
      <c r="A68" s="6">
        <f t="shared" si="0"/>
        <v>27</v>
      </c>
      <c r="B68" s="6">
        <v>0</v>
      </c>
      <c r="C68" s="6">
        <v>0</v>
      </c>
      <c r="D68" s="6">
        <v>0</v>
      </c>
      <c r="E68" s="6">
        <v>0</v>
      </c>
      <c r="F68" s="6">
        <v>5</v>
      </c>
      <c r="G68" s="6">
        <v>0</v>
      </c>
      <c r="H68" s="6">
        <v>5</v>
      </c>
      <c r="I68" s="6">
        <v>10</v>
      </c>
      <c r="J68" s="6">
        <v>4</v>
      </c>
      <c r="K68" s="6">
        <v>3</v>
      </c>
      <c r="L68" s="7" t="s">
        <v>11</v>
      </c>
      <c r="M68" s="124" t="s">
        <v>27</v>
      </c>
      <c r="N68" s="1"/>
    </row>
    <row r="69" spans="1:14" ht="13.5" thickBot="1" x14ac:dyDescent="0.25">
      <c r="A69" s="6">
        <f t="shared" ref="A69:K69" si="22">SUM(A67:A68)</f>
        <v>101</v>
      </c>
      <c r="B69" s="6">
        <f t="shared" si="22"/>
        <v>0</v>
      </c>
      <c r="C69" s="6">
        <f t="shared" si="22"/>
        <v>0</v>
      </c>
      <c r="D69" s="6">
        <f t="shared" si="22"/>
        <v>0</v>
      </c>
      <c r="E69" s="6">
        <f t="shared" si="22"/>
        <v>0</v>
      </c>
      <c r="F69" s="6">
        <f t="shared" si="22"/>
        <v>70</v>
      </c>
      <c r="G69" s="6">
        <f t="shared" si="22"/>
        <v>5</v>
      </c>
      <c r="H69" s="6">
        <f t="shared" si="22"/>
        <v>8</v>
      </c>
      <c r="I69" s="6">
        <f t="shared" si="22"/>
        <v>10</v>
      </c>
      <c r="J69" s="6">
        <f t="shared" si="22"/>
        <v>5</v>
      </c>
      <c r="K69" s="6">
        <f t="shared" si="22"/>
        <v>3</v>
      </c>
      <c r="L69" s="7" t="s">
        <v>13</v>
      </c>
      <c r="M69" s="9"/>
      <c r="N69" s="1"/>
    </row>
    <row r="70" spans="1:14" ht="13.5" thickBot="1" x14ac:dyDescent="0.25">
      <c r="A70" s="6">
        <f t="shared" ref="A70:A71" si="23">SUM(B70:K70)</f>
        <v>1615</v>
      </c>
      <c r="B70" s="6">
        <v>24</v>
      </c>
      <c r="C70" s="6">
        <v>9</v>
      </c>
      <c r="D70" s="6">
        <v>33</v>
      </c>
      <c r="E70" s="6">
        <v>0</v>
      </c>
      <c r="F70" s="6">
        <v>139</v>
      </c>
      <c r="G70" s="6">
        <v>355</v>
      </c>
      <c r="H70" s="6">
        <v>326</v>
      </c>
      <c r="I70" s="6">
        <v>689</v>
      </c>
      <c r="J70" s="6">
        <v>17</v>
      </c>
      <c r="K70" s="6">
        <v>23</v>
      </c>
      <c r="L70" s="7" t="s">
        <v>10</v>
      </c>
      <c r="M70" s="124"/>
      <c r="N70" s="1"/>
    </row>
    <row r="71" spans="1:14" ht="13.5" thickBot="1" x14ac:dyDescent="0.25">
      <c r="A71" s="6">
        <f t="shared" si="23"/>
        <v>265</v>
      </c>
      <c r="B71" s="6">
        <v>3</v>
      </c>
      <c r="C71" s="6">
        <v>5</v>
      </c>
      <c r="D71" s="6">
        <v>4</v>
      </c>
      <c r="E71" s="6">
        <v>0</v>
      </c>
      <c r="F71" s="6">
        <v>27</v>
      </c>
      <c r="G71" s="6">
        <v>6</v>
      </c>
      <c r="H71" s="6">
        <v>59</v>
      </c>
      <c r="I71" s="6">
        <v>103</v>
      </c>
      <c r="J71" s="6">
        <v>38</v>
      </c>
      <c r="K71" s="6">
        <v>20</v>
      </c>
      <c r="L71" s="7" t="s">
        <v>11</v>
      </c>
      <c r="M71" s="124" t="s">
        <v>33</v>
      </c>
      <c r="N71" s="1"/>
    </row>
    <row r="72" spans="1:14" ht="13.5" thickBot="1" x14ac:dyDescent="0.25">
      <c r="A72" s="6">
        <f t="shared" ref="A72:K72" si="24">SUM(A70:A71)</f>
        <v>1880</v>
      </c>
      <c r="B72" s="6">
        <f t="shared" si="24"/>
        <v>27</v>
      </c>
      <c r="C72" s="6">
        <f t="shared" si="24"/>
        <v>14</v>
      </c>
      <c r="D72" s="6">
        <f t="shared" si="24"/>
        <v>37</v>
      </c>
      <c r="E72" s="6">
        <f t="shared" si="24"/>
        <v>0</v>
      </c>
      <c r="F72" s="6">
        <f t="shared" si="24"/>
        <v>166</v>
      </c>
      <c r="G72" s="6">
        <f t="shared" si="24"/>
        <v>361</v>
      </c>
      <c r="H72" s="6">
        <f t="shared" si="24"/>
        <v>385</v>
      </c>
      <c r="I72" s="6">
        <f t="shared" si="24"/>
        <v>792</v>
      </c>
      <c r="J72" s="6">
        <f t="shared" si="24"/>
        <v>55</v>
      </c>
      <c r="K72" s="6">
        <f t="shared" si="24"/>
        <v>43</v>
      </c>
      <c r="L72" s="7" t="s">
        <v>13</v>
      </c>
      <c r="M72" s="9"/>
      <c r="N72" s="1"/>
    </row>
    <row r="73" spans="1:14" ht="13.5" thickBot="1" x14ac:dyDescent="0.25">
      <c r="A73" s="6">
        <f t="shared" ref="A73:J75" si="25">A4+A7+A10+A13+A16+A19+A22+A25+A28+A31+A34+A37+A40+A43+A46+A49+A52+A55+A58+A61+A64+A67+A70</f>
        <v>7183</v>
      </c>
      <c r="B73" s="6">
        <f t="shared" si="25"/>
        <v>62</v>
      </c>
      <c r="C73" s="6">
        <f t="shared" si="25"/>
        <v>18</v>
      </c>
      <c r="D73" s="6">
        <f t="shared" si="25"/>
        <v>363</v>
      </c>
      <c r="E73" s="6">
        <f t="shared" si="25"/>
        <v>7</v>
      </c>
      <c r="F73" s="6">
        <f t="shared" si="25"/>
        <v>548</v>
      </c>
      <c r="G73" s="6">
        <f t="shared" si="25"/>
        <v>1635</v>
      </c>
      <c r="H73" s="6">
        <f t="shared" si="25"/>
        <v>1298</v>
      </c>
      <c r="I73" s="6">
        <f t="shared" si="25"/>
        <v>3058</v>
      </c>
      <c r="J73" s="6">
        <f t="shared" si="25"/>
        <v>53</v>
      </c>
      <c r="K73" s="6">
        <f>K4+K7+K10+K13+K16+K19+K22+K25+K28+K31+K34+K37+K40+K43+K46+K49+K52+K55+K58+K61+K64+K67+K70</f>
        <v>141</v>
      </c>
      <c r="L73" s="7" t="s">
        <v>10</v>
      </c>
      <c r="M73" s="3"/>
      <c r="N73" s="1"/>
    </row>
    <row r="74" spans="1:14" ht="13.5" thickBot="1" x14ac:dyDescent="0.25">
      <c r="A74" s="6">
        <f t="shared" si="25"/>
        <v>1406</v>
      </c>
      <c r="B74" s="6">
        <f t="shared" si="25"/>
        <v>14</v>
      </c>
      <c r="C74" s="6">
        <f t="shared" si="25"/>
        <v>54</v>
      </c>
      <c r="D74" s="6">
        <f t="shared" si="25"/>
        <v>51</v>
      </c>
      <c r="E74" s="6">
        <f t="shared" si="25"/>
        <v>1</v>
      </c>
      <c r="F74" s="6">
        <f t="shared" si="25"/>
        <v>190</v>
      </c>
      <c r="G74" s="6">
        <f t="shared" si="25"/>
        <v>47</v>
      </c>
      <c r="H74" s="6">
        <f t="shared" si="25"/>
        <v>245</v>
      </c>
      <c r="I74" s="6">
        <f t="shared" si="25"/>
        <v>577</v>
      </c>
      <c r="J74" s="6">
        <f t="shared" si="25"/>
        <v>113</v>
      </c>
      <c r="K74" s="6">
        <f>K5+K8+K11+K14+K17+K20+K23+K26+K29+K32+K35+K38+K41+K44+K47+K50+K53+K56+K59+K62+K65+K68+K71</f>
        <v>114</v>
      </c>
      <c r="L74" s="7" t="s">
        <v>11</v>
      </c>
      <c r="M74" s="11" t="s">
        <v>211</v>
      </c>
      <c r="N74" s="1"/>
    </row>
    <row r="75" spans="1:14" ht="13.5" thickBot="1" x14ac:dyDescent="0.25">
      <c r="A75" s="6">
        <f t="shared" si="25"/>
        <v>8589</v>
      </c>
      <c r="B75" s="6">
        <f t="shared" si="25"/>
        <v>76</v>
      </c>
      <c r="C75" s="6">
        <f t="shared" si="25"/>
        <v>72</v>
      </c>
      <c r="D75" s="6">
        <f t="shared" si="25"/>
        <v>414</v>
      </c>
      <c r="E75" s="6">
        <f t="shared" si="25"/>
        <v>8</v>
      </c>
      <c r="F75" s="6">
        <f t="shared" si="25"/>
        <v>738</v>
      </c>
      <c r="G75" s="6">
        <f t="shared" si="25"/>
        <v>1682</v>
      </c>
      <c r="H75" s="6">
        <f t="shared" si="25"/>
        <v>1543</v>
      </c>
      <c r="I75" s="6">
        <f t="shared" si="25"/>
        <v>3635</v>
      </c>
      <c r="J75" s="6">
        <f t="shared" si="25"/>
        <v>166</v>
      </c>
      <c r="K75" s="6">
        <f>K6+K9+K12+K15+K18+K21+K24+K27+K30+K33+K36+K39+K42+K45+K48+K51+K54+K57+K60+K63+K66+K69+K72</f>
        <v>255</v>
      </c>
      <c r="L75" s="7" t="s">
        <v>13</v>
      </c>
      <c r="M75" s="5"/>
      <c r="N75" s="1"/>
    </row>
  </sheetData>
  <mergeCells count="2">
    <mergeCell ref="A1:M1"/>
    <mergeCell ref="A2:M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zoomScale="90" zoomScaleNormal="90" workbookViewId="0">
      <selection activeCell="H43" sqref="H43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689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690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747</v>
      </c>
      <c r="C5" s="6">
        <v>50</v>
      </c>
      <c r="D5" s="6">
        <v>1</v>
      </c>
      <c r="E5" s="6">
        <v>138</v>
      </c>
      <c r="F5" s="6">
        <v>198</v>
      </c>
      <c r="G5" s="6">
        <v>0</v>
      </c>
      <c r="H5" s="6">
        <v>260</v>
      </c>
      <c r="I5" s="6">
        <v>100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625</v>
      </c>
      <c r="C6" s="6">
        <v>55</v>
      </c>
      <c r="D6" s="6">
        <v>0</v>
      </c>
      <c r="E6" s="6">
        <v>56</v>
      </c>
      <c r="F6" s="6">
        <v>166</v>
      </c>
      <c r="G6" s="6">
        <v>0</v>
      </c>
      <c r="H6" s="6">
        <v>297</v>
      </c>
      <c r="I6" s="6">
        <v>51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1372</v>
      </c>
      <c r="C7" s="6">
        <f t="shared" si="1"/>
        <v>105</v>
      </c>
      <c r="D7" s="6">
        <f t="shared" si="1"/>
        <v>1</v>
      </c>
      <c r="E7" s="6">
        <f t="shared" si="1"/>
        <v>194</v>
      </c>
      <c r="F7" s="6">
        <f t="shared" si="1"/>
        <v>364</v>
      </c>
      <c r="G7" s="6">
        <f t="shared" si="1"/>
        <v>0</v>
      </c>
      <c r="H7" s="6">
        <f t="shared" si="1"/>
        <v>557</v>
      </c>
      <c r="I7" s="6">
        <f>SUM(I5:I6)</f>
        <v>151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417</v>
      </c>
      <c r="C8" s="6">
        <v>9</v>
      </c>
      <c r="D8" s="6">
        <v>0</v>
      </c>
      <c r="E8" s="6">
        <v>125</v>
      </c>
      <c r="F8" s="6">
        <v>168</v>
      </c>
      <c r="G8" s="6">
        <v>0</v>
      </c>
      <c r="H8" s="6">
        <v>76</v>
      </c>
      <c r="I8" s="6">
        <v>39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418</v>
      </c>
      <c r="C9" s="6">
        <v>1</v>
      </c>
      <c r="D9" s="6">
        <v>0</v>
      </c>
      <c r="E9" s="6">
        <v>41</v>
      </c>
      <c r="F9" s="6">
        <v>221</v>
      </c>
      <c r="G9" s="6">
        <v>0</v>
      </c>
      <c r="H9" s="6">
        <v>122</v>
      </c>
      <c r="I9" s="6">
        <v>33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835</v>
      </c>
      <c r="C10" s="6">
        <f t="shared" si="2"/>
        <v>10</v>
      </c>
      <c r="D10" s="6">
        <f t="shared" si="2"/>
        <v>0</v>
      </c>
      <c r="E10" s="6">
        <f t="shared" si="2"/>
        <v>166</v>
      </c>
      <c r="F10" s="6">
        <f t="shared" si="2"/>
        <v>389</v>
      </c>
      <c r="G10" s="6">
        <f t="shared" si="2"/>
        <v>0</v>
      </c>
      <c r="H10" s="6">
        <f t="shared" si="2"/>
        <v>198</v>
      </c>
      <c r="I10" s="6">
        <f t="shared" si="2"/>
        <v>72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10259</v>
      </c>
      <c r="C11" s="6">
        <v>116</v>
      </c>
      <c r="D11" s="6">
        <v>3</v>
      </c>
      <c r="E11" s="6">
        <v>298</v>
      </c>
      <c r="F11" s="6">
        <v>3137</v>
      </c>
      <c r="G11" s="6">
        <v>5</v>
      </c>
      <c r="H11" s="6">
        <v>5551</v>
      </c>
      <c r="I11" s="6">
        <v>1149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2254</v>
      </c>
      <c r="C12" s="6">
        <v>15</v>
      </c>
      <c r="D12" s="6">
        <v>1</v>
      </c>
      <c r="E12" s="6">
        <v>94</v>
      </c>
      <c r="F12" s="6">
        <v>838</v>
      </c>
      <c r="G12" s="6">
        <v>0</v>
      </c>
      <c r="H12" s="6">
        <v>858</v>
      </c>
      <c r="I12" s="6">
        <v>448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12513</v>
      </c>
      <c r="C13" s="6">
        <f t="shared" si="3"/>
        <v>131</v>
      </c>
      <c r="D13" s="6">
        <f t="shared" si="3"/>
        <v>4</v>
      </c>
      <c r="E13" s="6">
        <f t="shared" si="3"/>
        <v>392</v>
      </c>
      <c r="F13" s="6">
        <f t="shared" si="3"/>
        <v>3975</v>
      </c>
      <c r="G13" s="6">
        <f t="shared" si="3"/>
        <v>5</v>
      </c>
      <c r="H13" s="6">
        <f t="shared" si="3"/>
        <v>6409</v>
      </c>
      <c r="I13" s="6">
        <f t="shared" si="3"/>
        <v>1597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7436</v>
      </c>
      <c r="C14" s="6">
        <v>54</v>
      </c>
      <c r="D14" s="6">
        <v>8</v>
      </c>
      <c r="E14" s="6">
        <v>389</v>
      </c>
      <c r="F14" s="6">
        <v>1853</v>
      </c>
      <c r="G14" s="6">
        <v>0</v>
      </c>
      <c r="H14" s="6">
        <v>4593</v>
      </c>
      <c r="I14" s="6">
        <v>539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1737</v>
      </c>
      <c r="C15" s="6">
        <v>6</v>
      </c>
      <c r="D15" s="6">
        <v>3</v>
      </c>
      <c r="E15" s="6">
        <v>159</v>
      </c>
      <c r="F15" s="6">
        <v>735</v>
      </c>
      <c r="G15" s="6">
        <v>0</v>
      </c>
      <c r="H15" s="6">
        <v>593</v>
      </c>
      <c r="I15" s="6">
        <v>241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9173</v>
      </c>
      <c r="C16" s="6">
        <f t="shared" si="4"/>
        <v>60</v>
      </c>
      <c r="D16" s="6">
        <f t="shared" si="4"/>
        <v>11</v>
      </c>
      <c r="E16" s="6">
        <f t="shared" si="4"/>
        <v>548</v>
      </c>
      <c r="F16" s="6">
        <f t="shared" si="4"/>
        <v>2588</v>
      </c>
      <c r="G16" s="6">
        <f t="shared" si="4"/>
        <v>0</v>
      </c>
      <c r="H16" s="6">
        <f t="shared" si="4"/>
        <v>5186</v>
      </c>
      <c r="I16" s="6">
        <f t="shared" si="4"/>
        <v>780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7714</v>
      </c>
      <c r="C17" s="6">
        <v>74</v>
      </c>
      <c r="D17" s="6">
        <v>0</v>
      </c>
      <c r="E17" s="6">
        <v>208</v>
      </c>
      <c r="F17" s="6">
        <v>1164</v>
      </c>
      <c r="G17" s="6">
        <v>4</v>
      </c>
      <c r="H17" s="6">
        <v>5805</v>
      </c>
      <c r="I17" s="6">
        <v>459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235</v>
      </c>
      <c r="C18" s="6">
        <v>1</v>
      </c>
      <c r="D18" s="6">
        <v>0</v>
      </c>
      <c r="E18" s="6">
        <v>14</v>
      </c>
      <c r="F18" s="6">
        <v>48</v>
      </c>
      <c r="G18" s="6">
        <v>0</v>
      </c>
      <c r="H18" s="6">
        <v>156</v>
      </c>
      <c r="I18" s="6">
        <v>16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7949</v>
      </c>
      <c r="C19" s="6">
        <f t="shared" si="5"/>
        <v>75</v>
      </c>
      <c r="D19" s="6">
        <f t="shared" si="5"/>
        <v>0</v>
      </c>
      <c r="E19" s="6">
        <f t="shared" si="5"/>
        <v>222</v>
      </c>
      <c r="F19" s="6">
        <f t="shared" si="5"/>
        <v>1212</v>
      </c>
      <c r="G19" s="6">
        <f t="shared" si="5"/>
        <v>4</v>
      </c>
      <c r="H19" s="6">
        <f t="shared" si="5"/>
        <v>5961</v>
      </c>
      <c r="I19" s="6">
        <f t="shared" si="5"/>
        <v>475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5272</v>
      </c>
      <c r="C20" s="6">
        <v>44</v>
      </c>
      <c r="D20" s="6">
        <v>731</v>
      </c>
      <c r="E20" s="6">
        <v>205</v>
      </c>
      <c r="F20" s="6">
        <v>797</v>
      </c>
      <c r="G20" s="6">
        <v>0</v>
      </c>
      <c r="H20" s="6">
        <v>3340</v>
      </c>
      <c r="I20" s="6">
        <v>155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2216</v>
      </c>
      <c r="C21" s="6">
        <v>19</v>
      </c>
      <c r="D21" s="6">
        <v>176</v>
      </c>
      <c r="E21" s="6">
        <v>123</v>
      </c>
      <c r="F21" s="6">
        <v>562</v>
      </c>
      <c r="G21" s="6">
        <v>0</v>
      </c>
      <c r="H21" s="6">
        <v>1130</v>
      </c>
      <c r="I21" s="6">
        <v>206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7488</v>
      </c>
      <c r="C22" s="6">
        <f t="shared" si="6"/>
        <v>63</v>
      </c>
      <c r="D22" s="6">
        <f t="shared" si="6"/>
        <v>907</v>
      </c>
      <c r="E22" s="6">
        <f t="shared" si="6"/>
        <v>328</v>
      </c>
      <c r="F22" s="6">
        <f t="shared" si="6"/>
        <v>1359</v>
      </c>
      <c r="G22" s="6">
        <f t="shared" si="6"/>
        <v>0</v>
      </c>
      <c r="H22" s="6">
        <f t="shared" si="6"/>
        <v>4470</v>
      </c>
      <c r="I22" s="6">
        <f t="shared" si="6"/>
        <v>361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36</v>
      </c>
      <c r="C23" s="6">
        <v>0</v>
      </c>
      <c r="D23" s="6">
        <v>0</v>
      </c>
      <c r="E23" s="6">
        <v>16</v>
      </c>
      <c r="F23" s="6">
        <v>13</v>
      </c>
      <c r="G23" s="6">
        <v>0</v>
      </c>
      <c r="H23" s="6">
        <v>2</v>
      </c>
      <c r="I23" s="6">
        <v>5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36</v>
      </c>
      <c r="C25" s="6">
        <f t="shared" si="7"/>
        <v>0</v>
      </c>
      <c r="D25" s="6">
        <f t="shared" si="7"/>
        <v>0</v>
      </c>
      <c r="E25" s="6">
        <f t="shared" si="7"/>
        <v>16</v>
      </c>
      <c r="F25" s="6">
        <f t="shared" si="7"/>
        <v>13</v>
      </c>
      <c r="G25" s="6">
        <f t="shared" si="7"/>
        <v>0</v>
      </c>
      <c r="H25" s="6">
        <f t="shared" si="7"/>
        <v>2</v>
      </c>
      <c r="I25" s="6">
        <f t="shared" si="7"/>
        <v>5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1322</v>
      </c>
      <c r="C26" s="6">
        <v>8</v>
      </c>
      <c r="D26" s="6">
        <v>0</v>
      </c>
      <c r="E26" s="6">
        <v>92</v>
      </c>
      <c r="F26" s="6">
        <v>578</v>
      </c>
      <c r="G26" s="6">
        <v>0</v>
      </c>
      <c r="H26" s="6">
        <v>388</v>
      </c>
      <c r="I26" s="6">
        <v>256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203</v>
      </c>
      <c r="C27" s="6">
        <v>1</v>
      </c>
      <c r="D27" s="6">
        <v>0</v>
      </c>
      <c r="E27" s="6">
        <v>5</v>
      </c>
      <c r="F27" s="6">
        <v>44</v>
      </c>
      <c r="G27" s="6">
        <v>0</v>
      </c>
      <c r="H27" s="6">
        <v>120</v>
      </c>
      <c r="I27" s="6">
        <v>33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1525</v>
      </c>
      <c r="C28" s="6">
        <f t="shared" si="8"/>
        <v>9</v>
      </c>
      <c r="D28" s="6">
        <f t="shared" si="8"/>
        <v>0</v>
      </c>
      <c r="E28" s="6">
        <f t="shared" si="8"/>
        <v>97</v>
      </c>
      <c r="F28" s="6">
        <f t="shared" si="8"/>
        <v>622</v>
      </c>
      <c r="G28" s="6">
        <f t="shared" si="8"/>
        <v>0</v>
      </c>
      <c r="H28" s="6">
        <f t="shared" si="8"/>
        <v>508</v>
      </c>
      <c r="I28" s="6">
        <f t="shared" si="8"/>
        <v>289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53</v>
      </c>
      <c r="C29" s="6">
        <v>1</v>
      </c>
      <c r="D29" s="6">
        <v>0</v>
      </c>
      <c r="E29" s="6">
        <v>5</v>
      </c>
      <c r="F29" s="6">
        <v>11</v>
      </c>
      <c r="G29" s="6">
        <v>0</v>
      </c>
      <c r="H29" s="6">
        <v>30</v>
      </c>
      <c r="I29" s="6">
        <v>6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156</v>
      </c>
      <c r="C30" s="6">
        <v>4</v>
      </c>
      <c r="D30" s="6">
        <v>0</v>
      </c>
      <c r="E30" s="6">
        <v>6</v>
      </c>
      <c r="F30" s="6">
        <v>23</v>
      </c>
      <c r="G30" s="6">
        <v>0</v>
      </c>
      <c r="H30" s="6">
        <v>90</v>
      </c>
      <c r="I30" s="6">
        <v>33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209</v>
      </c>
      <c r="C31" s="6">
        <f t="shared" si="9"/>
        <v>5</v>
      </c>
      <c r="D31" s="6">
        <f t="shared" si="9"/>
        <v>0</v>
      </c>
      <c r="E31" s="6">
        <f t="shared" si="9"/>
        <v>11</v>
      </c>
      <c r="F31" s="6">
        <f t="shared" si="9"/>
        <v>34</v>
      </c>
      <c r="G31" s="6">
        <f t="shared" si="9"/>
        <v>0</v>
      </c>
      <c r="H31" s="6">
        <f t="shared" si="9"/>
        <v>120</v>
      </c>
      <c r="I31" s="6">
        <f t="shared" si="9"/>
        <v>39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1422</v>
      </c>
      <c r="C32" s="6">
        <v>802</v>
      </c>
      <c r="D32" s="6">
        <v>69</v>
      </c>
      <c r="E32" s="6">
        <v>18</v>
      </c>
      <c r="F32" s="6">
        <v>201</v>
      </c>
      <c r="G32" s="6">
        <v>0</v>
      </c>
      <c r="H32" s="6">
        <v>212</v>
      </c>
      <c r="I32" s="6">
        <v>120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284</v>
      </c>
      <c r="C33" s="6">
        <v>59</v>
      </c>
      <c r="D33" s="6">
        <v>29</v>
      </c>
      <c r="E33" s="6">
        <v>4</v>
      </c>
      <c r="F33" s="6">
        <v>46</v>
      </c>
      <c r="G33" s="6">
        <v>0</v>
      </c>
      <c r="H33" s="6">
        <v>62</v>
      </c>
      <c r="I33" s="6">
        <v>84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1706</v>
      </c>
      <c r="C34" s="6">
        <f t="shared" si="10"/>
        <v>861</v>
      </c>
      <c r="D34" s="6">
        <f t="shared" si="10"/>
        <v>98</v>
      </c>
      <c r="E34" s="6">
        <f t="shared" si="10"/>
        <v>22</v>
      </c>
      <c r="F34" s="6">
        <f t="shared" si="10"/>
        <v>247</v>
      </c>
      <c r="G34" s="6">
        <f t="shared" si="10"/>
        <v>0</v>
      </c>
      <c r="H34" s="6">
        <f t="shared" si="10"/>
        <v>274</v>
      </c>
      <c r="I34" s="6">
        <f t="shared" si="10"/>
        <v>204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34678</v>
      </c>
      <c r="C35" s="6">
        <f t="shared" si="11"/>
        <v>1158</v>
      </c>
      <c r="D35" s="6">
        <f t="shared" si="11"/>
        <v>812</v>
      </c>
      <c r="E35" s="6">
        <f t="shared" si="11"/>
        <v>1494</v>
      </c>
      <c r="F35" s="6">
        <f t="shared" si="11"/>
        <v>8120</v>
      </c>
      <c r="G35" s="6">
        <f t="shared" si="11"/>
        <v>9</v>
      </c>
      <c r="H35" s="6">
        <f t="shared" si="11"/>
        <v>20257</v>
      </c>
      <c r="I35" s="6">
        <f>I5+I8+I11+I14+I17+I20+I23+I26+I29+I32</f>
        <v>2828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8128</v>
      </c>
      <c r="C36" s="6">
        <f t="shared" si="11"/>
        <v>161</v>
      </c>
      <c r="D36" s="6">
        <f t="shared" si="11"/>
        <v>209</v>
      </c>
      <c r="E36" s="6">
        <f t="shared" si="11"/>
        <v>502</v>
      </c>
      <c r="F36" s="6">
        <f t="shared" si="11"/>
        <v>2683</v>
      </c>
      <c r="G36" s="6">
        <f t="shared" si="11"/>
        <v>0</v>
      </c>
      <c r="H36" s="6">
        <f t="shared" si="11"/>
        <v>3428</v>
      </c>
      <c r="I36" s="6">
        <f>I6+I9+I12+I15+I18+I21+I24+I27+I30+I33</f>
        <v>1145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42806</v>
      </c>
      <c r="C37" s="6">
        <f t="shared" si="11"/>
        <v>1319</v>
      </c>
      <c r="D37" s="6">
        <f t="shared" si="11"/>
        <v>1021</v>
      </c>
      <c r="E37" s="6">
        <f t="shared" si="11"/>
        <v>1996</v>
      </c>
      <c r="F37" s="6">
        <f t="shared" si="11"/>
        <v>10803</v>
      </c>
      <c r="G37" s="6">
        <f t="shared" si="11"/>
        <v>9</v>
      </c>
      <c r="H37" s="6">
        <f t="shared" si="11"/>
        <v>23685</v>
      </c>
      <c r="I37" s="6">
        <f>I7+I10+I13+I16+I19+I22+I25+I28+I31+I34</f>
        <v>3973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zoomScale="90" zoomScaleNormal="90" workbookViewId="0">
      <selection activeCell="H43" sqref="H43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691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692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522</v>
      </c>
      <c r="C5" s="6">
        <v>50</v>
      </c>
      <c r="D5" s="6">
        <v>1</v>
      </c>
      <c r="E5" s="6">
        <v>122</v>
      </c>
      <c r="F5" s="6">
        <v>136</v>
      </c>
      <c r="G5" s="6">
        <v>0</v>
      </c>
      <c r="H5" s="6">
        <v>145</v>
      </c>
      <c r="I5" s="6">
        <v>68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408</v>
      </c>
      <c r="C6" s="6">
        <v>54</v>
      </c>
      <c r="D6" s="6">
        <v>0</v>
      </c>
      <c r="E6" s="6">
        <v>45</v>
      </c>
      <c r="F6" s="6">
        <v>86</v>
      </c>
      <c r="G6" s="6">
        <v>0</v>
      </c>
      <c r="H6" s="6">
        <v>193</v>
      </c>
      <c r="I6" s="6">
        <v>30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930</v>
      </c>
      <c r="C7" s="6">
        <f t="shared" si="1"/>
        <v>104</v>
      </c>
      <c r="D7" s="6">
        <f t="shared" si="1"/>
        <v>1</v>
      </c>
      <c r="E7" s="6">
        <f t="shared" si="1"/>
        <v>167</v>
      </c>
      <c r="F7" s="6">
        <f t="shared" si="1"/>
        <v>222</v>
      </c>
      <c r="G7" s="6">
        <f t="shared" si="1"/>
        <v>0</v>
      </c>
      <c r="H7" s="6">
        <f t="shared" si="1"/>
        <v>338</v>
      </c>
      <c r="I7" s="6">
        <f>SUM(I5:I6)</f>
        <v>98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319</v>
      </c>
      <c r="C8" s="6">
        <v>9</v>
      </c>
      <c r="D8" s="6">
        <v>0</v>
      </c>
      <c r="E8" s="6">
        <v>109</v>
      </c>
      <c r="F8" s="6">
        <v>111</v>
      </c>
      <c r="G8" s="6">
        <v>0</v>
      </c>
      <c r="H8" s="6">
        <v>66</v>
      </c>
      <c r="I8" s="6">
        <v>24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216</v>
      </c>
      <c r="C9" s="6">
        <v>1</v>
      </c>
      <c r="D9" s="6">
        <v>0</v>
      </c>
      <c r="E9" s="6">
        <v>26</v>
      </c>
      <c r="F9" s="6">
        <v>77</v>
      </c>
      <c r="G9" s="6">
        <v>0</v>
      </c>
      <c r="H9" s="6">
        <v>97</v>
      </c>
      <c r="I9" s="6">
        <v>15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535</v>
      </c>
      <c r="C10" s="6">
        <f t="shared" si="2"/>
        <v>10</v>
      </c>
      <c r="D10" s="6">
        <f t="shared" si="2"/>
        <v>0</v>
      </c>
      <c r="E10" s="6">
        <f t="shared" si="2"/>
        <v>135</v>
      </c>
      <c r="F10" s="6">
        <f t="shared" si="2"/>
        <v>188</v>
      </c>
      <c r="G10" s="6">
        <f t="shared" si="2"/>
        <v>0</v>
      </c>
      <c r="H10" s="6">
        <f t="shared" si="2"/>
        <v>163</v>
      </c>
      <c r="I10" s="6">
        <f t="shared" si="2"/>
        <v>39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5424</v>
      </c>
      <c r="C11" s="6">
        <v>48</v>
      </c>
      <c r="D11" s="6">
        <v>3</v>
      </c>
      <c r="E11" s="6">
        <v>245</v>
      </c>
      <c r="F11" s="6">
        <v>2255</v>
      </c>
      <c r="G11" s="6">
        <v>4</v>
      </c>
      <c r="H11" s="6">
        <v>2479</v>
      </c>
      <c r="I11" s="6">
        <v>390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1273</v>
      </c>
      <c r="C12" s="6">
        <v>10</v>
      </c>
      <c r="D12" s="6">
        <v>1</v>
      </c>
      <c r="E12" s="6">
        <v>70</v>
      </c>
      <c r="F12" s="6">
        <v>567</v>
      </c>
      <c r="G12" s="6">
        <v>0</v>
      </c>
      <c r="H12" s="6">
        <v>281</v>
      </c>
      <c r="I12" s="6">
        <v>344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6697</v>
      </c>
      <c r="C13" s="6">
        <f t="shared" si="3"/>
        <v>58</v>
      </c>
      <c r="D13" s="6">
        <f t="shared" si="3"/>
        <v>4</v>
      </c>
      <c r="E13" s="6">
        <f t="shared" si="3"/>
        <v>315</v>
      </c>
      <c r="F13" s="6">
        <f t="shared" si="3"/>
        <v>2822</v>
      </c>
      <c r="G13" s="6">
        <f t="shared" si="3"/>
        <v>4</v>
      </c>
      <c r="H13" s="6">
        <f t="shared" si="3"/>
        <v>2760</v>
      </c>
      <c r="I13" s="6">
        <f t="shared" si="3"/>
        <v>734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5130</v>
      </c>
      <c r="C14" s="6">
        <v>32</v>
      </c>
      <c r="D14" s="6">
        <v>8</v>
      </c>
      <c r="E14" s="6">
        <v>347</v>
      </c>
      <c r="F14" s="6">
        <v>1621</v>
      </c>
      <c r="G14" s="6">
        <v>0</v>
      </c>
      <c r="H14" s="6">
        <v>2854</v>
      </c>
      <c r="I14" s="6">
        <v>268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1262</v>
      </c>
      <c r="C15" s="6">
        <v>4</v>
      </c>
      <c r="D15" s="6">
        <v>2</v>
      </c>
      <c r="E15" s="6">
        <v>135</v>
      </c>
      <c r="F15" s="6">
        <v>624</v>
      </c>
      <c r="G15" s="6">
        <v>0</v>
      </c>
      <c r="H15" s="6">
        <v>321</v>
      </c>
      <c r="I15" s="6">
        <v>176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6392</v>
      </c>
      <c r="C16" s="6">
        <f t="shared" si="4"/>
        <v>36</v>
      </c>
      <c r="D16" s="6">
        <f t="shared" si="4"/>
        <v>10</v>
      </c>
      <c r="E16" s="6">
        <f t="shared" si="4"/>
        <v>482</v>
      </c>
      <c r="F16" s="6">
        <f t="shared" si="4"/>
        <v>2245</v>
      </c>
      <c r="G16" s="6">
        <f t="shared" si="4"/>
        <v>0</v>
      </c>
      <c r="H16" s="6">
        <f t="shared" si="4"/>
        <v>3175</v>
      </c>
      <c r="I16" s="6">
        <f t="shared" si="4"/>
        <v>444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5080</v>
      </c>
      <c r="C17" s="6">
        <v>37</v>
      </c>
      <c r="D17" s="6">
        <v>0</v>
      </c>
      <c r="E17" s="6">
        <v>162</v>
      </c>
      <c r="F17" s="6">
        <v>1019</v>
      </c>
      <c r="G17" s="6">
        <v>4</v>
      </c>
      <c r="H17" s="6">
        <v>3663</v>
      </c>
      <c r="I17" s="6">
        <v>195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130</v>
      </c>
      <c r="C18" s="6">
        <v>1</v>
      </c>
      <c r="D18" s="6">
        <v>0</v>
      </c>
      <c r="E18" s="6">
        <v>11</v>
      </c>
      <c r="F18" s="6">
        <v>38</v>
      </c>
      <c r="G18" s="6">
        <v>0</v>
      </c>
      <c r="H18" s="6">
        <v>67</v>
      </c>
      <c r="I18" s="6">
        <v>13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5210</v>
      </c>
      <c r="C19" s="6">
        <f t="shared" si="5"/>
        <v>38</v>
      </c>
      <c r="D19" s="6">
        <f t="shared" si="5"/>
        <v>0</v>
      </c>
      <c r="E19" s="6">
        <f t="shared" si="5"/>
        <v>173</v>
      </c>
      <c r="F19" s="6">
        <f t="shared" si="5"/>
        <v>1057</v>
      </c>
      <c r="G19" s="6">
        <f t="shared" si="5"/>
        <v>4</v>
      </c>
      <c r="H19" s="6">
        <f t="shared" si="5"/>
        <v>3730</v>
      </c>
      <c r="I19" s="6">
        <f t="shared" si="5"/>
        <v>208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3652</v>
      </c>
      <c r="C20" s="6">
        <v>36</v>
      </c>
      <c r="D20" s="6">
        <v>686</v>
      </c>
      <c r="E20" s="6">
        <v>182</v>
      </c>
      <c r="F20" s="6">
        <v>707</v>
      </c>
      <c r="G20" s="6">
        <v>0</v>
      </c>
      <c r="H20" s="6">
        <v>1920</v>
      </c>
      <c r="I20" s="6">
        <v>121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1674</v>
      </c>
      <c r="C21" s="6">
        <v>17</v>
      </c>
      <c r="D21" s="6">
        <v>151</v>
      </c>
      <c r="E21" s="6">
        <v>97</v>
      </c>
      <c r="F21" s="6">
        <v>488</v>
      </c>
      <c r="G21" s="6">
        <v>0</v>
      </c>
      <c r="H21" s="6">
        <v>734</v>
      </c>
      <c r="I21" s="6">
        <v>187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5326</v>
      </c>
      <c r="C22" s="6">
        <f t="shared" si="6"/>
        <v>53</v>
      </c>
      <c r="D22" s="6">
        <f t="shared" si="6"/>
        <v>837</v>
      </c>
      <c r="E22" s="6">
        <f t="shared" si="6"/>
        <v>279</v>
      </c>
      <c r="F22" s="6">
        <f t="shared" si="6"/>
        <v>1195</v>
      </c>
      <c r="G22" s="6">
        <f t="shared" si="6"/>
        <v>0</v>
      </c>
      <c r="H22" s="6">
        <f t="shared" si="6"/>
        <v>2654</v>
      </c>
      <c r="I22" s="6">
        <f t="shared" si="6"/>
        <v>308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29</v>
      </c>
      <c r="C23" s="6">
        <v>0</v>
      </c>
      <c r="D23" s="6">
        <v>0</v>
      </c>
      <c r="E23" s="6">
        <v>14</v>
      </c>
      <c r="F23" s="6">
        <v>11</v>
      </c>
      <c r="G23" s="6">
        <v>0</v>
      </c>
      <c r="H23" s="6">
        <v>0</v>
      </c>
      <c r="I23" s="6">
        <v>4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29</v>
      </c>
      <c r="C25" s="6">
        <f t="shared" si="7"/>
        <v>0</v>
      </c>
      <c r="D25" s="6">
        <f t="shared" si="7"/>
        <v>0</v>
      </c>
      <c r="E25" s="6">
        <f t="shared" si="7"/>
        <v>14</v>
      </c>
      <c r="F25" s="6">
        <f t="shared" si="7"/>
        <v>11</v>
      </c>
      <c r="G25" s="6">
        <f t="shared" si="7"/>
        <v>0</v>
      </c>
      <c r="H25" s="6">
        <f t="shared" si="7"/>
        <v>0</v>
      </c>
      <c r="I25" s="6">
        <f t="shared" si="7"/>
        <v>4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756</v>
      </c>
      <c r="C26" s="6">
        <v>6</v>
      </c>
      <c r="D26" s="6">
        <v>0</v>
      </c>
      <c r="E26" s="6">
        <v>68</v>
      </c>
      <c r="F26" s="6">
        <v>436</v>
      </c>
      <c r="G26" s="6">
        <v>0</v>
      </c>
      <c r="H26" s="6">
        <v>151</v>
      </c>
      <c r="I26" s="6">
        <v>95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82</v>
      </c>
      <c r="C27" s="6">
        <v>1</v>
      </c>
      <c r="D27" s="6">
        <v>0</v>
      </c>
      <c r="E27" s="6">
        <v>3</v>
      </c>
      <c r="F27" s="6">
        <v>32</v>
      </c>
      <c r="G27" s="6">
        <v>0</v>
      </c>
      <c r="H27" s="6">
        <v>23</v>
      </c>
      <c r="I27" s="6">
        <v>23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838</v>
      </c>
      <c r="C28" s="6">
        <f t="shared" si="8"/>
        <v>7</v>
      </c>
      <c r="D28" s="6">
        <f t="shared" si="8"/>
        <v>0</v>
      </c>
      <c r="E28" s="6">
        <f t="shared" si="8"/>
        <v>71</v>
      </c>
      <c r="F28" s="6">
        <f t="shared" si="8"/>
        <v>468</v>
      </c>
      <c r="G28" s="6">
        <f t="shared" si="8"/>
        <v>0</v>
      </c>
      <c r="H28" s="6">
        <f t="shared" si="8"/>
        <v>174</v>
      </c>
      <c r="I28" s="6">
        <f t="shared" si="8"/>
        <v>118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17</v>
      </c>
      <c r="C29" s="6">
        <v>1</v>
      </c>
      <c r="D29" s="6">
        <v>0</v>
      </c>
      <c r="E29" s="6">
        <v>3</v>
      </c>
      <c r="F29" s="6">
        <v>5</v>
      </c>
      <c r="G29" s="6">
        <v>0</v>
      </c>
      <c r="H29" s="6">
        <v>7</v>
      </c>
      <c r="I29" s="6">
        <v>1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52</v>
      </c>
      <c r="C30" s="6">
        <v>2</v>
      </c>
      <c r="D30" s="6">
        <v>0</v>
      </c>
      <c r="E30" s="6">
        <v>4</v>
      </c>
      <c r="F30" s="6">
        <v>10</v>
      </c>
      <c r="G30" s="6">
        <v>0</v>
      </c>
      <c r="H30" s="6">
        <v>29</v>
      </c>
      <c r="I30" s="6">
        <v>7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69</v>
      </c>
      <c r="C31" s="6">
        <f t="shared" si="9"/>
        <v>3</v>
      </c>
      <c r="D31" s="6">
        <f t="shared" si="9"/>
        <v>0</v>
      </c>
      <c r="E31" s="6">
        <f t="shared" si="9"/>
        <v>7</v>
      </c>
      <c r="F31" s="6">
        <f t="shared" si="9"/>
        <v>15</v>
      </c>
      <c r="G31" s="6">
        <f t="shared" si="9"/>
        <v>0</v>
      </c>
      <c r="H31" s="6">
        <f t="shared" si="9"/>
        <v>36</v>
      </c>
      <c r="I31" s="6">
        <f t="shared" si="9"/>
        <v>8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1310</v>
      </c>
      <c r="C32" s="6">
        <v>752</v>
      </c>
      <c r="D32" s="6">
        <v>68</v>
      </c>
      <c r="E32" s="6">
        <v>15</v>
      </c>
      <c r="F32" s="6">
        <v>191</v>
      </c>
      <c r="G32" s="6">
        <v>0</v>
      </c>
      <c r="H32" s="6">
        <v>170</v>
      </c>
      <c r="I32" s="6">
        <v>114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251</v>
      </c>
      <c r="C33" s="6">
        <v>50</v>
      </c>
      <c r="D33" s="6">
        <v>29</v>
      </c>
      <c r="E33" s="6">
        <v>2</v>
      </c>
      <c r="F33" s="6">
        <v>37</v>
      </c>
      <c r="G33" s="6">
        <v>0</v>
      </c>
      <c r="H33" s="6">
        <v>50</v>
      </c>
      <c r="I33" s="6">
        <v>83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1561</v>
      </c>
      <c r="C34" s="6">
        <f t="shared" si="10"/>
        <v>802</v>
      </c>
      <c r="D34" s="6">
        <f t="shared" si="10"/>
        <v>97</v>
      </c>
      <c r="E34" s="6">
        <f t="shared" si="10"/>
        <v>17</v>
      </c>
      <c r="F34" s="6">
        <f t="shared" si="10"/>
        <v>228</v>
      </c>
      <c r="G34" s="6">
        <f t="shared" si="10"/>
        <v>0</v>
      </c>
      <c r="H34" s="6">
        <f t="shared" si="10"/>
        <v>220</v>
      </c>
      <c r="I34" s="6">
        <f t="shared" si="10"/>
        <v>197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22239</v>
      </c>
      <c r="C35" s="6">
        <f t="shared" si="11"/>
        <v>971</v>
      </c>
      <c r="D35" s="6">
        <f t="shared" si="11"/>
        <v>766</v>
      </c>
      <c r="E35" s="6">
        <f t="shared" si="11"/>
        <v>1267</v>
      </c>
      <c r="F35" s="6">
        <f t="shared" si="11"/>
        <v>6492</v>
      </c>
      <c r="G35" s="6">
        <f t="shared" si="11"/>
        <v>8</v>
      </c>
      <c r="H35" s="6">
        <f t="shared" si="11"/>
        <v>11455</v>
      </c>
      <c r="I35" s="6">
        <f>I5+I8+I11+I14+I17+I20+I23+I26+I29+I32</f>
        <v>1280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5348</v>
      </c>
      <c r="C36" s="6">
        <f t="shared" si="11"/>
        <v>140</v>
      </c>
      <c r="D36" s="6">
        <f t="shared" si="11"/>
        <v>183</v>
      </c>
      <c r="E36" s="6">
        <f t="shared" si="11"/>
        <v>393</v>
      </c>
      <c r="F36" s="6">
        <f t="shared" si="11"/>
        <v>1959</v>
      </c>
      <c r="G36" s="6">
        <f t="shared" si="11"/>
        <v>0</v>
      </c>
      <c r="H36" s="6">
        <f t="shared" si="11"/>
        <v>1795</v>
      </c>
      <c r="I36" s="6">
        <f>I6+I9+I12+I15+I18+I21+I24+I27+I30+I33</f>
        <v>878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27587</v>
      </c>
      <c r="C37" s="6">
        <f t="shared" si="11"/>
        <v>1111</v>
      </c>
      <c r="D37" s="6">
        <f t="shared" si="11"/>
        <v>949</v>
      </c>
      <c r="E37" s="6">
        <f t="shared" si="11"/>
        <v>1660</v>
      </c>
      <c r="F37" s="6">
        <f t="shared" si="11"/>
        <v>8451</v>
      </c>
      <c r="G37" s="6">
        <f t="shared" si="11"/>
        <v>8</v>
      </c>
      <c r="H37" s="6">
        <f t="shared" si="11"/>
        <v>13250</v>
      </c>
      <c r="I37" s="6">
        <f>I7+I10+I13+I16+I19+I22+I25+I28+I31+I34</f>
        <v>2158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zoomScale="90" zoomScaleNormal="90" workbookViewId="0">
      <selection activeCell="H43" sqref="H43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693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694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225</v>
      </c>
      <c r="C5" s="6">
        <v>0</v>
      </c>
      <c r="D5" s="6">
        <v>0</v>
      </c>
      <c r="E5" s="6">
        <v>16</v>
      </c>
      <c r="F5" s="6">
        <v>62</v>
      </c>
      <c r="G5" s="6">
        <v>0</v>
      </c>
      <c r="H5" s="6">
        <v>115</v>
      </c>
      <c r="I5" s="6">
        <v>32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217</v>
      </c>
      <c r="C6" s="6">
        <v>1</v>
      </c>
      <c r="D6" s="6">
        <v>0</v>
      </c>
      <c r="E6" s="6">
        <v>11</v>
      </c>
      <c r="F6" s="6">
        <v>80</v>
      </c>
      <c r="G6" s="6">
        <v>0</v>
      </c>
      <c r="H6" s="6">
        <v>104</v>
      </c>
      <c r="I6" s="6">
        <v>21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442</v>
      </c>
      <c r="C7" s="6">
        <f t="shared" si="1"/>
        <v>1</v>
      </c>
      <c r="D7" s="6">
        <f t="shared" si="1"/>
        <v>0</v>
      </c>
      <c r="E7" s="6">
        <f t="shared" si="1"/>
        <v>27</v>
      </c>
      <c r="F7" s="6">
        <f t="shared" si="1"/>
        <v>142</v>
      </c>
      <c r="G7" s="6">
        <f t="shared" si="1"/>
        <v>0</v>
      </c>
      <c r="H7" s="6">
        <f t="shared" si="1"/>
        <v>219</v>
      </c>
      <c r="I7" s="6">
        <f>SUM(I5:I6)</f>
        <v>53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98</v>
      </c>
      <c r="C8" s="6">
        <v>0</v>
      </c>
      <c r="D8" s="6">
        <v>0</v>
      </c>
      <c r="E8" s="6">
        <v>16</v>
      </c>
      <c r="F8" s="6">
        <v>57</v>
      </c>
      <c r="G8" s="6">
        <v>0</v>
      </c>
      <c r="H8" s="6">
        <v>10</v>
      </c>
      <c r="I8" s="6">
        <v>15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202</v>
      </c>
      <c r="C9" s="6">
        <v>0</v>
      </c>
      <c r="D9" s="6">
        <v>0</v>
      </c>
      <c r="E9" s="6">
        <v>15</v>
      </c>
      <c r="F9" s="6">
        <v>144</v>
      </c>
      <c r="G9" s="6">
        <v>0</v>
      </c>
      <c r="H9" s="6">
        <v>25</v>
      </c>
      <c r="I9" s="6">
        <v>18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300</v>
      </c>
      <c r="C10" s="6">
        <f t="shared" si="2"/>
        <v>0</v>
      </c>
      <c r="D10" s="6">
        <f t="shared" si="2"/>
        <v>0</v>
      </c>
      <c r="E10" s="6">
        <f t="shared" si="2"/>
        <v>31</v>
      </c>
      <c r="F10" s="6">
        <f t="shared" si="2"/>
        <v>201</v>
      </c>
      <c r="G10" s="6">
        <f t="shared" si="2"/>
        <v>0</v>
      </c>
      <c r="H10" s="6">
        <f t="shared" si="2"/>
        <v>35</v>
      </c>
      <c r="I10" s="6">
        <f t="shared" si="2"/>
        <v>33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4835</v>
      </c>
      <c r="C11" s="6">
        <v>68</v>
      </c>
      <c r="D11" s="6">
        <v>0</v>
      </c>
      <c r="E11" s="6">
        <v>53</v>
      </c>
      <c r="F11" s="6">
        <v>882</v>
      </c>
      <c r="G11" s="6">
        <v>1</v>
      </c>
      <c r="H11" s="6">
        <v>3072</v>
      </c>
      <c r="I11" s="6">
        <v>759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981</v>
      </c>
      <c r="C12" s="6">
        <v>5</v>
      </c>
      <c r="D12" s="6">
        <v>0</v>
      </c>
      <c r="E12" s="6">
        <v>24</v>
      </c>
      <c r="F12" s="6">
        <v>271</v>
      </c>
      <c r="G12" s="6">
        <v>0</v>
      </c>
      <c r="H12" s="6">
        <v>577</v>
      </c>
      <c r="I12" s="6">
        <v>104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5816</v>
      </c>
      <c r="C13" s="6">
        <f t="shared" si="3"/>
        <v>73</v>
      </c>
      <c r="D13" s="6">
        <f t="shared" si="3"/>
        <v>0</v>
      </c>
      <c r="E13" s="6">
        <f t="shared" si="3"/>
        <v>77</v>
      </c>
      <c r="F13" s="6">
        <f t="shared" si="3"/>
        <v>1153</v>
      </c>
      <c r="G13" s="6">
        <f t="shared" si="3"/>
        <v>1</v>
      </c>
      <c r="H13" s="6">
        <f t="shared" si="3"/>
        <v>3649</v>
      </c>
      <c r="I13" s="6">
        <f t="shared" si="3"/>
        <v>863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2306</v>
      </c>
      <c r="C14" s="6">
        <v>22</v>
      </c>
      <c r="D14" s="6">
        <v>0</v>
      </c>
      <c r="E14" s="6">
        <v>42</v>
      </c>
      <c r="F14" s="6">
        <v>232</v>
      </c>
      <c r="G14" s="6">
        <v>0</v>
      </c>
      <c r="H14" s="6">
        <v>1739</v>
      </c>
      <c r="I14" s="6">
        <v>271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475</v>
      </c>
      <c r="C15" s="6">
        <v>2</v>
      </c>
      <c r="D15" s="6">
        <v>1</v>
      </c>
      <c r="E15" s="6">
        <v>24</v>
      </c>
      <c r="F15" s="6">
        <v>111</v>
      </c>
      <c r="G15" s="6">
        <v>0</v>
      </c>
      <c r="H15" s="6">
        <v>272</v>
      </c>
      <c r="I15" s="6">
        <v>65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2781</v>
      </c>
      <c r="C16" s="6">
        <f t="shared" si="4"/>
        <v>24</v>
      </c>
      <c r="D16" s="6">
        <f t="shared" si="4"/>
        <v>1</v>
      </c>
      <c r="E16" s="6">
        <f t="shared" si="4"/>
        <v>66</v>
      </c>
      <c r="F16" s="6">
        <f t="shared" si="4"/>
        <v>343</v>
      </c>
      <c r="G16" s="6">
        <f t="shared" si="4"/>
        <v>0</v>
      </c>
      <c r="H16" s="6">
        <f t="shared" si="4"/>
        <v>2011</v>
      </c>
      <c r="I16" s="6">
        <f t="shared" si="4"/>
        <v>336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2634</v>
      </c>
      <c r="C17" s="6">
        <v>37</v>
      </c>
      <c r="D17" s="6">
        <v>0</v>
      </c>
      <c r="E17" s="6">
        <v>46</v>
      </c>
      <c r="F17" s="6">
        <v>145</v>
      </c>
      <c r="G17" s="6">
        <v>0</v>
      </c>
      <c r="H17" s="6">
        <v>2142</v>
      </c>
      <c r="I17" s="6">
        <v>264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105</v>
      </c>
      <c r="C18" s="6">
        <v>0</v>
      </c>
      <c r="D18" s="6">
        <v>0</v>
      </c>
      <c r="E18" s="6">
        <v>3</v>
      </c>
      <c r="F18" s="6">
        <v>10</v>
      </c>
      <c r="G18" s="6">
        <v>0</v>
      </c>
      <c r="H18" s="6">
        <v>89</v>
      </c>
      <c r="I18" s="6">
        <v>3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2739</v>
      </c>
      <c r="C19" s="6">
        <f t="shared" si="5"/>
        <v>37</v>
      </c>
      <c r="D19" s="6">
        <f t="shared" si="5"/>
        <v>0</v>
      </c>
      <c r="E19" s="6">
        <f t="shared" si="5"/>
        <v>49</v>
      </c>
      <c r="F19" s="6">
        <f t="shared" si="5"/>
        <v>155</v>
      </c>
      <c r="G19" s="6">
        <f t="shared" si="5"/>
        <v>0</v>
      </c>
      <c r="H19" s="6">
        <f t="shared" si="5"/>
        <v>2231</v>
      </c>
      <c r="I19" s="6">
        <f t="shared" si="5"/>
        <v>267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1620</v>
      </c>
      <c r="C20" s="6">
        <v>8</v>
      </c>
      <c r="D20" s="6">
        <v>45</v>
      </c>
      <c r="E20" s="6">
        <v>23</v>
      </c>
      <c r="F20" s="6">
        <v>90</v>
      </c>
      <c r="G20" s="6">
        <v>0</v>
      </c>
      <c r="H20" s="6">
        <v>1420</v>
      </c>
      <c r="I20" s="6">
        <v>34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542</v>
      </c>
      <c r="C21" s="6">
        <v>2</v>
      </c>
      <c r="D21" s="6">
        <v>25</v>
      </c>
      <c r="E21" s="6">
        <v>26</v>
      </c>
      <c r="F21" s="6">
        <v>74</v>
      </c>
      <c r="G21" s="6">
        <v>0</v>
      </c>
      <c r="H21" s="6">
        <v>396</v>
      </c>
      <c r="I21" s="6">
        <v>19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2162</v>
      </c>
      <c r="C22" s="6">
        <f t="shared" si="6"/>
        <v>10</v>
      </c>
      <c r="D22" s="6">
        <f t="shared" si="6"/>
        <v>70</v>
      </c>
      <c r="E22" s="6">
        <f t="shared" si="6"/>
        <v>49</v>
      </c>
      <c r="F22" s="6">
        <f t="shared" si="6"/>
        <v>164</v>
      </c>
      <c r="G22" s="6">
        <f t="shared" si="6"/>
        <v>0</v>
      </c>
      <c r="H22" s="6">
        <f t="shared" si="6"/>
        <v>1816</v>
      </c>
      <c r="I22" s="6">
        <f t="shared" si="6"/>
        <v>53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7</v>
      </c>
      <c r="C23" s="6">
        <v>0</v>
      </c>
      <c r="D23" s="6">
        <v>0</v>
      </c>
      <c r="E23" s="6">
        <v>2</v>
      </c>
      <c r="F23" s="6">
        <v>2</v>
      </c>
      <c r="G23" s="6">
        <v>0</v>
      </c>
      <c r="H23" s="6">
        <v>2</v>
      </c>
      <c r="I23" s="6">
        <v>1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7</v>
      </c>
      <c r="C25" s="6">
        <f t="shared" si="7"/>
        <v>0</v>
      </c>
      <c r="D25" s="6">
        <f t="shared" si="7"/>
        <v>0</v>
      </c>
      <c r="E25" s="6">
        <f t="shared" si="7"/>
        <v>2</v>
      </c>
      <c r="F25" s="6">
        <f t="shared" si="7"/>
        <v>2</v>
      </c>
      <c r="G25" s="6">
        <f t="shared" si="7"/>
        <v>0</v>
      </c>
      <c r="H25" s="6">
        <f t="shared" si="7"/>
        <v>2</v>
      </c>
      <c r="I25" s="6">
        <f t="shared" si="7"/>
        <v>1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566</v>
      </c>
      <c r="C26" s="6">
        <v>2</v>
      </c>
      <c r="D26" s="6">
        <v>0</v>
      </c>
      <c r="E26" s="6">
        <v>24</v>
      </c>
      <c r="F26" s="6">
        <v>142</v>
      </c>
      <c r="G26" s="6">
        <v>0</v>
      </c>
      <c r="H26" s="6">
        <v>237</v>
      </c>
      <c r="I26" s="6">
        <v>161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121</v>
      </c>
      <c r="C27" s="6">
        <v>0</v>
      </c>
      <c r="D27" s="6">
        <v>0</v>
      </c>
      <c r="E27" s="6">
        <v>2</v>
      </c>
      <c r="F27" s="6">
        <v>12</v>
      </c>
      <c r="G27" s="6">
        <v>0</v>
      </c>
      <c r="H27" s="6">
        <v>97</v>
      </c>
      <c r="I27" s="6">
        <v>10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687</v>
      </c>
      <c r="C28" s="6">
        <f t="shared" si="8"/>
        <v>2</v>
      </c>
      <c r="D28" s="6">
        <f t="shared" si="8"/>
        <v>0</v>
      </c>
      <c r="E28" s="6">
        <f t="shared" si="8"/>
        <v>26</v>
      </c>
      <c r="F28" s="6">
        <f t="shared" si="8"/>
        <v>154</v>
      </c>
      <c r="G28" s="6">
        <f t="shared" si="8"/>
        <v>0</v>
      </c>
      <c r="H28" s="6">
        <f t="shared" si="8"/>
        <v>334</v>
      </c>
      <c r="I28" s="6">
        <f t="shared" si="8"/>
        <v>171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36</v>
      </c>
      <c r="C29" s="6">
        <v>0</v>
      </c>
      <c r="D29" s="6">
        <v>0</v>
      </c>
      <c r="E29" s="6">
        <v>2</v>
      </c>
      <c r="F29" s="6">
        <v>6</v>
      </c>
      <c r="G29" s="6">
        <v>0</v>
      </c>
      <c r="H29" s="6">
        <v>23</v>
      </c>
      <c r="I29" s="6">
        <v>5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104</v>
      </c>
      <c r="C30" s="6">
        <v>2</v>
      </c>
      <c r="D30" s="6">
        <v>0</v>
      </c>
      <c r="E30" s="6">
        <v>2</v>
      </c>
      <c r="F30" s="6">
        <v>13</v>
      </c>
      <c r="G30" s="6">
        <v>0</v>
      </c>
      <c r="H30" s="6">
        <v>61</v>
      </c>
      <c r="I30" s="6">
        <v>26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140</v>
      </c>
      <c r="C31" s="6">
        <f t="shared" si="9"/>
        <v>2</v>
      </c>
      <c r="D31" s="6">
        <f t="shared" si="9"/>
        <v>0</v>
      </c>
      <c r="E31" s="6">
        <f t="shared" si="9"/>
        <v>4</v>
      </c>
      <c r="F31" s="6">
        <f t="shared" si="9"/>
        <v>19</v>
      </c>
      <c r="G31" s="6">
        <f t="shared" si="9"/>
        <v>0</v>
      </c>
      <c r="H31" s="6">
        <f t="shared" si="9"/>
        <v>84</v>
      </c>
      <c r="I31" s="6">
        <f t="shared" si="9"/>
        <v>31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112</v>
      </c>
      <c r="C32" s="6">
        <v>50</v>
      </c>
      <c r="D32" s="6">
        <v>1</v>
      </c>
      <c r="E32" s="6">
        <v>3</v>
      </c>
      <c r="F32" s="6">
        <v>10</v>
      </c>
      <c r="G32" s="6">
        <v>0</v>
      </c>
      <c r="H32" s="6">
        <v>42</v>
      </c>
      <c r="I32" s="6">
        <v>6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33</v>
      </c>
      <c r="C33" s="6">
        <v>9</v>
      </c>
      <c r="D33" s="6">
        <v>0</v>
      </c>
      <c r="E33" s="6">
        <v>2</v>
      </c>
      <c r="F33" s="6">
        <v>9</v>
      </c>
      <c r="G33" s="6">
        <v>0</v>
      </c>
      <c r="H33" s="6">
        <v>12</v>
      </c>
      <c r="I33" s="6">
        <v>1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145</v>
      </c>
      <c r="C34" s="6">
        <f t="shared" si="10"/>
        <v>59</v>
      </c>
      <c r="D34" s="6">
        <f t="shared" si="10"/>
        <v>1</v>
      </c>
      <c r="E34" s="6">
        <f t="shared" si="10"/>
        <v>5</v>
      </c>
      <c r="F34" s="6">
        <f t="shared" si="10"/>
        <v>19</v>
      </c>
      <c r="G34" s="6">
        <f t="shared" si="10"/>
        <v>0</v>
      </c>
      <c r="H34" s="6">
        <f t="shared" si="10"/>
        <v>54</v>
      </c>
      <c r="I34" s="6">
        <f t="shared" si="10"/>
        <v>7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12439</v>
      </c>
      <c r="C35" s="6">
        <f t="shared" si="11"/>
        <v>187</v>
      </c>
      <c r="D35" s="6">
        <f t="shared" si="11"/>
        <v>46</v>
      </c>
      <c r="E35" s="6">
        <f t="shared" si="11"/>
        <v>227</v>
      </c>
      <c r="F35" s="6">
        <f t="shared" si="11"/>
        <v>1628</v>
      </c>
      <c r="G35" s="6">
        <f t="shared" si="11"/>
        <v>1</v>
      </c>
      <c r="H35" s="6">
        <f t="shared" si="11"/>
        <v>8802</v>
      </c>
      <c r="I35" s="6">
        <f>I5+I8+I11+I14+I17+I20+I23+I26+I29+I32</f>
        <v>1548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2780</v>
      </c>
      <c r="C36" s="6">
        <f t="shared" si="11"/>
        <v>21</v>
      </c>
      <c r="D36" s="6">
        <f t="shared" si="11"/>
        <v>26</v>
      </c>
      <c r="E36" s="6">
        <f t="shared" si="11"/>
        <v>109</v>
      </c>
      <c r="F36" s="6">
        <f t="shared" si="11"/>
        <v>724</v>
      </c>
      <c r="G36" s="6">
        <f t="shared" si="11"/>
        <v>0</v>
      </c>
      <c r="H36" s="6">
        <f t="shared" si="11"/>
        <v>1633</v>
      </c>
      <c r="I36" s="6">
        <f>I6+I9+I12+I15+I18+I21+I24+I27+I30+I33</f>
        <v>267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15219</v>
      </c>
      <c r="C37" s="6">
        <f t="shared" si="11"/>
        <v>208</v>
      </c>
      <c r="D37" s="6">
        <f t="shared" si="11"/>
        <v>72</v>
      </c>
      <c r="E37" s="6">
        <f t="shared" si="11"/>
        <v>336</v>
      </c>
      <c r="F37" s="6">
        <f t="shared" si="11"/>
        <v>2352</v>
      </c>
      <c r="G37" s="6">
        <f t="shared" si="11"/>
        <v>1</v>
      </c>
      <c r="H37" s="6">
        <f t="shared" si="11"/>
        <v>10435</v>
      </c>
      <c r="I37" s="6">
        <f>I7+I10+I13+I16+I19+I22+I25+I28+I31+I34</f>
        <v>1815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2"/>
  <sheetViews>
    <sheetView showGridLines="0" topLeftCell="A58" zoomScale="90" zoomScaleNormal="90" workbookViewId="0">
      <selection activeCell="H43" sqref="H43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695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696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5</v>
      </c>
      <c r="C5" s="6">
        <v>0</v>
      </c>
      <c r="D5" s="6">
        <v>0</v>
      </c>
      <c r="E5" s="6">
        <v>0</v>
      </c>
      <c r="F5" s="6">
        <v>2</v>
      </c>
      <c r="G5" s="6">
        <v>0</v>
      </c>
      <c r="H5" s="6">
        <v>3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69" si="0">SUM(C6:I6)</f>
        <v>4</v>
      </c>
      <c r="C6" s="6">
        <v>0</v>
      </c>
      <c r="D6" s="6">
        <v>0</v>
      </c>
      <c r="E6" s="6">
        <v>0</v>
      </c>
      <c r="F6" s="6">
        <v>1</v>
      </c>
      <c r="G6" s="6">
        <v>0</v>
      </c>
      <c r="H6" s="6">
        <v>3</v>
      </c>
      <c r="I6" s="6">
        <v>0</v>
      </c>
      <c r="J6" s="7" t="s">
        <v>11</v>
      </c>
      <c r="K6" s="124" t="s">
        <v>12</v>
      </c>
      <c r="L6" s="1"/>
    </row>
    <row r="7" spans="1:12" ht="13.5" thickBot="1" x14ac:dyDescent="0.25">
      <c r="A7" s="1"/>
      <c r="B7" s="6">
        <f t="shared" ref="B7:H7" si="1">SUM(B5:B6)</f>
        <v>9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3</v>
      </c>
      <c r="G7" s="6">
        <f t="shared" si="1"/>
        <v>0</v>
      </c>
      <c r="H7" s="6">
        <f t="shared" si="1"/>
        <v>6</v>
      </c>
      <c r="I7" s="6">
        <f>SUM(I5:I6)</f>
        <v>0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10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8</v>
      </c>
      <c r="I8" s="6">
        <v>2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5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5</v>
      </c>
      <c r="I9" s="6">
        <v>0</v>
      </c>
      <c r="J9" s="7" t="s">
        <v>11</v>
      </c>
      <c r="K9" s="124" t="s">
        <v>14</v>
      </c>
      <c r="L9" s="1"/>
    </row>
    <row r="10" spans="1:12" ht="13.5" thickBot="1" x14ac:dyDescent="0.25">
      <c r="A10" s="1"/>
      <c r="B10" s="6">
        <f t="shared" ref="B10:I10" si="2">SUM(B8:B9)</f>
        <v>15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13</v>
      </c>
      <c r="I10" s="6">
        <f t="shared" si="2"/>
        <v>2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299</v>
      </c>
      <c r="C11" s="6">
        <v>0</v>
      </c>
      <c r="D11" s="6">
        <v>0</v>
      </c>
      <c r="E11" s="6">
        <v>0</v>
      </c>
      <c r="F11" s="6">
        <v>1</v>
      </c>
      <c r="G11" s="6">
        <v>0</v>
      </c>
      <c r="H11" s="6">
        <v>144</v>
      </c>
      <c r="I11" s="6">
        <v>154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820</v>
      </c>
      <c r="C12" s="6">
        <v>1</v>
      </c>
      <c r="D12" s="6">
        <v>0</v>
      </c>
      <c r="E12" s="6">
        <v>0</v>
      </c>
      <c r="F12" s="6">
        <v>1</v>
      </c>
      <c r="G12" s="6">
        <v>0</v>
      </c>
      <c r="H12" s="6">
        <v>435</v>
      </c>
      <c r="I12" s="6">
        <v>383</v>
      </c>
      <c r="J12" s="7" t="s">
        <v>11</v>
      </c>
      <c r="K12" s="124" t="s">
        <v>15</v>
      </c>
      <c r="L12" s="1"/>
    </row>
    <row r="13" spans="1:12" ht="13.5" thickBot="1" x14ac:dyDescent="0.25">
      <c r="A13" s="1"/>
      <c r="B13" s="6">
        <f t="shared" ref="B13:I13" si="3">SUM(B11:B12)</f>
        <v>1119</v>
      </c>
      <c r="C13" s="6">
        <f t="shared" si="3"/>
        <v>1</v>
      </c>
      <c r="D13" s="6">
        <f t="shared" si="3"/>
        <v>0</v>
      </c>
      <c r="E13" s="6">
        <f t="shared" si="3"/>
        <v>0</v>
      </c>
      <c r="F13" s="6">
        <f t="shared" si="3"/>
        <v>2</v>
      </c>
      <c r="G13" s="6">
        <f t="shared" si="3"/>
        <v>0</v>
      </c>
      <c r="H13" s="6">
        <f t="shared" si="3"/>
        <v>579</v>
      </c>
      <c r="I13" s="6">
        <f t="shared" si="3"/>
        <v>537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38</v>
      </c>
      <c r="C14" s="6">
        <v>0</v>
      </c>
      <c r="D14" s="6">
        <v>0</v>
      </c>
      <c r="E14" s="6">
        <v>2</v>
      </c>
      <c r="F14" s="6">
        <v>5</v>
      </c>
      <c r="G14" s="6">
        <v>1</v>
      </c>
      <c r="H14" s="6">
        <v>30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33</v>
      </c>
      <c r="C15" s="6">
        <v>0</v>
      </c>
      <c r="D15" s="6">
        <v>1</v>
      </c>
      <c r="E15" s="6">
        <v>1</v>
      </c>
      <c r="F15" s="6">
        <v>13</v>
      </c>
      <c r="G15" s="6">
        <v>0</v>
      </c>
      <c r="H15" s="6">
        <v>18</v>
      </c>
      <c r="I15" s="6">
        <v>0</v>
      </c>
      <c r="J15" s="7" t="s">
        <v>11</v>
      </c>
      <c r="K15" s="124" t="s">
        <v>16</v>
      </c>
      <c r="L15" s="1"/>
    </row>
    <row r="16" spans="1:12" ht="13.5" thickBot="1" x14ac:dyDescent="0.25">
      <c r="A16" s="1"/>
      <c r="B16" s="6">
        <f t="shared" ref="B16:I16" si="4">SUM(B14:B15)</f>
        <v>71</v>
      </c>
      <c r="C16" s="6">
        <f t="shared" si="4"/>
        <v>0</v>
      </c>
      <c r="D16" s="6">
        <f t="shared" si="4"/>
        <v>1</v>
      </c>
      <c r="E16" s="6">
        <f t="shared" si="4"/>
        <v>3</v>
      </c>
      <c r="F16" s="6">
        <f t="shared" si="4"/>
        <v>18</v>
      </c>
      <c r="G16" s="6">
        <f t="shared" si="4"/>
        <v>1</v>
      </c>
      <c r="H16" s="6">
        <f t="shared" si="4"/>
        <v>48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295</v>
      </c>
      <c r="C17" s="6">
        <v>0</v>
      </c>
      <c r="D17" s="6">
        <v>0</v>
      </c>
      <c r="E17" s="6">
        <v>9</v>
      </c>
      <c r="F17" s="6">
        <v>15</v>
      </c>
      <c r="G17" s="6">
        <v>4</v>
      </c>
      <c r="H17" s="6">
        <v>266</v>
      </c>
      <c r="I17" s="6">
        <v>1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15</v>
      </c>
      <c r="C18" s="6">
        <v>0</v>
      </c>
      <c r="D18" s="6">
        <v>0</v>
      </c>
      <c r="E18" s="6">
        <v>0</v>
      </c>
      <c r="F18" s="6">
        <v>5</v>
      </c>
      <c r="G18" s="6">
        <v>0</v>
      </c>
      <c r="H18" s="6">
        <v>10</v>
      </c>
      <c r="I18" s="6">
        <v>0</v>
      </c>
      <c r="J18" s="7" t="s">
        <v>11</v>
      </c>
      <c r="K18" s="124" t="s">
        <v>31</v>
      </c>
      <c r="L18" s="1"/>
    </row>
    <row r="19" spans="1:12" ht="13.5" thickBot="1" x14ac:dyDescent="0.25">
      <c r="A19" s="1"/>
      <c r="B19" s="6">
        <f t="shared" ref="B19:I19" si="5">SUM(B17:B18)</f>
        <v>310</v>
      </c>
      <c r="C19" s="6">
        <f t="shared" si="5"/>
        <v>0</v>
      </c>
      <c r="D19" s="6">
        <f t="shared" si="5"/>
        <v>0</v>
      </c>
      <c r="E19" s="6">
        <f t="shared" si="5"/>
        <v>9</v>
      </c>
      <c r="F19" s="6">
        <f t="shared" si="5"/>
        <v>20</v>
      </c>
      <c r="G19" s="6">
        <f t="shared" si="5"/>
        <v>4</v>
      </c>
      <c r="H19" s="6">
        <f t="shared" si="5"/>
        <v>276</v>
      </c>
      <c r="I19" s="6">
        <f t="shared" si="5"/>
        <v>1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8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8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6</v>
      </c>
      <c r="C21" s="6">
        <v>0</v>
      </c>
      <c r="D21" s="6">
        <v>0</v>
      </c>
      <c r="E21" s="6">
        <v>0</v>
      </c>
      <c r="F21" s="6">
        <v>1</v>
      </c>
      <c r="G21" s="6">
        <v>0</v>
      </c>
      <c r="H21" s="6">
        <v>5</v>
      </c>
      <c r="I21" s="6">
        <v>0</v>
      </c>
      <c r="J21" s="7" t="s">
        <v>11</v>
      </c>
      <c r="K21" s="124" t="s">
        <v>17</v>
      </c>
      <c r="L21" s="1"/>
    </row>
    <row r="22" spans="1:12" ht="13.5" thickBot="1" x14ac:dyDescent="0.25">
      <c r="A22" s="1"/>
      <c r="B22" s="6">
        <f t="shared" ref="B22:I22" si="6">SUM(B20:B21)</f>
        <v>14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1</v>
      </c>
      <c r="G22" s="6">
        <f t="shared" si="6"/>
        <v>0</v>
      </c>
      <c r="H22" s="6">
        <f t="shared" si="6"/>
        <v>13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18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216</v>
      </c>
      <c r="C26" s="6">
        <v>0</v>
      </c>
      <c r="D26" s="6">
        <v>0</v>
      </c>
      <c r="E26" s="6">
        <v>0</v>
      </c>
      <c r="F26" s="6">
        <v>6</v>
      </c>
      <c r="G26" s="6">
        <v>0</v>
      </c>
      <c r="H26" s="6">
        <v>202</v>
      </c>
      <c r="I26" s="6">
        <v>8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237</v>
      </c>
      <c r="C27" s="6">
        <v>0</v>
      </c>
      <c r="D27" s="6">
        <v>0</v>
      </c>
      <c r="E27" s="6">
        <v>0</v>
      </c>
      <c r="F27" s="6">
        <v>16</v>
      </c>
      <c r="G27" s="6">
        <v>0</v>
      </c>
      <c r="H27" s="6">
        <v>219</v>
      </c>
      <c r="I27" s="6">
        <v>2</v>
      </c>
      <c r="J27" s="7" t="s">
        <v>11</v>
      </c>
      <c r="K27" s="124" t="s">
        <v>19</v>
      </c>
      <c r="L27" s="1"/>
    </row>
    <row r="28" spans="1:12" ht="13.5" thickBot="1" x14ac:dyDescent="0.25">
      <c r="A28" s="1"/>
      <c r="B28" s="6">
        <f t="shared" ref="B28:I28" si="8">SUM(B26:B27)</f>
        <v>453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22</v>
      </c>
      <c r="G28" s="6">
        <f t="shared" si="8"/>
        <v>0</v>
      </c>
      <c r="H28" s="6">
        <f t="shared" si="8"/>
        <v>421</v>
      </c>
      <c r="I28" s="6">
        <f t="shared" si="8"/>
        <v>10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391</v>
      </c>
      <c r="C29" s="6">
        <v>12</v>
      </c>
      <c r="D29" s="6">
        <v>42</v>
      </c>
      <c r="E29" s="6">
        <v>17</v>
      </c>
      <c r="F29" s="6">
        <v>27</v>
      </c>
      <c r="G29" s="6">
        <v>0</v>
      </c>
      <c r="H29" s="6">
        <v>290</v>
      </c>
      <c r="I29" s="6">
        <v>3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92</v>
      </c>
      <c r="C30" s="6">
        <v>0</v>
      </c>
      <c r="D30" s="6">
        <v>4</v>
      </c>
      <c r="E30" s="6">
        <v>4</v>
      </c>
      <c r="F30" s="6">
        <v>10</v>
      </c>
      <c r="G30" s="6">
        <v>0</v>
      </c>
      <c r="H30" s="6">
        <v>73</v>
      </c>
      <c r="I30" s="6">
        <v>1</v>
      </c>
      <c r="J30" s="7" t="s">
        <v>11</v>
      </c>
      <c r="K30" s="124" t="s">
        <v>35</v>
      </c>
      <c r="L30" s="1"/>
    </row>
    <row r="31" spans="1:12" ht="13.5" thickBot="1" x14ac:dyDescent="0.25">
      <c r="A31" s="1"/>
      <c r="B31" s="6">
        <f t="shared" ref="B31:I31" si="9">SUM(B29:B30)</f>
        <v>483</v>
      </c>
      <c r="C31" s="6">
        <f t="shared" si="9"/>
        <v>12</v>
      </c>
      <c r="D31" s="6">
        <f t="shared" si="9"/>
        <v>46</v>
      </c>
      <c r="E31" s="6">
        <f t="shared" si="9"/>
        <v>21</v>
      </c>
      <c r="F31" s="6">
        <f t="shared" si="9"/>
        <v>37</v>
      </c>
      <c r="G31" s="6">
        <f t="shared" si="9"/>
        <v>0</v>
      </c>
      <c r="H31" s="6">
        <f t="shared" si="9"/>
        <v>363</v>
      </c>
      <c r="I31" s="6">
        <f t="shared" si="9"/>
        <v>4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4</v>
      </c>
      <c r="C32" s="6">
        <v>0</v>
      </c>
      <c r="D32" s="6">
        <v>0</v>
      </c>
      <c r="E32" s="6">
        <v>1</v>
      </c>
      <c r="F32" s="6">
        <v>1</v>
      </c>
      <c r="G32" s="6">
        <v>0</v>
      </c>
      <c r="H32" s="6">
        <v>2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15</v>
      </c>
      <c r="C33" s="6">
        <v>0</v>
      </c>
      <c r="D33" s="6">
        <v>0</v>
      </c>
      <c r="E33" s="6">
        <v>0</v>
      </c>
      <c r="F33" s="6">
        <v>2</v>
      </c>
      <c r="G33" s="6">
        <v>0</v>
      </c>
      <c r="H33" s="6">
        <v>13</v>
      </c>
      <c r="I33" s="6">
        <v>0</v>
      </c>
      <c r="J33" s="7" t="s">
        <v>11</v>
      </c>
      <c r="K33" s="124" t="s">
        <v>20</v>
      </c>
      <c r="L33" s="1"/>
    </row>
    <row r="34" spans="1:12" ht="13.5" thickBot="1" x14ac:dyDescent="0.25">
      <c r="A34" s="1"/>
      <c r="B34" s="6">
        <f t="shared" ref="B34:I34" si="10">SUM(B32:B33)</f>
        <v>19</v>
      </c>
      <c r="C34" s="6">
        <f t="shared" si="10"/>
        <v>0</v>
      </c>
      <c r="D34" s="6">
        <f t="shared" si="10"/>
        <v>0</v>
      </c>
      <c r="E34" s="6">
        <f t="shared" si="10"/>
        <v>1</v>
      </c>
      <c r="F34" s="6">
        <f t="shared" si="10"/>
        <v>3</v>
      </c>
      <c r="G34" s="6">
        <f t="shared" si="10"/>
        <v>0</v>
      </c>
      <c r="H34" s="6">
        <f t="shared" si="10"/>
        <v>15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10</v>
      </c>
      <c r="C35" s="6">
        <v>3</v>
      </c>
      <c r="D35" s="6">
        <v>0</v>
      </c>
      <c r="E35" s="6">
        <v>2</v>
      </c>
      <c r="F35" s="6">
        <v>0</v>
      </c>
      <c r="G35" s="6">
        <v>0</v>
      </c>
      <c r="H35" s="6">
        <v>5</v>
      </c>
      <c r="I35" s="6">
        <v>0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13</v>
      </c>
      <c r="C36" s="6">
        <v>1</v>
      </c>
      <c r="D36" s="6">
        <v>0</v>
      </c>
      <c r="E36" s="6">
        <v>1</v>
      </c>
      <c r="F36" s="6">
        <v>2</v>
      </c>
      <c r="G36" s="6">
        <v>0</v>
      </c>
      <c r="H36" s="6">
        <v>9</v>
      </c>
      <c r="I36" s="6">
        <v>0</v>
      </c>
      <c r="J36" s="7" t="s">
        <v>11</v>
      </c>
      <c r="K36" s="124" t="s">
        <v>21</v>
      </c>
      <c r="L36" s="1"/>
    </row>
    <row r="37" spans="1:12" ht="13.5" thickBot="1" x14ac:dyDescent="0.25">
      <c r="A37" s="1"/>
      <c r="B37" s="6">
        <f t="shared" ref="B37:I37" si="11">SUM(B35:B36)</f>
        <v>23</v>
      </c>
      <c r="C37" s="6">
        <f t="shared" si="11"/>
        <v>4</v>
      </c>
      <c r="D37" s="6">
        <f t="shared" si="11"/>
        <v>0</v>
      </c>
      <c r="E37" s="6">
        <f t="shared" si="11"/>
        <v>3</v>
      </c>
      <c r="F37" s="6">
        <f t="shared" si="11"/>
        <v>2</v>
      </c>
      <c r="G37" s="6">
        <f t="shared" si="11"/>
        <v>0</v>
      </c>
      <c r="H37" s="6">
        <f t="shared" si="11"/>
        <v>14</v>
      </c>
      <c r="I37" s="6">
        <f t="shared" si="11"/>
        <v>0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138</v>
      </c>
      <c r="C38" s="6">
        <v>0</v>
      </c>
      <c r="D38" s="6">
        <v>0</v>
      </c>
      <c r="E38" s="6">
        <v>1</v>
      </c>
      <c r="F38" s="6">
        <v>8</v>
      </c>
      <c r="G38" s="6">
        <v>0</v>
      </c>
      <c r="H38" s="6">
        <v>123</v>
      </c>
      <c r="I38" s="6">
        <v>6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311</v>
      </c>
      <c r="C39" s="6">
        <v>0</v>
      </c>
      <c r="D39" s="6">
        <v>0</v>
      </c>
      <c r="E39" s="6">
        <v>0</v>
      </c>
      <c r="F39" s="6">
        <v>42</v>
      </c>
      <c r="G39" s="6">
        <v>0</v>
      </c>
      <c r="H39" s="6">
        <v>264</v>
      </c>
      <c r="I39" s="6">
        <v>5</v>
      </c>
      <c r="J39" s="7" t="s">
        <v>11</v>
      </c>
      <c r="K39" s="124" t="s">
        <v>22</v>
      </c>
      <c r="L39" s="1"/>
    </row>
    <row r="40" spans="1:12" ht="13.5" thickBot="1" x14ac:dyDescent="0.25">
      <c r="A40" s="1"/>
      <c r="B40" s="6">
        <f t="shared" ref="B40:I40" si="12">SUM(B38:B39)</f>
        <v>449</v>
      </c>
      <c r="C40" s="6">
        <f t="shared" si="12"/>
        <v>0</v>
      </c>
      <c r="D40" s="6">
        <f t="shared" si="12"/>
        <v>0</v>
      </c>
      <c r="E40" s="6">
        <f t="shared" si="12"/>
        <v>1</v>
      </c>
      <c r="F40" s="6">
        <f t="shared" si="12"/>
        <v>50</v>
      </c>
      <c r="G40" s="6">
        <f t="shared" si="12"/>
        <v>0</v>
      </c>
      <c r="H40" s="6">
        <f t="shared" si="12"/>
        <v>387</v>
      </c>
      <c r="I40" s="6">
        <f t="shared" si="12"/>
        <v>11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232</v>
      </c>
      <c r="C41" s="6">
        <v>3</v>
      </c>
      <c r="D41" s="6">
        <v>1</v>
      </c>
      <c r="E41" s="6">
        <v>2</v>
      </c>
      <c r="F41" s="6">
        <v>4</v>
      </c>
      <c r="G41" s="6">
        <v>0</v>
      </c>
      <c r="H41" s="6">
        <v>221</v>
      </c>
      <c r="I41" s="6">
        <v>1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42</v>
      </c>
      <c r="C42" s="6">
        <v>1</v>
      </c>
      <c r="D42" s="6">
        <v>1</v>
      </c>
      <c r="E42" s="6">
        <v>0</v>
      </c>
      <c r="F42" s="6">
        <v>6</v>
      </c>
      <c r="G42" s="6">
        <v>0</v>
      </c>
      <c r="H42" s="6">
        <v>34</v>
      </c>
      <c r="I42" s="6">
        <v>0</v>
      </c>
      <c r="J42" s="7" t="s">
        <v>11</v>
      </c>
      <c r="K42" s="124" t="s">
        <v>36</v>
      </c>
      <c r="L42" s="1"/>
    </row>
    <row r="43" spans="1:12" ht="13.5" thickBot="1" x14ac:dyDescent="0.25">
      <c r="A43" s="1"/>
      <c r="B43" s="6">
        <f t="shared" ref="B43:I43" si="13">SUM(B41:B42)</f>
        <v>274</v>
      </c>
      <c r="C43" s="6">
        <f t="shared" si="13"/>
        <v>4</v>
      </c>
      <c r="D43" s="6">
        <f t="shared" si="13"/>
        <v>2</v>
      </c>
      <c r="E43" s="6">
        <f t="shared" si="13"/>
        <v>2</v>
      </c>
      <c r="F43" s="6">
        <f t="shared" si="13"/>
        <v>10</v>
      </c>
      <c r="G43" s="6">
        <f t="shared" si="13"/>
        <v>0</v>
      </c>
      <c r="H43" s="6">
        <f t="shared" si="13"/>
        <v>255</v>
      </c>
      <c r="I43" s="6">
        <f t="shared" si="13"/>
        <v>1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436</v>
      </c>
      <c r="C44" s="6">
        <v>1</v>
      </c>
      <c r="D44" s="6">
        <v>1</v>
      </c>
      <c r="E44" s="6">
        <v>5</v>
      </c>
      <c r="F44" s="6">
        <v>29</v>
      </c>
      <c r="G44" s="6">
        <v>0</v>
      </c>
      <c r="H44" s="6">
        <v>389</v>
      </c>
      <c r="I44" s="6">
        <v>11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63</v>
      </c>
      <c r="C45" s="6">
        <v>2</v>
      </c>
      <c r="D45" s="6">
        <v>0</v>
      </c>
      <c r="E45" s="6">
        <v>1</v>
      </c>
      <c r="F45" s="6">
        <v>21</v>
      </c>
      <c r="G45" s="6">
        <v>0</v>
      </c>
      <c r="H45" s="6">
        <v>37</v>
      </c>
      <c r="I45" s="6">
        <v>2</v>
      </c>
      <c r="J45" s="7" t="s">
        <v>11</v>
      </c>
      <c r="K45" s="124" t="s">
        <v>32</v>
      </c>
      <c r="L45" s="1"/>
    </row>
    <row r="46" spans="1:12" ht="13.5" thickBot="1" x14ac:dyDescent="0.25">
      <c r="A46" s="1"/>
      <c r="B46" s="6">
        <f t="shared" ref="B46:I46" si="14">SUM(B44:B45)</f>
        <v>499</v>
      </c>
      <c r="C46" s="6">
        <f t="shared" si="14"/>
        <v>3</v>
      </c>
      <c r="D46" s="6">
        <f t="shared" si="14"/>
        <v>1</v>
      </c>
      <c r="E46" s="6">
        <f t="shared" si="14"/>
        <v>6</v>
      </c>
      <c r="F46" s="6">
        <f t="shared" si="14"/>
        <v>50</v>
      </c>
      <c r="G46" s="6">
        <f t="shared" si="14"/>
        <v>0</v>
      </c>
      <c r="H46" s="6">
        <f t="shared" si="14"/>
        <v>426</v>
      </c>
      <c r="I46" s="6">
        <f t="shared" si="14"/>
        <v>13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si="0"/>
        <v>1677</v>
      </c>
      <c r="C47" s="6">
        <v>11</v>
      </c>
      <c r="D47" s="6">
        <v>4</v>
      </c>
      <c r="E47" s="6">
        <v>79</v>
      </c>
      <c r="F47" s="6">
        <v>154</v>
      </c>
      <c r="G47" s="6">
        <v>4</v>
      </c>
      <c r="H47" s="6">
        <v>1409</v>
      </c>
      <c r="I47" s="6">
        <v>16</v>
      </c>
      <c r="J47" s="7" t="s">
        <v>10</v>
      </c>
      <c r="K47" s="124"/>
      <c r="L47" s="1"/>
    </row>
    <row r="48" spans="1:12" ht="13.5" thickBot="1" x14ac:dyDescent="0.25">
      <c r="A48" s="1"/>
      <c r="B48" s="6">
        <f t="shared" si="0"/>
        <v>444</v>
      </c>
      <c r="C48" s="6">
        <v>1</v>
      </c>
      <c r="D48" s="6">
        <v>0</v>
      </c>
      <c r="E48" s="6">
        <v>22</v>
      </c>
      <c r="F48" s="6">
        <v>100</v>
      </c>
      <c r="G48" s="6">
        <v>0</v>
      </c>
      <c r="H48" s="6">
        <v>319</v>
      </c>
      <c r="I48" s="6">
        <v>2</v>
      </c>
      <c r="J48" s="7" t="s">
        <v>11</v>
      </c>
      <c r="K48" s="124" t="s">
        <v>23</v>
      </c>
      <c r="L48" s="1"/>
    </row>
    <row r="49" spans="1:12" ht="13.5" thickBot="1" x14ac:dyDescent="0.25">
      <c r="A49" s="1"/>
      <c r="B49" s="6">
        <f t="shared" ref="B49:I49" si="15">SUM(B47:B48)</f>
        <v>2121</v>
      </c>
      <c r="C49" s="6">
        <f t="shared" si="15"/>
        <v>12</v>
      </c>
      <c r="D49" s="6">
        <f t="shared" si="15"/>
        <v>4</v>
      </c>
      <c r="E49" s="6">
        <f t="shared" si="15"/>
        <v>101</v>
      </c>
      <c r="F49" s="6">
        <f t="shared" si="15"/>
        <v>254</v>
      </c>
      <c r="G49" s="6">
        <f t="shared" si="15"/>
        <v>4</v>
      </c>
      <c r="H49" s="6">
        <f t="shared" si="15"/>
        <v>1728</v>
      </c>
      <c r="I49" s="6">
        <f t="shared" si="15"/>
        <v>18</v>
      </c>
      <c r="J49" s="7" t="s">
        <v>13</v>
      </c>
      <c r="K49" s="9"/>
      <c r="L49" s="1"/>
    </row>
    <row r="50" spans="1:12" ht="13.5" thickBot="1" x14ac:dyDescent="0.25">
      <c r="A50" s="1"/>
      <c r="B50" s="6">
        <f t="shared" si="0"/>
        <v>11660</v>
      </c>
      <c r="C50" s="6">
        <v>77</v>
      </c>
      <c r="D50" s="6">
        <v>196</v>
      </c>
      <c r="E50" s="6">
        <v>187</v>
      </c>
      <c r="F50" s="6">
        <v>2951</v>
      </c>
      <c r="G50" s="6">
        <v>0</v>
      </c>
      <c r="H50" s="6">
        <v>8202</v>
      </c>
      <c r="I50" s="6">
        <v>47</v>
      </c>
      <c r="J50" s="7" t="s">
        <v>10</v>
      </c>
      <c r="K50" s="124"/>
      <c r="L50" s="1"/>
    </row>
    <row r="51" spans="1:12" ht="13.5" thickBot="1" x14ac:dyDescent="0.25">
      <c r="A51" s="1"/>
      <c r="B51" s="6">
        <f t="shared" si="0"/>
        <v>1635</v>
      </c>
      <c r="C51" s="6">
        <v>14</v>
      </c>
      <c r="D51" s="6">
        <v>59</v>
      </c>
      <c r="E51" s="6">
        <v>63</v>
      </c>
      <c r="F51" s="6">
        <v>761</v>
      </c>
      <c r="G51" s="6">
        <v>0</v>
      </c>
      <c r="H51" s="6">
        <v>708</v>
      </c>
      <c r="I51" s="6">
        <v>30</v>
      </c>
      <c r="J51" s="7" t="s">
        <v>11</v>
      </c>
      <c r="K51" s="124" t="s">
        <v>41</v>
      </c>
      <c r="L51" s="1"/>
    </row>
    <row r="52" spans="1:12" ht="13.5" thickBot="1" x14ac:dyDescent="0.25">
      <c r="A52" s="1"/>
      <c r="B52" s="6">
        <f t="shared" ref="B52:I52" si="16">SUM(B50:B51)</f>
        <v>13295</v>
      </c>
      <c r="C52" s="6">
        <f t="shared" si="16"/>
        <v>91</v>
      </c>
      <c r="D52" s="6">
        <f t="shared" si="16"/>
        <v>255</v>
      </c>
      <c r="E52" s="6">
        <f t="shared" si="16"/>
        <v>250</v>
      </c>
      <c r="F52" s="6">
        <f t="shared" si="16"/>
        <v>3712</v>
      </c>
      <c r="G52" s="6">
        <f t="shared" si="16"/>
        <v>0</v>
      </c>
      <c r="H52" s="6">
        <f t="shared" si="16"/>
        <v>8910</v>
      </c>
      <c r="I52" s="6">
        <f t="shared" si="16"/>
        <v>77</v>
      </c>
      <c r="J52" s="7" t="s">
        <v>13</v>
      </c>
      <c r="K52" s="9"/>
      <c r="L52" s="1"/>
    </row>
    <row r="53" spans="1:12" ht="13.5" thickBot="1" x14ac:dyDescent="0.25">
      <c r="A53" s="1"/>
      <c r="B53" s="6">
        <f t="shared" si="0"/>
        <v>54</v>
      </c>
      <c r="C53" s="6">
        <v>0</v>
      </c>
      <c r="D53" s="6">
        <v>0</v>
      </c>
      <c r="E53" s="6">
        <v>0</v>
      </c>
      <c r="F53" s="6">
        <v>1</v>
      </c>
      <c r="G53" s="6">
        <v>0</v>
      </c>
      <c r="H53" s="6">
        <v>53</v>
      </c>
      <c r="I53" s="6">
        <v>0</v>
      </c>
      <c r="J53" s="7" t="s">
        <v>10</v>
      </c>
      <c r="K53" s="124"/>
      <c r="L53" s="1"/>
    </row>
    <row r="54" spans="1:12" ht="13.5" thickBot="1" x14ac:dyDescent="0.25">
      <c r="A54" s="1"/>
      <c r="B54" s="6">
        <f t="shared" si="0"/>
        <v>18</v>
      </c>
      <c r="C54" s="6">
        <v>0</v>
      </c>
      <c r="D54" s="6">
        <v>0</v>
      </c>
      <c r="E54" s="6">
        <v>0</v>
      </c>
      <c r="F54" s="6">
        <v>8</v>
      </c>
      <c r="G54" s="6">
        <v>0</v>
      </c>
      <c r="H54" s="6">
        <v>10</v>
      </c>
      <c r="I54" s="6">
        <v>0</v>
      </c>
      <c r="J54" s="7" t="s">
        <v>11</v>
      </c>
      <c r="K54" s="124" t="s">
        <v>24</v>
      </c>
      <c r="L54" s="1"/>
    </row>
    <row r="55" spans="1:12" ht="13.5" thickBot="1" x14ac:dyDescent="0.25">
      <c r="A55" s="1"/>
      <c r="B55" s="6">
        <f t="shared" ref="B55:I55" si="17">SUM(B53:B54)</f>
        <v>72</v>
      </c>
      <c r="C55" s="6">
        <f t="shared" si="17"/>
        <v>0</v>
      </c>
      <c r="D55" s="6">
        <f t="shared" si="17"/>
        <v>0</v>
      </c>
      <c r="E55" s="6">
        <f t="shared" si="17"/>
        <v>0</v>
      </c>
      <c r="F55" s="6">
        <f t="shared" si="17"/>
        <v>9</v>
      </c>
      <c r="G55" s="6">
        <f t="shared" si="17"/>
        <v>0</v>
      </c>
      <c r="H55" s="6">
        <f t="shared" si="17"/>
        <v>63</v>
      </c>
      <c r="I55" s="6">
        <f t="shared" si="17"/>
        <v>0</v>
      </c>
      <c r="J55" s="7" t="s">
        <v>13</v>
      </c>
      <c r="K55" s="9"/>
      <c r="L55" s="1"/>
    </row>
    <row r="56" spans="1:12" ht="13.5" thickBot="1" x14ac:dyDescent="0.25">
      <c r="A56" s="1"/>
      <c r="B56" s="6">
        <f t="shared" si="0"/>
        <v>7443</v>
      </c>
      <c r="C56" s="6">
        <v>167</v>
      </c>
      <c r="D56" s="6">
        <v>5</v>
      </c>
      <c r="E56" s="6">
        <v>721</v>
      </c>
      <c r="F56" s="6">
        <v>1963</v>
      </c>
      <c r="G56" s="6">
        <v>0</v>
      </c>
      <c r="H56" s="6">
        <v>2881</v>
      </c>
      <c r="I56" s="6">
        <v>1706</v>
      </c>
      <c r="J56" s="7" t="s">
        <v>10</v>
      </c>
      <c r="K56" s="124"/>
      <c r="L56" s="1"/>
    </row>
    <row r="57" spans="1:12" ht="13.5" thickBot="1" x14ac:dyDescent="0.25">
      <c r="A57" s="1"/>
      <c r="B57" s="6">
        <f t="shared" si="0"/>
        <v>1798</v>
      </c>
      <c r="C57" s="6">
        <v>23</v>
      </c>
      <c r="D57" s="6">
        <v>9</v>
      </c>
      <c r="E57" s="6">
        <v>307</v>
      </c>
      <c r="F57" s="6">
        <v>649</v>
      </c>
      <c r="G57" s="6">
        <v>0</v>
      </c>
      <c r="H57" s="6">
        <v>368</v>
      </c>
      <c r="I57" s="6">
        <v>442</v>
      </c>
      <c r="J57" s="7" t="s">
        <v>11</v>
      </c>
      <c r="K57" s="124" t="s">
        <v>37</v>
      </c>
      <c r="L57" s="1"/>
    </row>
    <row r="58" spans="1:12" ht="13.5" thickBot="1" x14ac:dyDescent="0.25">
      <c r="A58" s="1"/>
      <c r="B58" s="6">
        <f t="shared" ref="B58:I58" si="18">SUM(B56:B57)</f>
        <v>9241</v>
      </c>
      <c r="C58" s="6">
        <f t="shared" si="18"/>
        <v>190</v>
      </c>
      <c r="D58" s="6">
        <f t="shared" si="18"/>
        <v>14</v>
      </c>
      <c r="E58" s="6">
        <f t="shared" si="18"/>
        <v>1028</v>
      </c>
      <c r="F58" s="6">
        <f t="shared" si="18"/>
        <v>2612</v>
      </c>
      <c r="G58" s="6">
        <f t="shared" si="18"/>
        <v>0</v>
      </c>
      <c r="H58" s="6">
        <f t="shared" si="18"/>
        <v>3249</v>
      </c>
      <c r="I58" s="6">
        <f t="shared" si="18"/>
        <v>2148</v>
      </c>
      <c r="J58" s="7" t="s">
        <v>13</v>
      </c>
      <c r="K58" s="9"/>
      <c r="L58" s="1"/>
    </row>
    <row r="59" spans="1:12" ht="13.5" thickBot="1" x14ac:dyDescent="0.25">
      <c r="A59" s="1"/>
      <c r="B59" s="6">
        <f t="shared" si="0"/>
        <v>3447</v>
      </c>
      <c r="C59" s="6">
        <v>75</v>
      </c>
      <c r="D59" s="6">
        <v>372</v>
      </c>
      <c r="E59" s="6">
        <v>100</v>
      </c>
      <c r="F59" s="6">
        <v>573</v>
      </c>
      <c r="G59" s="6">
        <v>0</v>
      </c>
      <c r="H59" s="6">
        <v>1641</v>
      </c>
      <c r="I59" s="6">
        <v>686</v>
      </c>
      <c r="J59" s="7" t="s">
        <v>10</v>
      </c>
      <c r="K59" s="124"/>
      <c r="L59" s="1"/>
    </row>
    <row r="60" spans="1:12" ht="13.5" thickBot="1" x14ac:dyDescent="0.25">
      <c r="A60" s="1"/>
      <c r="B60" s="6">
        <f t="shared" si="0"/>
        <v>824</v>
      </c>
      <c r="C60" s="6">
        <v>71</v>
      </c>
      <c r="D60" s="6">
        <v>112</v>
      </c>
      <c r="E60" s="6">
        <v>25</v>
      </c>
      <c r="F60" s="6">
        <v>261</v>
      </c>
      <c r="G60" s="6">
        <v>0</v>
      </c>
      <c r="H60" s="6">
        <v>146</v>
      </c>
      <c r="I60" s="6">
        <v>209</v>
      </c>
      <c r="J60" s="7" t="s">
        <v>11</v>
      </c>
      <c r="K60" s="124" t="s">
        <v>42</v>
      </c>
      <c r="L60" s="1"/>
    </row>
    <row r="61" spans="1:12" ht="13.5" thickBot="1" x14ac:dyDescent="0.25">
      <c r="A61" s="1"/>
      <c r="B61" s="6">
        <f t="shared" ref="B61:I61" si="19">SUM(B59:B60)</f>
        <v>4271</v>
      </c>
      <c r="C61" s="6">
        <f t="shared" si="19"/>
        <v>146</v>
      </c>
      <c r="D61" s="6">
        <f t="shared" si="19"/>
        <v>484</v>
      </c>
      <c r="E61" s="6">
        <f t="shared" si="19"/>
        <v>125</v>
      </c>
      <c r="F61" s="6">
        <f t="shared" si="19"/>
        <v>834</v>
      </c>
      <c r="G61" s="6">
        <f t="shared" si="19"/>
        <v>0</v>
      </c>
      <c r="H61" s="6">
        <f t="shared" si="19"/>
        <v>1787</v>
      </c>
      <c r="I61" s="6">
        <f t="shared" si="19"/>
        <v>895</v>
      </c>
      <c r="J61" s="7" t="s">
        <v>13</v>
      </c>
      <c r="K61" s="9"/>
      <c r="L61" s="1"/>
    </row>
    <row r="62" spans="1:12" ht="13.5" thickBot="1" x14ac:dyDescent="0.25">
      <c r="A62" s="1"/>
      <c r="B62" s="6">
        <f t="shared" si="0"/>
        <v>438</v>
      </c>
      <c r="C62" s="6">
        <v>5</v>
      </c>
      <c r="D62" s="6">
        <v>167</v>
      </c>
      <c r="E62" s="6">
        <v>18</v>
      </c>
      <c r="F62" s="6">
        <v>83</v>
      </c>
      <c r="G62" s="6">
        <v>0</v>
      </c>
      <c r="H62" s="6">
        <v>156</v>
      </c>
      <c r="I62" s="6">
        <v>9</v>
      </c>
      <c r="J62" s="7" t="s">
        <v>10</v>
      </c>
      <c r="K62" s="124"/>
      <c r="L62" s="1"/>
    </row>
    <row r="63" spans="1:12" ht="13.5" thickBot="1" x14ac:dyDescent="0.25">
      <c r="A63" s="1"/>
      <c r="B63" s="6">
        <f t="shared" si="0"/>
        <v>153</v>
      </c>
      <c r="C63" s="6">
        <v>0</v>
      </c>
      <c r="D63" s="6">
        <v>18</v>
      </c>
      <c r="E63" s="6">
        <v>6</v>
      </c>
      <c r="F63" s="6">
        <v>29</v>
      </c>
      <c r="G63" s="6">
        <v>0</v>
      </c>
      <c r="H63" s="6">
        <v>74</v>
      </c>
      <c r="I63" s="6">
        <v>26</v>
      </c>
      <c r="J63" s="7" t="s">
        <v>11</v>
      </c>
      <c r="K63" s="124" t="s">
        <v>38</v>
      </c>
      <c r="L63" s="1"/>
    </row>
    <row r="64" spans="1:12" ht="13.5" thickBot="1" x14ac:dyDescent="0.25">
      <c r="A64" s="1"/>
      <c r="B64" s="6">
        <f t="shared" ref="B64:I64" si="20">SUM(B62:B63)</f>
        <v>591</v>
      </c>
      <c r="C64" s="6">
        <f t="shared" si="20"/>
        <v>5</v>
      </c>
      <c r="D64" s="6">
        <f t="shared" si="20"/>
        <v>185</v>
      </c>
      <c r="E64" s="6">
        <f t="shared" si="20"/>
        <v>24</v>
      </c>
      <c r="F64" s="6">
        <f t="shared" si="20"/>
        <v>112</v>
      </c>
      <c r="G64" s="6">
        <f t="shared" si="20"/>
        <v>0</v>
      </c>
      <c r="H64" s="6">
        <f t="shared" si="20"/>
        <v>230</v>
      </c>
      <c r="I64" s="6">
        <f t="shared" si="20"/>
        <v>35</v>
      </c>
      <c r="J64" s="7" t="s">
        <v>13</v>
      </c>
      <c r="K64" s="9"/>
      <c r="L64" s="1"/>
    </row>
    <row r="65" spans="1:12" ht="13.5" thickBot="1" x14ac:dyDescent="0.25">
      <c r="A65" s="1"/>
      <c r="B65" s="6">
        <f t="shared" si="0"/>
        <v>6</v>
      </c>
      <c r="C65" s="6">
        <v>0</v>
      </c>
      <c r="D65" s="6">
        <v>1</v>
      </c>
      <c r="E65" s="6">
        <v>1</v>
      </c>
      <c r="F65" s="6">
        <v>3</v>
      </c>
      <c r="G65" s="6">
        <v>0</v>
      </c>
      <c r="H65" s="6">
        <v>1</v>
      </c>
      <c r="I65" s="6">
        <v>0</v>
      </c>
      <c r="J65" s="7" t="s">
        <v>10</v>
      </c>
      <c r="K65" s="124"/>
      <c r="L65" s="1"/>
    </row>
    <row r="66" spans="1:12" ht="13.5" thickBot="1" x14ac:dyDescent="0.25">
      <c r="A66" s="1"/>
      <c r="B66" s="6">
        <f t="shared" si="0"/>
        <v>14</v>
      </c>
      <c r="C66" s="6">
        <v>0</v>
      </c>
      <c r="D66" s="6">
        <v>0</v>
      </c>
      <c r="E66" s="6">
        <v>2</v>
      </c>
      <c r="F66" s="6">
        <v>3</v>
      </c>
      <c r="G66" s="6">
        <v>0</v>
      </c>
      <c r="H66" s="6">
        <v>9</v>
      </c>
      <c r="I66" s="6">
        <v>0</v>
      </c>
      <c r="J66" s="7" t="s">
        <v>11</v>
      </c>
      <c r="K66" s="124" t="s">
        <v>39</v>
      </c>
      <c r="L66" s="1"/>
    </row>
    <row r="67" spans="1:12" ht="13.5" thickBot="1" x14ac:dyDescent="0.25">
      <c r="A67" s="1"/>
      <c r="B67" s="6">
        <f t="shared" ref="B67:I67" si="21">SUM(B65:B66)</f>
        <v>20</v>
      </c>
      <c r="C67" s="6">
        <f t="shared" si="21"/>
        <v>0</v>
      </c>
      <c r="D67" s="6">
        <f t="shared" si="21"/>
        <v>1</v>
      </c>
      <c r="E67" s="6">
        <f t="shared" si="21"/>
        <v>3</v>
      </c>
      <c r="F67" s="6">
        <f t="shared" si="21"/>
        <v>6</v>
      </c>
      <c r="G67" s="6">
        <f t="shared" si="21"/>
        <v>0</v>
      </c>
      <c r="H67" s="6">
        <f t="shared" si="21"/>
        <v>10</v>
      </c>
      <c r="I67" s="6">
        <f t="shared" si="21"/>
        <v>0</v>
      </c>
      <c r="J67" s="7" t="s">
        <v>13</v>
      </c>
      <c r="K67" s="9"/>
      <c r="L67" s="1"/>
    </row>
    <row r="68" spans="1:12" ht="13.5" thickBot="1" x14ac:dyDescent="0.25">
      <c r="A68" s="1"/>
      <c r="B68" s="6">
        <f t="shared" si="0"/>
        <v>889</v>
      </c>
      <c r="C68" s="6">
        <v>40</v>
      </c>
      <c r="D68" s="6">
        <v>3</v>
      </c>
      <c r="E68" s="6">
        <v>23</v>
      </c>
      <c r="F68" s="6">
        <v>103</v>
      </c>
      <c r="G68" s="6">
        <v>0</v>
      </c>
      <c r="H68" s="6">
        <v>713</v>
      </c>
      <c r="I68" s="6">
        <v>7</v>
      </c>
      <c r="J68" s="7" t="s">
        <v>10</v>
      </c>
      <c r="K68" s="124"/>
      <c r="L68" s="1"/>
    </row>
    <row r="69" spans="1:12" ht="13.5" thickBot="1" x14ac:dyDescent="0.25">
      <c r="A69" s="1"/>
      <c r="B69" s="6">
        <f t="shared" si="0"/>
        <v>299</v>
      </c>
      <c r="C69" s="6">
        <v>8</v>
      </c>
      <c r="D69" s="6">
        <v>0</v>
      </c>
      <c r="E69" s="6">
        <v>2</v>
      </c>
      <c r="F69" s="6">
        <v>27</v>
      </c>
      <c r="G69" s="6">
        <v>0</v>
      </c>
      <c r="H69" s="6">
        <v>258</v>
      </c>
      <c r="I69" s="6">
        <v>4</v>
      </c>
      <c r="J69" s="7" t="s">
        <v>11</v>
      </c>
      <c r="K69" s="124" t="s">
        <v>25</v>
      </c>
      <c r="L69" s="1"/>
    </row>
    <row r="70" spans="1:12" ht="13.5" thickBot="1" x14ac:dyDescent="0.25">
      <c r="A70" s="1"/>
      <c r="B70" s="6">
        <f t="shared" ref="B70:I70" si="22">SUM(B68:B69)</f>
        <v>1188</v>
      </c>
      <c r="C70" s="6">
        <f t="shared" si="22"/>
        <v>48</v>
      </c>
      <c r="D70" s="6">
        <f t="shared" si="22"/>
        <v>3</v>
      </c>
      <c r="E70" s="6">
        <f t="shared" si="22"/>
        <v>25</v>
      </c>
      <c r="F70" s="6">
        <f t="shared" si="22"/>
        <v>130</v>
      </c>
      <c r="G70" s="6">
        <f t="shared" si="22"/>
        <v>0</v>
      </c>
      <c r="H70" s="6">
        <f t="shared" si="22"/>
        <v>971</v>
      </c>
      <c r="I70" s="6">
        <f t="shared" si="22"/>
        <v>11</v>
      </c>
      <c r="J70" s="7" t="s">
        <v>13</v>
      </c>
      <c r="K70" s="9"/>
      <c r="L70" s="1"/>
    </row>
    <row r="71" spans="1:12" ht="13.5" thickBot="1" x14ac:dyDescent="0.25">
      <c r="A71" s="1"/>
      <c r="B71" s="6">
        <f t="shared" ref="B71:B78" si="23">SUM(C71:I71)</f>
        <v>54</v>
      </c>
      <c r="C71" s="6">
        <v>0</v>
      </c>
      <c r="D71" s="6">
        <v>0</v>
      </c>
      <c r="E71" s="6">
        <v>2</v>
      </c>
      <c r="F71" s="6">
        <v>3</v>
      </c>
      <c r="G71" s="6">
        <v>0</v>
      </c>
      <c r="H71" s="6">
        <v>49</v>
      </c>
      <c r="I71" s="6">
        <v>0</v>
      </c>
      <c r="J71" s="7" t="s">
        <v>10</v>
      </c>
      <c r="K71" s="124"/>
      <c r="L71" s="1"/>
    </row>
    <row r="72" spans="1:12" ht="13.5" thickBot="1" x14ac:dyDescent="0.25">
      <c r="A72" s="1"/>
      <c r="B72" s="6">
        <f t="shared" si="23"/>
        <v>79</v>
      </c>
      <c r="C72" s="6">
        <v>0</v>
      </c>
      <c r="D72" s="6">
        <v>0</v>
      </c>
      <c r="E72" s="6">
        <v>1</v>
      </c>
      <c r="F72" s="6">
        <v>4</v>
      </c>
      <c r="G72" s="6">
        <v>0</v>
      </c>
      <c r="H72" s="6">
        <v>74</v>
      </c>
      <c r="I72" s="6">
        <v>0</v>
      </c>
      <c r="J72" s="7" t="s">
        <v>11</v>
      </c>
      <c r="K72" s="124" t="s">
        <v>26</v>
      </c>
      <c r="L72" s="1"/>
    </row>
    <row r="73" spans="1:12" ht="13.5" thickBot="1" x14ac:dyDescent="0.25">
      <c r="A73" s="1"/>
      <c r="B73" s="6">
        <f t="shared" ref="B73:I73" si="24">SUM(B71:B72)</f>
        <v>133</v>
      </c>
      <c r="C73" s="6">
        <f t="shared" si="24"/>
        <v>0</v>
      </c>
      <c r="D73" s="6">
        <f t="shared" si="24"/>
        <v>0</v>
      </c>
      <c r="E73" s="6">
        <f t="shared" si="24"/>
        <v>3</v>
      </c>
      <c r="F73" s="6">
        <f t="shared" si="24"/>
        <v>7</v>
      </c>
      <c r="G73" s="6">
        <f t="shared" si="24"/>
        <v>0</v>
      </c>
      <c r="H73" s="6">
        <f t="shared" si="24"/>
        <v>123</v>
      </c>
      <c r="I73" s="6">
        <f t="shared" si="24"/>
        <v>0</v>
      </c>
      <c r="J73" s="7" t="s">
        <v>13</v>
      </c>
      <c r="K73" s="9"/>
      <c r="L73" s="1"/>
    </row>
    <row r="74" spans="1:12" ht="13.5" thickBot="1" x14ac:dyDescent="0.25">
      <c r="A74" s="1"/>
      <c r="B74" s="6">
        <f t="shared" si="23"/>
        <v>168</v>
      </c>
      <c r="C74" s="6">
        <v>0</v>
      </c>
      <c r="D74" s="6">
        <v>0</v>
      </c>
      <c r="E74" s="6">
        <v>1</v>
      </c>
      <c r="F74" s="6">
        <v>0</v>
      </c>
      <c r="G74" s="6">
        <v>0</v>
      </c>
      <c r="H74" s="6">
        <v>167</v>
      </c>
      <c r="I74" s="6">
        <v>0</v>
      </c>
      <c r="J74" s="7" t="s">
        <v>10</v>
      </c>
      <c r="K74" s="124"/>
      <c r="L74" s="1"/>
    </row>
    <row r="75" spans="1:12" ht="13.5" thickBot="1" x14ac:dyDescent="0.25">
      <c r="A75" s="1"/>
      <c r="B75" s="6">
        <f t="shared" si="23"/>
        <v>55</v>
      </c>
      <c r="C75" s="6">
        <v>0</v>
      </c>
      <c r="D75" s="6">
        <v>0</v>
      </c>
      <c r="E75" s="6">
        <v>0</v>
      </c>
      <c r="F75" s="6">
        <v>12</v>
      </c>
      <c r="G75" s="6">
        <v>0</v>
      </c>
      <c r="H75" s="6">
        <v>43</v>
      </c>
      <c r="I75" s="6">
        <v>0</v>
      </c>
      <c r="J75" s="7" t="s">
        <v>11</v>
      </c>
      <c r="K75" s="124" t="s">
        <v>27</v>
      </c>
      <c r="L75" s="1"/>
    </row>
    <row r="76" spans="1:12" ht="13.5" thickBot="1" x14ac:dyDescent="0.25">
      <c r="A76" s="1"/>
      <c r="B76" s="6">
        <f t="shared" ref="B76:I76" si="25">SUM(B74:B75)</f>
        <v>223</v>
      </c>
      <c r="C76" s="6">
        <f t="shared" si="25"/>
        <v>0</v>
      </c>
      <c r="D76" s="6">
        <f t="shared" si="25"/>
        <v>0</v>
      </c>
      <c r="E76" s="6">
        <f t="shared" si="25"/>
        <v>1</v>
      </c>
      <c r="F76" s="6">
        <f t="shared" si="25"/>
        <v>12</v>
      </c>
      <c r="G76" s="6">
        <f t="shared" si="25"/>
        <v>0</v>
      </c>
      <c r="H76" s="6">
        <f t="shared" si="25"/>
        <v>210</v>
      </c>
      <c r="I76" s="6">
        <f t="shared" si="25"/>
        <v>0</v>
      </c>
      <c r="J76" s="7" t="s">
        <v>13</v>
      </c>
      <c r="K76" s="9"/>
      <c r="L76" s="1"/>
    </row>
    <row r="77" spans="1:12" ht="13.5" thickBot="1" x14ac:dyDescent="0.25">
      <c r="A77" s="1"/>
      <c r="B77" s="6">
        <f t="shared" si="23"/>
        <v>6760</v>
      </c>
      <c r="C77" s="6">
        <v>764</v>
      </c>
      <c r="D77" s="6">
        <v>20</v>
      </c>
      <c r="E77" s="6">
        <v>323</v>
      </c>
      <c r="F77" s="6">
        <v>2188</v>
      </c>
      <c r="G77" s="6">
        <v>0</v>
      </c>
      <c r="H77" s="6">
        <v>3294</v>
      </c>
      <c r="I77" s="6">
        <v>171</v>
      </c>
      <c r="J77" s="7" t="s">
        <v>10</v>
      </c>
      <c r="K77" s="124"/>
      <c r="L77" s="1"/>
    </row>
    <row r="78" spans="1:12" ht="13.5" thickBot="1" x14ac:dyDescent="0.25">
      <c r="A78" s="1"/>
      <c r="B78" s="6">
        <f t="shared" si="23"/>
        <v>1153</v>
      </c>
      <c r="C78" s="6">
        <v>39</v>
      </c>
      <c r="D78" s="6">
        <v>5</v>
      </c>
      <c r="E78" s="6">
        <v>67</v>
      </c>
      <c r="F78" s="6">
        <v>709</v>
      </c>
      <c r="G78" s="6">
        <v>0</v>
      </c>
      <c r="H78" s="6">
        <v>294</v>
      </c>
      <c r="I78" s="6">
        <v>39</v>
      </c>
      <c r="J78" s="7" t="s">
        <v>11</v>
      </c>
      <c r="K78" s="124" t="s">
        <v>33</v>
      </c>
      <c r="L78" s="1"/>
    </row>
    <row r="79" spans="1:12" ht="13.5" thickBot="1" x14ac:dyDescent="0.25">
      <c r="A79" s="1"/>
      <c r="B79" s="6">
        <f t="shared" ref="B79:I79" si="26">SUM(B77:B78)</f>
        <v>7913</v>
      </c>
      <c r="C79" s="6">
        <f t="shared" si="26"/>
        <v>803</v>
      </c>
      <c r="D79" s="6">
        <f t="shared" si="26"/>
        <v>25</v>
      </c>
      <c r="E79" s="6">
        <f t="shared" si="26"/>
        <v>390</v>
      </c>
      <c r="F79" s="6">
        <f t="shared" si="26"/>
        <v>2897</v>
      </c>
      <c r="G79" s="6">
        <f t="shared" si="26"/>
        <v>0</v>
      </c>
      <c r="H79" s="6">
        <f t="shared" si="26"/>
        <v>3588</v>
      </c>
      <c r="I79" s="6">
        <f t="shared" si="26"/>
        <v>210</v>
      </c>
      <c r="J79" s="7" t="s">
        <v>13</v>
      </c>
      <c r="K79" s="9"/>
      <c r="L79" s="1"/>
    </row>
    <row r="80" spans="1:12" ht="13.5" thickBot="1" x14ac:dyDescent="0.25">
      <c r="A80" s="1"/>
      <c r="B80" s="6">
        <f t="shared" ref="B80:H82" si="27">B5+B8+B11+B14+B17+B20+B23+B26+B29+B32+B35+B38+B41+B44+B47+B50+B53+B56+B59+B62+B65+B68+B71+B74+B77</f>
        <v>34678</v>
      </c>
      <c r="C80" s="6">
        <f t="shared" si="27"/>
        <v>1158</v>
      </c>
      <c r="D80" s="6">
        <f t="shared" si="27"/>
        <v>812</v>
      </c>
      <c r="E80" s="6">
        <f t="shared" si="27"/>
        <v>1494</v>
      </c>
      <c r="F80" s="6">
        <f t="shared" si="27"/>
        <v>8120</v>
      </c>
      <c r="G80" s="6">
        <f t="shared" si="27"/>
        <v>9</v>
      </c>
      <c r="H80" s="6">
        <f t="shared" si="27"/>
        <v>20257</v>
      </c>
      <c r="I80" s="6">
        <f>I5+I8+I11+I14+I17+I20+I23+I26+I29+I32+I35+I38+I41+I44+I47+I50+I53+I56+I59+I62+I65+I68+I71+I74+I77</f>
        <v>2828</v>
      </c>
      <c r="J80" s="7" t="s">
        <v>10</v>
      </c>
      <c r="K80" s="3"/>
      <c r="L80" s="1"/>
    </row>
    <row r="81" spans="1:12" ht="13.5" thickBot="1" x14ac:dyDescent="0.25">
      <c r="A81" s="1"/>
      <c r="B81" s="6">
        <f t="shared" si="27"/>
        <v>8128</v>
      </c>
      <c r="C81" s="6">
        <f t="shared" si="27"/>
        <v>161</v>
      </c>
      <c r="D81" s="6">
        <f t="shared" si="27"/>
        <v>209</v>
      </c>
      <c r="E81" s="6">
        <f t="shared" si="27"/>
        <v>502</v>
      </c>
      <c r="F81" s="6">
        <f t="shared" si="27"/>
        <v>2683</v>
      </c>
      <c r="G81" s="6">
        <f t="shared" si="27"/>
        <v>0</v>
      </c>
      <c r="H81" s="6">
        <f t="shared" si="27"/>
        <v>3428</v>
      </c>
      <c r="I81" s="6">
        <f>I6+I9+I12+I15+I18+I21+I24+I27+I30+I33+I36+I39+I42+I45+I48+I51+I54+I57+I60+I63+I66+I69+I72+I75+I78</f>
        <v>1145</v>
      </c>
      <c r="J81" s="7" t="s">
        <v>11</v>
      </c>
      <c r="K81" s="11" t="s">
        <v>211</v>
      </c>
      <c r="L81" s="1"/>
    </row>
    <row r="82" spans="1:12" ht="13.5" thickBot="1" x14ac:dyDescent="0.25">
      <c r="A82" s="1"/>
      <c r="B82" s="6">
        <f t="shared" si="27"/>
        <v>42806</v>
      </c>
      <c r="C82" s="6">
        <f t="shared" si="27"/>
        <v>1319</v>
      </c>
      <c r="D82" s="6">
        <f t="shared" si="27"/>
        <v>1021</v>
      </c>
      <c r="E82" s="6">
        <f t="shared" si="27"/>
        <v>1996</v>
      </c>
      <c r="F82" s="6">
        <f t="shared" si="27"/>
        <v>10803</v>
      </c>
      <c r="G82" s="6">
        <f t="shared" si="27"/>
        <v>9</v>
      </c>
      <c r="H82" s="6">
        <f t="shared" si="27"/>
        <v>23685</v>
      </c>
      <c r="I82" s="6">
        <f>I7+I10+I13+I16+I19+I22+I25+I28+I31+I34+I37+I40+I43+I46+I49+I52+I55+I58+I61+I64+I67+I70+I73+I76+I79</f>
        <v>3973</v>
      </c>
      <c r="J82" s="7" t="s">
        <v>13</v>
      </c>
      <c r="K82" s="5"/>
      <c r="L82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2"/>
  <sheetViews>
    <sheetView showGridLines="0" topLeftCell="A55" zoomScale="90" zoomScaleNormal="90" workbookViewId="0">
      <selection activeCell="H43" sqref="H43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697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698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1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1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69" si="0">SUM(C6:I6)</f>
        <v>2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2</v>
      </c>
      <c r="I6" s="6">
        <v>0</v>
      </c>
      <c r="J6" s="7" t="s">
        <v>11</v>
      </c>
      <c r="K6" s="124" t="s">
        <v>12</v>
      </c>
      <c r="L6" s="1"/>
    </row>
    <row r="7" spans="1:12" ht="13.5" thickBot="1" x14ac:dyDescent="0.25">
      <c r="A7" s="1"/>
      <c r="B7" s="6">
        <f t="shared" ref="B7:H7" si="1">SUM(B5:B6)</f>
        <v>3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0</v>
      </c>
      <c r="G7" s="6">
        <f t="shared" si="1"/>
        <v>0</v>
      </c>
      <c r="H7" s="6">
        <f t="shared" si="1"/>
        <v>3</v>
      </c>
      <c r="I7" s="6">
        <f>SUM(I5:I6)</f>
        <v>0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</v>
      </c>
      <c r="I8" s="6">
        <v>0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7" t="s">
        <v>11</v>
      </c>
      <c r="K9" s="124" t="s">
        <v>14</v>
      </c>
      <c r="L9" s="1"/>
    </row>
    <row r="10" spans="1:12" ht="13.5" thickBot="1" x14ac:dyDescent="0.25">
      <c r="A10" s="1"/>
      <c r="B10" s="6">
        <f t="shared" ref="B10:I10" si="2">SUM(B8:B9)</f>
        <v>1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1</v>
      </c>
      <c r="I10" s="6">
        <f t="shared" si="2"/>
        <v>0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288</v>
      </c>
      <c r="C11" s="6">
        <v>0</v>
      </c>
      <c r="D11" s="6">
        <v>0</v>
      </c>
      <c r="E11" s="6">
        <v>0</v>
      </c>
      <c r="F11" s="6">
        <v>1</v>
      </c>
      <c r="G11" s="6">
        <v>0</v>
      </c>
      <c r="H11" s="6">
        <v>133</v>
      </c>
      <c r="I11" s="6">
        <v>154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810</v>
      </c>
      <c r="C12" s="6">
        <v>1</v>
      </c>
      <c r="D12" s="6">
        <v>0</v>
      </c>
      <c r="E12" s="6">
        <v>0</v>
      </c>
      <c r="F12" s="6">
        <v>0</v>
      </c>
      <c r="G12" s="6">
        <v>0</v>
      </c>
      <c r="H12" s="6">
        <v>429</v>
      </c>
      <c r="I12" s="6">
        <v>380</v>
      </c>
      <c r="J12" s="7" t="s">
        <v>11</v>
      </c>
      <c r="K12" s="124" t="s">
        <v>15</v>
      </c>
      <c r="L12" s="1"/>
    </row>
    <row r="13" spans="1:12" ht="13.5" thickBot="1" x14ac:dyDescent="0.25">
      <c r="A13" s="1"/>
      <c r="B13" s="6">
        <f t="shared" ref="B13:I13" si="3">SUM(B11:B12)</f>
        <v>1098</v>
      </c>
      <c r="C13" s="6">
        <f t="shared" si="3"/>
        <v>1</v>
      </c>
      <c r="D13" s="6">
        <f t="shared" si="3"/>
        <v>0</v>
      </c>
      <c r="E13" s="6">
        <f t="shared" si="3"/>
        <v>0</v>
      </c>
      <c r="F13" s="6">
        <f t="shared" si="3"/>
        <v>1</v>
      </c>
      <c r="G13" s="6">
        <f t="shared" si="3"/>
        <v>0</v>
      </c>
      <c r="H13" s="6">
        <f t="shared" si="3"/>
        <v>562</v>
      </c>
      <c r="I13" s="6">
        <f t="shared" si="3"/>
        <v>534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8</v>
      </c>
      <c r="C14" s="6">
        <v>0</v>
      </c>
      <c r="D14" s="6">
        <v>0</v>
      </c>
      <c r="E14" s="6">
        <v>1</v>
      </c>
      <c r="F14" s="6">
        <v>4</v>
      </c>
      <c r="G14" s="6">
        <v>0</v>
      </c>
      <c r="H14" s="6">
        <v>3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15</v>
      </c>
      <c r="C15" s="6">
        <v>0</v>
      </c>
      <c r="D15" s="6">
        <v>1</v>
      </c>
      <c r="E15" s="6">
        <v>1</v>
      </c>
      <c r="F15" s="6">
        <v>11</v>
      </c>
      <c r="G15" s="6">
        <v>0</v>
      </c>
      <c r="H15" s="6">
        <v>2</v>
      </c>
      <c r="I15" s="6">
        <v>0</v>
      </c>
      <c r="J15" s="7" t="s">
        <v>11</v>
      </c>
      <c r="K15" s="124" t="s">
        <v>16</v>
      </c>
      <c r="L15" s="1"/>
    </row>
    <row r="16" spans="1:12" ht="13.5" thickBot="1" x14ac:dyDescent="0.25">
      <c r="A16" s="1"/>
      <c r="B16" s="6">
        <f t="shared" ref="B16:I16" si="4">SUM(B14:B15)</f>
        <v>23</v>
      </c>
      <c r="C16" s="6">
        <f t="shared" si="4"/>
        <v>0</v>
      </c>
      <c r="D16" s="6">
        <f t="shared" si="4"/>
        <v>1</v>
      </c>
      <c r="E16" s="6">
        <f t="shared" si="4"/>
        <v>2</v>
      </c>
      <c r="F16" s="6">
        <f t="shared" si="4"/>
        <v>15</v>
      </c>
      <c r="G16" s="6">
        <f t="shared" si="4"/>
        <v>0</v>
      </c>
      <c r="H16" s="6">
        <f t="shared" si="4"/>
        <v>5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176</v>
      </c>
      <c r="C17" s="6">
        <v>0</v>
      </c>
      <c r="D17" s="6">
        <v>0</v>
      </c>
      <c r="E17" s="6">
        <v>7</v>
      </c>
      <c r="F17" s="6">
        <v>9</v>
      </c>
      <c r="G17" s="6">
        <v>4</v>
      </c>
      <c r="H17" s="6">
        <v>156</v>
      </c>
      <c r="I17" s="6">
        <v>0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9</v>
      </c>
      <c r="C18" s="6">
        <v>0</v>
      </c>
      <c r="D18" s="6">
        <v>0</v>
      </c>
      <c r="E18" s="6">
        <v>0</v>
      </c>
      <c r="F18" s="6">
        <v>4</v>
      </c>
      <c r="G18" s="6">
        <v>0</v>
      </c>
      <c r="H18" s="6">
        <v>5</v>
      </c>
      <c r="I18" s="6">
        <v>0</v>
      </c>
      <c r="J18" s="7" t="s">
        <v>11</v>
      </c>
      <c r="K18" s="124" t="s">
        <v>31</v>
      </c>
      <c r="L18" s="1"/>
    </row>
    <row r="19" spans="1:12" ht="13.5" thickBot="1" x14ac:dyDescent="0.25">
      <c r="A19" s="1"/>
      <c r="B19" s="6">
        <f t="shared" ref="B19:I19" si="5">SUM(B17:B18)</f>
        <v>185</v>
      </c>
      <c r="C19" s="6">
        <f t="shared" si="5"/>
        <v>0</v>
      </c>
      <c r="D19" s="6">
        <f t="shared" si="5"/>
        <v>0</v>
      </c>
      <c r="E19" s="6">
        <f t="shared" si="5"/>
        <v>7</v>
      </c>
      <c r="F19" s="6">
        <f t="shared" si="5"/>
        <v>13</v>
      </c>
      <c r="G19" s="6">
        <f t="shared" si="5"/>
        <v>4</v>
      </c>
      <c r="H19" s="6">
        <f t="shared" si="5"/>
        <v>161</v>
      </c>
      <c r="I19" s="6">
        <f t="shared" si="5"/>
        <v>0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5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2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2</v>
      </c>
      <c r="I21" s="6">
        <v>0</v>
      </c>
      <c r="J21" s="7" t="s">
        <v>11</v>
      </c>
      <c r="K21" s="124" t="s">
        <v>17</v>
      </c>
      <c r="L21" s="1"/>
    </row>
    <row r="22" spans="1:12" ht="13.5" thickBot="1" x14ac:dyDescent="0.25">
      <c r="A22" s="1"/>
      <c r="B22" s="6">
        <f t="shared" ref="B22:I22" si="6">SUM(B20:B21)</f>
        <v>7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0</v>
      </c>
      <c r="G22" s="6">
        <f t="shared" si="6"/>
        <v>0</v>
      </c>
      <c r="H22" s="6">
        <f t="shared" si="6"/>
        <v>7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18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65</v>
      </c>
      <c r="C26" s="6">
        <v>0</v>
      </c>
      <c r="D26" s="6">
        <v>0</v>
      </c>
      <c r="E26" s="6">
        <v>0</v>
      </c>
      <c r="F26" s="6">
        <v>4</v>
      </c>
      <c r="G26" s="6">
        <v>0</v>
      </c>
      <c r="H26" s="6">
        <v>53</v>
      </c>
      <c r="I26" s="6">
        <v>8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70</v>
      </c>
      <c r="C27" s="6">
        <v>0</v>
      </c>
      <c r="D27" s="6">
        <v>0</v>
      </c>
      <c r="E27" s="6">
        <v>0</v>
      </c>
      <c r="F27" s="6">
        <v>6</v>
      </c>
      <c r="G27" s="6">
        <v>0</v>
      </c>
      <c r="H27" s="6">
        <v>62</v>
      </c>
      <c r="I27" s="6">
        <v>2</v>
      </c>
      <c r="J27" s="7" t="s">
        <v>11</v>
      </c>
      <c r="K27" s="124" t="s">
        <v>19</v>
      </c>
      <c r="L27" s="1"/>
    </row>
    <row r="28" spans="1:12" ht="13.5" thickBot="1" x14ac:dyDescent="0.25">
      <c r="A28" s="1"/>
      <c r="B28" s="6">
        <f t="shared" ref="B28:I28" si="8">SUM(B26:B27)</f>
        <v>135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10</v>
      </c>
      <c r="G28" s="6">
        <f t="shared" si="8"/>
        <v>0</v>
      </c>
      <c r="H28" s="6">
        <f t="shared" si="8"/>
        <v>115</v>
      </c>
      <c r="I28" s="6">
        <f t="shared" si="8"/>
        <v>10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337</v>
      </c>
      <c r="C29" s="6">
        <v>9</v>
      </c>
      <c r="D29" s="6">
        <v>39</v>
      </c>
      <c r="E29" s="6">
        <v>16</v>
      </c>
      <c r="F29" s="6">
        <v>16</v>
      </c>
      <c r="G29" s="6">
        <v>0</v>
      </c>
      <c r="H29" s="6">
        <v>254</v>
      </c>
      <c r="I29" s="6">
        <v>3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68</v>
      </c>
      <c r="C30" s="6">
        <v>0</v>
      </c>
      <c r="D30" s="6">
        <v>3</v>
      </c>
      <c r="E30" s="6">
        <v>3</v>
      </c>
      <c r="F30" s="6">
        <v>4</v>
      </c>
      <c r="G30" s="6">
        <v>0</v>
      </c>
      <c r="H30" s="6">
        <v>58</v>
      </c>
      <c r="I30" s="6">
        <v>0</v>
      </c>
      <c r="J30" s="7" t="s">
        <v>11</v>
      </c>
      <c r="K30" s="124" t="s">
        <v>35</v>
      </c>
      <c r="L30" s="1"/>
    </row>
    <row r="31" spans="1:12" ht="13.5" thickBot="1" x14ac:dyDescent="0.25">
      <c r="A31" s="1"/>
      <c r="B31" s="6">
        <f t="shared" ref="B31:I31" si="9">SUM(B29:B30)</f>
        <v>405</v>
      </c>
      <c r="C31" s="6">
        <f t="shared" si="9"/>
        <v>9</v>
      </c>
      <c r="D31" s="6">
        <f t="shared" si="9"/>
        <v>42</v>
      </c>
      <c r="E31" s="6">
        <f t="shared" si="9"/>
        <v>19</v>
      </c>
      <c r="F31" s="6">
        <f t="shared" si="9"/>
        <v>20</v>
      </c>
      <c r="G31" s="6">
        <f t="shared" si="9"/>
        <v>0</v>
      </c>
      <c r="H31" s="6">
        <f t="shared" si="9"/>
        <v>312</v>
      </c>
      <c r="I31" s="6">
        <f t="shared" si="9"/>
        <v>3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1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1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2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2</v>
      </c>
      <c r="I33" s="6">
        <v>0</v>
      </c>
      <c r="J33" s="7" t="s">
        <v>11</v>
      </c>
      <c r="K33" s="124" t="s">
        <v>20</v>
      </c>
      <c r="L33" s="1"/>
    </row>
    <row r="34" spans="1:12" ht="13.5" thickBot="1" x14ac:dyDescent="0.25">
      <c r="A34" s="1"/>
      <c r="B34" s="6">
        <f t="shared" ref="B34:I34" si="10">SUM(B32:B33)</f>
        <v>3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0</v>
      </c>
      <c r="G34" s="6">
        <f t="shared" si="10"/>
        <v>0</v>
      </c>
      <c r="H34" s="6">
        <f t="shared" si="10"/>
        <v>3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6</v>
      </c>
      <c r="C35" s="6">
        <v>3</v>
      </c>
      <c r="D35" s="6">
        <v>0</v>
      </c>
      <c r="E35" s="6">
        <v>2</v>
      </c>
      <c r="F35" s="6">
        <v>0</v>
      </c>
      <c r="G35" s="6">
        <v>0</v>
      </c>
      <c r="H35" s="6">
        <v>1</v>
      </c>
      <c r="I35" s="6">
        <v>0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3</v>
      </c>
      <c r="C36" s="6">
        <v>1</v>
      </c>
      <c r="D36" s="6">
        <v>0</v>
      </c>
      <c r="E36" s="6">
        <v>1</v>
      </c>
      <c r="F36" s="6">
        <v>0</v>
      </c>
      <c r="G36" s="6">
        <v>0</v>
      </c>
      <c r="H36" s="6">
        <v>1</v>
      </c>
      <c r="I36" s="6">
        <v>0</v>
      </c>
      <c r="J36" s="7" t="s">
        <v>11</v>
      </c>
      <c r="K36" s="124" t="s">
        <v>21</v>
      </c>
      <c r="L36" s="1"/>
    </row>
    <row r="37" spans="1:12" ht="13.5" thickBot="1" x14ac:dyDescent="0.25">
      <c r="A37" s="1"/>
      <c r="B37" s="6">
        <f t="shared" ref="B37:I37" si="11">SUM(B35:B36)</f>
        <v>9</v>
      </c>
      <c r="C37" s="6">
        <f t="shared" si="11"/>
        <v>4</v>
      </c>
      <c r="D37" s="6">
        <f t="shared" si="11"/>
        <v>0</v>
      </c>
      <c r="E37" s="6">
        <f t="shared" si="11"/>
        <v>3</v>
      </c>
      <c r="F37" s="6">
        <f t="shared" si="11"/>
        <v>0</v>
      </c>
      <c r="G37" s="6">
        <f t="shared" si="11"/>
        <v>0</v>
      </c>
      <c r="H37" s="6">
        <f t="shared" si="11"/>
        <v>2</v>
      </c>
      <c r="I37" s="6">
        <f t="shared" si="11"/>
        <v>0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92</v>
      </c>
      <c r="C38" s="6">
        <v>0</v>
      </c>
      <c r="D38" s="6">
        <v>0</v>
      </c>
      <c r="E38" s="6">
        <v>0</v>
      </c>
      <c r="F38" s="6">
        <v>3</v>
      </c>
      <c r="G38" s="6">
        <v>0</v>
      </c>
      <c r="H38" s="6">
        <v>84</v>
      </c>
      <c r="I38" s="6">
        <v>5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199</v>
      </c>
      <c r="C39" s="6">
        <v>0</v>
      </c>
      <c r="D39" s="6">
        <v>0</v>
      </c>
      <c r="E39" s="6">
        <v>0</v>
      </c>
      <c r="F39" s="6">
        <v>20</v>
      </c>
      <c r="G39" s="6">
        <v>0</v>
      </c>
      <c r="H39" s="6">
        <v>177</v>
      </c>
      <c r="I39" s="6">
        <v>2</v>
      </c>
      <c r="J39" s="7" t="s">
        <v>11</v>
      </c>
      <c r="K39" s="124" t="s">
        <v>22</v>
      </c>
      <c r="L39" s="1"/>
    </row>
    <row r="40" spans="1:12" ht="13.5" thickBot="1" x14ac:dyDescent="0.25">
      <c r="A40" s="1"/>
      <c r="B40" s="6">
        <f t="shared" ref="B40:I40" si="12">SUM(B38:B39)</f>
        <v>291</v>
      </c>
      <c r="C40" s="6">
        <f t="shared" si="12"/>
        <v>0</v>
      </c>
      <c r="D40" s="6">
        <f t="shared" si="12"/>
        <v>0</v>
      </c>
      <c r="E40" s="6">
        <f t="shared" si="12"/>
        <v>0</v>
      </c>
      <c r="F40" s="6">
        <f t="shared" si="12"/>
        <v>23</v>
      </c>
      <c r="G40" s="6">
        <f t="shared" si="12"/>
        <v>0</v>
      </c>
      <c r="H40" s="6">
        <f t="shared" si="12"/>
        <v>261</v>
      </c>
      <c r="I40" s="6">
        <f t="shared" si="12"/>
        <v>7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155</v>
      </c>
      <c r="C41" s="6">
        <v>3</v>
      </c>
      <c r="D41" s="6">
        <v>0</v>
      </c>
      <c r="E41" s="6">
        <v>2</v>
      </c>
      <c r="F41" s="6">
        <v>2</v>
      </c>
      <c r="G41" s="6">
        <v>0</v>
      </c>
      <c r="H41" s="6">
        <v>147</v>
      </c>
      <c r="I41" s="6">
        <v>1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25</v>
      </c>
      <c r="C42" s="6">
        <v>1</v>
      </c>
      <c r="D42" s="6">
        <v>1</v>
      </c>
      <c r="E42" s="6">
        <v>0</v>
      </c>
      <c r="F42" s="6">
        <v>0</v>
      </c>
      <c r="G42" s="6">
        <v>0</v>
      </c>
      <c r="H42" s="6">
        <v>23</v>
      </c>
      <c r="I42" s="6">
        <v>0</v>
      </c>
      <c r="J42" s="7" t="s">
        <v>11</v>
      </c>
      <c r="K42" s="124" t="s">
        <v>36</v>
      </c>
      <c r="L42" s="1"/>
    </row>
    <row r="43" spans="1:12" ht="13.5" thickBot="1" x14ac:dyDescent="0.25">
      <c r="A43" s="1"/>
      <c r="B43" s="6">
        <f t="shared" ref="B43:I43" si="13">SUM(B41:B42)</f>
        <v>180</v>
      </c>
      <c r="C43" s="6">
        <f t="shared" si="13"/>
        <v>4</v>
      </c>
      <c r="D43" s="6">
        <f t="shared" si="13"/>
        <v>1</v>
      </c>
      <c r="E43" s="6">
        <f t="shared" si="13"/>
        <v>2</v>
      </c>
      <c r="F43" s="6">
        <f t="shared" si="13"/>
        <v>2</v>
      </c>
      <c r="G43" s="6">
        <f t="shared" si="13"/>
        <v>0</v>
      </c>
      <c r="H43" s="6">
        <f t="shared" si="13"/>
        <v>170</v>
      </c>
      <c r="I43" s="6">
        <f t="shared" si="13"/>
        <v>1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303</v>
      </c>
      <c r="C44" s="6">
        <v>1</v>
      </c>
      <c r="D44" s="6">
        <v>1</v>
      </c>
      <c r="E44" s="6">
        <v>3</v>
      </c>
      <c r="F44" s="6">
        <v>22</v>
      </c>
      <c r="G44" s="6">
        <v>0</v>
      </c>
      <c r="H44" s="6">
        <v>267</v>
      </c>
      <c r="I44" s="6">
        <v>9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29</v>
      </c>
      <c r="C45" s="6">
        <v>0</v>
      </c>
      <c r="D45" s="6">
        <v>0</v>
      </c>
      <c r="E45" s="6">
        <v>1</v>
      </c>
      <c r="F45" s="6">
        <v>13</v>
      </c>
      <c r="G45" s="6">
        <v>0</v>
      </c>
      <c r="H45" s="6">
        <v>14</v>
      </c>
      <c r="I45" s="6">
        <v>1</v>
      </c>
      <c r="J45" s="7" t="s">
        <v>11</v>
      </c>
      <c r="K45" s="124" t="s">
        <v>32</v>
      </c>
      <c r="L45" s="1"/>
    </row>
    <row r="46" spans="1:12" ht="13.5" thickBot="1" x14ac:dyDescent="0.25">
      <c r="A46" s="1"/>
      <c r="B46" s="6">
        <f t="shared" ref="B46:I46" si="14">SUM(B44:B45)</f>
        <v>332</v>
      </c>
      <c r="C46" s="6">
        <f t="shared" si="14"/>
        <v>1</v>
      </c>
      <c r="D46" s="6">
        <f t="shared" si="14"/>
        <v>1</v>
      </c>
      <c r="E46" s="6">
        <f t="shared" si="14"/>
        <v>4</v>
      </c>
      <c r="F46" s="6">
        <f t="shared" si="14"/>
        <v>35</v>
      </c>
      <c r="G46" s="6">
        <f t="shared" si="14"/>
        <v>0</v>
      </c>
      <c r="H46" s="6">
        <f t="shared" si="14"/>
        <v>281</v>
      </c>
      <c r="I46" s="6">
        <f t="shared" si="14"/>
        <v>10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si="0"/>
        <v>453</v>
      </c>
      <c r="C47" s="6">
        <v>6</v>
      </c>
      <c r="D47" s="6">
        <v>2</v>
      </c>
      <c r="E47" s="6">
        <v>53</v>
      </c>
      <c r="F47" s="6">
        <v>67</v>
      </c>
      <c r="G47" s="6">
        <v>4</v>
      </c>
      <c r="H47" s="6">
        <v>306</v>
      </c>
      <c r="I47" s="6">
        <v>15</v>
      </c>
      <c r="J47" s="7" t="s">
        <v>10</v>
      </c>
      <c r="K47" s="124"/>
      <c r="L47" s="1"/>
    </row>
    <row r="48" spans="1:12" ht="13.5" thickBot="1" x14ac:dyDescent="0.25">
      <c r="A48" s="1"/>
      <c r="B48" s="6">
        <f t="shared" si="0"/>
        <v>156</v>
      </c>
      <c r="C48" s="6">
        <v>1</v>
      </c>
      <c r="D48" s="6">
        <v>0</v>
      </c>
      <c r="E48" s="6">
        <v>13</v>
      </c>
      <c r="F48" s="6">
        <v>31</v>
      </c>
      <c r="G48" s="6">
        <v>0</v>
      </c>
      <c r="H48" s="6">
        <v>110</v>
      </c>
      <c r="I48" s="6">
        <v>1</v>
      </c>
      <c r="J48" s="7" t="s">
        <v>11</v>
      </c>
      <c r="K48" s="124" t="s">
        <v>23</v>
      </c>
      <c r="L48" s="1"/>
    </row>
    <row r="49" spans="1:12" ht="13.5" thickBot="1" x14ac:dyDescent="0.25">
      <c r="A49" s="1"/>
      <c r="B49" s="6">
        <f t="shared" ref="B49:I49" si="15">SUM(B47:B48)</f>
        <v>609</v>
      </c>
      <c r="C49" s="6">
        <f t="shared" si="15"/>
        <v>7</v>
      </c>
      <c r="D49" s="6">
        <f t="shared" si="15"/>
        <v>2</v>
      </c>
      <c r="E49" s="6">
        <f t="shared" si="15"/>
        <v>66</v>
      </c>
      <c r="F49" s="6">
        <f t="shared" si="15"/>
        <v>98</v>
      </c>
      <c r="G49" s="6">
        <f t="shared" si="15"/>
        <v>4</v>
      </c>
      <c r="H49" s="6">
        <f t="shared" si="15"/>
        <v>416</v>
      </c>
      <c r="I49" s="6">
        <f t="shared" si="15"/>
        <v>16</v>
      </c>
      <c r="J49" s="7" t="s">
        <v>13</v>
      </c>
      <c r="K49" s="9"/>
      <c r="L49" s="1"/>
    </row>
    <row r="50" spans="1:12" ht="13.5" thickBot="1" x14ac:dyDescent="0.25">
      <c r="A50" s="1"/>
      <c r="B50" s="6">
        <f t="shared" si="0"/>
        <v>9520</v>
      </c>
      <c r="C50" s="6">
        <v>49</v>
      </c>
      <c r="D50" s="6">
        <v>191</v>
      </c>
      <c r="E50" s="6">
        <v>168</v>
      </c>
      <c r="F50" s="6">
        <v>2692</v>
      </c>
      <c r="G50" s="6">
        <v>0</v>
      </c>
      <c r="H50" s="6">
        <v>6386</v>
      </c>
      <c r="I50" s="6">
        <v>34</v>
      </c>
      <c r="J50" s="7" t="s">
        <v>10</v>
      </c>
      <c r="K50" s="124"/>
      <c r="L50" s="1"/>
    </row>
    <row r="51" spans="1:12" ht="13.5" thickBot="1" x14ac:dyDescent="0.25">
      <c r="A51" s="1"/>
      <c r="B51" s="6">
        <f t="shared" si="0"/>
        <v>1183</v>
      </c>
      <c r="C51" s="6">
        <v>9</v>
      </c>
      <c r="D51" s="6">
        <v>54</v>
      </c>
      <c r="E51" s="6">
        <v>51</v>
      </c>
      <c r="F51" s="6">
        <v>619</v>
      </c>
      <c r="G51" s="6">
        <v>0</v>
      </c>
      <c r="H51" s="6">
        <v>435</v>
      </c>
      <c r="I51" s="6">
        <v>15</v>
      </c>
      <c r="J51" s="7" t="s">
        <v>11</v>
      </c>
      <c r="K51" s="124" t="s">
        <v>41</v>
      </c>
      <c r="L51" s="1"/>
    </row>
    <row r="52" spans="1:12" ht="13.5" thickBot="1" x14ac:dyDescent="0.25">
      <c r="A52" s="1"/>
      <c r="B52" s="6">
        <f t="shared" ref="B52:I52" si="16">SUM(B50:B51)</f>
        <v>10703</v>
      </c>
      <c r="C52" s="6">
        <f t="shared" si="16"/>
        <v>58</v>
      </c>
      <c r="D52" s="6">
        <f t="shared" si="16"/>
        <v>245</v>
      </c>
      <c r="E52" s="6">
        <f t="shared" si="16"/>
        <v>219</v>
      </c>
      <c r="F52" s="6">
        <f t="shared" si="16"/>
        <v>3311</v>
      </c>
      <c r="G52" s="6">
        <f t="shared" si="16"/>
        <v>0</v>
      </c>
      <c r="H52" s="6">
        <f t="shared" si="16"/>
        <v>6821</v>
      </c>
      <c r="I52" s="6">
        <f t="shared" si="16"/>
        <v>49</v>
      </c>
      <c r="J52" s="7" t="s">
        <v>13</v>
      </c>
      <c r="K52" s="9"/>
      <c r="L52" s="1"/>
    </row>
    <row r="53" spans="1:12" ht="13.5" thickBot="1" x14ac:dyDescent="0.25">
      <c r="A53" s="1"/>
      <c r="B53" s="6">
        <f t="shared" si="0"/>
        <v>20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20</v>
      </c>
      <c r="I53" s="6">
        <v>0</v>
      </c>
      <c r="J53" s="7" t="s">
        <v>10</v>
      </c>
      <c r="K53" s="124"/>
      <c r="L53" s="1"/>
    </row>
    <row r="54" spans="1:12" ht="13.5" thickBot="1" x14ac:dyDescent="0.25">
      <c r="A54" s="1"/>
      <c r="B54" s="6">
        <f t="shared" si="0"/>
        <v>5</v>
      </c>
      <c r="C54" s="6">
        <v>0</v>
      </c>
      <c r="D54" s="6">
        <v>0</v>
      </c>
      <c r="E54" s="6">
        <v>0</v>
      </c>
      <c r="F54" s="6">
        <v>1</v>
      </c>
      <c r="G54" s="6">
        <v>0</v>
      </c>
      <c r="H54" s="6">
        <v>4</v>
      </c>
      <c r="I54" s="6">
        <v>0</v>
      </c>
      <c r="J54" s="7" t="s">
        <v>11</v>
      </c>
      <c r="K54" s="124" t="s">
        <v>24</v>
      </c>
      <c r="L54" s="1"/>
    </row>
    <row r="55" spans="1:12" ht="13.5" thickBot="1" x14ac:dyDescent="0.25">
      <c r="A55" s="1"/>
      <c r="B55" s="6">
        <f t="shared" ref="B55:I55" si="17">SUM(B53:B54)</f>
        <v>25</v>
      </c>
      <c r="C55" s="6">
        <f t="shared" si="17"/>
        <v>0</v>
      </c>
      <c r="D55" s="6">
        <f t="shared" si="17"/>
        <v>0</v>
      </c>
      <c r="E55" s="6">
        <f t="shared" si="17"/>
        <v>0</v>
      </c>
      <c r="F55" s="6">
        <f t="shared" si="17"/>
        <v>1</v>
      </c>
      <c r="G55" s="6">
        <f t="shared" si="17"/>
        <v>0</v>
      </c>
      <c r="H55" s="6">
        <f t="shared" si="17"/>
        <v>24</v>
      </c>
      <c r="I55" s="6">
        <f t="shared" si="17"/>
        <v>0</v>
      </c>
      <c r="J55" s="7" t="s">
        <v>13</v>
      </c>
      <c r="K55" s="9"/>
      <c r="L55" s="1"/>
    </row>
    <row r="56" spans="1:12" ht="13.5" thickBot="1" x14ac:dyDescent="0.25">
      <c r="A56" s="1"/>
      <c r="B56" s="6">
        <f t="shared" si="0"/>
        <v>3380</v>
      </c>
      <c r="C56" s="6">
        <v>57</v>
      </c>
      <c r="D56" s="6">
        <v>4</v>
      </c>
      <c r="E56" s="6">
        <v>602</v>
      </c>
      <c r="F56" s="6">
        <v>1313</v>
      </c>
      <c r="G56" s="6">
        <v>0</v>
      </c>
      <c r="H56" s="6">
        <v>764</v>
      </c>
      <c r="I56" s="6">
        <v>640</v>
      </c>
      <c r="J56" s="7" t="s">
        <v>10</v>
      </c>
      <c r="K56" s="124"/>
      <c r="L56" s="1"/>
    </row>
    <row r="57" spans="1:12" ht="13.5" thickBot="1" x14ac:dyDescent="0.25">
      <c r="A57" s="1"/>
      <c r="B57" s="6">
        <f t="shared" si="0"/>
        <v>1060</v>
      </c>
      <c r="C57" s="6">
        <v>15</v>
      </c>
      <c r="D57" s="6">
        <v>7</v>
      </c>
      <c r="E57" s="6">
        <v>243</v>
      </c>
      <c r="F57" s="6">
        <v>428</v>
      </c>
      <c r="G57" s="6">
        <v>0</v>
      </c>
      <c r="H57" s="6">
        <v>99</v>
      </c>
      <c r="I57" s="6">
        <v>268</v>
      </c>
      <c r="J57" s="7" t="s">
        <v>11</v>
      </c>
      <c r="K57" s="124" t="s">
        <v>37</v>
      </c>
      <c r="L57" s="1"/>
    </row>
    <row r="58" spans="1:12" ht="13.5" thickBot="1" x14ac:dyDescent="0.25">
      <c r="A58" s="1"/>
      <c r="B58" s="6">
        <f t="shared" ref="B58:I58" si="18">SUM(B56:B57)</f>
        <v>4440</v>
      </c>
      <c r="C58" s="6">
        <f t="shared" si="18"/>
        <v>72</v>
      </c>
      <c r="D58" s="6">
        <f t="shared" si="18"/>
        <v>11</v>
      </c>
      <c r="E58" s="6">
        <f t="shared" si="18"/>
        <v>845</v>
      </c>
      <c r="F58" s="6">
        <f t="shared" si="18"/>
        <v>1741</v>
      </c>
      <c r="G58" s="6">
        <f t="shared" si="18"/>
        <v>0</v>
      </c>
      <c r="H58" s="6">
        <f t="shared" si="18"/>
        <v>863</v>
      </c>
      <c r="I58" s="6">
        <f t="shared" si="18"/>
        <v>908</v>
      </c>
      <c r="J58" s="7" t="s">
        <v>13</v>
      </c>
      <c r="K58" s="9"/>
      <c r="L58" s="1"/>
    </row>
    <row r="59" spans="1:12" ht="13.5" thickBot="1" x14ac:dyDescent="0.25">
      <c r="A59" s="1"/>
      <c r="B59" s="6">
        <f t="shared" si="0"/>
        <v>1896</v>
      </c>
      <c r="C59" s="6">
        <v>71</v>
      </c>
      <c r="D59" s="6">
        <v>343</v>
      </c>
      <c r="E59" s="6">
        <v>92</v>
      </c>
      <c r="F59" s="6">
        <v>511</v>
      </c>
      <c r="G59" s="6">
        <v>0</v>
      </c>
      <c r="H59" s="6">
        <v>595</v>
      </c>
      <c r="I59" s="6">
        <v>284</v>
      </c>
      <c r="J59" s="7" t="s">
        <v>10</v>
      </c>
      <c r="K59" s="124"/>
      <c r="L59" s="1"/>
    </row>
    <row r="60" spans="1:12" ht="13.5" thickBot="1" x14ac:dyDescent="0.25">
      <c r="A60" s="1"/>
      <c r="B60" s="6">
        <f t="shared" si="0"/>
        <v>657</v>
      </c>
      <c r="C60" s="6">
        <v>66</v>
      </c>
      <c r="D60" s="6">
        <v>96</v>
      </c>
      <c r="E60" s="6">
        <v>22</v>
      </c>
      <c r="F60" s="6">
        <v>235</v>
      </c>
      <c r="G60" s="6">
        <v>0</v>
      </c>
      <c r="H60" s="6">
        <v>60</v>
      </c>
      <c r="I60" s="6">
        <v>178</v>
      </c>
      <c r="J60" s="7" t="s">
        <v>11</v>
      </c>
      <c r="K60" s="124" t="s">
        <v>42</v>
      </c>
      <c r="L60" s="1"/>
    </row>
    <row r="61" spans="1:12" ht="13.5" thickBot="1" x14ac:dyDescent="0.25">
      <c r="A61" s="1"/>
      <c r="B61" s="6">
        <f t="shared" ref="B61:I61" si="19">SUM(B59:B60)</f>
        <v>2553</v>
      </c>
      <c r="C61" s="6">
        <f t="shared" si="19"/>
        <v>137</v>
      </c>
      <c r="D61" s="6">
        <f t="shared" si="19"/>
        <v>439</v>
      </c>
      <c r="E61" s="6">
        <f t="shared" si="19"/>
        <v>114</v>
      </c>
      <c r="F61" s="6">
        <f t="shared" si="19"/>
        <v>746</v>
      </c>
      <c r="G61" s="6">
        <f t="shared" si="19"/>
        <v>0</v>
      </c>
      <c r="H61" s="6">
        <f t="shared" si="19"/>
        <v>655</v>
      </c>
      <c r="I61" s="6">
        <f t="shared" si="19"/>
        <v>462</v>
      </c>
      <c r="J61" s="7" t="s">
        <v>13</v>
      </c>
      <c r="K61" s="9"/>
      <c r="L61" s="1"/>
    </row>
    <row r="62" spans="1:12" ht="13.5" thickBot="1" x14ac:dyDescent="0.25">
      <c r="A62" s="1"/>
      <c r="B62" s="6">
        <f t="shared" si="0"/>
        <v>362</v>
      </c>
      <c r="C62" s="6">
        <v>3</v>
      </c>
      <c r="D62" s="6">
        <v>164</v>
      </c>
      <c r="E62" s="6">
        <v>11</v>
      </c>
      <c r="F62" s="6">
        <v>66</v>
      </c>
      <c r="G62" s="6">
        <v>0</v>
      </c>
      <c r="H62" s="6">
        <v>112</v>
      </c>
      <c r="I62" s="6">
        <v>6</v>
      </c>
      <c r="J62" s="7" t="s">
        <v>10</v>
      </c>
      <c r="K62" s="124"/>
      <c r="L62" s="1"/>
    </row>
    <row r="63" spans="1:12" ht="13.5" thickBot="1" x14ac:dyDescent="0.25">
      <c r="A63" s="1"/>
      <c r="B63" s="6">
        <f t="shared" si="0"/>
        <v>69</v>
      </c>
      <c r="C63" s="6">
        <v>0</v>
      </c>
      <c r="D63" s="6">
        <v>17</v>
      </c>
      <c r="E63" s="6">
        <v>2</v>
      </c>
      <c r="F63" s="6">
        <v>18</v>
      </c>
      <c r="G63" s="6">
        <v>0</v>
      </c>
      <c r="H63" s="6">
        <v>28</v>
      </c>
      <c r="I63" s="6">
        <v>4</v>
      </c>
      <c r="J63" s="7" t="s">
        <v>11</v>
      </c>
      <c r="K63" s="124" t="s">
        <v>38</v>
      </c>
      <c r="L63" s="1"/>
    </row>
    <row r="64" spans="1:12" ht="13.5" thickBot="1" x14ac:dyDescent="0.25">
      <c r="A64" s="1"/>
      <c r="B64" s="6">
        <f t="shared" ref="B64:I64" si="20">SUM(B62:B63)</f>
        <v>431</v>
      </c>
      <c r="C64" s="6">
        <f t="shared" si="20"/>
        <v>3</v>
      </c>
      <c r="D64" s="6">
        <f t="shared" si="20"/>
        <v>181</v>
      </c>
      <c r="E64" s="6">
        <f t="shared" si="20"/>
        <v>13</v>
      </c>
      <c r="F64" s="6">
        <f t="shared" si="20"/>
        <v>84</v>
      </c>
      <c r="G64" s="6">
        <f t="shared" si="20"/>
        <v>0</v>
      </c>
      <c r="H64" s="6">
        <f t="shared" si="20"/>
        <v>140</v>
      </c>
      <c r="I64" s="6">
        <f t="shared" si="20"/>
        <v>10</v>
      </c>
      <c r="J64" s="7" t="s">
        <v>13</v>
      </c>
      <c r="K64" s="9"/>
      <c r="L64" s="1"/>
    </row>
    <row r="65" spans="1:12" ht="13.5" thickBot="1" x14ac:dyDescent="0.25">
      <c r="A65" s="1"/>
      <c r="B65" s="6">
        <f t="shared" si="0"/>
        <v>4</v>
      </c>
      <c r="C65" s="6">
        <v>0</v>
      </c>
      <c r="D65" s="6">
        <v>1</v>
      </c>
      <c r="E65" s="6">
        <v>0</v>
      </c>
      <c r="F65" s="6">
        <v>3</v>
      </c>
      <c r="G65" s="6">
        <v>0</v>
      </c>
      <c r="H65" s="6">
        <v>0</v>
      </c>
      <c r="I65" s="6">
        <v>0</v>
      </c>
      <c r="J65" s="7" t="s">
        <v>10</v>
      </c>
      <c r="K65" s="124"/>
      <c r="L65" s="1"/>
    </row>
    <row r="66" spans="1:12" ht="13.5" thickBot="1" x14ac:dyDescent="0.25">
      <c r="A66" s="1"/>
      <c r="B66" s="6">
        <f t="shared" si="0"/>
        <v>8</v>
      </c>
      <c r="C66" s="6">
        <v>0</v>
      </c>
      <c r="D66" s="6">
        <v>0</v>
      </c>
      <c r="E66" s="6">
        <v>1</v>
      </c>
      <c r="F66" s="6">
        <v>3</v>
      </c>
      <c r="G66" s="6">
        <v>0</v>
      </c>
      <c r="H66" s="6">
        <v>4</v>
      </c>
      <c r="I66" s="6">
        <v>0</v>
      </c>
      <c r="J66" s="7" t="s">
        <v>11</v>
      </c>
      <c r="K66" s="124" t="s">
        <v>39</v>
      </c>
      <c r="L66" s="1"/>
    </row>
    <row r="67" spans="1:12" ht="13.5" thickBot="1" x14ac:dyDescent="0.25">
      <c r="A67" s="1"/>
      <c r="B67" s="6">
        <f t="shared" ref="B67:I67" si="21">SUM(B65:B66)</f>
        <v>12</v>
      </c>
      <c r="C67" s="6">
        <f t="shared" si="21"/>
        <v>0</v>
      </c>
      <c r="D67" s="6">
        <f t="shared" si="21"/>
        <v>1</v>
      </c>
      <c r="E67" s="6">
        <f t="shared" si="21"/>
        <v>1</v>
      </c>
      <c r="F67" s="6">
        <f t="shared" si="21"/>
        <v>6</v>
      </c>
      <c r="G67" s="6">
        <f t="shared" si="21"/>
        <v>0</v>
      </c>
      <c r="H67" s="6">
        <f t="shared" si="21"/>
        <v>4</v>
      </c>
      <c r="I67" s="6">
        <f t="shared" si="21"/>
        <v>0</v>
      </c>
      <c r="J67" s="7" t="s">
        <v>13</v>
      </c>
      <c r="K67" s="9"/>
      <c r="L67" s="1"/>
    </row>
    <row r="68" spans="1:12" ht="13.5" thickBot="1" x14ac:dyDescent="0.25">
      <c r="A68" s="1"/>
      <c r="B68" s="6">
        <f t="shared" si="0"/>
        <v>738</v>
      </c>
      <c r="C68" s="6">
        <v>40</v>
      </c>
      <c r="D68" s="6">
        <v>3</v>
      </c>
      <c r="E68" s="6">
        <v>23</v>
      </c>
      <c r="F68" s="6">
        <v>101</v>
      </c>
      <c r="G68" s="6">
        <v>0</v>
      </c>
      <c r="H68" s="6">
        <v>564</v>
      </c>
      <c r="I68" s="6">
        <v>7</v>
      </c>
      <c r="J68" s="7" t="s">
        <v>10</v>
      </c>
      <c r="K68" s="124"/>
      <c r="L68" s="1"/>
    </row>
    <row r="69" spans="1:12" ht="13.5" thickBot="1" x14ac:dyDescent="0.25">
      <c r="A69" s="1"/>
      <c r="B69" s="6">
        <f t="shared" si="0"/>
        <v>132</v>
      </c>
      <c r="C69" s="6">
        <v>8</v>
      </c>
      <c r="D69" s="6">
        <v>0</v>
      </c>
      <c r="E69" s="6">
        <v>2</v>
      </c>
      <c r="F69" s="6">
        <v>17</v>
      </c>
      <c r="G69" s="6">
        <v>0</v>
      </c>
      <c r="H69" s="6">
        <v>101</v>
      </c>
      <c r="I69" s="6">
        <v>4</v>
      </c>
      <c r="J69" s="7" t="s">
        <v>11</v>
      </c>
      <c r="K69" s="124" t="s">
        <v>25</v>
      </c>
      <c r="L69" s="1"/>
    </row>
    <row r="70" spans="1:12" ht="13.5" thickBot="1" x14ac:dyDescent="0.25">
      <c r="A70" s="1"/>
      <c r="B70" s="6">
        <f t="shared" ref="B70:I70" si="22">SUM(B68:B69)</f>
        <v>870</v>
      </c>
      <c r="C70" s="6">
        <f t="shared" si="22"/>
        <v>48</v>
      </c>
      <c r="D70" s="6">
        <f t="shared" si="22"/>
        <v>3</v>
      </c>
      <c r="E70" s="6">
        <f t="shared" si="22"/>
        <v>25</v>
      </c>
      <c r="F70" s="6">
        <f t="shared" si="22"/>
        <v>118</v>
      </c>
      <c r="G70" s="6">
        <f t="shared" si="22"/>
        <v>0</v>
      </c>
      <c r="H70" s="6">
        <f t="shared" si="22"/>
        <v>665</v>
      </c>
      <c r="I70" s="6">
        <f t="shared" si="22"/>
        <v>11</v>
      </c>
      <c r="J70" s="7" t="s">
        <v>13</v>
      </c>
      <c r="K70" s="9"/>
      <c r="L70" s="1"/>
    </row>
    <row r="71" spans="1:12" ht="13.5" thickBot="1" x14ac:dyDescent="0.25">
      <c r="A71" s="1"/>
      <c r="B71" s="6">
        <f t="shared" ref="B71:B78" si="23">SUM(C71:I71)</f>
        <v>27</v>
      </c>
      <c r="C71" s="6">
        <v>0</v>
      </c>
      <c r="D71" s="6">
        <v>0</v>
      </c>
      <c r="E71" s="6">
        <v>1</v>
      </c>
      <c r="F71" s="6">
        <v>2</v>
      </c>
      <c r="G71" s="6">
        <v>0</v>
      </c>
      <c r="H71" s="6">
        <v>24</v>
      </c>
      <c r="I71" s="6">
        <v>0</v>
      </c>
      <c r="J71" s="7" t="s">
        <v>10</v>
      </c>
      <c r="K71" s="124"/>
      <c r="L71" s="1"/>
    </row>
    <row r="72" spans="1:12" ht="13.5" thickBot="1" x14ac:dyDescent="0.25">
      <c r="A72" s="1"/>
      <c r="B72" s="6">
        <f t="shared" si="23"/>
        <v>50</v>
      </c>
      <c r="C72" s="6">
        <v>0</v>
      </c>
      <c r="D72" s="6">
        <v>0</v>
      </c>
      <c r="E72" s="6">
        <v>0</v>
      </c>
      <c r="F72" s="6">
        <v>1</v>
      </c>
      <c r="G72" s="6">
        <v>0</v>
      </c>
      <c r="H72" s="6">
        <v>49</v>
      </c>
      <c r="I72" s="6">
        <v>0</v>
      </c>
      <c r="J72" s="7" t="s">
        <v>11</v>
      </c>
      <c r="K72" s="124" t="s">
        <v>26</v>
      </c>
      <c r="L72" s="1"/>
    </row>
    <row r="73" spans="1:12" ht="13.5" thickBot="1" x14ac:dyDescent="0.25">
      <c r="A73" s="1"/>
      <c r="B73" s="6">
        <f t="shared" ref="B73:I73" si="24">SUM(B71:B72)</f>
        <v>77</v>
      </c>
      <c r="C73" s="6">
        <f t="shared" si="24"/>
        <v>0</v>
      </c>
      <c r="D73" s="6">
        <f t="shared" si="24"/>
        <v>0</v>
      </c>
      <c r="E73" s="6">
        <f t="shared" si="24"/>
        <v>1</v>
      </c>
      <c r="F73" s="6">
        <f t="shared" si="24"/>
        <v>3</v>
      </c>
      <c r="G73" s="6">
        <f t="shared" si="24"/>
        <v>0</v>
      </c>
      <c r="H73" s="6">
        <f t="shared" si="24"/>
        <v>73</v>
      </c>
      <c r="I73" s="6">
        <f t="shared" si="24"/>
        <v>0</v>
      </c>
      <c r="J73" s="7" t="s">
        <v>13</v>
      </c>
      <c r="K73" s="9"/>
      <c r="L73" s="1"/>
    </row>
    <row r="74" spans="1:12" ht="13.5" thickBot="1" x14ac:dyDescent="0.25">
      <c r="A74" s="1"/>
      <c r="B74" s="6">
        <f t="shared" si="23"/>
        <v>33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33</v>
      </c>
      <c r="I74" s="6">
        <v>0</v>
      </c>
      <c r="J74" s="7" t="s">
        <v>10</v>
      </c>
      <c r="K74" s="124"/>
      <c r="L74" s="1"/>
    </row>
    <row r="75" spans="1:12" ht="13.5" thickBot="1" x14ac:dyDescent="0.25">
      <c r="A75" s="1"/>
      <c r="B75" s="6">
        <f t="shared" si="23"/>
        <v>3</v>
      </c>
      <c r="C75" s="6">
        <v>0</v>
      </c>
      <c r="D75" s="6">
        <v>0</v>
      </c>
      <c r="E75" s="6">
        <v>0</v>
      </c>
      <c r="F75" s="6">
        <v>2</v>
      </c>
      <c r="G75" s="6">
        <v>0</v>
      </c>
      <c r="H75" s="6">
        <v>1</v>
      </c>
      <c r="I75" s="6">
        <v>0</v>
      </c>
      <c r="J75" s="7" t="s">
        <v>11</v>
      </c>
      <c r="K75" s="124" t="s">
        <v>27</v>
      </c>
      <c r="L75" s="1"/>
    </row>
    <row r="76" spans="1:12" ht="13.5" thickBot="1" x14ac:dyDescent="0.25">
      <c r="A76" s="1"/>
      <c r="B76" s="6">
        <f t="shared" ref="B76:I76" si="25">SUM(B74:B75)</f>
        <v>36</v>
      </c>
      <c r="C76" s="6">
        <f t="shared" si="25"/>
        <v>0</v>
      </c>
      <c r="D76" s="6">
        <f t="shared" si="25"/>
        <v>0</v>
      </c>
      <c r="E76" s="6">
        <f t="shared" si="25"/>
        <v>0</v>
      </c>
      <c r="F76" s="6">
        <f t="shared" si="25"/>
        <v>2</v>
      </c>
      <c r="G76" s="6">
        <f t="shared" si="25"/>
        <v>0</v>
      </c>
      <c r="H76" s="6">
        <f t="shared" si="25"/>
        <v>34</v>
      </c>
      <c r="I76" s="6">
        <f t="shared" si="25"/>
        <v>0</v>
      </c>
      <c r="J76" s="7" t="s">
        <v>13</v>
      </c>
      <c r="K76" s="9"/>
      <c r="L76" s="1"/>
    </row>
    <row r="77" spans="1:12" ht="13.5" thickBot="1" x14ac:dyDescent="0.25">
      <c r="A77" s="1"/>
      <c r="B77" s="6">
        <f t="shared" si="23"/>
        <v>4368</v>
      </c>
      <c r="C77" s="6">
        <v>729</v>
      </c>
      <c r="D77" s="6">
        <v>18</v>
      </c>
      <c r="E77" s="6">
        <v>286</v>
      </c>
      <c r="F77" s="6">
        <v>1676</v>
      </c>
      <c r="G77" s="6">
        <v>0</v>
      </c>
      <c r="H77" s="6">
        <v>1545</v>
      </c>
      <c r="I77" s="6">
        <v>114</v>
      </c>
      <c r="J77" s="7" t="s">
        <v>10</v>
      </c>
      <c r="K77" s="124"/>
      <c r="L77" s="1"/>
    </row>
    <row r="78" spans="1:12" ht="13.5" thickBot="1" x14ac:dyDescent="0.25">
      <c r="A78" s="1"/>
      <c r="B78" s="6">
        <f t="shared" si="23"/>
        <v>791</v>
      </c>
      <c r="C78" s="6">
        <v>38</v>
      </c>
      <c r="D78" s="6">
        <v>4</v>
      </c>
      <c r="E78" s="6">
        <v>53</v>
      </c>
      <c r="F78" s="6">
        <v>546</v>
      </c>
      <c r="G78" s="6">
        <v>0</v>
      </c>
      <c r="H78" s="6">
        <v>127</v>
      </c>
      <c r="I78" s="6">
        <v>23</v>
      </c>
      <c r="J78" s="7" t="s">
        <v>11</v>
      </c>
      <c r="K78" s="124" t="s">
        <v>33</v>
      </c>
      <c r="L78" s="1"/>
    </row>
    <row r="79" spans="1:12" ht="13.5" thickBot="1" x14ac:dyDescent="0.25">
      <c r="A79" s="1"/>
      <c r="B79" s="6">
        <f t="shared" ref="B79:I79" si="26">SUM(B77:B78)</f>
        <v>5159</v>
      </c>
      <c r="C79" s="6">
        <f t="shared" si="26"/>
        <v>767</v>
      </c>
      <c r="D79" s="6">
        <f t="shared" si="26"/>
        <v>22</v>
      </c>
      <c r="E79" s="6">
        <f t="shared" si="26"/>
        <v>339</v>
      </c>
      <c r="F79" s="6">
        <f t="shared" si="26"/>
        <v>2222</v>
      </c>
      <c r="G79" s="6">
        <f t="shared" si="26"/>
        <v>0</v>
      </c>
      <c r="H79" s="6">
        <f t="shared" si="26"/>
        <v>1672</v>
      </c>
      <c r="I79" s="6">
        <f t="shared" si="26"/>
        <v>137</v>
      </c>
      <c r="J79" s="7" t="s">
        <v>13</v>
      </c>
      <c r="K79" s="9"/>
      <c r="L79" s="1"/>
    </row>
    <row r="80" spans="1:12" ht="13.5" thickBot="1" x14ac:dyDescent="0.25">
      <c r="A80" s="1"/>
      <c r="B80" s="6">
        <f t="shared" ref="B80:H82" si="27">B5+B8+B11+B14+B17+B20+B23+B26+B29+B32+B35+B38+B41+B44+B47+B50+B53+B56+B59+B62+B65+B68+B71+B74+B77</f>
        <v>22239</v>
      </c>
      <c r="C80" s="6">
        <f t="shared" si="27"/>
        <v>971</v>
      </c>
      <c r="D80" s="6">
        <f t="shared" si="27"/>
        <v>766</v>
      </c>
      <c r="E80" s="6">
        <f t="shared" si="27"/>
        <v>1267</v>
      </c>
      <c r="F80" s="6">
        <f t="shared" si="27"/>
        <v>6492</v>
      </c>
      <c r="G80" s="6">
        <f t="shared" si="27"/>
        <v>8</v>
      </c>
      <c r="H80" s="6">
        <f t="shared" si="27"/>
        <v>11455</v>
      </c>
      <c r="I80" s="6">
        <f>I5+I8+I11+I14+I17+I20+I23+I26+I29+I32+I35+I38+I41+I44+I47+I50+I53+I56+I59+I62+I65+I68+I71+I74+I77</f>
        <v>1280</v>
      </c>
      <c r="J80" s="7" t="s">
        <v>10</v>
      </c>
      <c r="K80" s="3"/>
      <c r="L80" s="1"/>
    </row>
    <row r="81" spans="1:12" ht="13.5" thickBot="1" x14ac:dyDescent="0.25">
      <c r="A81" s="1"/>
      <c r="B81" s="6">
        <f t="shared" si="27"/>
        <v>5348</v>
      </c>
      <c r="C81" s="6">
        <f t="shared" si="27"/>
        <v>140</v>
      </c>
      <c r="D81" s="6">
        <f t="shared" si="27"/>
        <v>183</v>
      </c>
      <c r="E81" s="6">
        <f t="shared" si="27"/>
        <v>393</v>
      </c>
      <c r="F81" s="6">
        <f t="shared" si="27"/>
        <v>1959</v>
      </c>
      <c r="G81" s="6">
        <f t="shared" si="27"/>
        <v>0</v>
      </c>
      <c r="H81" s="6">
        <f t="shared" si="27"/>
        <v>1795</v>
      </c>
      <c r="I81" s="6">
        <f>I6+I9+I12+I15+I18+I21+I24+I27+I30+I33+I36+I39+I42+I45+I48+I51+I54+I57+I60+I63+I66+I69+I72+I75+I78</f>
        <v>878</v>
      </c>
      <c r="J81" s="7" t="s">
        <v>11</v>
      </c>
      <c r="K81" s="11" t="s">
        <v>211</v>
      </c>
      <c r="L81" s="1"/>
    </row>
    <row r="82" spans="1:12" ht="13.5" thickBot="1" x14ac:dyDescent="0.25">
      <c r="A82" s="1"/>
      <c r="B82" s="6">
        <f t="shared" si="27"/>
        <v>27587</v>
      </c>
      <c r="C82" s="6">
        <f t="shared" si="27"/>
        <v>1111</v>
      </c>
      <c r="D82" s="6">
        <f t="shared" si="27"/>
        <v>949</v>
      </c>
      <c r="E82" s="6">
        <f t="shared" si="27"/>
        <v>1660</v>
      </c>
      <c r="F82" s="6">
        <f t="shared" si="27"/>
        <v>8451</v>
      </c>
      <c r="G82" s="6">
        <f t="shared" si="27"/>
        <v>8</v>
      </c>
      <c r="H82" s="6">
        <f t="shared" si="27"/>
        <v>13250</v>
      </c>
      <c r="I82" s="6">
        <f>I7+I10+I13+I16+I19+I22+I25+I28+I31+I34+I37+I40+I43+I46+I49+I52+I55+I58+I61+I64+I67+I70+I73+I76+I79</f>
        <v>2158</v>
      </c>
      <c r="J82" s="7" t="s">
        <v>13</v>
      </c>
      <c r="K82" s="5"/>
      <c r="L82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79"/>
  <sheetViews>
    <sheetView showGridLines="0" topLeftCell="A61" zoomScale="90" zoomScaleNormal="90" workbookViewId="0">
      <selection activeCell="K102" sqref="K10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699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700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4</v>
      </c>
      <c r="C5" s="6">
        <v>0</v>
      </c>
      <c r="D5" s="6">
        <v>0</v>
      </c>
      <c r="E5" s="6">
        <v>0</v>
      </c>
      <c r="F5" s="6">
        <v>2</v>
      </c>
      <c r="G5" s="6">
        <v>0</v>
      </c>
      <c r="H5" s="6">
        <v>2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69" si="0">SUM(C6:I6)</f>
        <v>2</v>
      </c>
      <c r="C6" s="6">
        <v>0</v>
      </c>
      <c r="D6" s="6">
        <v>0</v>
      </c>
      <c r="E6" s="6">
        <v>0</v>
      </c>
      <c r="F6" s="6">
        <v>1</v>
      </c>
      <c r="G6" s="6">
        <v>0</v>
      </c>
      <c r="H6" s="6">
        <v>1</v>
      </c>
      <c r="I6" s="6">
        <v>0</v>
      </c>
      <c r="J6" s="7" t="s">
        <v>11</v>
      </c>
      <c r="K6" s="124" t="s">
        <v>12</v>
      </c>
      <c r="L6" s="1"/>
    </row>
    <row r="7" spans="1:12" ht="13.5" thickBot="1" x14ac:dyDescent="0.25">
      <c r="A7" s="1"/>
      <c r="B7" s="6">
        <f t="shared" ref="B7:H7" si="1">SUM(B5:B6)</f>
        <v>6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3</v>
      </c>
      <c r="G7" s="6">
        <f t="shared" si="1"/>
        <v>0</v>
      </c>
      <c r="H7" s="6">
        <f t="shared" si="1"/>
        <v>3</v>
      </c>
      <c r="I7" s="6">
        <f>SUM(I5:I6)</f>
        <v>0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9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7</v>
      </c>
      <c r="I8" s="6">
        <v>2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5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5</v>
      </c>
      <c r="I9" s="6">
        <v>0</v>
      </c>
      <c r="J9" s="7" t="s">
        <v>11</v>
      </c>
      <c r="K9" s="124" t="s">
        <v>14</v>
      </c>
      <c r="L9" s="1"/>
    </row>
    <row r="10" spans="1:12" ht="13.5" thickBot="1" x14ac:dyDescent="0.25">
      <c r="A10" s="1"/>
      <c r="B10" s="6">
        <f t="shared" ref="B10:I10" si="2">SUM(B8:B9)</f>
        <v>14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12</v>
      </c>
      <c r="I10" s="6">
        <f t="shared" si="2"/>
        <v>2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11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11</v>
      </c>
      <c r="I11" s="6">
        <v>0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10</v>
      </c>
      <c r="C12" s="6">
        <v>0</v>
      </c>
      <c r="D12" s="6">
        <v>0</v>
      </c>
      <c r="E12" s="6">
        <v>0</v>
      </c>
      <c r="F12" s="6">
        <v>1</v>
      </c>
      <c r="G12" s="6">
        <v>0</v>
      </c>
      <c r="H12" s="6">
        <v>6</v>
      </c>
      <c r="I12" s="6">
        <v>3</v>
      </c>
      <c r="J12" s="7" t="s">
        <v>11</v>
      </c>
      <c r="K12" s="124" t="s">
        <v>15</v>
      </c>
      <c r="L12" s="1"/>
    </row>
    <row r="13" spans="1:12" ht="13.5" thickBot="1" x14ac:dyDescent="0.25">
      <c r="A13" s="1"/>
      <c r="B13" s="6">
        <f t="shared" ref="B13:I13" si="3">SUM(B11:B12)</f>
        <v>21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1</v>
      </c>
      <c r="G13" s="6">
        <f t="shared" si="3"/>
        <v>0</v>
      </c>
      <c r="H13" s="6">
        <f t="shared" si="3"/>
        <v>17</v>
      </c>
      <c r="I13" s="6">
        <f t="shared" si="3"/>
        <v>3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30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27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18</v>
      </c>
      <c r="C15" s="6">
        <v>0</v>
      </c>
      <c r="D15" s="6">
        <v>0</v>
      </c>
      <c r="E15" s="6">
        <v>0</v>
      </c>
      <c r="F15" s="6">
        <v>2</v>
      </c>
      <c r="G15" s="6">
        <v>0</v>
      </c>
      <c r="H15" s="6">
        <v>16</v>
      </c>
      <c r="I15" s="6">
        <v>0</v>
      </c>
      <c r="J15" s="7" t="s">
        <v>11</v>
      </c>
      <c r="K15" s="124" t="s">
        <v>16</v>
      </c>
      <c r="L15" s="1"/>
    </row>
    <row r="16" spans="1:12" ht="13.5" thickBot="1" x14ac:dyDescent="0.25">
      <c r="A16" s="1"/>
      <c r="B16" s="6">
        <f t="shared" ref="B16:I16" si="4">SUM(B14:B15)</f>
        <v>48</v>
      </c>
      <c r="C16" s="6">
        <f t="shared" si="4"/>
        <v>0</v>
      </c>
      <c r="D16" s="6">
        <f t="shared" si="4"/>
        <v>0</v>
      </c>
      <c r="E16" s="6">
        <f t="shared" si="4"/>
        <v>1</v>
      </c>
      <c r="F16" s="6">
        <f t="shared" si="4"/>
        <v>3</v>
      </c>
      <c r="G16" s="6">
        <f t="shared" si="4"/>
        <v>1</v>
      </c>
      <c r="H16" s="6">
        <f t="shared" si="4"/>
        <v>43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119</v>
      </c>
      <c r="C17" s="6">
        <v>0</v>
      </c>
      <c r="D17" s="6">
        <v>0</v>
      </c>
      <c r="E17" s="6">
        <v>2</v>
      </c>
      <c r="F17" s="6">
        <v>6</v>
      </c>
      <c r="G17" s="6">
        <v>0</v>
      </c>
      <c r="H17" s="6">
        <v>110</v>
      </c>
      <c r="I17" s="6">
        <v>1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6</v>
      </c>
      <c r="C18" s="6">
        <v>0</v>
      </c>
      <c r="D18" s="6">
        <v>0</v>
      </c>
      <c r="E18" s="6">
        <v>0</v>
      </c>
      <c r="F18" s="6">
        <v>1</v>
      </c>
      <c r="G18" s="6">
        <v>0</v>
      </c>
      <c r="H18" s="6">
        <v>5</v>
      </c>
      <c r="I18" s="6">
        <v>0</v>
      </c>
      <c r="J18" s="7" t="s">
        <v>11</v>
      </c>
      <c r="K18" s="124" t="s">
        <v>31</v>
      </c>
      <c r="L18" s="1"/>
    </row>
    <row r="19" spans="1:12" ht="13.5" thickBot="1" x14ac:dyDescent="0.25">
      <c r="A19" s="1"/>
      <c r="B19" s="6">
        <f t="shared" ref="B19:I19" si="5">SUM(B17:B18)</f>
        <v>125</v>
      </c>
      <c r="C19" s="6">
        <f t="shared" si="5"/>
        <v>0</v>
      </c>
      <c r="D19" s="6">
        <f t="shared" si="5"/>
        <v>0</v>
      </c>
      <c r="E19" s="6">
        <f t="shared" si="5"/>
        <v>2</v>
      </c>
      <c r="F19" s="6">
        <f t="shared" si="5"/>
        <v>7</v>
      </c>
      <c r="G19" s="6">
        <f t="shared" si="5"/>
        <v>0</v>
      </c>
      <c r="H19" s="6">
        <f t="shared" si="5"/>
        <v>115</v>
      </c>
      <c r="I19" s="6">
        <f t="shared" si="5"/>
        <v>1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3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3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4</v>
      </c>
      <c r="C21" s="6">
        <v>0</v>
      </c>
      <c r="D21" s="6">
        <v>0</v>
      </c>
      <c r="E21" s="6">
        <v>0</v>
      </c>
      <c r="F21" s="6">
        <v>1</v>
      </c>
      <c r="G21" s="6">
        <v>0</v>
      </c>
      <c r="H21" s="6">
        <v>3</v>
      </c>
      <c r="I21" s="6">
        <v>0</v>
      </c>
      <c r="J21" s="7" t="s">
        <v>11</v>
      </c>
      <c r="K21" s="124" t="s">
        <v>17</v>
      </c>
      <c r="L21" s="1"/>
    </row>
    <row r="22" spans="1:12" ht="13.5" thickBot="1" x14ac:dyDescent="0.25">
      <c r="A22" s="1"/>
      <c r="B22" s="6">
        <f t="shared" ref="B22:I22" si="6">SUM(B20:B21)</f>
        <v>7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1</v>
      </c>
      <c r="G22" s="6">
        <f t="shared" si="6"/>
        <v>0</v>
      </c>
      <c r="H22" s="6">
        <f t="shared" si="6"/>
        <v>6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151</v>
      </c>
      <c r="C23" s="6">
        <v>0</v>
      </c>
      <c r="D23" s="6">
        <v>0</v>
      </c>
      <c r="E23" s="6">
        <v>0</v>
      </c>
      <c r="F23" s="6">
        <v>2</v>
      </c>
      <c r="G23" s="6">
        <v>0</v>
      </c>
      <c r="H23" s="6">
        <v>149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167</v>
      </c>
      <c r="C24" s="6">
        <v>0</v>
      </c>
      <c r="D24" s="6">
        <v>0</v>
      </c>
      <c r="E24" s="6">
        <v>0</v>
      </c>
      <c r="F24" s="6">
        <v>10</v>
      </c>
      <c r="G24" s="6">
        <v>0</v>
      </c>
      <c r="H24" s="6">
        <v>157</v>
      </c>
      <c r="I24" s="6">
        <v>0</v>
      </c>
      <c r="J24" s="7" t="s">
        <v>11</v>
      </c>
      <c r="K24" s="124" t="s">
        <v>19</v>
      </c>
      <c r="L24" s="1"/>
    </row>
    <row r="25" spans="1:12" ht="13.5" thickBot="1" x14ac:dyDescent="0.25">
      <c r="A25" s="1"/>
      <c r="B25" s="6">
        <f t="shared" ref="B25:I25" si="7">SUM(B23:B24)</f>
        <v>318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12</v>
      </c>
      <c r="G25" s="6">
        <f t="shared" si="7"/>
        <v>0</v>
      </c>
      <c r="H25" s="6">
        <f t="shared" si="7"/>
        <v>306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54</v>
      </c>
      <c r="C26" s="6">
        <v>3</v>
      </c>
      <c r="D26" s="6">
        <v>3</v>
      </c>
      <c r="E26" s="6">
        <v>1</v>
      </c>
      <c r="F26" s="6">
        <v>11</v>
      </c>
      <c r="G26" s="6">
        <v>0</v>
      </c>
      <c r="H26" s="6">
        <v>36</v>
      </c>
      <c r="I26" s="6">
        <v>0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24</v>
      </c>
      <c r="C27" s="6">
        <v>0</v>
      </c>
      <c r="D27" s="6">
        <v>1</v>
      </c>
      <c r="E27" s="6">
        <v>1</v>
      </c>
      <c r="F27" s="6">
        <v>6</v>
      </c>
      <c r="G27" s="6">
        <v>0</v>
      </c>
      <c r="H27" s="6">
        <v>15</v>
      </c>
      <c r="I27" s="6">
        <v>1</v>
      </c>
      <c r="J27" s="7" t="s">
        <v>11</v>
      </c>
      <c r="K27" s="124" t="s">
        <v>35</v>
      </c>
      <c r="L27" s="1"/>
    </row>
    <row r="28" spans="1:12" ht="13.5" thickBot="1" x14ac:dyDescent="0.25">
      <c r="A28" s="1"/>
      <c r="B28" s="6">
        <f t="shared" ref="B28:I28" si="8">SUM(B26:B27)</f>
        <v>78</v>
      </c>
      <c r="C28" s="6">
        <f t="shared" si="8"/>
        <v>3</v>
      </c>
      <c r="D28" s="6">
        <f t="shared" si="8"/>
        <v>4</v>
      </c>
      <c r="E28" s="6">
        <f t="shared" si="8"/>
        <v>2</v>
      </c>
      <c r="F28" s="6">
        <f t="shared" si="8"/>
        <v>17</v>
      </c>
      <c r="G28" s="6">
        <f t="shared" si="8"/>
        <v>0</v>
      </c>
      <c r="H28" s="6">
        <f t="shared" si="8"/>
        <v>51</v>
      </c>
      <c r="I28" s="6">
        <f t="shared" si="8"/>
        <v>1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</v>
      </c>
      <c r="C29" s="6">
        <v>0</v>
      </c>
      <c r="D29" s="6">
        <v>0</v>
      </c>
      <c r="E29" s="6">
        <v>1</v>
      </c>
      <c r="F29" s="6">
        <v>1</v>
      </c>
      <c r="G29" s="6">
        <v>0</v>
      </c>
      <c r="H29" s="6">
        <v>1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13</v>
      </c>
      <c r="C30" s="6">
        <v>0</v>
      </c>
      <c r="D30" s="6">
        <v>0</v>
      </c>
      <c r="E30" s="6">
        <v>0</v>
      </c>
      <c r="F30" s="6">
        <v>2</v>
      </c>
      <c r="G30" s="6">
        <v>0</v>
      </c>
      <c r="H30" s="6">
        <v>11</v>
      </c>
      <c r="I30" s="6">
        <v>0</v>
      </c>
      <c r="J30" s="7" t="s">
        <v>11</v>
      </c>
      <c r="K30" s="124" t="s">
        <v>20</v>
      </c>
      <c r="L30" s="1"/>
    </row>
    <row r="31" spans="1:12" ht="13.5" thickBot="1" x14ac:dyDescent="0.25">
      <c r="A31" s="1"/>
      <c r="B31" s="6">
        <f t="shared" ref="B31:I31" si="9">SUM(B29:B30)</f>
        <v>16</v>
      </c>
      <c r="C31" s="6">
        <f t="shared" si="9"/>
        <v>0</v>
      </c>
      <c r="D31" s="6">
        <f t="shared" si="9"/>
        <v>0</v>
      </c>
      <c r="E31" s="6">
        <f t="shared" si="9"/>
        <v>1</v>
      </c>
      <c r="F31" s="6">
        <f t="shared" si="9"/>
        <v>3</v>
      </c>
      <c r="G31" s="6">
        <f t="shared" si="9"/>
        <v>0</v>
      </c>
      <c r="H31" s="6">
        <f t="shared" si="9"/>
        <v>12</v>
      </c>
      <c r="I31" s="6">
        <f t="shared" si="9"/>
        <v>0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4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10</v>
      </c>
      <c r="C33" s="6">
        <v>0</v>
      </c>
      <c r="D33" s="6">
        <v>0</v>
      </c>
      <c r="E33" s="6">
        <v>0</v>
      </c>
      <c r="F33" s="6">
        <v>2</v>
      </c>
      <c r="G33" s="6">
        <v>0</v>
      </c>
      <c r="H33" s="6">
        <v>8</v>
      </c>
      <c r="I33" s="6">
        <v>0</v>
      </c>
      <c r="J33" s="7" t="s">
        <v>11</v>
      </c>
      <c r="K33" s="124" t="s">
        <v>21</v>
      </c>
      <c r="L33" s="1"/>
    </row>
    <row r="34" spans="1:12" ht="13.5" thickBot="1" x14ac:dyDescent="0.25">
      <c r="A34" s="1"/>
      <c r="B34" s="6">
        <f t="shared" ref="B34:I34" si="10">SUM(B32:B33)</f>
        <v>14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2</v>
      </c>
      <c r="G34" s="6">
        <f t="shared" si="10"/>
        <v>0</v>
      </c>
      <c r="H34" s="6">
        <f t="shared" si="10"/>
        <v>12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46</v>
      </c>
      <c r="C35" s="6">
        <v>0</v>
      </c>
      <c r="D35" s="6">
        <v>0</v>
      </c>
      <c r="E35" s="6">
        <v>1</v>
      </c>
      <c r="F35" s="6">
        <v>5</v>
      </c>
      <c r="G35" s="6">
        <v>0</v>
      </c>
      <c r="H35" s="6">
        <v>39</v>
      </c>
      <c r="I35" s="6">
        <v>1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112</v>
      </c>
      <c r="C36" s="6">
        <v>0</v>
      </c>
      <c r="D36" s="6">
        <v>0</v>
      </c>
      <c r="E36" s="6">
        <v>0</v>
      </c>
      <c r="F36" s="6">
        <v>22</v>
      </c>
      <c r="G36" s="6">
        <v>0</v>
      </c>
      <c r="H36" s="6">
        <v>87</v>
      </c>
      <c r="I36" s="6">
        <v>3</v>
      </c>
      <c r="J36" s="7" t="s">
        <v>11</v>
      </c>
      <c r="K36" s="124" t="s">
        <v>22</v>
      </c>
      <c r="L36" s="1"/>
    </row>
    <row r="37" spans="1:12" ht="13.5" thickBot="1" x14ac:dyDescent="0.25">
      <c r="A37" s="1"/>
      <c r="B37" s="6">
        <f t="shared" ref="B37:I37" si="11">SUM(B35:B36)</f>
        <v>158</v>
      </c>
      <c r="C37" s="6">
        <f t="shared" si="11"/>
        <v>0</v>
      </c>
      <c r="D37" s="6">
        <f t="shared" si="11"/>
        <v>0</v>
      </c>
      <c r="E37" s="6">
        <f t="shared" si="11"/>
        <v>1</v>
      </c>
      <c r="F37" s="6">
        <f t="shared" si="11"/>
        <v>27</v>
      </c>
      <c r="G37" s="6">
        <f t="shared" si="11"/>
        <v>0</v>
      </c>
      <c r="H37" s="6">
        <f t="shared" si="11"/>
        <v>126</v>
      </c>
      <c r="I37" s="6">
        <f t="shared" si="11"/>
        <v>4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77</v>
      </c>
      <c r="C38" s="6">
        <v>0</v>
      </c>
      <c r="D38" s="6">
        <v>1</v>
      </c>
      <c r="E38" s="6">
        <v>0</v>
      </c>
      <c r="F38" s="6">
        <v>2</v>
      </c>
      <c r="G38" s="6">
        <v>0</v>
      </c>
      <c r="H38" s="6">
        <v>74</v>
      </c>
      <c r="I38" s="6">
        <v>0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17</v>
      </c>
      <c r="C39" s="6">
        <v>0</v>
      </c>
      <c r="D39" s="6">
        <v>0</v>
      </c>
      <c r="E39" s="6">
        <v>0</v>
      </c>
      <c r="F39" s="6">
        <v>6</v>
      </c>
      <c r="G39" s="6">
        <v>0</v>
      </c>
      <c r="H39" s="6">
        <v>11</v>
      </c>
      <c r="I39" s="6">
        <v>0</v>
      </c>
      <c r="J39" s="7" t="s">
        <v>11</v>
      </c>
      <c r="K39" s="124" t="s">
        <v>36</v>
      </c>
      <c r="L39" s="1"/>
    </row>
    <row r="40" spans="1:12" ht="13.5" thickBot="1" x14ac:dyDescent="0.25">
      <c r="A40" s="1"/>
      <c r="B40" s="6">
        <f t="shared" ref="B40:I40" si="12">SUM(B38:B39)</f>
        <v>94</v>
      </c>
      <c r="C40" s="6">
        <f t="shared" si="12"/>
        <v>0</v>
      </c>
      <c r="D40" s="6">
        <f t="shared" si="12"/>
        <v>1</v>
      </c>
      <c r="E40" s="6">
        <f t="shared" si="12"/>
        <v>0</v>
      </c>
      <c r="F40" s="6">
        <f t="shared" si="12"/>
        <v>8</v>
      </c>
      <c r="G40" s="6">
        <f t="shared" si="12"/>
        <v>0</v>
      </c>
      <c r="H40" s="6">
        <f t="shared" si="12"/>
        <v>85</v>
      </c>
      <c r="I40" s="6">
        <f t="shared" si="12"/>
        <v>0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133</v>
      </c>
      <c r="C41" s="6">
        <v>0</v>
      </c>
      <c r="D41" s="6">
        <v>0</v>
      </c>
      <c r="E41" s="6">
        <v>2</v>
      </c>
      <c r="F41" s="6">
        <v>7</v>
      </c>
      <c r="G41" s="6">
        <v>0</v>
      </c>
      <c r="H41" s="6">
        <v>122</v>
      </c>
      <c r="I41" s="6">
        <v>2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34</v>
      </c>
      <c r="C42" s="6">
        <v>2</v>
      </c>
      <c r="D42" s="6">
        <v>0</v>
      </c>
      <c r="E42" s="6">
        <v>0</v>
      </c>
      <c r="F42" s="6">
        <v>8</v>
      </c>
      <c r="G42" s="6">
        <v>0</v>
      </c>
      <c r="H42" s="6">
        <v>23</v>
      </c>
      <c r="I42" s="6">
        <v>1</v>
      </c>
      <c r="J42" s="7" t="s">
        <v>11</v>
      </c>
      <c r="K42" s="124" t="s">
        <v>32</v>
      </c>
      <c r="L42" s="1"/>
    </row>
    <row r="43" spans="1:12" ht="13.5" thickBot="1" x14ac:dyDescent="0.25">
      <c r="A43" s="1"/>
      <c r="B43" s="6">
        <f t="shared" ref="B43:I43" si="13">SUM(B41:B42)</f>
        <v>167</v>
      </c>
      <c r="C43" s="6">
        <f t="shared" si="13"/>
        <v>2</v>
      </c>
      <c r="D43" s="6">
        <f t="shared" si="13"/>
        <v>0</v>
      </c>
      <c r="E43" s="6">
        <f t="shared" si="13"/>
        <v>2</v>
      </c>
      <c r="F43" s="6">
        <f t="shared" si="13"/>
        <v>15</v>
      </c>
      <c r="G43" s="6">
        <f t="shared" si="13"/>
        <v>0</v>
      </c>
      <c r="H43" s="6">
        <f t="shared" si="13"/>
        <v>145</v>
      </c>
      <c r="I43" s="6">
        <f t="shared" si="13"/>
        <v>3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1224</v>
      </c>
      <c r="C44" s="6">
        <v>5</v>
      </c>
      <c r="D44" s="6">
        <v>2</v>
      </c>
      <c r="E44" s="6">
        <v>26</v>
      </c>
      <c r="F44" s="6">
        <v>87</v>
      </c>
      <c r="G44" s="6">
        <v>0</v>
      </c>
      <c r="H44" s="6">
        <v>1103</v>
      </c>
      <c r="I44" s="6">
        <v>1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288</v>
      </c>
      <c r="C45" s="6">
        <v>0</v>
      </c>
      <c r="D45" s="6">
        <v>0</v>
      </c>
      <c r="E45" s="6">
        <v>9</v>
      </c>
      <c r="F45" s="6">
        <v>69</v>
      </c>
      <c r="G45" s="6">
        <v>0</v>
      </c>
      <c r="H45" s="6">
        <v>209</v>
      </c>
      <c r="I45" s="6">
        <v>1</v>
      </c>
      <c r="J45" s="7" t="s">
        <v>11</v>
      </c>
      <c r="K45" s="124" t="s">
        <v>23</v>
      </c>
      <c r="L45" s="1"/>
    </row>
    <row r="46" spans="1:12" ht="13.5" thickBot="1" x14ac:dyDescent="0.25">
      <c r="A46" s="1"/>
      <c r="B46" s="6">
        <f t="shared" ref="B46:I46" si="14">SUM(B44:B45)</f>
        <v>1512</v>
      </c>
      <c r="C46" s="6">
        <f t="shared" si="14"/>
        <v>5</v>
      </c>
      <c r="D46" s="6">
        <f t="shared" si="14"/>
        <v>2</v>
      </c>
      <c r="E46" s="6">
        <f t="shared" si="14"/>
        <v>35</v>
      </c>
      <c r="F46" s="6">
        <f t="shared" si="14"/>
        <v>156</v>
      </c>
      <c r="G46" s="6">
        <f t="shared" si="14"/>
        <v>0</v>
      </c>
      <c r="H46" s="6">
        <f t="shared" si="14"/>
        <v>1312</v>
      </c>
      <c r="I46" s="6">
        <f t="shared" si="14"/>
        <v>2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si="0"/>
        <v>2140</v>
      </c>
      <c r="C47" s="6">
        <v>28</v>
      </c>
      <c r="D47" s="6">
        <v>5</v>
      </c>
      <c r="E47" s="6">
        <v>19</v>
      </c>
      <c r="F47" s="6">
        <v>259</v>
      </c>
      <c r="G47" s="6">
        <v>0</v>
      </c>
      <c r="H47" s="6">
        <v>1816</v>
      </c>
      <c r="I47" s="6">
        <v>13</v>
      </c>
      <c r="J47" s="7" t="s">
        <v>10</v>
      </c>
      <c r="K47" s="124"/>
      <c r="L47" s="1"/>
    </row>
    <row r="48" spans="1:12" ht="13.5" thickBot="1" x14ac:dyDescent="0.25">
      <c r="A48" s="1"/>
      <c r="B48" s="6">
        <f t="shared" si="0"/>
        <v>452</v>
      </c>
      <c r="C48" s="6">
        <v>5</v>
      </c>
      <c r="D48" s="6">
        <v>5</v>
      </c>
      <c r="E48" s="6">
        <v>12</v>
      </c>
      <c r="F48" s="6">
        <v>142</v>
      </c>
      <c r="G48" s="6">
        <v>0</v>
      </c>
      <c r="H48" s="6">
        <v>273</v>
      </c>
      <c r="I48" s="6">
        <v>15</v>
      </c>
      <c r="J48" s="7" t="s">
        <v>11</v>
      </c>
      <c r="K48" s="124" t="s">
        <v>41</v>
      </c>
      <c r="L48" s="1"/>
    </row>
    <row r="49" spans="1:12" ht="13.5" thickBot="1" x14ac:dyDescent="0.25">
      <c r="A49" s="1"/>
      <c r="B49" s="6">
        <f t="shared" ref="B49:I49" si="15">SUM(B47:B48)</f>
        <v>2592</v>
      </c>
      <c r="C49" s="6">
        <f t="shared" si="15"/>
        <v>33</v>
      </c>
      <c r="D49" s="6">
        <f t="shared" si="15"/>
        <v>10</v>
      </c>
      <c r="E49" s="6">
        <f t="shared" si="15"/>
        <v>31</v>
      </c>
      <c r="F49" s="6">
        <f t="shared" si="15"/>
        <v>401</v>
      </c>
      <c r="G49" s="6">
        <f t="shared" si="15"/>
        <v>0</v>
      </c>
      <c r="H49" s="6">
        <f t="shared" si="15"/>
        <v>2089</v>
      </c>
      <c r="I49" s="6">
        <f t="shared" si="15"/>
        <v>28</v>
      </c>
      <c r="J49" s="7" t="s">
        <v>13</v>
      </c>
      <c r="K49" s="9"/>
      <c r="L49" s="1"/>
    </row>
    <row r="50" spans="1:12" ht="13.5" thickBot="1" x14ac:dyDescent="0.25">
      <c r="A50" s="1"/>
      <c r="B50" s="6">
        <f t="shared" si="0"/>
        <v>34</v>
      </c>
      <c r="C50" s="6">
        <v>0</v>
      </c>
      <c r="D50" s="6">
        <v>0</v>
      </c>
      <c r="E50" s="6">
        <v>0</v>
      </c>
      <c r="F50" s="6">
        <v>1</v>
      </c>
      <c r="G50" s="6">
        <v>0</v>
      </c>
      <c r="H50" s="6">
        <v>33</v>
      </c>
      <c r="I50" s="6">
        <v>0</v>
      </c>
      <c r="J50" s="7" t="s">
        <v>10</v>
      </c>
      <c r="K50" s="124"/>
      <c r="L50" s="1"/>
    </row>
    <row r="51" spans="1:12" ht="13.5" thickBot="1" x14ac:dyDescent="0.25">
      <c r="A51" s="1"/>
      <c r="B51" s="6">
        <f t="shared" si="0"/>
        <v>13</v>
      </c>
      <c r="C51" s="6">
        <v>0</v>
      </c>
      <c r="D51" s="6">
        <v>0</v>
      </c>
      <c r="E51" s="6">
        <v>0</v>
      </c>
      <c r="F51" s="6">
        <v>7</v>
      </c>
      <c r="G51" s="6">
        <v>0</v>
      </c>
      <c r="H51" s="6">
        <v>6</v>
      </c>
      <c r="I51" s="6">
        <v>0</v>
      </c>
      <c r="J51" s="7" t="s">
        <v>11</v>
      </c>
      <c r="K51" s="124" t="s">
        <v>24</v>
      </c>
      <c r="L51" s="1"/>
    </row>
    <row r="52" spans="1:12" ht="13.5" thickBot="1" x14ac:dyDescent="0.25">
      <c r="A52" s="1"/>
      <c r="B52" s="6">
        <f t="shared" ref="B52:I52" si="16">SUM(B50:B51)</f>
        <v>47</v>
      </c>
      <c r="C52" s="6">
        <f t="shared" si="16"/>
        <v>0</v>
      </c>
      <c r="D52" s="6">
        <f t="shared" si="16"/>
        <v>0</v>
      </c>
      <c r="E52" s="6">
        <f t="shared" si="16"/>
        <v>0</v>
      </c>
      <c r="F52" s="6">
        <f t="shared" si="16"/>
        <v>8</v>
      </c>
      <c r="G52" s="6">
        <f t="shared" si="16"/>
        <v>0</v>
      </c>
      <c r="H52" s="6">
        <f t="shared" si="16"/>
        <v>39</v>
      </c>
      <c r="I52" s="6">
        <f t="shared" si="16"/>
        <v>0</v>
      </c>
      <c r="J52" s="7" t="s">
        <v>13</v>
      </c>
      <c r="K52" s="9"/>
      <c r="L52" s="1"/>
    </row>
    <row r="53" spans="1:12" ht="13.5" thickBot="1" x14ac:dyDescent="0.25">
      <c r="A53" s="1"/>
      <c r="B53" s="6">
        <f t="shared" si="0"/>
        <v>4063</v>
      </c>
      <c r="C53" s="6">
        <v>110</v>
      </c>
      <c r="D53" s="6">
        <v>1</v>
      </c>
      <c r="E53" s="6">
        <v>119</v>
      </c>
      <c r="F53" s="6">
        <v>650</v>
      </c>
      <c r="G53" s="6">
        <v>0</v>
      </c>
      <c r="H53" s="6">
        <v>2117</v>
      </c>
      <c r="I53" s="6">
        <v>1066</v>
      </c>
      <c r="J53" s="7" t="s">
        <v>10</v>
      </c>
      <c r="K53" s="124"/>
      <c r="L53" s="1"/>
    </row>
    <row r="54" spans="1:12" ht="13.5" thickBot="1" x14ac:dyDescent="0.25">
      <c r="A54" s="1"/>
      <c r="B54" s="6">
        <f t="shared" si="0"/>
        <v>738</v>
      </c>
      <c r="C54" s="6">
        <v>8</v>
      </c>
      <c r="D54" s="6">
        <v>2</v>
      </c>
      <c r="E54" s="6">
        <v>64</v>
      </c>
      <c r="F54" s="6">
        <v>221</v>
      </c>
      <c r="G54" s="6">
        <v>0</v>
      </c>
      <c r="H54" s="6">
        <v>269</v>
      </c>
      <c r="I54" s="6">
        <v>174</v>
      </c>
      <c r="J54" s="7" t="s">
        <v>11</v>
      </c>
      <c r="K54" s="124" t="s">
        <v>37</v>
      </c>
      <c r="L54" s="1"/>
    </row>
    <row r="55" spans="1:12" ht="13.5" thickBot="1" x14ac:dyDescent="0.25">
      <c r="A55" s="1"/>
      <c r="B55" s="6">
        <f t="shared" ref="B55:I55" si="17">SUM(B53:B54)</f>
        <v>4801</v>
      </c>
      <c r="C55" s="6">
        <f t="shared" si="17"/>
        <v>118</v>
      </c>
      <c r="D55" s="6">
        <f t="shared" si="17"/>
        <v>3</v>
      </c>
      <c r="E55" s="6">
        <f t="shared" si="17"/>
        <v>183</v>
      </c>
      <c r="F55" s="6">
        <f t="shared" si="17"/>
        <v>871</v>
      </c>
      <c r="G55" s="6">
        <f t="shared" si="17"/>
        <v>0</v>
      </c>
      <c r="H55" s="6">
        <f t="shared" si="17"/>
        <v>2386</v>
      </c>
      <c r="I55" s="6">
        <f t="shared" si="17"/>
        <v>1240</v>
      </c>
      <c r="J55" s="7" t="s">
        <v>13</v>
      </c>
      <c r="K55" s="9"/>
      <c r="L55" s="1"/>
    </row>
    <row r="56" spans="1:12" ht="13.5" thickBot="1" x14ac:dyDescent="0.25">
      <c r="A56" s="1"/>
      <c r="B56" s="6">
        <f t="shared" si="0"/>
        <v>1551</v>
      </c>
      <c r="C56" s="6">
        <v>4</v>
      </c>
      <c r="D56" s="6">
        <v>29</v>
      </c>
      <c r="E56" s="6">
        <v>8</v>
      </c>
      <c r="F56" s="6">
        <v>62</v>
      </c>
      <c r="G56" s="6">
        <v>0</v>
      </c>
      <c r="H56" s="6">
        <v>1046</v>
      </c>
      <c r="I56" s="6">
        <v>402</v>
      </c>
      <c r="J56" s="7" t="s">
        <v>10</v>
      </c>
      <c r="K56" s="124"/>
      <c r="L56" s="1"/>
    </row>
    <row r="57" spans="1:12" ht="13.5" thickBot="1" x14ac:dyDescent="0.25">
      <c r="A57" s="1"/>
      <c r="B57" s="6">
        <f t="shared" si="0"/>
        <v>167</v>
      </c>
      <c r="C57" s="6">
        <v>5</v>
      </c>
      <c r="D57" s="6">
        <v>16</v>
      </c>
      <c r="E57" s="6">
        <v>3</v>
      </c>
      <c r="F57" s="6">
        <v>26</v>
      </c>
      <c r="G57" s="6">
        <v>0</v>
      </c>
      <c r="H57" s="6">
        <v>86</v>
      </c>
      <c r="I57" s="6">
        <v>31</v>
      </c>
      <c r="J57" s="7" t="s">
        <v>11</v>
      </c>
      <c r="K57" s="124" t="s">
        <v>42</v>
      </c>
      <c r="L57" s="1"/>
    </row>
    <row r="58" spans="1:12" ht="13.5" thickBot="1" x14ac:dyDescent="0.25">
      <c r="A58" s="1"/>
      <c r="B58" s="6">
        <f t="shared" ref="B58:I58" si="18">SUM(B56:B57)</f>
        <v>1718</v>
      </c>
      <c r="C58" s="6">
        <f t="shared" si="18"/>
        <v>9</v>
      </c>
      <c r="D58" s="6">
        <f t="shared" si="18"/>
        <v>45</v>
      </c>
      <c r="E58" s="6">
        <f t="shared" si="18"/>
        <v>11</v>
      </c>
      <c r="F58" s="6">
        <f t="shared" si="18"/>
        <v>88</v>
      </c>
      <c r="G58" s="6">
        <f t="shared" si="18"/>
        <v>0</v>
      </c>
      <c r="H58" s="6">
        <f t="shared" si="18"/>
        <v>1132</v>
      </c>
      <c r="I58" s="6">
        <f t="shared" si="18"/>
        <v>433</v>
      </c>
      <c r="J58" s="7" t="s">
        <v>13</v>
      </c>
      <c r="K58" s="9"/>
      <c r="L58" s="1"/>
    </row>
    <row r="59" spans="1:12" ht="13.5" thickBot="1" x14ac:dyDescent="0.25">
      <c r="A59" s="1"/>
      <c r="B59" s="6">
        <f t="shared" si="0"/>
        <v>76</v>
      </c>
      <c r="C59" s="6">
        <v>2</v>
      </c>
      <c r="D59" s="6">
        <v>3</v>
      </c>
      <c r="E59" s="6">
        <v>7</v>
      </c>
      <c r="F59" s="6">
        <v>17</v>
      </c>
      <c r="G59" s="6">
        <v>0</v>
      </c>
      <c r="H59" s="6">
        <v>44</v>
      </c>
      <c r="I59" s="6">
        <v>3</v>
      </c>
      <c r="J59" s="7" t="s">
        <v>10</v>
      </c>
      <c r="K59" s="124"/>
      <c r="L59" s="1"/>
    </row>
    <row r="60" spans="1:12" ht="13.5" thickBot="1" x14ac:dyDescent="0.25">
      <c r="A60" s="1"/>
      <c r="B60" s="6">
        <f t="shared" si="0"/>
        <v>84</v>
      </c>
      <c r="C60" s="6">
        <v>0</v>
      </c>
      <c r="D60" s="6">
        <v>1</v>
      </c>
      <c r="E60" s="6">
        <v>4</v>
      </c>
      <c r="F60" s="6">
        <v>11</v>
      </c>
      <c r="G60" s="6">
        <v>0</v>
      </c>
      <c r="H60" s="6">
        <v>46</v>
      </c>
      <c r="I60" s="6">
        <v>22</v>
      </c>
      <c r="J60" s="7" t="s">
        <v>11</v>
      </c>
      <c r="K60" s="124" t="s">
        <v>38</v>
      </c>
      <c r="L60" s="1"/>
    </row>
    <row r="61" spans="1:12" ht="13.5" thickBot="1" x14ac:dyDescent="0.25">
      <c r="A61" s="1"/>
      <c r="B61" s="6">
        <f t="shared" ref="B61:I61" si="19">SUM(B59:B60)</f>
        <v>160</v>
      </c>
      <c r="C61" s="6">
        <f t="shared" si="19"/>
        <v>2</v>
      </c>
      <c r="D61" s="6">
        <f t="shared" si="19"/>
        <v>4</v>
      </c>
      <c r="E61" s="6">
        <f t="shared" si="19"/>
        <v>11</v>
      </c>
      <c r="F61" s="6">
        <f t="shared" si="19"/>
        <v>28</v>
      </c>
      <c r="G61" s="6">
        <f t="shared" si="19"/>
        <v>0</v>
      </c>
      <c r="H61" s="6">
        <f t="shared" si="19"/>
        <v>90</v>
      </c>
      <c r="I61" s="6">
        <f t="shared" si="19"/>
        <v>25</v>
      </c>
      <c r="J61" s="7" t="s">
        <v>13</v>
      </c>
      <c r="K61" s="9"/>
      <c r="L61" s="1"/>
    </row>
    <row r="62" spans="1:12" ht="13.5" thickBot="1" x14ac:dyDescent="0.25">
      <c r="A62" s="1"/>
      <c r="B62" s="6">
        <f t="shared" si="0"/>
        <v>2</v>
      </c>
      <c r="C62" s="6">
        <v>0</v>
      </c>
      <c r="D62" s="6">
        <v>0</v>
      </c>
      <c r="E62" s="6">
        <v>1</v>
      </c>
      <c r="F62" s="6">
        <v>0</v>
      </c>
      <c r="G62" s="6">
        <v>0</v>
      </c>
      <c r="H62" s="6">
        <v>1</v>
      </c>
      <c r="I62" s="6">
        <v>0</v>
      </c>
      <c r="J62" s="7" t="s">
        <v>10</v>
      </c>
      <c r="K62" s="124"/>
      <c r="L62" s="1"/>
    </row>
    <row r="63" spans="1:12" ht="13.5" thickBot="1" x14ac:dyDescent="0.25">
      <c r="A63" s="1"/>
      <c r="B63" s="6">
        <f t="shared" si="0"/>
        <v>6</v>
      </c>
      <c r="C63" s="6">
        <v>0</v>
      </c>
      <c r="D63" s="6">
        <v>0</v>
      </c>
      <c r="E63" s="6">
        <v>1</v>
      </c>
      <c r="F63" s="6">
        <v>0</v>
      </c>
      <c r="G63" s="6">
        <v>0</v>
      </c>
      <c r="H63" s="6">
        <v>5</v>
      </c>
      <c r="I63" s="6">
        <v>0</v>
      </c>
      <c r="J63" s="7" t="s">
        <v>11</v>
      </c>
      <c r="K63" s="124" t="s">
        <v>39</v>
      </c>
      <c r="L63" s="1"/>
    </row>
    <row r="64" spans="1:12" ht="13.5" thickBot="1" x14ac:dyDescent="0.25">
      <c r="A64" s="1"/>
      <c r="B64" s="6">
        <f t="shared" ref="B64:I64" si="20">SUM(B62:B63)</f>
        <v>8</v>
      </c>
      <c r="C64" s="6">
        <f t="shared" si="20"/>
        <v>0</v>
      </c>
      <c r="D64" s="6">
        <f t="shared" si="20"/>
        <v>0</v>
      </c>
      <c r="E64" s="6">
        <f t="shared" si="20"/>
        <v>2</v>
      </c>
      <c r="F64" s="6">
        <f t="shared" si="20"/>
        <v>0</v>
      </c>
      <c r="G64" s="6">
        <f t="shared" si="20"/>
        <v>0</v>
      </c>
      <c r="H64" s="6">
        <f t="shared" si="20"/>
        <v>6</v>
      </c>
      <c r="I64" s="6">
        <f t="shared" si="20"/>
        <v>0</v>
      </c>
      <c r="J64" s="7" t="s">
        <v>13</v>
      </c>
      <c r="K64" s="9"/>
      <c r="L64" s="1"/>
    </row>
    <row r="65" spans="1:12" ht="13.5" thickBot="1" x14ac:dyDescent="0.25">
      <c r="A65" s="1"/>
      <c r="B65" s="6">
        <f t="shared" si="0"/>
        <v>151</v>
      </c>
      <c r="C65" s="6">
        <v>0</v>
      </c>
      <c r="D65" s="6">
        <v>0</v>
      </c>
      <c r="E65" s="6">
        <v>0</v>
      </c>
      <c r="F65" s="6">
        <v>2</v>
      </c>
      <c r="G65" s="6">
        <v>0</v>
      </c>
      <c r="H65" s="6">
        <v>149</v>
      </c>
      <c r="I65" s="6">
        <v>0</v>
      </c>
      <c r="J65" s="7" t="s">
        <v>10</v>
      </c>
      <c r="K65" s="124"/>
      <c r="L65" s="1"/>
    </row>
    <row r="66" spans="1:12" ht="13.5" thickBot="1" x14ac:dyDescent="0.25">
      <c r="A66" s="1"/>
      <c r="B66" s="6">
        <f t="shared" si="0"/>
        <v>167</v>
      </c>
      <c r="C66" s="6">
        <v>0</v>
      </c>
      <c r="D66" s="6">
        <v>0</v>
      </c>
      <c r="E66" s="6">
        <v>0</v>
      </c>
      <c r="F66" s="6">
        <v>10</v>
      </c>
      <c r="G66" s="6">
        <v>0</v>
      </c>
      <c r="H66" s="6">
        <v>157</v>
      </c>
      <c r="I66" s="6">
        <v>0</v>
      </c>
      <c r="J66" s="7" t="s">
        <v>11</v>
      </c>
      <c r="K66" s="124" t="s">
        <v>25</v>
      </c>
      <c r="L66" s="1"/>
    </row>
    <row r="67" spans="1:12" ht="13.5" thickBot="1" x14ac:dyDescent="0.25">
      <c r="A67" s="1"/>
      <c r="B67" s="6">
        <f t="shared" ref="B67:I67" si="21">SUM(B65:B66)</f>
        <v>318</v>
      </c>
      <c r="C67" s="6">
        <f t="shared" si="21"/>
        <v>0</v>
      </c>
      <c r="D67" s="6">
        <f t="shared" si="21"/>
        <v>0</v>
      </c>
      <c r="E67" s="6">
        <f t="shared" si="21"/>
        <v>0</v>
      </c>
      <c r="F67" s="6">
        <f t="shared" si="21"/>
        <v>12</v>
      </c>
      <c r="G67" s="6">
        <f t="shared" si="21"/>
        <v>0</v>
      </c>
      <c r="H67" s="6">
        <f t="shared" si="21"/>
        <v>306</v>
      </c>
      <c r="I67" s="6">
        <f t="shared" si="21"/>
        <v>0</v>
      </c>
      <c r="J67" s="7" t="s">
        <v>13</v>
      </c>
      <c r="K67" s="9"/>
      <c r="L67" s="1"/>
    </row>
    <row r="68" spans="1:12" ht="13.5" thickBot="1" x14ac:dyDescent="0.25">
      <c r="A68" s="1"/>
      <c r="B68" s="6">
        <f t="shared" si="0"/>
        <v>27</v>
      </c>
      <c r="C68" s="6">
        <v>0</v>
      </c>
      <c r="D68" s="6">
        <v>0</v>
      </c>
      <c r="E68" s="6">
        <v>1</v>
      </c>
      <c r="F68" s="6">
        <v>1</v>
      </c>
      <c r="G68" s="6">
        <v>0</v>
      </c>
      <c r="H68" s="6">
        <v>25</v>
      </c>
      <c r="I68" s="6">
        <v>0</v>
      </c>
      <c r="J68" s="7" t="s">
        <v>10</v>
      </c>
      <c r="K68" s="124"/>
      <c r="L68" s="1"/>
    </row>
    <row r="69" spans="1:12" ht="13.5" thickBot="1" x14ac:dyDescent="0.25">
      <c r="A69" s="1"/>
      <c r="B69" s="6">
        <f t="shared" si="0"/>
        <v>29</v>
      </c>
      <c r="C69" s="6">
        <v>0</v>
      </c>
      <c r="D69" s="6">
        <v>0</v>
      </c>
      <c r="E69" s="6">
        <v>1</v>
      </c>
      <c r="F69" s="6">
        <v>3</v>
      </c>
      <c r="G69" s="6">
        <v>0</v>
      </c>
      <c r="H69" s="6">
        <v>25</v>
      </c>
      <c r="I69" s="6">
        <v>0</v>
      </c>
      <c r="J69" s="7" t="s">
        <v>11</v>
      </c>
      <c r="K69" s="124" t="s">
        <v>26</v>
      </c>
      <c r="L69" s="1"/>
    </row>
    <row r="70" spans="1:12" ht="13.5" thickBot="1" x14ac:dyDescent="0.25">
      <c r="A70" s="1"/>
      <c r="B70" s="6">
        <f t="shared" ref="B70:I70" si="22">SUM(B68:B69)</f>
        <v>56</v>
      </c>
      <c r="C70" s="6">
        <f t="shared" si="22"/>
        <v>0</v>
      </c>
      <c r="D70" s="6">
        <f t="shared" si="22"/>
        <v>0</v>
      </c>
      <c r="E70" s="6">
        <f t="shared" si="22"/>
        <v>2</v>
      </c>
      <c r="F70" s="6">
        <f t="shared" si="22"/>
        <v>4</v>
      </c>
      <c r="G70" s="6">
        <f t="shared" si="22"/>
        <v>0</v>
      </c>
      <c r="H70" s="6">
        <f t="shared" si="22"/>
        <v>50</v>
      </c>
      <c r="I70" s="6">
        <f t="shared" si="22"/>
        <v>0</v>
      </c>
      <c r="J70" s="7" t="s">
        <v>13</v>
      </c>
      <c r="K70" s="9"/>
      <c r="L70" s="1"/>
    </row>
    <row r="71" spans="1:12" ht="13.5" thickBot="1" x14ac:dyDescent="0.25">
      <c r="A71" s="1"/>
      <c r="B71" s="6">
        <f t="shared" ref="B71:B75" si="23">SUM(C71:I71)</f>
        <v>135</v>
      </c>
      <c r="C71" s="6">
        <v>0</v>
      </c>
      <c r="D71" s="6">
        <v>0</v>
      </c>
      <c r="E71" s="6">
        <v>1</v>
      </c>
      <c r="F71" s="6">
        <v>0</v>
      </c>
      <c r="G71" s="6">
        <v>0</v>
      </c>
      <c r="H71" s="6">
        <v>134</v>
      </c>
      <c r="I71" s="6">
        <v>0</v>
      </c>
      <c r="J71" s="7" t="s">
        <v>10</v>
      </c>
      <c r="K71" s="124"/>
      <c r="L71" s="1"/>
    </row>
    <row r="72" spans="1:12" ht="13.5" thickBot="1" x14ac:dyDescent="0.25">
      <c r="A72" s="1"/>
      <c r="B72" s="6">
        <f t="shared" si="23"/>
        <v>52</v>
      </c>
      <c r="C72" s="6">
        <v>0</v>
      </c>
      <c r="D72" s="6">
        <v>0</v>
      </c>
      <c r="E72" s="6">
        <v>0</v>
      </c>
      <c r="F72" s="6">
        <v>10</v>
      </c>
      <c r="G72" s="6">
        <v>0</v>
      </c>
      <c r="H72" s="6">
        <v>42</v>
      </c>
      <c r="I72" s="6">
        <v>0</v>
      </c>
      <c r="J72" s="7" t="s">
        <v>11</v>
      </c>
      <c r="K72" s="124" t="s">
        <v>27</v>
      </c>
      <c r="L72" s="1"/>
    </row>
    <row r="73" spans="1:12" ht="13.5" thickBot="1" x14ac:dyDescent="0.25">
      <c r="A73" s="1"/>
      <c r="B73" s="6">
        <f t="shared" ref="B73:I73" si="24">SUM(B71:B72)</f>
        <v>187</v>
      </c>
      <c r="C73" s="6">
        <f t="shared" si="24"/>
        <v>0</v>
      </c>
      <c r="D73" s="6">
        <f t="shared" si="24"/>
        <v>0</v>
      </c>
      <c r="E73" s="6">
        <f t="shared" si="24"/>
        <v>1</v>
      </c>
      <c r="F73" s="6">
        <f t="shared" si="24"/>
        <v>10</v>
      </c>
      <c r="G73" s="6">
        <f t="shared" si="24"/>
        <v>0</v>
      </c>
      <c r="H73" s="6">
        <f t="shared" si="24"/>
        <v>176</v>
      </c>
      <c r="I73" s="6">
        <f t="shared" si="24"/>
        <v>0</v>
      </c>
      <c r="J73" s="7" t="s">
        <v>13</v>
      </c>
      <c r="K73" s="9"/>
      <c r="L73" s="1"/>
    </row>
    <row r="74" spans="1:12" ht="13.5" thickBot="1" x14ac:dyDescent="0.25">
      <c r="A74" s="1"/>
      <c r="B74" s="6">
        <f t="shared" si="23"/>
        <v>2392</v>
      </c>
      <c r="C74" s="6">
        <v>35</v>
      </c>
      <c r="D74" s="6">
        <v>2</v>
      </c>
      <c r="E74" s="6">
        <v>37</v>
      </c>
      <c r="F74" s="6">
        <v>512</v>
      </c>
      <c r="G74" s="6">
        <v>0</v>
      </c>
      <c r="H74" s="6">
        <v>1749</v>
      </c>
      <c r="I74" s="6">
        <v>57</v>
      </c>
      <c r="J74" s="7" t="s">
        <v>10</v>
      </c>
      <c r="K74" s="124"/>
      <c r="L74" s="1"/>
    </row>
    <row r="75" spans="1:12" ht="13.5" thickBot="1" x14ac:dyDescent="0.25">
      <c r="A75" s="1"/>
      <c r="B75" s="6">
        <f t="shared" si="23"/>
        <v>362</v>
      </c>
      <c r="C75" s="6">
        <v>1</v>
      </c>
      <c r="D75" s="6">
        <v>1</v>
      </c>
      <c r="E75" s="6">
        <v>14</v>
      </c>
      <c r="F75" s="6">
        <v>163</v>
      </c>
      <c r="G75" s="6">
        <v>0</v>
      </c>
      <c r="H75" s="6">
        <v>167</v>
      </c>
      <c r="I75" s="6">
        <v>16</v>
      </c>
      <c r="J75" s="7" t="s">
        <v>11</v>
      </c>
      <c r="K75" s="124" t="s">
        <v>33</v>
      </c>
      <c r="L75" s="1"/>
    </row>
    <row r="76" spans="1:12" ht="13.5" thickBot="1" x14ac:dyDescent="0.25">
      <c r="A76" s="1"/>
      <c r="B76" s="6">
        <f t="shared" ref="B76:I76" si="25">SUM(B74:B75)</f>
        <v>2754</v>
      </c>
      <c r="C76" s="6">
        <f t="shared" si="25"/>
        <v>36</v>
      </c>
      <c r="D76" s="6">
        <f t="shared" si="25"/>
        <v>3</v>
      </c>
      <c r="E76" s="6">
        <f t="shared" si="25"/>
        <v>51</v>
      </c>
      <c r="F76" s="6">
        <f t="shared" si="25"/>
        <v>675</v>
      </c>
      <c r="G76" s="6">
        <f t="shared" si="25"/>
        <v>0</v>
      </c>
      <c r="H76" s="6">
        <f t="shared" si="25"/>
        <v>1916</v>
      </c>
      <c r="I76" s="6">
        <f t="shared" si="25"/>
        <v>73</v>
      </c>
      <c r="J76" s="7" t="s">
        <v>13</v>
      </c>
      <c r="K76" s="9"/>
      <c r="L76" s="1"/>
    </row>
    <row r="77" spans="1:12" ht="13.5" thickBot="1" x14ac:dyDescent="0.25">
      <c r="A77" s="1"/>
      <c r="B77" s="6">
        <f t="shared" ref="B77:H79" si="26">B5+B8+B11+B14+B17+B20+B23+B26+B29+B32+B35+B38+B41+B44+B47+B50+B53+B56+B59+B62+B65+B68+B71+B74</f>
        <v>12439</v>
      </c>
      <c r="C77" s="6">
        <f t="shared" si="26"/>
        <v>187</v>
      </c>
      <c r="D77" s="6">
        <f t="shared" si="26"/>
        <v>46</v>
      </c>
      <c r="E77" s="6">
        <f t="shared" si="26"/>
        <v>227</v>
      </c>
      <c r="F77" s="6">
        <f t="shared" si="26"/>
        <v>1628</v>
      </c>
      <c r="G77" s="6">
        <f t="shared" si="26"/>
        <v>1</v>
      </c>
      <c r="H77" s="6">
        <f t="shared" si="26"/>
        <v>8802</v>
      </c>
      <c r="I77" s="6">
        <f>I5+I8+I11+I14+I17+I20+I23+I26+I29+I32+I35+I38+I41+I44+I47+I50+I53+I56+I59+I62+I65+I68+I71+I74</f>
        <v>1548</v>
      </c>
      <c r="J77" s="7" t="s">
        <v>10</v>
      </c>
      <c r="K77" s="3"/>
      <c r="L77" s="1"/>
    </row>
    <row r="78" spans="1:12" ht="13.5" thickBot="1" x14ac:dyDescent="0.25">
      <c r="A78" s="1"/>
      <c r="B78" s="6">
        <f t="shared" si="26"/>
        <v>2780</v>
      </c>
      <c r="C78" s="6">
        <f t="shared" si="26"/>
        <v>21</v>
      </c>
      <c r="D78" s="6">
        <f t="shared" si="26"/>
        <v>26</v>
      </c>
      <c r="E78" s="6">
        <f t="shared" si="26"/>
        <v>109</v>
      </c>
      <c r="F78" s="6">
        <f t="shared" si="26"/>
        <v>724</v>
      </c>
      <c r="G78" s="6">
        <f t="shared" si="26"/>
        <v>0</v>
      </c>
      <c r="H78" s="6">
        <f t="shared" si="26"/>
        <v>1633</v>
      </c>
      <c r="I78" s="6">
        <f>I6+I9+I12+I15+I18+I21+I24+I27+I30+I33+I36+I39+I42+I45+I48+I51+I54+I57+I60+I63+I66+I69+I72+I75</f>
        <v>267</v>
      </c>
      <c r="J78" s="7" t="s">
        <v>11</v>
      </c>
      <c r="K78" s="11" t="s">
        <v>211</v>
      </c>
      <c r="L78" s="1"/>
    </row>
    <row r="79" spans="1:12" ht="13.5" thickBot="1" x14ac:dyDescent="0.25">
      <c r="A79" s="1"/>
      <c r="B79" s="6">
        <f t="shared" si="26"/>
        <v>15219</v>
      </c>
      <c r="C79" s="6">
        <f t="shared" si="26"/>
        <v>208</v>
      </c>
      <c r="D79" s="6">
        <f t="shared" si="26"/>
        <v>72</v>
      </c>
      <c r="E79" s="6">
        <f t="shared" si="26"/>
        <v>336</v>
      </c>
      <c r="F79" s="6">
        <f t="shared" si="26"/>
        <v>2352</v>
      </c>
      <c r="G79" s="6">
        <f t="shared" si="26"/>
        <v>1</v>
      </c>
      <c r="H79" s="6">
        <f t="shared" si="26"/>
        <v>10435</v>
      </c>
      <c r="I79" s="6">
        <f>I7+I10+I13+I16+I19+I22+I25+I28+I31+I34+I37+I40+I43+I46+I49+I52+I55+I58+I61+I64+I67+I70+I73+I76</f>
        <v>1815</v>
      </c>
      <c r="J79" s="7" t="s">
        <v>13</v>
      </c>
      <c r="K79" s="5"/>
      <c r="L79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8"/>
  <sheetViews>
    <sheetView showGridLines="0" topLeftCell="A64" zoomScale="90" zoomScaleNormal="90" workbookViewId="0">
      <selection activeCell="H43" sqref="H43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701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702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5</v>
      </c>
      <c r="C4" s="6">
        <v>0</v>
      </c>
      <c r="D4" s="6">
        <v>0</v>
      </c>
      <c r="E4" s="6">
        <v>4</v>
      </c>
      <c r="F4" s="6">
        <v>0</v>
      </c>
      <c r="G4" s="6">
        <v>0</v>
      </c>
      <c r="H4" s="6">
        <v>0</v>
      </c>
      <c r="I4" s="6">
        <v>0</v>
      </c>
      <c r="J4" s="6">
        <v>1</v>
      </c>
      <c r="K4" s="6">
        <v>0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68" si="0">SUM(C5:L5)</f>
        <v>4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3</v>
      </c>
      <c r="K5" s="6">
        <v>1</v>
      </c>
      <c r="L5" s="6">
        <v>0</v>
      </c>
      <c r="M5" s="7" t="s">
        <v>11</v>
      </c>
      <c r="N5" s="124" t="s">
        <v>12</v>
      </c>
      <c r="O5" s="1"/>
    </row>
    <row r="6" spans="1:15" ht="13.5" thickBot="1" x14ac:dyDescent="0.25">
      <c r="A6" s="1"/>
      <c r="B6" s="6">
        <f t="shared" ref="B6:K6" si="1">SUM(B4:B5)</f>
        <v>9</v>
      </c>
      <c r="C6" s="6">
        <f t="shared" si="1"/>
        <v>0</v>
      </c>
      <c r="D6" s="6">
        <f t="shared" si="1"/>
        <v>0</v>
      </c>
      <c r="E6" s="6">
        <f t="shared" si="1"/>
        <v>4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0</v>
      </c>
      <c r="J6" s="6">
        <f t="shared" si="1"/>
        <v>4</v>
      </c>
      <c r="K6" s="6">
        <f t="shared" si="1"/>
        <v>1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10</v>
      </c>
      <c r="C7" s="6">
        <v>1</v>
      </c>
      <c r="D7" s="6">
        <v>0</v>
      </c>
      <c r="E7" s="6">
        <v>0</v>
      </c>
      <c r="F7" s="6">
        <v>0</v>
      </c>
      <c r="G7" s="6">
        <v>0</v>
      </c>
      <c r="H7" s="6">
        <v>2</v>
      </c>
      <c r="I7" s="6">
        <v>1</v>
      </c>
      <c r="J7" s="6">
        <v>3</v>
      </c>
      <c r="K7" s="6">
        <v>2</v>
      </c>
      <c r="L7" s="6">
        <v>1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3</v>
      </c>
      <c r="K8" s="6">
        <v>0</v>
      </c>
      <c r="L8" s="6">
        <v>2</v>
      </c>
      <c r="M8" s="7" t="s">
        <v>11</v>
      </c>
      <c r="N8" s="124" t="s">
        <v>14</v>
      </c>
      <c r="O8" s="1"/>
    </row>
    <row r="9" spans="1:15" ht="13.5" thickBot="1" x14ac:dyDescent="0.25">
      <c r="A9" s="1"/>
      <c r="B9" s="6">
        <f t="shared" ref="B9:L9" si="2">SUM(B7:B8)</f>
        <v>15</v>
      </c>
      <c r="C9" s="6">
        <f t="shared" si="2"/>
        <v>1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0</v>
      </c>
      <c r="H9" s="6">
        <f t="shared" si="2"/>
        <v>2</v>
      </c>
      <c r="I9" s="6">
        <f t="shared" si="2"/>
        <v>1</v>
      </c>
      <c r="J9" s="6">
        <f t="shared" si="2"/>
        <v>6</v>
      </c>
      <c r="K9" s="6">
        <f t="shared" si="2"/>
        <v>2</v>
      </c>
      <c r="L9" s="6">
        <f t="shared" si="2"/>
        <v>3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299</v>
      </c>
      <c r="C10" s="6">
        <v>12</v>
      </c>
      <c r="D10" s="6">
        <v>0</v>
      </c>
      <c r="E10" s="6">
        <v>13</v>
      </c>
      <c r="F10" s="6">
        <v>0</v>
      </c>
      <c r="G10" s="6">
        <v>31</v>
      </c>
      <c r="H10" s="6">
        <v>50</v>
      </c>
      <c r="I10" s="6">
        <v>70</v>
      </c>
      <c r="J10" s="6">
        <v>67</v>
      </c>
      <c r="K10" s="6">
        <v>12</v>
      </c>
      <c r="L10" s="6">
        <v>44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820</v>
      </c>
      <c r="C11" s="6">
        <v>8</v>
      </c>
      <c r="D11" s="6">
        <v>0</v>
      </c>
      <c r="E11" s="6">
        <v>24</v>
      </c>
      <c r="F11" s="6">
        <v>0</v>
      </c>
      <c r="G11" s="6">
        <v>103</v>
      </c>
      <c r="H11" s="6">
        <v>22</v>
      </c>
      <c r="I11" s="6">
        <v>170</v>
      </c>
      <c r="J11" s="6">
        <v>261</v>
      </c>
      <c r="K11" s="6">
        <v>93</v>
      </c>
      <c r="L11" s="6">
        <v>139</v>
      </c>
      <c r="M11" s="7" t="s">
        <v>11</v>
      </c>
      <c r="N11" s="124" t="s">
        <v>15</v>
      </c>
      <c r="O11" s="1"/>
    </row>
    <row r="12" spans="1:15" ht="13.5" thickBot="1" x14ac:dyDescent="0.25">
      <c r="A12" s="1"/>
      <c r="B12" s="6">
        <f t="shared" ref="B12:L12" si="3">SUM(B10:B11)</f>
        <v>1119</v>
      </c>
      <c r="C12" s="6">
        <f t="shared" si="3"/>
        <v>20</v>
      </c>
      <c r="D12" s="6">
        <f t="shared" si="3"/>
        <v>0</v>
      </c>
      <c r="E12" s="6">
        <f t="shared" si="3"/>
        <v>37</v>
      </c>
      <c r="F12" s="6">
        <f t="shared" si="3"/>
        <v>0</v>
      </c>
      <c r="G12" s="6">
        <f t="shared" si="3"/>
        <v>134</v>
      </c>
      <c r="H12" s="6">
        <f t="shared" si="3"/>
        <v>72</v>
      </c>
      <c r="I12" s="6">
        <f t="shared" si="3"/>
        <v>240</v>
      </c>
      <c r="J12" s="6">
        <f t="shared" si="3"/>
        <v>328</v>
      </c>
      <c r="K12" s="6">
        <f t="shared" si="3"/>
        <v>105</v>
      </c>
      <c r="L12" s="6">
        <f t="shared" si="3"/>
        <v>183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38</v>
      </c>
      <c r="C13" s="6">
        <v>0</v>
      </c>
      <c r="D13" s="6">
        <v>0</v>
      </c>
      <c r="E13" s="6">
        <v>5</v>
      </c>
      <c r="F13" s="6">
        <v>0</v>
      </c>
      <c r="G13" s="6">
        <v>15</v>
      </c>
      <c r="H13" s="6">
        <v>7</v>
      </c>
      <c r="I13" s="6">
        <v>6</v>
      </c>
      <c r="J13" s="6">
        <v>4</v>
      </c>
      <c r="K13" s="6">
        <v>1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33</v>
      </c>
      <c r="C14" s="6">
        <v>0</v>
      </c>
      <c r="D14" s="6">
        <v>2</v>
      </c>
      <c r="E14" s="6">
        <v>4</v>
      </c>
      <c r="F14" s="6">
        <v>0</v>
      </c>
      <c r="G14" s="6">
        <v>8</v>
      </c>
      <c r="H14" s="6">
        <v>0</v>
      </c>
      <c r="I14" s="6">
        <v>7</v>
      </c>
      <c r="J14" s="6">
        <v>10</v>
      </c>
      <c r="K14" s="6">
        <v>0</v>
      </c>
      <c r="L14" s="6">
        <v>2</v>
      </c>
      <c r="M14" s="7" t="s">
        <v>11</v>
      </c>
      <c r="N14" s="124" t="s">
        <v>16</v>
      </c>
      <c r="O14" s="1"/>
    </row>
    <row r="15" spans="1:15" ht="13.5" thickBot="1" x14ac:dyDescent="0.25">
      <c r="A15" s="1"/>
      <c r="B15" s="6">
        <f t="shared" ref="B15:L15" si="4">SUM(B13:B14)</f>
        <v>71</v>
      </c>
      <c r="C15" s="6">
        <f t="shared" si="4"/>
        <v>0</v>
      </c>
      <c r="D15" s="6">
        <f t="shared" si="4"/>
        <v>2</v>
      </c>
      <c r="E15" s="6">
        <f t="shared" si="4"/>
        <v>9</v>
      </c>
      <c r="F15" s="6">
        <f t="shared" si="4"/>
        <v>0</v>
      </c>
      <c r="G15" s="6">
        <f t="shared" si="4"/>
        <v>23</v>
      </c>
      <c r="H15" s="6">
        <f t="shared" si="4"/>
        <v>7</v>
      </c>
      <c r="I15" s="6">
        <f t="shared" si="4"/>
        <v>13</v>
      </c>
      <c r="J15" s="6">
        <f t="shared" si="4"/>
        <v>14</v>
      </c>
      <c r="K15" s="6">
        <f t="shared" si="4"/>
        <v>1</v>
      </c>
      <c r="L15" s="6">
        <f t="shared" si="4"/>
        <v>2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295</v>
      </c>
      <c r="C16" s="6">
        <v>3</v>
      </c>
      <c r="D16" s="6">
        <v>0</v>
      </c>
      <c r="E16" s="6">
        <v>0</v>
      </c>
      <c r="F16" s="6">
        <v>0</v>
      </c>
      <c r="G16" s="6">
        <v>137</v>
      </c>
      <c r="H16" s="6">
        <v>56</v>
      </c>
      <c r="I16" s="6">
        <v>35</v>
      </c>
      <c r="J16" s="6">
        <v>29</v>
      </c>
      <c r="K16" s="6">
        <v>2</v>
      </c>
      <c r="L16" s="6">
        <v>33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15</v>
      </c>
      <c r="C17" s="6">
        <v>1</v>
      </c>
      <c r="D17" s="6">
        <v>0</v>
      </c>
      <c r="E17" s="6">
        <v>0</v>
      </c>
      <c r="F17" s="6">
        <v>0</v>
      </c>
      <c r="G17" s="6">
        <v>4</v>
      </c>
      <c r="H17" s="6">
        <v>1</v>
      </c>
      <c r="I17" s="6">
        <v>4</v>
      </c>
      <c r="J17" s="6">
        <v>3</v>
      </c>
      <c r="K17" s="6">
        <v>0</v>
      </c>
      <c r="L17" s="6">
        <v>2</v>
      </c>
      <c r="M17" s="7" t="s">
        <v>11</v>
      </c>
      <c r="N17" s="124" t="s">
        <v>31</v>
      </c>
      <c r="O17" s="1"/>
    </row>
    <row r="18" spans="1:15" ht="13.5" thickBot="1" x14ac:dyDescent="0.25">
      <c r="A18" s="1"/>
      <c r="B18" s="6">
        <f t="shared" ref="B18:L18" si="5">SUM(B16:B17)</f>
        <v>310</v>
      </c>
      <c r="C18" s="6">
        <f t="shared" si="5"/>
        <v>4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141</v>
      </c>
      <c r="H18" s="6">
        <f t="shared" si="5"/>
        <v>57</v>
      </c>
      <c r="I18" s="6">
        <f t="shared" si="5"/>
        <v>39</v>
      </c>
      <c r="J18" s="6">
        <f t="shared" si="5"/>
        <v>32</v>
      </c>
      <c r="K18" s="6">
        <f t="shared" si="5"/>
        <v>2</v>
      </c>
      <c r="L18" s="6">
        <f t="shared" si="5"/>
        <v>35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8</v>
      </c>
      <c r="C19" s="6">
        <v>0</v>
      </c>
      <c r="D19" s="6">
        <v>0</v>
      </c>
      <c r="E19" s="6">
        <v>0</v>
      </c>
      <c r="F19" s="6">
        <v>0</v>
      </c>
      <c r="G19" s="6">
        <v>2</v>
      </c>
      <c r="H19" s="6">
        <v>2</v>
      </c>
      <c r="I19" s="6">
        <v>2</v>
      </c>
      <c r="J19" s="6">
        <v>2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6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4</v>
      </c>
      <c r="K20" s="6">
        <v>0</v>
      </c>
      <c r="L20" s="6">
        <v>2</v>
      </c>
      <c r="M20" s="7" t="s">
        <v>11</v>
      </c>
      <c r="N20" s="124" t="s">
        <v>17</v>
      </c>
      <c r="O20" s="1"/>
    </row>
    <row r="21" spans="1:15" ht="13.5" thickBot="1" x14ac:dyDescent="0.25">
      <c r="A21" s="1"/>
      <c r="B21" s="6">
        <f t="shared" ref="B21:L21" si="6">SUM(B19:B20)</f>
        <v>14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2</v>
      </c>
      <c r="H21" s="6">
        <f t="shared" si="6"/>
        <v>2</v>
      </c>
      <c r="I21" s="6">
        <f t="shared" si="6"/>
        <v>2</v>
      </c>
      <c r="J21" s="6">
        <f t="shared" si="6"/>
        <v>6</v>
      </c>
      <c r="K21" s="6">
        <f t="shared" si="6"/>
        <v>0</v>
      </c>
      <c r="L21" s="6">
        <f t="shared" si="6"/>
        <v>2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216</v>
      </c>
      <c r="C22" s="6">
        <v>9</v>
      </c>
      <c r="D22" s="6">
        <v>2</v>
      </c>
      <c r="E22" s="6">
        <v>41</v>
      </c>
      <c r="F22" s="6">
        <v>0</v>
      </c>
      <c r="G22" s="6">
        <v>35</v>
      </c>
      <c r="H22" s="6">
        <v>41</v>
      </c>
      <c r="I22" s="6">
        <v>21</v>
      </c>
      <c r="J22" s="6">
        <v>65</v>
      </c>
      <c r="K22" s="6">
        <v>0</v>
      </c>
      <c r="L22" s="6">
        <v>2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237</v>
      </c>
      <c r="C23" s="6">
        <v>3</v>
      </c>
      <c r="D23" s="6">
        <v>7</v>
      </c>
      <c r="E23" s="6">
        <v>31</v>
      </c>
      <c r="F23" s="6">
        <v>0</v>
      </c>
      <c r="G23" s="6">
        <v>71</v>
      </c>
      <c r="H23" s="6">
        <v>11</v>
      </c>
      <c r="I23" s="6">
        <v>25</v>
      </c>
      <c r="J23" s="6">
        <v>65</v>
      </c>
      <c r="K23" s="6">
        <v>1</v>
      </c>
      <c r="L23" s="6">
        <v>23</v>
      </c>
      <c r="M23" s="7" t="s">
        <v>11</v>
      </c>
      <c r="N23" s="124" t="s">
        <v>19</v>
      </c>
      <c r="O23" s="1"/>
    </row>
    <row r="24" spans="1:15" ht="13.5" thickBot="1" x14ac:dyDescent="0.25">
      <c r="A24" s="1"/>
      <c r="B24" s="6">
        <f t="shared" ref="B24:L24" si="7">SUM(B22:B23)</f>
        <v>453</v>
      </c>
      <c r="C24" s="6">
        <f t="shared" si="7"/>
        <v>12</v>
      </c>
      <c r="D24" s="6">
        <f t="shared" si="7"/>
        <v>9</v>
      </c>
      <c r="E24" s="6">
        <f t="shared" si="7"/>
        <v>72</v>
      </c>
      <c r="F24" s="6">
        <f t="shared" si="7"/>
        <v>0</v>
      </c>
      <c r="G24" s="6">
        <f t="shared" si="7"/>
        <v>106</v>
      </c>
      <c r="H24" s="6">
        <f t="shared" si="7"/>
        <v>52</v>
      </c>
      <c r="I24" s="6">
        <f t="shared" si="7"/>
        <v>46</v>
      </c>
      <c r="J24" s="6">
        <f t="shared" si="7"/>
        <v>130</v>
      </c>
      <c r="K24" s="6">
        <f t="shared" si="7"/>
        <v>1</v>
      </c>
      <c r="L24" s="6">
        <f t="shared" si="7"/>
        <v>25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391</v>
      </c>
      <c r="C25" s="6">
        <v>17</v>
      </c>
      <c r="D25" s="6">
        <v>0</v>
      </c>
      <c r="E25" s="6">
        <v>3</v>
      </c>
      <c r="F25" s="6">
        <v>1</v>
      </c>
      <c r="G25" s="6">
        <v>219</v>
      </c>
      <c r="H25" s="6">
        <v>112</v>
      </c>
      <c r="I25" s="6">
        <v>18</v>
      </c>
      <c r="J25" s="6">
        <v>12</v>
      </c>
      <c r="K25" s="6">
        <v>1</v>
      </c>
      <c r="L25" s="6">
        <v>8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92</v>
      </c>
      <c r="C26" s="6">
        <v>0</v>
      </c>
      <c r="D26" s="6">
        <v>0</v>
      </c>
      <c r="E26" s="6">
        <v>0</v>
      </c>
      <c r="F26" s="6">
        <v>0</v>
      </c>
      <c r="G26" s="6">
        <v>61</v>
      </c>
      <c r="H26" s="6">
        <v>7</v>
      </c>
      <c r="I26" s="6">
        <v>6</v>
      </c>
      <c r="J26" s="6">
        <v>10</v>
      </c>
      <c r="K26" s="6">
        <v>1</v>
      </c>
      <c r="L26" s="6">
        <v>7</v>
      </c>
      <c r="M26" s="7" t="s">
        <v>11</v>
      </c>
      <c r="N26" s="124" t="s">
        <v>35</v>
      </c>
      <c r="O26" s="1"/>
    </row>
    <row r="27" spans="1:15" ht="13.5" thickBot="1" x14ac:dyDescent="0.25">
      <c r="A27" s="1"/>
      <c r="B27" s="6">
        <f t="shared" ref="B27:L27" si="8">SUM(B25:B26)</f>
        <v>483</v>
      </c>
      <c r="C27" s="6">
        <f t="shared" si="8"/>
        <v>17</v>
      </c>
      <c r="D27" s="6">
        <f t="shared" si="8"/>
        <v>0</v>
      </c>
      <c r="E27" s="6">
        <f t="shared" si="8"/>
        <v>3</v>
      </c>
      <c r="F27" s="6">
        <f t="shared" si="8"/>
        <v>1</v>
      </c>
      <c r="G27" s="6">
        <f t="shared" si="8"/>
        <v>280</v>
      </c>
      <c r="H27" s="6">
        <f t="shared" si="8"/>
        <v>119</v>
      </c>
      <c r="I27" s="6">
        <f t="shared" si="8"/>
        <v>24</v>
      </c>
      <c r="J27" s="6">
        <f t="shared" si="8"/>
        <v>22</v>
      </c>
      <c r="K27" s="6">
        <f t="shared" si="8"/>
        <v>2</v>
      </c>
      <c r="L27" s="6">
        <f t="shared" si="8"/>
        <v>15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4</v>
      </c>
      <c r="C28" s="6">
        <v>0</v>
      </c>
      <c r="D28" s="6">
        <v>0</v>
      </c>
      <c r="E28" s="6">
        <v>2</v>
      </c>
      <c r="F28" s="6">
        <v>0</v>
      </c>
      <c r="G28" s="6">
        <v>0</v>
      </c>
      <c r="H28" s="6">
        <v>1</v>
      </c>
      <c r="I28" s="6">
        <v>0</v>
      </c>
      <c r="J28" s="6">
        <v>1</v>
      </c>
      <c r="K28" s="6">
        <v>0</v>
      </c>
      <c r="L28" s="6">
        <v>0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15</v>
      </c>
      <c r="C29" s="6">
        <v>0</v>
      </c>
      <c r="D29" s="6">
        <v>0</v>
      </c>
      <c r="E29" s="6">
        <v>7</v>
      </c>
      <c r="F29" s="6">
        <v>0</v>
      </c>
      <c r="G29" s="6">
        <v>1</v>
      </c>
      <c r="H29" s="6">
        <v>0</v>
      </c>
      <c r="I29" s="6">
        <v>2</v>
      </c>
      <c r="J29" s="6">
        <v>3</v>
      </c>
      <c r="K29" s="6">
        <v>0</v>
      </c>
      <c r="L29" s="6">
        <v>2</v>
      </c>
      <c r="M29" s="7" t="s">
        <v>11</v>
      </c>
      <c r="N29" s="124" t="s">
        <v>20</v>
      </c>
      <c r="O29" s="1"/>
    </row>
    <row r="30" spans="1:15" ht="13.5" thickBot="1" x14ac:dyDescent="0.25">
      <c r="A30" s="1"/>
      <c r="B30" s="6">
        <f t="shared" ref="B30:L30" si="9">SUM(B28:B29)</f>
        <v>19</v>
      </c>
      <c r="C30" s="6">
        <f t="shared" si="9"/>
        <v>0</v>
      </c>
      <c r="D30" s="6">
        <f t="shared" si="9"/>
        <v>0</v>
      </c>
      <c r="E30" s="6">
        <f t="shared" si="9"/>
        <v>9</v>
      </c>
      <c r="F30" s="6">
        <f t="shared" si="9"/>
        <v>0</v>
      </c>
      <c r="G30" s="6">
        <f t="shared" si="9"/>
        <v>1</v>
      </c>
      <c r="H30" s="6">
        <f t="shared" si="9"/>
        <v>1</v>
      </c>
      <c r="I30" s="6">
        <f t="shared" si="9"/>
        <v>2</v>
      </c>
      <c r="J30" s="6">
        <f t="shared" si="9"/>
        <v>4</v>
      </c>
      <c r="K30" s="6">
        <f t="shared" si="9"/>
        <v>0</v>
      </c>
      <c r="L30" s="6">
        <f t="shared" si="9"/>
        <v>2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10</v>
      </c>
      <c r="C31" s="6">
        <v>0</v>
      </c>
      <c r="D31" s="6">
        <v>0</v>
      </c>
      <c r="E31" s="6">
        <v>2</v>
      </c>
      <c r="F31" s="6">
        <v>0</v>
      </c>
      <c r="G31" s="6">
        <v>0</v>
      </c>
      <c r="H31" s="6">
        <v>1</v>
      </c>
      <c r="I31" s="6">
        <v>2</v>
      </c>
      <c r="J31" s="6">
        <v>2</v>
      </c>
      <c r="K31" s="6">
        <v>3</v>
      </c>
      <c r="L31" s="6">
        <v>0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13</v>
      </c>
      <c r="C32" s="6">
        <v>0</v>
      </c>
      <c r="D32" s="6">
        <v>1</v>
      </c>
      <c r="E32" s="6">
        <v>0</v>
      </c>
      <c r="F32" s="6">
        <v>0</v>
      </c>
      <c r="G32" s="6">
        <v>1</v>
      </c>
      <c r="H32" s="6">
        <v>1</v>
      </c>
      <c r="I32" s="6">
        <v>1</v>
      </c>
      <c r="J32" s="6">
        <v>4</v>
      </c>
      <c r="K32" s="6">
        <v>1</v>
      </c>
      <c r="L32" s="6">
        <v>4</v>
      </c>
      <c r="M32" s="7" t="s">
        <v>11</v>
      </c>
      <c r="N32" s="124" t="s">
        <v>21</v>
      </c>
      <c r="O32" s="1"/>
    </row>
    <row r="33" spans="1:15" ht="13.5" thickBot="1" x14ac:dyDescent="0.25">
      <c r="A33" s="1"/>
      <c r="B33" s="6">
        <f t="shared" ref="B33:L33" si="10">SUM(B31:B32)</f>
        <v>23</v>
      </c>
      <c r="C33" s="6">
        <f t="shared" si="10"/>
        <v>0</v>
      </c>
      <c r="D33" s="6">
        <f t="shared" si="10"/>
        <v>1</v>
      </c>
      <c r="E33" s="6">
        <f t="shared" si="10"/>
        <v>2</v>
      </c>
      <c r="F33" s="6">
        <f t="shared" si="10"/>
        <v>0</v>
      </c>
      <c r="G33" s="6">
        <f t="shared" si="10"/>
        <v>1</v>
      </c>
      <c r="H33" s="6">
        <f t="shared" si="10"/>
        <v>2</v>
      </c>
      <c r="I33" s="6">
        <f t="shared" si="10"/>
        <v>3</v>
      </c>
      <c r="J33" s="6">
        <f t="shared" si="10"/>
        <v>6</v>
      </c>
      <c r="K33" s="6">
        <f t="shared" si="10"/>
        <v>4</v>
      </c>
      <c r="L33" s="6">
        <f t="shared" si="10"/>
        <v>4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138</v>
      </c>
      <c r="C34" s="6">
        <v>5</v>
      </c>
      <c r="D34" s="6">
        <v>0</v>
      </c>
      <c r="E34" s="6">
        <v>1</v>
      </c>
      <c r="F34" s="6">
        <v>0</v>
      </c>
      <c r="G34" s="6">
        <v>110</v>
      </c>
      <c r="H34" s="6">
        <v>5</v>
      </c>
      <c r="I34" s="6">
        <v>6</v>
      </c>
      <c r="J34" s="6">
        <v>10</v>
      </c>
      <c r="K34" s="6">
        <v>1</v>
      </c>
      <c r="L34" s="6">
        <v>0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311</v>
      </c>
      <c r="C35" s="6">
        <v>3</v>
      </c>
      <c r="D35" s="6">
        <v>1</v>
      </c>
      <c r="E35" s="6">
        <v>1</v>
      </c>
      <c r="F35" s="6">
        <v>0</v>
      </c>
      <c r="G35" s="6">
        <v>238</v>
      </c>
      <c r="H35" s="6">
        <v>0</v>
      </c>
      <c r="I35" s="6">
        <v>14</v>
      </c>
      <c r="J35" s="6">
        <v>36</v>
      </c>
      <c r="K35" s="6">
        <v>17</v>
      </c>
      <c r="L35" s="6">
        <v>1</v>
      </c>
      <c r="M35" s="7" t="s">
        <v>11</v>
      </c>
      <c r="N35" s="124" t="s">
        <v>22</v>
      </c>
      <c r="O35" s="1"/>
    </row>
    <row r="36" spans="1:15" ht="13.5" thickBot="1" x14ac:dyDescent="0.25">
      <c r="A36" s="1"/>
      <c r="B36" s="6">
        <f t="shared" ref="B36:L36" si="11">SUM(B34:B35)</f>
        <v>449</v>
      </c>
      <c r="C36" s="6">
        <f t="shared" si="11"/>
        <v>8</v>
      </c>
      <c r="D36" s="6">
        <f t="shared" si="11"/>
        <v>1</v>
      </c>
      <c r="E36" s="6">
        <f t="shared" si="11"/>
        <v>2</v>
      </c>
      <c r="F36" s="6">
        <f t="shared" si="11"/>
        <v>0</v>
      </c>
      <c r="G36" s="6">
        <f t="shared" si="11"/>
        <v>348</v>
      </c>
      <c r="H36" s="6">
        <f t="shared" si="11"/>
        <v>5</v>
      </c>
      <c r="I36" s="6">
        <f t="shared" si="11"/>
        <v>20</v>
      </c>
      <c r="J36" s="6">
        <f t="shared" si="11"/>
        <v>46</v>
      </c>
      <c r="K36" s="6">
        <f t="shared" si="11"/>
        <v>18</v>
      </c>
      <c r="L36" s="6">
        <f t="shared" si="11"/>
        <v>1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232</v>
      </c>
      <c r="C37" s="6">
        <v>0</v>
      </c>
      <c r="D37" s="6">
        <v>0</v>
      </c>
      <c r="E37" s="6">
        <v>0</v>
      </c>
      <c r="F37" s="6">
        <v>0</v>
      </c>
      <c r="G37" s="6">
        <v>195</v>
      </c>
      <c r="H37" s="6">
        <v>11</v>
      </c>
      <c r="I37" s="6">
        <v>16</v>
      </c>
      <c r="J37" s="6">
        <v>7</v>
      </c>
      <c r="K37" s="6">
        <v>0</v>
      </c>
      <c r="L37" s="6">
        <v>3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42</v>
      </c>
      <c r="C38" s="6">
        <v>0</v>
      </c>
      <c r="D38" s="6">
        <v>0</v>
      </c>
      <c r="E38" s="6">
        <v>0</v>
      </c>
      <c r="F38" s="6">
        <v>0</v>
      </c>
      <c r="G38" s="6">
        <v>30</v>
      </c>
      <c r="H38" s="6">
        <v>1</v>
      </c>
      <c r="I38" s="6">
        <v>3</v>
      </c>
      <c r="J38" s="6">
        <v>7</v>
      </c>
      <c r="K38" s="6">
        <v>0</v>
      </c>
      <c r="L38" s="6">
        <v>1</v>
      </c>
      <c r="M38" s="7" t="s">
        <v>11</v>
      </c>
      <c r="N38" s="124" t="s">
        <v>36</v>
      </c>
      <c r="O38" s="1"/>
    </row>
    <row r="39" spans="1:15" ht="13.5" thickBot="1" x14ac:dyDescent="0.25">
      <c r="A39" s="1"/>
      <c r="B39" s="6">
        <f t="shared" ref="B39:L39" si="12">SUM(B37:B38)</f>
        <v>274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0</v>
      </c>
      <c r="G39" s="6">
        <f t="shared" si="12"/>
        <v>225</v>
      </c>
      <c r="H39" s="6">
        <f t="shared" si="12"/>
        <v>12</v>
      </c>
      <c r="I39" s="6">
        <f t="shared" si="12"/>
        <v>19</v>
      </c>
      <c r="J39" s="6">
        <f t="shared" si="12"/>
        <v>14</v>
      </c>
      <c r="K39" s="6">
        <f t="shared" si="12"/>
        <v>0</v>
      </c>
      <c r="L39" s="6">
        <f t="shared" si="12"/>
        <v>4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436</v>
      </c>
      <c r="C40" s="6">
        <v>6</v>
      </c>
      <c r="D40" s="6">
        <v>0</v>
      </c>
      <c r="E40" s="6">
        <v>0</v>
      </c>
      <c r="F40" s="6">
        <v>0</v>
      </c>
      <c r="G40" s="6">
        <v>112</v>
      </c>
      <c r="H40" s="6">
        <v>128</v>
      </c>
      <c r="I40" s="6">
        <v>134</v>
      </c>
      <c r="J40" s="6">
        <v>45</v>
      </c>
      <c r="K40" s="6">
        <v>0</v>
      </c>
      <c r="L40" s="6">
        <v>11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63</v>
      </c>
      <c r="C41" s="6">
        <v>2</v>
      </c>
      <c r="D41" s="6">
        <v>0</v>
      </c>
      <c r="E41" s="6">
        <v>0</v>
      </c>
      <c r="F41" s="6">
        <v>0</v>
      </c>
      <c r="G41" s="6">
        <v>24</v>
      </c>
      <c r="H41" s="6">
        <v>1</v>
      </c>
      <c r="I41" s="6">
        <v>5</v>
      </c>
      <c r="J41" s="6">
        <v>12</v>
      </c>
      <c r="K41" s="6">
        <v>2</v>
      </c>
      <c r="L41" s="6">
        <v>17</v>
      </c>
      <c r="M41" s="7" t="s">
        <v>11</v>
      </c>
      <c r="N41" s="124" t="s">
        <v>32</v>
      </c>
      <c r="O41" s="1"/>
    </row>
    <row r="42" spans="1:15" ht="13.5" thickBot="1" x14ac:dyDescent="0.25">
      <c r="A42" s="1"/>
      <c r="B42" s="6">
        <f t="shared" ref="B42:L42" si="13">SUM(B40:B41)</f>
        <v>499</v>
      </c>
      <c r="C42" s="6">
        <f t="shared" si="13"/>
        <v>8</v>
      </c>
      <c r="D42" s="6">
        <f t="shared" si="13"/>
        <v>0</v>
      </c>
      <c r="E42" s="6">
        <f t="shared" si="13"/>
        <v>0</v>
      </c>
      <c r="F42" s="6">
        <f t="shared" si="13"/>
        <v>0</v>
      </c>
      <c r="G42" s="6">
        <f t="shared" si="13"/>
        <v>136</v>
      </c>
      <c r="H42" s="6">
        <f t="shared" si="13"/>
        <v>129</v>
      </c>
      <c r="I42" s="6">
        <f t="shared" si="13"/>
        <v>139</v>
      </c>
      <c r="J42" s="6">
        <f t="shared" si="13"/>
        <v>57</v>
      </c>
      <c r="K42" s="6">
        <f t="shared" si="13"/>
        <v>2</v>
      </c>
      <c r="L42" s="6">
        <f t="shared" si="13"/>
        <v>28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1677</v>
      </c>
      <c r="C43" s="6">
        <v>20</v>
      </c>
      <c r="D43" s="6">
        <v>7</v>
      </c>
      <c r="E43" s="6">
        <v>58</v>
      </c>
      <c r="F43" s="6">
        <v>8</v>
      </c>
      <c r="G43" s="6">
        <v>868</v>
      </c>
      <c r="H43" s="6">
        <v>172</v>
      </c>
      <c r="I43" s="6">
        <v>65</v>
      </c>
      <c r="J43" s="6">
        <v>392</v>
      </c>
      <c r="K43" s="6">
        <v>62</v>
      </c>
      <c r="L43" s="6">
        <v>25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444</v>
      </c>
      <c r="C44" s="6">
        <v>1</v>
      </c>
      <c r="D44" s="6">
        <v>5</v>
      </c>
      <c r="E44" s="6">
        <v>3</v>
      </c>
      <c r="F44" s="6">
        <v>0</v>
      </c>
      <c r="G44" s="6">
        <v>226</v>
      </c>
      <c r="H44" s="6">
        <v>18</v>
      </c>
      <c r="I44" s="6">
        <v>18</v>
      </c>
      <c r="J44" s="6">
        <v>97</v>
      </c>
      <c r="K44" s="6">
        <v>66</v>
      </c>
      <c r="L44" s="6">
        <v>10</v>
      </c>
      <c r="M44" s="7" t="s">
        <v>11</v>
      </c>
      <c r="N44" s="124" t="s">
        <v>23</v>
      </c>
      <c r="O44" s="1"/>
    </row>
    <row r="45" spans="1:15" ht="13.5" thickBot="1" x14ac:dyDescent="0.25">
      <c r="A45" s="1"/>
      <c r="B45" s="6">
        <f t="shared" ref="B45:L45" si="14">SUM(B43:B44)</f>
        <v>2121</v>
      </c>
      <c r="C45" s="6">
        <f t="shared" si="14"/>
        <v>21</v>
      </c>
      <c r="D45" s="6">
        <f t="shared" si="14"/>
        <v>12</v>
      </c>
      <c r="E45" s="6">
        <f t="shared" si="14"/>
        <v>61</v>
      </c>
      <c r="F45" s="6">
        <f t="shared" si="14"/>
        <v>8</v>
      </c>
      <c r="G45" s="6">
        <f t="shared" si="14"/>
        <v>1094</v>
      </c>
      <c r="H45" s="6">
        <f t="shared" si="14"/>
        <v>190</v>
      </c>
      <c r="I45" s="6">
        <f t="shared" si="14"/>
        <v>83</v>
      </c>
      <c r="J45" s="6">
        <f t="shared" si="14"/>
        <v>489</v>
      </c>
      <c r="K45" s="6">
        <f t="shared" si="14"/>
        <v>128</v>
      </c>
      <c r="L45" s="6">
        <f t="shared" si="14"/>
        <v>35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si="0"/>
        <v>11660</v>
      </c>
      <c r="C46" s="6">
        <v>275</v>
      </c>
      <c r="D46" s="6">
        <v>11</v>
      </c>
      <c r="E46" s="6">
        <v>231</v>
      </c>
      <c r="F46" s="6">
        <v>4</v>
      </c>
      <c r="G46" s="6">
        <v>930</v>
      </c>
      <c r="H46" s="6">
        <v>3557</v>
      </c>
      <c r="I46" s="6">
        <v>3315</v>
      </c>
      <c r="J46" s="6">
        <v>3225</v>
      </c>
      <c r="K46" s="6">
        <v>63</v>
      </c>
      <c r="L46" s="6">
        <v>49</v>
      </c>
      <c r="M46" s="7" t="s">
        <v>10</v>
      </c>
      <c r="N46" s="124"/>
      <c r="O46" s="1"/>
    </row>
    <row r="47" spans="1:15" ht="13.5" thickBot="1" x14ac:dyDescent="0.25">
      <c r="A47" s="1"/>
      <c r="B47" s="6">
        <f t="shared" si="0"/>
        <v>1635</v>
      </c>
      <c r="C47" s="6">
        <v>77</v>
      </c>
      <c r="D47" s="6">
        <v>35</v>
      </c>
      <c r="E47" s="6">
        <v>24</v>
      </c>
      <c r="F47" s="6">
        <v>0</v>
      </c>
      <c r="G47" s="6">
        <v>329</v>
      </c>
      <c r="H47" s="6">
        <v>77</v>
      </c>
      <c r="I47" s="6">
        <v>505</v>
      </c>
      <c r="J47" s="6">
        <v>482</v>
      </c>
      <c r="K47" s="6">
        <v>61</v>
      </c>
      <c r="L47" s="6">
        <v>45</v>
      </c>
      <c r="M47" s="7" t="s">
        <v>11</v>
      </c>
      <c r="N47" s="124" t="s">
        <v>41</v>
      </c>
      <c r="O47" s="1"/>
    </row>
    <row r="48" spans="1:15" ht="13.5" thickBot="1" x14ac:dyDescent="0.25">
      <c r="A48" s="1"/>
      <c r="B48" s="6">
        <f t="shared" ref="B48:L48" si="15">SUM(B46:B47)</f>
        <v>13295</v>
      </c>
      <c r="C48" s="6">
        <f t="shared" si="15"/>
        <v>352</v>
      </c>
      <c r="D48" s="6">
        <f t="shared" si="15"/>
        <v>46</v>
      </c>
      <c r="E48" s="6">
        <f t="shared" si="15"/>
        <v>255</v>
      </c>
      <c r="F48" s="6">
        <f t="shared" si="15"/>
        <v>4</v>
      </c>
      <c r="G48" s="6">
        <f t="shared" si="15"/>
        <v>1259</v>
      </c>
      <c r="H48" s="6">
        <f t="shared" si="15"/>
        <v>3634</v>
      </c>
      <c r="I48" s="6">
        <f t="shared" si="15"/>
        <v>3820</v>
      </c>
      <c r="J48" s="6">
        <f t="shared" si="15"/>
        <v>3707</v>
      </c>
      <c r="K48" s="6">
        <f t="shared" si="15"/>
        <v>124</v>
      </c>
      <c r="L48" s="6">
        <f t="shared" si="15"/>
        <v>94</v>
      </c>
      <c r="M48" s="7" t="s">
        <v>13</v>
      </c>
      <c r="N48" s="9"/>
      <c r="O48" s="1"/>
    </row>
    <row r="49" spans="1:15" ht="13.5" thickBot="1" x14ac:dyDescent="0.25">
      <c r="A49" s="1"/>
      <c r="B49" s="6">
        <f t="shared" si="0"/>
        <v>54</v>
      </c>
      <c r="C49" s="6">
        <v>0</v>
      </c>
      <c r="D49" s="6">
        <v>0</v>
      </c>
      <c r="E49" s="6">
        <v>2</v>
      </c>
      <c r="F49" s="6">
        <v>0</v>
      </c>
      <c r="G49" s="6">
        <v>45</v>
      </c>
      <c r="H49" s="6">
        <v>4</v>
      </c>
      <c r="I49" s="6">
        <v>0</v>
      </c>
      <c r="J49" s="6">
        <v>2</v>
      </c>
      <c r="K49" s="6">
        <v>1</v>
      </c>
      <c r="L49" s="6">
        <v>0</v>
      </c>
      <c r="M49" s="7" t="s">
        <v>10</v>
      </c>
      <c r="N49" s="124"/>
      <c r="O49" s="1"/>
    </row>
    <row r="50" spans="1:15" ht="13.5" thickBot="1" x14ac:dyDescent="0.25">
      <c r="A50" s="1"/>
      <c r="B50" s="6">
        <f t="shared" si="0"/>
        <v>18</v>
      </c>
      <c r="C50" s="6">
        <v>0</v>
      </c>
      <c r="D50" s="6">
        <v>0</v>
      </c>
      <c r="E50" s="6">
        <v>0</v>
      </c>
      <c r="F50" s="6">
        <v>0</v>
      </c>
      <c r="G50" s="6">
        <v>3</v>
      </c>
      <c r="H50" s="6">
        <v>0</v>
      </c>
      <c r="I50" s="6">
        <v>0</v>
      </c>
      <c r="J50" s="6">
        <v>6</v>
      </c>
      <c r="K50" s="6">
        <v>4</v>
      </c>
      <c r="L50" s="6">
        <v>5</v>
      </c>
      <c r="M50" s="7" t="s">
        <v>11</v>
      </c>
      <c r="N50" s="124" t="s">
        <v>24</v>
      </c>
      <c r="O50" s="1"/>
    </row>
    <row r="51" spans="1:15" ht="13.5" thickBot="1" x14ac:dyDescent="0.25">
      <c r="A51" s="1"/>
      <c r="B51" s="6">
        <f t="shared" ref="B51:L51" si="16">SUM(B49:B50)</f>
        <v>72</v>
      </c>
      <c r="C51" s="6">
        <f t="shared" si="16"/>
        <v>0</v>
      </c>
      <c r="D51" s="6">
        <f t="shared" si="16"/>
        <v>0</v>
      </c>
      <c r="E51" s="6">
        <f t="shared" si="16"/>
        <v>2</v>
      </c>
      <c r="F51" s="6">
        <f t="shared" si="16"/>
        <v>0</v>
      </c>
      <c r="G51" s="6">
        <f t="shared" si="16"/>
        <v>48</v>
      </c>
      <c r="H51" s="6">
        <f t="shared" si="16"/>
        <v>4</v>
      </c>
      <c r="I51" s="6">
        <f t="shared" si="16"/>
        <v>0</v>
      </c>
      <c r="J51" s="6">
        <f t="shared" si="16"/>
        <v>8</v>
      </c>
      <c r="K51" s="6">
        <f t="shared" si="16"/>
        <v>5</v>
      </c>
      <c r="L51" s="6">
        <f t="shared" si="16"/>
        <v>5</v>
      </c>
      <c r="M51" s="7" t="s">
        <v>13</v>
      </c>
      <c r="N51" s="9"/>
      <c r="O51" s="1"/>
    </row>
    <row r="52" spans="1:15" ht="13.5" thickBot="1" x14ac:dyDescent="0.25">
      <c r="A52" s="1"/>
      <c r="B52" s="6">
        <f t="shared" si="0"/>
        <v>7443</v>
      </c>
      <c r="C52" s="6">
        <v>51</v>
      </c>
      <c r="D52" s="6">
        <v>11</v>
      </c>
      <c r="E52" s="6">
        <v>647</v>
      </c>
      <c r="F52" s="6">
        <v>17</v>
      </c>
      <c r="G52" s="6">
        <v>536</v>
      </c>
      <c r="H52" s="6">
        <v>1589</v>
      </c>
      <c r="I52" s="6">
        <v>1461</v>
      </c>
      <c r="J52" s="6">
        <v>2866</v>
      </c>
      <c r="K52" s="6">
        <v>95</v>
      </c>
      <c r="L52" s="6">
        <v>170</v>
      </c>
      <c r="M52" s="7" t="s">
        <v>10</v>
      </c>
      <c r="N52" s="124"/>
      <c r="O52" s="1"/>
    </row>
    <row r="53" spans="1:15" ht="13.5" thickBot="1" x14ac:dyDescent="0.25">
      <c r="A53" s="1"/>
      <c r="B53" s="6">
        <f t="shared" si="0"/>
        <v>1798</v>
      </c>
      <c r="C53" s="6">
        <v>19</v>
      </c>
      <c r="D53" s="6">
        <v>45</v>
      </c>
      <c r="E53" s="6">
        <v>62</v>
      </c>
      <c r="F53" s="6">
        <v>0</v>
      </c>
      <c r="G53" s="6">
        <v>397</v>
      </c>
      <c r="H53" s="6">
        <v>44</v>
      </c>
      <c r="I53" s="6">
        <v>446</v>
      </c>
      <c r="J53" s="6">
        <v>607</v>
      </c>
      <c r="K53" s="6">
        <v>70</v>
      </c>
      <c r="L53" s="6">
        <v>108</v>
      </c>
      <c r="M53" s="7" t="s">
        <v>11</v>
      </c>
      <c r="N53" s="124" t="s">
        <v>37</v>
      </c>
      <c r="O53" s="1"/>
    </row>
    <row r="54" spans="1:15" ht="13.5" thickBot="1" x14ac:dyDescent="0.25">
      <c r="A54" s="1"/>
      <c r="B54" s="6">
        <f t="shared" ref="B54:L54" si="17">SUM(B52:B53)</f>
        <v>9241</v>
      </c>
      <c r="C54" s="6">
        <f t="shared" si="17"/>
        <v>70</v>
      </c>
      <c r="D54" s="6">
        <f t="shared" si="17"/>
        <v>56</v>
      </c>
      <c r="E54" s="6">
        <f t="shared" si="17"/>
        <v>709</v>
      </c>
      <c r="F54" s="6">
        <f t="shared" si="17"/>
        <v>17</v>
      </c>
      <c r="G54" s="6">
        <f t="shared" si="17"/>
        <v>933</v>
      </c>
      <c r="H54" s="6">
        <f t="shared" si="17"/>
        <v>1633</v>
      </c>
      <c r="I54" s="6">
        <f t="shared" si="17"/>
        <v>1907</v>
      </c>
      <c r="J54" s="6">
        <f t="shared" si="17"/>
        <v>3473</v>
      </c>
      <c r="K54" s="6">
        <f t="shared" si="17"/>
        <v>165</v>
      </c>
      <c r="L54" s="6">
        <f t="shared" si="17"/>
        <v>278</v>
      </c>
      <c r="M54" s="7" t="s">
        <v>13</v>
      </c>
      <c r="N54" s="9"/>
      <c r="O54" s="1"/>
    </row>
    <row r="55" spans="1:15" ht="13.5" thickBot="1" x14ac:dyDescent="0.25">
      <c r="A55" s="1"/>
      <c r="B55" s="6">
        <f t="shared" si="0"/>
        <v>3447</v>
      </c>
      <c r="C55" s="6">
        <v>76</v>
      </c>
      <c r="D55" s="6">
        <v>4</v>
      </c>
      <c r="E55" s="6">
        <v>37</v>
      </c>
      <c r="F55" s="6">
        <v>4</v>
      </c>
      <c r="G55" s="6">
        <v>488</v>
      </c>
      <c r="H55" s="6">
        <v>700</v>
      </c>
      <c r="I55" s="6">
        <v>630</v>
      </c>
      <c r="J55" s="6">
        <v>1269</v>
      </c>
      <c r="K55" s="6">
        <v>6</v>
      </c>
      <c r="L55" s="6">
        <v>233</v>
      </c>
      <c r="M55" s="7" t="s">
        <v>10</v>
      </c>
      <c r="N55" s="124"/>
      <c r="O55" s="1"/>
    </row>
    <row r="56" spans="1:15" ht="13.5" thickBot="1" x14ac:dyDescent="0.25">
      <c r="A56" s="1"/>
      <c r="B56" s="6">
        <f t="shared" si="0"/>
        <v>824</v>
      </c>
      <c r="C56" s="6">
        <v>100</v>
      </c>
      <c r="D56" s="6">
        <v>11</v>
      </c>
      <c r="E56" s="6">
        <v>4</v>
      </c>
      <c r="F56" s="6">
        <v>0</v>
      </c>
      <c r="G56" s="6">
        <v>225</v>
      </c>
      <c r="H56" s="6">
        <v>18</v>
      </c>
      <c r="I56" s="6">
        <v>164</v>
      </c>
      <c r="J56" s="6">
        <v>157</v>
      </c>
      <c r="K56" s="6">
        <v>12</v>
      </c>
      <c r="L56" s="6">
        <v>133</v>
      </c>
      <c r="M56" s="7" t="s">
        <v>11</v>
      </c>
      <c r="N56" s="124" t="s">
        <v>42</v>
      </c>
      <c r="O56" s="1"/>
    </row>
    <row r="57" spans="1:15" ht="13.5" thickBot="1" x14ac:dyDescent="0.25">
      <c r="A57" s="1"/>
      <c r="B57" s="6">
        <f t="shared" ref="B57:L57" si="18">SUM(B55:B56)</f>
        <v>4271</v>
      </c>
      <c r="C57" s="6">
        <f t="shared" si="18"/>
        <v>176</v>
      </c>
      <c r="D57" s="6">
        <f t="shared" si="18"/>
        <v>15</v>
      </c>
      <c r="E57" s="6">
        <f t="shared" si="18"/>
        <v>41</v>
      </c>
      <c r="F57" s="6">
        <f t="shared" si="18"/>
        <v>4</v>
      </c>
      <c r="G57" s="6">
        <f t="shared" si="18"/>
        <v>713</v>
      </c>
      <c r="H57" s="6">
        <f t="shared" si="18"/>
        <v>718</v>
      </c>
      <c r="I57" s="6">
        <f t="shared" si="18"/>
        <v>794</v>
      </c>
      <c r="J57" s="6">
        <f t="shared" si="18"/>
        <v>1426</v>
      </c>
      <c r="K57" s="6">
        <f t="shared" si="18"/>
        <v>18</v>
      </c>
      <c r="L57" s="6">
        <f t="shared" si="18"/>
        <v>366</v>
      </c>
      <c r="M57" s="7" t="s">
        <v>13</v>
      </c>
      <c r="N57" s="9"/>
      <c r="O57" s="1"/>
    </row>
    <row r="58" spans="1:15" ht="13.5" thickBot="1" x14ac:dyDescent="0.25">
      <c r="A58" s="1"/>
      <c r="B58" s="6">
        <f t="shared" si="0"/>
        <v>438</v>
      </c>
      <c r="C58" s="6">
        <v>2</v>
      </c>
      <c r="D58" s="6">
        <v>2</v>
      </c>
      <c r="E58" s="6">
        <v>27</v>
      </c>
      <c r="F58" s="6">
        <v>0</v>
      </c>
      <c r="G58" s="6">
        <v>254</v>
      </c>
      <c r="H58" s="6">
        <v>14</v>
      </c>
      <c r="I58" s="6">
        <v>21</v>
      </c>
      <c r="J58" s="6">
        <v>93</v>
      </c>
      <c r="K58" s="6">
        <v>2</v>
      </c>
      <c r="L58" s="6">
        <v>23</v>
      </c>
      <c r="M58" s="7" t="s">
        <v>10</v>
      </c>
      <c r="N58" s="124"/>
      <c r="O58" s="1"/>
    </row>
    <row r="59" spans="1:15" ht="13.5" thickBot="1" x14ac:dyDescent="0.25">
      <c r="A59" s="1"/>
      <c r="B59" s="6">
        <f t="shared" si="0"/>
        <v>153</v>
      </c>
      <c r="C59" s="6">
        <v>4</v>
      </c>
      <c r="D59" s="6">
        <v>25</v>
      </c>
      <c r="E59" s="6">
        <v>2</v>
      </c>
      <c r="F59" s="6">
        <v>0</v>
      </c>
      <c r="G59" s="6">
        <v>25</v>
      </c>
      <c r="H59" s="6">
        <v>4</v>
      </c>
      <c r="I59" s="6">
        <v>13</v>
      </c>
      <c r="J59" s="6">
        <v>45</v>
      </c>
      <c r="K59" s="6">
        <v>2</v>
      </c>
      <c r="L59" s="6">
        <v>33</v>
      </c>
      <c r="M59" s="7" t="s">
        <v>11</v>
      </c>
      <c r="N59" s="124" t="s">
        <v>38</v>
      </c>
      <c r="O59" s="1"/>
    </row>
    <row r="60" spans="1:15" ht="13.5" thickBot="1" x14ac:dyDescent="0.25">
      <c r="A60" s="1"/>
      <c r="B60" s="6">
        <f t="shared" ref="B60:L60" si="19">SUM(B58:B59)</f>
        <v>591</v>
      </c>
      <c r="C60" s="6">
        <f t="shared" si="19"/>
        <v>6</v>
      </c>
      <c r="D60" s="6">
        <f t="shared" si="19"/>
        <v>27</v>
      </c>
      <c r="E60" s="6">
        <f t="shared" si="19"/>
        <v>29</v>
      </c>
      <c r="F60" s="6">
        <f t="shared" si="19"/>
        <v>0</v>
      </c>
      <c r="G60" s="6">
        <f t="shared" si="19"/>
        <v>279</v>
      </c>
      <c r="H60" s="6">
        <f t="shared" si="19"/>
        <v>18</v>
      </c>
      <c r="I60" s="6">
        <f t="shared" si="19"/>
        <v>34</v>
      </c>
      <c r="J60" s="6">
        <f t="shared" si="19"/>
        <v>138</v>
      </c>
      <c r="K60" s="6">
        <f t="shared" si="19"/>
        <v>4</v>
      </c>
      <c r="L60" s="6">
        <f t="shared" si="19"/>
        <v>56</v>
      </c>
      <c r="M60" s="7" t="s">
        <v>13</v>
      </c>
      <c r="N60" s="9"/>
      <c r="O60" s="1"/>
    </row>
    <row r="61" spans="1:15" ht="13.5" thickBot="1" x14ac:dyDescent="0.25">
      <c r="A61" s="1"/>
      <c r="B61" s="6">
        <f t="shared" si="0"/>
        <v>6</v>
      </c>
      <c r="C61" s="6">
        <v>0</v>
      </c>
      <c r="D61" s="6">
        <v>0</v>
      </c>
      <c r="E61" s="6">
        <v>0</v>
      </c>
      <c r="F61" s="6">
        <v>0</v>
      </c>
      <c r="G61" s="6">
        <v>1</v>
      </c>
      <c r="H61" s="6">
        <v>1</v>
      </c>
      <c r="I61" s="6">
        <v>0</v>
      </c>
      <c r="J61" s="6">
        <v>3</v>
      </c>
      <c r="K61" s="6">
        <v>0</v>
      </c>
      <c r="L61" s="6">
        <v>1</v>
      </c>
      <c r="M61" s="7" t="s">
        <v>10</v>
      </c>
      <c r="N61" s="124"/>
      <c r="O61" s="1"/>
    </row>
    <row r="62" spans="1:15" ht="13.5" thickBot="1" x14ac:dyDescent="0.25">
      <c r="A62" s="1"/>
      <c r="B62" s="6">
        <f t="shared" si="0"/>
        <v>14</v>
      </c>
      <c r="C62" s="6">
        <v>0</v>
      </c>
      <c r="D62" s="6">
        <v>1</v>
      </c>
      <c r="E62" s="6">
        <v>0</v>
      </c>
      <c r="F62" s="6">
        <v>0</v>
      </c>
      <c r="G62" s="6">
        <v>3</v>
      </c>
      <c r="H62" s="6">
        <v>0</v>
      </c>
      <c r="I62" s="6">
        <v>6</v>
      </c>
      <c r="J62" s="6">
        <v>4</v>
      </c>
      <c r="K62" s="6">
        <v>0</v>
      </c>
      <c r="L62" s="6">
        <v>0</v>
      </c>
      <c r="M62" s="7" t="s">
        <v>11</v>
      </c>
      <c r="N62" s="124" t="s">
        <v>39</v>
      </c>
      <c r="O62" s="1"/>
    </row>
    <row r="63" spans="1:15" ht="13.5" thickBot="1" x14ac:dyDescent="0.25">
      <c r="A63" s="1"/>
      <c r="B63" s="6">
        <f t="shared" ref="B63:L63" si="20">SUM(B61:B62)</f>
        <v>20</v>
      </c>
      <c r="C63" s="6">
        <f t="shared" si="20"/>
        <v>0</v>
      </c>
      <c r="D63" s="6">
        <f t="shared" si="20"/>
        <v>1</v>
      </c>
      <c r="E63" s="6">
        <f t="shared" si="20"/>
        <v>0</v>
      </c>
      <c r="F63" s="6">
        <f t="shared" si="20"/>
        <v>0</v>
      </c>
      <c r="G63" s="6">
        <f t="shared" si="20"/>
        <v>4</v>
      </c>
      <c r="H63" s="6">
        <f t="shared" si="20"/>
        <v>1</v>
      </c>
      <c r="I63" s="6">
        <f t="shared" si="20"/>
        <v>6</v>
      </c>
      <c r="J63" s="6">
        <f t="shared" si="20"/>
        <v>7</v>
      </c>
      <c r="K63" s="6">
        <f t="shared" si="20"/>
        <v>0</v>
      </c>
      <c r="L63" s="6">
        <f t="shared" si="20"/>
        <v>1</v>
      </c>
      <c r="M63" s="7" t="s">
        <v>13</v>
      </c>
      <c r="N63" s="9"/>
      <c r="O63" s="1"/>
    </row>
    <row r="64" spans="1:15" ht="13.5" thickBot="1" x14ac:dyDescent="0.25">
      <c r="A64" s="1"/>
      <c r="B64" s="6">
        <f t="shared" si="0"/>
        <v>889</v>
      </c>
      <c r="C64" s="6">
        <v>23</v>
      </c>
      <c r="D64" s="6">
        <v>1</v>
      </c>
      <c r="E64" s="6">
        <v>109</v>
      </c>
      <c r="F64" s="6">
        <v>0</v>
      </c>
      <c r="G64" s="6">
        <v>289</v>
      </c>
      <c r="H64" s="6">
        <v>147</v>
      </c>
      <c r="I64" s="6">
        <v>79</v>
      </c>
      <c r="J64" s="6">
        <v>155</v>
      </c>
      <c r="K64" s="6">
        <v>62</v>
      </c>
      <c r="L64" s="6">
        <v>24</v>
      </c>
      <c r="M64" s="7" t="s">
        <v>10</v>
      </c>
      <c r="N64" s="124"/>
      <c r="O64" s="1"/>
    </row>
    <row r="65" spans="1:15" ht="13.5" thickBot="1" x14ac:dyDescent="0.25">
      <c r="A65" s="1"/>
      <c r="B65" s="6">
        <f t="shared" si="0"/>
        <v>299</v>
      </c>
      <c r="C65" s="6">
        <v>3</v>
      </c>
      <c r="D65" s="6">
        <v>6</v>
      </c>
      <c r="E65" s="6">
        <v>28</v>
      </c>
      <c r="F65" s="6">
        <v>0</v>
      </c>
      <c r="G65" s="6">
        <v>130</v>
      </c>
      <c r="H65" s="6">
        <v>11</v>
      </c>
      <c r="I65" s="6">
        <v>23</v>
      </c>
      <c r="J65" s="6">
        <v>61</v>
      </c>
      <c r="K65" s="6">
        <v>12</v>
      </c>
      <c r="L65" s="6">
        <v>25</v>
      </c>
      <c r="M65" s="7" t="s">
        <v>11</v>
      </c>
      <c r="N65" s="124" t="s">
        <v>25</v>
      </c>
      <c r="O65" s="1"/>
    </row>
    <row r="66" spans="1:15" ht="13.5" thickBot="1" x14ac:dyDescent="0.25">
      <c r="A66" s="1"/>
      <c r="B66" s="6">
        <f t="shared" ref="B66:L66" si="21">SUM(B64:B65)</f>
        <v>1188</v>
      </c>
      <c r="C66" s="6">
        <f t="shared" si="21"/>
        <v>26</v>
      </c>
      <c r="D66" s="6">
        <f t="shared" si="21"/>
        <v>7</v>
      </c>
      <c r="E66" s="6">
        <f t="shared" si="21"/>
        <v>137</v>
      </c>
      <c r="F66" s="6">
        <f t="shared" si="21"/>
        <v>0</v>
      </c>
      <c r="G66" s="6">
        <f t="shared" si="21"/>
        <v>419</v>
      </c>
      <c r="H66" s="6">
        <f t="shared" si="21"/>
        <v>158</v>
      </c>
      <c r="I66" s="6">
        <f t="shared" si="21"/>
        <v>102</v>
      </c>
      <c r="J66" s="6">
        <f t="shared" si="21"/>
        <v>216</v>
      </c>
      <c r="K66" s="6">
        <f t="shared" si="21"/>
        <v>74</v>
      </c>
      <c r="L66" s="6">
        <f t="shared" si="21"/>
        <v>49</v>
      </c>
      <c r="M66" s="7" t="s">
        <v>13</v>
      </c>
      <c r="N66" s="9"/>
      <c r="O66" s="1"/>
    </row>
    <row r="67" spans="1:15" ht="13.5" thickBot="1" x14ac:dyDescent="0.25">
      <c r="A67" s="1"/>
      <c r="B67" s="6">
        <f t="shared" si="0"/>
        <v>54</v>
      </c>
      <c r="C67" s="6">
        <v>1</v>
      </c>
      <c r="D67" s="6">
        <v>0</v>
      </c>
      <c r="E67" s="6">
        <v>1</v>
      </c>
      <c r="F67" s="6">
        <v>0</v>
      </c>
      <c r="G67" s="6">
        <v>28</v>
      </c>
      <c r="H67" s="6">
        <v>4</v>
      </c>
      <c r="I67" s="6">
        <v>2</v>
      </c>
      <c r="J67" s="6">
        <v>18</v>
      </c>
      <c r="K67" s="6">
        <v>0</v>
      </c>
      <c r="L67" s="6">
        <v>0</v>
      </c>
      <c r="M67" s="7" t="s">
        <v>10</v>
      </c>
      <c r="N67" s="124"/>
      <c r="O67" s="1"/>
    </row>
    <row r="68" spans="1:15" ht="13.5" thickBot="1" x14ac:dyDescent="0.25">
      <c r="A68" s="1"/>
      <c r="B68" s="6">
        <f t="shared" si="0"/>
        <v>79</v>
      </c>
      <c r="C68" s="6">
        <v>0</v>
      </c>
      <c r="D68" s="6">
        <v>3</v>
      </c>
      <c r="E68" s="6">
        <v>1</v>
      </c>
      <c r="F68" s="6">
        <v>0</v>
      </c>
      <c r="G68" s="6">
        <v>50</v>
      </c>
      <c r="H68" s="6">
        <v>1</v>
      </c>
      <c r="I68" s="6">
        <v>2</v>
      </c>
      <c r="J68" s="6">
        <v>19</v>
      </c>
      <c r="K68" s="6">
        <v>0</v>
      </c>
      <c r="L68" s="6">
        <v>3</v>
      </c>
      <c r="M68" s="7" t="s">
        <v>11</v>
      </c>
      <c r="N68" s="124" t="s">
        <v>26</v>
      </c>
      <c r="O68" s="1"/>
    </row>
    <row r="69" spans="1:15" ht="13.5" thickBot="1" x14ac:dyDescent="0.25">
      <c r="A69" s="1"/>
      <c r="B69" s="6">
        <f t="shared" ref="B69:L69" si="22">SUM(B67:B68)</f>
        <v>133</v>
      </c>
      <c r="C69" s="6">
        <f t="shared" si="22"/>
        <v>1</v>
      </c>
      <c r="D69" s="6">
        <f t="shared" si="22"/>
        <v>3</v>
      </c>
      <c r="E69" s="6">
        <f t="shared" si="22"/>
        <v>2</v>
      </c>
      <c r="F69" s="6">
        <f t="shared" si="22"/>
        <v>0</v>
      </c>
      <c r="G69" s="6">
        <f t="shared" si="22"/>
        <v>78</v>
      </c>
      <c r="H69" s="6">
        <f t="shared" si="22"/>
        <v>5</v>
      </c>
      <c r="I69" s="6">
        <f t="shared" si="22"/>
        <v>4</v>
      </c>
      <c r="J69" s="6">
        <f t="shared" si="22"/>
        <v>37</v>
      </c>
      <c r="K69" s="6">
        <f t="shared" si="22"/>
        <v>0</v>
      </c>
      <c r="L69" s="6">
        <f t="shared" si="22"/>
        <v>3</v>
      </c>
      <c r="M69" s="7" t="s">
        <v>13</v>
      </c>
      <c r="N69" s="9"/>
      <c r="O69" s="1"/>
    </row>
    <row r="70" spans="1:15" ht="13.5" thickBot="1" x14ac:dyDescent="0.25">
      <c r="A70" s="1"/>
      <c r="B70" s="6">
        <f t="shared" ref="B70:B74" si="23">SUM(C70:L70)</f>
        <v>168</v>
      </c>
      <c r="C70" s="6">
        <v>0</v>
      </c>
      <c r="D70" s="6">
        <v>0</v>
      </c>
      <c r="E70" s="6">
        <v>0</v>
      </c>
      <c r="F70" s="6">
        <v>0</v>
      </c>
      <c r="G70" s="6">
        <v>148</v>
      </c>
      <c r="H70" s="6">
        <v>13</v>
      </c>
      <c r="I70" s="6">
        <v>3</v>
      </c>
      <c r="J70" s="6">
        <v>3</v>
      </c>
      <c r="K70" s="6">
        <v>1</v>
      </c>
      <c r="L70" s="6">
        <v>0</v>
      </c>
      <c r="M70" s="7" t="s">
        <v>10</v>
      </c>
      <c r="N70" s="124"/>
      <c r="O70" s="1"/>
    </row>
    <row r="71" spans="1:15" ht="13.5" thickBot="1" x14ac:dyDescent="0.25">
      <c r="A71" s="1"/>
      <c r="B71" s="6">
        <f t="shared" si="23"/>
        <v>55</v>
      </c>
      <c r="C71" s="6">
        <v>0</v>
      </c>
      <c r="D71" s="6">
        <v>0</v>
      </c>
      <c r="E71" s="6">
        <v>0</v>
      </c>
      <c r="F71" s="6">
        <v>0</v>
      </c>
      <c r="G71" s="6">
        <v>22</v>
      </c>
      <c r="H71" s="6">
        <v>0</v>
      </c>
      <c r="I71" s="6">
        <v>5</v>
      </c>
      <c r="J71" s="6">
        <v>15</v>
      </c>
      <c r="K71" s="6">
        <v>7</v>
      </c>
      <c r="L71" s="6">
        <v>6</v>
      </c>
      <c r="M71" s="7" t="s">
        <v>11</v>
      </c>
      <c r="N71" s="124" t="s">
        <v>27</v>
      </c>
      <c r="O71" s="1"/>
    </row>
    <row r="72" spans="1:15" ht="13.5" thickBot="1" x14ac:dyDescent="0.25">
      <c r="A72" s="1"/>
      <c r="B72" s="6">
        <f t="shared" ref="B72:L72" si="24">SUM(B70:B71)</f>
        <v>223</v>
      </c>
      <c r="C72" s="6">
        <f t="shared" si="24"/>
        <v>0</v>
      </c>
      <c r="D72" s="6">
        <f t="shared" si="24"/>
        <v>0</v>
      </c>
      <c r="E72" s="6">
        <f t="shared" si="24"/>
        <v>0</v>
      </c>
      <c r="F72" s="6">
        <f t="shared" si="24"/>
        <v>0</v>
      </c>
      <c r="G72" s="6">
        <f t="shared" si="24"/>
        <v>170</v>
      </c>
      <c r="H72" s="6">
        <f t="shared" si="24"/>
        <v>13</v>
      </c>
      <c r="I72" s="6">
        <f t="shared" si="24"/>
        <v>8</v>
      </c>
      <c r="J72" s="6">
        <f t="shared" si="24"/>
        <v>18</v>
      </c>
      <c r="K72" s="6">
        <f t="shared" si="24"/>
        <v>8</v>
      </c>
      <c r="L72" s="6">
        <f t="shared" si="24"/>
        <v>6</v>
      </c>
      <c r="M72" s="7" t="s">
        <v>13</v>
      </c>
      <c r="N72" s="9"/>
      <c r="O72" s="1"/>
    </row>
    <row r="73" spans="1:15" ht="13.5" thickBot="1" x14ac:dyDescent="0.25">
      <c r="A73" s="1"/>
      <c r="B73" s="6">
        <f t="shared" si="23"/>
        <v>6760</v>
      </c>
      <c r="C73" s="6">
        <v>921</v>
      </c>
      <c r="D73" s="6">
        <v>15</v>
      </c>
      <c r="E73" s="6">
        <v>139</v>
      </c>
      <c r="F73" s="6">
        <v>2</v>
      </c>
      <c r="G73" s="6">
        <v>829</v>
      </c>
      <c r="H73" s="6">
        <v>1097</v>
      </c>
      <c r="I73" s="6">
        <v>1549</v>
      </c>
      <c r="J73" s="6">
        <v>1985</v>
      </c>
      <c r="K73" s="6">
        <v>103</v>
      </c>
      <c r="L73" s="6">
        <v>120</v>
      </c>
      <c r="M73" s="7" t="s">
        <v>10</v>
      </c>
      <c r="N73" s="124"/>
      <c r="O73" s="1"/>
    </row>
    <row r="74" spans="1:15" ht="13.5" thickBot="1" x14ac:dyDescent="0.25">
      <c r="A74" s="1"/>
      <c r="B74" s="6">
        <f t="shared" si="23"/>
        <v>1153</v>
      </c>
      <c r="C74" s="6">
        <v>63</v>
      </c>
      <c r="D74" s="6">
        <v>14</v>
      </c>
      <c r="E74" s="6">
        <v>12</v>
      </c>
      <c r="F74" s="6">
        <v>0</v>
      </c>
      <c r="G74" s="6">
        <v>265</v>
      </c>
      <c r="H74" s="6">
        <v>18</v>
      </c>
      <c r="I74" s="6">
        <v>318</v>
      </c>
      <c r="J74" s="6">
        <v>340</v>
      </c>
      <c r="K74" s="6">
        <v>68</v>
      </c>
      <c r="L74" s="6">
        <v>55</v>
      </c>
      <c r="M74" s="7" t="s">
        <v>11</v>
      </c>
      <c r="N74" s="124" t="s">
        <v>33</v>
      </c>
      <c r="O74" s="1"/>
    </row>
    <row r="75" spans="1:15" ht="13.5" thickBot="1" x14ac:dyDescent="0.25">
      <c r="A75" s="1"/>
      <c r="B75" s="6">
        <f t="shared" ref="B75:L75" si="25">SUM(B73:B74)</f>
        <v>7913</v>
      </c>
      <c r="C75" s="6">
        <f t="shared" si="25"/>
        <v>984</v>
      </c>
      <c r="D75" s="6">
        <f t="shared" si="25"/>
        <v>29</v>
      </c>
      <c r="E75" s="6">
        <f t="shared" si="25"/>
        <v>151</v>
      </c>
      <c r="F75" s="6">
        <f t="shared" si="25"/>
        <v>2</v>
      </c>
      <c r="G75" s="6">
        <f t="shared" si="25"/>
        <v>1094</v>
      </c>
      <c r="H75" s="6">
        <f t="shared" si="25"/>
        <v>1115</v>
      </c>
      <c r="I75" s="6">
        <f t="shared" si="25"/>
        <v>1867</v>
      </c>
      <c r="J75" s="6">
        <f t="shared" si="25"/>
        <v>2325</v>
      </c>
      <c r="K75" s="6">
        <f t="shared" si="25"/>
        <v>171</v>
      </c>
      <c r="L75" s="6">
        <f t="shared" si="25"/>
        <v>175</v>
      </c>
      <c r="M75" s="7" t="s">
        <v>13</v>
      </c>
      <c r="N75" s="9"/>
      <c r="O75" s="1"/>
    </row>
    <row r="76" spans="1:15" ht="13.5" thickBot="1" x14ac:dyDescent="0.25">
      <c r="A76" s="1"/>
      <c r="B76" s="6">
        <f t="shared" ref="B76:K78" si="26">B4+B7+B10+B13+B16+B19+B22+B25+B28+B31+B34+B37+B40+B43+B46+B49+B52+B55+B58+B61+B64+B67+B70+B73</f>
        <v>34678</v>
      </c>
      <c r="C76" s="6">
        <f t="shared" si="26"/>
        <v>1422</v>
      </c>
      <c r="D76" s="6">
        <f t="shared" si="26"/>
        <v>53</v>
      </c>
      <c r="E76" s="6">
        <f t="shared" si="26"/>
        <v>1322</v>
      </c>
      <c r="F76" s="6">
        <f t="shared" si="26"/>
        <v>36</v>
      </c>
      <c r="G76" s="6">
        <f t="shared" si="26"/>
        <v>5272</v>
      </c>
      <c r="H76" s="6">
        <f t="shared" si="26"/>
        <v>7714</v>
      </c>
      <c r="I76" s="6">
        <f t="shared" si="26"/>
        <v>7436</v>
      </c>
      <c r="J76" s="6">
        <f t="shared" si="26"/>
        <v>10259</v>
      </c>
      <c r="K76" s="6">
        <f t="shared" si="26"/>
        <v>417</v>
      </c>
      <c r="L76" s="6">
        <f>L4+L7+L10+L13+L16+L19+L22+L25+L28+L31+L34+L37+L40+L43+L46+L49+L52+L55+L58+L61+L64+L67+L70+L73</f>
        <v>747</v>
      </c>
      <c r="M76" s="7" t="s">
        <v>10</v>
      </c>
      <c r="N76" s="3"/>
      <c r="O76" s="1"/>
    </row>
    <row r="77" spans="1:15" ht="13.5" thickBot="1" x14ac:dyDescent="0.25">
      <c r="A77" s="1"/>
      <c r="B77" s="6">
        <f t="shared" si="26"/>
        <v>8128</v>
      </c>
      <c r="C77" s="6">
        <f t="shared" si="26"/>
        <v>284</v>
      </c>
      <c r="D77" s="6">
        <f t="shared" si="26"/>
        <v>156</v>
      </c>
      <c r="E77" s="6">
        <f t="shared" si="26"/>
        <v>203</v>
      </c>
      <c r="F77" s="6">
        <f t="shared" si="26"/>
        <v>0</v>
      </c>
      <c r="G77" s="6">
        <f t="shared" si="26"/>
        <v>2216</v>
      </c>
      <c r="H77" s="6">
        <f t="shared" si="26"/>
        <v>235</v>
      </c>
      <c r="I77" s="6">
        <f t="shared" si="26"/>
        <v>1737</v>
      </c>
      <c r="J77" s="6">
        <f t="shared" si="26"/>
        <v>2254</v>
      </c>
      <c r="K77" s="6">
        <f t="shared" si="26"/>
        <v>418</v>
      </c>
      <c r="L77" s="6">
        <f>L5+L8+L11+L14+L17+L20+L23+L26+L29+L32+L35+L38+L41+L44+L47+L50+L53+L56+L59+L62+L65+L68+L71+L74</f>
        <v>625</v>
      </c>
      <c r="M77" s="7" t="s">
        <v>11</v>
      </c>
      <c r="N77" s="11" t="s">
        <v>211</v>
      </c>
      <c r="O77" s="1"/>
    </row>
    <row r="78" spans="1:15" ht="13.5" thickBot="1" x14ac:dyDescent="0.25">
      <c r="A78" s="1"/>
      <c r="B78" s="6">
        <f t="shared" si="26"/>
        <v>42806</v>
      </c>
      <c r="C78" s="6">
        <f t="shared" si="26"/>
        <v>1706</v>
      </c>
      <c r="D78" s="6">
        <f t="shared" si="26"/>
        <v>209</v>
      </c>
      <c r="E78" s="6">
        <f t="shared" si="26"/>
        <v>1525</v>
      </c>
      <c r="F78" s="6">
        <f t="shared" si="26"/>
        <v>36</v>
      </c>
      <c r="G78" s="6">
        <f t="shared" si="26"/>
        <v>7488</v>
      </c>
      <c r="H78" s="6">
        <f t="shared" si="26"/>
        <v>7949</v>
      </c>
      <c r="I78" s="6">
        <f t="shared" si="26"/>
        <v>9173</v>
      </c>
      <c r="J78" s="6">
        <f t="shared" si="26"/>
        <v>12513</v>
      </c>
      <c r="K78" s="6">
        <f t="shared" si="26"/>
        <v>835</v>
      </c>
      <c r="L78" s="6">
        <f>L6+L9+L12+L15+L18+L21+L24+L27+L30+L33+L36+L39+L42+L45+L48+L51+L54+L57+L60+L63+L66+L69+L72+L75</f>
        <v>1372</v>
      </c>
      <c r="M78" s="7" t="s">
        <v>13</v>
      </c>
      <c r="N78" s="5"/>
      <c r="O78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8"/>
  <sheetViews>
    <sheetView showGridLines="0" topLeftCell="A70" zoomScale="90" zoomScaleNormal="90" workbookViewId="0">
      <selection activeCell="H43" sqref="H43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703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704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1</v>
      </c>
      <c r="C4" s="6">
        <v>0</v>
      </c>
      <c r="D4" s="6">
        <v>0</v>
      </c>
      <c r="E4" s="6">
        <v>1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68" si="0">SUM(C5:L5)</f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</v>
      </c>
      <c r="K5" s="6">
        <v>0</v>
      </c>
      <c r="L5" s="6">
        <v>0</v>
      </c>
      <c r="M5" s="7" t="s">
        <v>11</v>
      </c>
      <c r="N5" s="124" t="s">
        <v>12</v>
      </c>
      <c r="O5" s="1"/>
    </row>
    <row r="6" spans="1:15" ht="13.5" thickBot="1" x14ac:dyDescent="0.25">
      <c r="A6" s="1"/>
      <c r="B6" s="6">
        <f t="shared" ref="B6:K6" si="1">SUM(B4:B5)</f>
        <v>3</v>
      </c>
      <c r="C6" s="6">
        <f t="shared" si="1"/>
        <v>0</v>
      </c>
      <c r="D6" s="6">
        <f t="shared" si="1"/>
        <v>0</v>
      </c>
      <c r="E6" s="6">
        <f t="shared" si="1"/>
        <v>1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0</v>
      </c>
      <c r="J6" s="6">
        <f t="shared" si="1"/>
        <v>2</v>
      </c>
      <c r="K6" s="6">
        <f t="shared" si="1"/>
        <v>0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1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1</v>
      </c>
      <c r="I7" s="6">
        <v>0</v>
      </c>
      <c r="J7" s="6">
        <v>0</v>
      </c>
      <c r="K7" s="6">
        <v>0</v>
      </c>
      <c r="L7" s="6">
        <v>0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7" t="s">
        <v>11</v>
      </c>
      <c r="N8" s="124" t="s">
        <v>14</v>
      </c>
      <c r="O8" s="1"/>
    </row>
    <row r="9" spans="1:15" ht="13.5" thickBot="1" x14ac:dyDescent="0.25">
      <c r="A9" s="1"/>
      <c r="B9" s="6">
        <f t="shared" ref="B9:L9" si="2">SUM(B7:B8)</f>
        <v>1</v>
      </c>
      <c r="C9" s="6">
        <f t="shared" si="2"/>
        <v>0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0</v>
      </c>
      <c r="H9" s="6">
        <f t="shared" si="2"/>
        <v>1</v>
      </c>
      <c r="I9" s="6">
        <f t="shared" si="2"/>
        <v>0</v>
      </c>
      <c r="J9" s="6">
        <f t="shared" si="2"/>
        <v>0</v>
      </c>
      <c r="K9" s="6">
        <f t="shared" si="2"/>
        <v>0</v>
      </c>
      <c r="L9" s="6">
        <f t="shared" si="2"/>
        <v>0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288</v>
      </c>
      <c r="C10" s="6">
        <v>12</v>
      </c>
      <c r="D10" s="6">
        <v>0</v>
      </c>
      <c r="E10" s="6">
        <v>11</v>
      </c>
      <c r="F10" s="6">
        <v>0</v>
      </c>
      <c r="G10" s="6">
        <v>31</v>
      </c>
      <c r="H10" s="6">
        <v>47</v>
      </c>
      <c r="I10" s="6">
        <v>64</v>
      </c>
      <c r="J10" s="6">
        <v>67</v>
      </c>
      <c r="K10" s="6">
        <v>12</v>
      </c>
      <c r="L10" s="6">
        <v>44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810</v>
      </c>
      <c r="C11" s="6">
        <v>8</v>
      </c>
      <c r="D11" s="6">
        <v>0</v>
      </c>
      <c r="E11" s="6">
        <v>24</v>
      </c>
      <c r="F11" s="6">
        <v>0</v>
      </c>
      <c r="G11" s="6">
        <v>103</v>
      </c>
      <c r="H11" s="6">
        <v>22</v>
      </c>
      <c r="I11" s="6">
        <v>167</v>
      </c>
      <c r="J11" s="6">
        <v>259</v>
      </c>
      <c r="K11" s="6">
        <v>91</v>
      </c>
      <c r="L11" s="6">
        <v>136</v>
      </c>
      <c r="M11" s="7" t="s">
        <v>11</v>
      </c>
      <c r="N11" s="124" t="s">
        <v>15</v>
      </c>
      <c r="O11" s="1"/>
    </row>
    <row r="12" spans="1:15" ht="13.5" thickBot="1" x14ac:dyDescent="0.25">
      <c r="A12" s="1"/>
      <c r="B12" s="6">
        <f t="shared" ref="B12:L12" si="3">SUM(B10:B11)</f>
        <v>1098</v>
      </c>
      <c r="C12" s="6">
        <f t="shared" si="3"/>
        <v>20</v>
      </c>
      <c r="D12" s="6">
        <f t="shared" si="3"/>
        <v>0</v>
      </c>
      <c r="E12" s="6">
        <f t="shared" si="3"/>
        <v>35</v>
      </c>
      <c r="F12" s="6">
        <f t="shared" si="3"/>
        <v>0</v>
      </c>
      <c r="G12" s="6">
        <f t="shared" si="3"/>
        <v>134</v>
      </c>
      <c r="H12" s="6">
        <f t="shared" si="3"/>
        <v>69</v>
      </c>
      <c r="I12" s="6">
        <f t="shared" si="3"/>
        <v>231</v>
      </c>
      <c r="J12" s="6">
        <f t="shared" si="3"/>
        <v>326</v>
      </c>
      <c r="K12" s="6">
        <f t="shared" si="3"/>
        <v>103</v>
      </c>
      <c r="L12" s="6">
        <f t="shared" si="3"/>
        <v>180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8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1</v>
      </c>
      <c r="I13" s="6">
        <v>6</v>
      </c>
      <c r="J13" s="6">
        <v>1</v>
      </c>
      <c r="K13" s="6">
        <v>0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15</v>
      </c>
      <c r="C14" s="6">
        <v>0</v>
      </c>
      <c r="D14" s="6">
        <v>1</v>
      </c>
      <c r="E14" s="6">
        <v>0</v>
      </c>
      <c r="F14" s="6">
        <v>0</v>
      </c>
      <c r="G14" s="6">
        <v>3</v>
      </c>
      <c r="H14" s="6">
        <v>0</v>
      </c>
      <c r="I14" s="6">
        <v>7</v>
      </c>
      <c r="J14" s="6">
        <v>4</v>
      </c>
      <c r="K14" s="6">
        <v>0</v>
      </c>
      <c r="L14" s="6">
        <v>0</v>
      </c>
      <c r="M14" s="7" t="s">
        <v>11</v>
      </c>
      <c r="N14" s="124" t="s">
        <v>16</v>
      </c>
      <c r="O14" s="1"/>
    </row>
    <row r="15" spans="1:15" ht="13.5" thickBot="1" x14ac:dyDescent="0.25">
      <c r="A15" s="1"/>
      <c r="B15" s="6">
        <f t="shared" ref="B15:L15" si="4">SUM(B13:B14)</f>
        <v>23</v>
      </c>
      <c r="C15" s="6">
        <f t="shared" si="4"/>
        <v>0</v>
      </c>
      <c r="D15" s="6">
        <f t="shared" si="4"/>
        <v>1</v>
      </c>
      <c r="E15" s="6">
        <f t="shared" si="4"/>
        <v>0</v>
      </c>
      <c r="F15" s="6">
        <f t="shared" si="4"/>
        <v>0</v>
      </c>
      <c r="G15" s="6">
        <f t="shared" si="4"/>
        <v>3</v>
      </c>
      <c r="H15" s="6">
        <f t="shared" si="4"/>
        <v>1</v>
      </c>
      <c r="I15" s="6">
        <f t="shared" si="4"/>
        <v>13</v>
      </c>
      <c r="J15" s="6">
        <f t="shared" si="4"/>
        <v>5</v>
      </c>
      <c r="K15" s="6">
        <f t="shared" si="4"/>
        <v>0</v>
      </c>
      <c r="L15" s="6">
        <f t="shared" si="4"/>
        <v>0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176</v>
      </c>
      <c r="C16" s="6">
        <v>2</v>
      </c>
      <c r="D16" s="6">
        <v>0</v>
      </c>
      <c r="E16" s="6">
        <v>0</v>
      </c>
      <c r="F16" s="6">
        <v>0</v>
      </c>
      <c r="G16" s="6">
        <v>67</v>
      </c>
      <c r="H16" s="6">
        <v>47</v>
      </c>
      <c r="I16" s="6">
        <v>21</v>
      </c>
      <c r="J16" s="6">
        <v>29</v>
      </c>
      <c r="K16" s="6">
        <v>0</v>
      </c>
      <c r="L16" s="6">
        <v>10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9</v>
      </c>
      <c r="C17" s="6">
        <v>1</v>
      </c>
      <c r="D17" s="6">
        <v>0</v>
      </c>
      <c r="E17" s="6">
        <v>0</v>
      </c>
      <c r="F17" s="6">
        <v>0</v>
      </c>
      <c r="G17" s="6">
        <v>3</v>
      </c>
      <c r="H17" s="6">
        <v>0</v>
      </c>
      <c r="I17" s="6">
        <v>3</v>
      </c>
      <c r="J17" s="6">
        <v>1</v>
      </c>
      <c r="K17" s="6">
        <v>0</v>
      </c>
      <c r="L17" s="6">
        <v>1</v>
      </c>
      <c r="M17" s="7" t="s">
        <v>11</v>
      </c>
      <c r="N17" s="124" t="s">
        <v>31</v>
      </c>
      <c r="O17" s="1"/>
    </row>
    <row r="18" spans="1:15" ht="13.5" thickBot="1" x14ac:dyDescent="0.25">
      <c r="A18" s="1"/>
      <c r="B18" s="6">
        <f t="shared" ref="B18:L18" si="5">SUM(B16:B17)</f>
        <v>185</v>
      </c>
      <c r="C18" s="6">
        <f t="shared" si="5"/>
        <v>3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70</v>
      </c>
      <c r="H18" s="6">
        <f t="shared" si="5"/>
        <v>47</v>
      </c>
      <c r="I18" s="6">
        <f t="shared" si="5"/>
        <v>24</v>
      </c>
      <c r="J18" s="6">
        <f t="shared" si="5"/>
        <v>30</v>
      </c>
      <c r="K18" s="6">
        <f t="shared" si="5"/>
        <v>0</v>
      </c>
      <c r="L18" s="6">
        <f t="shared" si="5"/>
        <v>11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5</v>
      </c>
      <c r="C19" s="6">
        <v>0</v>
      </c>
      <c r="D19" s="6">
        <v>0</v>
      </c>
      <c r="E19" s="6">
        <v>0</v>
      </c>
      <c r="F19" s="6">
        <v>0</v>
      </c>
      <c r="G19" s="6">
        <v>2</v>
      </c>
      <c r="H19" s="6">
        <v>2</v>
      </c>
      <c r="I19" s="6">
        <v>0</v>
      </c>
      <c r="J19" s="6">
        <v>1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2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2</v>
      </c>
      <c r="K20" s="6">
        <v>0</v>
      </c>
      <c r="L20" s="6">
        <v>0</v>
      </c>
      <c r="M20" s="7" t="s">
        <v>11</v>
      </c>
      <c r="N20" s="124" t="s">
        <v>17</v>
      </c>
      <c r="O20" s="1"/>
    </row>
    <row r="21" spans="1:15" ht="13.5" thickBot="1" x14ac:dyDescent="0.25">
      <c r="A21" s="1"/>
      <c r="B21" s="6">
        <f t="shared" ref="B21:L21" si="6">SUM(B19:B20)</f>
        <v>7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2</v>
      </c>
      <c r="H21" s="6">
        <f t="shared" si="6"/>
        <v>2</v>
      </c>
      <c r="I21" s="6">
        <f t="shared" si="6"/>
        <v>0</v>
      </c>
      <c r="J21" s="6">
        <f t="shared" si="6"/>
        <v>3</v>
      </c>
      <c r="K21" s="6">
        <f t="shared" si="6"/>
        <v>0</v>
      </c>
      <c r="L21" s="6">
        <f t="shared" si="6"/>
        <v>0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65</v>
      </c>
      <c r="C22" s="6">
        <v>8</v>
      </c>
      <c r="D22" s="6">
        <v>1</v>
      </c>
      <c r="E22" s="6">
        <v>6</v>
      </c>
      <c r="F22" s="6">
        <v>0</v>
      </c>
      <c r="G22" s="6">
        <v>13</v>
      </c>
      <c r="H22" s="6">
        <v>8</v>
      </c>
      <c r="I22" s="6">
        <v>6</v>
      </c>
      <c r="J22" s="6">
        <v>21</v>
      </c>
      <c r="K22" s="6">
        <v>0</v>
      </c>
      <c r="L22" s="6">
        <v>2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70</v>
      </c>
      <c r="C23" s="6">
        <v>2</v>
      </c>
      <c r="D23" s="6">
        <v>4</v>
      </c>
      <c r="E23" s="6">
        <v>4</v>
      </c>
      <c r="F23" s="6">
        <v>0</v>
      </c>
      <c r="G23" s="6">
        <v>27</v>
      </c>
      <c r="H23" s="6">
        <v>1</v>
      </c>
      <c r="I23" s="6">
        <v>5</v>
      </c>
      <c r="J23" s="6">
        <v>19</v>
      </c>
      <c r="K23" s="6">
        <v>0</v>
      </c>
      <c r="L23" s="6">
        <v>8</v>
      </c>
      <c r="M23" s="7" t="s">
        <v>11</v>
      </c>
      <c r="N23" s="124" t="s">
        <v>19</v>
      </c>
      <c r="O23" s="1"/>
    </row>
    <row r="24" spans="1:15" ht="13.5" thickBot="1" x14ac:dyDescent="0.25">
      <c r="A24" s="1"/>
      <c r="B24" s="6">
        <f t="shared" ref="B24:L24" si="7">SUM(B22:B23)</f>
        <v>135</v>
      </c>
      <c r="C24" s="6">
        <f t="shared" si="7"/>
        <v>10</v>
      </c>
      <c r="D24" s="6">
        <f t="shared" si="7"/>
        <v>5</v>
      </c>
      <c r="E24" s="6">
        <f t="shared" si="7"/>
        <v>10</v>
      </c>
      <c r="F24" s="6">
        <f t="shared" si="7"/>
        <v>0</v>
      </c>
      <c r="G24" s="6">
        <f t="shared" si="7"/>
        <v>40</v>
      </c>
      <c r="H24" s="6">
        <f t="shared" si="7"/>
        <v>9</v>
      </c>
      <c r="I24" s="6">
        <f t="shared" si="7"/>
        <v>11</v>
      </c>
      <c r="J24" s="6">
        <f t="shared" si="7"/>
        <v>40</v>
      </c>
      <c r="K24" s="6">
        <f t="shared" si="7"/>
        <v>0</v>
      </c>
      <c r="L24" s="6">
        <f t="shared" si="7"/>
        <v>10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337</v>
      </c>
      <c r="C25" s="6">
        <v>13</v>
      </c>
      <c r="D25" s="6">
        <v>0</v>
      </c>
      <c r="E25" s="6">
        <v>2</v>
      </c>
      <c r="F25" s="6">
        <v>0</v>
      </c>
      <c r="G25" s="6">
        <v>200</v>
      </c>
      <c r="H25" s="6">
        <v>99</v>
      </c>
      <c r="I25" s="6">
        <v>13</v>
      </c>
      <c r="J25" s="6">
        <v>6</v>
      </c>
      <c r="K25" s="6">
        <v>1</v>
      </c>
      <c r="L25" s="6">
        <v>3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68</v>
      </c>
      <c r="C26" s="6">
        <v>0</v>
      </c>
      <c r="D26" s="6">
        <v>0</v>
      </c>
      <c r="E26" s="6">
        <v>0</v>
      </c>
      <c r="F26" s="6">
        <v>0</v>
      </c>
      <c r="G26" s="6">
        <v>57</v>
      </c>
      <c r="H26" s="6">
        <v>5</v>
      </c>
      <c r="I26" s="6">
        <v>2</v>
      </c>
      <c r="J26" s="6">
        <v>2</v>
      </c>
      <c r="K26" s="6">
        <v>0</v>
      </c>
      <c r="L26" s="6">
        <v>2</v>
      </c>
      <c r="M26" s="7" t="s">
        <v>11</v>
      </c>
      <c r="N26" s="124" t="s">
        <v>35</v>
      </c>
      <c r="O26" s="1"/>
    </row>
    <row r="27" spans="1:15" ht="13.5" thickBot="1" x14ac:dyDescent="0.25">
      <c r="A27" s="1"/>
      <c r="B27" s="6">
        <f t="shared" ref="B27:L27" si="8">SUM(B25:B26)</f>
        <v>405</v>
      </c>
      <c r="C27" s="6">
        <f t="shared" si="8"/>
        <v>13</v>
      </c>
      <c r="D27" s="6">
        <f t="shared" si="8"/>
        <v>0</v>
      </c>
      <c r="E27" s="6">
        <f t="shared" si="8"/>
        <v>2</v>
      </c>
      <c r="F27" s="6">
        <f t="shared" si="8"/>
        <v>0</v>
      </c>
      <c r="G27" s="6">
        <f t="shared" si="8"/>
        <v>257</v>
      </c>
      <c r="H27" s="6">
        <f t="shared" si="8"/>
        <v>104</v>
      </c>
      <c r="I27" s="6">
        <f t="shared" si="8"/>
        <v>15</v>
      </c>
      <c r="J27" s="6">
        <f t="shared" si="8"/>
        <v>8</v>
      </c>
      <c r="K27" s="6">
        <f t="shared" si="8"/>
        <v>1</v>
      </c>
      <c r="L27" s="6">
        <f t="shared" si="8"/>
        <v>5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1</v>
      </c>
      <c r="C28" s="6">
        <v>0</v>
      </c>
      <c r="D28" s="6">
        <v>0</v>
      </c>
      <c r="E28" s="6">
        <v>1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2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1</v>
      </c>
      <c r="K29" s="6">
        <v>0</v>
      </c>
      <c r="L29" s="6">
        <v>1</v>
      </c>
      <c r="M29" s="7" t="s">
        <v>11</v>
      </c>
      <c r="N29" s="124" t="s">
        <v>20</v>
      </c>
      <c r="O29" s="1"/>
    </row>
    <row r="30" spans="1:15" ht="13.5" thickBot="1" x14ac:dyDescent="0.25">
      <c r="A30" s="1"/>
      <c r="B30" s="6">
        <f t="shared" ref="B30:L30" si="9">SUM(B28:B29)</f>
        <v>3</v>
      </c>
      <c r="C30" s="6">
        <f t="shared" si="9"/>
        <v>0</v>
      </c>
      <c r="D30" s="6">
        <f t="shared" si="9"/>
        <v>0</v>
      </c>
      <c r="E30" s="6">
        <f t="shared" si="9"/>
        <v>1</v>
      </c>
      <c r="F30" s="6">
        <f t="shared" si="9"/>
        <v>0</v>
      </c>
      <c r="G30" s="6">
        <f t="shared" si="9"/>
        <v>0</v>
      </c>
      <c r="H30" s="6">
        <f t="shared" si="9"/>
        <v>0</v>
      </c>
      <c r="I30" s="6">
        <f t="shared" si="9"/>
        <v>0</v>
      </c>
      <c r="J30" s="6">
        <f t="shared" si="9"/>
        <v>1</v>
      </c>
      <c r="K30" s="6">
        <f t="shared" si="9"/>
        <v>0</v>
      </c>
      <c r="L30" s="6">
        <f t="shared" si="9"/>
        <v>1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6</v>
      </c>
      <c r="C31" s="6">
        <v>0</v>
      </c>
      <c r="D31" s="6">
        <v>0</v>
      </c>
      <c r="E31" s="6">
        <v>1</v>
      </c>
      <c r="F31" s="6">
        <v>0</v>
      </c>
      <c r="G31" s="6">
        <v>0</v>
      </c>
      <c r="H31" s="6">
        <v>0</v>
      </c>
      <c r="I31" s="6">
        <v>0</v>
      </c>
      <c r="J31" s="6">
        <v>2</v>
      </c>
      <c r="K31" s="6">
        <v>3</v>
      </c>
      <c r="L31" s="6">
        <v>0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3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</v>
      </c>
      <c r="K32" s="6">
        <v>1</v>
      </c>
      <c r="L32" s="6">
        <v>0</v>
      </c>
      <c r="M32" s="7" t="s">
        <v>11</v>
      </c>
      <c r="N32" s="124" t="s">
        <v>21</v>
      </c>
      <c r="O32" s="1"/>
    </row>
    <row r="33" spans="1:15" ht="13.5" thickBot="1" x14ac:dyDescent="0.25">
      <c r="A33" s="1"/>
      <c r="B33" s="6">
        <f t="shared" ref="B33:L33" si="10">SUM(B31:B32)</f>
        <v>9</v>
      </c>
      <c r="C33" s="6">
        <f t="shared" si="10"/>
        <v>0</v>
      </c>
      <c r="D33" s="6">
        <f t="shared" si="10"/>
        <v>0</v>
      </c>
      <c r="E33" s="6">
        <f t="shared" si="10"/>
        <v>1</v>
      </c>
      <c r="F33" s="6">
        <f t="shared" si="10"/>
        <v>0</v>
      </c>
      <c r="G33" s="6">
        <f t="shared" si="10"/>
        <v>0</v>
      </c>
      <c r="H33" s="6">
        <f t="shared" si="10"/>
        <v>0</v>
      </c>
      <c r="I33" s="6">
        <f t="shared" si="10"/>
        <v>0</v>
      </c>
      <c r="J33" s="6">
        <f t="shared" si="10"/>
        <v>4</v>
      </c>
      <c r="K33" s="6">
        <f t="shared" si="10"/>
        <v>4</v>
      </c>
      <c r="L33" s="6">
        <f t="shared" si="10"/>
        <v>0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92</v>
      </c>
      <c r="C34" s="6">
        <v>5</v>
      </c>
      <c r="D34" s="6">
        <v>0</v>
      </c>
      <c r="E34" s="6">
        <v>1</v>
      </c>
      <c r="F34" s="6">
        <v>0</v>
      </c>
      <c r="G34" s="6">
        <v>81</v>
      </c>
      <c r="H34" s="6">
        <v>0</v>
      </c>
      <c r="I34" s="6">
        <v>2</v>
      </c>
      <c r="J34" s="6">
        <v>3</v>
      </c>
      <c r="K34" s="6">
        <v>0</v>
      </c>
      <c r="L34" s="6">
        <v>0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199</v>
      </c>
      <c r="C35" s="6">
        <v>3</v>
      </c>
      <c r="D35" s="6">
        <v>0</v>
      </c>
      <c r="E35" s="6">
        <v>0</v>
      </c>
      <c r="F35" s="6">
        <v>0</v>
      </c>
      <c r="G35" s="6">
        <v>180</v>
      </c>
      <c r="H35" s="6">
        <v>0</v>
      </c>
      <c r="I35" s="6">
        <v>1</v>
      </c>
      <c r="J35" s="6">
        <v>9</v>
      </c>
      <c r="K35" s="6">
        <v>6</v>
      </c>
      <c r="L35" s="6">
        <v>0</v>
      </c>
      <c r="M35" s="7" t="s">
        <v>11</v>
      </c>
      <c r="N35" s="124" t="s">
        <v>22</v>
      </c>
      <c r="O35" s="1"/>
    </row>
    <row r="36" spans="1:15" ht="13.5" thickBot="1" x14ac:dyDescent="0.25">
      <c r="A36" s="1"/>
      <c r="B36" s="6">
        <f t="shared" ref="B36:L36" si="11">SUM(B34:B35)</f>
        <v>291</v>
      </c>
      <c r="C36" s="6">
        <f t="shared" si="11"/>
        <v>8</v>
      </c>
      <c r="D36" s="6">
        <f t="shared" si="11"/>
        <v>0</v>
      </c>
      <c r="E36" s="6">
        <f t="shared" si="11"/>
        <v>1</v>
      </c>
      <c r="F36" s="6">
        <f t="shared" si="11"/>
        <v>0</v>
      </c>
      <c r="G36" s="6">
        <f t="shared" si="11"/>
        <v>261</v>
      </c>
      <c r="H36" s="6">
        <f t="shared" si="11"/>
        <v>0</v>
      </c>
      <c r="I36" s="6">
        <f t="shared" si="11"/>
        <v>3</v>
      </c>
      <c r="J36" s="6">
        <f t="shared" si="11"/>
        <v>12</v>
      </c>
      <c r="K36" s="6">
        <f t="shared" si="11"/>
        <v>6</v>
      </c>
      <c r="L36" s="6">
        <f t="shared" si="11"/>
        <v>0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155</v>
      </c>
      <c r="C37" s="6">
        <v>0</v>
      </c>
      <c r="D37" s="6">
        <v>0</v>
      </c>
      <c r="E37" s="6">
        <v>0</v>
      </c>
      <c r="F37" s="6">
        <v>0</v>
      </c>
      <c r="G37" s="6">
        <v>136</v>
      </c>
      <c r="H37" s="6">
        <v>6</v>
      </c>
      <c r="I37" s="6">
        <v>9</v>
      </c>
      <c r="J37" s="6">
        <v>1</v>
      </c>
      <c r="K37" s="6">
        <v>0</v>
      </c>
      <c r="L37" s="6">
        <v>3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25</v>
      </c>
      <c r="C38" s="6">
        <v>0</v>
      </c>
      <c r="D38" s="6">
        <v>0</v>
      </c>
      <c r="E38" s="6">
        <v>0</v>
      </c>
      <c r="F38" s="6">
        <v>0</v>
      </c>
      <c r="G38" s="6">
        <v>24</v>
      </c>
      <c r="H38" s="6">
        <v>0</v>
      </c>
      <c r="I38" s="6">
        <v>0</v>
      </c>
      <c r="J38" s="6">
        <v>0</v>
      </c>
      <c r="K38" s="6">
        <v>0</v>
      </c>
      <c r="L38" s="6">
        <v>1</v>
      </c>
      <c r="M38" s="7" t="s">
        <v>11</v>
      </c>
      <c r="N38" s="124" t="s">
        <v>36</v>
      </c>
      <c r="O38" s="1"/>
    </row>
    <row r="39" spans="1:15" ht="13.5" thickBot="1" x14ac:dyDescent="0.25">
      <c r="A39" s="1"/>
      <c r="B39" s="6">
        <f t="shared" ref="B39:L39" si="12">SUM(B37:B38)</f>
        <v>180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0</v>
      </c>
      <c r="G39" s="6">
        <f t="shared" si="12"/>
        <v>160</v>
      </c>
      <c r="H39" s="6">
        <f t="shared" si="12"/>
        <v>6</v>
      </c>
      <c r="I39" s="6">
        <f t="shared" si="12"/>
        <v>9</v>
      </c>
      <c r="J39" s="6">
        <f t="shared" si="12"/>
        <v>1</v>
      </c>
      <c r="K39" s="6">
        <f t="shared" si="12"/>
        <v>0</v>
      </c>
      <c r="L39" s="6">
        <f t="shared" si="12"/>
        <v>4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303</v>
      </c>
      <c r="C40" s="6">
        <v>3</v>
      </c>
      <c r="D40" s="6">
        <v>0</v>
      </c>
      <c r="E40" s="6">
        <v>0</v>
      </c>
      <c r="F40" s="6">
        <v>0</v>
      </c>
      <c r="G40" s="6">
        <v>51</v>
      </c>
      <c r="H40" s="6">
        <v>117</v>
      </c>
      <c r="I40" s="6">
        <v>92</v>
      </c>
      <c r="J40" s="6">
        <v>31</v>
      </c>
      <c r="K40" s="6">
        <v>0</v>
      </c>
      <c r="L40" s="6">
        <v>9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29</v>
      </c>
      <c r="C41" s="6">
        <v>0</v>
      </c>
      <c r="D41" s="6">
        <v>0</v>
      </c>
      <c r="E41" s="6">
        <v>0</v>
      </c>
      <c r="F41" s="6">
        <v>0</v>
      </c>
      <c r="G41" s="6">
        <v>13</v>
      </c>
      <c r="H41" s="6">
        <v>1</v>
      </c>
      <c r="I41" s="6">
        <v>3</v>
      </c>
      <c r="J41" s="6">
        <v>6</v>
      </c>
      <c r="K41" s="6">
        <v>1</v>
      </c>
      <c r="L41" s="6">
        <v>5</v>
      </c>
      <c r="M41" s="7" t="s">
        <v>11</v>
      </c>
      <c r="N41" s="124" t="s">
        <v>32</v>
      </c>
      <c r="O41" s="1"/>
    </row>
    <row r="42" spans="1:15" ht="13.5" thickBot="1" x14ac:dyDescent="0.25">
      <c r="A42" s="1"/>
      <c r="B42" s="6">
        <f t="shared" ref="B42:L42" si="13">SUM(B40:B41)</f>
        <v>332</v>
      </c>
      <c r="C42" s="6">
        <f t="shared" si="13"/>
        <v>3</v>
      </c>
      <c r="D42" s="6">
        <f t="shared" si="13"/>
        <v>0</v>
      </c>
      <c r="E42" s="6">
        <f t="shared" si="13"/>
        <v>0</v>
      </c>
      <c r="F42" s="6">
        <f t="shared" si="13"/>
        <v>0</v>
      </c>
      <c r="G42" s="6">
        <f t="shared" si="13"/>
        <v>64</v>
      </c>
      <c r="H42" s="6">
        <f t="shared" si="13"/>
        <v>118</v>
      </c>
      <c r="I42" s="6">
        <f t="shared" si="13"/>
        <v>95</v>
      </c>
      <c r="J42" s="6">
        <f t="shared" si="13"/>
        <v>37</v>
      </c>
      <c r="K42" s="6">
        <f t="shared" si="13"/>
        <v>1</v>
      </c>
      <c r="L42" s="6">
        <f t="shared" si="13"/>
        <v>14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453</v>
      </c>
      <c r="C43" s="6">
        <v>18</v>
      </c>
      <c r="D43" s="6">
        <v>3</v>
      </c>
      <c r="E43" s="6">
        <v>26</v>
      </c>
      <c r="F43" s="6">
        <v>7</v>
      </c>
      <c r="G43" s="6">
        <v>192</v>
      </c>
      <c r="H43" s="6">
        <v>40</v>
      </c>
      <c r="I43" s="6">
        <v>22</v>
      </c>
      <c r="J43" s="6">
        <v>100</v>
      </c>
      <c r="K43" s="6">
        <v>31</v>
      </c>
      <c r="L43" s="6">
        <v>14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156</v>
      </c>
      <c r="C44" s="6">
        <v>1</v>
      </c>
      <c r="D44" s="6">
        <v>3</v>
      </c>
      <c r="E44" s="6">
        <v>2</v>
      </c>
      <c r="F44" s="6">
        <v>0</v>
      </c>
      <c r="G44" s="6">
        <v>83</v>
      </c>
      <c r="H44" s="6">
        <v>2</v>
      </c>
      <c r="I44" s="6">
        <v>11</v>
      </c>
      <c r="J44" s="6">
        <v>27</v>
      </c>
      <c r="K44" s="6">
        <v>23</v>
      </c>
      <c r="L44" s="6">
        <v>4</v>
      </c>
      <c r="M44" s="7" t="s">
        <v>11</v>
      </c>
      <c r="N44" s="124" t="s">
        <v>23</v>
      </c>
      <c r="O44" s="1"/>
    </row>
    <row r="45" spans="1:15" ht="13.5" thickBot="1" x14ac:dyDescent="0.25">
      <c r="A45" s="1"/>
      <c r="B45" s="6">
        <f t="shared" ref="B45:L45" si="14">SUM(B43:B44)</f>
        <v>609</v>
      </c>
      <c r="C45" s="6">
        <f t="shared" si="14"/>
        <v>19</v>
      </c>
      <c r="D45" s="6">
        <f t="shared" si="14"/>
        <v>6</v>
      </c>
      <c r="E45" s="6">
        <f t="shared" si="14"/>
        <v>28</v>
      </c>
      <c r="F45" s="6">
        <f t="shared" si="14"/>
        <v>7</v>
      </c>
      <c r="G45" s="6">
        <f t="shared" si="14"/>
        <v>275</v>
      </c>
      <c r="H45" s="6">
        <f t="shared" si="14"/>
        <v>42</v>
      </c>
      <c r="I45" s="6">
        <f t="shared" si="14"/>
        <v>33</v>
      </c>
      <c r="J45" s="6">
        <f t="shared" si="14"/>
        <v>127</v>
      </c>
      <c r="K45" s="6">
        <f t="shared" si="14"/>
        <v>54</v>
      </c>
      <c r="L45" s="6">
        <f t="shared" si="14"/>
        <v>18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si="0"/>
        <v>9520</v>
      </c>
      <c r="C46" s="6">
        <v>244</v>
      </c>
      <c r="D46" s="6">
        <v>3</v>
      </c>
      <c r="E46" s="6">
        <v>204</v>
      </c>
      <c r="F46" s="6">
        <v>2</v>
      </c>
      <c r="G46" s="6">
        <v>840</v>
      </c>
      <c r="H46" s="6">
        <v>2993</v>
      </c>
      <c r="I46" s="6">
        <v>2713</v>
      </c>
      <c r="J46" s="6">
        <v>2439</v>
      </c>
      <c r="K46" s="6">
        <v>50</v>
      </c>
      <c r="L46" s="6">
        <v>32</v>
      </c>
      <c r="M46" s="7" t="s">
        <v>10</v>
      </c>
      <c r="N46" s="124"/>
      <c r="O46" s="1"/>
    </row>
    <row r="47" spans="1:15" ht="13.5" thickBot="1" x14ac:dyDescent="0.25">
      <c r="A47" s="1"/>
      <c r="B47" s="6">
        <f t="shared" si="0"/>
        <v>1183</v>
      </c>
      <c r="C47" s="6">
        <v>65</v>
      </c>
      <c r="D47" s="6">
        <v>12</v>
      </c>
      <c r="E47" s="6">
        <v>18</v>
      </c>
      <c r="F47" s="6">
        <v>0</v>
      </c>
      <c r="G47" s="6">
        <v>287</v>
      </c>
      <c r="H47" s="6">
        <v>53</v>
      </c>
      <c r="I47" s="6">
        <v>391</v>
      </c>
      <c r="J47" s="6">
        <v>307</v>
      </c>
      <c r="K47" s="6">
        <v>29</v>
      </c>
      <c r="L47" s="6">
        <v>21</v>
      </c>
      <c r="M47" s="7" t="s">
        <v>11</v>
      </c>
      <c r="N47" s="124" t="s">
        <v>41</v>
      </c>
      <c r="O47" s="1"/>
    </row>
    <row r="48" spans="1:15" ht="13.5" thickBot="1" x14ac:dyDescent="0.25">
      <c r="A48" s="1"/>
      <c r="B48" s="6">
        <f t="shared" ref="B48:L48" si="15">SUM(B46:B47)</f>
        <v>10703</v>
      </c>
      <c r="C48" s="6">
        <f t="shared" si="15"/>
        <v>309</v>
      </c>
      <c r="D48" s="6">
        <f t="shared" si="15"/>
        <v>15</v>
      </c>
      <c r="E48" s="6">
        <f t="shared" si="15"/>
        <v>222</v>
      </c>
      <c r="F48" s="6">
        <f t="shared" si="15"/>
        <v>2</v>
      </c>
      <c r="G48" s="6">
        <f t="shared" si="15"/>
        <v>1127</v>
      </c>
      <c r="H48" s="6">
        <f t="shared" si="15"/>
        <v>3046</v>
      </c>
      <c r="I48" s="6">
        <f t="shared" si="15"/>
        <v>3104</v>
      </c>
      <c r="J48" s="6">
        <f t="shared" si="15"/>
        <v>2746</v>
      </c>
      <c r="K48" s="6">
        <f t="shared" si="15"/>
        <v>79</v>
      </c>
      <c r="L48" s="6">
        <f t="shared" si="15"/>
        <v>53</v>
      </c>
      <c r="M48" s="7" t="s">
        <v>13</v>
      </c>
      <c r="N48" s="9"/>
      <c r="O48" s="1"/>
    </row>
    <row r="49" spans="1:15" ht="13.5" thickBot="1" x14ac:dyDescent="0.25">
      <c r="A49" s="1"/>
      <c r="B49" s="6">
        <f t="shared" si="0"/>
        <v>20</v>
      </c>
      <c r="C49" s="6">
        <v>0</v>
      </c>
      <c r="D49" s="6">
        <v>0</v>
      </c>
      <c r="E49" s="6">
        <v>1</v>
      </c>
      <c r="F49" s="6">
        <v>0</v>
      </c>
      <c r="G49" s="6">
        <v>14</v>
      </c>
      <c r="H49" s="6">
        <v>3</v>
      </c>
      <c r="I49" s="6">
        <v>0</v>
      </c>
      <c r="J49" s="6">
        <v>2</v>
      </c>
      <c r="K49" s="6">
        <v>0</v>
      </c>
      <c r="L49" s="6">
        <v>0</v>
      </c>
      <c r="M49" s="7" t="s">
        <v>10</v>
      </c>
      <c r="N49" s="124"/>
      <c r="O49" s="1"/>
    </row>
    <row r="50" spans="1:15" ht="13.5" thickBot="1" x14ac:dyDescent="0.25">
      <c r="A50" s="1"/>
      <c r="B50" s="6">
        <f t="shared" si="0"/>
        <v>5</v>
      </c>
      <c r="C50" s="6">
        <v>0</v>
      </c>
      <c r="D50" s="6">
        <v>0</v>
      </c>
      <c r="E50" s="6">
        <v>0</v>
      </c>
      <c r="F50" s="6">
        <v>0</v>
      </c>
      <c r="G50" s="6">
        <v>2</v>
      </c>
      <c r="H50" s="6">
        <v>0</v>
      </c>
      <c r="I50" s="6">
        <v>0</v>
      </c>
      <c r="J50" s="6">
        <v>1</v>
      </c>
      <c r="K50" s="6">
        <v>0</v>
      </c>
      <c r="L50" s="6">
        <v>2</v>
      </c>
      <c r="M50" s="7" t="s">
        <v>11</v>
      </c>
      <c r="N50" s="124" t="s">
        <v>24</v>
      </c>
      <c r="O50" s="1"/>
    </row>
    <row r="51" spans="1:15" ht="13.5" thickBot="1" x14ac:dyDescent="0.25">
      <c r="A51" s="1"/>
      <c r="B51" s="6">
        <f t="shared" ref="B51:L51" si="16">SUM(B49:B50)</f>
        <v>25</v>
      </c>
      <c r="C51" s="6">
        <f t="shared" si="16"/>
        <v>0</v>
      </c>
      <c r="D51" s="6">
        <f t="shared" si="16"/>
        <v>0</v>
      </c>
      <c r="E51" s="6">
        <f t="shared" si="16"/>
        <v>1</v>
      </c>
      <c r="F51" s="6">
        <f t="shared" si="16"/>
        <v>0</v>
      </c>
      <c r="G51" s="6">
        <f t="shared" si="16"/>
        <v>16</v>
      </c>
      <c r="H51" s="6">
        <f t="shared" si="16"/>
        <v>3</v>
      </c>
      <c r="I51" s="6">
        <f t="shared" si="16"/>
        <v>0</v>
      </c>
      <c r="J51" s="6">
        <f t="shared" si="16"/>
        <v>3</v>
      </c>
      <c r="K51" s="6">
        <f t="shared" si="16"/>
        <v>0</v>
      </c>
      <c r="L51" s="6">
        <f t="shared" si="16"/>
        <v>2</v>
      </c>
      <c r="M51" s="7" t="s">
        <v>13</v>
      </c>
      <c r="N51" s="9"/>
      <c r="O51" s="1"/>
    </row>
    <row r="52" spans="1:15" ht="13.5" thickBot="1" x14ac:dyDescent="0.25">
      <c r="A52" s="1"/>
      <c r="B52" s="6">
        <f t="shared" si="0"/>
        <v>3380</v>
      </c>
      <c r="C52" s="6">
        <v>33</v>
      </c>
      <c r="D52" s="6">
        <v>2</v>
      </c>
      <c r="E52" s="6">
        <v>287</v>
      </c>
      <c r="F52" s="6">
        <v>14</v>
      </c>
      <c r="G52" s="6">
        <v>396</v>
      </c>
      <c r="H52" s="6">
        <v>609</v>
      </c>
      <c r="I52" s="6">
        <v>774</v>
      </c>
      <c r="J52" s="6">
        <v>1054</v>
      </c>
      <c r="K52" s="6">
        <v>77</v>
      </c>
      <c r="L52" s="6">
        <v>134</v>
      </c>
      <c r="M52" s="7" t="s">
        <v>10</v>
      </c>
      <c r="N52" s="124"/>
      <c r="O52" s="1"/>
    </row>
    <row r="53" spans="1:15" ht="13.5" thickBot="1" x14ac:dyDescent="0.25">
      <c r="A53" s="1"/>
      <c r="B53" s="6">
        <f t="shared" si="0"/>
        <v>1060</v>
      </c>
      <c r="C53" s="6">
        <v>14</v>
      </c>
      <c r="D53" s="6">
        <v>14</v>
      </c>
      <c r="E53" s="6">
        <v>22</v>
      </c>
      <c r="F53" s="6">
        <v>0</v>
      </c>
      <c r="G53" s="6">
        <v>310</v>
      </c>
      <c r="H53" s="6">
        <v>23</v>
      </c>
      <c r="I53" s="6">
        <v>306</v>
      </c>
      <c r="J53" s="6">
        <v>281</v>
      </c>
      <c r="K53" s="6">
        <v>25</v>
      </c>
      <c r="L53" s="6">
        <v>65</v>
      </c>
      <c r="M53" s="7" t="s">
        <v>11</v>
      </c>
      <c r="N53" s="124" t="s">
        <v>37</v>
      </c>
      <c r="O53" s="1"/>
    </row>
    <row r="54" spans="1:15" ht="13.5" thickBot="1" x14ac:dyDescent="0.25">
      <c r="A54" s="1"/>
      <c r="B54" s="6">
        <f t="shared" ref="B54:L54" si="17">SUM(B52:B53)</f>
        <v>4440</v>
      </c>
      <c r="C54" s="6">
        <f t="shared" si="17"/>
        <v>47</v>
      </c>
      <c r="D54" s="6">
        <f t="shared" si="17"/>
        <v>16</v>
      </c>
      <c r="E54" s="6">
        <f t="shared" si="17"/>
        <v>309</v>
      </c>
      <c r="F54" s="6">
        <f t="shared" si="17"/>
        <v>14</v>
      </c>
      <c r="G54" s="6">
        <f t="shared" si="17"/>
        <v>706</v>
      </c>
      <c r="H54" s="6">
        <f t="shared" si="17"/>
        <v>632</v>
      </c>
      <c r="I54" s="6">
        <f t="shared" si="17"/>
        <v>1080</v>
      </c>
      <c r="J54" s="6">
        <f t="shared" si="17"/>
        <v>1335</v>
      </c>
      <c r="K54" s="6">
        <f t="shared" si="17"/>
        <v>102</v>
      </c>
      <c r="L54" s="6">
        <f t="shared" si="17"/>
        <v>199</v>
      </c>
      <c r="M54" s="7" t="s">
        <v>13</v>
      </c>
      <c r="N54" s="9"/>
      <c r="O54" s="1"/>
    </row>
    <row r="55" spans="1:15" ht="13.5" thickBot="1" x14ac:dyDescent="0.25">
      <c r="A55" s="1"/>
      <c r="B55" s="6">
        <f t="shared" si="0"/>
        <v>1896</v>
      </c>
      <c r="C55" s="6">
        <v>65</v>
      </c>
      <c r="D55" s="6">
        <v>3</v>
      </c>
      <c r="E55" s="6">
        <v>22</v>
      </c>
      <c r="F55" s="6">
        <v>4</v>
      </c>
      <c r="G55" s="6">
        <v>437</v>
      </c>
      <c r="H55" s="6">
        <v>400</v>
      </c>
      <c r="I55" s="6">
        <v>305</v>
      </c>
      <c r="J55" s="6">
        <v>507</v>
      </c>
      <c r="K55" s="6">
        <v>5</v>
      </c>
      <c r="L55" s="6">
        <v>148</v>
      </c>
      <c r="M55" s="7" t="s">
        <v>10</v>
      </c>
      <c r="N55" s="124"/>
      <c r="O55" s="1"/>
    </row>
    <row r="56" spans="1:15" ht="13.5" thickBot="1" x14ac:dyDescent="0.25">
      <c r="A56" s="1"/>
      <c r="B56" s="6">
        <f t="shared" si="0"/>
        <v>657</v>
      </c>
      <c r="C56" s="6">
        <v>94</v>
      </c>
      <c r="D56" s="6">
        <v>4</v>
      </c>
      <c r="E56" s="6">
        <v>2</v>
      </c>
      <c r="F56" s="6">
        <v>0</v>
      </c>
      <c r="G56" s="6">
        <v>194</v>
      </c>
      <c r="H56" s="6">
        <v>12</v>
      </c>
      <c r="I56" s="6">
        <v>126</v>
      </c>
      <c r="J56" s="6">
        <v>101</v>
      </c>
      <c r="K56" s="6">
        <v>6</v>
      </c>
      <c r="L56" s="6">
        <v>118</v>
      </c>
      <c r="M56" s="7" t="s">
        <v>11</v>
      </c>
      <c r="N56" s="124" t="s">
        <v>42</v>
      </c>
      <c r="O56" s="1"/>
    </row>
    <row r="57" spans="1:15" ht="13.5" thickBot="1" x14ac:dyDescent="0.25">
      <c r="A57" s="1"/>
      <c r="B57" s="6">
        <f t="shared" ref="B57:L57" si="18">SUM(B55:B56)</f>
        <v>2553</v>
      </c>
      <c r="C57" s="6">
        <f t="shared" si="18"/>
        <v>159</v>
      </c>
      <c r="D57" s="6">
        <f t="shared" si="18"/>
        <v>7</v>
      </c>
      <c r="E57" s="6">
        <f t="shared" si="18"/>
        <v>24</v>
      </c>
      <c r="F57" s="6">
        <f t="shared" si="18"/>
        <v>4</v>
      </c>
      <c r="G57" s="6">
        <f t="shared" si="18"/>
        <v>631</v>
      </c>
      <c r="H57" s="6">
        <f t="shared" si="18"/>
        <v>412</v>
      </c>
      <c r="I57" s="6">
        <f t="shared" si="18"/>
        <v>431</v>
      </c>
      <c r="J57" s="6">
        <f t="shared" si="18"/>
        <v>608</v>
      </c>
      <c r="K57" s="6">
        <f t="shared" si="18"/>
        <v>11</v>
      </c>
      <c r="L57" s="6">
        <f t="shared" si="18"/>
        <v>266</v>
      </c>
      <c r="M57" s="7" t="s">
        <v>13</v>
      </c>
      <c r="N57" s="9"/>
      <c r="O57" s="1"/>
    </row>
    <row r="58" spans="1:15" ht="13.5" thickBot="1" x14ac:dyDescent="0.25">
      <c r="A58" s="1"/>
      <c r="B58" s="6">
        <f t="shared" si="0"/>
        <v>362</v>
      </c>
      <c r="C58" s="6">
        <v>2</v>
      </c>
      <c r="D58" s="6">
        <v>0</v>
      </c>
      <c r="E58" s="6">
        <v>22</v>
      </c>
      <c r="F58" s="6">
        <v>0</v>
      </c>
      <c r="G58" s="6">
        <v>249</v>
      </c>
      <c r="H58" s="6">
        <v>12</v>
      </c>
      <c r="I58" s="6">
        <v>11</v>
      </c>
      <c r="J58" s="6">
        <v>51</v>
      </c>
      <c r="K58" s="6">
        <v>1</v>
      </c>
      <c r="L58" s="6">
        <v>14</v>
      </c>
      <c r="M58" s="7" t="s">
        <v>10</v>
      </c>
      <c r="N58" s="124"/>
      <c r="O58" s="1"/>
    </row>
    <row r="59" spans="1:15" ht="13.5" thickBot="1" x14ac:dyDescent="0.25">
      <c r="A59" s="1"/>
      <c r="B59" s="6">
        <f t="shared" si="0"/>
        <v>69</v>
      </c>
      <c r="C59" s="6">
        <v>4</v>
      </c>
      <c r="D59" s="6">
        <v>3</v>
      </c>
      <c r="E59" s="6">
        <v>1</v>
      </c>
      <c r="F59" s="6">
        <v>0</v>
      </c>
      <c r="G59" s="6">
        <v>24</v>
      </c>
      <c r="H59" s="6">
        <v>1</v>
      </c>
      <c r="I59" s="6">
        <v>6</v>
      </c>
      <c r="J59" s="6">
        <v>16</v>
      </c>
      <c r="K59" s="6">
        <v>0</v>
      </c>
      <c r="L59" s="6">
        <v>14</v>
      </c>
      <c r="M59" s="7" t="s">
        <v>11</v>
      </c>
      <c r="N59" s="124" t="s">
        <v>38</v>
      </c>
      <c r="O59" s="1"/>
    </row>
    <row r="60" spans="1:15" ht="13.5" thickBot="1" x14ac:dyDescent="0.25">
      <c r="A60" s="1"/>
      <c r="B60" s="6">
        <f t="shared" ref="B60:L60" si="19">SUM(B58:B59)</f>
        <v>431</v>
      </c>
      <c r="C60" s="6">
        <f t="shared" si="19"/>
        <v>6</v>
      </c>
      <c r="D60" s="6">
        <f t="shared" si="19"/>
        <v>3</v>
      </c>
      <c r="E60" s="6">
        <f t="shared" si="19"/>
        <v>23</v>
      </c>
      <c r="F60" s="6">
        <f t="shared" si="19"/>
        <v>0</v>
      </c>
      <c r="G60" s="6">
        <f t="shared" si="19"/>
        <v>273</v>
      </c>
      <c r="H60" s="6">
        <f t="shared" si="19"/>
        <v>13</v>
      </c>
      <c r="I60" s="6">
        <f t="shared" si="19"/>
        <v>17</v>
      </c>
      <c r="J60" s="6">
        <f t="shared" si="19"/>
        <v>67</v>
      </c>
      <c r="K60" s="6">
        <f t="shared" si="19"/>
        <v>1</v>
      </c>
      <c r="L60" s="6">
        <f t="shared" si="19"/>
        <v>28</v>
      </c>
      <c r="M60" s="7" t="s">
        <v>13</v>
      </c>
      <c r="N60" s="9"/>
      <c r="O60" s="1"/>
    </row>
    <row r="61" spans="1:15" ht="13.5" thickBot="1" x14ac:dyDescent="0.25">
      <c r="A61" s="1"/>
      <c r="B61" s="6">
        <f t="shared" si="0"/>
        <v>4</v>
      </c>
      <c r="C61" s="6">
        <v>0</v>
      </c>
      <c r="D61" s="6">
        <v>0</v>
      </c>
      <c r="E61" s="6">
        <v>0</v>
      </c>
      <c r="F61" s="6">
        <v>0</v>
      </c>
      <c r="G61" s="6">
        <v>1</v>
      </c>
      <c r="H61" s="6">
        <v>1</v>
      </c>
      <c r="I61" s="6">
        <v>0</v>
      </c>
      <c r="J61" s="6">
        <v>1</v>
      </c>
      <c r="K61" s="6">
        <v>0</v>
      </c>
      <c r="L61" s="6">
        <v>1</v>
      </c>
      <c r="M61" s="7" t="s">
        <v>10</v>
      </c>
      <c r="N61" s="124"/>
      <c r="O61" s="1"/>
    </row>
    <row r="62" spans="1:15" ht="13.5" thickBot="1" x14ac:dyDescent="0.25">
      <c r="A62" s="1"/>
      <c r="B62" s="6">
        <f t="shared" si="0"/>
        <v>8</v>
      </c>
      <c r="C62" s="6">
        <v>0</v>
      </c>
      <c r="D62" s="6">
        <v>1</v>
      </c>
      <c r="E62" s="6">
        <v>0</v>
      </c>
      <c r="F62" s="6">
        <v>0</v>
      </c>
      <c r="G62" s="6">
        <v>2</v>
      </c>
      <c r="H62" s="6">
        <v>0</v>
      </c>
      <c r="I62" s="6">
        <v>2</v>
      </c>
      <c r="J62" s="6">
        <v>3</v>
      </c>
      <c r="K62" s="6">
        <v>0</v>
      </c>
      <c r="L62" s="6">
        <v>0</v>
      </c>
      <c r="M62" s="7" t="s">
        <v>11</v>
      </c>
      <c r="N62" s="124" t="s">
        <v>39</v>
      </c>
      <c r="O62" s="1"/>
    </row>
    <row r="63" spans="1:15" ht="13.5" thickBot="1" x14ac:dyDescent="0.25">
      <c r="A63" s="1"/>
      <c r="B63" s="6">
        <f t="shared" ref="B63:L63" si="20">SUM(B61:B62)</f>
        <v>12</v>
      </c>
      <c r="C63" s="6">
        <f t="shared" si="20"/>
        <v>0</v>
      </c>
      <c r="D63" s="6">
        <f t="shared" si="20"/>
        <v>1</v>
      </c>
      <c r="E63" s="6">
        <f t="shared" si="20"/>
        <v>0</v>
      </c>
      <c r="F63" s="6">
        <f t="shared" si="20"/>
        <v>0</v>
      </c>
      <c r="G63" s="6">
        <f t="shared" si="20"/>
        <v>3</v>
      </c>
      <c r="H63" s="6">
        <f t="shared" si="20"/>
        <v>1</v>
      </c>
      <c r="I63" s="6">
        <f t="shared" si="20"/>
        <v>2</v>
      </c>
      <c r="J63" s="6">
        <f t="shared" si="20"/>
        <v>4</v>
      </c>
      <c r="K63" s="6">
        <f t="shared" si="20"/>
        <v>0</v>
      </c>
      <c r="L63" s="6">
        <f t="shared" si="20"/>
        <v>1</v>
      </c>
      <c r="M63" s="7" t="s">
        <v>13</v>
      </c>
      <c r="N63" s="9"/>
      <c r="O63" s="1"/>
    </row>
    <row r="64" spans="1:15" ht="13.5" thickBot="1" x14ac:dyDescent="0.25">
      <c r="A64" s="1"/>
      <c r="B64" s="6">
        <f t="shared" si="0"/>
        <v>738</v>
      </c>
      <c r="C64" s="6">
        <v>22</v>
      </c>
      <c r="D64" s="6">
        <v>0</v>
      </c>
      <c r="E64" s="6">
        <v>74</v>
      </c>
      <c r="F64" s="6">
        <v>0</v>
      </c>
      <c r="G64" s="6">
        <v>267</v>
      </c>
      <c r="H64" s="6">
        <v>114</v>
      </c>
      <c r="I64" s="6">
        <v>64</v>
      </c>
      <c r="J64" s="6">
        <v>111</v>
      </c>
      <c r="K64" s="6">
        <v>62</v>
      </c>
      <c r="L64" s="6">
        <v>24</v>
      </c>
      <c r="M64" s="7" t="s">
        <v>10</v>
      </c>
      <c r="N64" s="124"/>
      <c r="O64" s="1"/>
    </row>
    <row r="65" spans="1:15" ht="13.5" thickBot="1" x14ac:dyDescent="0.25">
      <c r="A65" s="1"/>
      <c r="B65" s="6">
        <f t="shared" si="0"/>
        <v>132</v>
      </c>
      <c r="C65" s="6">
        <v>2</v>
      </c>
      <c r="D65" s="6">
        <v>3</v>
      </c>
      <c r="E65" s="6">
        <v>1</v>
      </c>
      <c r="F65" s="6">
        <v>0</v>
      </c>
      <c r="G65" s="6">
        <v>86</v>
      </c>
      <c r="H65" s="6">
        <v>1</v>
      </c>
      <c r="I65" s="6">
        <v>3</v>
      </c>
      <c r="J65" s="6">
        <v>15</v>
      </c>
      <c r="K65" s="6">
        <v>11</v>
      </c>
      <c r="L65" s="6">
        <v>10</v>
      </c>
      <c r="M65" s="7" t="s">
        <v>11</v>
      </c>
      <c r="N65" s="124" t="s">
        <v>25</v>
      </c>
      <c r="O65" s="1"/>
    </row>
    <row r="66" spans="1:15" ht="13.5" thickBot="1" x14ac:dyDescent="0.25">
      <c r="A66" s="1"/>
      <c r="B66" s="6">
        <f t="shared" ref="B66:L66" si="21">SUM(B64:B65)</f>
        <v>870</v>
      </c>
      <c r="C66" s="6">
        <f t="shared" si="21"/>
        <v>24</v>
      </c>
      <c r="D66" s="6">
        <f t="shared" si="21"/>
        <v>3</v>
      </c>
      <c r="E66" s="6">
        <f t="shared" si="21"/>
        <v>75</v>
      </c>
      <c r="F66" s="6">
        <f t="shared" si="21"/>
        <v>0</v>
      </c>
      <c r="G66" s="6">
        <f t="shared" si="21"/>
        <v>353</v>
      </c>
      <c r="H66" s="6">
        <f t="shared" si="21"/>
        <v>115</v>
      </c>
      <c r="I66" s="6">
        <f t="shared" si="21"/>
        <v>67</v>
      </c>
      <c r="J66" s="6">
        <f t="shared" si="21"/>
        <v>126</v>
      </c>
      <c r="K66" s="6">
        <f t="shared" si="21"/>
        <v>73</v>
      </c>
      <c r="L66" s="6">
        <f t="shared" si="21"/>
        <v>34</v>
      </c>
      <c r="M66" s="7" t="s">
        <v>13</v>
      </c>
      <c r="N66" s="9"/>
      <c r="O66" s="1"/>
    </row>
    <row r="67" spans="1:15" ht="13.5" thickBot="1" x14ac:dyDescent="0.25">
      <c r="A67" s="1"/>
      <c r="B67" s="6">
        <f t="shared" si="0"/>
        <v>27</v>
      </c>
      <c r="C67" s="6">
        <v>1</v>
      </c>
      <c r="D67" s="6">
        <v>0</v>
      </c>
      <c r="E67" s="6">
        <v>0</v>
      </c>
      <c r="F67" s="6">
        <v>0</v>
      </c>
      <c r="G67" s="6">
        <v>19</v>
      </c>
      <c r="H67" s="6">
        <v>0</v>
      </c>
      <c r="I67" s="6">
        <v>0</v>
      </c>
      <c r="J67" s="6">
        <v>7</v>
      </c>
      <c r="K67" s="6">
        <v>0</v>
      </c>
      <c r="L67" s="6">
        <v>0</v>
      </c>
      <c r="M67" s="7" t="s">
        <v>10</v>
      </c>
      <c r="N67" s="124"/>
      <c r="O67" s="1"/>
    </row>
    <row r="68" spans="1:15" ht="13.5" thickBot="1" x14ac:dyDescent="0.25">
      <c r="A68" s="1"/>
      <c r="B68" s="6">
        <f t="shared" si="0"/>
        <v>50</v>
      </c>
      <c r="C68" s="6">
        <v>0</v>
      </c>
      <c r="D68" s="6">
        <v>0</v>
      </c>
      <c r="E68" s="6">
        <v>0</v>
      </c>
      <c r="F68" s="6">
        <v>0</v>
      </c>
      <c r="G68" s="6">
        <v>45</v>
      </c>
      <c r="H68" s="6">
        <v>0</v>
      </c>
      <c r="I68" s="6">
        <v>1</v>
      </c>
      <c r="J68" s="6">
        <v>4</v>
      </c>
      <c r="K68" s="6">
        <v>0</v>
      </c>
      <c r="L68" s="6">
        <v>0</v>
      </c>
      <c r="M68" s="7" t="s">
        <v>11</v>
      </c>
      <c r="N68" s="124" t="s">
        <v>26</v>
      </c>
      <c r="O68" s="1"/>
    </row>
    <row r="69" spans="1:15" ht="13.5" thickBot="1" x14ac:dyDescent="0.25">
      <c r="A69" s="1"/>
      <c r="B69" s="6">
        <f t="shared" ref="B69:L69" si="22">SUM(B67:B68)</f>
        <v>77</v>
      </c>
      <c r="C69" s="6">
        <f t="shared" si="22"/>
        <v>1</v>
      </c>
      <c r="D69" s="6">
        <f t="shared" si="22"/>
        <v>0</v>
      </c>
      <c r="E69" s="6">
        <f t="shared" si="22"/>
        <v>0</v>
      </c>
      <c r="F69" s="6">
        <f t="shared" si="22"/>
        <v>0</v>
      </c>
      <c r="G69" s="6">
        <f t="shared" si="22"/>
        <v>64</v>
      </c>
      <c r="H69" s="6">
        <f t="shared" si="22"/>
        <v>0</v>
      </c>
      <c r="I69" s="6">
        <f t="shared" si="22"/>
        <v>1</v>
      </c>
      <c r="J69" s="6">
        <f t="shared" si="22"/>
        <v>11</v>
      </c>
      <c r="K69" s="6">
        <f t="shared" si="22"/>
        <v>0</v>
      </c>
      <c r="L69" s="6">
        <f t="shared" si="22"/>
        <v>0</v>
      </c>
      <c r="M69" s="7" t="s">
        <v>13</v>
      </c>
      <c r="N69" s="9"/>
      <c r="O69" s="1"/>
    </row>
    <row r="70" spans="1:15" ht="13.5" thickBot="1" x14ac:dyDescent="0.25">
      <c r="A70" s="1"/>
      <c r="B70" s="6">
        <f t="shared" ref="B70:B74" si="23">SUM(C70:L70)</f>
        <v>33</v>
      </c>
      <c r="C70" s="6">
        <v>0</v>
      </c>
      <c r="D70" s="6">
        <v>0</v>
      </c>
      <c r="E70" s="6">
        <v>0</v>
      </c>
      <c r="F70" s="6">
        <v>0</v>
      </c>
      <c r="G70" s="6">
        <v>26</v>
      </c>
      <c r="H70" s="6">
        <v>7</v>
      </c>
      <c r="I70" s="6">
        <v>0</v>
      </c>
      <c r="J70" s="6">
        <v>0</v>
      </c>
      <c r="K70" s="6">
        <v>0</v>
      </c>
      <c r="L70" s="6">
        <v>0</v>
      </c>
      <c r="M70" s="7" t="s">
        <v>10</v>
      </c>
      <c r="N70" s="124"/>
      <c r="O70" s="1"/>
    </row>
    <row r="71" spans="1:15" ht="13.5" thickBot="1" x14ac:dyDescent="0.25">
      <c r="A71" s="1"/>
      <c r="B71" s="6">
        <f t="shared" si="23"/>
        <v>3</v>
      </c>
      <c r="C71" s="6">
        <v>0</v>
      </c>
      <c r="D71" s="6">
        <v>0</v>
      </c>
      <c r="E71" s="6">
        <v>0</v>
      </c>
      <c r="F71" s="6">
        <v>0</v>
      </c>
      <c r="G71" s="6">
        <v>1</v>
      </c>
      <c r="H71" s="6">
        <v>0</v>
      </c>
      <c r="I71" s="6">
        <v>0</v>
      </c>
      <c r="J71" s="6">
        <v>0</v>
      </c>
      <c r="K71" s="6">
        <v>1</v>
      </c>
      <c r="L71" s="6">
        <v>1</v>
      </c>
      <c r="M71" s="7" t="s">
        <v>11</v>
      </c>
      <c r="N71" s="124" t="s">
        <v>27</v>
      </c>
      <c r="O71" s="1"/>
    </row>
    <row r="72" spans="1:15" ht="13.5" thickBot="1" x14ac:dyDescent="0.25">
      <c r="A72" s="1"/>
      <c r="B72" s="6">
        <f t="shared" ref="B72:L72" si="24">SUM(B70:B71)</f>
        <v>36</v>
      </c>
      <c r="C72" s="6">
        <f t="shared" si="24"/>
        <v>0</v>
      </c>
      <c r="D72" s="6">
        <f t="shared" si="24"/>
        <v>0</v>
      </c>
      <c r="E72" s="6">
        <f t="shared" si="24"/>
        <v>0</v>
      </c>
      <c r="F72" s="6">
        <f t="shared" si="24"/>
        <v>0</v>
      </c>
      <c r="G72" s="6">
        <f t="shared" si="24"/>
        <v>27</v>
      </c>
      <c r="H72" s="6">
        <f t="shared" si="24"/>
        <v>7</v>
      </c>
      <c r="I72" s="6">
        <f t="shared" si="24"/>
        <v>0</v>
      </c>
      <c r="J72" s="6">
        <f t="shared" si="24"/>
        <v>0</v>
      </c>
      <c r="K72" s="6">
        <f t="shared" si="24"/>
        <v>1</v>
      </c>
      <c r="L72" s="6">
        <f t="shared" si="24"/>
        <v>1</v>
      </c>
      <c r="M72" s="7" t="s">
        <v>13</v>
      </c>
      <c r="N72" s="9"/>
      <c r="O72" s="1"/>
    </row>
    <row r="73" spans="1:15" ht="13.5" thickBot="1" x14ac:dyDescent="0.25">
      <c r="A73" s="1"/>
      <c r="B73" s="6">
        <f t="shared" si="23"/>
        <v>4368</v>
      </c>
      <c r="C73" s="6">
        <v>882</v>
      </c>
      <c r="D73" s="6">
        <v>5</v>
      </c>
      <c r="E73" s="6">
        <v>97</v>
      </c>
      <c r="F73" s="6">
        <v>2</v>
      </c>
      <c r="G73" s="6">
        <v>630</v>
      </c>
      <c r="H73" s="6">
        <v>573</v>
      </c>
      <c r="I73" s="6">
        <v>1028</v>
      </c>
      <c r="J73" s="6">
        <v>990</v>
      </c>
      <c r="K73" s="6">
        <v>77</v>
      </c>
      <c r="L73" s="6">
        <v>84</v>
      </c>
      <c r="M73" s="7" t="s">
        <v>10</v>
      </c>
      <c r="N73" s="124"/>
      <c r="O73" s="1"/>
    </row>
    <row r="74" spans="1:15" ht="13.5" thickBot="1" x14ac:dyDescent="0.25">
      <c r="A74" s="1"/>
      <c r="B74" s="6">
        <f t="shared" si="23"/>
        <v>791</v>
      </c>
      <c r="C74" s="6">
        <v>57</v>
      </c>
      <c r="D74" s="6">
        <v>7</v>
      </c>
      <c r="E74" s="6">
        <v>8</v>
      </c>
      <c r="F74" s="6">
        <v>0</v>
      </c>
      <c r="G74" s="6">
        <v>230</v>
      </c>
      <c r="H74" s="6">
        <v>9</v>
      </c>
      <c r="I74" s="6">
        <v>228</v>
      </c>
      <c r="J74" s="6">
        <v>211</v>
      </c>
      <c r="K74" s="6">
        <v>22</v>
      </c>
      <c r="L74" s="6">
        <v>19</v>
      </c>
      <c r="M74" s="7" t="s">
        <v>11</v>
      </c>
      <c r="N74" s="124" t="s">
        <v>33</v>
      </c>
      <c r="O74" s="1"/>
    </row>
    <row r="75" spans="1:15" ht="13.5" thickBot="1" x14ac:dyDescent="0.25">
      <c r="A75" s="1"/>
      <c r="B75" s="6">
        <f t="shared" ref="B75:L75" si="25">SUM(B73:B74)</f>
        <v>5159</v>
      </c>
      <c r="C75" s="6">
        <f t="shared" si="25"/>
        <v>939</v>
      </c>
      <c r="D75" s="6">
        <f t="shared" si="25"/>
        <v>12</v>
      </c>
      <c r="E75" s="6">
        <f t="shared" si="25"/>
        <v>105</v>
      </c>
      <c r="F75" s="6">
        <f t="shared" si="25"/>
        <v>2</v>
      </c>
      <c r="G75" s="6">
        <f t="shared" si="25"/>
        <v>860</v>
      </c>
      <c r="H75" s="6">
        <f t="shared" si="25"/>
        <v>582</v>
      </c>
      <c r="I75" s="6">
        <f t="shared" si="25"/>
        <v>1256</v>
      </c>
      <c r="J75" s="6">
        <f t="shared" si="25"/>
        <v>1201</v>
      </c>
      <c r="K75" s="6">
        <f t="shared" si="25"/>
        <v>99</v>
      </c>
      <c r="L75" s="6">
        <f t="shared" si="25"/>
        <v>103</v>
      </c>
      <c r="M75" s="7" t="s">
        <v>13</v>
      </c>
      <c r="N75" s="9"/>
      <c r="O75" s="1"/>
    </row>
    <row r="76" spans="1:15" ht="13.5" thickBot="1" x14ac:dyDescent="0.25">
      <c r="A76" s="1"/>
      <c r="B76" s="6">
        <f t="shared" ref="B76:K78" si="26">B4+B7+B10+B13+B16+B19+B22+B25+B28+B31+B34+B37+B40+B43+B46+B49+B52+B55+B58+B61+B64+B67+B70+B73</f>
        <v>22239</v>
      </c>
      <c r="C76" s="6">
        <f t="shared" si="26"/>
        <v>1310</v>
      </c>
      <c r="D76" s="6">
        <f t="shared" si="26"/>
        <v>17</v>
      </c>
      <c r="E76" s="6">
        <f t="shared" si="26"/>
        <v>756</v>
      </c>
      <c r="F76" s="6">
        <f t="shared" si="26"/>
        <v>29</v>
      </c>
      <c r="G76" s="6">
        <f t="shared" si="26"/>
        <v>3652</v>
      </c>
      <c r="H76" s="6">
        <f t="shared" si="26"/>
        <v>5080</v>
      </c>
      <c r="I76" s="6">
        <f t="shared" si="26"/>
        <v>5130</v>
      </c>
      <c r="J76" s="6">
        <f t="shared" si="26"/>
        <v>5424</v>
      </c>
      <c r="K76" s="6">
        <f t="shared" si="26"/>
        <v>319</v>
      </c>
      <c r="L76" s="6">
        <f>L4+L7+L10+L13+L16+L19+L22+L25+L28+L31+L34+L37+L40+L43+L46+L49+L52+L55+L58+L61+L64+L67+L70+L73</f>
        <v>522</v>
      </c>
      <c r="M76" s="7" t="s">
        <v>10</v>
      </c>
      <c r="N76" s="3"/>
      <c r="O76" s="1"/>
    </row>
    <row r="77" spans="1:15" ht="13.5" thickBot="1" x14ac:dyDescent="0.25">
      <c r="A77" s="1"/>
      <c r="B77" s="6">
        <f t="shared" si="26"/>
        <v>5348</v>
      </c>
      <c r="C77" s="6">
        <f t="shared" si="26"/>
        <v>251</v>
      </c>
      <c r="D77" s="6">
        <f t="shared" si="26"/>
        <v>52</v>
      </c>
      <c r="E77" s="6">
        <f t="shared" si="26"/>
        <v>82</v>
      </c>
      <c r="F77" s="6">
        <f t="shared" si="26"/>
        <v>0</v>
      </c>
      <c r="G77" s="6">
        <f t="shared" si="26"/>
        <v>1674</v>
      </c>
      <c r="H77" s="6">
        <f t="shared" si="26"/>
        <v>130</v>
      </c>
      <c r="I77" s="6">
        <f t="shared" si="26"/>
        <v>1262</v>
      </c>
      <c r="J77" s="6">
        <f t="shared" si="26"/>
        <v>1273</v>
      </c>
      <c r="K77" s="6">
        <f t="shared" si="26"/>
        <v>216</v>
      </c>
      <c r="L77" s="6">
        <f>L5+L8+L11+L14+L17+L20+L23+L26+L29+L32+L35+L38+L41+L44+L47+L50+L53+L56+L59+L62+L65+L68+L71+L74</f>
        <v>408</v>
      </c>
      <c r="M77" s="7" t="s">
        <v>11</v>
      </c>
      <c r="N77" s="11" t="s">
        <v>211</v>
      </c>
      <c r="O77" s="1"/>
    </row>
    <row r="78" spans="1:15" ht="13.5" thickBot="1" x14ac:dyDescent="0.25">
      <c r="A78" s="1"/>
      <c r="B78" s="6">
        <f t="shared" si="26"/>
        <v>27587</v>
      </c>
      <c r="C78" s="6">
        <f t="shared" si="26"/>
        <v>1561</v>
      </c>
      <c r="D78" s="6">
        <f t="shared" si="26"/>
        <v>69</v>
      </c>
      <c r="E78" s="6">
        <f t="shared" si="26"/>
        <v>838</v>
      </c>
      <c r="F78" s="6">
        <f t="shared" si="26"/>
        <v>29</v>
      </c>
      <c r="G78" s="6">
        <f t="shared" si="26"/>
        <v>5326</v>
      </c>
      <c r="H78" s="6">
        <f t="shared" si="26"/>
        <v>5210</v>
      </c>
      <c r="I78" s="6">
        <f t="shared" si="26"/>
        <v>6392</v>
      </c>
      <c r="J78" s="6">
        <f t="shared" si="26"/>
        <v>6697</v>
      </c>
      <c r="K78" s="6">
        <f t="shared" si="26"/>
        <v>535</v>
      </c>
      <c r="L78" s="6">
        <f>L6+L9+L12+L15+L18+L21+L24+L27+L30+L33+L36+L39+L42+L45+L48+L51+L54+L57+L60+L63+L66+L69+L72+L75</f>
        <v>930</v>
      </c>
      <c r="M78" s="7" t="s">
        <v>13</v>
      </c>
      <c r="N78" s="5"/>
      <c r="O78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78"/>
  <sheetViews>
    <sheetView showGridLines="0" topLeftCell="A76" zoomScale="90" zoomScaleNormal="90" workbookViewId="0">
      <selection activeCell="H43" sqref="H43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705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706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4</v>
      </c>
      <c r="C4" s="6">
        <v>0</v>
      </c>
      <c r="D4" s="6">
        <v>0</v>
      </c>
      <c r="E4" s="6">
        <v>3</v>
      </c>
      <c r="F4" s="6">
        <v>0</v>
      </c>
      <c r="G4" s="6">
        <v>0</v>
      </c>
      <c r="H4" s="6">
        <v>0</v>
      </c>
      <c r="I4" s="6">
        <v>0</v>
      </c>
      <c r="J4" s="6">
        <v>1</v>
      </c>
      <c r="K4" s="6">
        <v>0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68" si="0">SUM(C5:L5)</f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1</v>
      </c>
      <c r="K5" s="6">
        <v>1</v>
      </c>
      <c r="L5" s="6">
        <v>0</v>
      </c>
      <c r="M5" s="7" t="s">
        <v>11</v>
      </c>
      <c r="N5" s="124" t="s">
        <v>12</v>
      </c>
      <c r="O5" s="1"/>
    </row>
    <row r="6" spans="1:15" ht="13.5" thickBot="1" x14ac:dyDescent="0.25">
      <c r="A6" s="1"/>
      <c r="B6" s="6">
        <f t="shared" ref="B6:K6" si="1">SUM(B4:B5)</f>
        <v>6</v>
      </c>
      <c r="C6" s="6">
        <f t="shared" si="1"/>
        <v>0</v>
      </c>
      <c r="D6" s="6">
        <f t="shared" si="1"/>
        <v>0</v>
      </c>
      <c r="E6" s="6">
        <f t="shared" si="1"/>
        <v>3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0</v>
      </c>
      <c r="J6" s="6">
        <f t="shared" si="1"/>
        <v>2</v>
      </c>
      <c r="K6" s="6">
        <f t="shared" si="1"/>
        <v>1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9</v>
      </c>
      <c r="C7" s="6">
        <v>1</v>
      </c>
      <c r="D7" s="6">
        <v>0</v>
      </c>
      <c r="E7" s="6">
        <v>0</v>
      </c>
      <c r="F7" s="6">
        <v>0</v>
      </c>
      <c r="G7" s="6">
        <v>0</v>
      </c>
      <c r="H7" s="6">
        <v>1</v>
      </c>
      <c r="I7" s="6">
        <v>1</v>
      </c>
      <c r="J7" s="6">
        <v>3</v>
      </c>
      <c r="K7" s="6">
        <v>2</v>
      </c>
      <c r="L7" s="6">
        <v>1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3</v>
      </c>
      <c r="K8" s="6">
        <v>0</v>
      </c>
      <c r="L8" s="6">
        <v>2</v>
      </c>
      <c r="M8" s="7" t="s">
        <v>11</v>
      </c>
      <c r="N8" s="124" t="s">
        <v>14</v>
      </c>
      <c r="O8" s="1"/>
    </row>
    <row r="9" spans="1:15" ht="13.5" thickBot="1" x14ac:dyDescent="0.25">
      <c r="A9" s="1"/>
      <c r="B9" s="6">
        <f t="shared" ref="B9:L9" si="2">SUM(B7:B8)</f>
        <v>14</v>
      </c>
      <c r="C9" s="6">
        <f t="shared" si="2"/>
        <v>1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0</v>
      </c>
      <c r="H9" s="6">
        <f t="shared" si="2"/>
        <v>1</v>
      </c>
      <c r="I9" s="6">
        <f t="shared" si="2"/>
        <v>1</v>
      </c>
      <c r="J9" s="6">
        <f t="shared" si="2"/>
        <v>6</v>
      </c>
      <c r="K9" s="6">
        <f t="shared" si="2"/>
        <v>2</v>
      </c>
      <c r="L9" s="6">
        <f t="shared" si="2"/>
        <v>3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11</v>
      </c>
      <c r="C10" s="6">
        <v>0</v>
      </c>
      <c r="D10" s="6">
        <v>0</v>
      </c>
      <c r="E10" s="6">
        <v>2</v>
      </c>
      <c r="F10" s="6">
        <v>0</v>
      </c>
      <c r="G10" s="6">
        <v>0</v>
      </c>
      <c r="H10" s="6">
        <v>3</v>
      </c>
      <c r="I10" s="6">
        <v>6</v>
      </c>
      <c r="J10" s="6">
        <v>0</v>
      </c>
      <c r="K10" s="6">
        <v>0</v>
      </c>
      <c r="L10" s="6">
        <v>0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10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3</v>
      </c>
      <c r="J11" s="6">
        <v>2</v>
      </c>
      <c r="K11" s="6">
        <v>2</v>
      </c>
      <c r="L11" s="6">
        <v>3</v>
      </c>
      <c r="M11" s="7" t="s">
        <v>11</v>
      </c>
      <c r="N11" s="124" t="s">
        <v>15</v>
      </c>
      <c r="O11" s="1"/>
    </row>
    <row r="12" spans="1:15" ht="13.5" thickBot="1" x14ac:dyDescent="0.25">
      <c r="A12" s="1"/>
      <c r="B12" s="6">
        <f t="shared" ref="B12:L12" si="3">SUM(B10:B11)</f>
        <v>21</v>
      </c>
      <c r="C12" s="6">
        <f t="shared" si="3"/>
        <v>0</v>
      </c>
      <c r="D12" s="6">
        <f t="shared" si="3"/>
        <v>0</v>
      </c>
      <c r="E12" s="6">
        <f t="shared" si="3"/>
        <v>2</v>
      </c>
      <c r="F12" s="6">
        <f t="shared" si="3"/>
        <v>0</v>
      </c>
      <c r="G12" s="6">
        <f t="shared" si="3"/>
        <v>0</v>
      </c>
      <c r="H12" s="6">
        <f t="shared" si="3"/>
        <v>3</v>
      </c>
      <c r="I12" s="6">
        <f t="shared" si="3"/>
        <v>9</v>
      </c>
      <c r="J12" s="6">
        <f t="shared" si="3"/>
        <v>2</v>
      </c>
      <c r="K12" s="6">
        <f t="shared" si="3"/>
        <v>2</v>
      </c>
      <c r="L12" s="6">
        <f t="shared" si="3"/>
        <v>3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30</v>
      </c>
      <c r="C13" s="6">
        <v>0</v>
      </c>
      <c r="D13" s="6">
        <v>0</v>
      </c>
      <c r="E13" s="6">
        <v>5</v>
      </c>
      <c r="F13" s="6">
        <v>0</v>
      </c>
      <c r="G13" s="6">
        <v>15</v>
      </c>
      <c r="H13" s="6">
        <v>6</v>
      </c>
      <c r="I13" s="6">
        <v>0</v>
      </c>
      <c r="J13" s="6">
        <v>3</v>
      </c>
      <c r="K13" s="6">
        <v>1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18</v>
      </c>
      <c r="C14" s="6">
        <v>0</v>
      </c>
      <c r="D14" s="6">
        <v>1</v>
      </c>
      <c r="E14" s="6">
        <v>4</v>
      </c>
      <c r="F14" s="6">
        <v>0</v>
      </c>
      <c r="G14" s="6">
        <v>5</v>
      </c>
      <c r="H14" s="6">
        <v>0</v>
      </c>
      <c r="I14" s="6">
        <v>0</v>
      </c>
      <c r="J14" s="6">
        <v>6</v>
      </c>
      <c r="K14" s="6">
        <v>0</v>
      </c>
      <c r="L14" s="6">
        <v>2</v>
      </c>
      <c r="M14" s="7" t="s">
        <v>11</v>
      </c>
      <c r="N14" s="124" t="s">
        <v>16</v>
      </c>
      <c r="O14" s="1"/>
    </row>
    <row r="15" spans="1:15" ht="13.5" thickBot="1" x14ac:dyDescent="0.25">
      <c r="A15" s="1"/>
      <c r="B15" s="6">
        <f t="shared" ref="B15:L15" si="4">SUM(B13:B14)</f>
        <v>48</v>
      </c>
      <c r="C15" s="6">
        <f t="shared" si="4"/>
        <v>0</v>
      </c>
      <c r="D15" s="6">
        <f t="shared" si="4"/>
        <v>1</v>
      </c>
      <c r="E15" s="6">
        <f t="shared" si="4"/>
        <v>9</v>
      </c>
      <c r="F15" s="6">
        <f t="shared" si="4"/>
        <v>0</v>
      </c>
      <c r="G15" s="6">
        <f t="shared" si="4"/>
        <v>20</v>
      </c>
      <c r="H15" s="6">
        <f t="shared" si="4"/>
        <v>6</v>
      </c>
      <c r="I15" s="6">
        <f t="shared" si="4"/>
        <v>0</v>
      </c>
      <c r="J15" s="6">
        <f t="shared" si="4"/>
        <v>9</v>
      </c>
      <c r="K15" s="6">
        <f t="shared" si="4"/>
        <v>1</v>
      </c>
      <c r="L15" s="6">
        <f t="shared" si="4"/>
        <v>2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119</v>
      </c>
      <c r="C16" s="6">
        <v>1</v>
      </c>
      <c r="D16" s="6">
        <v>0</v>
      </c>
      <c r="E16" s="6">
        <v>0</v>
      </c>
      <c r="F16" s="6">
        <v>0</v>
      </c>
      <c r="G16" s="6">
        <v>70</v>
      </c>
      <c r="H16" s="6">
        <v>9</v>
      </c>
      <c r="I16" s="6">
        <v>14</v>
      </c>
      <c r="J16" s="6">
        <v>0</v>
      </c>
      <c r="K16" s="6">
        <v>2</v>
      </c>
      <c r="L16" s="6">
        <v>23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6</v>
      </c>
      <c r="C17" s="6">
        <v>0</v>
      </c>
      <c r="D17" s="6">
        <v>0</v>
      </c>
      <c r="E17" s="6">
        <v>0</v>
      </c>
      <c r="F17" s="6">
        <v>0</v>
      </c>
      <c r="G17" s="6">
        <v>1</v>
      </c>
      <c r="H17" s="6">
        <v>1</v>
      </c>
      <c r="I17" s="6">
        <v>1</v>
      </c>
      <c r="J17" s="6">
        <v>2</v>
      </c>
      <c r="K17" s="6">
        <v>0</v>
      </c>
      <c r="L17" s="6">
        <v>1</v>
      </c>
      <c r="M17" s="7" t="s">
        <v>11</v>
      </c>
      <c r="N17" s="124" t="s">
        <v>31</v>
      </c>
      <c r="O17" s="1"/>
    </row>
    <row r="18" spans="1:15" ht="13.5" thickBot="1" x14ac:dyDescent="0.25">
      <c r="A18" s="1"/>
      <c r="B18" s="6">
        <f t="shared" ref="B18:L18" si="5">SUM(B16:B17)</f>
        <v>125</v>
      </c>
      <c r="C18" s="6">
        <f t="shared" si="5"/>
        <v>1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71</v>
      </c>
      <c r="H18" s="6">
        <f t="shared" si="5"/>
        <v>10</v>
      </c>
      <c r="I18" s="6">
        <f t="shared" si="5"/>
        <v>15</v>
      </c>
      <c r="J18" s="6">
        <f t="shared" si="5"/>
        <v>2</v>
      </c>
      <c r="K18" s="6">
        <f t="shared" si="5"/>
        <v>2</v>
      </c>
      <c r="L18" s="6">
        <f t="shared" si="5"/>
        <v>24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3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2</v>
      </c>
      <c r="J19" s="6">
        <v>1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4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2</v>
      </c>
      <c r="K20" s="6">
        <v>0</v>
      </c>
      <c r="L20" s="6">
        <v>2</v>
      </c>
      <c r="M20" s="7" t="s">
        <v>11</v>
      </c>
      <c r="N20" s="124" t="s">
        <v>17</v>
      </c>
      <c r="O20" s="1"/>
    </row>
    <row r="21" spans="1:15" ht="13.5" thickBot="1" x14ac:dyDescent="0.25">
      <c r="A21" s="1"/>
      <c r="B21" s="6">
        <f t="shared" ref="B21:L21" si="6">SUM(B19:B20)</f>
        <v>7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0</v>
      </c>
      <c r="H21" s="6">
        <f t="shared" si="6"/>
        <v>0</v>
      </c>
      <c r="I21" s="6">
        <f t="shared" si="6"/>
        <v>2</v>
      </c>
      <c r="J21" s="6">
        <f t="shared" si="6"/>
        <v>3</v>
      </c>
      <c r="K21" s="6">
        <f t="shared" si="6"/>
        <v>0</v>
      </c>
      <c r="L21" s="6">
        <f t="shared" si="6"/>
        <v>2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151</v>
      </c>
      <c r="C22" s="6">
        <v>1</v>
      </c>
      <c r="D22" s="6">
        <v>1</v>
      </c>
      <c r="E22" s="6">
        <v>35</v>
      </c>
      <c r="F22" s="6">
        <v>0</v>
      </c>
      <c r="G22" s="6">
        <v>22</v>
      </c>
      <c r="H22" s="6">
        <v>33</v>
      </c>
      <c r="I22" s="6">
        <v>15</v>
      </c>
      <c r="J22" s="6">
        <v>44</v>
      </c>
      <c r="K22" s="6">
        <v>0</v>
      </c>
      <c r="L22" s="6">
        <v>0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167</v>
      </c>
      <c r="C23" s="6">
        <v>1</v>
      </c>
      <c r="D23" s="6">
        <v>3</v>
      </c>
      <c r="E23" s="6">
        <v>27</v>
      </c>
      <c r="F23" s="6">
        <v>0</v>
      </c>
      <c r="G23" s="6">
        <v>44</v>
      </c>
      <c r="H23" s="6">
        <v>10</v>
      </c>
      <c r="I23" s="6">
        <v>20</v>
      </c>
      <c r="J23" s="6">
        <v>46</v>
      </c>
      <c r="K23" s="6">
        <v>1</v>
      </c>
      <c r="L23" s="6">
        <v>15</v>
      </c>
      <c r="M23" s="7" t="s">
        <v>11</v>
      </c>
      <c r="N23" s="124" t="s">
        <v>19</v>
      </c>
      <c r="O23" s="1"/>
    </row>
    <row r="24" spans="1:15" ht="13.5" thickBot="1" x14ac:dyDescent="0.25">
      <c r="A24" s="1"/>
      <c r="B24" s="6">
        <f t="shared" ref="B24:L24" si="7">SUM(B22:B23)</f>
        <v>318</v>
      </c>
      <c r="C24" s="6">
        <f t="shared" si="7"/>
        <v>2</v>
      </c>
      <c r="D24" s="6">
        <f t="shared" si="7"/>
        <v>4</v>
      </c>
      <c r="E24" s="6">
        <f t="shared" si="7"/>
        <v>62</v>
      </c>
      <c r="F24" s="6">
        <f t="shared" si="7"/>
        <v>0</v>
      </c>
      <c r="G24" s="6">
        <f t="shared" si="7"/>
        <v>66</v>
      </c>
      <c r="H24" s="6">
        <f t="shared" si="7"/>
        <v>43</v>
      </c>
      <c r="I24" s="6">
        <f t="shared" si="7"/>
        <v>35</v>
      </c>
      <c r="J24" s="6">
        <f t="shared" si="7"/>
        <v>90</v>
      </c>
      <c r="K24" s="6">
        <f t="shared" si="7"/>
        <v>1</v>
      </c>
      <c r="L24" s="6">
        <f t="shared" si="7"/>
        <v>15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54</v>
      </c>
      <c r="C25" s="6">
        <v>4</v>
      </c>
      <c r="D25" s="6">
        <v>0</v>
      </c>
      <c r="E25" s="6">
        <v>1</v>
      </c>
      <c r="F25" s="6">
        <v>1</v>
      </c>
      <c r="G25" s="6">
        <v>19</v>
      </c>
      <c r="H25" s="6">
        <v>13</v>
      </c>
      <c r="I25" s="6">
        <v>5</v>
      </c>
      <c r="J25" s="6">
        <v>6</v>
      </c>
      <c r="K25" s="6">
        <v>0</v>
      </c>
      <c r="L25" s="6">
        <v>5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24</v>
      </c>
      <c r="C26" s="6">
        <v>0</v>
      </c>
      <c r="D26" s="6">
        <v>0</v>
      </c>
      <c r="E26" s="6">
        <v>0</v>
      </c>
      <c r="F26" s="6">
        <v>0</v>
      </c>
      <c r="G26" s="6">
        <v>4</v>
      </c>
      <c r="H26" s="6">
        <v>2</v>
      </c>
      <c r="I26" s="6">
        <v>4</v>
      </c>
      <c r="J26" s="6">
        <v>8</v>
      </c>
      <c r="K26" s="6">
        <v>1</v>
      </c>
      <c r="L26" s="6">
        <v>5</v>
      </c>
      <c r="M26" s="7" t="s">
        <v>11</v>
      </c>
      <c r="N26" s="124" t="s">
        <v>35</v>
      </c>
      <c r="O26" s="1"/>
    </row>
    <row r="27" spans="1:15" ht="13.5" thickBot="1" x14ac:dyDescent="0.25">
      <c r="A27" s="1"/>
      <c r="B27" s="6">
        <f t="shared" ref="B27:L27" si="8">SUM(B25:B26)</f>
        <v>78</v>
      </c>
      <c r="C27" s="6">
        <f t="shared" si="8"/>
        <v>4</v>
      </c>
      <c r="D27" s="6">
        <f t="shared" si="8"/>
        <v>0</v>
      </c>
      <c r="E27" s="6">
        <f t="shared" si="8"/>
        <v>1</v>
      </c>
      <c r="F27" s="6">
        <f t="shared" si="8"/>
        <v>1</v>
      </c>
      <c r="G27" s="6">
        <f t="shared" si="8"/>
        <v>23</v>
      </c>
      <c r="H27" s="6">
        <f t="shared" si="8"/>
        <v>15</v>
      </c>
      <c r="I27" s="6">
        <f t="shared" si="8"/>
        <v>9</v>
      </c>
      <c r="J27" s="6">
        <f t="shared" si="8"/>
        <v>14</v>
      </c>
      <c r="K27" s="6">
        <f t="shared" si="8"/>
        <v>1</v>
      </c>
      <c r="L27" s="6">
        <f t="shared" si="8"/>
        <v>10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3</v>
      </c>
      <c r="C28" s="6">
        <v>0</v>
      </c>
      <c r="D28" s="6">
        <v>0</v>
      </c>
      <c r="E28" s="6">
        <v>1</v>
      </c>
      <c r="F28" s="6">
        <v>0</v>
      </c>
      <c r="G28" s="6">
        <v>0</v>
      </c>
      <c r="H28" s="6">
        <v>1</v>
      </c>
      <c r="I28" s="6">
        <v>0</v>
      </c>
      <c r="J28" s="6">
        <v>1</v>
      </c>
      <c r="K28" s="6">
        <v>0</v>
      </c>
      <c r="L28" s="6">
        <v>0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13</v>
      </c>
      <c r="C29" s="6">
        <v>0</v>
      </c>
      <c r="D29" s="6">
        <v>0</v>
      </c>
      <c r="E29" s="6">
        <v>7</v>
      </c>
      <c r="F29" s="6">
        <v>0</v>
      </c>
      <c r="G29" s="6">
        <v>1</v>
      </c>
      <c r="H29" s="6">
        <v>0</v>
      </c>
      <c r="I29" s="6">
        <v>2</v>
      </c>
      <c r="J29" s="6">
        <v>2</v>
      </c>
      <c r="K29" s="6">
        <v>0</v>
      </c>
      <c r="L29" s="6">
        <v>1</v>
      </c>
      <c r="M29" s="7" t="s">
        <v>11</v>
      </c>
      <c r="N29" s="124" t="s">
        <v>20</v>
      </c>
      <c r="O29" s="1"/>
    </row>
    <row r="30" spans="1:15" ht="13.5" thickBot="1" x14ac:dyDescent="0.25">
      <c r="A30" s="1"/>
      <c r="B30" s="6">
        <f t="shared" ref="B30:L30" si="9">SUM(B28:B29)</f>
        <v>16</v>
      </c>
      <c r="C30" s="6">
        <f t="shared" si="9"/>
        <v>0</v>
      </c>
      <c r="D30" s="6">
        <f t="shared" si="9"/>
        <v>0</v>
      </c>
      <c r="E30" s="6">
        <f t="shared" si="9"/>
        <v>8</v>
      </c>
      <c r="F30" s="6">
        <f t="shared" si="9"/>
        <v>0</v>
      </c>
      <c r="G30" s="6">
        <f t="shared" si="9"/>
        <v>1</v>
      </c>
      <c r="H30" s="6">
        <f t="shared" si="9"/>
        <v>1</v>
      </c>
      <c r="I30" s="6">
        <f t="shared" si="9"/>
        <v>2</v>
      </c>
      <c r="J30" s="6">
        <f t="shared" si="9"/>
        <v>3</v>
      </c>
      <c r="K30" s="6">
        <f t="shared" si="9"/>
        <v>0</v>
      </c>
      <c r="L30" s="6">
        <f t="shared" si="9"/>
        <v>1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4</v>
      </c>
      <c r="C31" s="6">
        <v>0</v>
      </c>
      <c r="D31" s="6">
        <v>0</v>
      </c>
      <c r="E31" s="6">
        <v>1</v>
      </c>
      <c r="F31" s="6">
        <v>0</v>
      </c>
      <c r="G31" s="6">
        <v>0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10</v>
      </c>
      <c r="C32" s="6">
        <v>0</v>
      </c>
      <c r="D32" s="6">
        <v>1</v>
      </c>
      <c r="E32" s="6">
        <v>0</v>
      </c>
      <c r="F32" s="6">
        <v>0</v>
      </c>
      <c r="G32" s="6">
        <v>1</v>
      </c>
      <c r="H32" s="6">
        <v>1</v>
      </c>
      <c r="I32" s="6">
        <v>1</v>
      </c>
      <c r="J32" s="6">
        <v>2</v>
      </c>
      <c r="K32" s="6">
        <v>0</v>
      </c>
      <c r="L32" s="6">
        <v>4</v>
      </c>
      <c r="M32" s="7" t="s">
        <v>11</v>
      </c>
      <c r="N32" s="124" t="s">
        <v>21</v>
      </c>
      <c r="O32" s="1"/>
    </row>
    <row r="33" spans="1:15" ht="13.5" thickBot="1" x14ac:dyDescent="0.25">
      <c r="A33" s="1"/>
      <c r="B33" s="6">
        <f t="shared" ref="B33:L33" si="10">SUM(B31:B32)</f>
        <v>14</v>
      </c>
      <c r="C33" s="6">
        <f t="shared" si="10"/>
        <v>0</v>
      </c>
      <c r="D33" s="6">
        <f t="shared" si="10"/>
        <v>1</v>
      </c>
      <c r="E33" s="6">
        <f t="shared" si="10"/>
        <v>1</v>
      </c>
      <c r="F33" s="6">
        <f t="shared" si="10"/>
        <v>0</v>
      </c>
      <c r="G33" s="6">
        <f t="shared" si="10"/>
        <v>1</v>
      </c>
      <c r="H33" s="6">
        <f t="shared" si="10"/>
        <v>2</v>
      </c>
      <c r="I33" s="6">
        <f t="shared" si="10"/>
        <v>3</v>
      </c>
      <c r="J33" s="6">
        <f t="shared" si="10"/>
        <v>2</v>
      </c>
      <c r="K33" s="6">
        <f t="shared" si="10"/>
        <v>0</v>
      </c>
      <c r="L33" s="6">
        <f t="shared" si="10"/>
        <v>4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46</v>
      </c>
      <c r="C34" s="6">
        <v>0</v>
      </c>
      <c r="D34" s="6">
        <v>0</v>
      </c>
      <c r="E34" s="6">
        <v>0</v>
      </c>
      <c r="F34" s="6">
        <v>0</v>
      </c>
      <c r="G34" s="6">
        <v>29</v>
      </c>
      <c r="H34" s="6">
        <v>5</v>
      </c>
      <c r="I34" s="6">
        <v>4</v>
      </c>
      <c r="J34" s="6">
        <v>7</v>
      </c>
      <c r="K34" s="6">
        <v>1</v>
      </c>
      <c r="L34" s="6">
        <v>0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112</v>
      </c>
      <c r="C35" s="6">
        <v>0</v>
      </c>
      <c r="D35" s="6">
        <v>1</v>
      </c>
      <c r="E35" s="6">
        <v>1</v>
      </c>
      <c r="F35" s="6">
        <v>0</v>
      </c>
      <c r="G35" s="6">
        <v>58</v>
      </c>
      <c r="H35" s="6">
        <v>0</v>
      </c>
      <c r="I35" s="6">
        <v>13</v>
      </c>
      <c r="J35" s="6">
        <v>27</v>
      </c>
      <c r="K35" s="6">
        <v>11</v>
      </c>
      <c r="L35" s="6">
        <v>1</v>
      </c>
      <c r="M35" s="7" t="s">
        <v>11</v>
      </c>
      <c r="N35" s="124" t="s">
        <v>22</v>
      </c>
      <c r="O35" s="1"/>
    </row>
    <row r="36" spans="1:15" ht="13.5" thickBot="1" x14ac:dyDescent="0.25">
      <c r="A36" s="1"/>
      <c r="B36" s="6">
        <f t="shared" ref="B36:L36" si="11">SUM(B34:B35)</f>
        <v>158</v>
      </c>
      <c r="C36" s="6">
        <f t="shared" si="11"/>
        <v>0</v>
      </c>
      <c r="D36" s="6">
        <f t="shared" si="11"/>
        <v>1</v>
      </c>
      <c r="E36" s="6">
        <f t="shared" si="11"/>
        <v>1</v>
      </c>
      <c r="F36" s="6">
        <f t="shared" si="11"/>
        <v>0</v>
      </c>
      <c r="G36" s="6">
        <f t="shared" si="11"/>
        <v>87</v>
      </c>
      <c r="H36" s="6">
        <f t="shared" si="11"/>
        <v>5</v>
      </c>
      <c r="I36" s="6">
        <f t="shared" si="11"/>
        <v>17</v>
      </c>
      <c r="J36" s="6">
        <f t="shared" si="11"/>
        <v>34</v>
      </c>
      <c r="K36" s="6">
        <f t="shared" si="11"/>
        <v>12</v>
      </c>
      <c r="L36" s="6">
        <f t="shared" si="11"/>
        <v>1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77</v>
      </c>
      <c r="C37" s="6">
        <v>0</v>
      </c>
      <c r="D37" s="6">
        <v>0</v>
      </c>
      <c r="E37" s="6">
        <v>0</v>
      </c>
      <c r="F37" s="6">
        <v>0</v>
      </c>
      <c r="G37" s="6">
        <v>59</v>
      </c>
      <c r="H37" s="6">
        <v>5</v>
      </c>
      <c r="I37" s="6">
        <v>7</v>
      </c>
      <c r="J37" s="6">
        <v>6</v>
      </c>
      <c r="K37" s="6">
        <v>0</v>
      </c>
      <c r="L37" s="6">
        <v>0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17</v>
      </c>
      <c r="C38" s="6">
        <v>0</v>
      </c>
      <c r="D38" s="6">
        <v>0</v>
      </c>
      <c r="E38" s="6">
        <v>0</v>
      </c>
      <c r="F38" s="6">
        <v>0</v>
      </c>
      <c r="G38" s="6">
        <v>6</v>
      </c>
      <c r="H38" s="6">
        <v>1</v>
      </c>
      <c r="I38" s="6">
        <v>3</v>
      </c>
      <c r="J38" s="6">
        <v>7</v>
      </c>
      <c r="K38" s="6">
        <v>0</v>
      </c>
      <c r="L38" s="6">
        <v>0</v>
      </c>
      <c r="M38" s="7" t="s">
        <v>11</v>
      </c>
      <c r="N38" s="124" t="s">
        <v>36</v>
      </c>
      <c r="O38" s="1"/>
    </row>
    <row r="39" spans="1:15" ht="13.5" thickBot="1" x14ac:dyDescent="0.25">
      <c r="A39" s="1"/>
      <c r="B39" s="6">
        <f t="shared" ref="B39:L39" si="12">SUM(B37:B38)</f>
        <v>94</v>
      </c>
      <c r="C39" s="6">
        <f t="shared" si="12"/>
        <v>0</v>
      </c>
      <c r="D39" s="6">
        <f t="shared" si="12"/>
        <v>0</v>
      </c>
      <c r="E39" s="6">
        <f t="shared" si="12"/>
        <v>0</v>
      </c>
      <c r="F39" s="6">
        <f t="shared" si="12"/>
        <v>0</v>
      </c>
      <c r="G39" s="6">
        <f t="shared" si="12"/>
        <v>65</v>
      </c>
      <c r="H39" s="6">
        <f t="shared" si="12"/>
        <v>6</v>
      </c>
      <c r="I39" s="6">
        <f t="shared" si="12"/>
        <v>10</v>
      </c>
      <c r="J39" s="6">
        <f t="shared" si="12"/>
        <v>13</v>
      </c>
      <c r="K39" s="6">
        <f t="shared" si="12"/>
        <v>0</v>
      </c>
      <c r="L39" s="6">
        <f t="shared" si="12"/>
        <v>0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133</v>
      </c>
      <c r="C40" s="6">
        <v>3</v>
      </c>
      <c r="D40" s="6">
        <v>0</v>
      </c>
      <c r="E40" s="6">
        <v>0</v>
      </c>
      <c r="F40" s="6">
        <v>0</v>
      </c>
      <c r="G40" s="6">
        <v>61</v>
      </c>
      <c r="H40" s="6">
        <v>11</v>
      </c>
      <c r="I40" s="6">
        <v>42</v>
      </c>
      <c r="J40" s="6">
        <v>14</v>
      </c>
      <c r="K40" s="6">
        <v>0</v>
      </c>
      <c r="L40" s="6">
        <v>2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34</v>
      </c>
      <c r="C41" s="6">
        <v>2</v>
      </c>
      <c r="D41" s="6">
        <v>0</v>
      </c>
      <c r="E41" s="6">
        <v>0</v>
      </c>
      <c r="F41" s="6">
        <v>0</v>
      </c>
      <c r="G41" s="6">
        <v>11</v>
      </c>
      <c r="H41" s="6">
        <v>0</v>
      </c>
      <c r="I41" s="6">
        <v>2</v>
      </c>
      <c r="J41" s="6">
        <v>6</v>
      </c>
      <c r="K41" s="6">
        <v>1</v>
      </c>
      <c r="L41" s="6">
        <v>12</v>
      </c>
      <c r="M41" s="7" t="s">
        <v>11</v>
      </c>
      <c r="N41" s="124" t="s">
        <v>32</v>
      </c>
      <c r="O41" s="1"/>
    </row>
    <row r="42" spans="1:15" ht="13.5" thickBot="1" x14ac:dyDescent="0.25">
      <c r="A42" s="1"/>
      <c r="B42" s="6">
        <f t="shared" ref="B42:L42" si="13">SUM(B40:B41)</f>
        <v>167</v>
      </c>
      <c r="C42" s="6">
        <f t="shared" si="13"/>
        <v>5</v>
      </c>
      <c r="D42" s="6">
        <f t="shared" si="13"/>
        <v>0</v>
      </c>
      <c r="E42" s="6">
        <f t="shared" si="13"/>
        <v>0</v>
      </c>
      <c r="F42" s="6">
        <f t="shared" si="13"/>
        <v>0</v>
      </c>
      <c r="G42" s="6">
        <f t="shared" si="13"/>
        <v>72</v>
      </c>
      <c r="H42" s="6">
        <f t="shared" si="13"/>
        <v>11</v>
      </c>
      <c r="I42" s="6">
        <f t="shared" si="13"/>
        <v>44</v>
      </c>
      <c r="J42" s="6">
        <f t="shared" si="13"/>
        <v>20</v>
      </c>
      <c r="K42" s="6">
        <f t="shared" si="13"/>
        <v>1</v>
      </c>
      <c r="L42" s="6">
        <f t="shared" si="13"/>
        <v>14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1224</v>
      </c>
      <c r="C43" s="6">
        <v>2</v>
      </c>
      <c r="D43" s="6">
        <v>4</v>
      </c>
      <c r="E43" s="6">
        <v>32</v>
      </c>
      <c r="F43" s="6">
        <v>1</v>
      </c>
      <c r="G43" s="6">
        <v>676</v>
      </c>
      <c r="H43" s="6">
        <v>132</v>
      </c>
      <c r="I43" s="6">
        <v>43</v>
      </c>
      <c r="J43" s="6">
        <v>292</v>
      </c>
      <c r="K43" s="6">
        <v>31</v>
      </c>
      <c r="L43" s="6">
        <v>11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288</v>
      </c>
      <c r="C44" s="6">
        <v>0</v>
      </c>
      <c r="D44" s="6">
        <v>2</v>
      </c>
      <c r="E44" s="6">
        <v>1</v>
      </c>
      <c r="F44" s="6">
        <v>0</v>
      </c>
      <c r="G44" s="6">
        <v>143</v>
      </c>
      <c r="H44" s="6">
        <v>16</v>
      </c>
      <c r="I44" s="6">
        <v>7</v>
      </c>
      <c r="J44" s="6">
        <v>70</v>
      </c>
      <c r="K44" s="6">
        <v>43</v>
      </c>
      <c r="L44" s="6">
        <v>6</v>
      </c>
      <c r="M44" s="7" t="s">
        <v>11</v>
      </c>
      <c r="N44" s="124" t="s">
        <v>23</v>
      </c>
      <c r="O44" s="1"/>
    </row>
    <row r="45" spans="1:15" ht="13.5" thickBot="1" x14ac:dyDescent="0.25">
      <c r="A45" s="1"/>
      <c r="B45" s="6">
        <f t="shared" ref="B45:L45" si="14">SUM(B43:B44)</f>
        <v>1512</v>
      </c>
      <c r="C45" s="6">
        <f t="shared" si="14"/>
        <v>2</v>
      </c>
      <c r="D45" s="6">
        <f t="shared" si="14"/>
        <v>6</v>
      </c>
      <c r="E45" s="6">
        <f t="shared" si="14"/>
        <v>33</v>
      </c>
      <c r="F45" s="6">
        <f t="shared" si="14"/>
        <v>1</v>
      </c>
      <c r="G45" s="6">
        <f t="shared" si="14"/>
        <v>819</v>
      </c>
      <c r="H45" s="6">
        <f t="shared" si="14"/>
        <v>148</v>
      </c>
      <c r="I45" s="6">
        <f t="shared" si="14"/>
        <v>50</v>
      </c>
      <c r="J45" s="6">
        <f t="shared" si="14"/>
        <v>362</v>
      </c>
      <c r="K45" s="6">
        <f t="shared" si="14"/>
        <v>74</v>
      </c>
      <c r="L45" s="6">
        <f t="shared" si="14"/>
        <v>17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si="0"/>
        <v>2140</v>
      </c>
      <c r="C46" s="6">
        <v>31</v>
      </c>
      <c r="D46" s="6">
        <v>8</v>
      </c>
      <c r="E46" s="6">
        <v>27</v>
      </c>
      <c r="F46" s="6">
        <v>2</v>
      </c>
      <c r="G46" s="6">
        <v>90</v>
      </c>
      <c r="H46" s="6">
        <v>564</v>
      </c>
      <c r="I46" s="6">
        <v>602</v>
      </c>
      <c r="J46" s="6">
        <v>786</v>
      </c>
      <c r="K46" s="6">
        <v>13</v>
      </c>
      <c r="L46" s="6">
        <v>17</v>
      </c>
      <c r="M46" s="7" t="s">
        <v>10</v>
      </c>
      <c r="N46" s="124"/>
      <c r="O46" s="1"/>
    </row>
    <row r="47" spans="1:15" ht="13.5" thickBot="1" x14ac:dyDescent="0.25">
      <c r="A47" s="1"/>
      <c r="B47" s="6">
        <f t="shared" si="0"/>
        <v>452</v>
      </c>
      <c r="C47" s="6">
        <v>12</v>
      </c>
      <c r="D47" s="6">
        <v>23</v>
      </c>
      <c r="E47" s="6">
        <v>6</v>
      </c>
      <c r="F47" s="6">
        <v>0</v>
      </c>
      <c r="G47" s="6">
        <v>42</v>
      </c>
      <c r="H47" s="6">
        <v>24</v>
      </c>
      <c r="I47" s="6">
        <v>114</v>
      </c>
      <c r="J47" s="6">
        <v>175</v>
      </c>
      <c r="K47" s="6">
        <v>32</v>
      </c>
      <c r="L47" s="6">
        <v>24</v>
      </c>
      <c r="M47" s="7" t="s">
        <v>11</v>
      </c>
      <c r="N47" s="124" t="s">
        <v>41</v>
      </c>
      <c r="O47" s="1"/>
    </row>
    <row r="48" spans="1:15" ht="13.5" thickBot="1" x14ac:dyDescent="0.25">
      <c r="A48" s="1"/>
      <c r="B48" s="6">
        <f t="shared" ref="B48:L48" si="15">SUM(B46:B47)</f>
        <v>2592</v>
      </c>
      <c r="C48" s="6">
        <f t="shared" si="15"/>
        <v>43</v>
      </c>
      <c r="D48" s="6">
        <f t="shared" si="15"/>
        <v>31</v>
      </c>
      <c r="E48" s="6">
        <f t="shared" si="15"/>
        <v>33</v>
      </c>
      <c r="F48" s="6">
        <f t="shared" si="15"/>
        <v>2</v>
      </c>
      <c r="G48" s="6">
        <f t="shared" si="15"/>
        <v>132</v>
      </c>
      <c r="H48" s="6">
        <f t="shared" si="15"/>
        <v>588</v>
      </c>
      <c r="I48" s="6">
        <f t="shared" si="15"/>
        <v>716</v>
      </c>
      <c r="J48" s="6">
        <f t="shared" si="15"/>
        <v>961</v>
      </c>
      <c r="K48" s="6">
        <f t="shared" si="15"/>
        <v>45</v>
      </c>
      <c r="L48" s="6">
        <f t="shared" si="15"/>
        <v>41</v>
      </c>
      <c r="M48" s="7" t="s">
        <v>13</v>
      </c>
      <c r="N48" s="9"/>
      <c r="O48" s="1"/>
    </row>
    <row r="49" spans="1:15" ht="13.5" thickBot="1" x14ac:dyDescent="0.25">
      <c r="A49" s="1"/>
      <c r="B49" s="6">
        <f t="shared" si="0"/>
        <v>34</v>
      </c>
      <c r="C49" s="6">
        <v>0</v>
      </c>
      <c r="D49" s="6">
        <v>0</v>
      </c>
      <c r="E49" s="6">
        <v>1</v>
      </c>
      <c r="F49" s="6">
        <v>0</v>
      </c>
      <c r="G49" s="6">
        <v>31</v>
      </c>
      <c r="H49" s="6">
        <v>1</v>
      </c>
      <c r="I49" s="6">
        <v>0</v>
      </c>
      <c r="J49" s="6">
        <v>0</v>
      </c>
      <c r="K49" s="6">
        <v>1</v>
      </c>
      <c r="L49" s="6">
        <v>0</v>
      </c>
      <c r="M49" s="7" t="s">
        <v>10</v>
      </c>
      <c r="N49" s="124"/>
      <c r="O49" s="1"/>
    </row>
    <row r="50" spans="1:15" ht="13.5" thickBot="1" x14ac:dyDescent="0.25">
      <c r="A50" s="1"/>
      <c r="B50" s="6">
        <f t="shared" si="0"/>
        <v>13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0</v>
      </c>
      <c r="I50" s="6">
        <v>0</v>
      </c>
      <c r="J50" s="6">
        <v>5</v>
      </c>
      <c r="K50" s="6">
        <v>4</v>
      </c>
      <c r="L50" s="6">
        <v>3</v>
      </c>
      <c r="M50" s="7" t="s">
        <v>11</v>
      </c>
      <c r="N50" s="124" t="s">
        <v>24</v>
      </c>
      <c r="O50" s="1"/>
    </row>
    <row r="51" spans="1:15" ht="13.5" thickBot="1" x14ac:dyDescent="0.25">
      <c r="A51" s="1"/>
      <c r="B51" s="6">
        <f t="shared" ref="B51:L51" si="16">SUM(B49:B50)</f>
        <v>47</v>
      </c>
      <c r="C51" s="6">
        <f t="shared" si="16"/>
        <v>0</v>
      </c>
      <c r="D51" s="6">
        <f t="shared" si="16"/>
        <v>0</v>
      </c>
      <c r="E51" s="6">
        <f t="shared" si="16"/>
        <v>1</v>
      </c>
      <c r="F51" s="6">
        <f t="shared" si="16"/>
        <v>0</v>
      </c>
      <c r="G51" s="6">
        <f t="shared" si="16"/>
        <v>32</v>
      </c>
      <c r="H51" s="6">
        <f t="shared" si="16"/>
        <v>1</v>
      </c>
      <c r="I51" s="6">
        <f t="shared" si="16"/>
        <v>0</v>
      </c>
      <c r="J51" s="6">
        <f t="shared" si="16"/>
        <v>5</v>
      </c>
      <c r="K51" s="6">
        <f t="shared" si="16"/>
        <v>5</v>
      </c>
      <c r="L51" s="6">
        <f t="shared" si="16"/>
        <v>3</v>
      </c>
      <c r="M51" s="7" t="s">
        <v>13</v>
      </c>
      <c r="N51" s="9"/>
      <c r="O51" s="1"/>
    </row>
    <row r="52" spans="1:15" ht="13.5" thickBot="1" x14ac:dyDescent="0.25">
      <c r="A52" s="1"/>
      <c r="B52" s="6">
        <f t="shared" si="0"/>
        <v>4063</v>
      </c>
      <c r="C52" s="6">
        <v>18</v>
      </c>
      <c r="D52" s="6">
        <v>9</v>
      </c>
      <c r="E52" s="6">
        <v>360</v>
      </c>
      <c r="F52" s="6">
        <v>3</v>
      </c>
      <c r="G52" s="6">
        <v>140</v>
      </c>
      <c r="H52" s="6">
        <v>980</v>
      </c>
      <c r="I52" s="6">
        <v>687</v>
      </c>
      <c r="J52" s="6">
        <v>1812</v>
      </c>
      <c r="K52" s="6">
        <v>18</v>
      </c>
      <c r="L52" s="6">
        <v>36</v>
      </c>
      <c r="M52" s="7" t="s">
        <v>10</v>
      </c>
      <c r="N52" s="124"/>
      <c r="O52" s="1"/>
    </row>
    <row r="53" spans="1:15" ht="13.5" thickBot="1" x14ac:dyDescent="0.25">
      <c r="A53" s="1"/>
      <c r="B53" s="6">
        <f t="shared" si="0"/>
        <v>738</v>
      </c>
      <c r="C53" s="6">
        <v>5</v>
      </c>
      <c r="D53" s="6">
        <v>31</v>
      </c>
      <c r="E53" s="6">
        <v>40</v>
      </c>
      <c r="F53" s="6">
        <v>0</v>
      </c>
      <c r="G53" s="6">
        <v>87</v>
      </c>
      <c r="H53" s="6">
        <v>21</v>
      </c>
      <c r="I53" s="6">
        <v>140</v>
      </c>
      <c r="J53" s="6">
        <v>326</v>
      </c>
      <c r="K53" s="6">
        <v>45</v>
      </c>
      <c r="L53" s="6">
        <v>43</v>
      </c>
      <c r="M53" s="7" t="s">
        <v>11</v>
      </c>
      <c r="N53" s="124" t="s">
        <v>37</v>
      </c>
      <c r="O53" s="1"/>
    </row>
    <row r="54" spans="1:15" ht="13.5" thickBot="1" x14ac:dyDescent="0.25">
      <c r="A54" s="1"/>
      <c r="B54" s="6">
        <f t="shared" ref="B54:L54" si="17">SUM(B52:B53)</f>
        <v>4801</v>
      </c>
      <c r="C54" s="6">
        <f t="shared" si="17"/>
        <v>23</v>
      </c>
      <c r="D54" s="6">
        <f t="shared" si="17"/>
        <v>40</v>
      </c>
      <c r="E54" s="6">
        <f t="shared" si="17"/>
        <v>400</v>
      </c>
      <c r="F54" s="6">
        <f t="shared" si="17"/>
        <v>3</v>
      </c>
      <c r="G54" s="6">
        <f t="shared" si="17"/>
        <v>227</v>
      </c>
      <c r="H54" s="6">
        <f t="shared" si="17"/>
        <v>1001</v>
      </c>
      <c r="I54" s="6">
        <f t="shared" si="17"/>
        <v>827</v>
      </c>
      <c r="J54" s="6">
        <f t="shared" si="17"/>
        <v>2138</v>
      </c>
      <c r="K54" s="6">
        <f t="shared" si="17"/>
        <v>63</v>
      </c>
      <c r="L54" s="6">
        <f t="shared" si="17"/>
        <v>79</v>
      </c>
      <c r="M54" s="7" t="s">
        <v>13</v>
      </c>
      <c r="N54" s="9"/>
      <c r="O54" s="1"/>
    </row>
    <row r="55" spans="1:15" ht="13.5" thickBot="1" x14ac:dyDescent="0.25">
      <c r="A55" s="1"/>
      <c r="B55" s="6">
        <f t="shared" si="0"/>
        <v>1551</v>
      </c>
      <c r="C55" s="6">
        <v>11</v>
      </c>
      <c r="D55" s="6">
        <v>1</v>
      </c>
      <c r="E55" s="6">
        <v>15</v>
      </c>
      <c r="F55" s="6">
        <v>0</v>
      </c>
      <c r="G55" s="6">
        <v>51</v>
      </c>
      <c r="H55" s="6">
        <v>300</v>
      </c>
      <c r="I55" s="6">
        <v>325</v>
      </c>
      <c r="J55" s="6">
        <v>762</v>
      </c>
      <c r="K55" s="6">
        <v>1</v>
      </c>
      <c r="L55" s="6">
        <v>85</v>
      </c>
      <c r="M55" s="7" t="s">
        <v>10</v>
      </c>
      <c r="N55" s="124"/>
      <c r="O55" s="1"/>
    </row>
    <row r="56" spans="1:15" ht="13.5" thickBot="1" x14ac:dyDescent="0.25">
      <c r="A56" s="1"/>
      <c r="B56" s="6">
        <f t="shared" si="0"/>
        <v>167</v>
      </c>
      <c r="C56" s="6">
        <v>6</v>
      </c>
      <c r="D56" s="6">
        <v>7</v>
      </c>
      <c r="E56" s="6">
        <v>2</v>
      </c>
      <c r="F56" s="6">
        <v>0</v>
      </c>
      <c r="G56" s="6">
        <v>31</v>
      </c>
      <c r="H56" s="6">
        <v>6</v>
      </c>
      <c r="I56" s="6">
        <v>38</v>
      </c>
      <c r="J56" s="6">
        <v>56</v>
      </c>
      <c r="K56" s="6">
        <v>6</v>
      </c>
      <c r="L56" s="6">
        <v>15</v>
      </c>
      <c r="M56" s="7" t="s">
        <v>11</v>
      </c>
      <c r="N56" s="124" t="s">
        <v>42</v>
      </c>
      <c r="O56" s="1"/>
    </row>
    <row r="57" spans="1:15" ht="13.5" thickBot="1" x14ac:dyDescent="0.25">
      <c r="A57" s="1"/>
      <c r="B57" s="6">
        <f t="shared" ref="B57:L57" si="18">SUM(B55:B56)</f>
        <v>1718</v>
      </c>
      <c r="C57" s="6">
        <f t="shared" si="18"/>
        <v>17</v>
      </c>
      <c r="D57" s="6">
        <f t="shared" si="18"/>
        <v>8</v>
      </c>
      <c r="E57" s="6">
        <f t="shared" si="18"/>
        <v>17</v>
      </c>
      <c r="F57" s="6">
        <f t="shared" si="18"/>
        <v>0</v>
      </c>
      <c r="G57" s="6">
        <f t="shared" si="18"/>
        <v>82</v>
      </c>
      <c r="H57" s="6">
        <f t="shared" si="18"/>
        <v>306</v>
      </c>
      <c r="I57" s="6">
        <f t="shared" si="18"/>
        <v>363</v>
      </c>
      <c r="J57" s="6">
        <f t="shared" si="18"/>
        <v>818</v>
      </c>
      <c r="K57" s="6">
        <f t="shared" si="18"/>
        <v>7</v>
      </c>
      <c r="L57" s="6">
        <f t="shared" si="18"/>
        <v>100</v>
      </c>
      <c r="M57" s="7" t="s">
        <v>13</v>
      </c>
      <c r="N57" s="9"/>
      <c r="O57" s="1"/>
    </row>
    <row r="58" spans="1:15" ht="13.5" thickBot="1" x14ac:dyDescent="0.25">
      <c r="A58" s="1"/>
      <c r="B58" s="6">
        <f t="shared" si="0"/>
        <v>76</v>
      </c>
      <c r="C58" s="6">
        <v>0</v>
      </c>
      <c r="D58" s="6">
        <v>2</v>
      </c>
      <c r="E58" s="6">
        <v>5</v>
      </c>
      <c r="F58" s="6">
        <v>0</v>
      </c>
      <c r="G58" s="6">
        <v>5</v>
      </c>
      <c r="H58" s="6">
        <v>2</v>
      </c>
      <c r="I58" s="6">
        <v>10</v>
      </c>
      <c r="J58" s="6">
        <v>42</v>
      </c>
      <c r="K58" s="6">
        <v>1</v>
      </c>
      <c r="L58" s="6">
        <v>9</v>
      </c>
      <c r="M58" s="7" t="s">
        <v>10</v>
      </c>
      <c r="N58" s="124"/>
      <c r="O58" s="1"/>
    </row>
    <row r="59" spans="1:15" ht="13.5" thickBot="1" x14ac:dyDescent="0.25">
      <c r="A59" s="1"/>
      <c r="B59" s="6">
        <f t="shared" si="0"/>
        <v>84</v>
      </c>
      <c r="C59" s="6">
        <v>0</v>
      </c>
      <c r="D59" s="6">
        <v>22</v>
      </c>
      <c r="E59" s="6">
        <v>1</v>
      </c>
      <c r="F59" s="6">
        <v>0</v>
      </c>
      <c r="G59" s="6">
        <v>1</v>
      </c>
      <c r="H59" s="6">
        <v>3</v>
      </c>
      <c r="I59" s="6">
        <v>7</v>
      </c>
      <c r="J59" s="6">
        <v>29</v>
      </c>
      <c r="K59" s="6">
        <v>2</v>
      </c>
      <c r="L59" s="6">
        <v>19</v>
      </c>
      <c r="M59" s="7" t="s">
        <v>11</v>
      </c>
      <c r="N59" s="124" t="s">
        <v>38</v>
      </c>
      <c r="O59" s="1"/>
    </row>
    <row r="60" spans="1:15" ht="13.5" thickBot="1" x14ac:dyDescent="0.25">
      <c r="A60" s="1"/>
      <c r="B60" s="6">
        <f t="shared" ref="B60:L60" si="19">SUM(B58:B59)</f>
        <v>160</v>
      </c>
      <c r="C60" s="6">
        <f t="shared" si="19"/>
        <v>0</v>
      </c>
      <c r="D60" s="6">
        <f t="shared" si="19"/>
        <v>24</v>
      </c>
      <c r="E60" s="6">
        <f t="shared" si="19"/>
        <v>6</v>
      </c>
      <c r="F60" s="6">
        <f t="shared" si="19"/>
        <v>0</v>
      </c>
      <c r="G60" s="6">
        <f t="shared" si="19"/>
        <v>6</v>
      </c>
      <c r="H60" s="6">
        <f t="shared" si="19"/>
        <v>5</v>
      </c>
      <c r="I60" s="6">
        <f t="shared" si="19"/>
        <v>17</v>
      </c>
      <c r="J60" s="6">
        <f t="shared" si="19"/>
        <v>71</v>
      </c>
      <c r="K60" s="6">
        <f t="shared" si="19"/>
        <v>3</v>
      </c>
      <c r="L60" s="6">
        <f t="shared" si="19"/>
        <v>28</v>
      </c>
      <c r="M60" s="7" t="s">
        <v>13</v>
      </c>
      <c r="N60" s="9"/>
      <c r="O60" s="1"/>
    </row>
    <row r="61" spans="1:15" ht="13.5" thickBot="1" x14ac:dyDescent="0.25">
      <c r="A61" s="1"/>
      <c r="B61" s="6">
        <f t="shared" si="0"/>
        <v>2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2</v>
      </c>
      <c r="K61" s="6">
        <v>0</v>
      </c>
      <c r="L61" s="6">
        <v>0</v>
      </c>
      <c r="M61" s="7" t="s">
        <v>10</v>
      </c>
      <c r="N61" s="124"/>
      <c r="O61" s="1"/>
    </row>
    <row r="62" spans="1:15" ht="13.5" thickBot="1" x14ac:dyDescent="0.25">
      <c r="A62" s="1"/>
      <c r="B62" s="6">
        <f t="shared" si="0"/>
        <v>6</v>
      </c>
      <c r="C62" s="6">
        <v>0</v>
      </c>
      <c r="D62" s="6">
        <v>0</v>
      </c>
      <c r="E62" s="6">
        <v>0</v>
      </c>
      <c r="F62" s="6">
        <v>0</v>
      </c>
      <c r="G62" s="6">
        <v>1</v>
      </c>
      <c r="H62" s="6">
        <v>0</v>
      </c>
      <c r="I62" s="6">
        <v>4</v>
      </c>
      <c r="J62" s="6">
        <v>1</v>
      </c>
      <c r="K62" s="6">
        <v>0</v>
      </c>
      <c r="L62" s="6">
        <v>0</v>
      </c>
      <c r="M62" s="7" t="s">
        <v>11</v>
      </c>
      <c r="N62" s="124" t="s">
        <v>39</v>
      </c>
      <c r="O62" s="1"/>
    </row>
    <row r="63" spans="1:15" ht="13.5" thickBot="1" x14ac:dyDescent="0.25">
      <c r="A63" s="1"/>
      <c r="B63" s="6">
        <f t="shared" ref="B63:L63" si="20">SUM(B61:B62)</f>
        <v>8</v>
      </c>
      <c r="C63" s="6">
        <f t="shared" si="20"/>
        <v>0</v>
      </c>
      <c r="D63" s="6">
        <f t="shared" si="20"/>
        <v>0</v>
      </c>
      <c r="E63" s="6">
        <f t="shared" si="20"/>
        <v>0</v>
      </c>
      <c r="F63" s="6">
        <f t="shared" si="20"/>
        <v>0</v>
      </c>
      <c r="G63" s="6">
        <f t="shared" si="20"/>
        <v>1</v>
      </c>
      <c r="H63" s="6">
        <f t="shared" si="20"/>
        <v>0</v>
      </c>
      <c r="I63" s="6">
        <f t="shared" si="20"/>
        <v>4</v>
      </c>
      <c r="J63" s="6">
        <f t="shared" si="20"/>
        <v>3</v>
      </c>
      <c r="K63" s="6">
        <f t="shared" si="20"/>
        <v>0</v>
      </c>
      <c r="L63" s="6">
        <f t="shared" si="20"/>
        <v>0</v>
      </c>
      <c r="M63" s="7" t="s">
        <v>13</v>
      </c>
      <c r="N63" s="9"/>
      <c r="O63" s="1"/>
    </row>
    <row r="64" spans="1:15" ht="13.5" thickBot="1" x14ac:dyDescent="0.25">
      <c r="A64" s="1"/>
      <c r="B64" s="6">
        <f t="shared" si="0"/>
        <v>151</v>
      </c>
      <c r="C64" s="6">
        <v>1</v>
      </c>
      <c r="D64" s="6">
        <v>1</v>
      </c>
      <c r="E64" s="6">
        <v>35</v>
      </c>
      <c r="F64" s="6">
        <v>0</v>
      </c>
      <c r="G64" s="6">
        <v>22</v>
      </c>
      <c r="H64" s="6">
        <v>33</v>
      </c>
      <c r="I64" s="6">
        <v>15</v>
      </c>
      <c r="J64" s="6">
        <v>44</v>
      </c>
      <c r="K64" s="6">
        <v>0</v>
      </c>
      <c r="L64" s="6">
        <v>0</v>
      </c>
      <c r="M64" s="7" t="s">
        <v>10</v>
      </c>
      <c r="N64" s="124"/>
      <c r="O64" s="1"/>
    </row>
    <row r="65" spans="1:15" ht="13.5" thickBot="1" x14ac:dyDescent="0.25">
      <c r="A65" s="1"/>
      <c r="B65" s="6">
        <f t="shared" si="0"/>
        <v>167</v>
      </c>
      <c r="C65" s="6">
        <v>1</v>
      </c>
      <c r="D65" s="6">
        <v>3</v>
      </c>
      <c r="E65" s="6">
        <v>27</v>
      </c>
      <c r="F65" s="6">
        <v>0</v>
      </c>
      <c r="G65" s="6">
        <v>44</v>
      </c>
      <c r="H65" s="6">
        <v>10</v>
      </c>
      <c r="I65" s="6">
        <v>20</v>
      </c>
      <c r="J65" s="6">
        <v>46</v>
      </c>
      <c r="K65" s="6">
        <v>1</v>
      </c>
      <c r="L65" s="6">
        <v>15</v>
      </c>
      <c r="M65" s="7" t="s">
        <v>11</v>
      </c>
      <c r="N65" s="124" t="s">
        <v>25</v>
      </c>
      <c r="O65" s="1"/>
    </row>
    <row r="66" spans="1:15" ht="13.5" thickBot="1" x14ac:dyDescent="0.25">
      <c r="A66" s="1"/>
      <c r="B66" s="6">
        <f t="shared" ref="B66:L66" si="21">SUM(B64:B65)</f>
        <v>318</v>
      </c>
      <c r="C66" s="6">
        <f t="shared" si="21"/>
        <v>2</v>
      </c>
      <c r="D66" s="6">
        <f t="shared" si="21"/>
        <v>4</v>
      </c>
      <c r="E66" s="6">
        <f t="shared" si="21"/>
        <v>62</v>
      </c>
      <c r="F66" s="6">
        <f t="shared" si="21"/>
        <v>0</v>
      </c>
      <c r="G66" s="6">
        <f t="shared" si="21"/>
        <v>66</v>
      </c>
      <c r="H66" s="6">
        <f t="shared" si="21"/>
        <v>43</v>
      </c>
      <c r="I66" s="6">
        <f t="shared" si="21"/>
        <v>35</v>
      </c>
      <c r="J66" s="6">
        <f t="shared" si="21"/>
        <v>90</v>
      </c>
      <c r="K66" s="6">
        <f t="shared" si="21"/>
        <v>1</v>
      </c>
      <c r="L66" s="6">
        <f t="shared" si="21"/>
        <v>15</v>
      </c>
      <c r="M66" s="7" t="s">
        <v>13</v>
      </c>
      <c r="N66" s="9"/>
      <c r="O66" s="1"/>
    </row>
    <row r="67" spans="1:15" ht="13.5" thickBot="1" x14ac:dyDescent="0.25">
      <c r="A67" s="1"/>
      <c r="B67" s="6">
        <f t="shared" si="0"/>
        <v>27</v>
      </c>
      <c r="C67" s="6">
        <v>0</v>
      </c>
      <c r="D67" s="6">
        <v>0</v>
      </c>
      <c r="E67" s="6">
        <v>1</v>
      </c>
      <c r="F67" s="6">
        <v>0</v>
      </c>
      <c r="G67" s="6">
        <v>9</v>
      </c>
      <c r="H67" s="6">
        <v>4</v>
      </c>
      <c r="I67" s="6">
        <v>2</v>
      </c>
      <c r="J67" s="6">
        <v>11</v>
      </c>
      <c r="K67" s="6">
        <v>0</v>
      </c>
      <c r="L67" s="6">
        <v>0</v>
      </c>
      <c r="M67" s="7" t="s">
        <v>10</v>
      </c>
      <c r="N67" s="124"/>
      <c r="O67" s="1"/>
    </row>
    <row r="68" spans="1:15" ht="13.5" thickBot="1" x14ac:dyDescent="0.25">
      <c r="A68" s="1"/>
      <c r="B68" s="6">
        <f t="shared" si="0"/>
        <v>29</v>
      </c>
      <c r="C68" s="6">
        <v>0</v>
      </c>
      <c r="D68" s="6">
        <v>3</v>
      </c>
      <c r="E68" s="6">
        <v>1</v>
      </c>
      <c r="F68" s="6">
        <v>0</v>
      </c>
      <c r="G68" s="6">
        <v>5</v>
      </c>
      <c r="H68" s="6">
        <v>1</v>
      </c>
      <c r="I68" s="6">
        <v>1</v>
      </c>
      <c r="J68" s="6">
        <v>15</v>
      </c>
      <c r="K68" s="6">
        <v>0</v>
      </c>
      <c r="L68" s="6">
        <v>3</v>
      </c>
      <c r="M68" s="7" t="s">
        <v>11</v>
      </c>
      <c r="N68" s="124" t="s">
        <v>26</v>
      </c>
      <c r="O68" s="1"/>
    </row>
    <row r="69" spans="1:15" ht="13.5" thickBot="1" x14ac:dyDescent="0.25">
      <c r="A69" s="1"/>
      <c r="B69" s="6">
        <f t="shared" ref="B69:L69" si="22">SUM(B67:B68)</f>
        <v>56</v>
      </c>
      <c r="C69" s="6">
        <f t="shared" si="22"/>
        <v>0</v>
      </c>
      <c r="D69" s="6">
        <f t="shared" si="22"/>
        <v>3</v>
      </c>
      <c r="E69" s="6">
        <f t="shared" si="22"/>
        <v>2</v>
      </c>
      <c r="F69" s="6">
        <f t="shared" si="22"/>
        <v>0</v>
      </c>
      <c r="G69" s="6">
        <f t="shared" si="22"/>
        <v>14</v>
      </c>
      <c r="H69" s="6">
        <f t="shared" si="22"/>
        <v>5</v>
      </c>
      <c r="I69" s="6">
        <f t="shared" si="22"/>
        <v>3</v>
      </c>
      <c r="J69" s="6">
        <f t="shared" si="22"/>
        <v>26</v>
      </c>
      <c r="K69" s="6">
        <f t="shared" si="22"/>
        <v>0</v>
      </c>
      <c r="L69" s="6">
        <f t="shared" si="22"/>
        <v>3</v>
      </c>
      <c r="M69" s="7" t="s">
        <v>13</v>
      </c>
      <c r="N69" s="9"/>
      <c r="O69" s="1"/>
    </row>
    <row r="70" spans="1:15" ht="13.5" thickBot="1" x14ac:dyDescent="0.25">
      <c r="A70" s="1"/>
      <c r="B70" s="6">
        <f t="shared" ref="B70:B74" si="23">SUM(C70:L70)</f>
        <v>135</v>
      </c>
      <c r="C70" s="6">
        <v>0</v>
      </c>
      <c r="D70" s="6">
        <v>0</v>
      </c>
      <c r="E70" s="6">
        <v>0</v>
      </c>
      <c r="F70" s="6">
        <v>0</v>
      </c>
      <c r="G70" s="6">
        <v>122</v>
      </c>
      <c r="H70" s="6">
        <v>6</v>
      </c>
      <c r="I70" s="6">
        <v>3</v>
      </c>
      <c r="J70" s="6">
        <v>3</v>
      </c>
      <c r="K70" s="6">
        <v>1</v>
      </c>
      <c r="L70" s="6">
        <v>0</v>
      </c>
      <c r="M70" s="7" t="s">
        <v>10</v>
      </c>
      <c r="N70" s="124"/>
      <c r="O70" s="1"/>
    </row>
    <row r="71" spans="1:15" ht="13.5" thickBot="1" x14ac:dyDescent="0.25">
      <c r="A71" s="1"/>
      <c r="B71" s="6">
        <f t="shared" si="23"/>
        <v>52</v>
      </c>
      <c r="C71" s="6">
        <v>0</v>
      </c>
      <c r="D71" s="6">
        <v>0</v>
      </c>
      <c r="E71" s="6">
        <v>0</v>
      </c>
      <c r="F71" s="6">
        <v>0</v>
      </c>
      <c r="G71" s="6">
        <v>21</v>
      </c>
      <c r="H71" s="6">
        <v>0</v>
      </c>
      <c r="I71" s="6">
        <v>5</v>
      </c>
      <c r="J71" s="6">
        <v>15</v>
      </c>
      <c r="K71" s="6">
        <v>6</v>
      </c>
      <c r="L71" s="6">
        <v>5</v>
      </c>
      <c r="M71" s="7" t="s">
        <v>11</v>
      </c>
      <c r="N71" s="124" t="s">
        <v>27</v>
      </c>
      <c r="O71" s="1"/>
    </row>
    <row r="72" spans="1:15" ht="13.5" thickBot="1" x14ac:dyDescent="0.25">
      <c r="A72" s="1"/>
      <c r="B72" s="6">
        <f t="shared" ref="B72:L72" si="24">SUM(B70:B71)</f>
        <v>187</v>
      </c>
      <c r="C72" s="6">
        <f t="shared" si="24"/>
        <v>0</v>
      </c>
      <c r="D72" s="6">
        <f t="shared" si="24"/>
        <v>0</v>
      </c>
      <c r="E72" s="6">
        <f t="shared" si="24"/>
        <v>0</v>
      </c>
      <c r="F72" s="6">
        <f t="shared" si="24"/>
        <v>0</v>
      </c>
      <c r="G72" s="6">
        <f t="shared" si="24"/>
        <v>143</v>
      </c>
      <c r="H72" s="6">
        <f t="shared" si="24"/>
        <v>6</v>
      </c>
      <c r="I72" s="6">
        <f t="shared" si="24"/>
        <v>8</v>
      </c>
      <c r="J72" s="6">
        <f t="shared" si="24"/>
        <v>18</v>
      </c>
      <c r="K72" s="6">
        <f t="shared" si="24"/>
        <v>7</v>
      </c>
      <c r="L72" s="6">
        <f t="shared" si="24"/>
        <v>5</v>
      </c>
      <c r="M72" s="7" t="s">
        <v>13</v>
      </c>
      <c r="N72" s="9"/>
      <c r="O72" s="1"/>
    </row>
    <row r="73" spans="1:15" ht="13.5" thickBot="1" x14ac:dyDescent="0.25">
      <c r="A73" s="1"/>
      <c r="B73" s="6">
        <f t="shared" si="23"/>
        <v>2392</v>
      </c>
      <c r="C73" s="6">
        <v>39</v>
      </c>
      <c r="D73" s="6">
        <v>10</v>
      </c>
      <c r="E73" s="6">
        <v>42</v>
      </c>
      <c r="F73" s="6">
        <v>0</v>
      </c>
      <c r="G73" s="6">
        <v>199</v>
      </c>
      <c r="H73" s="6">
        <v>524</v>
      </c>
      <c r="I73" s="6">
        <v>521</v>
      </c>
      <c r="J73" s="6">
        <v>995</v>
      </c>
      <c r="K73" s="6">
        <v>26</v>
      </c>
      <c r="L73" s="6">
        <v>36</v>
      </c>
      <c r="M73" s="7" t="s">
        <v>10</v>
      </c>
      <c r="N73" s="124"/>
      <c r="O73" s="1"/>
    </row>
    <row r="74" spans="1:15" ht="13.5" thickBot="1" x14ac:dyDescent="0.25">
      <c r="A74" s="1"/>
      <c r="B74" s="6">
        <f t="shared" si="23"/>
        <v>362</v>
      </c>
      <c r="C74" s="6">
        <v>6</v>
      </c>
      <c r="D74" s="6">
        <v>7</v>
      </c>
      <c r="E74" s="6">
        <v>4</v>
      </c>
      <c r="F74" s="6">
        <v>0</v>
      </c>
      <c r="G74" s="6">
        <v>35</v>
      </c>
      <c r="H74" s="6">
        <v>9</v>
      </c>
      <c r="I74" s="6">
        <v>90</v>
      </c>
      <c r="J74" s="6">
        <v>129</v>
      </c>
      <c r="K74" s="6">
        <v>46</v>
      </c>
      <c r="L74" s="6">
        <v>36</v>
      </c>
      <c r="M74" s="7" t="s">
        <v>11</v>
      </c>
      <c r="N74" s="124" t="s">
        <v>33</v>
      </c>
      <c r="O74" s="1"/>
    </row>
    <row r="75" spans="1:15" ht="13.5" thickBot="1" x14ac:dyDescent="0.25">
      <c r="A75" s="1"/>
      <c r="B75" s="6">
        <f t="shared" ref="B75:L75" si="25">SUM(B73:B74)</f>
        <v>2754</v>
      </c>
      <c r="C75" s="6">
        <f t="shared" si="25"/>
        <v>45</v>
      </c>
      <c r="D75" s="6">
        <f t="shared" si="25"/>
        <v>17</v>
      </c>
      <c r="E75" s="6">
        <f t="shared" si="25"/>
        <v>46</v>
      </c>
      <c r="F75" s="6">
        <f t="shared" si="25"/>
        <v>0</v>
      </c>
      <c r="G75" s="6">
        <f t="shared" si="25"/>
        <v>234</v>
      </c>
      <c r="H75" s="6">
        <f t="shared" si="25"/>
        <v>533</v>
      </c>
      <c r="I75" s="6">
        <f t="shared" si="25"/>
        <v>611</v>
      </c>
      <c r="J75" s="6">
        <f t="shared" si="25"/>
        <v>1124</v>
      </c>
      <c r="K75" s="6">
        <f t="shared" si="25"/>
        <v>72</v>
      </c>
      <c r="L75" s="6">
        <f t="shared" si="25"/>
        <v>72</v>
      </c>
      <c r="M75" s="7" t="s">
        <v>13</v>
      </c>
      <c r="N75" s="9"/>
      <c r="O75" s="1"/>
    </row>
    <row r="76" spans="1:15" ht="13.5" thickBot="1" x14ac:dyDescent="0.25">
      <c r="A76" s="1"/>
      <c r="B76" s="6">
        <f t="shared" ref="B76:K78" si="26">B4+B7+B10+B13+B16+B19+B22+B25+B28+B31+B34+B37+B40+B43+B46+B49+B52+B55+B58+B61+B64+B67+B70+B73</f>
        <v>12439</v>
      </c>
      <c r="C76" s="6">
        <f t="shared" si="26"/>
        <v>112</v>
      </c>
      <c r="D76" s="6">
        <f t="shared" si="26"/>
        <v>36</v>
      </c>
      <c r="E76" s="6">
        <f t="shared" si="26"/>
        <v>566</v>
      </c>
      <c r="F76" s="6">
        <f t="shared" si="26"/>
        <v>7</v>
      </c>
      <c r="G76" s="6">
        <f t="shared" si="26"/>
        <v>1620</v>
      </c>
      <c r="H76" s="6">
        <f t="shared" si="26"/>
        <v>2634</v>
      </c>
      <c r="I76" s="6">
        <f t="shared" si="26"/>
        <v>2306</v>
      </c>
      <c r="J76" s="6">
        <f t="shared" si="26"/>
        <v>4835</v>
      </c>
      <c r="K76" s="6">
        <f t="shared" si="26"/>
        <v>98</v>
      </c>
      <c r="L76" s="6">
        <f>L4+L7+L10+L13+L16+L19+L22+L25+L28+L31+L34+L37+L40+L43+L46+L49+L52+L55+L58+L61+L64+L67+L70+L73</f>
        <v>225</v>
      </c>
      <c r="M76" s="7" t="s">
        <v>10</v>
      </c>
      <c r="N76" s="3"/>
      <c r="O76" s="1"/>
    </row>
    <row r="77" spans="1:15" ht="13.5" thickBot="1" x14ac:dyDescent="0.25">
      <c r="A77" s="1"/>
      <c r="B77" s="6">
        <f t="shared" si="26"/>
        <v>2780</v>
      </c>
      <c r="C77" s="6">
        <f t="shared" si="26"/>
        <v>33</v>
      </c>
      <c r="D77" s="6">
        <f t="shared" si="26"/>
        <v>104</v>
      </c>
      <c r="E77" s="6">
        <f t="shared" si="26"/>
        <v>121</v>
      </c>
      <c r="F77" s="6">
        <f t="shared" si="26"/>
        <v>0</v>
      </c>
      <c r="G77" s="6">
        <f t="shared" si="26"/>
        <v>542</v>
      </c>
      <c r="H77" s="6">
        <f t="shared" si="26"/>
        <v>105</v>
      </c>
      <c r="I77" s="6">
        <f t="shared" si="26"/>
        <v>475</v>
      </c>
      <c r="J77" s="6">
        <f t="shared" si="26"/>
        <v>981</v>
      </c>
      <c r="K77" s="6">
        <f t="shared" si="26"/>
        <v>202</v>
      </c>
      <c r="L77" s="6">
        <f>L5+L8+L11+L14+L17+L20+L23+L26+L29+L32+L35+L38+L41+L44+L47+L50+L53+L56+L59+L62+L65+L68+L71+L74</f>
        <v>217</v>
      </c>
      <c r="M77" s="7" t="s">
        <v>11</v>
      </c>
      <c r="N77" s="11" t="s">
        <v>211</v>
      </c>
      <c r="O77" s="1"/>
    </row>
    <row r="78" spans="1:15" ht="13.5" thickBot="1" x14ac:dyDescent="0.25">
      <c r="A78" s="1"/>
      <c r="B78" s="6">
        <f t="shared" si="26"/>
        <v>15219</v>
      </c>
      <c r="C78" s="6">
        <f t="shared" si="26"/>
        <v>145</v>
      </c>
      <c r="D78" s="6">
        <f t="shared" si="26"/>
        <v>140</v>
      </c>
      <c r="E78" s="6">
        <f t="shared" si="26"/>
        <v>687</v>
      </c>
      <c r="F78" s="6">
        <f t="shared" si="26"/>
        <v>7</v>
      </c>
      <c r="G78" s="6">
        <f t="shared" si="26"/>
        <v>2162</v>
      </c>
      <c r="H78" s="6">
        <f t="shared" si="26"/>
        <v>2739</v>
      </c>
      <c r="I78" s="6">
        <f t="shared" si="26"/>
        <v>2781</v>
      </c>
      <c r="J78" s="6">
        <f t="shared" si="26"/>
        <v>5816</v>
      </c>
      <c r="K78" s="6">
        <f t="shared" si="26"/>
        <v>300</v>
      </c>
      <c r="L78" s="6">
        <f>L6+L9+L12+L15+L18+L21+L24+L27+L30+L33+L36+L39+L42+L45+L48+L51+L54+L57+L60+L63+L66+L69+L72+L75</f>
        <v>442</v>
      </c>
      <c r="M78" s="7" t="s">
        <v>13</v>
      </c>
      <c r="N78" s="5"/>
      <c r="O78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topLeftCell="A7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707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708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20</v>
      </c>
      <c r="C5" s="6">
        <v>2</v>
      </c>
      <c r="D5" s="6">
        <v>1</v>
      </c>
      <c r="E5" s="6">
        <v>4</v>
      </c>
      <c r="F5" s="6">
        <v>6</v>
      </c>
      <c r="G5" s="6">
        <v>1</v>
      </c>
      <c r="H5" s="6">
        <v>5</v>
      </c>
      <c r="I5" s="6">
        <v>1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25</v>
      </c>
      <c r="C6" s="6">
        <v>1</v>
      </c>
      <c r="D6" s="6">
        <v>0</v>
      </c>
      <c r="E6" s="6">
        <v>3</v>
      </c>
      <c r="F6" s="6">
        <v>13</v>
      </c>
      <c r="G6" s="6">
        <v>1</v>
      </c>
      <c r="H6" s="6">
        <v>5</v>
      </c>
      <c r="I6" s="6">
        <v>2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45</v>
      </c>
      <c r="C7" s="6">
        <f t="shared" si="1"/>
        <v>3</v>
      </c>
      <c r="D7" s="6">
        <f t="shared" si="1"/>
        <v>1</v>
      </c>
      <c r="E7" s="6">
        <f t="shared" si="1"/>
        <v>7</v>
      </c>
      <c r="F7" s="6">
        <f t="shared" si="1"/>
        <v>19</v>
      </c>
      <c r="G7" s="6">
        <f t="shared" si="1"/>
        <v>2</v>
      </c>
      <c r="H7" s="6">
        <f t="shared" si="1"/>
        <v>10</v>
      </c>
      <c r="I7" s="6">
        <f>SUM(I5:I6)</f>
        <v>3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36</v>
      </c>
      <c r="C8" s="6">
        <v>0</v>
      </c>
      <c r="D8" s="6">
        <v>0</v>
      </c>
      <c r="E8" s="6">
        <v>6</v>
      </c>
      <c r="F8" s="6">
        <v>16</v>
      </c>
      <c r="G8" s="6">
        <v>0</v>
      </c>
      <c r="H8" s="6">
        <v>12</v>
      </c>
      <c r="I8" s="6">
        <v>2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21</v>
      </c>
      <c r="C9" s="6">
        <v>0</v>
      </c>
      <c r="D9" s="6">
        <v>0</v>
      </c>
      <c r="E9" s="6">
        <v>1</v>
      </c>
      <c r="F9" s="6">
        <v>14</v>
      </c>
      <c r="G9" s="6">
        <v>0</v>
      </c>
      <c r="H9" s="6">
        <v>3</v>
      </c>
      <c r="I9" s="6">
        <v>3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57</v>
      </c>
      <c r="C10" s="6">
        <f t="shared" si="2"/>
        <v>0</v>
      </c>
      <c r="D10" s="6">
        <f t="shared" si="2"/>
        <v>0</v>
      </c>
      <c r="E10" s="6">
        <f t="shared" si="2"/>
        <v>7</v>
      </c>
      <c r="F10" s="6">
        <f t="shared" si="2"/>
        <v>30</v>
      </c>
      <c r="G10" s="6">
        <f t="shared" si="2"/>
        <v>0</v>
      </c>
      <c r="H10" s="6">
        <f t="shared" si="2"/>
        <v>15</v>
      </c>
      <c r="I10" s="6">
        <f t="shared" si="2"/>
        <v>5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337</v>
      </c>
      <c r="C11" s="6">
        <v>1</v>
      </c>
      <c r="D11" s="6">
        <v>1</v>
      </c>
      <c r="E11" s="6">
        <v>7</v>
      </c>
      <c r="F11" s="6">
        <v>90</v>
      </c>
      <c r="G11" s="6">
        <v>0</v>
      </c>
      <c r="H11" s="6">
        <v>230</v>
      </c>
      <c r="I11" s="6">
        <v>8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56</v>
      </c>
      <c r="C12" s="6">
        <v>0</v>
      </c>
      <c r="D12" s="6">
        <v>0</v>
      </c>
      <c r="E12" s="6">
        <v>0</v>
      </c>
      <c r="F12" s="6">
        <v>20</v>
      </c>
      <c r="G12" s="6">
        <v>0</v>
      </c>
      <c r="H12" s="6">
        <v>31</v>
      </c>
      <c r="I12" s="6">
        <v>5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393</v>
      </c>
      <c r="C13" s="6">
        <f t="shared" si="3"/>
        <v>1</v>
      </c>
      <c r="D13" s="6">
        <f t="shared" si="3"/>
        <v>1</v>
      </c>
      <c r="E13" s="6">
        <f t="shared" si="3"/>
        <v>7</v>
      </c>
      <c r="F13" s="6">
        <f t="shared" si="3"/>
        <v>110</v>
      </c>
      <c r="G13" s="6">
        <f t="shared" si="3"/>
        <v>0</v>
      </c>
      <c r="H13" s="6">
        <f t="shared" si="3"/>
        <v>261</v>
      </c>
      <c r="I13" s="6">
        <f t="shared" si="3"/>
        <v>13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233</v>
      </c>
      <c r="C14" s="6">
        <v>0</v>
      </c>
      <c r="D14" s="6">
        <v>1</v>
      </c>
      <c r="E14" s="6">
        <v>6</v>
      </c>
      <c r="F14" s="6">
        <v>58</v>
      </c>
      <c r="G14" s="6">
        <v>0</v>
      </c>
      <c r="H14" s="6">
        <v>165</v>
      </c>
      <c r="I14" s="6">
        <v>3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42</v>
      </c>
      <c r="C15" s="6">
        <v>0</v>
      </c>
      <c r="D15" s="6">
        <v>0</v>
      </c>
      <c r="E15" s="6">
        <v>0</v>
      </c>
      <c r="F15" s="6">
        <v>20</v>
      </c>
      <c r="G15" s="6">
        <v>0</v>
      </c>
      <c r="H15" s="6">
        <v>14</v>
      </c>
      <c r="I15" s="6">
        <v>8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275</v>
      </c>
      <c r="C16" s="6">
        <f t="shared" si="4"/>
        <v>0</v>
      </c>
      <c r="D16" s="6">
        <f t="shared" si="4"/>
        <v>1</v>
      </c>
      <c r="E16" s="6">
        <f t="shared" si="4"/>
        <v>6</v>
      </c>
      <c r="F16" s="6">
        <f t="shared" si="4"/>
        <v>78</v>
      </c>
      <c r="G16" s="6">
        <f t="shared" si="4"/>
        <v>0</v>
      </c>
      <c r="H16" s="6">
        <f t="shared" si="4"/>
        <v>179</v>
      </c>
      <c r="I16" s="6">
        <f t="shared" si="4"/>
        <v>11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172</v>
      </c>
      <c r="C17" s="6">
        <v>2</v>
      </c>
      <c r="D17" s="6">
        <v>0</v>
      </c>
      <c r="E17" s="6">
        <v>6</v>
      </c>
      <c r="F17" s="6">
        <v>26</v>
      </c>
      <c r="G17" s="6">
        <v>0</v>
      </c>
      <c r="H17" s="6">
        <v>136</v>
      </c>
      <c r="I17" s="6">
        <v>2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4</v>
      </c>
      <c r="C18" s="6">
        <v>0</v>
      </c>
      <c r="D18" s="6">
        <v>0</v>
      </c>
      <c r="E18" s="6">
        <v>0</v>
      </c>
      <c r="F18" s="6">
        <v>1</v>
      </c>
      <c r="G18" s="6">
        <v>0</v>
      </c>
      <c r="H18" s="6">
        <v>3</v>
      </c>
      <c r="I18" s="6">
        <v>0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176</v>
      </c>
      <c r="C19" s="6">
        <f t="shared" si="5"/>
        <v>2</v>
      </c>
      <c r="D19" s="6">
        <f t="shared" si="5"/>
        <v>0</v>
      </c>
      <c r="E19" s="6">
        <f t="shared" si="5"/>
        <v>6</v>
      </c>
      <c r="F19" s="6">
        <f t="shared" si="5"/>
        <v>27</v>
      </c>
      <c r="G19" s="6">
        <f t="shared" si="5"/>
        <v>0</v>
      </c>
      <c r="H19" s="6">
        <f t="shared" si="5"/>
        <v>139</v>
      </c>
      <c r="I19" s="6">
        <f t="shared" si="5"/>
        <v>2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149</v>
      </c>
      <c r="C20" s="6">
        <v>3</v>
      </c>
      <c r="D20" s="6">
        <v>20</v>
      </c>
      <c r="E20" s="6">
        <v>6</v>
      </c>
      <c r="F20" s="6">
        <v>29</v>
      </c>
      <c r="G20" s="6">
        <v>0</v>
      </c>
      <c r="H20" s="6">
        <v>88</v>
      </c>
      <c r="I20" s="6">
        <v>3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33</v>
      </c>
      <c r="C21" s="6">
        <v>0</v>
      </c>
      <c r="D21" s="6">
        <v>6</v>
      </c>
      <c r="E21" s="6">
        <v>2</v>
      </c>
      <c r="F21" s="6">
        <v>14</v>
      </c>
      <c r="G21" s="6">
        <v>0</v>
      </c>
      <c r="H21" s="6">
        <v>11</v>
      </c>
      <c r="I21" s="6">
        <v>0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182</v>
      </c>
      <c r="C22" s="6">
        <f t="shared" si="6"/>
        <v>3</v>
      </c>
      <c r="D22" s="6">
        <f t="shared" si="6"/>
        <v>26</v>
      </c>
      <c r="E22" s="6">
        <f t="shared" si="6"/>
        <v>8</v>
      </c>
      <c r="F22" s="6">
        <f t="shared" si="6"/>
        <v>43</v>
      </c>
      <c r="G22" s="6">
        <f t="shared" si="6"/>
        <v>0</v>
      </c>
      <c r="H22" s="6">
        <f t="shared" si="6"/>
        <v>99</v>
      </c>
      <c r="I22" s="6">
        <f t="shared" si="6"/>
        <v>3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31</v>
      </c>
      <c r="C26" s="6">
        <v>0</v>
      </c>
      <c r="D26" s="6">
        <v>0</v>
      </c>
      <c r="E26" s="6">
        <v>4</v>
      </c>
      <c r="F26" s="6">
        <v>16</v>
      </c>
      <c r="G26" s="6">
        <v>0</v>
      </c>
      <c r="H26" s="6">
        <v>9</v>
      </c>
      <c r="I26" s="6">
        <v>2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31</v>
      </c>
      <c r="C28" s="6">
        <f t="shared" si="8"/>
        <v>0</v>
      </c>
      <c r="D28" s="6">
        <f t="shared" si="8"/>
        <v>0</v>
      </c>
      <c r="E28" s="6">
        <f t="shared" si="8"/>
        <v>4</v>
      </c>
      <c r="F28" s="6">
        <f t="shared" si="8"/>
        <v>16</v>
      </c>
      <c r="G28" s="6">
        <f t="shared" si="8"/>
        <v>0</v>
      </c>
      <c r="H28" s="6">
        <f t="shared" si="8"/>
        <v>9</v>
      </c>
      <c r="I28" s="6">
        <f t="shared" si="8"/>
        <v>2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4</v>
      </c>
      <c r="C29" s="6">
        <v>0</v>
      </c>
      <c r="D29" s="6">
        <v>0</v>
      </c>
      <c r="E29" s="6">
        <v>0</v>
      </c>
      <c r="F29" s="6">
        <v>1</v>
      </c>
      <c r="G29" s="6">
        <v>0</v>
      </c>
      <c r="H29" s="6">
        <v>3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11</v>
      </c>
      <c r="C30" s="6">
        <v>0</v>
      </c>
      <c r="D30" s="6">
        <v>0</v>
      </c>
      <c r="E30" s="6">
        <v>0</v>
      </c>
      <c r="F30" s="6">
        <v>4</v>
      </c>
      <c r="G30" s="6">
        <v>0</v>
      </c>
      <c r="H30" s="6">
        <v>3</v>
      </c>
      <c r="I30" s="6">
        <v>4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15</v>
      </c>
      <c r="C31" s="6">
        <f t="shared" si="9"/>
        <v>0</v>
      </c>
      <c r="D31" s="6">
        <f t="shared" si="9"/>
        <v>0</v>
      </c>
      <c r="E31" s="6">
        <f t="shared" si="9"/>
        <v>0</v>
      </c>
      <c r="F31" s="6">
        <f t="shared" si="9"/>
        <v>5</v>
      </c>
      <c r="G31" s="6">
        <f t="shared" si="9"/>
        <v>0</v>
      </c>
      <c r="H31" s="6">
        <f t="shared" si="9"/>
        <v>6</v>
      </c>
      <c r="I31" s="6">
        <f t="shared" si="9"/>
        <v>4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91</v>
      </c>
      <c r="C32" s="6">
        <v>69</v>
      </c>
      <c r="D32" s="6">
        <v>1</v>
      </c>
      <c r="E32" s="6">
        <v>0</v>
      </c>
      <c r="F32" s="6">
        <v>5</v>
      </c>
      <c r="G32" s="6">
        <v>0</v>
      </c>
      <c r="H32" s="6">
        <v>14</v>
      </c>
      <c r="I32" s="6">
        <v>2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9</v>
      </c>
      <c r="C33" s="6">
        <v>3</v>
      </c>
      <c r="D33" s="6">
        <v>0</v>
      </c>
      <c r="E33" s="6">
        <v>0</v>
      </c>
      <c r="F33" s="6">
        <v>3</v>
      </c>
      <c r="G33" s="6">
        <v>0</v>
      </c>
      <c r="H33" s="6">
        <v>1</v>
      </c>
      <c r="I33" s="6">
        <v>2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100</v>
      </c>
      <c r="C34" s="6">
        <f t="shared" si="10"/>
        <v>72</v>
      </c>
      <c r="D34" s="6">
        <f t="shared" si="10"/>
        <v>1</v>
      </c>
      <c r="E34" s="6">
        <f t="shared" si="10"/>
        <v>0</v>
      </c>
      <c r="F34" s="6">
        <f t="shared" si="10"/>
        <v>8</v>
      </c>
      <c r="G34" s="6">
        <f t="shared" si="10"/>
        <v>0</v>
      </c>
      <c r="H34" s="6">
        <f t="shared" si="10"/>
        <v>15</v>
      </c>
      <c r="I34" s="6">
        <f t="shared" si="10"/>
        <v>4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1073</v>
      </c>
      <c r="C35" s="6">
        <f t="shared" si="11"/>
        <v>77</v>
      </c>
      <c r="D35" s="6">
        <f t="shared" si="11"/>
        <v>24</v>
      </c>
      <c r="E35" s="6">
        <f t="shared" si="11"/>
        <v>39</v>
      </c>
      <c r="F35" s="6">
        <f t="shared" si="11"/>
        <v>247</v>
      </c>
      <c r="G35" s="6">
        <f t="shared" si="11"/>
        <v>1</v>
      </c>
      <c r="H35" s="6">
        <f t="shared" si="11"/>
        <v>662</v>
      </c>
      <c r="I35" s="6">
        <f>I5+I8+I11+I14+I17+I20+I23+I26+I29+I32</f>
        <v>23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201</v>
      </c>
      <c r="C36" s="6">
        <f t="shared" si="11"/>
        <v>4</v>
      </c>
      <c r="D36" s="6">
        <f t="shared" si="11"/>
        <v>6</v>
      </c>
      <c r="E36" s="6">
        <f t="shared" si="11"/>
        <v>6</v>
      </c>
      <c r="F36" s="6">
        <f t="shared" si="11"/>
        <v>89</v>
      </c>
      <c r="G36" s="6">
        <f t="shared" si="11"/>
        <v>1</v>
      </c>
      <c r="H36" s="6">
        <f t="shared" si="11"/>
        <v>71</v>
      </c>
      <c r="I36" s="6">
        <f>I6+I9+I12+I15+I18+I21+I24+I27+I30+I33</f>
        <v>24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1274</v>
      </c>
      <c r="C37" s="6">
        <f t="shared" si="11"/>
        <v>81</v>
      </c>
      <c r="D37" s="6">
        <f t="shared" si="11"/>
        <v>30</v>
      </c>
      <c r="E37" s="6">
        <f t="shared" si="11"/>
        <v>45</v>
      </c>
      <c r="F37" s="6">
        <f t="shared" si="11"/>
        <v>336</v>
      </c>
      <c r="G37" s="6">
        <f t="shared" si="11"/>
        <v>2</v>
      </c>
      <c r="H37" s="6">
        <f t="shared" si="11"/>
        <v>733</v>
      </c>
      <c r="I37" s="6">
        <f>I7+I10+I13+I16+I19+I22+I25+I28+I31+I34</f>
        <v>47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709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710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10</v>
      </c>
      <c r="C5" s="6">
        <v>2</v>
      </c>
      <c r="D5" s="6">
        <v>1</v>
      </c>
      <c r="E5" s="6">
        <v>4</v>
      </c>
      <c r="F5" s="6">
        <v>1</v>
      </c>
      <c r="G5" s="6">
        <v>0</v>
      </c>
      <c r="H5" s="6">
        <v>1</v>
      </c>
      <c r="I5" s="6">
        <v>1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10</v>
      </c>
      <c r="C6" s="6">
        <v>1</v>
      </c>
      <c r="D6" s="6">
        <v>0</v>
      </c>
      <c r="E6" s="6">
        <v>2</v>
      </c>
      <c r="F6" s="6">
        <v>3</v>
      </c>
      <c r="G6" s="6">
        <v>0</v>
      </c>
      <c r="H6" s="6">
        <v>4</v>
      </c>
      <c r="I6" s="6">
        <v>0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20</v>
      </c>
      <c r="C7" s="6">
        <f t="shared" si="1"/>
        <v>3</v>
      </c>
      <c r="D7" s="6">
        <f t="shared" si="1"/>
        <v>1</v>
      </c>
      <c r="E7" s="6">
        <f t="shared" si="1"/>
        <v>6</v>
      </c>
      <c r="F7" s="6">
        <f t="shared" si="1"/>
        <v>4</v>
      </c>
      <c r="G7" s="6">
        <f t="shared" si="1"/>
        <v>0</v>
      </c>
      <c r="H7" s="6">
        <f t="shared" si="1"/>
        <v>5</v>
      </c>
      <c r="I7" s="6">
        <f>SUM(I5:I6)</f>
        <v>1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11</v>
      </c>
      <c r="C8" s="6">
        <v>0</v>
      </c>
      <c r="D8" s="6">
        <v>0</v>
      </c>
      <c r="E8" s="6">
        <v>3</v>
      </c>
      <c r="F8" s="6">
        <v>4</v>
      </c>
      <c r="G8" s="6">
        <v>0</v>
      </c>
      <c r="H8" s="6">
        <v>4</v>
      </c>
      <c r="I8" s="6">
        <v>0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5</v>
      </c>
      <c r="C9" s="6">
        <v>0</v>
      </c>
      <c r="D9" s="6">
        <v>0</v>
      </c>
      <c r="E9" s="6">
        <v>1</v>
      </c>
      <c r="F9" s="6">
        <v>4</v>
      </c>
      <c r="G9" s="6">
        <v>0</v>
      </c>
      <c r="H9" s="6">
        <v>0</v>
      </c>
      <c r="I9" s="6">
        <v>0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16</v>
      </c>
      <c r="C10" s="6">
        <f t="shared" si="2"/>
        <v>0</v>
      </c>
      <c r="D10" s="6">
        <f t="shared" si="2"/>
        <v>0</v>
      </c>
      <c r="E10" s="6">
        <f t="shared" si="2"/>
        <v>4</v>
      </c>
      <c r="F10" s="6">
        <f t="shared" si="2"/>
        <v>8</v>
      </c>
      <c r="G10" s="6">
        <f t="shared" si="2"/>
        <v>0</v>
      </c>
      <c r="H10" s="6">
        <f t="shared" si="2"/>
        <v>4</v>
      </c>
      <c r="I10" s="6">
        <f t="shared" si="2"/>
        <v>0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116</v>
      </c>
      <c r="C11" s="6">
        <v>1</v>
      </c>
      <c r="D11" s="6">
        <v>1</v>
      </c>
      <c r="E11" s="6">
        <v>3</v>
      </c>
      <c r="F11" s="6">
        <v>40</v>
      </c>
      <c r="G11" s="6">
        <v>0</v>
      </c>
      <c r="H11" s="6">
        <v>70</v>
      </c>
      <c r="I11" s="6">
        <v>1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21</v>
      </c>
      <c r="C12" s="6">
        <v>0</v>
      </c>
      <c r="D12" s="6">
        <v>0</v>
      </c>
      <c r="E12" s="6">
        <v>0</v>
      </c>
      <c r="F12" s="6">
        <v>11</v>
      </c>
      <c r="G12" s="6">
        <v>0</v>
      </c>
      <c r="H12" s="6">
        <v>7</v>
      </c>
      <c r="I12" s="6">
        <v>3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137</v>
      </c>
      <c r="C13" s="6">
        <f t="shared" si="3"/>
        <v>1</v>
      </c>
      <c r="D13" s="6">
        <f t="shared" si="3"/>
        <v>1</v>
      </c>
      <c r="E13" s="6">
        <f t="shared" si="3"/>
        <v>3</v>
      </c>
      <c r="F13" s="6">
        <f t="shared" si="3"/>
        <v>51</v>
      </c>
      <c r="G13" s="6">
        <f t="shared" si="3"/>
        <v>0</v>
      </c>
      <c r="H13" s="6">
        <f t="shared" si="3"/>
        <v>77</v>
      </c>
      <c r="I13" s="6">
        <f t="shared" si="3"/>
        <v>4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88</v>
      </c>
      <c r="C14" s="6">
        <v>0</v>
      </c>
      <c r="D14" s="6">
        <v>1</v>
      </c>
      <c r="E14" s="6">
        <v>5</v>
      </c>
      <c r="F14" s="6">
        <v>39</v>
      </c>
      <c r="G14" s="6">
        <v>0</v>
      </c>
      <c r="H14" s="6">
        <v>42</v>
      </c>
      <c r="I14" s="6">
        <v>1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15</v>
      </c>
      <c r="C15" s="6">
        <v>0</v>
      </c>
      <c r="D15" s="6">
        <v>0</v>
      </c>
      <c r="E15" s="6">
        <v>0</v>
      </c>
      <c r="F15" s="6">
        <v>11</v>
      </c>
      <c r="G15" s="6">
        <v>0</v>
      </c>
      <c r="H15" s="6">
        <v>4</v>
      </c>
      <c r="I15" s="6">
        <v>0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103</v>
      </c>
      <c r="C16" s="6">
        <f t="shared" si="4"/>
        <v>0</v>
      </c>
      <c r="D16" s="6">
        <f t="shared" si="4"/>
        <v>1</v>
      </c>
      <c r="E16" s="6">
        <f t="shared" si="4"/>
        <v>5</v>
      </c>
      <c r="F16" s="6">
        <f t="shared" si="4"/>
        <v>50</v>
      </c>
      <c r="G16" s="6">
        <f t="shared" si="4"/>
        <v>0</v>
      </c>
      <c r="H16" s="6">
        <f t="shared" si="4"/>
        <v>46</v>
      </c>
      <c r="I16" s="6">
        <f t="shared" si="4"/>
        <v>1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79</v>
      </c>
      <c r="C17" s="6">
        <v>2</v>
      </c>
      <c r="D17" s="6">
        <v>0</v>
      </c>
      <c r="E17" s="6">
        <v>3</v>
      </c>
      <c r="F17" s="6">
        <v>17</v>
      </c>
      <c r="G17" s="6">
        <v>0</v>
      </c>
      <c r="H17" s="6">
        <v>57</v>
      </c>
      <c r="I17" s="6">
        <v>0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2</v>
      </c>
      <c r="C18" s="6">
        <v>0</v>
      </c>
      <c r="D18" s="6">
        <v>0</v>
      </c>
      <c r="E18" s="6">
        <v>0</v>
      </c>
      <c r="F18" s="6">
        <v>1</v>
      </c>
      <c r="G18" s="6">
        <v>0</v>
      </c>
      <c r="H18" s="6">
        <v>1</v>
      </c>
      <c r="I18" s="6">
        <v>0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81</v>
      </c>
      <c r="C19" s="6">
        <f t="shared" si="5"/>
        <v>2</v>
      </c>
      <c r="D19" s="6">
        <f t="shared" si="5"/>
        <v>0</v>
      </c>
      <c r="E19" s="6">
        <f t="shared" si="5"/>
        <v>3</v>
      </c>
      <c r="F19" s="6">
        <f t="shared" si="5"/>
        <v>18</v>
      </c>
      <c r="G19" s="6">
        <f t="shared" si="5"/>
        <v>0</v>
      </c>
      <c r="H19" s="6">
        <f t="shared" si="5"/>
        <v>58</v>
      </c>
      <c r="I19" s="6">
        <f t="shared" si="5"/>
        <v>0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75</v>
      </c>
      <c r="C20" s="6">
        <v>3</v>
      </c>
      <c r="D20" s="6">
        <v>18</v>
      </c>
      <c r="E20" s="6">
        <v>5</v>
      </c>
      <c r="F20" s="6">
        <v>19</v>
      </c>
      <c r="G20" s="6">
        <v>0</v>
      </c>
      <c r="H20" s="6">
        <v>27</v>
      </c>
      <c r="I20" s="6">
        <v>3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19</v>
      </c>
      <c r="C21" s="6">
        <v>0</v>
      </c>
      <c r="D21" s="6">
        <v>5</v>
      </c>
      <c r="E21" s="6">
        <v>1</v>
      </c>
      <c r="F21" s="6">
        <v>8</v>
      </c>
      <c r="G21" s="6">
        <v>0</v>
      </c>
      <c r="H21" s="6">
        <v>5</v>
      </c>
      <c r="I21" s="6">
        <v>0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94</v>
      </c>
      <c r="C22" s="6">
        <f t="shared" si="6"/>
        <v>3</v>
      </c>
      <c r="D22" s="6">
        <f t="shared" si="6"/>
        <v>23</v>
      </c>
      <c r="E22" s="6">
        <f t="shared" si="6"/>
        <v>6</v>
      </c>
      <c r="F22" s="6">
        <f t="shared" si="6"/>
        <v>27</v>
      </c>
      <c r="G22" s="6">
        <f t="shared" si="6"/>
        <v>0</v>
      </c>
      <c r="H22" s="6">
        <f t="shared" si="6"/>
        <v>32</v>
      </c>
      <c r="I22" s="6">
        <f t="shared" si="6"/>
        <v>3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12</v>
      </c>
      <c r="C26" s="6">
        <v>0</v>
      </c>
      <c r="D26" s="6">
        <v>0</v>
      </c>
      <c r="E26" s="6">
        <v>2</v>
      </c>
      <c r="F26" s="6">
        <v>8</v>
      </c>
      <c r="G26" s="6">
        <v>0</v>
      </c>
      <c r="H26" s="6">
        <v>1</v>
      </c>
      <c r="I26" s="6">
        <v>1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12</v>
      </c>
      <c r="C28" s="6">
        <f t="shared" si="8"/>
        <v>0</v>
      </c>
      <c r="D28" s="6">
        <f t="shared" si="8"/>
        <v>0</v>
      </c>
      <c r="E28" s="6">
        <f t="shared" si="8"/>
        <v>2</v>
      </c>
      <c r="F28" s="6">
        <f t="shared" si="8"/>
        <v>8</v>
      </c>
      <c r="G28" s="6">
        <f t="shared" si="8"/>
        <v>0</v>
      </c>
      <c r="H28" s="6">
        <f t="shared" si="8"/>
        <v>1</v>
      </c>
      <c r="I28" s="6">
        <f t="shared" si="8"/>
        <v>1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1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1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3</v>
      </c>
      <c r="C30" s="6">
        <v>0</v>
      </c>
      <c r="D30" s="6">
        <v>0</v>
      </c>
      <c r="E30" s="6">
        <v>0</v>
      </c>
      <c r="F30" s="6">
        <v>2</v>
      </c>
      <c r="G30" s="6">
        <v>0</v>
      </c>
      <c r="H30" s="6">
        <v>0</v>
      </c>
      <c r="I30" s="6">
        <v>1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4</v>
      </c>
      <c r="C31" s="6">
        <f t="shared" si="9"/>
        <v>0</v>
      </c>
      <c r="D31" s="6">
        <f t="shared" si="9"/>
        <v>0</v>
      </c>
      <c r="E31" s="6">
        <f t="shared" si="9"/>
        <v>0</v>
      </c>
      <c r="F31" s="6">
        <f t="shared" si="9"/>
        <v>2</v>
      </c>
      <c r="G31" s="6">
        <f t="shared" si="9"/>
        <v>0</v>
      </c>
      <c r="H31" s="6">
        <f t="shared" si="9"/>
        <v>1</v>
      </c>
      <c r="I31" s="6">
        <f t="shared" si="9"/>
        <v>1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85</v>
      </c>
      <c r="C32" s="6">
        <v>69</v>
      </c>
      <c r="D32" s="6">
        <v>1</v>
      </c>
      <c r="E32" s="6">
        <v>0</v>
      </c>
      <c r="F32" s="6">
        <v>4</v>
      </c>
      <c r="G32" s="6">
        <v>0</v>
      </c>
      <c r="H32" s="6">
        <v>9</v>
      </c>
      <c r="I32" s="6">
        <v>2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9</v>
      </c>
      <c r="C33" s="6">
        <v>3</v>
      </c>
      <c r="D33" s="6">
        <v>0</v>
      </c>
      <c r="E33" s="6">
        <v>0</v>
      </c>
      <c r="F33" s="6">
        <v>3</v>
      </c>
      <c r="G33" s="6">
        <v>0</v>
      </c>
      <c r="H33" s="6">
        <v>1</v>
      </c>
      <c r="I33" s="6">
        <v>2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94</v>
      </c>
      <c r="C34" s="6">
        <f t="shared" si="10"/>
        <v>72</v>
      </c>
      <c r="D34" s="6">
        <f t="shared" si="10"/>
        <v>1</v>
      </c>
      <c r="E34" s="6">
        <f t="shared" si="10"/>
        <v>0</v>
      </c>
      <c r="F34" s="6">
        <f t="shared" si="10"/>
        <v>7</v>
      </c>
      <c r="G34" s="6">
        <f t="shared" si="10"/>
        <v>0</v>
      </c>
      <c r="H34" s="6">
        <f t="shared" si="10"/>
        <v>10</v>
      </c>
      <c r="I34" s="6">
        <f t="shared" si="10"/>
        <v>4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477</v>
      </c>
      <c r="C35" s="6">
        <f t="shared" si="11"/>
        <v>77</v>
      </c>
      <c r="D35" s="6">
        <f t="shared" si="11"/>
        <v>22</v>
      </c>
      <c r="E35" s="6">
        <f t="shared" si="11"/>
        <v>25</v>
      </c>
      <c r="F35" s="6">
        <f t="shared" si="11"/>
        <v>132</v>
      </c>
      <c r="G35" s="6">
        <f t="shared" si="11"/>
        <v>0</v>
      </c>
      <c r="H35" s="6">
        <f t="shared" si="11"/>
        <v>212</v>
      </c>
      <c r="I35" s="6">
        <f>I5+I8+I11+I14+I17+I20+I23+I26+I29+I32</f>
        <v>9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84</v>
      </c>
      <c r="C36" s="6">
        <f t="shared" si="11"/>
        <v>4</v>
      </c>
      <c r="D36" s="6">
        <f t="shared" si="11"/>
        <v>5</v>
      </c>
      <c r="E36" s="6">
        <f t="shared" si="11"/>
        <v>4</v>
      </c>
      <c r="F36" s="6">
        <f t="shared" si="11"/>
        <v>43</v>
      </c>
      <c r="G36" s="6">
        <f t="shared" si="11"/>
        <v>0</v>
      </c>
      <c r="H36" s="6">
        <f t="shared" si="11"/>
        <v>22</v>
      </c>
      <c r="I36" s="6">
        <f>I6+I9+I12+I15+I18+I21+I24+I27+I30+I33</f>
        <v>6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561</v>
      </c>
      <c r="C37" s="6">
        <f t="shared" si="11"/>
        <v>81</v>
      </c>
      <c r="D37" s="6">
        <f t="shared" si="11"/>
        <v>27</v>
      </c>
      <c r="E37" s="6">
        <f t="shared" si="11"/>
        <v>29</v>
      </c>
      <c r="F37" s="6">
        <f t="shared" si="11"/>
        <v>175</v>
      </c>
      <c r="G37" s="6">
        <f t="shared" si="11"/>
        <v>0</v>
      </c>
      <c r="H37" s="6">
        <f t="shared" si="11"/>
        <v>234</v>
      </c>
      <c r="I37" s="6">
        <f>I7+I10+I13+I16+I19+I22+I25+I28+I31+I34</f>
        <v>15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37"/>
  <sheetViews>
    <sheetView showGridLines="0" topLeftCell="A28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711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712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180</v>
      </c>
      <c r="L4" s="1"/>
    </row>
    <row r="5" spans="1:12" ht="13.5" thickBot="1" x14ac:dyDescent="0.25">
      <c r="A5" s="1"/>
      <c r="B5" s="6">
        <f>SUM(C5:I5)</f>
        <v>10</v>
      </c>
      <c r="C5" s="6">
        <v>0</v>
      </c>
      <c r="D5" s="6">
        <v>0</v>
      </c>
      <c r="E5" s="6">
        <v>0</v>
      </c>
      <c r="F5" s="6">
        <v>5</v>
      </c>
      <c r="G5" s="6">
        <v>1</v>
      </c>
      <c r="H5" s="6">
        <v>4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33" si="0">SUM(C6:I6)</f>
        <v>15</v>
      </c>
      <c r="C6" s="6">
        <v>0</v>
      </c>
      <c r="D6" s="6">
        <v>0</v>
      </c>
      <c r="E6" s="6">
        <v>1</v>
      </c>
      <c r="F6" s="6">
        <v>10</v>
      </c>
      <c r="G6" s="6">
        <v>1</v>
      </c>
      <c r="H6" s="6">
        <v>1</v>
      </c>
      <c r="I6" s="6">
        <v>2</v>
      </c>
      <c r="J6" s="7" t="s">
        <v>11</v>
      </c>
      <c r="K6" s="124" t="s">
        <v>48</v>
      </c>
      <c r="L6" s="1"/>
    </row>
    <row r="7" spans="1:12" ht="13.5" thickBot="1" x14ac:dyDescent="0.25">
      <c r="A7" s="1"/>
      <c r="B7" s="6">
        <f t="shared" ref="B7:H7" si="1">SUM(B5:B6)</f>
        <v>25</v>
      </c>
      <c r="C7" s="6">
        <f t="shared" si="1"/>
        <v>0</v>
      </c>
      <c r="D7" s="6">
        <f t="shared" si="1"/>
        <v>0</v>
      </c>
      <c r="E7" s="6">
        <f t="shared" si="1"/>
        <v>1</v>
      </c>
      <c r="F7" s="6">
        <f t="shared" si="1"/>
        <v>15</v>
      </c>
      <c r="G7" s="6">
        <f t="shared" si="1"/>
        <v>2</v>
      </c>
      <c r="H7" s="6">
        <f t="shared" si="1"/>
        <v>5</v>
      </c>
      <c r="I7" s="6">
        <f>SUM(I5:I6)</f>
        <v>2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25</v>
      </c>
      <c r="C8" s="6">
        <v>0</v>
      </c>
      <c r="D8" s="6">
        <v>0</v>
      </c>
      <c r="E8" s="6">
        <v>3</v>
      </c>
      <c r="F8" s="6">
        <v>12</v>
      </c>
      <c r="G8" s="6">
        <v>0</v>
      </c>
      <c r="H8" s="6">
        <v>8</v>
      </c>
      <c r="I8" s="6">
        <v>2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16</v>
      </c>
      <c r="C9" s="6">
        <v>0</v>
      </c>
      <c r="D9" s="6">
        <v>0</v>
      </c>
      <c r="E9" s="6">
        <v>0</v>
      </c>
      <c r="F9" s="6">
        <v>10</v>
      </c>
      <c r="G9" s="6">
        <v>0</v>
      </c>
      <c r="H9" s="6">
        <v>3</v>
      </c>
      <c r="I9" s="6">
        <v>3</v>
      </c>
      <c r="J9" s="7" t="s">
        <v>11</v>
      </c>
      <c r="K9" s="124" t="s">
        <v>49</v>
      </c>
      <c r="L9" s="1"/>
    </row>
    <row r="10" spans="1:12" ht="13.5" thickBot="1" x14ac:dyDescent="0.25">
      <c r="A10" s="1"/>
      <c r="B10" s="6">
        <f t="shared" ref="B10:I10" si="2">SUM(B8:B9)</f>
        <v>41</v>
      </c>
      <c r="C10" s="6">
        <f t="shared" si="2"/>
        <v>0</v>
      </c>
      <c r="D10" s="6">
        <f t="shared" si="2"/>
        <v>0</v>
      </c>
      <c r="E10" s="6">
        <f t="shared" si="2"/>
        <v>3</v>
      </c>
      <c r="F10" s="6">
        <f t="shared" si="2"/>
        <v>22</v>
      </c>
      <c r="G10" s="6">
        <f t="shared" si="2"/>
        <v>0</v>
      </c>
      <c r="H10" s="6">
        <f t="shared" si="2"/>
        <v>11</v>
      </c>
      <c r="I10" s="6">
        <f t="shared" si="2"/>
        <v>5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221</v>
      </c>
      <c r="C11" s="6">
        <v>0</v>
      </c>
      <c r="D11" s="6">
        <v>0</v>
      </c>
      <c r="E11" s="6">
        <v>4</v>
      </c>
      <c r="F11" s="6">
        <v>50</v>
      </c>
      <c r="G11" s="6">
        <v>0</v>
      </c>
      <c r="H11" s="6">
        <v>160</v>
      </c>
      <c r="I11" s="6">
        <v>7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35</v>
      </c>
      <c r="C12" s="6">
        <v>0</v>
      </c>
      <c r="D12" s="6">
        <v>0</v>
      </c>
      <c r="E12" s="6">
        <v>0</v>
      </c>
      <c r="F12" s="6">
        <v>9</v>
      </c>
      <c r="G12" s="6">
        <v>0</v>
      </c>
      <c r="H12" s="6">
        <v>24</v>
      </c>
      <c r="I12" s="6">
        <v>2</v>
      </c>
      <c r="J12" s="7" t="s">
        <v>11</v>
      </c>
      <c r="K12" s="124" t="s">
        <v>50</v>
      </c>
      <c r="L12" s="1"/>
    </row>
    <row r="13" spans="1:12" ht="13.5" thickBot="1" x14ac:dyDescent="0.25">
      <c r="A13" s="1"/>
      <c r="B13" s="6">
        <f t="shared" ref="B13:I13" si="3">SUM(B11:B12)</f>
        <v>256</v>
      </c>
      <c r="C13" s="6">
        <f t="shared" si="3"/>
        <v>0</v>
      </c>
      <c r="D13" s="6">
        <f t="shared" si="3"/>
        <v>0</v>
      </c>
      <c r="E13" s="6">
        <f t="shared" si="3"/>
        <v>4</v>
      </c>
      <c r="F13" s="6">
        <f t="shared" si="3"/>
        <v>59</v>
      </c>
      <c r="G13" s="6">
        <f t="shared" si="3"/>
        <v>0</v>
      </c>
      <c r="H13" s="6">
        <f t="shared" si="3"/>
        <v>184</v>
      </c>
      <c r="I13" s="6">
        <f t="shared" si="3"/>
        <v>9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145</v>
      </c>
      <c r="C14" s="6">
        <v>0</v>
      </c>
      <c r="D14" s="6">
        <v>0</v>
      </c>
      <c r="E14" s="6">
        <v>1</v>
      </c>
      <c r="F14" s="6">
        <v>19</v>
      </c>
      <c r="G14" s="6">
        <v>0</v>
      </c>
      <c r="H14" s="6">
        <v>123</v>
      </c>
      <c r="I14" s="6">
        <v>2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27</v>
      </c>
      <c r="C15" s="6">
        <v>0</v>
      </c>
      <c r="D15" s="6">
        <v>0</v>
      </c>
      <c r="E15" s="6">
        <v>0</v>
      </c>
      <c r="F15" s="6">
        <v>9</v>
      </c>
      <c r="G15" s="6">
        <v>0</v>
      </c>
      <c r="H15" s="6">
        <v>10</v>
      </c>
      <c r="I15" s="6">
        <v>8</v>
      </c>
      <c r="J15" s="7" t="s">
        <v>11</v>
      </c>
      <c r="K15" s="124" t="s">
        <v>51</v>
      </c>
      <c r="L15" s="1"/>
    </row>
    <row r="16" spans="1:12" ht="13.5" thickBot="1" x14ac:dyDescent="0.25">
      <c r="A16" s="1"/>
      <c r="B16" s="6">
        <f t="shared" ref="B16:I16" si="4">SUM(B14:B15)</f>
        <v>172</v>
      </c>
      <c r="C16" s="6">
        <f t="shared" si="4"/>
        <v>0</v>
      </c>
      <c r="D16" s="6">
        <f t="shared" si="4"/>
        <v>0</v>
      </c>
      <c r="E16" s="6">
        <f t="shared" si="4"/>
        <v>1</v>
      </c>
      <c r="F16" s="6">
        <f t="shared" si="4"/>
        <v>28</v>
      </c>
      <c r="G16" s="6">
        <f t="shared" si="4"/>
        <v>0</v>
      </c>
      <c r="H16" s="6">
        <f t="shared" si="4"/>
        <v>133</v>
      </c>
      <c r="I16" s="6">
        <f t="shared" si="4"/>
        <v>10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93</v>
      </c>
      <c r="C17" s="6">
        <v>0</v>
      </c>
      <c r="D17" s="6">
        <v>0</v>
      </c>
      <c r="E17" s="6">
        <v>3</v>
      </c>
      <c r="F17" s="6">
        <v>9</v>
      </c>
      <c r="G17" s="6">
        <v>0</v>
      </c>
      <c r="H17" s="6">
        <v>79</v>
      </c>
      <c r="I17" s="6">
        <v>2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2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2</v>
      </c>
      <c r="I18" s="6">
        <v>0</v>
      </c>
      <c r="J18" s="7" t="s">
        <v>11</v>
      </c>
      <c r="K18" s="124" t="s">
        <v>52</v>
      </c>
      <c r="L18" s="1"/>
    </row>
    <row r="19" spans="1:12" ht="13.5" thickBot="1" x14ac:dyDescent="0.25">
      <c r="A19" s="1"/>
      <c r="B19" s="6">
        <f t="shared" ref="B19:I19" si="5">SUM(B17:B18)</f>
        <v>95</v>
      </c>
      <c r="C19" s="6">
        <f t="shared" si="5"/>
        <v>0</v>
      </c>
      <c r="D19" s="6">
        <f t="shared" si="5"/>
        <v>0</v>
      </c>
      <c r="E19" s="6">
        <f t="shared" si="5"/>
        <v>3</v>
      </c>
      <c r="F19" s="6">
        <f t="shared" si="5"/>
        <v>9</v>
      </c>
      <c r="G19" s="6">
        <f t="shared" si="5"/>
        <v>0</v>
      </c>
      <c r="H19" s="6">
        <f t="shared" si="5"/>
        <v>81</v>
      </c>
      <c r="I19" s="6">
        <f t="shared" si="5"/>
        <v>2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74</v>
      </c>
      <c r="C20" s="6">
        <v>0</v>
      </c>
      <c r="D20" s="6">
        <v>2</v>
      </c>
      <c r="E20" s="6">
        <v>1</v>
      </c>
      <c r="F20" s="6">
        <v>10</v>
      </c>
      <c r="G20" s="6">
        <v>0</v>
      </c>
      <c r="H20" s="6">
        <v>61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14</v>
      </c>
      <c r="C21" s="6">
        <v>0</v>
      </c>
      <c r="D21" s="6">
        <v>1</v>
      </c>
      <c r="E21" s="6">
        <v>1</v>
      </c>
      <c r="F21" s="6">
        <v>6</v>
      </c>
      <c r="G21" s="6">
        <v>0</v>
      </c>
      <c r="H21" s="6">
        <v>6</v>
      </c>
      <c r="I21" s="6">
        <v>0</v>
      </c>
      <c r="J21" s="7" t="s">
        <v>11</v>
      </c>
      <c r="K21" s="124" t="s">
        <v>53</v>
      </c>
      <c r="L21" s="1"/>
    </row>
    <row r="22" spans="1:12" ht="13.5" thickBot="1" x14ac:dyDescent="0.25">
      <c r="A22" s="1"/>
      <c r="B22" s="6">
        <f t="shared" ref="B22:I22" si="6">SUM(B20:B21)</f>
        <v>88</v>
      </c>
      <c r="C22" s="6">
        <f t="shared" si="6"/>
        <v>0</v>
      </c>
      <c r="D22" s="6">
        <f t="shared" si="6"/>
        <v>3</v>
      </c>
      <c r="E22" s="6">
        <f t="shared" si="6"/>
        <v>2</v>
      </c>
      <c r="F22" s="6">
        <f t="shared" si="6"/>
        <v>16</v>
      </c>
      <c r="G22" s="6">
        <f t="shared" si="6"/>
        <v>0</v>
      </c>
      <c r="H22" s="6">
        <f t="shared" si="6"/>
        <v>67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54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19</v>
      </c>
      <c r="C26" s="6">
        <v>0</v>
      </c>
      <c r="D26" s="6">
        <v>0</v>
      </c>
      <c r="E26" s="6">
        <v>2</v>
      </c>
      <c r="F26" s="6">
        <v>8</v>
      </c>
      <c r="G26" s="6">
        <v>0</v>
      </c>
      <c r="H26" s="6">
        <v>8</v>
      </c>
      <c r="I26" s="6">
        <v>1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7" t="s">
        <v>11</v>
      </c>
      <c r="K27" s="124" t="s">
        <v>55</v>
      </c>
      <c r="L27" s="1"/>
    </row>
    <row r="28" spans="1:12" ht="13.5" thickBot="1" x14ac:dyDescent="0.25">
      <c r="A28" s="1"/>
      <c r="B28" s="6">
        <f t="shared" ref="B28:I28" si="8">SUM(B26:B27)</f>
        <v>19</v>
      </c>
      <c r="C28" s="6">
        <f t="shared" si="8"/>
        <v>0</v>
      </c>
      <c r="D28" s="6">
        <f t="shared" si="8"/>
        <v>0</v>
      </c>
      <c r="E28" s="6">
        <f t="shared" si="8"/>
        <v>2</v>
      </c>
      <c r="F28" s="6">
        <f t="shared" si="8"/>
        <v>8</v>
      </c>
      <c r="G28" s="6">
        <f t="shared" si="8"/>
        <v>0</v>
      </c>
      <c r="H28" s="6">
        <f t="shared" si="8"/>
        <v>8</v>
      </c>
      <c r="I28" s="6">
        <f t="shared" si="8"/>
        <v>1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</v>
      </c>
      <c r="C29" s="6">
        <v>0</v>
      </c>
      <c r="D29" s="6">
        <v>0</v>
      </c>
      <c r="E29" s="6">
        <v>0</v>
      </c>
      <c r="F29" s="6">
        <v>1</v>
      </c>
      <c r="G29" s="6">
        <v>0</v>
      </c>
      <c r="H29" s="6">
        <v>2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8</v>
      </c>
      <c r="C30" s="6">
        <v>0</v>
      </c>
      <c r="D30" s="6">
        <v>0</v>
      </c>
      <c r="E30" s="6">
        <v>0</v>
      </c>
      <c r="F30" s="6">
        <v>2</v>
      </c>
      <c r="G30" s="6">
        <v>0</v>
      </c>
      <c r="H30" s="6">
        <v>3</v>
      </c>
      <c r="I30" s="6">
        <v>3</v>
      </c>
      <c r="J30" s="7" t="s">
        <v>11</v>
      </c>
      <c r="K30" s="124" t="s">
        <v>56</v>
      </c>
      <c r="L30" s="1"/>
    </row>
    <row r="31" spans="1:12" ht="13.5" thickBot="1" x14ac:dyDescent="0.25">
      <c r="A31" s="1"/>
      <c r="B31" s="6">
        <f t="shared" ref="B31:I31" si="9">SUM(B29:B30)</f>
        <v>11</v>
      </c>
      <c r="C31" s="6">
        <f t="shared" si="9"/>
        <v>0</v>
      </c>
      <c r="D31" s="6">
        <f t="shared" si="9"/>
        <v>0</v>
      </c>
      <c r="E31" s="6">
        <f t="shared" si="9"/>
        <v>0</v>
      </c>
      <c r="F31" s="6">
        <f t="shared" si="9"/>
        <v>3</v>
      </c>
      <c r="G31" s="6">
        <f t="shared" si="9"/>
        <v>0</v>
      </c>
      <c r="H31" s="6">
        <f t="shared" si="9"/>
        <v>5</v>
      </c>
      <c r="I31" s="6">
        <f t="shared" si="9"/>
        <v>3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6</v>
      </c>
      <c r="C32" s="6">
        <v>0</v>
      </c>
      <c r="D32" s="6">
        <v>0</v>
      </c>
      <c r="E32" s="6">
        <v>0</v>
      </c>
      <c r="F32" s="6">
        <v>1</v>
      </c>
      <c r="G32" s="6">
        <v>0</v>
      </c>
      <c r="H32" s="6">
        <v>5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7" t="s">
        <v>11</v>
      </c>
      <c r="K33" s="124" t="s">
        <v>57</v>
      </c>
      <c r="L33" s="1"/>
    </row>
    <row r="34" spans="1:12" ht="13.5" thickBot="1" x14ac:dyDescent="0.25">
      <c r="A34" s="1"/>
      <c r="B34" s="6">
        <f t="shared" ref="B34:I34" si="10">SUM(B32:B33)</f>
        <v>6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1</v>
      </c>
      <c r="G34" s="6">
        <f t="shared" si="10"/>
        <v>0</v>
      </c>
      <c r="H34" s="6">
        <f t="shared" si="10"/>
        <v>5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ref="B35:H37" si="11">B5+B8+B11+B14+B17+B20+B23+B26+B29+B32</f>
        <v>596</v>
      </c>
      <c r="C35" s="6">
        <f t="shared" si="11"/>
        <v>0</v>
      </c>
      <c r="D35" s="6">
        <f t="shared" si="11"/>
        <v>2</v>
      </c>
      <c r="E35" s="6">
        <f t="shared" si="11"/>
        <v>14</v>
      </c>
      <c r="F35" s="6">
        <f t="shared" si="11"/>
        <v>115</v>
      </c>
      <c r="G35" s="6">
        <f t="shared" si="11"/>
        <v>1</v>
      </c>
      <c r="H35" s="6">
        <f t="shared" si="11"/>
        <v>450</v>
      </c>
      <c r="I35" s="6">
        <f>I5+I8+I11+I14+I17+I20+I23+I26+I29+I32</f>
        <v>14</v>
      </c>
      <c r="J35" s="7" t="s">
        <v>10</v>
      </c>
      <c r="K35" s="3"/>
      <c r="L35" s="1"/>
    </row>
    <row r="36" spans="1:12" ht="13.5" thickBot="1" x14ac:dyDescent="0.25">
      <c r="A36" s="1"/>
      <c r="B36" s="6">
        <f t="shared" si="11"/>
        <v>117</v>
      </c>
      <c r="C36" s="6">
        <f t="shared" si="11"/>
        <v>0</v>
      </c>
      <c r="D36" s="6">
        <f t="shared" si="11"/>
        <v>1</v>
      </c>
      <c r="E36" s="6">
        <f t="shared" si="11"/>
        <v>2</v>
      </c>
      <c r="F36" s="6">
        <f t="shared" si="11"/>
        <v>46</v>
      </c>
      <c r="G36" s="6">
        <f t="shared" si="11"/>
        <v>1</v>
      </c>
      <c r="H36" s="6">
        <f t="shared" si="11"/>
        <v>49</v>
      </c>
      <c r="I36" s="6">
        <f>I6+I9+I12+I15+I18+I21+I24+I27+I30+I33</f>
        <v>18</v>
      </c>
      <c r="J36" s="7" t="s">
        <v>11</v>
      </c>
      <c r="K36" s="11" t="s">
        <v>211</v>
      </c>
      <c r="L36" s="1"/>
    </row>
    <row r="37" spans="1:12" ht="13.5" thickBot="1" x14ac:dyDescent="0.25">
      <c r="A37" s="1"/>
      <c r="B37" s="6">
        <f t="shared" si="11"/>
        <v>713</v>
      </c>
      <c r="C37" s="6">
        <f t="shared" si="11"/>
        <v>0</v>
      </c>
      <c r="D37" s="6">
        <f t="shared" si="11"/>
        <v>3</v>
      </c>
      <c r="E37" s="6">
        <f t="shared" si="11"/>
        <v>16</v>
      </c>
      <c r="F37" s="6">
        <f t="shared" si="11"/>
        <v>161</v>
      </c>
      <c r="G37" s="6">
        <f t="shared" si="11"/>
        <v>2</v>
      </c>
      <c r="H37" s="6">
        <f t="shared" si="11"/>
        <v>499</v>
      </c>
      <c r="I37" s="6">
        <f>I7+I10+I13+I16+I19+I22+I25+I28+I31+I34</f>
        <v>32</v>
      </c>
      <c r="J37" s="7" t="s">
        <v>13</v>
      </c>
      <c r="K37" s="5"/>
      <c r="L37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2"/>
  <sheetViews>
    <sheetView showGridLines="0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713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714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69" si="0">SUM(C6:I6)</f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7" t="s">
        <v>11</v>
      </c>
      <c r="K6" s="124" t="s">
        <v>12</v>
      </c>
      <c r="L6" s="1"/>
    </row>
    <row r="7" spans="1:12" ht="13.5" thickBot="1" x14ac:dyDescent="0.25">
      <c r="A7" s="1"/>
      <c r="B7" s="6">
        <f t="shared" ref="B7:H7" si="1">SUM(B5:B6)</f>
        <v>0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0</v>
      </c>
      <c r="G7" s="6">
        <f t="shared" si="1"/>
        <v>0</v>
      </c>
      <c r="H7" s="6">
        <f t="shared" si="1"/>
        <v>0</v>
      </c>
      <c r="I7" s="6">
        <f>SUM(I5:I6)</f>
        <v>0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3</v>
      </c>
      <c r="I8" s="6">
        <v>2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7" t="s">
        <v>11</v>
      </c>
      <c r="K9" s="124" t="s">
        <v>14</v>
      </c>
      <c r="L9" s="1"/>
    </row>
    <row r="10" spans="1:12" ht="13.5" thickBot="1" x14ac:dyDescent="0.25">
      <c r="A10" s="1"/>
      <c r="B10" s="6">
        <f t="shared" ref="B10:I10" si="2">SUM(B8:B9)</f>
        <v>5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3</v>
      </c>
      <c r="I10" s="6">
        <f t="shared" si="2"/>
        <v>2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1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1</v>
      </c>
      <c r="C12" s="6">
        <v>0</v>
      </c>
      <c r="D12" s="6">
        <v>0</v>
      </c>
      <c r="E12" s="6">
        <v>0</v>
      </c>
      <c r="F12" s="6">
        <v>1</v>
      </c>
      <c r="G12" s="6">
        <v>0</v>
      </c>
      <c r="H12" s="6">
        <v>0</v>
      </c>
      <c r="I12" s="6">
        <v>0</v>
      </c>
      <c r="J12" s="7" t="s">
        <v>11</v>
      </c>
      <c r="K12" s="124" t="s">
        <v>15</v>
      </c>
      <c r="L12" s="1"/>
    </row>
    <row r="13" spans="1:12" ht="13.5" thickBot="1" x14ac:dyDescent="0.25">
      <c r="A13" s="1"/>
      <c r="B13" s="6">
        <f t="shared" ref="B13:I13" si="3">SUM(B11:B12)</f>
        <v>2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1</v>
      </c>
      <c r="G13" s="6">
        <f t="shared" si="3"/>
        <v>0</v>
      </c>
      <c r="H13" s="6">
        <f t="shared" si="3"/>
        <v>0</v>
      </c>
      <c r="I13" s="6">
        <f t="shared" si="3"/>
        <v>1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2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2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2</v>
      </c>
      <c r="C15" s="6">
        <v>0</v>
      </c>
      <c r="D15" s="6">
        <v>0</v>
      </c>
      <c r="E15" s="6">
        <v>0</v>
      </c>
      <c r="F15" s="6">
        <v>1</v>
      </c>
      <c r="G15" s="6">
        <v>0</v>
      </c>
      <c r="H15" s="6">
        <v>1</v>
      </c>
      <c r="I15" s="6">
        <v>0</v>
      </c>
      <c r="J15" s="7" t="s">
        <v>11</v>
      </c>
      <c r="K15" s="124" t="s">
        <v>16</v>
      </c>
      <c r="L15" s="1"/>
    </row>
    <row r="16" spans="1:12" ht="13.5" thickBot="1" x14ac:dyDescent="0.25">
      <c r="A16" s="1"/>
      <c r="B16" s="6">
        <f t="shared" ref="B16:I16" si="4">SUM(B14:B15)</f>
        <v>4</v>
      </c>
      <c r="C16" s="6">
        <f t="shared" si="4"/>
        <v>0</v>
      </c>
      <c r="D16" s="6">
        <f t="shared" si="4"/>
        <v>0</v>
      </c>
      <c r="E16" s="6">
        <f t="shared" si="4"/>
        <v>0</v>
      </c>
      <c r="F16" s="6">
        <f t="shared" si="4"/>
        <v>1</v>
      </c>
      <c r="G16" s="6">
        <f t="shared" si="4"/>
        <v>0</v>
      </c>
      <c r="H16" s="6">
        <f t="shared" si="4"/>
        <v>3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7" t="s">
        <v>11</v>
      </c>
      <c r="K18" s="124" t="s">
        <v>31</v>
      </c>
      <c r="L18" s="1"/>
    </row>
    <row r="19" spans="1:12" ht="13.5" thickBot="1" x14ac:dyDescent="0.25">
      <c r="A19" s="1"/>
      <c r="B19" s="6">
        <f t="shared" ref="B19:I19" si="5">SUM(B17:B18)</f>
        <v>0</v>
      </c>
      <c r="C19" s="6">
        <f t="shared" si="5"/>
        <v>0</v>
      </c>
      <c r="D19" s="6">
        <f t="shared" si="5"/>
        <v>0</v>
      </c>
      <c r="E19" s="6">
        <f t="shared" si="5"/>
        <v>0</v>
      </c>
      <c r="F19" s="6">
        <f t="shared" si="5"/>
        <v>0</v>
      </c>
      <c r="G19" s="6">
        <f t="shared" si="5"/>
        <v>0</v>
      </c>
      <c r="H19" s="6">
        <f t="shared" si="5"/>
        <v>0</v>
      </c>
      <c r="I19" s="6">
        <f t="shared" si="5"/>
        <v>0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7" t="s">
        <v>11</v>
      </c>
      <c r="K21" s="124" t="s">
        <v>17</v>
      </c>
      <c r="L21" s="1"/>
    </row>
    <row r="22" spans="1:12" ht="13.5" thickBot="1" x14ac:dyDescent="0.25">
      <c r="A22" s="1"/>
      <c r="B22" s="6">
        <f t="shared" ref="B22:I22" si="6">SUM(B20:B21)</f>
        <v>0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0</v>
      </c>
      <c r="G22" s="6">
        <f t="shared" si="6"/>
        <v>0</v>
      </c>
      <c r="H22" s="6">
        <f t="shared" si="6"/>
        <v>0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18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8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8</v>
      </c>
      <c r="I26" s="6">
        <v>0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7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7</v>
      </c>
      <c r="I27" s="6">
        <v>0</v>
      </c>
      <c r="J27" s="7" t="s">
        <v>11</v>
      </c>
      <c r="K27" s="124" t="s">
        <v>19</v>
      </c>
      <c r="L27" s="1"/>
    </row>
    <row r="28" spans="1:12" ht="13.5" thickBot="1" x14ac:dyDescent="0.25">
      <c r="A28" s="1"/>
      <c r="B28" s="6">
        <f t="shared" ref="B28:I28" si="8">SUM(B26:B27)</f>
        <v>15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0</v>
      </c>
      <c r="G28" s="6">
        <f t="shared" si="8"/>
        <v>0</v>
      </c>
      <c r="H28" s="6">
        <f t="shared" si="8"/>
        <v>15</v>
      </c>
      <c r="I28" s="6">
        <f t="shared" si="8"/>
        <v>0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2</v>
      </c>
      <c r="C29" s="6">
        <v>1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1</v>
      </c>
      <c r="C30" s="6">
        <v>0</v>
      </c>
      <c r="D30" s="6">
        <v>0</v>
      </c>
      <c r="E30" s="6">
        <v>0</v>
      </c>
      <c r="F30" s="6">
        <v>1</v>
      </c>
      <c r="G30" s="6">
        <v>0</v>
      </c>
      <c r="H30" s="6">
        <v>0</v>
      </c>
      <c r="I30" s="6">
        <v>0</v>
      </c>
      <c r="J30" s="7" t="s">
        <v>11</v>
      </c>
      <c r="K30" s="124" t="s">
        <v>35</v>
      </c>
      <c r="L30" s="1"/>
    </row>
    <row r="31" spans="1:12" ht="13.5" thickBot="1" x14ac:dyDescent="0.25">
      <c r="A31" s="1"/>
      <c r="B31" s="6">
        <f t="shared" ref="B31:I31" si="9">SUM(B29:B30)</f>
        <v>3</v>
      </c>
      <c r="C31" s="6">
        <f t="shared" si="9"/>
        <v>1</v>
      </c>
      <c r="D31" s="6">
        <f t="shared" si="9"/>
        <v>1</v>
      </c>
      <c r="E31" s="6">
        <f t="shared" si="9"/>
        <v>0</v>
      </c>
      <c r="F31" s="6">
        <f t="shared" si="9"/>
        <v>1</v>
      </c>
      <c r="G31" s="6">
        <f t="shared" si="9"/>
        <v>0</v>
      </c>
      <c r="H31" s="6">
        <f t="shared" si="9"/>
        <v>0</v>
      </c>
      <c r="I31" s="6">
        <f t="shared" si="9"/>
        <v>0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7" t="s">
        <v>11</v>
      </c>
      <c r="K33" s="124" t="s">
        <v>20</v>
      </c>
      <c r="L33" s="1"/>
    </row>
    <row r="34" spans="1:12" ht="13.5" thickBot="1" x14ac:dyDescent="0.25">
      <c r="A34" s="1"/>
      <c r="B34" s="6">
        <f t="shared" ref="B34:I34" si="10">SUM(B32:B33)</f>
        <v>0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0</v>
      </c>
      <c r="G34" s="6">
        <f t="shared" si="10"/>
        <v>0</v>
      </c>
      <c r="H34" s="6">
        <f t="shared" si="10"/>
        <v>0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7" t="s">
        <v>11</v>
      </c>
      <c r="K36" s="124" t="s">
        <v>21</v>
      </c>
      <c r="L36" s="1"/>
    </row>
    <row r="37" spans="1:12" ht="13.5" thickBot="1" x14ac:dyDescent="0.25">
      <c r="A37" s="1"/>
      <c r="B37" s="6">
        <f t="shared" ref="B37:I37" si="11">SUM(B35:B36)</f>
        <v>0</v>
      </c>
      <c r="C37" s="6">
        <f t="shared" si="11"/>
        <v>0</v>
      </c>
      <c r="D37" s="6">
        <f t="shared" si="11"/>
        <v>0</v>
      </c>
      <c r="E37" s="6">
        <f t="shared" si="11"/>
        <v>0</v>
      </c>
      <c r="F37" s="6">
        <f t="shared" si="11"/>
        <v>0</v>
      </c>
      <c r="G37" s="6">
        <f t="shared" si="11"/>
        <v>0</v>
      </c>
      <c r="H37" s="6">
        <f t="shared" si="11"/>
        <v>0</v>
      </c>
      <c r="I37" s="6">
        <f t="shared" si="11"/>
        <v>0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4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4</v>
      </c>
      <c r="I38" s="6">
        <v>0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7</v>
      </c>
      <c r="C39" s="6">
        <v>0</v>
      </c>
      <c r="D39" s="6">
        <v>0</v>
      </c>
      <c r="E39" s="6">
        <v>0</v>
      </c>
      <c r="F39" s="6">
        <v>2</v>
      </c>
      <c r="G39" s="6">
        <v>0</v>
      </c>
      <c r="H39" s="6">
        <v>5</v>
      </c>
      <c r="I39" s="6">
        <v>0</v>
      </c>
      <c r="J39" s="7" t="s">
        <v>11</v>
      </c>
      <c r="K39" s="124" t="s">
        <v>22</v>
      </c>
      <c r="L39" s="1"/>
    </row>
    <row r="40" spans="1:12" ht="13.5" thickBot="1" x14ac:dyDescent="0.25">
      <c r="A40" s="1"/>
      <c r="B40" s="6">
        <f t="shared" ref="B40:I40" si="12">SUM(B38:B39)</f>
        <v>11</v>
      </c>
      <c r="C40" s="6">
        <f t="shared" si="12"/>
        <v>0</v>
      </c>
      <c r="D40" s="6">
        <f t="shared" si="12"/>
        <v>0</v>
      </c>
      <c r="E40" s="6">
        <f t="shared" si="12"/>
        <v>0</v>
      </c>
      <c r="F40" s="6">
        <f t="shared" si="12"/>
        <v>2</v>
      </c>
      <c r="G40" s="6">
        <f t="shared" si="12"/>
        <v>0</v>
      </c>
      <c r="H40" s="6">
        <f t="shared" si="12"/>
        <v>9</v>
      </c>
      <c r="I40" s="6">
        <f t="shared" si="12"/>
        <v>0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7" t="s">
        <v>11</v>
      </c>
      <c r="K42" s="124" t="s">
        <v>36</v>
      </c>
      <c r="L42" s="1"/>
    </row>
    <row r="43" spans="1:12" ht="13.5" thickBot="1" x14ac:dyDescent="0.25">
      <c r="A43" s="1"/>
      <c r="B43" s="6">
        <f t="shared" ref="B43:I43" si="13">SUM(B41:B42)</f>
        <v>0</v>
      </c>
      <c r="C43" s="6">
        <f t="shared" si="13"/>
        <v>0</v>
      </c>
      <c r="D43" s="6">
        <f t="shared" si="13"/>
        <v>0</v>
      </c>
      <c r="E43" s="6">
        <f t="shared" si="13"/>
        <v>0</v>
      </c>
      <c r="F43" s="6">
        <f t="shared" si="13"/>
        <v>0</v>
      </c>
      <c r="G43" s="6">
        <f t="shared" si="13"/>
        <v>0</v>
      </c>
      <c r="H43" s="6">
        <f t="shared" si="13"/>
        <v>0</v>
      </c>
      <c r="I43" s="6">
        <f t="shared" si="13"/>
        <v>0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3</v>
      </c>
      <c r="C44" s="6">
        <v>0</v>
      </c>
      <c r="D44" s="6">
        <v>0</v>
      </c>
      <c r="E44" s="6">
        <v>0</v>
      </c>
      <c r="F44" s="6">
        <v>2</v>
      </c>
      <c r="G44" s="6">
        <v>0</v>
      </c>
      <c r="H44" s="6">
        <v>1</v>
      </c>
      <c r="I44" s="6">
        <v>0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4</v>
      </c>
      <c r="C45" s="6">
        <v>0</v>
      </c>
      <c r="D45" s="6">
        <v>0</v>
      </c>
      <c r="E45" s="6">
        <v>0</v>
      </c>
      <c r="F45" s="6">
        <v>3</v>
      </c>
      <c r="G45" s="6">
        <v>0</v>
      </c>
      <c r="H45" s="6">
        <v>1</v>
      </c>
      <c r="I45" s="6">
        <v>0</v>
      </c>
      <c r="J45" s="7" t="s">
        <v>11</v>
      </c>
      <c r="K45" s="124" t="s">
        <v>32</v>
      </c>
      <c r="L45" s="1"/>
    </row>
    <row r="46" spans="1:12" ht="13.5" thickBot="1" x14ac:dyDescent="0.25">
      <c r="A46" s="1"/>
      <c r="B46" s="6">
        <f t="shared" ref="B46:I46" si="14">SUM(B44:B45)</f>
        <v>7</v>
      </c>
      <c r="C46" s="6">
        <f t="shared" si="14"/>
        <v>0</v>
      </c>
      <c r="D46" s="6">
        <f t="shared" si="14"/>
        <v>0</v>
      </c>
      <c r="E46" s="6">
        <f t="shared" si="14"/>
        <v>0</v>
      </c>
      <c r="F46" s="6">
        <f t="shared" si="14"/>
        <v>5</v>
      </c>
      <c r="G46" s="6">
        <f t="shared" si="14"/>
        <v>0</v>
      </c>
      <c r="H46" s="6">
        <f t="shared" si="14"/>
        <v>2</v>
      </c>
      <c r="I46" s="6">
        <f t="shared" si="14"/>
        <v>0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si="0"/>
        <v>60</v>
      </c>
      <c r="C47" s="6">
        <v>0</v>
      </c>
      <c r="D47" s="6">
        <v>0</v>
      </c>
      <c r="E47" s="6">
        <v>1</v>
      </c>
      <c r="F47" s="6">
        <v>5</v>
      </c>
      <c r="G47" s="6">
        <v>0</v>
      </c>
      <c r="H47" s="6">
        <v>52</v>
      </c>
      <c r="I47" s="6">
        <v>2</v>
      </c>
      <c r="J47" s="7" t="s">
        <v>10</v>
      </c>
      <c r="K47" s="124"/>
      <c r="L47" s="1"/>
    </row>
    <row r="48" spans="1:12" ht="13.5" thickBot="1" x14ac:dyDescent="0.25">
      <c r="A48" s="1"/>
      <c r="B48" s="6">
        <f t="shared" si="0"/>
        <v>9</v>
      </c>
      <c r="C48" s="6">
        <v>0</v>
      </c>
      <c r="D48" s="6">
        <v>0</v>
      </c>
      <c r="E48" s="6">
        <v>0</v>
      </c>
      <c r="F48" s="6">
        <v>3</v>
      </c>
      <c r="G48" s="6">
        <v>0</v>
      </c>
      <c r="H48" s="6">
        <v>6</v>
      </c>
      <c r="I48" s="6">
        <v>0</v>
      </c>
      <c r="J48" s="7" t="s">
        <v>11</v>
      </c>
      <c r="K48" s="124" t="s">
        <v>23</v>
      </c>
      <c r="L48" s="1"/>
    </row>
    <row r="49" spans="1:12" ht="13.5" thickBot="1" x14ac:dyDescent="0.25">
      <c r="A49" s="1"/>
      <c r="B49" s="6">
        <f t="shared" ref="B49:I49" si="15">SUM(B47:B48)</f>
        <v>69</v>
      </c>
      <c r="C49" s="6">
        <f t="shared" si="15"/>
        <v>0</v>
      </c>
      <c r="D49" s="6">
        <f t="shared" si="15"/>
        <v>0</v>
      </c>
      <c r="E49" s="6">
        <f t="shared" si="15"/>
        <v>1</v>
      </c>
      <c r="F49" s="6">
        <f t="shared" si="15"/>
        <v>8</v>
      </c>
      <c r="G49" s="6">
        <f t="shared" si="15"/>
        <v>0</v>
      </c>
      <c r="H49" s="6">
        <f t="shared" si="15"/>
        <v>58</v>
      </c>
      <c r="I49" s="6">
        <f t="shared" si="15"/>
        <v>2</v>
      </c>
      <c r="J49" s="7" t="s">
        <v>13</v>
      </c>
      <c r="K49" s="9"/>
      <c r="L49" s="1"/>
    </row>
    <row r="50" spans="1:12" ht="13.5" thickBot="1" x14ac:dyDescent="0.25">
      <c r="A50" s="1"/>
      <c r="B50" s="6">
        <f t="shared" si="0"/>
        <v>568</v>
      </c>
      <c r="C50" s="6">
        <v>2</v>
      </c>
      <c r="D50" s="6">
        <v>6</v>
      </c>
      <c r="E50" s="6">
        <v>12</v>
      </c>
      <c r="F50" s="6">
        <v>147</v>
      </c>
      <c r="G50" s="6">
        <v>1</v>
      </c>
      <c r="H50" s="6">
        <v>395</v>
      </c>
      <c r="I50" s="6">
        <v>5</v>
      </c>
      <c r="J50" s="7" t="s">
        <v>10</v>
      </c>
      <c r="K50" s="124"/>
      <c r="L50" s="1"/>
    </row>
    <row r="51" spans="1:12" ht="13.5" thickBot="1" x14ac:dyDescent="0.25">
      <c r="A51" s="1"/>
      <c r="B51" s="6">
        <f t="shared" si="0"/>
        <v>95</v>
      </c>
      <c r="C51" s="6">
        <v>0</v>
      </c>
      <c r="D51" s="6">
        <v>0</v>
      </c>
      <c r="E51" s="6">
        <v>1</v>
      </c>
      <c r="F51" s="6">
        <v>45</v>
      </c>
      <c r="G51" s="6">
        <v>1</v>
      </c>
      <c r="H51" s="6">
        <v>39</v>
      </c>
      <c r="I51" s="6">
        <v>9</v>
      </c>
      <c r="J51" s="7" t="s">
        <v>11</v>
      </c>
      <c r="K51" s="124" t="s">
        <v>41</v>
      </c>
      <c r="L51" s="1"/>
    </row>
    <row r="52" spans="1:12" ht="13.5" thickBot="1" x14ac:dyDescent="0.25">
      <c r="A52" s="1"/>
      <c r="B52" s="6">
        <f t="shared" ref="B52:I52" si="16">SUM(B50:B51)</f>
        <v>663</v>
      </c>
      <c r="C52" s="6">
        <f t="shared" si="16"/>
        <v>2</v>
      </c>
      <c r="D52" s="6">
        <f t="shared" si="16"/>
        <v>6</v>
      </c>
      <c r="E52" s="6">
        <f t="shared" si="16"/>
        <v>13</v>
      </c>
      <c r="F52" s="6">
        <f t="shared" si="16"/>
        <v>192</v>
      </c>
      <c r="G52" s="6">
        <f t="shared" si="16"/>
        <v>2</v>
      </c>
      <c r="H52" s="6">
        <f t="shared" si="16"/>
        <v>434</v>
      </c>
      <c r="I52" s="6">
        <f t="shared" si="16"/>
        <v>14</v>
      </c>
      <c r="J52" s="7" t="s">
        <v>13</v>
      </c>
      <c r="K52" s="9"/>
      <c r="L52" s="1"/>
    </row>
    <row r="53" spans="1:12" ht="13.5" thickBot="1" x14ac:dyDescent="0.25">
      <c r="A53" s="1"/>
      <c r="B53" s="6">
        <f t="shared" si="0"/>
        <v>1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1</v>
      </c>
      <c r="I53" s="6">
        <v>0</v>
      </c>
      <c r="J53" s="7" t="s">
        <v>10</v>
      </c>
      <c r="K53" s="124"/>
      <c r="L53" s="1"/>
    </row>
    <row r="54" spans="1:12" ht="13.5" thickBot="1" x14ac:dyDescent="0.25">
      <c r="A54" s="1"/>
      <c r="B54" s="6">
        <f t="shared" si="0"/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7" t="s">
        <v>11</v>
      </c>
      <c r="K54" s="124" t="s">
        <v>24</v>
      </c>
      <c r="L54" s="1"/>
    </row>
    <row r="55" spans="1:12" ht="13.5" thickBot="1" x14ac:dyDescent="0.25">
      <c r="A55" s="1"/>
      <c r="B55" s="6">
        <f t="shared" ref="B55:I55" si="17">SUM(B53:B54)</f>
        <v>1</v>
      </c>
      <c r="C55" s="6">
        <f t="shared" si="17"/>
        <v>0</v>
      </c>
      <c r="D55" s="6">
        <f t="shared" si="17"/>
        <v>0</v>
      </c>
      <c r="E55" s="6">
        <f t="shared" si="17"/>
        <v>0</v>
      </c>
      <c r="F55" s="6">
        <f t="shared" si="17"/>
        <v>0</v>
      </c>
      <c r="G55" s="6">
        <f t="shared" si="17"/>
        <v>0</v>
      </c>
      <c r="H55" s="6">
        <f t="shared" si="17"/>
        <v>1</v>
      </c>
      <c r="I55" s="6">
        <f t="shared" si="17"/>
        <v>0</v>
      </c>
      <c r="J55" s="7" t="s">
        <v>13</v>
      </c>
      <c r="K55" s="9"/>
      <c r="L55" s="1"/>
    </row>
    <row r="56" spans="1:12" ht="13.5" thickBot="1" x14ac:dyDescent="0.25">
      <c r="A56" s="1"/>
      <c r="B56" s="6">
        <f t="shared" si="0"/>
        <v>74</v>
      </c>
      <c r="C56" s="6">
        <v>0</v>
      </c>
      <c r="D56" s="6">
        <v>0</v>
      </c>
      <c r="E56" s="6">
        <v>3</v>
      </c>
      <c r="F56" s="6">
        <v>30</v>
      </c>
      <c r="G56" s="6">
        <v>0</v>
      </c>
      <c r="H56" s="6">
        <v>38</v>
      </c>
      <c r="I56" s="6">
        <v>3</v>
      </c>
      <c r="J56" s="7" t="s">
        <v>10</v>
      </c>
      <c r="K56" s="124"/>
      <c r="L56" s="1"/>
    </row>
    <row r="57" spans="1:12" ht="13.5" thickBot="1" x14ac:dyDescent="0.25">
      <c r="A57" s="1"/>
      <c r="B57" s="6">
        <f t="shared" si="0"/>
        <v>25</v>
      </c>
      <c r="C57" s="6">
        <v>0</v>
      </c>
      <c r="D57" s="6">
        <v>0</v>
      </c>
      <c r="E57" s="6">
        <v>2</v>
      </c>
      <c r="F57" s="6">
        <v>20</v>
      </c>
      <c r="G57" s="6">
        <v>0</v>
      </c>
      <c r="H57" s="6">
        <v>3</v>
      </c>
      <c r="I57" s="6">
        <v>0</v>
      </c>
      <c r="J57" s="7" t="s">
        <v>11</v>
      </c>
      <c r="K57" s="124" t="s">
        <v>37</v>
      </c>
      <c r="L57" s="1"/>
    </row>
    <row r="58" spans="1:12" ht="13.5" thickBot="1" x14ac:dyDescent="0.25">
      <c r="A58" s="1"/>
      <c r="B58" s="6">
        <f t="shared" ref="B58:I58" si="18">SUM(B56:B57)</f>
        <v>99</v>
      </c>
      <c r="C58" s="6">
        <f t="shared" si="18"/>
        <v>0</v>
      </c>
      <c r="D58" s="6">
        <f t="shared" si="18"/>
        <v>0</v>
      </c>
      <c r="E58" s="6">
        <f t="shared" si="18"/>
        <v>5</v>
      </c>
      <c r="F58" s="6">
        <f t="shared" si="18"/>
        <v>50</v>
      </c>
      <c r="G58" s="6">
        <f t="shared" si="18"/>
        <v>0</v>
      </c>
      <c r="H58" s="6">
        <f t="shared" si="18"/>
        <v>41</v>
      </c>
      <c r="I58" s="6">
        <f t="shared" si="18"/>
        <v>3</v>
      </c>
      <c r="J58" s="7" t="s">
        <v>13</v>
      </c>
      <c r="K58" s="9"/>
      <c r="L58" s="1"/>
    </row>
    <row r="59" spans="1:12" ht="13.5" thickBot="1" x14ac:dyDescent="0.25">
      <c r="A59" s="1"/>
      <c r="B59" s="6">
        <f t="shared" si="0"/>
        <v>41</v>
      </c>
      <c r="C59" s="6">
        <v>2</v>
      </c>
      <c r="D59" s="6">
        <v>13</v>
      </c>
      <c r="E59" s="6">
        <v>0</v>
      </c>
      <c r="F59" s="6">
        <v>2</v>
      </c>
      <c r="G59" s="6">
        <v>0</v>
      </c>
      <c r="H59" s="6">
        <v>20</v>
      </c>
      <c r="I59" s="6">
        <v>4</v>
      </c>
      <c r="J59" s="7" t="s">
        <v>10</v>
      </c>
      <c r="K59" s="124"/>
      <c r="L59" s="1"/>
    </row>
    <row r="60" spans="1:12" ht="13.5" thickBot="1" x14ac:dyDescent="0.25">
      <c r="A60" s="1"/>
      <c r="B60" s="6">
        <f t="shared" si="0"/>
        <v>14</v>
      </c>
      <c r="C60" s="6">
        <v>2</v>
      </c>
      <c r="D60" s="6">
        <v>6</v>
      </c>
      <c r="E60" s="6">
        <v>0</v>
      </c>
      <c r="F60" s="6">
        <v>1</v>
      </c>
      <c r="G60" s="6">
        <v>0</v>
      </c>
      <c r="H60" s="6">
        <v>2</v>
      </c>
      <c r="I60" s="6">
        <v>3</v>
      </c>
      <c r="J60" s="7" t="s">
        <v>11</v>
      </c>
      <c r="K60" s="124" t="s">
        <v>42</v>
      </c>
      <c r="L60" s="1"/>
    </row>
    <row r="61" spans="1:12" ht="13.5" thickBot="1" x14ac:dyDescent="0.25">
      <c r="A61" s="1"/>
      <c r="B61" s="6">
        <f t="shared" ref="B61:I61" si="19">SUM(B59:B60)</f>
        <v>55</v>
      </c>
      <c r="C61" s="6">
        <f t="shared" si="19"/>
        <v>4</v>
      </c>
      <c r="D61" s="6">
        <f t="shared" si="19"/>
        <v>19</v>
      </c>
      <c r="E61" s="6">
        <f t="shared" si="19"/>
        <v>0</v>
      </c>
      <c r="F61" s="6">
        <f t="shared" si="19"/>
        <v>3</v>
      </c>
      <c r="G61" s="6">
        <f t="shared" si="19"/>
        <v>0</v>
      </c>
      <c r="H61" s="6">
        <f t="shared" si="19"/>
        <v>22</v>
      </c>
      <c r="I61" s="6">
        <f t="shared" si="19"/>
        <v>7</v>
      </c>
      <c r="J61" s="7" t="s">
        <v>13</v>
      </c>
      <c r="K61" s="9"/>
      <c r="L61" s="1"/>
    </row>
    <row r="62" spans="1:12" ht="13.5" thickBot="1" x14ac:dyDescent="0.25">
      <c r="A62" s="1"/>
      <c r="B62" s="6">
        <f t="shared" si="0"/>
        <v>5</v>
      </c>
      <c r="C62" s="6">
        <v>0</v>
      </c>
      <c r="D62" s="6">
        <v>3</v>
      </c>
      <c r="E62" s="6">
        <v>0</v>
      </c>
      <c r="F62" s="6">
        <v>1</v>
      </c>
      <c r="G62" s="6">
        <v>0</v>
      </c>
      <c r="H62" s="6">
        <v>0</v>
      </c>
      <c r="I62" s="6">
        <v>1</v>
      </c>
      <c r="J62" s="7" t="s">
        <v>10</v>
      </c>
      <c r="K62" s="124"/>
      <c r="L62" s="1"/>
    </row>
    <row r="63" spans="1:12" ht="13.5" thickBot="1" x14ac:dyDescent="0.25">
      <c r="A63" s="1"/>
      <c r="B63" s="6">
        <f t="shared" si="0"/>
        <v>6</v>
      </c>
      <c r="C63" s="6">
        <v>0</v>
      </c>
      <c r="D63" s="6">
        <v>0</v>
      </c>
      <c r="E63" s="6">
        <v>0</v>
      </c>
      <c r="F63" s="6">
        <v>2</v>
      </c>
      <c r="G63" s="6">
        <v>0</v>
      </c>
      <c r="H63" s="6">
        <v>2</v>
      </c>
      <c r="I63" s="6">
        <v>2</v>
      </c>
      <c r="J63" s="7" t="s">
        <v>11</v>
      </c>
      <c r="K63" s="124" t="s">
        <v>38</v>
      </c>
      <c r="L63" s="1"/>
    </row>
    <row r="64" spans="1:12" ht="13.5" thickBot="1" x14ac:dyDescent="0.25">
      <c r="A64" s="1"/>
      <c r="B64" s="6">
        <f t="shared" ref="B64:I64" si="20">SUM(B62:B63)</f>
        <v>11</v>
      </c>
      <c r="C64" s="6">
        <f t="shared" si="20"/>
        <v>0</v>
      </c>
      <c r="D64" s="6">
        <f t="shared" si="20"/>
        <v>3</v>
      </c>
      <c r="E64" s="6">
        <f t="shared" si="20"/>
        <v>0</v>
      </c>
      <c r="F64" s="6">
        <f t="shared" si="20"/>
        <v>3</v>
      </c>
      <c r="G64" s="6">
        <f t="shared" si="20"/>
        <v>0</v>
      </c>
      <c r="H64" s="6">
        <f t="shared" si="20"/>
        <v>2</v>
      </c>
      <c r="I64" s="6">
        <f t="shared" si="20"/>
        <v>3</v>
      </c>
      <c r="J64" s="7" t="s">
        <v>13</v>
      </c>
      <c r="K64" s="9"/>
      <c r="L64" s="1"/>
    </row>
    <row r="65" spans="1:12" ht="13.5" thickBot="1" x14ac:dyDescent="0.25">
      <c r="A65" s="1"/>
      <c r="B65" s="6">
        <f t="shared" si="0"/>
        <v>1</v>
      </c>
      <c r="C65" s="6">
        <v>0</v>
      </c>
      <c r="D65" s="6">
        <v>1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7" t="s">
        <v>10</v>
      </c>
      <c r="K65" s="124"/>
      <c r="L65" s="1"/>
    </row>
    <row r="66" spans="1:12" ht="13.5" thickBot="1" x14ac:dyDescent="0.25">
      <c r="A66" s="1"/>
      <c r="B66" s="6">
        <f t="shared" si="0"/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7" t="s">
        <v>11</v>
      </c>
      <c r="K66" s="124" t="s">
        <v>39</v>
      </c>
      <c r="L66" s="1"/>
    </row>
    <row r="67" spans="1:12" ht="13.5" thickBot="1" x14ac:dyDescent="0.25">
      <c r="A67" s="1"/>
      <c r="B67" s="6">
        <f t="shared" ref="B67:I67" si="21">SUM(B65:B66)</f>
        <v>1</v>
      </c>
      <c r="C67" s="6">
        <f t="shared" si="21"/>
        <v>0</v>
      </c>
      <c r="D67" s="6">
        <f t="shared" si="21"/>
        <v>1</v>
      </c>
      <c r="E67" s="6">
        <f t="shared" si="21"/>
        <v>0</v>
      </c>
      <c r="F67" s="6">
        <f t="shared" si="21"/>
        <v>0</v>
      </c>
      <c r="G67" s="6">
        <f t="shared" si="21"/>
        <v>0</v>
      </c>
      <c r="H67" s="6">
        <f t="shared" si="21"/>
        <v>0</v>
      </c>
      <c r="I67" s="6">
        <f t="shared" si="21"/>
        <v>0</v>
      </c>
      <c r="J67" s="7" t="s">
        <v>13</v>
      </c>
      <c r="K67" s="9"/>
      <c r="L67" s="1"/>
    </row>
    <row r="68" spans="1:12" ht="13.5" thickBot="1" x14ac:dyDescent="0.25">
      <c r="A68" s="1"/>
      <c r="B68" s="6">
        <f t="shared" si="0"/>
        <v>129</v>
      </c>
      <c r="C68" s="6">
        <v>3</v>
      </c>
      <c r="D68" s="6">
        <v>0</v>
      </c>
      <c r="E68" s="6">
        <v>7</v>
      </c>
      <c r="F68" s="6">
        <v>27</v>
      </c>
      <c r="G68" s="6">
        <v>0</v>
      </c>
      <c r="H68" s="6">
        <v>92</v>
      </c>
      <c r="I68" s="6">
        <v>0</v>
      </c>
      <c r="J68" s="7" t="s">
        <v>10</v>
      </c>
      <c r="K68" s="124"/>
      <c r="L68" s="1"/>
    </row>
    <row r="69" spans="1:12" ht="13.5" thickBot="1" x14ac:dyDescent="0.25">
      <c r="A69" s="1"/>
      <c r="B69" s="6">
        <f t="shared" si="0"/>
        <v>17</v>
      </c>
      <c r="C69" s="6">
        <v>0</v>
      </c>
      <c r="D69" s="6">
        <v>0</v>
      </c>
      <c r="E69" s="6">
        <v>0</v>
      </c>
      <c r="F69" s="6">
        <v>4</v>
      </c>
      <c r="G69" s="6">
        <v>0</v>
      </c>
      <c r="H69" s="6">
        <v>5</v>
      </c>
      <c r="I69" s="6">
        <v>8</v>
      </c>
      <c r="J69" s="7" t="s">
        <v>11</v>
      </c>
      <c r="K69" s="124" t="s">
        <v>25</v>
      </c>
      <c r="L69" s="1"/>
    </row>
    <row r="70" spans="1:12" ht="13.5" thickBot="1" x14ac:dyDescent="0.25">
      <c r="A70" s="1"/>
      <c r="B70" s="6">
        <f t="shared" ref="B70:I70" si="22">SUM(B68:B69)</f>
        <v>146</v>
      </c>
      <c r="C70" s="6">
        <f t="shared" si="22"/>
        <v>3</v>
      </c>
      <c r="D70" s="6">
        <f t="shared" si="22"/>
        <v>0</v>
      </c>
      <c r="E70" s="6">
        <f t="shared" si="22"/>
        <v>7</v>
      </c>
      <c r="F70" s="6">
        <f t="shared" si="22"/>
        <v>31</v>
      </c>
      <c r="G70" s="6">
        <f t="shared" si="22"/>
        <v>0</v>
      </c>
      <c r="H70" s="6">
        <f t="shared" si="22"/>
        <v>97</v>
      </c>
      <c r="I70" s="6">
        <f t="shared" si="22"/>
        <v>8</v>
      </c>
      <c r="J70" s="7" t="s">
        <v>13</v>
      </c>
      <c r="K70" s="9"/>
      <c r="L70" s="1"/>
    </row>
    <row r="71" spans="1:12" ht="13.5" thickBot="1" x14ac:dyDescent="0.25">
      <c r="A71" s="1"/>
      <c r="B71" s="6">
        <f t="shared" ref="B71:B78" si="23">SUM(C71:I71)</f>
        <v>2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2</v>
      </c>
      <c r="I71" s="6">
        <v>0</v>
      </c>
      <c r="J71" s="7" t="s">
        <v>10</v>
      </c>
      <c r="K71" s="124"/>
      <c r="L71" s="1"/>
    </row>
    <row r="72" spans="1:12" ht="13.5" thickBot="1" x14ac:dyDescent="0.25">
      <c r="A72" s="1"/>
      <c r="B72" s="6">
        <f t="shared" si="23"/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7" t="s">
        <v>11</v>
      </c>
      <c r="K72" s="124" t="s">
        <v>26</v>
      </c>
      <c r="L72" s="1"/>
    </row>
    <row r="73" spans="1:12" ht="13.5" thickBot="1" x14ac:dyDescent="0.25">
      <c r="A73" s="1"/>
      <c r="B73" s="6">
        <f t="shared" ref="B73:I73" si="24">SUM(B71:B72)</f>
        <v>2</v>
      </c>
      <c r="C73" s="6">
        <f t="shared" si="24"/>
        <v>0</v>
      </c>
      <c r="D73" s="6">
        <f t="shared" si="24"/>
        <v>0</v>
      </c>
      <c r="E73" s="6">
        <f t="shared" si="24"/>
        <v>0</v>
      </c>
      <c r="F73" s="6">
        <f t="shared" si="24"/>
        <v>0</v>
      </c>
      <c r="G73" s="6">
        <f t="shared" si="24"/>
        <v>0</v>
      </c>
      <c r="H73" s="6">
        <f t="shared" si="24"/>
        <v>2</v>
      </c>
      <c r="I73" s="6">
        <f t="shared" si="24"/>
        <v>0</v>
      </c>
      <c r="J73" s="7" t="s">
        <v>13</v>
      </c>
      <c r="K73" s="9"/>
      <c r="L73" s="1"/>
    </row>
    <row r="74" spans="1:12" ht="13.5" thickBot="1" x14ac:dyDescent="0.25">
      <c r="A74" s="1"/>
      <c r="B74" s="6">
        <f t="shared" si="23"/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7" t="s">
        <v>10</v>
      </c>
      <c r="K74" s="124"/>
      <c r="L74" s="1"/>
    </row>
    <row r="75" spans="1:12" ht="13.5" thickBot="1" x14ac:dyDescent="0.25">
      <c r="A75" s="1"/>
      <c r="B75" s="6">
        <f t="shared" si="23"/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7" t="s">
        <v>11</v>
      </c>
      <c r="K75" s="124" t="s">
        <v>27</v>
      </c>
      <c r="L75" s="1"/>
    </row>
    <row r="76" spans="1:12" ht="13.5" thickBot="1" x14ac:dyDescent="0.25">
      <c r="A76" s="1"/>
      <c r="B76" s="6">
        <f t="shared" ref="B76:I76" si="25">SUM(B74:B75)</f>
        <v>0</v>
      </c>
      <c r="C76" s="6">
        <f t="shared" si="25"/>
        <v>0</v>
      </c>
      <c r="D76" s="6">
        <f t="shared" si="25"/>
        <v>0</v>
      </c>
      <c r="E76" s="6">
        <f t="shared" si="25"/>
        <v>0</v>
      </c>
      <c r="F76" s="6">
        <f t="shared" si="25"/>
        <v>0</v>
      </c>
      <c r="G76" s="6">
        <f t="shared" si="25"/>
        <v>0</v>
      </c>
      <c r="H76" s="6">
        <f t="shared" si="25"/>
        <v>0</v>
      </c>
      <c r="I76" s="6">
        <f t="shared" si="25"/>
        <v>0</v>
      </c>
      <c r="J76" s="7" t="s">
        <v>13</v>
      </c>
      <c r="K76" s="9"/>
      <c r="L76" s="1"/>
    </row>
    <row r="77" spans="1:12" ht="13.5" thickBot="1" x14ac:dyDescent="0.25">
      <c r="A77" s="1"/>
      <c r="B77" s="6">
        <f t="shared" si="23"/>
        <v>167</v>
      </c>
      <c r="C77" s="6">
        <v>69</v>
      </c>
      <c r="D77" s="6">
        <v>0</v>
      </c>
      <c r="E77" s="6">
        <v>16</v>
      </c>
      <c r="F77" s="6">
        <v>33</v>
      </c>
      <c r="G77" s="6">
        <v>0</v>
      </c>
      <c r="H77" s="6">
        <v>44</v>
      </c>
      <c r="I77" s="6">
        <v>5</v>
      </c>
      <c r="J77" s="7" t="s">
        <v>10</v>
      </c>
      <c r="K77" s="124"/>
      <c r="L77" s="1"/>
    </row>
    <row r="78" spans="1:12" ht="13.5" thickBot="1" x14ac:dyDescent="0.25">
      <c r="A78" s="1"/>
      <c r="B78" s="6">
        <f t="shared" si="23"/>
        <v>13</v>
      </c>
      <c r="C78" s="6">
        <v>2</v>
      </c>
      <c r="D78" s="6">
        <v>0</v>
      </c>
      <c r="E78" s="6">
        <v>3</v>
      </c>
      <c r="F78" s="6">
        <v>6</v>
      </c>
      <c r="G78" s="6">
        <v>0</v>
      </c>
      <c r="H78" s="6">
        <v>0</v>
      </c>
      <c r="I78" s="6">
        <v>2</v>
      </c>
      <c r="J78" s="7" t="s">
        <v>11</v>
      </c>
      <c r="K78" s="124" t="s">
        <v>33</v>
      </c>
      <c r="L78" s="1"/>
    </row>
    <row r="79" spans="1:12" ht="13.5" thickBot="1" x14ac:dyDescent="0.25">
      <c r="A79" s="1"/>
      <c r="B79" s="6">
        <f t="shared" ref="B79:I79" si="26">SUM(B77:B78)</f>
        <v>180</v>
      </c>
      <c r="C79" s="6">
        <f t="shared" si="26"/>
        <v>71</v>
      </c>
      <c r="D79" s="6">
        <f t="shared" si="26"/>
        <v>0</v>
      </c>
      <c r="E79" s="6">
        <f t="shared" si="26"/>
        <v>19</v>
      </c>
      <c r="F79" s="6">
        <f t="shared" si="26"/>
        <v>39</v>
      </c>
      <c r="G79" s="6">
        <f t="shared" si="26"/>
        <v>0</v>
      </c>
      <c r="H79" s="6">
        <f t="shared" si="26"/>
        <v>44</v>
      </c>
      <c r="I79" s="6">
        <f t="shared" si="26"/>
        <v>7</v>
      </c>
      <c r="J79" s="7" t="s">
        <v>13</v>
      </c>
      <c r="K79" s="9"/>
      <c r="L79" s="1"/>
    </row>
    <row r="80" spans="1:12" ht="13.5" thickBot="1" x14ac:dyDescent="0.25">
      <c r="A80" s="1"/>
      <c r="B80" s="6">
        <f t="shared" ref="B80:H82" si="27">B5+B8+B11+B14+B17+B20+B23+B26+B29+B32+B35+B38+B41+B44+B47+B50+B53+B56+B59+B62+B65+B68+B71+B74+B77</f>
        <v>1073</v>
      </c>
      <c r="C80" s="6">
        <f t="shared" si="27"/>
        <v>77</v>
      </c>
      <c r="D80" s="6">
        <f t="shared" si="27"/>
        <v>24</v>
      </c>
      <c r="E80" s="6">
        <f t="shared" si="27"/>
        <v>39</v>
      </c>
      <c r="F80" s="6">
        <f t="shared" si="27"/>
        <v>247</v>
      </c>
      <c r="G80" s="6">
        <f t="shared" si="27"/>
        <v>1</v>
      </c>
      <c r="H80" s="6">
        <f t="shared" si="27"/>
        <v>662</v>
      </c>
      <c r="I80" s="6">
        <f>I5+I8+I11+I14+I17+I20+I23+I26+I29+I32+I35+I38+I41+I44+I47+I50+I53+I56+I59+I62+I65+I68+I71+I74+I77</f>
        <v>23</v>
      </c>
      <c r="J80" s="7" t="s">
        <v>10</v>
      </c>
      <c r="K80" s="3"/>
      <c r="L80" s="1"/>
    </row>
    <row r="81" spans="1:12" ht="13.5" thickBot="1" x14ac:dyDescent="0.25">
      <c r="A81" s="1"/>
      <c r="B81" s="6">
        <f t="shared" si="27"/>
        <v>201</v>
      </c>
      <c r="C81" s="6">
        <f t="shared" si="27"/>
        <v>4</v>
      </c>
      <c r="D81" s="6">
        <f t="shared" si="27"/>
        <v>6</v>
      </c>
      <c r="E81" s="6">
        <f t="shared" si="27"/>
        <v>6</v>
      </c>
      <c r="F81" s="6">
        <f t="shared" si="27"/>
        <v>89</v>
      </c>
      <c r="G81" s="6">
        <f t="shared" si="27"/>
        <v>1</v>
      </c>
      <c r="H81" s="6">
        <f t="shared" si="27"/>
        <v>71</v>
      </c>
      <c r="I81" s="6">
        <f>I6+I9+I12+I15+I18+I21+I24+I27+I30+I33+I36+I39+I42+I45+I48+I51+I54+I57+I60+I63+I66+I69+I72+I75+I78</f>
        <v>24</v>
      </c>
      <c r="J81" s="7" t="s">
        <v>11</v>
      </c>
      <c r="K81" s="11" t="s">
        <v>211</v>
      </c>
      <c r="L81" s="1"/>
    </row>
    <row r="82" spans="1:12" ht="13.5" thickBot="1" x14ac:dyDescent="0.25">
      <c r="A82" s="1"/>
      <c r="B82" s="6">
        <f t="shared" si="27"/>
        <v>1274</v>
      </c>
      <c r="C82" s="6">
        <f t="shared" si="27"/>
        <v>81</v>
      </c>
      <c r="D82" s="6">
        <f t="shared" si="27"/>
        <v>30</v>
      </c>
      <c r="E82" s="6">
        <f t="shared" si="27"/>
        <v>45</v>
      </c>
      <c r="F82" s="6">
        <f t="shared" si="27"/>
        <v>336</v>
      </c>
      <c r="G82" s="6">
        <f t="shared" si="27"/>
        <v>2</v>
      </c>
      <c r="H82" s="6">
        <f t="shared" si="27"/>
        <v>733</v>
      </c>
      <c r="I82" s="6">
        <f>I7+I10+I13+I16+I19+I22+I25+I28+I31+I34+I37+I40+I43+I46+I49+I52+I55+I58+I61+I64+I67+I70+I73+I76+I79</f>
        <v>47</v>
      </c>
      <c r="J82" s="7" t="s">
        <v>13</v>
      </c>
      <c r="K82" s="5"/>
      <c r="L82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82"/>
  <sheetViews>
    <sheetView showGridLines="0" topLeftCell="A67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715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716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69" si="0">SUM(C6:I6)</f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7" t="s">
        <v>11</v>
      </c>
      <c r="K6" s="124" t="s">
        <v>12</v>
      </c>
      <c r="L6" s="1"/>
    </row>
    <row r="7" spans="1:12" ht="13.5" thickBot="1" x14ac:dyDescent="0.25">
      <c r="A7" s="1"/>
      <c r="B7" s="6">
        <f t="shared" ref="B7:H7" si="1">SUM(B5:B6)</f>
        <v>0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0</v>
      </c>
      <c r="G7" s="6">
        <f t="shared" si="1"/>
        <v>0</v>
      </c>
      <c r="H7" s="6">
        <f t="shared" si="1"/>
        <v>0</v>
      </c>
      <c r="I7" s="6">
        <f>SUM(I5:I6)</f>
        <v>0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1</v>
      </c>
      <c r="I8" s="6">
        <v>0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7" t="s">
        <v>11</v>
      </c>
      <c r="K9" s="124" t="s">
        <v>14</v>
      </c>
      <c r="L9" s="1"/>
    </row>
    <row r="10" spans="1:12" ht="13.5" thickBot="1" x14ac:dyDescent="0.25">
      <c r="A10" s="1"/>
      <c r="B10" s="6">
        <f t="shared" ref="B10:I10" si="2">SUM(B8:B9)</f>
        <v>1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0</v>
      </c>
      <c r="G10" s="6">
        <f t="shared" si="2"/>
        <v>0</v>
      </c>
      <c r="H10" s="6">
        <f t="shared" si="2"/>
        <v>1</v>
      </c>
      <c r="I10" s="6">
        <f t="shared" si="2"/>
        <v>0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1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7" t="s">
        <v>11</v>
      </c>
      <c r="K12" s="124" t="s">
        <v>15</v>
      </c>
      <c r="L12" s="1"/>
    </row>
    <row r="13" spans="1:12" ht="13.5" thickBot="1" x14ac:dyDescent="0.25">
      <c r="A13" s="1"/>
      <c r="B13" s="6">
        <f t="shared" ref="B13:I13" si="3">SUM(B11:B12)</f>
        <v>1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0</v>
      </c>
      <c r="G13" s="6">
        <f t="shared" si="3"/>
        <v>0</v>
      </c>
      <c r="H13" s="6">
        <f t="shared" si="3"/>
        <v>0</v>
      </c>
      <c r="I13" s="6">
        <f t="shared" si="3"/>
        <v>1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2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2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1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1</v>
      </c>
      <c r="I15" s="6">
        <v>0</v>
      </c>
      <c r="J15" s="7" t="s">
        <v>11</v>
      </c>
      <c r="K15" s="124" t="s">
        <v>16</v>
      </c>
      <c r="L15" s="1"/>
    </row>
    <row r="16" spans="1:12" ht="13.5" thickBot="1" x14ac:dyDescent="0.25">
      <c r="A16" s="1"/>
      <c r="B16" s="6">
        <f t="shared" ref="B16:I16" si="4">SUM(B14:B15)</f>
        <v>3</v>
      </c>
      <c r="C16" s="6">
        <f t="shared" si="4"/>
        <v>0</v>
      </c>
      <c r="D16" s="6">
        <f t="shared" si="4"/>
        <v>0</v>
      </c>
      <c r="E16" s="6">
        <f t="shared" si="4"/>
        <v>0</v>
      </c>
      <c r="F16" s="6">
        <f t="shared" si="4"/>
        <v>0</v>
      </c>
      <c r="G16" s="6">
        <f t="shared" si="4"/>
        <v>0</v>
      </c>
      <c r="H16" s="6">
        <f t="shared" si="4"/>
        <v>3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7" t="s">
        <v>11</v>
      </c>
      <c r="K18" s="124" t="s">
        <v>31</v>
      </c>
      <c r="L18" s="1"/>
    </row>
    <row r="19" spans="1:12" ht="13.5" thickBot="1" x14ac:dyDescent="0.25">
      <c r="A19" s="1"/>
      <c r="B19" s="6">
        <f t="shared" ref="B19:I19" si="5">SUM(B17:B18)</f>
        <v>0</v>
      </c>
      <c r="C19" s="6">
        <f t="shared" si="5"/>
        <v>0</v>
      </c>
      <c r="D19" s="6">
        <f t="shared" si="5"/>
        <v>0</v>
      </c>
      <c r="E19" s="6">
        <f t="shared" si="5"/>
        <v>0</v>
      </c>
      <c r="F19" s="6">
        <f t="shared" si="5"/>
        <v>0</v>
      </c>
      <c r="G19" s="6">
        <f t="shared" si="5"/>
        <v>0</v>
      </c>
      <c r="H19" s="6">
        <f t="shared" si="5"/>
        <v>0</v>
      </c>
      <c r="I19" s="6">
        <f t="shared" si="5"/>
        <v>0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7" t="s">
        <v>11</v>
      </c>
      <c r="K21" s="124" t="s">
        <v>17</v>
      </c>
      <c r="L21" s="1"/>
    </row>
    <row r="22" spans="1:12" ht="13.5" thickBot="1" x14ac:dyDescent="0.25">
      <c r="A22" s="1"/>
      <c r="B22" s="6">
        <f t="shared" ref="B22:I22" si="6">SUM(B20:B21)</f>
        <v>0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0</v>
      </c>
      <c r="G22" s="6">
        <f t="shared" si="6"/>
        <v>0</v>
      </c>
      <c r="H22" s="6">
        <f t="shared" si="6"/>
        <v>0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7" t="s">
        <v>11</v>
      </c>
      <c r="K24" s="124" t="s">
        <v>18</v>
      </c>
      <c r="L24" s="1"/>
    </row>
    <row r="25" spans="1:12" ht="13.5" thickBot="1" x14ac:dyDescent="0.25">
      <c r="A25" s="1"/>
      <c r="B25" s="6">
        <f t="shared" ref="B25:I25" si="7">SUM(B23:B24)</f>
        <v>0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0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2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2</v>
      </c>
      <c r="I26" s="6">
        <v>0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2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2</v>
      </c>
      <c r="I27" s="6">
        <v>0</v>
      </c>
      <c r="J27" s="7" t="s">
        <v>11</v>
      </c>
      <c r="K27" s="124" t="s">
        <v>19</v>
      </c>
      <c r="L27" s="1"/>
    </row>
    <row r="28" spans="1:12" ht="13.5" thickBot="1" x14ac:dyDescent="0.25">
      <c r="A28" s="1"/>
      <c r="B28" s="6">
        <f t="shared" ref="B28:I28" si="8">SUM(B26:B27)</f>
        <v>4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0</v>
      </c>
      <c r="G28" s="6">
        <f t="shared" si="8"/>
        <v>0</v>
      </c>
      <c r="H28" s="6">
        <f t="shared" si="8"/>
        <v>4</v>
      </c>
      <c r="I28" s="6">
        <f t="shared" si="8"/>
        <v>0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2</v>
      </c>
      <c r="C29" s="6">
        <v>1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7" t="s">
        <v>11</v>
      </c>
      <c r="K30" s="124" t="s">
        <v>35</v>
      </c>
      <c r="L30" s="1"/>
    </row>
    <row r="31" spans="1:12" ht="13.5" thickBot="1" x14ac:dyDescent="0.25">
      <c r="A31" s="1"/>
      <c r="B31" s="6">
        <f t="shared" ref="B31:I31" si="9">SUM(B29:B30)</f>
        <v>2</v>
      </c>
      <c r="C31" s="6">
        <f t="shared" si="9"/>
        <v>1</v>
      </c>
      <c r="D31" s="6">
        <f t="shared" si="9"/>
        <v>1</v>
      </c>
      <c r="E31" s="6">
        <f t="shared" si="9"/>
        <v>0</v>
      </c>
      <c r="F31" s="6">
        <f t="shared" si="9"/>
        <v>0</v>
      </c>
      <c r="G31" s="6">
        <f t="shared" si="9"/>
        <v>0</v>
      </c>
      <c r="H31" s="6">
        <f t="shared" si="9"/>
        <v>0</v>
      </c>
      <c r="I31" s="6">
        <f t="shared" si="9"/>
        <v>0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7" t="s">
        <v>11</v>
      </c>
      <c r="K33" s="124" t="s">
        <v>20</v>
      </c>
      <c r="L33" s="1"/>
    </row>
    <row r="34" spans="1:12" ht="13.5" thickBot="1" x14ac:dyDescent="0.25">
      <c r="A34" s="1"/>
      <c r="B34" s="6">
        <f t="shared" ref="B34:I34" si="10">SUM(B32:B33)</f>
        <v>0</v>
      </c>
      <c r="C34" s="6">
        <f t="shared" si="10"/>
        <v>0</v>
      </c>
      <c r="D34" s="6">
        <f t="shared" si="10"/>
        <v>0</v>
      </c>
      <c r="E34" s="6">
        <f t="shared" si="10"/>
        <v>0</v>
      </c>
      <c r="F34" s="6">
        <f t="shared" si="10"/>
        <v>0</v>
      </c>
      <c r="G34" s="6">
        <f t="shared" si="10"/>
        <v>0</v>
      </c>
      <c r="H34" s="6">
        <f t="shared" si="10"/>
        <v>0</v>
      </c>
      <c r="I34" s="6">
        <f t="shared" si="10"/>
        <v>0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7" t="s">
        <v>11</v>
      </c>
      <c r="K36" s="124" t="s">
        <v>21</v>
      </c>
      <c r="L36" s="1"/>
    </row>
    <row r="37" spans="1:12" ht="13.5" thickBot="1" x14ac:dyDescent="0.25">
      <c r="A37" s="1"/>
      <c r="B37" s="6">
        <f t="shared" ref="B37:I37" si="11">SUM(B35:B36)</f>
        <v>0</v>
      </c>
      <c r="C37" s="6">
        <f t="shared" si="11"/>
        <v>0</v>
      </c>
      <c r="D37" s="6">
        <f t="shared" si="11"/>
        <v>0</v>
      </c>
      <c r="E37" s="6">
        <f t="shared" si="11"/>
        <v>0</v>
      </c>
      <c r="F37" s="6">
        <f t="shared" si="11"/>
        <v>0</v>
      </c>
      <c r="G37" s="6">
        <f t="shared" si="11"/>
        <v>0</v>
      </c>
      <c r="H37" s="6">
        <f t="shared" si="11"/>
        <v>0</v>
      </c>
      <c r="I37" s="6">
        <f t="shared" si="11"/>
        <v>0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3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3</v>
      </c>
      <c r="I38" s="6">
        <v>0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2</v>
      </c>
      <c r="I39" s="6">
        <v>0</v>
      </c>
      <c r="J39" s="7" t="s">
        <v>11</v>
      </c>
      <c r="K39" s="124" t="s">
        <v>22</v>
      </c>
      <c r="L39" s="1"/>
    </row>
    <row r="40" spans="1:12" ht="13.5" thickBot="1" x14ac:dyDescent="0.25">
      <c r="A40" s="1"/>
      <c r="B40" s="6">
        <f t="shared" ref="B40:I40" si="12">SUM(B38:B39)</f>
        <v>5</v>
      </c>
      <c r="C40" s="6">
        <f t="shared" si="12"/>
        <v>0</v>
      </c>
      <c r="D40" s="6">
        <f t="shared" si="12"/>
        <v>0</v>
      </c>
      <c r="E40" s="6">
        <f t="shared" si="12"/>
        <v>0</v>
      </c>
      <c r="F40" s="6">
        <f t="shared" si="12"/>
        <v>0</v>
      </c>
      <c r="G40" s="6">
        <f t="shared" si="12"/>
        <v>0</v>
      </c>
      <c r="H40" s="6">
        <f t="shared" si="12"/>
        <v>5</v>
      </c>
      <c r="I40" s="6">
        <f t="shared" si="12"/>
        <v>0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7" t="s">
        <v>11</v>
      </c>
      <c r="K42" s="124" t="s">
        <v>36</v>
      </c>
      <c r="L42" s="1"/>
    </row>
    <row r="43" spans="1:12" ht="13.5" thickBot="1" x14ac:dyDescent="0.25">
      <c r="A43" s="1"/>
      <c r="B43" s="6">
        <f t="shared" ref="B43:I43" si="13">SUM(B41:B42)</f>
        <v>0</v>
      </c>
      <c r="C43" s="6">
        <f t="shared" si="13"/>
        <v>0</v>
      </c>
      <c r="D43" s="6">
        <f t="shared" si="13"/>
        <v>0</v>
      </c>
      <c r="E43" s="6">
        <f t="shared" si="13"/>
        <v>0</v>
      </c>
      <c r="F43" s="6">
        <f t="shared" si="13"/>
        <v>0</v>
      </c>
      <c r="G43" s="6">
        <f t="shared" si="13"/>
        <v>0</v>
      </c>
      <c r="H43" s="6">
        <f t="shared" si="13"/>
        <v>0</v>
      </c>
      <c r="I43" s="6">
        <f t="shared" si="13"/>
        <v>0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2</v>
      </c>
      <c r="C44" s="6">
        <v>0</v>
      </c>
      <c r="D44" s="6">
        <v>0</v>
      </c>
      <c r="E44" s="6">
        <v>0</v>
      </c>
      <c r="F44" s="6">
        <v>1</v>
      </c>
      <c r="G44" s="6">
        <v>0</v>
      </c>
      <c r="H44" s="6">
        <v>1</v>
      </c>
      <c r="I44" s="6">
        <v>0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2</v>
      </c>
      <c r="C45" s="6">
        <v>0</v>
      </c>
      <c r="D45" s="6">
        <v>0</v>
      </c>
      <c r="E45" s="6">
        <v>0</v>
      </c>
      <c r="F45" s="6">
        <v>1</v>
      </c>
      <c r="G45" s="6">
        <v>0</v>
      </c>
      <c r="H45" s="6">
        <v>1</v>
      </c>
      <c r="I45" s="6">
        <v>0</v>
      </c>
      <c r="J45" s="7" t="s">
        <v>11</v>
      </c>
      <c r="K45" s="124" t="s">
        <v>32</v>
      </c>
      <c r="L45" s="1"/>
    </row>
    <row r="46" spans="1:12" ht="13.5" thickBot="1" x14ac:dyDescent="0.25">
      <c r="A46" s="1"/>
      <c r="B46" s="6">
        <f t="shared" ref="B46:I46" si="14">SUM(B44:B45)</f>
        <v>4</v>
      </c>
      <c r="C46" s="6">
        <f t="shared" si="14"/>
        <v>0</v>
      </c>
      <c r="D46" s="6">
        <f t="shared" si="14"/>
        <v>0</v>
      </c>
      <c r="E46" s="6">
        <f t="shared" si="14"/>
        <v>0</v>
      </c>
      <c r="F46" s="6">
        <f t="shared" si="14"/>
        <v>2</v>
      </c>
      <c r="G46" s="6">
        <f t="shared" si="14"/>
        <v>0</v>
      </c>
      <c r="H46" s="6">
        <f t="shared" si="14"/>
        <v>2</v>
      </c>
      <c r="I46" s="6">
        <f t="shared" si="14"/>
        <v>0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si="0"/>
        <v>18</v>
      </c>
      <c r="C47" s="6">
        <v>0</v>
      </c>
      <c r="D47" s="6">
        <v>0</v>
      </c>
      <c r="E47" s="6">
        <v>1</v>
      </c>
      <c r="F47" s="6">
        <v>1</v>
      </c>
      <c r="G47" s="6">
        <v>0</v>
      </c>
      <c r="H47" s="6">
        <v>14</v>
      </c>
      <c r="I47" s="6">
        <v>2</v>
      </c>
      <c r="J47" s="7" t="s">
        <v>10</v>
      </c>
      <c r="K47" s="124"/>
      <c r="L47" s="1"/>
    </row>
    <row r="48" spans="1:12" ht="13.5" thickBot="1" x14ac:dyDescent="0.25">
      <c r="A48" s="1"/>
      <c r="B48" s="6">
        <f t="shared" si="0"/>
        <v>1</v>
      </c>
      <c r="C48" s="6">
        <v>0</v>
      </c>
      <c r="D48" s="6">
        <v>0</v>
      </c>
      <c r="E48" s="6">
        <v>0</v>
      </c>
      <c r="F48" s="6">
        <v>1</v>
      </c>
      <c r="G48" s="6">
        <v>0</v>
      </c>
      <c r="H48" s="6">
        <v>0</v>
      </c>
      <c r="I48" s="6">
        <v>0</v>
      </c>
      <c r="J48" s="7" t="s">
        <v>11</v>
      </c>
      <c r="K48" s="124" t="s">
        <v>23</v>
      </c>
      <c r="L48" s="1"/>
    </row>
    <row r="49" spans="1:12" ht="13.5" thickBot="1" x14ac:dyDescent="0.25">
      <c r="A49" s="1"/>
      <c r="B49" s="6">
        <f t="shared" ref="B49:I49" si="15">SUM(B47:B48)</f>
        <v>19</v>
      </c>
      <c r="C49" s="6">
        <f t="shared" si="15"/>
        <v>0</v>
      </c>
      <c r="D49" s="6">
        <f t="shared" si="15"/>
        <v>0</v>
      </c>
      <c r="E49" s="6">
        <f t="shared" si="15"/>
        <v>1</v>
      </c>
      <c r="F49" s="6">
        <f t="shared" si="15"/>
        <v>2</v>
      </c>
      <c r="G49" s="6">
        <f t="shared" si="15"/>
        <v>0</v>
      </c>
      <c r="H49" s="6">
        <f t="shared" si="15"/>
        <v>14</v>
      </c>
      <c r="I49" s="6">
        <f t="shared" si="15"/>
        <v>2</v>
      </c>
      <c r="J49" s="7" t="s">
        <v>13</v>
      </c>
      <c r="K49" s="9"/>
      <c r="L49" s="1"/>
    </row>
    <row r="50" spans="1:12" ht="13.5" thickBot="1" x14ac:dyDescent="0.25">
      <c r="A50" s="1"/>
      <c r="B50" s="6">
        <f t="shared" si="0"/>
        <v>239</v>
      </c>
      <c r="C50" s="6">
        <v>2</v>
      </c>
      <c r="D50" s="6">
        <v>6</v>
      </c>
      <c r="E50" s="6">
        <v>9</v>
      </c>
      <c r="F50" s="6">
        <v>84</v>
      </c>
      <c r="G50" s="6">
        <v>0</v>
      </c>
      <c r="H50" s="6">
        <v>138</v>
      </c>
      <c r="I50" s="6">
        <v>0</v>
      </c>
      <c r="J50" s="7" t="s">
        <v>10</v>
      </c>
      <c r="K50" s="124"/>
      <c r="L50" s="1"/>
    </row>
    <row r="51" spans="1:12" ht="13.5" thickBot="1" x14ac:dyDescent="0.25">
      <c r="A51" s="1"/>
      <c r="B51" s="6">
        <f t="shared" si="0"/>
        <v>38</v>
      </c>
      <c r="C51" s="6">
        <v>0</v>
      </c>
      <c r="D51" s="6">
        <v>0</v>
      </c>
      <c r="E51" s="6">
        <v>1</v>
      </c>
      <c r="F51" s="6">
        <v>25</v>
      </c>
      <c r="G51" s="6">
        <v>0</v>
      </c>
      <c r="H51" s="6">
        <v>11</v>
      </c>
      <c r="I51" s="6">
        <v>1</v>
      </c>
      <c r="J51" s="7" t="s">
        <v>11</v>
      </c>
      <c r="K51" s="124" t="s">
        <v>41</v>
      </c>
      <c r="L51" s="1"/>
    </row>
    <row r="52" spans="1:12" ht="13.5" thickBot="1" x14ac:dyDescent="0.25">
      <c r="A52" s="1"/>
      <c r="B52" s="6">
        <f t="shared" ref="B52:I52" si="16">SUM(B50:B51)</f>
        <v>277</v>
      </c>
      <c r="C52" s="6">
        <f t="shared" si="16"/>
        <v>2</v>
      </c>
      <c r="D52" s="6">
        <f t="shared" si="16"/>
        <v>6</v>
      </c>
      <c r="E52" s="6">
        <f t="shared" si="16"/>
        <v>10</v>
      </c>
      <c r="F52" s="6">
        <f t="shared" si="16"/>
        <v>109</v>
      </c>
      <c r="G52" s="6">
        <f t="shared" si="16"/>
        <v>0</v>
      </c>
      <c r="H52" s="6">
        <f t="shared" si="16"/>
        <v>149</v>
      </c>
      <c r="I52" s="6">
        <f t="shared" si="16"/>
        <v>1</v>
      </c>
      <c r="J52" s="7" t="s">
        <v>13</v>
      </c>
      <c r="K52" s="9"/>
      <c r="L52" s="1"/>
    </row>
    <row r="53" spans="1:12" ht="13.5" thickBot="1" x14ac:dyDescent="0.25">
      <c r="A53" s="1"/>
      <c r="B53" s="6">
        <f t="shared" si="0"/>
        <v>1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1</v>
      </c>
      <c r="I53" s="6">
        <v>0</v>
      </c>
      <c r="J53" s="7" t="s">
        <v>10</v>
      </c>
      <c r="K53" s="124"/>
      <c r="L53" s="1"/>
    </row>
    <row r="54" spans="1:12" ht="13.5" thickBot="1" x14ac:dyDescent="0.25">
      <c r="A54" s="1"/>
      <c r="B54" s="6">
        <f t="shared" si="0"/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7" t="s">
        <v>11</v>
      </c>
      <c r="K54" s="124" t="s">
        <v>24</v>
      </c>
      <c r="L54" s="1"/>
    </row>
    <row r="55" spans="1:12" ht="13.5" thickBot="1" x14ac:dyDescent="0.25">
      <c r="A55" s="1"/>
      <c r="B55" s="6">
        <f t="shared" ref="B55:I55" si="17">SUM(B53:B54)</f>
        <v>1</v>
      </c>
      <c r="C55" s="6">
        <f t="shared" si="17"/>
        <v>0</v>
      </c>
      <c r="D55" s="6">
        <f t="shared" si="17"/>
        <v>0</v>
      </c>
      <c r="E55" s="6">
        <f t="shared" si="17"/>
        <v>0</v>
      </c>
      <c r="F55" s="6">
        <f t="shared" si="17"/>
        <v>0</v>
      </c>
      <c r="G55" s="6">
        <f t="shared" si="17"/>
        <v>0</v>
      </c>
      <c r="H55" s="6">
        <f t="shared" si="17"/>
        <v>1</v>
      </c>
      <c r="I55" s="6">
        <f t="shared" si="17"/>
        <v>0</v>
      </c>
      <c r="J55" s="7" t="s">
        <v>13</v>
      </c>
      <c r="K55" s="9"/>
      <c r="L55" s="1"/>
    </row>
    <row r="56" spans="1:12" ht="13.5" thickBot="1" x14ac:dyDescent="0.25">
      <c r="A56" s="1"/>
      <c r="B56" s="6">
        <f t="shared" si="0"/>
        <v>31</v>
      </c>
      <c r="C56" s="6">
        <v>0</v>
      </c>
      <c r="D56" s="6">
        <v>0</v>
      </c>
      <c r="E56" s="6">
        <v>2</v>
      </c>
      <c r="F56" s="6">
        <v>18</v>
      </c>
      <c r="G56" s="6">
        <v>0</v>
      </c>
      <c r="H56" s="6">
        <v>10</v>
      </c>
      <c r="I56" s="6">
        <v>1</v>
      </c>
      <c r="J56" s="7" t="s">
        <v>10</v>
      </c>
      <c r="K56" s="124"/>
      <c r="L56" s="1"/>
    </row>
    <row r="57" spans="1:12" ht="13.5" thickBot="1" x14ac:dyDescent="0.25">
      <c r="A57" s="1"/>
      <c r="B57" s="6">
        <f t="shared" si="0"/>
        <v>15</v>
      </c>
      <c r="C57" s="6">
        <v>0</v>
      </c>
      <c r="D57" s="6">
        <v>0</v>
      </c>
      <c r="E57" s="6">
        <v>1</v>
      </c>
      <c r="F57" s="6">
        <v>13</v>
      </c>
      <c r="G57" s="6">
        <v>0</v>
      </c>
      <c r="H57" s="6">
        <v>1</v>
      </c>
      <c r="I57" s="6">
        <v>0</v>
      </c>
      <c r="J57" s="7" t="s">
        <v>11</v>
      </c>
      <c r="K57" s="124" t="s">
        <v>37</v>
      </c>
      <c r="L57" s="1"/>
    </row>
    <row r="58" spans="1:12" ht="13.5" thickBot="1" x14ac:dyDescent="0.25">
      <c r="A58" s="1"/>
      <c r="B58" s="6">
        <f t="shared" ref="B58:I58" si="18">SUM(B56:B57)</f>
        <v>46</v>
      </c>
      <c r="C58" s="6">
        <f t="shared" si="18"/>
        <v>0</v>
      </c>
      <c r="D58" s="6">
        <f t="shared" si="18"/>
        <v>0</v>
      </c>
      <c r="E58" s="6">
        <f t="shared" si="18"/>
        <v>3</v>
      </c>
      <c r="F58" s="6">
        <f t="shared" si="18"/>
        <v>31</v>
      </c>
      <c r="G58" s="6">
        <f t="shared" si="18"/>
        <v>0</v>
      </c>
      <c r="H58" s="6">
        <f t="shared" si="18"/>
        <v>11</v>
      </c>
      <c r="I58" s="6">
        <f t="shared" si="18"/>
        <v>1</v>
      </c>
      <c r="J58" s="7" t="s">
        <v>13</v>
      </c>
      <c r="K58" s="9"/>
      <c r="L58" s="1"/>
    </row>
    <row r="59" spans="1:12" ht="13.5" thickBot="1" x14ac:dyDescent="0.25">
      <c r="A59" s="1"/>
      <c r="B59" s="6">
        <f t="shared" si="0"/>
        <v>21</v>
      </c>
      <c r="C59" s="6">
        <v>2</v>
      </c>
      <c r="D59" s="6">
        <v>11</v>
      </c>
      <c r="E59" s="6">
        <v>0</v>
      </c>
      <c r="F59" s="6">
        <v>2</v>
      </c>
      <c r="G59" s="6">
        <v>0</v>
      </c>
      <c r="H59" s="6">
        <v>4</v>
      </c>
      <c r="I59" s="6">
        <v>2</v>
      </c>
      <c r="J59" s="7" t="s">
        <v>10</v>
      </c>
      <c r="K59" s="124"/>
      <c r="L59" s="1"/>
    </row>
    <row r="60" spans="1:12" ht="13.5" thickBot="1" x14ac:dyDescent="0.25">
      <c r="A60" s="1"/>
      <c r="B60" s="6">
        <f t="shared" si="0"/>
        <v>11</v>
      </c>
      <c r="C60" s="6">
        <v>2</v>
      </c>
      <c r="D60" s="6">
        <v>5</v>
      </c>
      <c r="E60" s="6">
        <v>0</v>
      </c>
      <c r="F60" s="6">
        <v>0</v>
      </c>
      <c r="G60" s="6">
        <v>0</v>
      </c>
      <c r="H60" s="6">
        <v>1</v>
      </c>
      <c r="I60" s="6">
        <v>3</v>
      </c>
      <c r="J60" s="7" t="s">
        <v>11</v>
      </c>
      <c r="K60" s="124" t="s">
        <v>42</v>
      </c>
      <c r="L60" s="1"/>
    </row>
    <row r="61" spans="1:12" ht="13.5" thickBot="1" x14ac:dyDescent="0.25">
      <c r="A61" s="1"/>
      <c r="B61" s="6">
        <f t="shared" ref="B61:I61" si="19">SUM(B59:B60)</f>
        <v>32</v>
      </c>
      <c r="C61" s="6">
        <f t="shared" si="19"/>
        <v>4</v>
      </c>
      <c r="D61" s="6">
        <f t="shared" si="19"/>
        <v>16</v>
      </c>
      <c r="E61" s="6">
        <f t="shared" si="19"/>
        <v>0</v>
      </c>
      <c r="F61" s="6">
        <f t="shared" si="19"/>
        <v>2</v>
      </c>
      <c r="G61" s="6">
        <f t="shared" si="19"/>
        <v>0</v>
      </c>
      <c r="H61" s="6">
        <f t="shared" si="19"/>
        <v>5</v>
      </c>
      <c r="I61" s="6">
        <f t="shared" si="19"/>
        <v>5</v>
      </c>
      <c r="J61" s="7" t="s">
        <v>13</v>
      </c>
      <c r="K61" s="9"/>
      <c r="L61" s="1"/>
    </row>
    <row r="62" spans="1:12" ht="13.5" thickBot="1" x14ac:dyDescent="0.25">
      <c r="A62" s="1"/>
      <c r="B62" s="6">
        <f t="shared" si="0"/>
        <v>3</v>
      </c>
      <c r="C62" s="6">
        <v>0</v>
      </c>
      <c r="D62" s="6">
        <v>3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7" t="s">
        <v>10</v>
      </c>
      <c r="K62" s="124"/>
      <c r="L62" s="1"/>
    </row>
    <row r="63" spans="1:12" ht="13.5" thickBot="1" x14ac:dyDescent="0.25">
      <c r="A63" s="1"/>
      <c r="B63" s="6">
        <f t="shared" si="0"/>
        <v>4</v>
      </c>
      <c r="C63" s="6">
        <v>0</v>
      </c>
      <c r="D63" s="6">
        <v>0</v>
      </c>
      <c r="E63" s="6">
        <v>0</v>
      </c>
      <c r="F63" s="6">
        <v>1</v>
      </c>
      <c r="G63" s="6">
        <v>0</v>
      </c>
      <c r="H63" s="6">
        <v>2</v>
      </c>
      <c r="I63" s="6">
        <v>1</v>
      </c>
      <c r="J63" s="7" t="s">
        <v>11</v>
      </c>
      <c r="K63" s="124" t="s">
        <v>38</v>
      </c>
      <c r="L63" s="1"/>
    </row>
    <row r="64" spans="1:12" ht="13.5" thickBot="1" x14ac:dyDescent="0.25">
      <c r="A64" s="1"/>
      <c r="B64" s="6">
        <f t="shared" ref="B64:I64" si="20">SUM(B62:B63)</f>
        <v>7</v>
      </c>
      <c r="C64" s="6">
        <f t="shared" si="20"/>
        <v>0</v>
      </c>
      <c r="D64" s="6">
        <f t="shared" si="20"/>
        <v>3</v>
      </c>
      <c r="E64" s="6">
        <f t="shared" si="20"/>
        <v>0</v>
      </c>
      <c r="F64" s="6">
        <f t="shared" si="20"/>
        <v>1</v>
      </c>
      <c r="G64" s="6">
        <f t="shared" si="20"/>
        <v>0</v>
      </c>
      <c r="H64" s="6">
        <f t="shared" si="20"/>
        <v>2</v>
      </c>
      <c r="I64" s="6">
        <f t="shared" si="20"/>
        <v>1</v>
      </c>
      <c r="J64" s="7" t="s">
        <v>13</v>
      </c>
      <c r="K64" s="9"/>
      <c r="L64" s="1"/>
    </row>
    <row r="65" spans="1:12" ht="13.5" thickBot="1" x14ac:dyDescent="0.25">
      <c r="A65" s="1"/>
      <c r="B65" s="6">
        <f t="shared" si="0"/>
        <v>1</v>
      </c>
      <c r="C65" s="6">
        <v>0</v>
      </c>
      <c r="D65" s="6">
        <v>1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7" t="s">
        <v>10</v>
      </c>
      <c r="K65" s="124"/>
      <c r="L65" s="1"/>
    </row>
    <row r="66" spans="1:12" ht="13.5" thickBot="1" x14ac:dyDescent="0.25">
      <c r="A66" s="1"/>
      <c r="B66" s="6">
        <f t="shared" si="0"/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7" t="s">
        <v>11</v>
      </c>
      <c r="K66" s="124" t="s">
        <v>39</v>
      </c>
      <c r="L66" s="1"/>
    </row>
    <row r="67" spans="1:12" ht="13.5" thickBot="1" x14ac:dyDescent="0.25">
      <c r="A67" s="1"/>
      <c r="B67" s="6">
        <f t="shared" ref="B67:I67" si="21">SUM(B65:B66)</f>
        <v>1</v>
      </c>
      <c r="C67" s="6">
        <f t="shared" si="21"/>
        <v>0</v>
      </c>
      <c r="D67" s="6">
        <f t="shared" si="21"/>
        <v>1</v>
      </c>
      <c r="E67" s="6">
        <f t="shared" si="21"/>
        <v>0</v>
      </c>
      <c r="F67" s="6">
        <f t="shared" si="21"/>
        <v>0</v>
      </c>
      <c r="G67" s="6">
        <f t="shared" si="21"/>
        <v>0</v>
      </c>
      <c r="H67" s="6">
        <f t="shared" si="21"/>
        <v>0</v>
      </c>
      <c r="I67" s="6">
        <f t="shared" si="21"/>
        <v>0</v>
      </c>
      <c r="J67" s="7" t="s">
        <v>13</v>
      </c>
      <c r="K67" s="9"/>
      <c r="L67" s="1"/>
    </row>
    <row r="68" spans="1:12" ht="13.5" thickBot="1" x14ac:dyDescent="0.25">
      <c r="A68" s="1"/>
      <c r="B68" s="6">
        <f t="shared" si="0"/>
        <v>37</v>
      </c>
      <c r="C68" s="6">
        <v>3</v>
      </c>
      <c r="D68" s="6">
        <v>0</v>
      </c>
      <c r="E68" s="6">
        <v>1</v>
      </c>
      <c r="F68" s="6">
        <v>13</v>
      </c>
      <c r="G68" s="6">
        <v>0</v>
      </c>
      <c r="H68" s="6">
        <v>20</v>
      </c>
      <c r="I68" s="6">
        <v>0</v>
      </c>
      <c r="J68" s="7" t="s">
        <v>10</v>
      </c>
      <c r="K68" s="124"/>
      <c r="L68" s="1"/>
    </row>
    <row r="69" spans="1:12" ht="13.5" thickBot="1" x14ac:dyDescent="0.25">
      <c r="A69" s="1"/>
      <c r="B69" s="6">
        <f t="shared" si="0"/>
        <v>4</v>
      </c>
      <c r="C69" s="6">
        <v>0</v>
      </c>
      <c r="D69" s="6">
        <v>0</v>
      </c>
      <c r="E69" s="6">
        <v>0</v>
      </c>
      <c r="F69" s="6">
        <v>2</v>
      </c>
      <c r="G69" s="6">
        <v>0</v>
      </c>
      <c r="H69" s="6">
        <v>1</v>
      </c>
      <c r="I69" s="6">
        <v>1</v>
      </c>
      <c r="J69" s="7" t="s">
        <v>11</v>
      </c>
      <c r="K69" s="124" t="s">
        <v>25</v>
      </c>
      <c r="L69" s="1"/>
    </row>
    <row r="70" spans="1:12" ht="13.5" thickBot="1" x14ac:dyDescent="0.25">
      <c r="A70" s="1"/>
      <c r="B70" s="6">
        <f t="shared" ref="B70:I70" si="22">SUM(B68:B69)</f>
        <v>41</v>
      </c>
      <c r="C70" s="6">
        <f t="shared" si="22"/>
        <v>3</v>
      </c>
      <c r="D70" s="6">
        <f t="shared" si="22"/>
        <v>0</v>
      </c>
      <c r="E70" s="6">
        <f t="shared" si="22"/>
        <v>1</v>
      </c>
      <c r="F70" s="6">
        <f t="shared" si="22"/>
        <v>15</v>
      </c>
      <c r="G70" s="6">
        <f t="shared" si="22"/>
        <v>0</v>
      </c>
      <c r="H70" s="6">
        <f t="shared" si="22"/>
        <v>21</v>
      </c>
      <c r="I70" s="6">
        <f t="shared" si="22"/>
        <v>1</v>
      </c>
      <c r="J70" s="7" t="s">
        <v>13</v>
      </c>
      <c r="K70" s="9"/>
      <c r="L70" s="1"/>
    </row>
    <row r="71" spans="1:12" ht="13.5" thickBot="1" x14ac:dyDescent="0.25">
      <c r="A71" s="1"/>
      <c r="B71" s="6">
        <f t="shared" ref="B71:B78" si="23">SUM(C71:I71)</f>
        <v>2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2</v>
      </c>
      <c r="I71" s="6">
        <v>0</v>
      </c>
      <c r="J71" s="7" t="s">
        <v>10</v>
      </c>
      <c r="K71" s="124"/>
      <c r="L71" s="1"/>
    </row>
    <row r="72" spans="1:12" ht="13.5" thickBot="1" x14ac:dyDescent="0.25">
      <c r="A72" s="1"/>
      <c r="B72" s="6">
        <f t="shared" si="23"/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7" t="s">
        <v>11</v>
      </c>
      <c r="K72" s="124" t="s">
        <v>26</v>
      </c>
      <c r="L72" s="1"/>
    </row>
    <row r="73" spans="1:12" ht="13.5" thickBot="1" x14ac:dyDescent="0.25">
      <c r="A73" s="1"/>
      <c r="B73" s="6">
        <f t="shared" ref="B73:I73" si="24">SUM(B71:B72)</f>
        <v>2</v>
      </c>
      <c r="C73" s="6">
        <f t="shared" si="24"/>
        <v>0</v>
      </c>
      <c r="D73" s="6">
        <f t="shared" si="24"/>
        <v>0</v>
      </c>
      <c r="E73" s="6">
        <f t="shared" si="24"/>
        <v>0</v>
      </c>
      <c r="F73" s="6">
        <f t="shared" si="24"/>
        <v>0</v>
      </c>
      <c r="G73" s="6">
        <f t="shared" si="24"/>
        <v>0</v>
      </c>
      <c r="H73" s="6">
        <f t="shared" si="24"/>
        <v>2</v>
      </c>
      <c r="I73" s="6">
        <f t="shared" si="24"/>
        <v>0</v>
      </c>
      <c r="J73" s="7" t="s">
        <v>13</v>
      </c>
      <c r="K73" s="9"/>
      <c r="L73" s="1"/>
    </row>
    <row r="74" spans="1:12" ht="13.5" thickBot="1" x14ac:dyDescent="0.25">
      <c r="A74" s="1"/>
      <c r="B74" s="6">
        <f t="shared" si="23"/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7" t="s">
        <v>10</v>
      </c>
      <c r="K74" s="124"/>
      <c r="L74" s="1"/>
    </row>
    <row r="75" spans="1:12" ht="13.5" thickBot="1" x14ac:dyDescent="0.25">
      <c r="A75" s="1"/>
      <c r="B75" s="6">
        <f t="shared" si="23"/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7" t="s">
        <v>11</v>
      </c>
      <c r="K75" s="124" t="s">
        <v>27</v>
      </c>
      <c r="L75" s="1"/>
    </row>
    <row r="76" spans="1:12" ht="13.5" thickBot="1" x14ac:dyDescent="0.25">
      <c r="A76" s="1"/>
      <c r="B76" s="6">
        <f t="shared" ref="B76:I76" si="25">SUM(B74:B75)</f>
        <v>0</v>
      </c>
      <c r="C76" s="6">
        <f t="shared" si="25"/>
        <v>0</v>
      </c>
      <c r="D76" s="6">
        <f t="shared" si="25"/>
        <v>0</v>
      </c>
      <c r="E76" s="6">
        <f t="shared" si="25"/>
        <v>0</v>
      </c>
      <c r="F76" s="6">
        <f t="shared" si="25"/>
        <v>0</v>
      </c>
      <c r="G76" s="6">
        <f t="shared" si="25"/>
        <v>0</v>
      </c>
      <c r="H76" s="6">
        <f t="shared" si="25"/>
        <v>0</v>
      </c>
      <c r="I76" s="6">
        <f t="shared" si="25"/>
        <v>0</v>
      </c>
      <c r="J76" s="7" t="s">
        <v>13</v>
      </c>
      <c r="K76" s="9"/>
      <c r="L76" s="1"/>
    </row>
    <row r="77" spans="1:12" ht="13.5" thickBot="1" x14ac:dyDescent="0.25">
      <c r="A77" s="1"/>
      <c r="B77" s="6">
        <f t="shared" si="23"/>
        <v>111</v>
      </c>
      <c r="C77" s="6">
        <v>69</v>
      </c>
      <c r="D77" s="6">
        <v>0</v>
      </c>
      <c r="E77" s="6">
        <v>12</v>
      </c>
      <c r="F77" s="6">
        <v>13</v>
      </c>
      <c r="G77" s="6">
        <v>0</v>
      </c>
      <c r="H77" s="6">
        <v>14</v>
      </c>
      <c r="I77" s="6">
        <v>3</v>
      </c>
      <c r="J77" s="7" t="s">
        <v>10</v>
      </c>
      <c r="K77" s="124"/>
      <c r="L77" s="1"/>
    </row>
    <row r="78" spans="1:12" ht="13.5" thickBot="1" x14ac:dyDescent="0.25">
      <c r="A78" s="1"/>
      <c r="B78" s="6">
        <f t="shared" si="23"/>
        <v>4</v>
      </c>
      <c r="C78" s="6">
        <v>2</v>
      </c>
      <c r="D78" s="6">
        <v>0</v>
      </c>
      <c r="E78" s="6">
        <v>2</v>
      </c>
      <c r="F78" s="6">
        <v>0</v>
      </c>
      <c r="G78" s="6">
        <v>0</v>
      </c>
      <c r="H78" s="6">
        <v>0</v>
      </c>
      <c r="I78" s="6">
        <v>0</v>
      </c>
      <c r="J78" s="7" t="s">
        <v>11</v>
      </c>
      <c r="K78" s="124" t="s">
        <v>33</v>
      </c>
      <c r="L78" s="1"/>
    </row>
    <row r="79" spans="1:12" ht="13.5" thickBot="1" x14ac:dyDescent="0.25">
      <c r="A79" s="1"/>
      <c r="B79" s="6">
        <f t="shared" ref="B79:I79" si="26">SUM(B77:B78)</f>
        <v>115</v>
      </c>
      <c r="C79" s="6">
        <f t="shared" si="26"/>
        <v>71</v>
      </c>
      <c r="D79" s="6">
        <f t="shared" si="26"/>
        <v>0</v>
      </c>
      <c r="E79" s="6">
        <f t="shared" si="26"/>
        <v>14</v>
      </c>
      <c r="F79" s="6">
        <f t="shared" si="26"/>
        <v>13</v>
      </c>
      <c r="G79" s="6">
        <f t="shared" si="26"/>
        <v>0</v>
      </c>
      <c r="H79" s="6">
        <f t="shared" si="26"/>
        <v>14</v>
      </c>
      <c r="I79" s="6">
        <f t="shared" si="26"/>
        <v>3</v>
      </c>
      <c r="J79" s="7" t="s">
        <v>13</v>
      </c>
      <c r="K79" s="9"/>
      <c r="L79" s="1"/>
    </row>
    <row r="80" spans="1:12" ht="13.5" thickBot="1" x14ac:dyDescent="0.25">
      <c r="A80" s="1"/>
      <c r="B80" s="6">
        <f t="shared" ref="B80:H82" si="27">B5+B8+B11+B14+B17+B20+B23+B26+B29+B32+B35+B38+B41+B44+B47+B50+B53+B56+B59+B62+B65+B68+B71+B74+B77</f>
        <v>477</v>
      </c>
      <c r="C80" s="6">
        <f t="shared" si="27"/>
        <v>77</v>
      </c>
      <c r="D80" s="6">
        <f t="shared" si="27"/>
        <v>22</v>
      </c>
      <c r="E80" s="6">
        <f t="shared" si="27"/>
        <v>25</v>
      </c>
      <c r="F80" s="6">
        <f t="shared" si="27"/>
        <v>132</v>
      </c>
      <c r="G80" s="6">
        <f t="shared" si="27"/>
        <v>0</v>
      </c>
      <c r="H80" s="6">
        <f t="shared" si="27"/>
        <v>212</v>
      </c>
      <c r="I80" s="6">
        <f>I5+I8+I11+I14+I17+I20+I23+I26+I29+I32+I35+I38+I41+I44+I47+I50+I53+I56+I59+I62+I65+I68+I71+I74+I77</f>
        <v>9</v>
      </c>
      <c r="J80" s="7" t="s">
        <v>10</v>
      </c>
      <c r="K80" s="3"/>
      <c r="L80" s="1"/>
    </row>
    <row r="81" spans="1:12" ht="13.5" thickBot="1" x14ac:dyDescent="0.25">
      <c r="A81" s="1"/>
      <c r="B81" s="6">
        <f t="shared" si="27"/>
        <v>84</v>
      </c>
      <c r="C81" s="6">
        <f t="shared" si="27"/>
        <v>4</v>
      </c>
      <c r="D81" s="6">
        <f t="shared" si="27"/>
        <v>5</v>
      </c>
      <c r="E81" s="6">
        <f t="shared" si="27"/>
        <v>4</v>
      </c>
      <c r="F81" s="6">
        <f t="shared" si="27"/>
        <v>43</v>
      </c>
      <c r="G81" s="6">
        <f t="shared" si="27"/>
        <v>0</v>
      </c>
      <c r="H81" s="6">
        <f t="shared" si="27"/>
        <v>22</v>
      </c>
      <c r="I81" s="6">
        <f>I6+I9+I12+I15+I18+I21+I24+I27+I30+I33+I36+I39+I42+I45+I48+I51+I54+I57+I60+I63+I66+I69+I72+I75+I78</f>
        <v>6</v>
      </c>
      <c r="J81" s="7" t="s">
        <v>11</v>
      </c>
      <c r="K81" s="11" t="s">
        <v>211</v>
      </c>
      <c r="L81" s="1"/>
    </row>
    <row r="82" spans="1:12" ht="13.5" thickBot="1" x14ac:dyDescent="0.25">
      <c r="A82" s="1"/>
      <c r="B82" s="6">
        <f t="shared" si="27"/>
        <v>561</v>
      </c>
      <c r="C82" s="6">
        <f t="shared" si="27"/>
        <v>81</v>
      </c>
      <c r="D82" s="6">
        <f t="shared" si="27"/>
        <v>27</v>
      </c>
      <c r="E82" s="6">
        <f t="shared" si="27"/>
        <v>29</v>
      </c>
      <c r="F82" s="6">
        <f t="shared" si="27"/>
        <v>175</v>
      </c>
      <c r="G82" s="6">
        <f t="shared" si="27"/>
        <v>0</v>
      </c>
      <c r="H82" s="6">
        <f t="shared" si="27"/>
        <v>234</v>
      </c>
      <c r="I82" s="6">
        <f>I7+I10+I13+I16+I19+I22+I25+I28+I31+I34+I37+I40+I43+I46+I49+I52+I55+I58+I61+I64+I67+I70+I73+I76+I79</f>
        <v>15</v>
      </c>
      <c r="J82" s="7" t="s">
        <v>13</v>
      </c>
      <c r="K82" s="5"/>
      <c r="L82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49"/>
  <sheetViews>
    <sheetView showGridLines="0" topLeftCell="A52" zoomScale="90" zoomScaleNormal="90" workbookViewId="0">
      <selection activeCell="B2" sqref="B2:K2"/>
    </sheetView>
  </sheetViews>
  <sheetFormatPr defaultRowHeight="12.75" x14ac:dyDescent="0.2"/>
  <cols>
    <col min="1" max="1" width="6.875" style="2" customWidth="1"/>
    <col min="2" max="10" width="11" style="2" customWidth="1"/>
    <col min="11" max="11" width="27.375" style="2" customWidth="1"/>
    <col min="12" max="12" width="4.125" style="2" customWidth="1"/>
    <col min="13" max="256" width="9" style="2"/>
    <col min="257" max="257" width="6.875" style="2" customWidth="1"/>
    <col min="258" max="266" width="11" style="2" customWidth="1"/>
    <col min="267" max="267" width="27.375" style="2" customWidth="1"/>
    <col min="268" max="268" width="4.125" style="2" customWidth="1"/>
    <col min="269" max="512" width="9" style="2"/>
    <col min="513" max="513" width="6.875" style="2" customWidth="1"/>
    <col min="514" max="522" width="11" style="2" customWidth="1"/>
    <col min="523" max="523" width="27.375" style="2" customWidth="1"/>
    <col min="524" max="524" width="4.125" style="2" customWidth="1"/>
    <col min="525" max="768" width="9" style="2"/>
    <col min="769" max="769" width="6.875" style="2" customWidth="1"/>
    <col min="770" max="778" width="11" style="2" customWidth="1"/>
    <col min="779" max="779" width="27.375" style="2" customWidth="1"/>
    <col min="780" max="780" width="4.125" style="2" customWidth="1"/>
    <col min="781" max="1024" width="9" style="2"/>
    <col min="1025" max="1025" width="6.875" style="2" customWidth="1"/>
    <col min="1026" max="1034" width="11" style="2" customWidth="1"/>
    <col min="1035" max="1035" width="27.375" style="2" customWidth="1"/>
    <col min="1036" max="1036" width="4.125" style="2" customWidth="1"/>
    <col min="1037" max="1280" width="9" style="2"/>
    <col min="1281" max="1281" width="6.875" style="2" customWidth="1"/>
    <col min="1282" max="1290" width="11" style="2" customWidth="1"/>
    <col min="1291" max="1291" width="27.375" style="2" customWidth="1"/>
    <col min="1292" max="1292" width="4.125" style="2" customWidth="1"/>
    <col min="1293" max="1536" width="9" style="2"/>
    <col min="1537" max="1537" width="6.875" style="2" customWidth="1"/>
    <col min="1538" max="1546" width="11" style="2" customWidth="1"/>
    <col min="1547" max="1547" width="27.375" style="2" customWidth="1"/>
    <col min="1548" max="1548" width="4.125" style="2" customWidth="1"/>
    <col min="1549" max="1792" width="9" style="2"/>
    <col min="1793" max="1793" width="6.875" style="2" customWidth="1"/>
    <col min="1794" max="1802" width="11" style="2" customWidth="1"/>
    <col min="1803" max="1803" width="27.375" style="2" customWidth="1"/>
    <col min="1804" max="1804" width="4.125" style="2" customWidth="1"/>
    <col min="1805" max="2048" width="9" style="2"/>
    <col min="2049" max="2049" width="6.875" style="2" customWidth="1"/>
    <col min="2050" max="2058" width="11" style="2" customWidth="1"/>
    <col min="2059" max="2059" width="27.375" style="2" customWidth="1"/>
    <col min="2060" max="2060" width="4.125" style="2" customWidth="1"/>
    <col min="2061" max="2304" width="9" style="2"/>
    <col min="2305" max="2305" width="6.875" style="2" customWidth="1"/>
    <col min="2306" max="2314" width="11" style="2" customWidth="1"/>
    <col min="2315" max="2315" width="27.375" style="2" customWidth="1"/>
    <col min="2316" max="2316" width="4.125" style="2" customWidth="1"/>
    <col min="2317" max="2560" width="9" style="2"/>
    <col min="2561" max="2561" width="6.875" style="2" customWidth="1"/>
    <col min="2562" max="2570" width="11" style="2" customWidth="1"/>
    <col min="2571" max="2571" width="27.375" style="2" customWidth="1"/>
    <col min="2572" max="2572" width="4.125" style="2" customWidth="1"/>
    <col min="2573" max="2816" width="9" style="2"/>
    <col min="2817" max="2817" width="6.875" style="2" customWidth="1"/>
    <col min="2818" max="2826" width="11" style="2" customWidth="1"/>
    <col min="2827" max="2827" width="27.375" style="2" customWidth="1"/>
    <col min="2828" max="2828" width="4.125" style="2" customWidth="1"/>
    <col min="2829" max="3072" width="9" style="2"/>
    <col min="3073" max="3073" width="6.875" style="2" customWidth="1"/>
    <col min="3074" max="3082" width="11" style="2" customWidth="1"/>
    <col min="3083" max="3083" width="27.375" style="2" customWidth="1"/>
    <col min="3084" max="3084" width="4.125" style="2" customWidth="1"/>
    <col min="3085" max="3328" width="9" style="2"/>
    <col min="3329" max="3329" width="6.875" style="2" customWidth="1"/>
    <col min="3330" max="3338" width="11" style="2" customWidth="1"/>
    <col min="3339" max="3339" width="27.375" style="2" customWidth="1"/>
    <col min="3340" max="3340" width="4.125" style="2" customWidth="1"/>
    <col min="3341" max="3584" width="9" style="2"/>
    <col min="3585" max="3585" width="6.875" style="2" customWidth="1"/>
    <col min="3586" max="3594" width="11" style="2" customWidth="1"/>
    <col min="3595" max="3595" width="27.375" style="2" customWidth="1"/>
    <col min="3596" max="3596" width="4.125" style="2" customWidth="1"/>
    <col min="3597" max="3840" width="9" style="2"/>
    <col min="3841" max="3841" width="6.875" style="2" customWidth="1"/>
    <col min="3842" max="3850" width="11" style="2" customWidth="1"/>
    <col min="3851" max="3851" width="27.375" style="2" customWidth="1"/>
    <col min="3852" max="3852" width="4.125" style="2" customWidth="1"/>
    <col min="3853" max="4096" width="9" style="2"/>
    <col min="4097" max="4097" width="6.875" style="2" customWidth="1"/>
    <col min="4098" max="4106" width="11" style="2" customWidth="1"/>
    <col min="4107" max="4107" width="27.375" style="2" customWidth="1"/>
    <col min="4108" max="4108" width="4.125" style="2" customWidth="1"/>
    <col min="4109" max="4352" width="9" style="2"/>
    <col min="4353" max="4353" width="6.875" style="2" customWidth="1"/>
    <col min="4354" max="4362" width="11" style="2" customWidth="1"/>
    <col min="4363" max="4363" width="27.375" style="2" customWidth="1"/>
    <col min="4364" max="4364" width="4.125" style="2" customWidth="1"/>
    <col min="4365" max="4608" width="9" style="2"/>
    <col min="4609" max="4609" width="6.875" style="2" customWidth="1"/>
    <col min="4610" max="4618" width="11" style="2" customWidth="1"/>
    <col min="4619" max="4619" width="27.375" style="2" customWidth="1"/>
    <col min="4620" max="4620" width="4.125" style="2" customWidth="1"/>
    <col min="4621" max="4864" width="9" style="2"/>
    <col min="4865" max="4865" width="6.875" style="2" customWidth="1"/>
    <col min="4866" max="4874" width="11" style="2" customWidth="1"/>
    <col min="4875" max="4875" width="27.375" style="2" customWidth="1"/>
    <col min="4876" max="4876" width="4.125" style="2" customWidth="1"/>
    <col min="4877" max="5120" width="9" style="2"/>
    <col min="5121" max="5121" width="6.875" style="2" customWidth="1"/>
    <col min="5122" max="5130" width="11" style="2" customWidth="1"/>
    <col min="5131" max="5131" width="27.375" style="2" customWidth="1"/>
    <col min="5132" max="5132" width="4.125" style="2" customWidth="1"/>
    <col min="5133" max="5376" width="9" style="2"/>
    <col min="5377" max="5377" width="6.875" style="2" customWidth="1"/>
    <col min="5378" max="5386" width="11" style="2" customWidth="1"/>
    <col min="5387" max="5387" width="27.375" style="2" customWidth="1"/>
    <col min="5388" max="5388" width="4.125" style="2" customWidth="1"/>
    <col min="5389" max="5632" width="9" style="2"/>
    <col min="5633" max="5633" width="6.875" style="2" customWidth="1"/>
    <col min="5634" max="5642" width="11" style="2" customWidth="1"/>
    <col min="5643" max="5643" width="27.375" style="2" customWidth="1"/>
    <col min="5644" max="5644" width="4.125" style="2" customWidth="1"/>
    <col min="5645" max="5888" width="9" style="2"/>
    <col min="5889" max="5889" width="6.875" style="2" customWidth="1"/>
    <col min="5890" max="5898" width="11" style="2" customWidth="1"/>
    <col min="5899" max="5899" width="27.375" style="2" customWidth="1"/>
    <col min="5900" max="5900" width="4.125" style="2" customWidth="1"/>
    <col min="5901" max="6144" width="9" style="2"/>
    <col min="6145" max="6145" width="6.875" style="2" customWidth="1"/>
    <col min="6146" max="6154" width="11" style="2" customWidth="1"/>
    <col min="6155" max="6155" width="27.375" style="2" customWidth="1"/>
    <col min="6156" max="6156" width="4.125" style="2" customWidth="1"/>
    <col min="6157" max="6400" width="9" style="2"/>
    <col min="6401" max="6401" width="6.875" style="2" customWidth="1"/>
    <col min="6402" max="6410" width="11" style="2" customWidth="1"/>
    <col min="6411" max="6411" width="27.375" style="2" customWidth="1"/>
    <col min="6412" max="6412" width="4.125" style="2" customWidth="1"/>
    <col min="6413" max="6656" width="9" style="2"/>
    <col min="6657" max="6657" width="6.875" style="2" customWidth="1"/>
    <col min="6658" max="6666" width="11" style="2" customWidth="1"/>
    <col min="6667" max="6667" width="27.375" style="2" customWidth="1"/>
    <col min="6668" max="6668" width="4.125" style="2" customWidth="1"/>
    <col min="6669" max="6912" width="9" style="2"/>
    <col min="6913" max="6913" width="6.875" style="2" customWidth="1"/>
    <col min="6914" max="6922" width="11" style="2" customWidth="1"/>
    <col min="6923" max="6923" width="27.375" style="2" customWidth="1"/>
    <col min="6924" max="6924" width="4.125" style="2" customWidth="1"/>
    <col min="6925" max="7168" width="9" style="2"/>
    <col min="7169" max="7169" width="6.875" style="2" customWidth="1"/>
    <col min="7170" max="7178" width="11" style="2" customWidth="1"/>
    <col min="7179" max="7179" width="27.375" style="2" customWidth="1"/>
    <col min="7180" max="7180" width="4.125" style="2" customWidth="1"/>
    <col min="7181" max="7424" width="9" style="2"/>
    <col min="7425" max="7425" width="6.875" style="2" customWidth="1"/>
    <col min="7426" max="7434" width="11" style="2" customWidth="1"/>
    <col min="7435" max="7435" width="27.375" style="2" customWidth="1"/>
    <col min="7436" max="7436" width="4.125" style="2" customWidth="1"/>
    <col min="7437" max="7680" width="9" style="2"/>
    <col min="7681" max="7681" width="6.875" style="2" customWidth="1"/>
    <col min="7682" max="7690" width="11" style="2" customWidth="1"/>
    <col min="7691" max="7691" width="27.375" style="2" customWidth="1"/>
    <col min="7692" max="7692" width="4.125" style="2" customWidth="1"/>
    <col min="7693" max="7936" width="9" style="2"/>
    <col min="7937" max="7937" width="6.875" style="2" customWidth="1"/>
    <col min="7938" max="7946" width="11" style="2" customWidth="1"/>
    <col min="7947" max="7947" width="27.375" style="2" customWidth="1"/>
    <col min="7948" max="7948" width="4.125" style="2" customWidth="1"/>
    <col min="7949" max="8192" width="9" style="2"/>
    <col min="8193" max="8193" width="6.875" style="2" customWidth="1"/>
    <col min="8194" max="8202" width="11" style="2" customWidth="1"/>
    <col min="8203" max="8203" width="27.375" style="2" customWidth="1"/>
    <col min="8204" max="8204" width="4.125" style="2" customWidth="1"/>
    <col min="8205" max="8448" width="9" style="2"/>
    <col min="8449" max="8449" width="6.875" style="2" customWidth="1"/>
    <col min="8450" max="8458" width="11" style="2" customWidth="1"/>
    <col min="8459" max="8459" width="27.375" style="2" customWidth="1"/>
    <col min="8460" max="8460" width="4.125" style="2" customWidth="1"/>
    <col min="8461" max="8704" width="9" style="2"/>
    <col min="8705" max="8705" width="6.875" style="2" customWidth="1"/>
    <col min="8706" max="8714" width="11" style="2" customWidth="1"/>
    <col min="8715" max="8715" width="27.375" style="2" customWidth="1"/>
    <col min="8716" max="8716" width="4.125" style="2" customWidth="1"/>
    <col min="8717" max="8960" width="9" style="2"/>
    <col min="8961" max="8961" width="6.875" style="2" customWidth="1"/>
    <col min="8962" max="8970" width="11" style="2" customWidth="1"/>
    <col min="8971" max="8971" width="27.375" style="2" customWidth="1"/>
    <col min="8972" max="8972" width="4.125" style="2" customWidth="1"/>
    <col min="8973" max="9216" width="9" style="2"/>
    <col min="9217" max="9217" width="6.875" style="2" customWidth="1"/>
    <col min="9218" max="9226" width="11" style="2" customWidth="1"/>
    <col min="9227" max="9227" width="27.375" style="2" customWidth="1"/>
    <col min="9228" max="9228" width="4.125" style="2" customWidth="1"/>
    <col min="9229" max="9472" width="9" style="2"/>
    <col min="9473" max="9473" width="6.875" style="2" customWidth="1"/>
    <col min="9474" max="9482" width="11" style="2" customWidth="1"/>
    <col min="9483" max="9483" width="27.375" style="2" customWidth="1"/>
    <col min="9484" max="9484" width="4.125" style="2" customWidth="1"/>
    <col min="9485" max="9728" width="9" style="2"/>
    <col min="9729" max="9729" width="6.875" style="2" customWidth="1"/>
    <col min="9730" max="9738" width="11" style="2" customWidth="1"/>
    <col min="9739" max="9739" width="27.375" style="2" customWidth="1"/>
    <col min="9740" max="9740" width="4.125" style="2" customWidth="1"/>
    <col min="9741" max="9984" width="9" style="2"/>
    <col min="9985" max="9985" width="6.875" style="2" customWidth="1"/>
    <col min="9986" max="9994" width="11" style="2" customWidth="1"/>
    <col min="9995" max="9995" width="27.375" style="2" customWidth="1"/>
    <col min="9996" max="9996" width="4.125" style="2" customWidth="1"/>
    <col min="9997" max="10240" width="9" style="2"/>
    <col min="10241" max="10241" width="6.875" style="2" customWidth="1"/>
    <col min="10242" max="10250" width="11" style="2" customWidth="1"/>
    <col min="10251" max="10251" width="27.375" style="2" customWidth="1"/>
    <col min="10252" max="10252" width="4.125" style="2" customWidth="1"/>
    <col min="10253" max="10496" width="9" style="2"/>
    <col min="10497" max="10497" width="6.875" style="2" customWidth="1"/>
    <col min="10498" max="10506" width="11" style="2" customWidth="1"/>
    <col min="10507" max="10507" width="27.375" style="2" customWidth="1"/>
    <col min="10508" max="10508" width="4.125" style="2" customWidth="1"/>
    <col min="10509" max="10752" width="9" style="2"/>
    <col min="10753" max="10753" width="6.875" style="2" customWidth="1"/>
    <col min="10754" max="10762" width="11" style="2" customWidth="1"/>
    <col min="10763" max="10763" width="27.375" style="2" customWidth="1"/>
    <col min="10764" max="10764" width="4.125" style="2" customWidth="1"/>
    <col min="10765" max="11008" width="9" style="2"/>
    <col min="11009" max="11009" width="6.875" style="2" customWidth="1"/>
    <col min="11010" max="11018" width="11" style="2" customWidth="1"/>
    <col min="11019" max="11019" width="27.375" style="2" customWidth="1"/>
    <col min="11020" max="11020" width="4.125" style="2" customWidth="1"/>
    <col min="11021" max="11264" width="9" style="2"/>
    <col min="11265" max="11265" width="6.875" style="2" customWidth="1"/>
    <col min="11266" max="11274" width="11" style="2" customWidth="1"/>
    <col min="11275" max="11275" width="27.375" style="2" customWidth="1"/>
    <col min="11276" max="11276" width="4.125" style="2" customWidth="1"/>
    <col min="11277" max="11520" width="9" style="2"/>
    <col min="11521" max="11521" width="6.875" style="2" customWidth="1"/>
    <col min="11522" max="11530" width="11" style="2" customWidth="1"/>
    <col min="11531" max="11531" width="27.375" style="2" customWidth="1"/>
    <col min="11532" max="11532" width="4.125" style="2" customWidth="1"/>
    <col min="11533" max="11776" width="9" style="2"/>
    <col min="11777" max="11777" width="6.875" style="2" customWidth="1"/>
    <col min="11778" max="11786" width="11" style="2" customWidth="1"/>
    <col min="11787" max="11787" width="27.375" style="2" customWidth="1"/>
    <col min="11788" max="11788" width="4.125" style="2" customWidth="1"/>
    <col min="11789" max="12032" width="9" style="2"/>
    <col min="12033" max="12033" width="6.875" style="2" customWidth="1"/>
    <col min="12034" max="12042" width="11" style="2" customWidth="1"/>
    <col min="12043" max="12043" width="27.375" style="2" customWidth="1"/>
    <col min="12044" max="12044" width="4.125" style="2" customWidth="1"/>
    <col min="12045" max="12288" width="9" style="2"/>
    <col min="12289" max="12289" width="6.875" style="2" customWidth="1"/>
    <col min="12290" max="12298" width="11" style="2" customWidth="1"/>
    <col min="12299" max="12299" width="27.375" style="2" customWidth="1"/>
    <col min="12300" max="12300" width="4.125" style="2" customWidth="1"/>
    <col min="12301" max="12544" width="9" style="2"/>
    <col min="12545" max="12545" width="6.875" style="2" customWidth="1"/>
    <col min="12546" max="12554" width="11" style="2" customWidth="1"/>
    <col min="12555" max="12555" width="27.375" style="2" customWidth="1"/>
    <col min="12556" max="12556" width="4.125" style="2" customWidth="1"/>
    <col min="12557" max="12800" width="9" style="2"/>
    <col min="12801" max="12801" width="6.875" style="2" customWidth="1"/>
    <col min="12802" max="12810" width="11" style="2" customWidth="1"/>
    <col min="12811" max="12811" width="27.375" style="2" customWidth="1"/>
    <col min="12812" max="12812" width="4.125" style="2" customWidth="1"/>
    <col min="12813" max="13056" width="9" style="2"/>
    <col min="13057" max="13057" width="6.875" style="2" customWidth="1"/>
    <col min="13058" max="13066" width="11" style="2" customWidth="1"/>
    <col min="13067" max="13067" width="27.375" style="2" customWidth="1"/>
    <col min="13068" max="13068" width="4.125" style="2" customWidth="1"/>
    <col min="13069" max="13312" width="9" style="2"/>
    <col min="13313" max="13313" width="6.875" style="2" customWidth="1"/>
    <col min="13314" max="13322" width="11" style="2" customWidth="1"/>
    <col min="13323" max="13323" width="27.375" style="2" customWidth="1"/>
    <col min="13324" max="13324" width="4.125" style="2" customWidth="1"/>
    <col min="13325" max="13568" width="9" style="2"/>
    <col min="13569" max="13569" width="6.875" style="2" customWidth="1"/>
    <col min="13570" max="13578" width="11" style="2" customWidth="1"/>
    <col min="13579" max="13579" width="27.375" style="2" customWidth="1"/>
    <col min="13580" max="13580" width="4.125" style="2" customWidth="1"/>
    <col min="13581" max="13824" width="9" style="2"/>
    <col min="13825" max="13825" width="6.875" style="2" customWidth="1"/>
    <col min="13826" max="13834" width="11" style="2" customWidth="1"/>
    <col min="13835" max="13835" width="27.375" style="2" customWidth="1"/>
    <col min="13836" max="13836" width="4.125" style="2" customWidth="1"/>
    <col min="13837" max="14080" width="9" style="2"/>
    <col min="14081" max="14081" width="6.875" style="2" customWidth="1"/>
    <col min="14082" max="14090" width="11" style="2" customWidth="1"/>
    <col min="14091" max="14091" width="27.375" style="2" customWidth="1"/>
    <col min="14092" max="14092" width="4.125" style="2" customWidth="1"/>
    <col min="14093" max="14336" width="9" style="2"/>
    <col min="14337" max="14337" width="6.875" style="2" customWidth="1"/>
    <col min="14338" max="14346" width="11" style="2" customWidth="1"/>
    <col min="14347" max="14347" width="27.375" style="2" customWidth="1"/>
    <col min="14348" max="14348" width="4.125" style="2" customWidth="1"/>
    <col min="14349" max="14592" width="9" style="2"/>
    <col min="14593" max="14593" width="6.875" style="2" customWidth="1"/>
    <col min="14594" max="14602" width="11" style="2" customWidth="1"/>
    <col min="14603" max="14603" width="27.375" style="2" customWidth="1"/>
    <col min="14604" max="14604" width="4.125" style="2" customWidth="1"/>
    <col min="14605" max="14848" width="9" style="2"/>
    <col min="14849" max="14849" width="6.875" style="2" customWidth="1"/>
    <col min="14850" max="14858" width="11" style="2" customWidth="1"/>
    <col min="14859" max="14859" width="27.375" style="2" customWidth="1"/>
    <col min="14860" max="14860" width="4.125" style="2" customWidth="1"/>
    <col min="14861" max="15104" width="9" style="2"/>
    <col min="15105" max="15105" width="6.875" style="2" customWidth="1"/>
    <col min="15106" max="15114" width="11" style="2" customWidth="1"/>
    <col min="15115" max="15115" width="27.375" style="2" customWidth="1"/>
    <col min="15116" max="15116" width="4.125" style="2" customWidth="1"/>
    <col min="15117" max="15360" width="9" style="2"/>
    <col min="15361" max="15361" width="6.875" style="2" customWidth="1"/>
    <col min="15362" max="15370" width="11" style="2" customWidth="1"/>
    <col min="15371" max="15371" width="27.375" style="2" customWidth="1"/>
    <col min="15372" max="15372" width="4.125" style="2" customWidth="1"/>
    <col min="15373" max="15616" width="9" style="2"/>
    <col min="15617" max="15617" width="6.875" style="2" customWidth="1"/>
    <col min="15618" max="15626" width="11" style="2" customWidth="1"/>
    <col min="15627" max="15627" width="27.375" style="2" customWidth="1"/>
    <col min="15628" max="15628" width="4.125" style="2" customWidth="1"/>
    <col min="15629" max="15872" width="9" style="2"/>
    <col min="15873" max="15873" width="6.875" style="2" customWidth="1"/>
    <col min="15874" max="15882" width="11" style="2" customWidth="1"/>
    <col min="15883" max="15883" width="27.375" style="2" customWidth="1"/>
    <col min="15884" max="15884" width="4.125" style="2" customWidth="1"/>
    <col min="15885" max="16128" width="9" style="2"/>
    <col min="16129" max="16129" width="6.875" style="2" customWidth="1"/>
    <col min="16130" max="16138" width="11" style="2" customWidth="1"/>
    <col min="16139" max="16139" width="27.375" style="2" customWidth="1"/>
    <col min="16140" max="16140" width="4.125" style="2" customWidth="1"/>
    <col min="16141" max="16384" width="9" style="2"/>
  </cols>
  <sheetData>
    <row r="1" spans="1:12" ht="0.9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0.100000000000001" customHeight="1" x14ac:dyDescent="0.2">
      <c r="A2" s="1"/>
      <c r="B2" s="159" t="s">
        <v>717</v>
      </c>
      <c r="C2" s="159"/>
      <c r="D2" s="159"/>
      <c r="E2" s="159"/>
      <c r="F2" s="159"/>
      <c r="G2" s="159"/>
      <c r="H2" s="159"/>
      <c r="I2" s="159"/>
      <c r="J2" s="159"/>
      <c r="K2" s="159"/>
      <c r="L2" s="1"/>
    </row>
    <row r="3" spans="1:12" ht="20.100000000000001" customHeight="1" thickBot="1" x14ac:dyDescent="0.25">
      <c r="A3" s="1"/>
      <c r="B3" s="160" t="s">
        <v>718</v>
      </c>
      <c r="C3" s="160"/>
      <c r="D3" s="160"/>
      <c r="E3" s="160"/>
      <c r="F3" s="160"/>
      <c r="G3" s="160"/>
      <c r="H3" s="160"/>
      <c r="I3" s="160"/>
      <c r="J3" s="160"/>
      <c r="K3" s="160"/>
      <c r="L3" s="1"/>
    </row>
    <row r="4" spans="1:12" ht="13.5" thickBot="1" x14ac:dyDescent="0.25">
      <c r="A4" s="1"/>
      <c r="B4" s="7" t="s">
        <v>232</v>
      </c>
      <c r="C4" s="7" t="s">
        <v>57</v>
      </c>
      <c r="D4" s="7" t="s">
        <v>63</v>
      </c>
      <c r="E4" s="7" t="s">
        <v>61</v>
      </c>
      <c r="F4" s="7" t="s">
        <v>62</v>
      </c>
      <c r="G4" s="7" t="s">
        <v>64</v>
      </c>
      <c r="H4" s="7" t="s">
        <v>65</v>
      </c>
      <c r="I4" s="7" t="s">
        <v>66</v>
      </c>
      <c r="J4" s="3" t="s">
        <v>8</v>
      </c>
      <c r="K4" s="47" t="s">
        <v>676</v>
      </c>
      <c r="L4" s="1"/>
    </row>
    <row r="5" spans="1:12" ht="13.5" thickBot="1" x14ac:dyDescent="0.25">
      <c r="A5" s="1"/>
      <c r="B5" s="6">
        <f>SUM(C5:I5)</f>
        <v>4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2</v>
      </c>
      <c r="I5" s="6">
        <v>2</v>
      </c>
      <c r="J5" s="7" t="s">
        <v>10</v>
      </c>
      <c r="K5" s="124"/>
      <c r="L5" s="1"/>
    </row>
    <row r="6" spans="1:12" ht="13.5" thickBot="1" x14ac:dyDescent="0.25">
      <c r="A6" s="1"/>
      <c r="B6" s="6">
        <f t="shared" ref="B6:B45" si="0">SUM(C6:I6)</f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7" t="s">
        <v>11</v>
      </c>
      <c r="K6" s="124" t="s">
        <v>14</v>
      </c>
      <c r="L6" s="1"/>
    </row>
    <row r="7" spans="1:12" ht="13.5" thickBot="1" x14ac:dyDescent="0.25">
      <c r="A7" s="1"/>
      <c r="B7" s="6">
        <f t="shared" ref="B7:H7" si="1">SUM(B5:B6)</f>
        <v>4</v>
      </c>
      <c r="C7" s="6">
        <f t="shared" si="1"/>
        <v>0</v>
      </c>
      <c r="D7" s="6">
        <f t="shared" si="1"/>
        <v>0</v>
      </c>
      <c r="E7" s="6">
        <f t="shared" si="1"/>
        <v>0</v>
      </c>
      <c r="F7" s="6">
        <f t="shared" si="1"/>
        <v>0</v>
      </c>
      <c r="G7" s="6">
        <f t="shared" si="1"/>
        <v>0</v>
      </c>
      <c r="H7" s="6">
        <f t="shared" si="1"/>
        <v>2</v>
      </c>
      <c r="I7" s="6">
        <f>SUM(I5:I6)</f>
        <v>2</v>
      </c>
      <c r="J7" s="7" t="s">
        <v>13</v>
      </c>
      <c r="K7" s="9"/>
      <c r="L7" s="1"/>
    </row>
    <row r="8" spans="1:12" ht="13.5" thickBot="1" x14ac:dyDescent="0.25">
      <c r="A8" s="1"/>
      <c r="B8" s="6">
        <f t="shared" si="0"/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7" t="s">
        <v>10</v>
      </c>
      <c r="K8" s="124"/>
      <c r="L8" s="1"/>
    </row>
    <row r="9" spans="1:12" ht="13.5" thickBot="1" x14ac:dyDescent="0.25">
      <c r="A9" s="1"/>
      <c r="B9" s="6">
        <f t="shared" si="0"/>
        <v>1</v>
      </c>
      <c r="C9" s="6">
        <v>0</v>
      </c>
      <c r="D9" s="6">
        <v>0</v>
      </c>
      <c r="E9" s="6">
        <v>0</v>
      </c>
      <c r="F9" s="6">
        <v>1</v>
      </c>
      <c r="G9" s="6">
        <v>0</v>
      </c>
      <c r="H9" s="6">
        <v>0</v>
      </c>
      <c r="I9" s="6">
        <v>0</v>
      </c>
      <c r="J9" s="7" t="s">
        <v>11</v>
      </c>
      <c r="K9" s="124" t="s">
        <v>15</v>
      </c>
      <c r="L9" s="1"/>
    </row>
    <row r="10" spans="1:12" ht="13.5" thickBot="1" x14ac:dyDescent="0.25">
      <c r="A10" s="1"/>
      <c r="B10" s="6">
        <f t="shared" ref="B10:I10" si="2">SUM(B8:B9)</f>
        <v>1</v>
      </c>
      <c r="C10" s="6">
        <f t="shared" si="2"/>
        <v>0</v>
      </c>
      <c r="D10" s="6">
        <f t="shared" si="2"/>
        <v>0</v>
      </c>
      <c r="E10" s="6">
        <f t="shared" si="2"/>
        <v>0</v>
      </c>
      <c r="F10" s="6">
        <f t="shared" si="2"/>
        <v>1</v>
      </c>
      <c r="G10" s="6">
        <f t="shared" si="2"/>
        <v>0</v>
      </c>
      <c r="H10" s="6">
        <f t="shared" si="2"/>
        <v>0</v>
      </c>
      <c r="I10" s="6">
        <f t="shared" si="2"/>
        <v>0</v>
      </c>
      <c r="J10" s="7" t="s">
        <v>13</v>
      </c>
      <c r="K10" s="9"/>
      <c r="L10" s="1"/>
    </row>
    <row r="11" spans="1:12" ht="13.5" thickBot="1" x14ac:dyDescent="0.25">
      <c r="A11" s="1"/>
      <c r="B11" s="6">
        <f t="shared" si="0"/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7" t="s">
        <v>10</v>
      </c>
      <c r="K11" s="124"/>
      <c r="L11" s="1"/>
    </row>
    <row r="12" spans="1:12" ht="13.5" thickBot="1" x14ac:dyDescent="0.25">
      <c r="A12" s="1"/>
      <c r="B12" s="6">
        <f t="shared" si="0"/>
        <v>1</v>
      </c>
      <c r="C12" s="6">
        <v>0</v>
      </c>
      <c r="D12" s="6">
        <v>0</v>
      </c>
      <c r="E12" s="6">
        <v>0</v>
      </c>
      <c r="F12" s="6">
        <v>1</v>
      </c>
      <c r="G12" s="6">
        <v>0</v>
      </c>
      <c r="H12" s="6">
        <v>0</v>
      </c>
      <c r="I12" s="6">
        <v>0</v>
      </c>
      <c r="J12" s="7" t="s">
        <v>11</v>
      </c>
      <c r="K12" s="124" t="s">
        <v>16</v>
      </c>
      <c r="L12" s="1"/>
    </row>
    <row r="13" spans="1:12" ht="13.5" thickBot="1" x14ac:dyDescent="0.25">
      <c r="A13" s="1"/>
      <c r="B13" s="6">
        <f t="shared" ref="B13:I13" si="3">SUM(B11:B12)</f>
        <v>1</v>
      </c>
      <c r="C13" s="6">
        <f t="shared" si="3"/>
        <v>0</v>
      </c>
      <c r="D13" s="6">
        <f t="shared" si="3"/>
        <v>0</v>
      </c>
      <c r="E13" s="6">
        <f t="shared" si="3"/>
        <v>0</v>
      </c>
      <c r="F13" s="6">
        <f t="shared" si="3"/>
        <v>1</v>
      </c>
      <c r="G13" s="6">
        <f t="shared" si="3"/>
        <v>0</v>
      </c>
      <c r="H13" s="6">
        <f t="shared" si="3"/>
        <v>0</v>
      </c>
      <c r="I13" s="6">
        <f t="shared" si="3"/>
        <v>0</v>
      </c>
      <c r="J13" s="7" t="s">
        <v>13</v>
      </c>
      <c r="K13" s="9"/>
      <c r="L13" s="1"/>
    </row>
    <row r="14" spans="1:12" ht="13.5" thickBot="1" x14ac:dyDescent="0.25">
      <c r="A14" s="1"/>
      <c r="B14" s="6">
        <f t="shared" si="0"/>
        <v>6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6</v>
      </c>
      <c r="I14" s="6">
        <v>0</v>
      </c>
      <c r="J14" s="7" t="s">
        <v>10</v>
      </c>
      <c r="K14" s="124"/>
      <c r="L14" s="1"/>
    </row>
    <row r="15" spans="1:12" ht="13.5" thickBot="1" x14ac:dyDescent="0.25">
      <c r="A15" s="1"/>
      <c r="B15" s="6">
        <f t="shared" si="0"/>
        <v>5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5</v>
      </c>
      <c r="I15" s="6">
        <v>0</v>
      </c>
      <c r="J15" s="7" t="s">
        <v>11</v>
      </c>
      <c r="K15" s="124" t="s">
        <v>19</v>
      </c>
      <c r="L15" s="1"/>
    </row>
    <row r="16" spans="1:12" ht="13.5" thickBot="1" x14ac:dyDescent="0.25">
      <c r="A16" s="1"/>
      <c r="B16" s="6">
        <f t="shared" ref="B16:I16" si="4">SUM(B14:B15)</f>
        <v>11</v>
      </c>
      <c r="C16" s="6">
        <f t="shared" si="4"/>
        <v>0</v>
      </c>
      <c r="D16" s="6">
        <f t="shared" si="4"/>
        <v>0</v>
      </c>
      <c r="E16" s="6">
        <f t="shared" si="4"/>
        <v>0</v>
      </c>
      <c r="F16" s="6">
        <f t="shared" si="4"/>
        <v>0</v>
      </c>
      <c r="G16" s="6">
        <f t="shared" si="4"/>
        <v>0</v>
      </c>
      <c r="H16" s="6">
        <f t="shared" si="4"/>
        <v>11</v>
      </c>
      <c r="I16" s="6">
        <f t="shared" si="4"/>
        <v>0</v>
      </c>
      <c r="J16" s="7" t="s">
        <v>13</v>
      </c>
      <c r="K16" s="9"/>
      <c r="L16" s="1"/>
    </row>
    <row r="17" spans="1:12" ht="13.5" thickBot="1" x14ac:dyDescent="0.25">
      <c r="A17" s="1"/>
      <c r="B17" s="6">
        <f t="shared" si="0"/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7" t="s">
        <v>10</v>
      </c>
      <c r="K17" s="124"/>
      <c r="L17" s="1"/>
    </row>
    <row r="18" spans="1:12" ht="13.5" thickBot="1" x14ac:dyDescent="0.25">
      <c r="A18" s="1"/>
      <c r="B18" s="6">
        <f t="shared" si="0"/>
        <v>1</v>
      </c>
      <c r="C18" s="6">
        <v>0</v>
      </c>
      <c r="D18" s="6">
        <v>0</v>
      </c>
      <c r="E18" s="6">
        <v>0</v>
      </c>
      <c r="F18" s="6">
        <v>1</v>
      </c>
      <c r="G18" s="6">
        <v>0</v>
      </c>
      <c r="H18" s="6">
        <v>0</v>
      </c>
      <c r="I18" s="6">
        <v>0</v>
      </c>
      <c r="J18" s="7" t="s">
        <v>11</v>
      </c>
      <c r="K18" s="124" t="s">
        <v>35</v>
      </c>
      <c r="L18" s="1"/>
    </row>
    <row r="19" spans="1:12" ht="13.5" thickBot="1" x14ac:dyDescent="0.25">
      <c r="A19" s="1"/>
      <c r="B19" s="6">
        <f t="shared" ref="B19:I19" si="5">SUM(B17:B18)</f>
        <v>1</v>
      </c>
      <c r="C19" s="6">
        <f t="shared" si="5"/>
        <v>0</v>
      </c>
      <c r="D19" s="6">
        <f t="shared" si="5"/>
        <v>0</v>
      </c>
      <c r="E19" s="6">
        <f t="shared" si="5"/>
        <v>0</v>
      </c>
      <c r="F19" s="6">
        <f t="shared" si="5"/>
        <v>1</v>
      </c>
      <c r="G19" s="6">
        <f t="shared" si="5"/>
        <v>0</v>
      </c>
      <c r="H19" s="6">
        <f t="shared" si="5"/>
        <v>0</v>
      </c>
      <c r="I19" s="6">
        <f t="shared" si="5"/>
        <v>0</v>
      </c>
      <c r="J19" s="7" t="s">
        <v>13</v>
      </c>
      <c r="K19" s="9"/>
      <c r="L19" s="1"/>
    </row>
    <row r="20" spans="1:12" ht="13.5" thickBot="1" x14ac:dyDescent="0.25">
      <c r="A20" s="1"/>
      <c r="B20" s="6">
        <f t="shared" si="0"/>
        <v>1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1</v>
      </c>
      <c r="I20" s="6">
        <v>0</v>
      </c>
      <c r="J20" s="7" t="s">
        <v>10</v>
      </c>
      <c r="K20" s="124"/>
      <c r="L20" s="1"/>
    </row>
    <row r="21" spans="1:12" ht="13.5" thickBot="1" x14ac:dyDescent="0.25">
      <c r="A21" s="1"/>
      <c r="B21" s="6">
        <f t="shared" si="0"/>
        <v>5</v>
      </c>
      <c r="C21" s="6">
        <v>0</v>
      </c>
      <c r="D21" s="6">
        <v>0</v>
      </c>
      <c r="E21" s="6">
        <v>0</v>
      </c>
      <c r="F21" s="6">
        <v>2</v>
      </c>
      <c r="G21" s="6">
        <v>0</v>
      </c>
      <c r="H21" s="6">
        <v>3</v>
      </c>
      <c r="I21" s="6">
        <v>0</v>
      </c>
      <c r="J21" s="7" t="s">
        <v>11</v>
      </c>
      <c r="K21" s="124" t="s">
        <v>22</v>
      </c>
      <c r="L21" s="1"/>
    </row>
    <row r="22" spans="1:12" ht="13.5" thickBot="1" x14ac:dyDescent="0.25">
      <c r="A22" s="1"/>
      <c r="B22" s="6">
        <f t="shared" ref="B22:I22" si="6">SUM(B20:B21)</f>
        <v>6</v>
      </c>
      <c r="C22" s="6">
        <f t="shared" si="6"/>
        <v>0</v>
      </c>
      <c r="D22" s="6">
        <f t="shared" si="6"/>
        <v>0</v>
      </c>
      <c r="E22" s="6">
        <f t="shared" si="6"/>
        <v>0</v>
      </c>
      <c r="F22" s="6">
        <f t="shared" si="6"/>
        <v>2</v>
      </c>
      <c r="G22" s="6">
        <f t="shared" si="6"/>
        <v>0</v>
      </c>
      <c r="H22" s="6">
        <f t="shared" si="6"/>
        <v>4</v>
      </c>
      <c r="I22" s="6">
        <f t="shared" si="6"/>
        <v>0</v>
      </c>
      <c r="J22" s="7" t="s">
        <v>13</v>
      </c>
      <c r="K22" s="9"/>
      <c r="L22" s="1"/>
    </row>
    <row r="23" spans="1:12" ht="13.5" thickBot="1" x14ac:dyDescent="0.25">
      <c r="A23" s="1"/>
      <c r="B23" s="6">
        <f t="shared" si="0"/>
        <v>1</v>
      </c>
      <c r="C23" s="6">
        <v>0</v>
      </c>
      <c r="D23" s="6">
        <v>0</v>
      </c>
      <c r="E23" s="6">
        <v>0</v>
      </c>
      <c r="F23" s="6">
        <v>1</v>
      </c>
      <c r="G23" s="6">
        <v>0</v>
      </c>
      <c r="H23" s="6">
        <v>0</v>
      </c>
      <c r="I23" s="6">
        <v>0</v>
      </c>
      <c r="J23" s="7" t="s">
        <v>10</v>
      </c>
      <c r="K23" s="124"/>
      <c r="L23" s="1"/>
    </row>
    <row r="24" spans="1:12" ht="13.5" thickBot="1" x14ac:dyDescent="0.25">
      <c r="A24" s="1"/>
      <c r="B24" s="6">
        <f t="shared" si="0"/>
        <v>2</v>
      </c>
      <c r="C24" s="6">
        <v>0</v>
      </c>
      <c r="D24" s="6">
        <v>0</v>
      </c>
      <c r="E24" s="6">
        <v>0</v>
      </c>
      <c r="F24" s="6">
        <v>2</v>
      </c>
      <c r="G24" s="6">
        <v>0</v>
      </c>
      <c r="H24" s="6">
        <v>0</v>
      </c>
      <c r="I24" s="6">
        <v>0</v>
      </c>
      <c r="J24" s="7" t="s">
        <v>11</v>
      </c>
      <c r="K24" s="124" t="s">
        <v>32</v>
      </c>
      <c r="L24" s="1"/>
    </row>
    <row r="25" spans="1:12" ht="13.5" thickBot="1" x14ac:dyDescent="0.25">
      <c r="A25" s="1"/>
      <c r="B25" s="6">
        <f t="shared" ref="B25:I25" si="7">SUM(B23:B24)</f>
        <v>3</v>
      </c>
      <c r="C25" s="6">
        <f t="shared" si="7"/>
        <v>0</v>
      </c>
      <c r="D25" s="6">
        <f t="shared" si="7"/>
        <v>0</v>
      </c>
      <c r="E25" s="6">
        <f t="shared" si="7"/>
        <v>0</v>
      </c>
      <c r="F25" s="6">
        <f t="shared" si="7"/>
        <v>3</v>
      </c>
      <c r="G25" s="6">
        <f t="shared" si="7"/>
        <v>0</v>
      </c>
      <c r="H25" s="6">
        <f t="shared" si="7"/>
        <v>0</v>
      </c>
      <c r="I25" s="6">
        <f t="shared" si="7"/>
        <v>0</v>
      </c>
      <c r="J25" s="7" t="s">
        <v>13</v>
      </c>
      <c r="K25" s="9"/>
      <c r="L25" s="1"/>
    </row>
    <row r="26" spans="1:12" ht="13.5" thickBot="1" x14ac:dyDescent="0.25">
      <c r="A26" s="1"/>
      <c r="B26" s="6">
        <f t="shared" si="0"/>
        <v>42</v>
      </c>
      <c r="C26" s="6">
        <v>0</v>
      </c>
      <c r="D26" s="6">
        <v>0</v>
      </c>
      <c r="E26" s="6">
        <v>0</v>
      </c>
      <c r="F26" s="6">
        <v>4</v>
      </c>
      <c r="G26" s="6">
        <v>0</v>
      </c>
      <c r="H26" s="6">
        <v>38</v>
      </c>
      <c r="I26" s="6">
        <v>0</v>
      </c>
      <c r="J26" s="7" t="s">
        <v>10</v>
      </c>
      <c r="K26" s="124"/>
      <c r="L26" s="1"/>
    </row>
    <row r="27" spans="1:12" ht="13.5" thickBot="1" x14ac:dyDescent="0.25">
      <c r="A27" s="1"/>
      <c r="B27" s="6">
        <f t="shared" si="0"/>
        <v>8</v>
      </c>
      <c r="C27" s="6">
        <v>0</v>
      </c>
      <c r="D27" s="6">
        <v>0</v>
      </c>
      <c r="E27" s="6">
        <v>0</v>
      </c>
      <c r="F27" s="6">
        <v>2</v>
      </c>
      <c r="G27" s="6">
        <v>0</v>
      </c>
      <c r="H27" s="6">
        <v>6</v>
      </c>
      <c r="I27" s="6">
        <v>0</v>
      </c>
      <c r="J27" s="7" t="s">
        <v>11</v>
      </c>
      <c r="K27" s="124" t="s">
        <v>23</v>
      </c>
      <c r="L27" s="1"/>
    </row>
    <row r="28" spans="1:12" ht="13.5" thickBot="1" x14ac:dyDescent="0.25">
      <c r="A28" s="1"/>
      <c r="B28" s="6">
        <f t="shared" ref="B28:I28" si="8">SUM(B26:B27)</f>
        <v>50</v>
      </c>
      <c r="C28" s="6">
        <f t="shared" si="8"/>
        <v>0</v>
      </c>
      <c r="D28" s="6">
        <f t="shared" si="8"/>
        <v>0</v>
      </c>
      <c r="E28" s="6">
        <f t="shared" si="8"/>
        <v>0</v>
      </c>
      <c r="F28" s="6">
        <f t="shared" si="8"/>
        <v>6</v>
      </c>
      <c r="G28" s="6">
        <f t="shared" si="8"/>
        <v>0</v>
      </c>
      <c r="H28" s="6">
        <f t="shared" si="8"/>
        <v>44</v>
      </c>
      <c r="I28" s="6">
        <f t="shared" si="8"/>
        <v>0</v>
      </c>
      <c r="J28" s="7" t="s">
        <v>13</v>
      </c>
      <c r="K28" s="9"/>
      <c r="L28" s="1"/>
    </row>
    <row r="29" spans="1:12" ht="13.5" thickBot="1" x14ac:dyDescent="0.25">
      <c r="A29" s="1"/>
      <c r="B29" s="6">
        <f t="shared" si="0"/>
        <v>329</v>
      </c>
      <c r="C29" s="6">
        <v>0</v>
      </c>
      <c r="D29" s="6">
        <v>0</v>
      </c>
      <c r="E29" s="6">
        <v>3</v>
      </c>
      <c r="F29" s="6">
        <v>63</v>
      </c>
      <c r="G29" s="6">
        <v>1</v>
      </c>
      <c r="H29" s="6">
        <v>257</v>
      </c>
      <c r="I29" s="6">
        <v>5</v>
      </c>
      <c r="J29" s="7" t="s">
        <v>10</v>
      </c>
      <c r="K29" s="124"/>
      <c r="L29" s="1"/>
    </row>
    <row r="30" spans="1:12" ht="13.5" thickBot="1" x14ac:dyDescent="0.25">
      <c r="A30" s="1"/>
      <c r="B30" s="6">
        <f t="shared" si="0"/>
        <v>57</v>
      </c>
      <c r="C30" s="6">
        <v>0</v>
      </c>
      <c r="D30" s="6">
        <v>0</v>
      </c>
      <c r="E30" s="6">
        <v>0</v>
      </c>
      <c r="F30" s="6">
        <v>20</v>
      </c>
      <c r="G30" s="6">
        <v>1</v>
      </c>
      <c r="H30" s="6">
        <v>28</v>
      </c>
      <c r="I30" s="6">
        <v>8</v>
      </c>
      <c r="J30" s="7" t="s">
        <v>11</v>
      </c>
      <c r="K30" s="124" t="s">
        <v>41</v>
      </c>
      <c r="L30" s="1"/>
    </row>
    <row r="31" spans="1:12" ht="13.5" thickBot="1" x14ac:dyDescent="0.25">
      <c r="A31" s="1"/>
      <c r="B31" s="6">
        <f t="shared" ref="B31:I31" si="9">SUM(B29:B30)</f>
        <v>386</v>
      </c>
      <c r="C31" s="6">
        <f t="shared" si="9"/>
        <v>0</v>
      </c>
      <c r="D31" s="6">
        <f t="shared" si="9"/>
        <v>0</v>
      </c>
      <c r="E31" s="6">
        <f t="shared" si="9"/>
        <v>3</v>
      </c>
      <c r="F31" s="6">
        <f t="shared" si="9"/>
        <v>83</v>
      </c>
      <c r="G31" s="6">
        <f t="shared" si="9"/>
        <v>2</v>
      </c>
      <c r="H31" s="6">
        <f t="shared" si="9"/>
        <v>285</v>
      </c>
      <c r="I31" s="6">
        <f t="shared" si="9"/>
        <v>13</v>
      </c>
      <c r="J31" s="7" t="s">
        <v>13</v>
      </c>
      <c r="K31" s="9"/>
      <c r="L31" s="1"/>
    </row>
    <row r="32" spans="1:12" ht="13.5" thickBot="1" x14ac:dyDescent="0.25">
      <c r="A32" s="1"/>
      <c r="B32" s="6">
        <f t="shared" si="0"/>
        <v>43</v>
      </c>
      <c r="C32" s="6">
        <v>0</v>
      </c>
      <c r="D32" s="6">
        <v>0</v>
      </c>
      <c r="E32" s="6">
        <v>1</v>
      </c>
      <c r="F32" s="6">
        <v>12</v>
      </c>
      <c r="G32" s="6">
        <v>0</v>
      </c>
      <c r="H32" s="6">
        <v>28</v>
      </c>
      <c r="I32" s="6">
        <v>2</v>
      </c>
      <c r="J32" s="7" t="s">
        <v>10</v>
      </c>
      <c r="K32" s="124"/>
      <c r="L32" s="1"/>
    </row>
    <row r="33" spans="1:12" ht="13.5" thickBot="1" x14ac:dyDescent="0.25">
      <c r="A33" s="1"/>
      <c r="B33" s="6">
        <f t="shared" si="0"/>
        <v>10</v>
      </c>
      <c r="C33" s="6">
        <v>0</v>
      </c>
      <c r="D33" s="6">
        <v>0</v>
      </c>
      <c r="E33" s="6">
        <v>1</v>
      </c>
      <c r="F33" s="6">
        <v>7</v>
      </c>
      <c r="G33" s="6">
        <v>0</v>
      </c>
      <c r="H33" s="6">
        <v>2</v>
      </c>
      <c r="I33" s="6">
        <v>0</v>
      </c>
      <c r="J33" s="7" t="s">
        <v>11</v>
      </c>
      <c r="K33" s="124" t="s">
        <v>37</v>
      </c>
      <c r="L33" s="1"/>
    </row>
    <row r="34" spans="1:12" ht="13.5" thickBot="1" x14ac:dyDescent="0.25">
      <c r="A34" s="1"/>
      <c r="B34" s="6">
        <f t="shared" ref="B34:I34" si="10">SUM(B32:B33)</f>
        <v>53</v>
      </c>
      <c r="C34" s="6">
        <f t="shared" si="10"/>
        <v>0</v>
      </c>
      <c r="D34" s="6">
        <f t="shared" si="10"/>
        <v>0</v>
      </c>
      <c r="E34" s="6">
        <f t="shared" si="10"/>
        <v>2</v>
      </c>
      <c r="F34" s="6">
        <f t="shared" si="10"/>
        <v>19</v>
      </c>
      <c r="G34" s="6">
        <f t="shared" si="10"/>
        <v>0</v>
      </c>
      <c r="H34" s="6">
        <f t="shared" si="10"/>
        <v>30</v>
      </c>
      <c r="I34" s="6">
        <f t="shared" si="10"/>
        <v>2</v>
      </c>
      <c r="J34" s="7" t="s">
        <v>13</v>
      </c>
      <c r="K34" s="9"/>
      <c r="L34" s="1"/>
    </row>
    <row r="35" spans="1:12" ht="13.5" thickBot="1" x14ac:dyDescent="0.25">
      <c r="A35" s="1"/>
      <c r="B35" s="6">
        <f t="shared" si="0"/>
        <v>20</v>
      </c>
      <c r="C35" s="6">
        <v>0</v>
      </c>
      <c r="D35" s="6">
        <v>2</v>
      </c>
      <c r="E35" s="6">
        <v>0</v>
      </c>
      <c r="F35" s="6">
        <v>0</v>
      </c>
      <c r="G35" s="6">
        <v>0</v>
      </c>
      <c r="H35" s="6">
        <v>16</v>
      </c>
      <c r="I35" s="6">
        <v>2</v>
      </c>
      <c r="J35" s="7" t="s">
        <v>10</v>
      </c>
      <c r="K35" s="124"/>
      <c r="L35" s="1"/>
    </row>
    <row r="36" spans="1:12" ht="13.5" thickBot="1" x14ac:dyDescent="0.25">
      <c r="A36" s="1"/>
      <c r="B36" s="6">
        <f t="shared" si="0"/>
        <v>3</v>
      </c>
      <c r="C36" s="6">
        <v>0</v>
      </c>
      <c r="D36" s="6">
        <v>1</v>
      </c>
      <c r="E36" s="6">
        <v>0</v>
      </c>
      <c r="F36" s="6">
        <v>1</v>
      </c>
      <c r="G36" s="6">
        <v>0</v>
      </c>
      <c r="H36" s="6">
        <v>1</v>
      </c>
      <c r="I36" s="6">
        <v>0</v>
      </c>
      <c r="J36" s="7" t="s">
        <v>11</v>
      </c>
      <c r="K36" s="124" t="s">
        <v>42</v>
      </c>
      <c r="L36" s="1"/>
    </row>
    <row r="37" spans="1:12" ht="13.5" thickBot="1" x14ac:dyDescent="0.25">
      <c r="A37" s="1"/>
      <c r="B37" s="6">
        <f t="shared" ref="B37:I37" si="11">SUM(B35:B36)</f>
        <v>23</v>
      </c>
      <c r="C37" s="6">
        <f t="shared" si="11"/>
        <v>0</v>
      </c>
      <c r="D37" s="6">
        <f t="shared" si="11"/>
        <v>3</v>
      </c>
      <c r="E37" s="6">
        <f t="shared" si="11"/>
        <v>0</v>
      </c>
      <c r="F37" s="6">
        <f t="shared" si="11"/>
        <v>1</v>
      </c>
      <c r="G37" s="6">
        <f t="shared" si="11"/>
        <v>0</v>
      </c>
      <c r="H37" s="6">
        <f t="shared" si="11"/>
        <v>17</v>
      </c>
      <c r="I37" s="6">
        <f t="shared" si="11"/>
        <v>2</v>
      </c>
      <c r="J37" s="7" t="s">
        <v>13</v>
      </c>
      <c r="K37" s="9"/>
      <c r="L37" s="1"/>
    </row>
    <row r="38" spans="1:12" ht="13.5" thickBot="1" x14ac:dyDescent="0.25">
      <c r="A38" s="1"/>
      <c r="B38" s="6">
        <f t="shared" si="0"/>
        <v>2</v>
      </c>
      <c r="C38" s="6">
        <v>0</v>
      </c>
      <c r="D38" s="6">
        <v>0</v>
      </c>
      <c r="E38" s="6">
        <v>0</v>
      </c>
      <c r="F38" s="6">
        <v>1</v>
      </c>
      <c r="G38" s="6">
        <v>0</v>
      </c>
      <c r="H38" s="6">
        <v>0</v>
      </c>
      <c r="I38" s="6">
        <v>1</v>
      </c>
      <c r="J38" s="7" t="s">
        <v>10</v>
      </c>
      <c r="K38" s="124"/>
      <c r="L38" s="1"/>
    </row>
    <row r="39" spans="1:12" ht="13.5" thickBot="1" x14ac:dyDescent="0.25">
      <c r="A39" s="1"/>
      <c r="B39" s="6">
        <f t="shared" si="0"/>
        <v>2</v>
      </c>
      <c r="C39" s="6">
        <v>0</v>
      </c>
      <c r="D39" s="6">
        <v>0</v>
      </c>
      <c r="E39" s="6">
        <v>0</v>
      </c>
      <c r="F39" s="6">
        <v>1</v>
      </c>
      <c r="G39" s="6">
        <v>0</v>
      </c>
      <c r="H39" s="6">
        <v>0</v>
      </c>
      <c r="I39" s="6">
        <v>1</v>
      </c>
      <c r="J39" s="7" t="s">
        <v>11</v>
      </c>
      <c r="K39" s="124" t="s">
        <v>38</v>
      </c>
      <c r="L39" s="1"/>
    </row>
    <row r="40" spans="1:12" ht="13.5" thickBot="1" x14ac:dyDescent="0.25">
      <c r="A40" s="1"/>
      <c r="B40" s="6">
        <f t="shared" ref="B40:I40" si="12">SUM(B38:B39)</f>
        <v>4</v>
      </c>
      <c r="C40" s="6">
        <f t="shared" si="12"/>
        <v>0</v>
      </c>
      <c r="D40" s="6">
        <f t="shared" si="12"/>
        <v>0</v>
      </c>
      <c r="E40" s="6">
        <f t="shared" si="12"/>
        <v>0</v>
      </c>
      <c r="F40" s="6">
        <f t="shared" si="12"/>
        <v>2</v>
      </c>
      <c r="G40" s="6">
        <f t="shared" si="12"/>
        <v>0</v>
      </c>
      <c r="H40" s="6">
        <f t="shared" si="12"/>
        <v>0</v>
      </c>
      <c r="I40" s="6">
        <f t="shared" si="12"/>
        <v>2</v>
      </c>
      <c r="J40" s="7" t="s">
        <v>13</v>
      </c>
      <c r="K40" s="9"/>
      <c r="L40" s="1"/>
    </row>
    <row r="41" spans="1:12" ht="13.5" thickBot="1" x14ac:dyDescent="0.25">
      <c r="A41" s="1"/>
      <c r="B41" s="6">
        <f t="shared" si="0"/>
        <v>92</v>
      </c>
      <c r="C41" s="6">
        <v>0</v>
      </c>
      <c r="D41" s="6">
        <v>0</v>
      </c>
      <c r="E41" s="6">
        <v>6</v>
      </c>
      <c r="F41" s="6">
        <v>14</v>
      </c>
      <c r="G41" s="6">
        <v>0</v>
      </c>
      <c r="H41" s="6">
        <v>72</v>
      </c>
      <c r="I41" s="6">
        <v>0</v>
      </c>
      <c r="J41" s="7" t="s">
        <v>10</v>
      </c>
      <c r="K41" s="124"/>
      <c r="L41" s="1"/>
    </row>
    <row r="42" spans="1:12" ht="13.5" thickBot="1" x14ac:dyDescent="0.25">
      <c r="A42" s="1"/>
      <c r="B42" s="6">
        <f t="shared" si="0"/>
        <v>13</v>
      </c>
      <c r="C42" s="6">
        <v>0</v>
      </c>
      <c r="D42" s="6">
        <v>0</v>
      </c>
      <c r="E42" s="6">
        <v>0</v>
      </c>
      <c r="F42" s="6">
        <v>2</v>
      </c>
      <c r="G42" s="6">
        <v>0</v>
      </c>
      <c r="H42" s="6">
        <v>4</v>
      </c>
      <c r="I42" s="6">
        <v>7</v>
      </c>
      <c r="J42" s="7" t="s">
        <v>11</v>
      </c>
      <c r="K42" s="124" t="s">
        <v>25</v>
      </c>
      <c r="L42" s="1"/>
    </row>
    <row r="43" spans="1:12" ht="13.5" thickBot="1" x14ac:dyDescent="0.25">
      <c r="A43" s="1"/>
      <c r="B43" s="6">
        <f t="shared" ref="B43:I43" si="13">SUM(B41:B42)</f>
        <v>105</v>
      </c>
      <c r="C43" s="6">
        <f t="shared" si="13"/>
        <v>0</v>
      </c>
      <c r="D43" s="6">
        <f t="shared" si="13"/>
        <v>0</v>
      </c>
      <c r="E43" s="6">
        <f t="shared" si="13"/>
        <v>6</v>
      </c>
      <c r="F43" s="6">
        <f t="shared" si="13"/>
        <v>16</v>
      </c>
      <c r="G43" s="6">
        <f t="shared" si="13"/>
        <v>0</v>
      </c>
      <c r="H43" s="6">
        <f t="shared" si="13"/>
        <v>76</v>
      </c>
      <c r="I43" s="6">
        <f t="shared" si="13"/>
        <v>7</v>
      </c>
      <c r="J43" s="7" t="s">
        <v>13</v>
      </c>
      <c r="K43" s="9"/>
      <c r="L43" s="1"/>
    </row>
    <row r="44" spans="1:12" ht="13.5" thickBot="1" x14ac:dyDescent="0.25">
      <c r="A44" s="1"/>
      <c r="B44" s="6">
        <f t="shared" si="0"/>
        <v>56</v>
      </c>
      <c r="C44" s="6">
        <v>0</v>
      </c>
      <c r="D44" s="6">
        <v>0</v>
      </c>
      <c r="E44" s="6">
        <v>4</v>
      </c>
      <c r="F44" s="6">
        <v>20</v>
      </c>
      <c r="G44" s="6">
        <v>0</v>
      </c>
      <c r="H44" s="6">
        <v>30</v>
      </c>
      <c r="I44" s="6">
        <v>2</v>
      </c>
      <c r="J44" s="7" t="s">
        <v>10</v>
      </c>
      <c r="K44" s="124"/>
      <c r="L44" s="1"/>
    </row>
    <row r="45" spans="1:12" ht="13.5" thickBot="1" x14ac:dyDescent="0.25">
      <c r="A45" s="1"/>
      <c r="B45" s="6">
        <f t="shared" si="0"/>
        <v>9</v>
      </c>
      <c r="C45" s="6">
        <v>0</v>
      </c>
      <c r="D45" s="6">
        <v>0</v>
      </c>
      <c r="E45" s="6">
        <v>1</v>
      </c>
      <c r="F45" s="6">
        <v>6</v>
      </c>
      <c r="G45" s="6">
        <v>0</v>
      </c>
      <c r="H45" s="6">
        <v>0</v>
      </c>
      <c r="I45" s="6">
        <v>2</v>
      </c>
      <c r="J45" s="7" t="s">
        <v>11</v>
      </c>
      <c r="K45" s="124" t="s">
        <v>33</v>
      </c>
      <c r="L45" s="1"/>
    </row>
    <row r="46" spans="1:12" ht="13.5" thickBot="1" x14ac:dyDescent="0.25">
      <c r="A46" s="1"/>
      <c r="B46" s="6">
        <f t="shared" ref="B46:I46" si="14">SUM(B44:B45)</f>
        <v>65</v>
      </c>
      <c r="C46" s="6">
        <f t="shared" si="14"/>
        <v>0</v>
      </c>
      <c r="D46" s="6">
        <f t="shared" si="14"/>
        <v>0</v>
      </c>
      <c r="E46" s="6">
        <f t="shared" si="14"/>
        <v>5</v>
      </c>
      <c r="F46" s="6">
        <f t="shared" si="14"/>
        <v>26</v>
      </c>
      <c r="G46" s="6">
        <f t="shared" si="14"/>
        <v>0</v>
      </c>
      <c r="H46" s="6">
        <f t="shared" si="14"/>
        <v>30</v>
      </c>
      <c r="I46" s="6">
        <f t="shared" si="14"/>
        <v>4</v>
      </c>
      <c r="J46" s="7" t="s">
        <v>13</v>
      </c>
      <c r="K46" s="9"/>
      <c r="L46" s="1"/>
    </row>
    <row r="47" spans="1:12" ht="13.5" thickBot="1" x14ac:dyDescent="0.25">
      <c r="A47" s="1"/>
      <c r="B47" s="6">
        <f t="shared" ref="B47:H49" si="15">B5+B8+B11+B14+B17+B20+B23+B26+B29+B32+B35+B38+B41+B44</f>
        <v>596</v>
      </c>
      <c r="C47" s="6">
        <f t="shared" si="15"/>
        <v>0</v>
      </c>
      <c r="D47" s="6">
        <f t="shared" si="15"/>
        <v>2</v>
      </c>
      <c r="E47" s="6">
        <f t="shared" si="15"/>
        <v>14</v>
      </c>
      <c r="F47" s="6">
        <f t="shared" si="15"/>
        <v>115</v>
      </c>
      <c r="G47" s="6">
        <f t="shared" si="15"/>
        <v>1</v>
      </c>
      <c r="H47" s="6">
        <f t="shared" si="15"/>
        <v>450</v>
      </c>
      <c r="I47" s="6">
        <f>I5+I8+I11+I14+I17+I20+I23+I26+I29+I32+I35+I38+I41+I44</f>
        <v>14</v>
      </c>
      <c r="J47" s="7" t="s">
        <v>10</v>
      </c>
      <c r="K47" s="3"/>
      <c r="L47" s="1"/>
    </row>
    <row r="48" spans="1:12" ht="13.5" thickBot="1" x14ac:dyDescent="0.25">
      <c r="A48" s="1"/>
      <c r="B48" s="6">
        <f t="shared" si="15"/>
        <v>117</v>
      </c>
      <c r="C48" s="6">
        <f t="shared" si="15"/>
        <v>0</v>
      </c>
      <c r="D48" s="6">
        <f t="shared" si="15"/>
        <v>1</v>
      </c>
      <c r="E48" s="6">
        <f t="shared" si="15"/>
        <v>2</v>
      </c>
      <c r="F48" s="6">
        <f t="shared" si="15"/>
        <v>46</v>
      </c>
      <c r="G48" s="6">
        <f t="shared" si="15"/>
        <v>1</v>
      </c>
      <c r="H48" s="6">
        <f t="shared" si="15"/>
        <v>49</v>
      </c>
      <c r="I48" s="6">
        <f>I6+I9+I12+I15+I18+I21+I24+I27+I30+I33+I36+I39+I42+I45</f>
        <v>18</v>
      </c>
      <c r="J48" s="7" t="s">
        <v>11</v>
      </c>
      <c r="K48" s="11" t="s">
        <v>211</v>
      </c>
      <c r="L48" s="1"/>
    </row>
    <row r="49" spans="1:12" ht="13.5" thickBot="1" x14ac:dyDescent="0.25">
      <c r="A49" s="1"/>
      <c r="B49" s="6">
        <f t="shared" si="15"/>
        <v>713</v>
      </c>
      <c r="C49" s="6">
        <f t="shared" si="15"/>
        <v>0</v>
      </c>
      <c r="D49" s="6">
        <f t="shared" si="15"/>
        <v>3</v>
      </c>
      <c r="E49" s="6">
        <f t="shared" si="15"/>
        <v>16</v>
      </c>
      <c r="F49" s="6">
        <f t="shared" si="15"/>
        <v>161</v>
      </c>
      <c r="G49" s="6">
        <f t="shared" si="15"/>
        <v>2</v>
      </c>
      <c r="H49" s="6">
        <f t="shared" si="15"/>
        <v>499</v>
      </c>
      <c r="I49" s="6">
        <f>I7+I10+I13+I16+I19+I22+I25+I28+I31+I34+I37+I40+I43+I46</f>
        <v>32</v>
      </c>
      <c r="J49" s="7" t="s">
        <v>13</v>
      </c>
      <c r="K49" s="5"/>
      <c r="L49" s="1"/>
    </row>
  </sheetData>
  <mergeCells count="2">
    <mergeCell ref="B2:K2"/>
    <mergeCell ref="B3:K3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57"/>
  <sheetViews>
    <sheetView showGridLines="0" topLeftCell="A52" zoomScale="90" zoomScaleNormal="90" workbookViewId="0">
      <selection activeCell="B2" sqref="B2:N2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719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720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5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1</v>
      </c>
      <c r="I4" s="6">
        <v>1</v>
      </c>
      <c r="J4" s="6">
        <v>1</v>
      </c>
      <c r="K4" s="6">
        <v>2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53" si="0">SUM(C5:L5)</f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7" t="s">
        <v>11</v>
      </c>
      <c r="N5" s="124" t="s">
        <v>14</v>
      </c>
      <c r="O5" s="1"/>
    </row>
    <row r="6" spans="1:15" ht="13.5" thickBot="1" x14ac:dyDescent="0.25">
      <c r="A6" s="1"/>
      <c r="B6" s="6">
        <f t="shared" ref="B6:K6" si="1">SUM(B4:B5)</f>
        <v>5</v>
      </c>
      <c r="C6" s="6">
        <f t="shared" si="1"/>
        <v>0</v>
      </c>
      <c r="D6" s="6">
        <f t="shared" si="1"/>
        <v>0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1</v>
      </c>
      <c r="I6" s="6">
        <f t="shared" si="1"/>
        <v>1</v>
      </c>
      <c r="J6" s="6">
        <f t="shared" si="1"/>
        <v>1</v>
      </c>
      <c r="K6" s="6">
        <f t="shared" si="1"/>
        <v>2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1</v>
      </c>
      <c r="C7" s="6">
        <v>0</v>
      </c>
      <c r="D7" s="6">
        <v>0</v>
      </c>
      <c r="E7" s="6">
        <v>1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</v>
      </c>
      <c r="M8" s="7" t="s">
        <v>11</v>
      </c>
      <c r="N8" s="124" t="s">
        <v>15</v>
      </c>
      <c r="O8" s="1"/>
    </row>
    <row r="9" spans="1:15" ht="13.5" thickBot="1" x14ac:dyDescent="0.25">
      <c r="A9" s="1"/>
      <c r="B9" s="6">
        <f t="shared" ref="B9:L9" si="2">SUM(B7:B8)</f>
        <v>2</v>
      </c>
      <c r="C9" s="6">
        <f t="shared" si="2"/>
        <v>0</v>
      </c>
      <c r="D9" s="6">
        <f t="shared" si="2"/>
        <v>0</v>
      </c>
      <c r="E9" s="6">
        <f t="shared" si="2"/>
        <v>1</v>
      </c>
      <c r="F9" s="6">
        <f t="shared" si="2"/>
        <v>0</v>
      </c>
      <c r="G9" s="6">
        <f t="shared" si="2"/>
        <v>0</v>
      </c>
      <c r="H9" s="6">
        <f t="shared" si="2"/>
        <v>0</v>
      </c>
      <c r="I9" s="6">
        <f t="shared" si="2"/>
        <v>0</v>
      </c>
      <c r="J9" s="6">
        <f t="shared" si="2"/>
        <v>0</v>
      </c>
      <c r="K9" s="6">
        <f t="shared" si="2"/>
        <v>0</v>
      </c>
      <c r="L9" s="6">
        <f t="shared" si="2"/>
        <v>1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2</v>
      </c>
      <c r="C10" s="6">
        <v>0</v>
      </c>
      <c r="D10" s="6">
        <v>0</v>
      </c>
      <c r="E10" s="6">
        <v>0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2</v>
      </c>
      <c r="C11" s="6">
        <v>0</v>
      </c>
      <c r="D11" s="6">
        <v>0</v>
      </c>
      <c r="E11" s="6">
        <v>0</v>
      </c>
      <c r="F11" s="6">
        <v>0</v>
      </c>
      <c r="G11" s="6">
        <v>1</v>
      </c>
      <c r="H11" s="6">
        <v>0</v>
      </c>
      <c r="I11" s="6">
        <v>0</v>
      </c>
      <c r="J11" s="6">
        <v>0</v>
      </c>
      <c r="K11" s="6">
        <v>0</v>
      </c>
      <c r="L11" s="6">
        <v>1</v>
      </c>
      <c r="M11" s="7" t="s">
        <v>11</v>
      </c>
      <c r="N11" s="124" t="s">
        <v>16</v>
      </c>
      <c r="O11" s="1"/>
    </row>
    <row r="12" spans="1:15" ht="13.5" thickBot="1" x14ac:dyDescent="0.25">
      <c r="A12" s="1"/>
      <c r="B12" s="6">
        <f t="shared" ref="B12:L12" si="3">SUM(B10:B11)</f>
        <v>4</v>
      </c>
      <c r="C12" s="6">
        <f t="shared" si="3"/>
        <v>0</v>
      </c>
      <c r="D12" s="6">
        <f t="shared" si="3"/>
        <v>0</v>
      </c>
      <c r="E12" s="6">
        <f t="shared" si="3"/>
        <v>0</v>
      </c>
      <c r="F12" s="6">
        <f t="shared" si="3"/>
        <v>0</v>
      </c>
      <c r="G12" s="6">
        <f t="shared" si="3"/>
        <v>3</v>
      </c>
      <c r="H12" s="6">
        <f t="shared" si="3"/>
        <v>0</v>
      </c>
      <c r="I12" s="6">
        <f t="shared" si="3"/>
        <v>0</v>
      </c>
      <c r="J12" s="6">
        <f t="shared" si="3"/>
        <v>0</v>
      </c>
      <c r="K12" s="6">
        <f t="shared" si="3"/>
        <v>0</v>
      </c>
      <c r="L12" s="6">
        <f t="shared" si="3"/>
        <v>1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8</v>
      </c>
      <c r="C13" s="6">
        <v>0</v>
      </c>
      <c r="D13" s="6">
        <v>0</v>
      </c>
      <c r="E13" s="6">
        <v>0</v>
      </c>
      <c r="F13" s="6">
        <v>0</v>
      </c>
      <c r="G13" s="6">
        <v>1</v>
      </c>
      <c r="H13" s="6">
        <v>0</v>
      </c>
      <c r="I13" s="6">
        <v>2</v>
      </c>
      <c r="J13" s="6">
        <v>5</v>
      </c>
      <c r="K13" s="6">
        <v>0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7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1</v>
      </c>
      <c r="J14" s="6">
        <v>5</v>
      </c>
      <c r="K14" s="6">
        <v>1</v>
      </c>
      <c r="L14" s="6">
        <v>0</v>
      </c>
      <c r="M14" s="7" t="s">
        <v>11</v>
      </c>
      <c r="N14" s="124" t="s">
        <v>19</v>
      </c>
      <c r="O14" s="1"/>
    </row>
    <row r="15" spans="1:15" ht="13.5" thickBot="1" x14ac:dyDescent="0.25">
      <c r="A15" s="1"/>
      <c r="B15" s="6">
        <f t="shared" ref="B15:L15" si="4">SUM(B13:B14)</f>
        <v>15</v>
      </c>
      <c r="C15" s="6">
        <f t="shared" si="4"/>
        <v>0</v>
      </c>
      <c r="D15" s="6">
        <f t="shared" si="4"/>
        <v>0</v>
      </c>
      <c r="E15" s="6">
        <f t="shared" si="4"/>
        <v>0</v>
      </c>
      <c r="F15" s="6">
        <f t="shared" si="4"/>
        <v>0</v>
      </c>
      <c r="G15" s="6">
        <f t="shared" si="4"/>
        <v>1</v>
      </c>
      <c r="H15" s="6">
        <f t="shared" si="4"/>
        <v>0</v>
      </c>
      <c r="I15" s="6">
        <f t="shared" si="4"/>
        <v>3</v>
      </c>
      <c r="J15" s="6">
        <f t="shared" si="4"/>
        <v>10</v>
      </c>
      <c r="K15" s="6">
        <f t="shared" si="4"/>
        <v>1</v>
      </c>
      <c r="L15" s="6">
        <f t="shared" si="4"/>
        <v>0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2</v>
      </c>
      <c r="C16" s="6">
        <v>1</v>
      </c>
      <c r="D16" s="6">
        <v>0</v>
      </c>
      <c r="E16" s="6">
        <v>0</v>
      </c>
      <c r="F16" s="6">
        <v>0</v>
      </c>
      <c r="G16" s="6">
        <v>1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1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1</v>
      </c>
      <c r="M17" s="7" t="s">
        <v>11</v>
      </c>
      <c r="N17" s="124" t="s">
        <v>35</v>
      </c>
      <c r="O17" s="1"/>
    </row>
    <row r="18" spans="1:15" ht="13.5" thickBot="1" x14ac:dyDescent="0.25">
      <c r="A18" s="1"/>
      <c r="B18" s="6">
        <f t="shared" ref="B18:L18" si="5">SUM(B16:B17)</f>
        <v>3</v>
      </c>
      <c r="C18" s="6">
        <f t="shared" si="5"/>
        <v>1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1</v>
      </c>
      <c r="H18" s="6">
        <f t="shared" si="5"/>
        <v>0</v>
      </c>
      <c r="I18" s="6">
        <f t="shared" si="5"/>
        <v>0</v>
      </c>
      <c r="J18" s="6">
        <f t="shared" si="5"/>
        <v>0</v>
      </c>
      <c r="K18" s="6">
        <f t="shared" si="5"/>
        <v>0</v>
      </c>
      <c r="L18" s="6">
        <f t="shared" si="5"/>
        <v>1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4</v>
      </c>
      <c r="C19" s="6">
        <v>0</v>
      </c>
      <c r="D19" s="6">
        <v>0</v>
      </c>
      <c r="E19" s="6">
        <v>0</v>
      </c>
      <c r="F19" s="6">
        <v>0</v>
      </c>
      <c r="G19" s="6">
        <v>2</v>
      </c>
      <c r="H19" s="6">
        <v>0</v>
      </c>
      <c r="I19" s="6">
        <v>1</v>
      </c>
      <c r="J19" s="6">
        <v>1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7</v>
      </c>
      <c r="C20" s="6">
        <v>0</v>
      </c>
      <c r="D20" s="6">
        <v>0</v>
      </c>
      <c r="E20" s="6">
        <v>0</v>
      </c>
      <c r="F20" s="6">
        <v>0</v>
      </c>
      <c r="G20" s="6">
        <v>3</v>
      </c>
      <c r="H20" s="6">
        <v>0</v>
      </c>
      <c r="I20" s="6">
        <v>0</v>
      </c>
      <c r="J20" s="6">
        <v>3</v>
      </c>
      <c r="K20" s="6">
        <v>1</v>
      </c>
      <c r="L20" s="6">
        <v>0</v>
      </c>
      <c r="M20" s="7" t="s">
        <v>11</v>
      </c>
      <c r="N20" s="124" t="s">
        <v>22</v>
      </c>
      <c r="O20" s="1"/>
    </row>
    <row r="21" spans="1:15" ht="13.5" thickBot="1" x14ac:dyDescent="0.25">
      <c r="A21" s="1"/>
      <c r="B21" s="6">
        <f t="shared" ref="B21:L21" si="6">SUM(B19:B20)</f>
        <v>11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5</v>
      </c>
      <c r="H21" s="6">
        <f t="shared" si="6"/>
        <v>0</v>
      </c>
      <c r="I21" s="6">
        <f t="shared" si="6"/>
        <v>1</v>
      </c>
      <c r="J21" s="6">
        <f t="shared" si="6"/>
        <v>4</v>
      </c>
      <c r="K21" s="6">
        <f t="shared" si="6"/>
        <v>1</v>
      </c>
      <c r="L21" s="6">
        <f t="shared" si="6"/>
        <v>0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3</v>
      </c>
      <c r="C22" s="6">
        <v>0</v>
      </c>
      <c r="D22" s="6">
        <v>0</v>
      </c>
      <c r="E22" s="6">
        <v>0</v>
      </c>
      <c r="F22" s="6">
        <v>0</v>
      </c>
      <c r="G22" s="6">
        <v>1</v>
      </c>
      <c r="H22" s="6">
        <v>0</v>
      </c>
      <c r="I22" s="6">
        <v>2</v>
      </c>
      <c r="J22" s="6">
        <v>0</v>
      </c>
      <c r="K22" s="6">
        <v>0</v>
      </c>
      <c r="L22" s="6">
        <v>0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4</v>
      </c>
      <c r="C23" s="6">
        <v>0</v>
      </c>
      <c r="D23" s="6">
        <v>0</v>
      </c>
      <c r="E23" s="6">
        <v>0</v>
      </c>
      <c r="F23" s="6">
        <v>0</v>
      </c>
      <c r="G23" s="6">
        <v>1</v>
      </c>
      <c r="H23" s="6">
        <v>0</v>
      </c>
      <c r="I23" s="6">
        <v>1</v>
      </c>
      <c r="J23" s="6">
        <v>0</v>
      </c>
      <c r="K23" s="6">
        <v>1</v>
      </c>
      <c r="L23" s="6">
        <v>1</v>
      </c>
      <c r="M23" s="7" t="s">
        <v>11</v>
      </c>
      <c r="N23" s="124" t="s">
        <v>32</v>
      </c>
      <c r="O23" s="1"/>
    </row>
    <row r="24" spans="1:15" ht="13.5" thickBot="1" x14ac:dyDescent="0.25">
      <c r="A24" s="1"/>
      <c r="B24" s="6">
        <f t="shared" ref="B24:L24" si="7">SUM(B22:B23)</f>
        <v>7</v>
      </c>
      <c r="C24" s="6">
        <f t="shared" si="7"/>
        <v>0</v>
      </c>
      <c r="D24" s="6">
        <f t="shared" si="7"/>
        <v>0</v>
      </c>
      <c r="E24" s="6">
        <f t="shared" si="7"/>
        <v>0</v>
      </c>
      <c r="F24" s="6">
        <f t="shared" si="7"/>
        <v>0</v>
      </c>
      <c r="G24" s="6">
        <f t="shared" si="7"/>
        <v>2</v>
      </c>
      <c r="H24" s="6">
        <f t="shared" si="7"/>
        <v>0</v>
      </c>
      <c r="I24" s="6">
        <f t="shared" si="7"/>
        <v>3</v>
      </c>
      <c r="J24" s="6">
        <f t="shared" si="7"/>
        <v>0</v>
      </c>
      <c r="K24" s="6">
        <f t="shared" si="7"/>
        <v>1</v>
      </c>
      <c r="L24" s="6">
        <f t="shared" si="7"/>
        <v>1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60</v>
      </c>
      <c r="C25" s="6">
        <v>1</v>
      </c>
      <c r="D25" s="6">
        <v>0</v>
      </c>
      <c r="E25" s="6">
        <v>6</v>
      </c>
      <c r="F25" s="6">
        <v>0</v>
      </c>
      <c r="G25" s="6">
        <v>17</v>
      </c>
      <c r="H25" s="6">
        <v>5</v>
      </c>
      <c r="I25" s="6">
        <v>4</v>
      </c>
      <c r="J25" s="6">
        <v>27</v>
      </c>
      <c r="K25" s="6">
        <v>0</v>
      </c>
      <c r="L25" s="6">
        <v>0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9</v>
      </c>
      <c r="C26" s="6">
        <v>0</v>
      </c>
      <c r="D26" s="6">
        <v>0</v>
      </c>
      <c r="E26" s="6">
        <v>0</v>
      </c>
      <c r="F26" s="6">
        <v>0</v>
      </c>
      <c r="G26" s="6">
        <v>1</v>
      </c>
      <c r="H26" s="6">
        <v>2</v>
      </c>
      <c r="I26" s="6">
        <v>2</v>
      </c>
      <c r="J26" s="6">
        <v>3</v>
      </c>
      <c r="K26" s="6">
        <v>0</v>
      </c>
      <c r="L26" s="6">
        <v>1</v>
      </c>
      <c r="M26" s="7" t="s">
        <v>11</v>
      </c>
      <c r="N26" s="124" t="s">
        <v>23</v>
      </c>
      <c r="O26" s="1"/>
    </row>
    <row r="27" spans="1:15" ht="13.5" thickBot="1" x14ac:dyDescent="0.25">
      <c r="A27" s="1"/>
      <c r="B27" s="6">
        <f t="shared" ref="B27:L27" si="8">SUM(B25:B26)</f>
        <v>69</v>
      </c>
      <c r="C27" s="6">
        <f t="shared" si="8"/>
        <v>1</v>
      </c>
      <c r="D27" s="6">
        <f t="shared" si="8"/>
        <v>0</v>
      </c>
      <c r="E27" s="6">
        <f t="shared" si="8"/>
        <v>6</v>
      </c>
      <c r="F27" s="6">
        <f t="shared" si="8"/>
        <v>0</v>
      </c>
      <c r="G27" s="6">
        <f t="shared" si="8"/>
        <v>18</v>
      </c>
      <c r="H27" s="6">
        <f t="shared" si="8"/>
        <v>7</v>
      </c>
      <c r="I27" s="6">
        <f t="shared" si="8"/>
        <v>6</v>
      </c>
      <c r="J27" s="6">
        <f t="shared" si="8"/>
        <v>30</v>
      </c>
      <c r="K27" s="6">
        <f t="shared" si="8"/>
        <v>0</v>
      </c>
      <c r="L27" s="6">
        <f t="shared" si="8"/>
        <v>1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568</v>
      </c>
      <c r="C28" s="6">
        <v>12</v>
      </c>
      <c r="D28" s="6">
        <v>3</v>
      </c>
      <c r="E28" s="6">
        <v>8</v>
      </c>
      <c r="F28" s="6">
        <v>0</v>
      </c>
      <c r="G28" s="6">
        <v>40</v>
      </c>
      <c r="H28" s="6">
        <v>116</v>
      </c>
      <c r="I28" s="6">
        <v>154</v>
      </c>
      <c r="J28" s="6">
        <v>215</v>
      </c>
      <c r="K28" s="6">
        <v>14</v>
      </c>
      <c r="L28" s="6">
        <v>6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95</v>
      </c>
      <c r="C29" s="6">
        <v>2</v>
      </c>
      <c r="D29" s="6">
        <v>6</v>
      </c>
      <c r="E29" s="6">
        <v>0</v>
      </c>
      <c r="F29" s="6">
        <v>0</v>
      </c>
      <c r="G29" s="6">
        <v>13</v>
      </c>
      <c r="H29" s="6">
        <v>2</v>
      </c>
      <c r="I29" s="6">
        <v>23</v>
      </c>
      <c r="J29" s="6">
        <v>34</v>
      </c>
      <c r="K29" s="6">
        <v>10</v>
      </c>
      <c r="L29" s="6">
        <v>5</v>
      </c>
      <c r="M29" s="7" t="s">
        <v>11</v>
      </c>
      <c r="N29" s="124" t="s">
        <v>41</v>
      </c>
      <c r="O29" s="1"/>
    </row>
    <row r="30" spans="1:15" ht="13.5" thickBot="1" x14ac:dyDescent="0.25">
      <c r="A30" s="1"/>
      <c r="B30" s="6">
        <f t="shared" ref="B30:L30" si="9">SUM(B28:B29)</f>
        <v>663</v>
      </c>
      <c r="C30" s="6">
        <f t="shared" si="9"/>
        <v>14</v>
      </c>
      <c r="D30" s="6">
        <f t="shared" si="9"/>
        <v>9</v>
      </c>
      <c r="E30" s="6">
        <f t="shared" si="9"/>
        <v>8</v>
      </c>
      <c r="F30" s="6">
        <f t="shared" si="9"/>
        <v>0</v>
      </c>
      <c r="G30" s="6">
        <f t="shared" si="9"/>
        <v>53</v>
      </c>
      <c r="H30" s="6">
        <f t="shared" si="9"/>
        <v>118</v>
      </c>
      <c r="I30" s="6">
        <f t="shared" si="9"/>
        <v>177</v>
      </c>
      <c r="J30" s="6">
        <f t="shared" si="9"/>
        <v>249</v>
      </c>
      <c r="K30" s="6">
        <f t="shared" si="9"/>
        <v>24</v>
      </c>
      <c r="L30" s="6">
        <f t="shared" si="9"/>
        <v>11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1</v>
      </c>
      <c r="C31" s="6">
        <v>0</v>
      </c>
      <c r="D31" s="6">
        <v>0</v>
      </c>
      <c r="E31" s="6">
        <v>0</v>
      </c>
      <c r="F31" s="6">
        <v>0</v>
      </c>
      <c r="G31" s="6">
        <v>1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7" t="s">
        <v>11</v>
      </c>
      <c r="N32" s="124" t="s">
        <v>24</v>
      </c>
      <c r="O32" s="1"/>
    </row>
    <row r="33" spans="1:15" ht="13.5" thickBot="1" x14ac:dyDescent="0.25">
      <c r="A33" s="1"/>
      <c r="B33" s="6">
        <f t="shared" ref="B33:L33" si="10">SUM(B31:B32)</f>
        <v>1</v>
      </c>
      <c r="C33" s="6">
        <f t="shared" si="10"/>
        <v>0</v>
      </c>
      <c r="D33" s="6">
        <f t="shared" si="10"/>
        <v>0</v>
      </c>
      <c r="E33" s="6">
        <f t="shared" si="10"/>
        <v>0</v>
      </c>
      <c r="F33" s="6">
        <f t="shared" si="10"/>
        <v>0</v>
      </c>
      <c r="G33" s="6">
        <f t="shared" si="10"/>
        <v>1</v>
      </c>
      <c r="H33" s="6">
        <f t="shared" si="10"/>
        <v>0</v>
      </c>
      <c r="I33" s="6">
        <f t="shared" si="10"/>
        <v>0</v>
      </c>
      <c r="J33" s="6">
        <f t="shared" si="10"/>
        <v>0</v>
      </c>
      <c r="K33" s="6">
        <f t="shared" si="10"/>
        <v>0</v>
      </c>
      <c r="L33" s="6">
        <f t="shared" si="10"/>
        <v>0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74</v>
      </c>
      <c r="C34" s="6">
        <v>2</v>
      </c>
      <c r="D34" s="6">
        <v>1</v>
      </c>
      <c r="E34" s="6">
        <v>7</v>
      </c>
      <c r="F34" s="6">
        <v>0</v>
      </c>
      <c r="G34" s="6">
        <v>8</v>
      </c>
      <c r="H34" s="6">
        <v>10</v>
      </c>
      <c r="I34" s="6">
        <v>16</v>
      </c>
      <c r="J34" s="6">
        <v>28</v>
      </c>
      <c r="K34" s="6">
        <v>1</v>
      </c>
      <c r="L34" s="6">
        <v>1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25</v>
      </c>
      <c r="C35" s="6">
        <v>1</v>
      </c>
      <c r="D35" s="6">
        <v>0</v>
      </c>
      <c r="E35" s="6">
        <v>0</v>
      </c>
      <c r="F35" s="6">
        <v>0</v>
      </c>
      <c r="G35" s="6">
        <v>3</v>
      </c>
      <c r="H35" s="6">
        <v>0</v>
      </c>
      <c r="I35" s="6">
        <v>8</v>
      </c>
      <c r="J35" s="6">
        <v>6</v>
      </c>
      <c r="K35" s="6">
        <v>2</v>
      </c>
      <c r="L35" s="6">
        <v>5</v>
      </c>
      <c r="M35" s="7" t="s">
        <v>11</v>
      </c>
      <c r="N35" s="124" t="s">
        <v>37</v>
      </c>
      <c r="O35" s="1"/>
    </row>
    <row r="36" spans="1:15" ht="13.5" thickBot="1" x14ac:dyDescent="0.25">
      <c r="A36" s="1"/>
      <c r="B36" s="6">
        <f t="shared" ref="B36:L36" si="11">SUM(B34:B35)</f>
        <v>99</v>
      </c>
      <c r="C36" s="6">
        <f t="shared" si="11"/>
        <v>3</v>
      </c>
      <c r="D36" s="6">
        <f t="shared" si="11"/>
        <v>1</v>
      </c>
      <c r="E36" s="6">
        <f t="shared" si="11"/>
        <v>7</v>
      </c>
      <c r="F36" s="6">
        <f t="shared" si="11"/>
        <v>0</v>
      </c>
      <c r="G36" s="6">
        <f t="shared" si="11"/>
        <v>11</v>
      </c>
      <c r="H36" s="6">
        <f t="shared" si="11"/>
        <v>10</v>
      </c>
      <c r="I36" s="6">
        <f t="shared" si="11"/>
        <v>24</v>
      </c>
      <c r="J36" s="6">
        <f t="shared" si="11"/>
        <v>34</v>
      </c>
      <c r="K36" s="6">
        <f t="shared" si="11"/>
        <v>3</v>
      </c>
      <c r="L36" s="6">
        <f t="shared" si="11"/>
        <v>6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41</v>
      </c>
      <c r="C37" s="6">
        <v>0</v>
      </c>
      <c r="D37" s="6">
        <v>0</v>
      </c>
      <c r="E37" s="6">
        <v>0</v>
      </c>
      <c r="F37" s="6">
        <v>0</v>
      </c>
      <c r="G37" s="6">
        <v>16</v>
      </c>
      <c r="H37" s="6">
        <v>1</v>
      </c>
      <c r="I37" s="6">
        <v>6</v>
      </c>
      <c r="J37" s="6">
        <v>12</v>
      </c>
      <c r="K37" s="6">
        <v>0</v>
      </c>
      <c r="L37" s="6">
        <v>6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14</v>
      </c>
      <c r="C38" s="6">
        <v>3</v>
      </c>
      <c r="D38" s="6">
        <v>0</v>
      </c>
      <c r="E38" s="6">
        <v>0</v>
      </c>
      <c r="F38" s="6">
        <v>0</v>
      </c>
      <c r="G38" s="6">
        <v>6</v>
      </c>
      <c r="H38" s="6">
        <v>0</v>
      </c>
      <c r="I38" s="6">
        <v>2</v>
      </c>
      <c r="J38" s="6">
        <v>1</v>
      </c>
      <c r="K38" s="6">
        <v>0</v>
      </c>
      <c r="L38" s="6">
        <v>2</v>
      </c>
      <c r="M38" s="7" t="s">
        <v>11</v>
      </c>
      <c r="N38" s="124" t="s">
        <v>42</v>
      </c>
      <c r="O38" s="1"/>
    </row>
    <row r="39" spans="1:15" ht="13.5" thickBot="1" x14ac:dyDescent="0.25">
      <c r="A39" s="1"/>
      <c r="B39" s="6">
        <f t="shared" ref="B39:L39" si="12">SUM(B37:B38)</f>
        <v>55</v>
      </c>
      <c r="C39" s="6">
        <f t="shared" si="12"/>
        <v>3</v>
      </c>
      <c r="D39" s="6">
        <f t="shared" si="12"/>
        <v>0</v>
      </c>
      <c r="E39" s="6">
        <f t="shared" si="12"/>
        <v>0</v>
      </c>
      <c r="F39" s="6">
        <f t="shared" si="12"/>
        <v>0</v>
      </c>
      <c r="G39" s="6">
        <f t="shared" si="12"/>
        <v>22</v>
      </c>
      <c r="H39" s="6">
        <f t="shared" si="12"/>
        <v>1</v>
      </c>
      <c r="I39" s="6">
        <f t="shared" si="12"/>
        <v>8</v>
      </c>
      <c r="J39" s="6">
        <f t="shared" si="12"/>
        <v>13</v>
      </c>
      <c r="K39" s="6">
        <f t="shared" si="12"/>
        <v>0</v>
      </c>
      <c r="L39" s="6">
        <f t="shared" si="12"/>
        <v>8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5</v>
      </c>
      <c r="C40" s="6">
        <v>0</v>
      </c>
      <c r="D40" s="6">
        <v>0</v>
      </c>
      <c r="E40" s="6">
        <v>0</v>
      </c>
      <c r="F40" s="6">
        <v>0</v>
      </c>
      <c r="G40" s="6">
        <v>3</v>
      </c>
      <c r="H40" s="6">
        <v>0</v>
      </c>
      <c r="I40" s="6">
        <v>0</v>
      </c>
      <c r="J40" s="6">
        <v>1</v>
      </c>
      <c r="K40" s="6">
        <v>1</v>
      </c>
      <c r="L40" s="6">
        <v>0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6</v>
      </c>
      <c r="C41" s="6">
        <v>1</v>
      </c>
      <c r="D41" s="6">
        <v>2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</v>
      </c>
      <c r="K41" s="6">
        <v>1</v>
      </c>
      <c r="L41" s="6">
        <v>1</v>
      </c>
      <c r="M41" s="7" t="s">
        <v>11</v>
      </c>
      <c r="N41" s="124" t="s">
        <v>38</v>
      </c>
      <c r="O41" s="1"/>
    </row>
    <row r="42" spans="1:15" ht="13.5" thickBot="1" x14ac:dyDescent="0.25">
      <c r="A42" s="1"/>
      <c r="B42" s="6">
        <f t="shared" ref="B42:L42" si="13">SUM(B40:B41)</f>
        <v>11</v>
      </c>
      <c r="C42" s="6">
        <f t="shared" si="13"/>
        <v>1</v>
      </c>
      <c r="D42" s="6">
        <f t="shared" si="13"/>
        <v>2</v>
      </c>
      <c r="E42" s="6">
        <f t="shared" si="13"/>
        <v>0</v>
      </c>
      <c r="F42" s="6">
        <f t="shared" si="13"/>
        <v>0</v>
      </c>
      <c r="G42" s="6">
        <f t="shared" si="13"/>
        <v>3</v>
      </c>
      <c r="H42" s="6">
        <f t="shared" si="13"/>
        <v>0</v>
      </c>
      <c r="I42" s="6">
        <f t="shared" si="13"/>
        <v>0</v>
      </c>
      <c r="J42" s="6">
        <f t="shared" si="13"/>
        <v>2</v>
      </c>
      <c r="K42" s="6">
        <f t="shared" si="13"/>
        <v>2</v>
      </c>
      <c r="L42" s="6">
        <f t="shared" si="13"/>
        <v>1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7" t="s">
        <v>11</v>
      </c>
      <c r="N44" s="124" t="s">
        <v>39</v>
      </c>
      <c r="O44" s="1"/>
    </row>
    <row r="45" spans="1:15" ht="13.5" thickBot="1" x14ac:dyDescent="0.25">
      <c r="A45" s="1"/>
      <c r="B45" s="6">
        <f t="shared" ref="B45:L45" si="14">SUM(B43:B44)</f>
        <v>1</v>
      </c>
      <c r="C45" s="6">
        <f t="shared" si="14"/>
        <v>0</v>
      </c>
      <c r="D45" s="6">
        <f t="shared" si="14"/>
        <v>0</v>
      </c>
      <c r="E45" s="6">
        <f t="shared" si="14"/>
        <v>0</v>
      </c>
      <c r="F45" s="6">
        <f t="shared" si="14"/>
        <v>0</v>
      </c>
      <c r="G45" s="6">
        <f t="shared" si="14"/>
        <v>1</v>
      </c>
      <c r="H45" s="6">
        <f t="shared" si="14"/>
        <v>0</v>
      </c>
      <c r="I45" s="6">
        <f t="shared" si="14"/>
        <v>0</v>
      </c>
      <c r="J45" s="6">
        <f t="shared" si="14"/>
        <v>0</v>
      </c>
      <c r="K45" s="6">
        <f t="shared" si="14"/>
        <v>0</v>
      </c>
      <c r="L45" s="6">
        <f t="shared" si="14"/>
        <v>0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si="0"/>
        <v>129</v>
      </c>
      <c r="C46" s="6">
        <v>2</v>
      </c>
      <c r="D46" s="6">
        <v>0</v>
      </c>
      <c r="E46" s="6">
        <v>7</v>
      </c>
      <c r="F46" s="6">
        <v>0</v>
      </c>
      <c r="G46" s="6">
        <v>43</v>
      </c>
      <c r="H46" s="6">
        <v>22</v>
      </c>
      <c r="I46" s="6">
        <v>19</v>
      </c>
      <c r="J46" s="6">
        <v>21</v>
      </c>
      <c r="K46" s="6">
        <v>13</v>
      </c>
      <c r="L46" s="6">
        <v>2</v>
      </c>
      <c r="M46" s="7" t="s">
        <v>10</v>
      </c>
      <c r="N46" s="124"/>
      <c r="O46" s="1"/>
    </row>
    <row r="47" spans="1:15" ht="13.5" thickBot="1" x14ac:dyDescent="0.25">
      <c r="A47" s="1"/>
      <c r="B47" s="6">
        <f t="shared" si="0"/>
        <v>17</v>
      </c>
      <c r="C47" s="6">
        <v>0</v>
      </c>
      <c r="D47" s="6">
        <v>1</v>
      </c>
      <c r="E47" s="6">
        <v>0</v>
      </c>
      <c r="F47" s="6">
        <v>0</v>
      </c>
      <c r="G47" s="6">
        <v>5</v>
      </c>
      <c r="H47" s="6">
        <v>0</v>
      </c>
      <c r="I47" s="6">
        <v>1</v>
      </c>
      <c r="J47" s="6">
        <v>3</v>
      </c>
      <c r="K47" s="6">
        <v>4</v>
      </c>
      <c r="L47" s="6">
        <v>3</v>
      </c>
      <c r="M47" s="7" t="s">
        <v>11</v>
      </c>
      <c r="N47" s="124" t="s">
        <v>25</v>
      </c>
      <c r="O47" s="1"/>
    </row>
    <row r="48" spans="1:15" ht="13.5" thickBot="1" x14ac:dyDescent="0.25">
      <c r="A48" s="1"/>
      <c r="B48" s="6">
        <f t="shared" ref="B48:L48" si="15">SUM(B46:B47)</f>
        <v>146</v>
      </c>
      <c r="C48" s="6">
        <f t="shared" si="15"/>
        <v>2</v>
      </c>
      <c r="D48" s="6">
        <f t="shared" si="15"/>
        <v>1</v>
      </c>
      <c r="E48" s="6">
        <f t="shared" si="15"/>
        <v>7</v>
      </c>
      <c r="F48" s="6">
        <f t="shared" si="15"/>
        <v>0</v>
      </c>
      <c r="G48" s="6">
        <f t="shared" si="15"/>
        <v>48</v>
      </c>
      <c r="H48" s="6">
        <f t="shared" si="15"/>
        <v>22</v>
      </c>
      <c r="I48" s="6">
        <f t="shared" si="15"/>
        <v>20</v>
      </c>
      <c r="J48" s="6">
        <f t="shared" si="15"/>
        <v>24</v>
      </c>
      <c r="K48" s="6">
        <f t="shared" si="15"/>
        <v>17</v>
      </c>
      <c r="L48" s="6">
        <f t="shared" si="15"/>
        <v>5</v>
      </c>
      <c r="M48" s="7" t="s">
        <v>13</v>
      </c>
      <c r="N48" s="9"/>
      <c r="O48" s="1"/>
    </row>
    <row r="49" spans="1:15" ht="13.5" thickBot="1" x14ac:dyDescent="0.25">
      <c r="A49" s="1"/>
      <c r="B49" s="6">
        <f t="shared" si="0"/>
        <v>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1</v>
      </c>
      <c r="J49" s="6">
        <v>1</v>
      </c>
      <c r="K49" s="6">
        <v>0</v>
      </c>
      <c r="L49" s="6">
        <v>0</v>
      </c>
      <c r="M49" s="7" t="s">
        <v>10</v>
      </c>
      <c r="N49" s="124"/>
      <c r="O49" s="1"/>
    </row>
    <row r="50" spans="1:15" ht="13.5" thickBot="1" x14ac:dyDescent="0.25">
      <c r="A50" s="1"/>
      <c r="B50" s="6">
        <f t="shared" si="0"/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7" t="s">
        <v>11</v>
      </c>
      <c r="N50" s="124" t="s">
        <v>26</v>
      </c>
      <c r="O50" s="1"/>
    </row>
    <row r="51" spans="1:15" ht="13.5" thickBot="1" x14ac:dyDescent="0.25">
      <c r="A51" s="1"/>
      <c r="B51" s="6">
        <f t="shared" ref="B51:L51" si="16">SUM(B49:B50)</f>
        <v>2</v>
      </c>
      <c r="C51" s="6">
        <f t="shared" si="16"/>
        <v>0</v>
      </c>
      <c r="D51" s="6">
        <f t="shared" si="16"/>
        <v>0</v>
      </c>
      <c r="E51" s="6">
        <f t="shared" si="16"/>
        <v>0</v>
      </c>
      <c r="F51" s="6">
        <f t="shared" si="16"/>
        <v>0</v>
      </c>
      <c r="G51" s="6">
        <f t="shared" si="16"/>
        <v>0</v>
      </c>
      <c r="H51" s="6">
        <f t="shared" si="16"/>
        <v>0</v>
      </c>
      <c r="I51" s="6">
        <f t="shared" si="16"/>
        <v>1</v>
      </c>
      <c r="J51" s="6">
        <f t="shared" si="16"/>
        <v>1</v>
      </c>
      <c r="K51" s="6">
        <f t="shared" si="16"/>
        <v>0</v>
      </c>
      <c r="L51" s="6">
        <f t="shared" si="16"/>
        <v>0</v>
      </c>
      <c r="M51" s="7" t="s">
        <v>13</v>
      </c>
      <c r="N51" s="9"/>
      <c r="O51" s="1"/>
    </row>
    <row r="52" spans="1:15" ht="13.5" thickBot="1" x14ac:dyDescent="0.25">
      <c r="A52" s="1"/>
      <c r="B52" s="6">
        <f t="shared" si="0"/>
        <v>167</v>
      </c>
      <c r="C52" s="6">
        <v>73</v>
      </c>
      <c r="D52" s="6">
        <v>0</v>
      </c>
      <c r="E52" s="6">
        <v>2</v>
      </c>
      <c r="F52" s="6">
        <v>0</v>
      </c>
      <c r="G52" s="6">
        <v>13</v>
      </c>
      <c r="H52" s="6">
        <v>17</v>
      </c>
      <c r="I52" s="6">
        <v>27</v>
      </c>
      <c r="J52" s="6">
        <v>25</v>
      </c>
      <c r="K52" s="6">
        <v>5</v>
      </c>
      <c r="L52" s="6">
        <v>5</v>
      </c>
      <c r="M52" s="7" t="s">
        <v>10</v>
      </c>
      <c r="N52" s="124"/>
      <c r="O52" s="1"/>
    </row>
    <row r="53" spans="1:15" ht="13.5" thickBot="1" x14ac:dyDescent="0.25">
      <c r="A53" s="1"/>
      <c r="B53" s="6">
        <f t="shared" si="0"/>
        <v>13</v>
      </c>
      <c r="C53" s="6">
        <v>2</v>
      </c>
      <c r="D53" s="6">
        <v>2</v>
      </c>
      <c r="E53" s="6">
        <v>0</v>
      </c>
      <c r="F53" s="6">
        <v>0</v>
      </c>
      <c r="G53" s="6">
        <v>0</v>
      </c>
      <c r="H53" s="6">
        <v>0</v>
      </c>
      <c r="I53" s="6">
        <v>4</v>
      </c>
      <c r="J53" s="6">
        <v>0</v>
      </c>
      <c r="K53" s="6">
        <v>1</v>
      </c>
      <c r="L53" s="6">
        <v>4</v>
      </c>
      <c r="M53" s="7" t="s">
        <v>11</v>
      </c>
      <c r="N53" s="124" t="s">
        <v>33</v>
      </c>
      <c r="O53" s="1"/>
    </row>
    <row r="54" spans="1:15" ht="13.5" thickBot="1" x14ac:dyDescent="0.25">
      <c r="A54" s="1"/>
      <c r="B54" s="6">
        <f t="shared" ref="B54:L54" si="17">SUM(B52:B53)</f>
        <v>180</v>
      </c>
      <c r="C54" s="6">
        <f t="shared" si="17"/>
        <v>75</v>
      </c>
      <c r="D54" s="6">
        <f t="shared" si="17"/>
        <v>2</v>
      </c>
      <c r="E54" s="6">
        <f t="shared" si="17"/>
        <v>2</v>
      </c>
      <c r="F54" s="6">
        <f t="shared" si="17"/>
        <v>0</v>
      </c>
      <c r="G54" s="6">
        <f t="shared" si="17"/>
        <v>13</v>
      </c>
      <c r="H54" s="6">
        <f t="shared" si="17"/>
        <v>17</v>
      </c>
      <c r="I54" s="6">
        <f t="shared" si="17"/>
        <v>31</v>
      </c>
      <c r="J54" s="6">
        <f t="shared" si="17"/>
        <v>25</v>
      </c>
      <c r="K54" s="6">
        <f t="shared" si="17"/>
        <v>6</v>
      </c>
      <c r="L54" s="6">
        <f t="shared" si="17"/>
        <v>9</v>
      </c>
      <c r="M54" s="7" t="s">
        <v>13</v>
      </c>
      <c r="N54" s="9"/>
      <c r="O54" s="1"/>
    </row>
    <row r="55" spans="1:15" ht="13.5" thickBot="1" x14ac:dyDescent="0.25">
      <c r="A55" s="1"/>
      <c r="B55" s="6">
        <f t="shared" ref="B55:K57" si="18">B4+B7+B10+B13+B16+B19+B22+B25+B28+B31+B34+B37+B40+B43+B46+B49+B52</f>
        <v>1073</v>
      </c>
      <c r="C55" s="6">
        <f t="shared" si="18"/>
        <v>91</v>
      </c>
      <c r="D55" s="6">
        <f t="shared" si="18"/>
        <v>4</v>
      </c>
      <c r="E55" s="6">
        <f t="shared" si="18"/>
        <v>31</v>
      </c>
      <c r="F55" s="6">
        <f t="shared" si="18"/>
        <v>0</v>
      </c>
      <c r="G55" s="6">
        <f t="shared" si="18"/>
        <v>149</v>
      </c>
      <c r="H55" s="6">
        <f t="shared" si="18"/>
        <v>172</v>
      </c>
      <c r="I55" s="6">
        <f t="shared" si="18"/>
        <v>233</v>
      </c>
      <c r="J55" s="6">
        <f t="shared" si="18"/>
        <v>337</v>
      </c>
      <c r="K55" s="6">
        <f t="shared" si="18"/>
        <v>36</v>
      </c>
      <c r="L55" s="6">
        <f>L4+L7+L10+L13+L16+L19+L22+L25+L28+L31+L34+L37+L40+L43+L46+L49+L52</f>
        <v>20</v>
      </c>
      <c r="M55" s="7" t="s">
        <v>10</v>
      </c>
      <c r="N55" s="3"/>
      <c r="O55" s="1"/>
    </row>
    <row r="56" spans="1:15" ht="13.5" thickBot="1" x14ac:dyDescent="0.25">
      <c r="A56" s="1"/>
      <c r="B56" s="6">
        <f t="shared" si="18"/>
        <v>201</v>
      </c>
      <c r="C56" s="6">
        <f t="shared" si="18"/>
        <v>9</v>
      </c>
      <c r="D56" s="6">
        <f t="shared" si="18"/>
        <v>11</v>
      </c>
      <c r="E56" s="6">
        <f t="shared" si="18"/>
        <v>0</v>
      </c>
      <c r="F56" s="6">
        <f t="shared" si="18"/>
        <v>0</v>
      </c>
      <c r="G56" s="6">
        <f t="shared" si="18"/>
        <v>33</v>
      </c>
      <c r="H56" s="6">
        <f t="shared" si="18"/>
        <v>4</v>
      </c>
      <c r="I56" s="6">
        <f t="shared" si="18"/>
        <v>42</v>
      </c>
      <c r="J56" s="6">
        <f t="shared" si="18"/>
        <v>56</v>
      </c>
      <c r="K56" s="6">
        <f t="shared" si="18"/>
        <v>21</v>
      </c>
      <c r="L56" s="6">
        <f>L5+L8+L11+L14+L17+L20+L23+L26+L29+L32+L35+L38+L41+L44+L47+L50+L53</f>
        <v>25</v>
      </c>
      <c r="M56" s="7" t="s">
        <v>11</v>
      </c>
      <c r="N56" s="11" t="s">
        <v>211</v>
      </c>
      <c r="O56" s="1"/>
    </row>
    <row r="57" spans="1:15" ht="13.5" thickBot="1" x14ac:dyDescent="0.25">
      <c r="A57" s="1"/>
      <c r="B57" s="6">
        <f t="shared" si="18"/>
        <v>1274</v>
      </c>
      <c r="C57" s="6">
        <f t="shared" si="18"/>
        <v>100</v>
      </c>
      <c r="D57" s="6">
        <f t="shared" si="18"/>
        <v>15</v>
      </c>
      <c r="E57" s="6">
        <f t="shared" si="18"/>
        <v>31</v>
      </c>
      <c r="F57" s="6">
        <f t="shared" si="18"/>
        <v>0</v>
      </c>
      <c r="G57" s="6">
        <f t="shared" si="18"/>
        <v>182</v>
      </c>
      <c r="H57" s="6">
        <f t="shared" si="18"/>
        <v>176</v>
      </c>
      <c r="I57" s="6">
        <f t="shared" si="18"/>
        <v>275</v>
      </c>
      <c r="J57" s="6">
        <f t="shared" si="18"/>
        <v>393</v>
      </c>
      <c r="K57" s="6">
        <f t="shared" si="18"/>
        <v>57</v>
      </c>
      <c r="L57" s="6">
        <f>L6+L9+L12+L15+L18+L21+L24+L27+L30+L33+L36+L39+L42+L45+L48+L51+L54</f>
        <v>45</v>
      </c>
      <c r="M57" s="7" t="s">
        <v>13</v>
      </c>
      <c r="N57" s="5"/>
      <c r="O57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57"/>
  <sheetViews>
    <sheetView showGridLines="0" topLeftCell="A19" zoomScale="90" zoomScaleNormal="90" workbookViewId="0">
      <selection activeCell="B2" sqref="B2:N2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721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722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1</v>
      </c>
      <c r="I4" s="6">
        <v>0</v>
      </c>
      <c r="J4" s="6">
        <v>0</v>
      </c>
      <c r="K4" s="6">
        <v>0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53" si="0">SUM(C5:L5)</f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7" t="s">
        <v>11</v>
      </c>
      <c r="N5" s="124" t="s">
        <v>14</v>
      </c>
      <c r="O5" s="1"/>
    </row>
    <row r="6" spans="1:15" ht="13.5" thickBot="1" x14ac:dyDescent="0.25">
      <c r="A6" s="1"/>
      <c r="B6" s="6">
        <f t="shared" ref="B6:K6" si="1">SUM(B4:B5)</f>
        <v>1</v>
      </c>
      <c r="C6" s="6">
        <f t="shared" si="1"/>
        <v>0</v>
      </c>
      <c r="D6" s="6">
        <f t="shared" si="1"/>
        <v>0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1</v>
      </c>
      <c r="I6" s="6">
        <f t="shared" si="1"/>
        <v>0</v>
      </c>
      <c r="J6" s="6">
        <f t="shared" si="1"/>
        <v>0</v>
      </c>
      <c r="K6" s="6">
        <f t="shared" si="1"/>
        <v>0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1</v>
      </c>
      <c r="C7" s="6">
        <v>0</v>
      </c>
      <c r="D7" s="6">
        <v>0</v>
      </c>
      <c r="E7" s="6">
        <v>1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7" t="s">
        <v>11</v>
      </c>
      <c r="N8" s="124" t="s">
        <v>15</v>
      </c>
      <c r="O8" s="1"/>
    </row>
    <row r="9" spans="1:15" ht="13.5" thickBot="1" x14ac:dyDescent="0.25">
      <c r="A9" s="1"/>
      <c r="B9" s="6">
        <f t="shared" ref="B9:L9" si="2">SUM(B7:B8)</f>
        <v>1</v>
      </c>
      <c r="C9" s="6">
        <f t="shared" si="2"/>
        <v>0</v>
      </c>
      <c r="D9" s="6">
        <f t="shared" si="2"/>
        <v>0</v>
      </c>
      <c r="E9" s="6">
        <f t="shared" si="2"/>
        <v>1</v>
      </c>
      <c r="F9" s="6">
        <f t="shared" si="2"/>
        <v>0</v>
      </c>
      <c r="G9" s="6">
        <f t="shared" si="2"/>
        <v>0</v>
      </c>
      <c r="H9" s="6">
        <f t="shared" si="2"/>
        <v>0</v>
      </c>
      <c r="I9" s="6">
        <f t="shared" si="2"/>
        <v>0</v>
      </c>
      <c r="J9" s="6">
        <f t="shared" si="2"/>
        <v>0</v>
      </c>
      <c r="K9" s="6">
        <f t="shared" si="2"/>
        <v>0</v>
      </c>
      <c r="L9" s="6">
        <f t="shared" si="2"/>
        <v>0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2</v>
      </c>
      <c r="C10" s="6">
        <v>0</v>
      </c>
      <c r="D10" s="6">
        <v>0</v>
      </c>
      <c r="E10" s="6">
        <v>0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1</v>
      </c>
      <c r="C11" s="6">
        <v>0</v>
      </c>
      <c r="D11" s="6">
        <v>0</v>
      </c>
      <c r="E11" s="6">
        <v>0</v>
      </c>
      <c r="F11" s="6">
        <v>0</v>
      </c>
      <c r="G11" s="6">
        <v>1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7" t="s">
        <v>11</v>
      </c>
      <c r="N11" s="124" t="s">
        <v>16</v>
      </c>
      <c r="O11" s="1"/>
    </row>
    <row r="12" spans="1:15" ht="13.5" thickBot="1" x14ac:dyDescent="0.25">
      <c r="A12" s="1"/>
      <c r="B12" s="6">
        <f t="shared" ref="B12:L12" si="3">SUM(B10:B11)</f>
        <v>3</v>
      </c>
      <c r="C12" s="6">
        <f t="shared" si="3"/>
        <v>0</v>
      </c>
      <c r="D12" s="6">
        <f t="shared" si="3"/>
        <v>0</v>
      </c>
      <c r="E12" s="6">
        <f t="shared" si="3"/>
        <v>0</v>
      </c>
      <c r="F12" s="6">
        <f t="shared" si="3"/>
        <v>0</v>
      </c>
      <c r="G12" s="6">
        <f t="shared" si="3"/>
        <v>3</v>
      </c>
      <c r="H12" s="6">
        <f t="shared" si="3"/>
        <v>0</v>
      </c>
      <c r="I12" s="6">
        <f t="shared" si="3"/>
        <v>0</v>
      </c>
      <c r="J12" s="6">
        <f t="shared" si="3"/>
        <v>0</v>
      </c>
      <c r="K12" s="6">
        <f t="shared" si="3"/>
        <v>0</v>
      </c>
      <c r="L12" s="6">
        <f t="shared" si="3"/>
        <v>0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2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1</v>
      </c>
      <c r="J13" s="6">
        <v>1</v>
      </c>
      <c r="K13" s="6">
        <v>0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2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</v>
      </c>
      <c r="K14" s="6">
        <v>0</v>
      </c>
      <c r="L14" s="6">
        <v>0</v>
      </c>
      <c r="M14" s="7" t="s">
        <v>11</v>
      </c>
      <c r="N14" s="124" t="s">
        <v>19</v>
      </c>
      <c r="O14" s="1"/>
    </row>
    <row r="15" spans="1:15" ht="13.5" thickBot="1" x14ac:dyDescent="0.25">
      <c r="A15" s="1"/>
      <c r="B15" s="6">
        <f t="shared" ref="B15:L15" si="4">SUM(B13:B14)</f>
        <v>4</v>
      </c>
      <c r="C15" s="6">
        <f t="shared" si="4"/>
        <v>0</v>
      </c>
      <c r="D15" s="6">
        <f t="shared" si="4"/>
        <v>0</v>
      </c>
      <c r="E15" s="6">
        <f t="shared" si="4"/>
        <v>0</v>
      </c>
      <c r="F15" s="6">
        <f t="shared" si="4"/>
        <v>0</v>
      </c>
      <c r="G15" s="6">
        <f t="shared" si="4"/>
        <v>0</v>
      </c>
      <c r="H15" s="6">
        <f t="shared" si="4"/>
        <v>0</v>
      </c>
      <c r="I15" s="6">
        <f t="shared" si="4"/>
        <v>1</v>
      </c>
      <c r="J15" s="6">
        <f t="shared" si="4"/>
        <v>3</v>
      </c>
      <c r="K15" s="6">
        <f t="shared" si="4"/>
        <v>0</v>
      </c>
      <c r="L15" s="6">
        <f t="shared" si="4"/>
        <v>0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2</v>
      </c>
      <c r="C16" s="6">
        <v>1</v>
      </c>
      <c r="D16" s="6">
        <v>0</v>
      </c>
      <c r="E16" s="6">
        <v>0</v>
      </c>
      <c r="F16" s="6">
        <v>0</v>
      </c>
      <c r="G16" s="6">
        <v>1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7" t="s">
        <v>11</v>
      </c>
      <c r="N17" s="124" t="s">
        <v>35</v>
      </c>
      <c r="O17" s="1"/>
    </row>
    <row r="18" spans="1:15" ht="13.5" thickBot="1" x14ac:dyDescent="0.25">
      <c r="A18" s="1"/>
      <c r="B18" s="6">
        <f t="shared" ref="B18:L18" si="5">SUM(B16:B17)</f>
        <v>2</v>
      </c>
      <c r="C18" s="6">
        <f t="shared" si="5"/>
        <v>1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1</v>
      </c>
      <c r="H18" s="6">
        <f t="shared" si="5"/>
        <v>0</v>
      </c>
      <c r="I18" s="6">
        <f t="shared" si="5"/>
        <v>0</v>
      </c>
      <c r="J18" s="6">
        <f t="shared" si="5"/>
        <v>0</v>
      </c>
      <c r="K18" s="6">
        <f t="shared" si="5"/>
        <v>0</v>
      </c>
      <c r="L18" s="6">
        <f t="shared" si="5"/>
        <v>0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3</v>
      </c>
      <c r="C19" s="6">
        <v>0</v>
      </c>
      <c r="D19" s="6">
        <v>0</v>
      </c>
      <c r="E19" s="6">
        <v>0</v>
      </c>
      <c r="F19" s="6">
        <v>0</v>
      </c>
      <c r="G19" s="6">
        <v>2</v>
      </c>
      <c r="H19" s="6">
        <v>0</v>
      </c>
      <c r="I19" s="6">
        <v>1</v>
      </c>
      <c r="J19" s="6">
        <v>0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2</v>
      </c>
      <c r="C20" s="6">
        <v>0</v>
      </c>
      <c r="D20" s="6">
        <v>0</v>
      </c>
      <c r="E20" s="6">
        <v>0</v>
      </c>
      <c r="F20" s="6">
        <v>0</v>
      </c>
      <c r="G20" s="6">
        <v>2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7" t="s">
        <v>11</v>
      </c>
      <c r="N20" s="124" t="s">
        <v>22</v>
      </c>
      <c r="O20" s="1"/>
    </row>
    <row r="21" spans="1:15" ht="13.5" thickBot="1" x14ac:dyDescent="0.25">
      <c r="A21" s="1"/>
      <c r="B21" s="6">
        <f t="shared" ref="B21:L21" si="6">SUM(B19:B20)</f>
        <v>5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4</v>
      </c>
      <c r="H21" s="6">
        <f t="shared" si="6"/>
        <v>0</v>
      </c>
      <c r="I21" s="6">
        <f t="shared" si="6"/>
        <v>1</v>
      </c>
      <c r="J21" s="6">
        <f t="shared" si="6"/>
        <v>0</v>
      </c>
      <c r="K21" s="6">
        <f t="shared" si="6"/>
        <v>0</v>
      </c>
      <c r="L21" s="6">
        <f t="shared" si="6"/>
        <v>0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2</v>
      </c>
      <c r="C22" s="6">
        <v>0</v>
      </c>
      <c r="D22" s="6">
        <v>0</v>
      </c>
      <c r="E22" s="6">
        <v>0</v>
      </c>
      <c r="F22" s="6">
        <v>0</v>
      </c>
      <c r="G22" s="6">
        <v>1</v>
      </c>
      <c r="H22" s="6">
        <v>0</v>
      </c>
      <c r="I22" s="6">
        <v>1</v>
      </c>
      <c r="J22" s="6">
        <v>0</v>
      </c>
      <c r="K22" s="6">
        <v>0</v>
      </c>
      <c r="L22" s="6">
        <v>0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2</v>
      </c>
      <c r="C23" s="6">
        <v>0</v>
      </c>
      <c r="D23" s="6">
        <v>0</v>
      </c>
      <c r="E23" s="6">
        <v>0</v>
      </c>
      <c r="F23" s="6">
        <v>0</v>
      </c>
      <c r="G23" s="6">
        <v>1</v>
      </c>
      <c r="H23" s="6">
        <v>0</v>
      </c>
      <c r="I23" s="6">
        <v>0</v>
      </c>
      <c r="J23" s="6">
        <v>0</v>
      </c>
      <c r="K23" s="6">
        <v>1</v>
      </c>
      <c r="L23" s="6">
        <v>0</v>
      </c>
      <c r="M23" s="7" t="s">
        <v>11</v>
      </c>
      <c r="N23" s="124" t="s">
        <v>32</v>
      </c>
      <c r="O23" s="1"/>
    </row>
    <row r="24" spans="1:15" ht="13.5" thickBot="1" x14ac:dyDescent="0.25">
      <c r="A24" s="1"/>
      <c r="B24" s="6">
        <f t="shared" ref="B24:L24" si="7">SUM(B22:B23)</f>
        <v>4</v>
      </c>
      <c r="C24" s="6">
        <f t="shared" si="7"/>
        <v>0</v>
      </c>
      <c r="D24" s="6">
        <f t="shared" si="7"/>
        <v>0</v>
      </c>
      <c r="E24" s="6">
        <f t="shared" si="7"/>
        <v>0</v>
      </c>
      <c r="F24" s="6">
        <f t="shared" si="7"/>
        <v>0</v>
      </c>
      <c r="G24" s="6">
        <f t="shared" si="7"/>
        <v>2</v>
      </c>
      <c r="H24" s="6">
        <f t="shared" si="7"/>
        <v>0</v>
      </c>
      <c r="I24" s="6">
        <f t="shared" si="7"/>
        <v>1</v>
      </c>
      <c r="J24" s="6">
        <f t="shared" si="7"/>
        <v>0</v>
      </c>
      <c r="K24" s="6">
        <f t="shared" si="7"/>
        <v>1</v>
      </c>
      <c r="L24" s="6">
        <f t="shared" si="7"/>
        <v>0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18</v>
      </c>
      <c r="C25" s="6">
        <v>1</v>
      </c>
      <c r="D25" s="6">
        <v>0</v>
      </c>
      <c r="E25" s="6">
        <v>2</v>
      </c>
      <c r="F25" s="6">
        <v>0</v>
      </c>
      <c r="G25" s="6">
        <v>3</v>
      </c>
      <c r="H25" s="6">
        <v>0</v>
      </c>
      <c r="I25" s="6">
        <v>2</v>
      </c>
      <c r="J25" s="6">
        <v>10</v>
      </c>
      <c r="K25" s="6">
        <v>0</v>
      </c>
      <c r="L25" s="6">
        <v>0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1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1</v>
      </c>
      <c r="J26" s="6">
        <v>0</v>
      </c>
      <c r="K26" s="6">
        <v>0</v>
      </c>
      <c r="L26" s="6">
        <v>0</v>
      </c>
      <c r="M26" s="7" t="s">
        <v>11</v>
      </c>
      <c r="N26" s="124" t="s">
        <v>23</v>
      </c>
      <c r="O26" s="1"/>
    </row>
    <row r="27" spans="1:15" ht="13.5" thickBot="1" x14ac:dyDescent="0.25">
      <c r="A27" s="1"/>
      <c r="B27" s="6">
        <f t="shared" ref="B27:L27" si="8">SUM(B25:B26)</f>
        <v>19</v>
      </c>
      <c r="C27" s="6">
        <f t="shared" si="8"/>
        <v>1</v>
      </c>
      <c r="D27" s="6">
        <f t="shared" si="8"/>
        <v>0</v>
      </c>
      <c r="E27" s="6">
        <f t="shared" si="8"/>
        <v>2</v>
      </c>
      <c r="F27" s="6">
        <f t="shared" si="8"/>
        <v>0</v>
      </c>
      <c r="G27" s="6">
        <f t="shared" si="8"/>
        <v>3</v>
      </c>
      <c r="H27" s="6">
        <f t="shared" si="8"/>
        <v>0</v>
      </c>
      <c r="I27" s="6">
        <f t="shared" si="8"/>
        <v>3</v>
      </c>
      <c r="J27" s="6">
        <f t="shared" si="8"/>
        <v>10</v>
      </c>
      <c r="K27" s="6">
        <f t="shared" si="8"/>
        <v>0</v>
      </c>
      <c r="L27" s="6">
        <f t="shared" si="8"/>
        <v>0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239</v>
      </c>
      <c r="C28" s="6">
        <v>7</v>
      </c>
      <c r="D28" s="6">
        <v>1</v>
      </c>
      <c r="E28" s="6">
        <v>5</v>
      </c>
      <c r="F28" s="6">
        <v>0</v>
      </c>
      <c r="G28" s="6">
        <v>23</v>
      </c>
      <c r="H28" s="6">
        <v>55</v>
      </c>
      <c r="I28" s="6">
        <v>57</v>
      </c>
      <c r="J28" s="6">
        <v>83</v>
      </c>
      <c r="K28" s="6">
        <v>7</v>
      </c>
      <c r="L28" s="6">
        <v>1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38</v>
      </c>
      <c r="C29" s="6">
        <v>2</v>
      </c>
      <c r="D29" s="6">
        <v>2</v>
      </c>
      <c r="E29" s="6">
        <v>0</v>
      </c>
      <c r="F29" s="6">
        <v>0</v>
      </c>
      <c r="G29" s="6">
        <v>7</v>
      </c>
      <c r="H29" s="6">
        <v>2</v>
      </c>
      <c r="I29" s="6">
        <v>9</v>
      </c>
      <c r="J29" s="6">
        <v>12</v>
      </c>
      <c r="K29" s="6">
        <v>3</v>
      </c>
      <c r="L29" s="6">
        <v>1</v>
      </c>
      <c r="M29" s="7" t="s">
        <v>11</v>
      </c>
      <c r="N29" s="124" t="s">
        <v>41</v>
      </c>
      <c r="O29" s="1"/>
    </row>
    <row r="30" spans="1:15" ht="13.5" thickBot="1" x14ac:dyDescent="0.25">
      <c r="A30" s="1"/>
      <c r="B30" s="6">
        <f t="shared" ref="B30:L30" si="9">SUM(B28:B29)</f>
        <v>277</v>
      </c>
      <c r="C30" s="6">
        <f t="shared" si="9"/>
        <v>9</v>
      </c>
      <c r="D30" s="6">
        <f t="shared" si="9"/>
        <v>3</v>
      </c>
      <c r="E30" s="6">
        <f t="shared" si="9"/>
        <v>5</v>
      </c>
      <c r="F30" s="6">
        <f t="shared" si="9"/>
        <v>0</v>
      </c>
      <c r="G30" s="6">
        <f t="shared" si="9"/>
        <v>30</v>
      </c>
      <c r="H30" s="6">
        <f t="shared" si="9"/>
        <v>57</v>
      </c>
      <c r="I30" s="6">
        <f t="shared" si="9"/>
        <v>66</v>
      </c>
      <c r="J30" s="6">
        <f t="shared" si="9"/>
        <v>95</v>
      </c>
      <c r="K30" s="6">
        <f t="shared" si="9"/>
        <v>10</v>
      </c>
      <c r="L30" s="6">
        <f t="shared" si="9"/>
        <v>2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1</v>
      </c>
      <c r="C31" s="6">
        <v>0</v>
      </c>
      <c r="D31" s="6">
        <v>0</v>
      </c>
      <c r="E31" s="6">
        <v>0</v>
      </c>
      <c r="F31" s="6">
        <v>0</v>
      </c>
      <c r="G31" s="6">
        <v>1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7" t="s">
        <v>11</v>
      </c>
      <c r="N32" s="124" t="s">
        <v>24</v>
      </c>
      <c r="O32" s="1"/>
    </row>
    <row r="33" spans="1:15" ht="13.5" thickBot="1" x14ac:dyDescent="0.25">
      <c r="A33" s="1"/>
      <c r="B33" s="6">
        <f t="shared" ref="B33:L33" si="10">SUM(B31:B32)</f>
        <v>1</v>
      </c>
      <c r="C33" s="6">
        <f t="shared" si="10"/>
        <v>0</v>
      </c>
      <c r="D33" s="6">
        <f t="shared" si="10"/>
        <v>0</v>
      </c>
      <c r="E33" s="6">
        <f t="shared" si="10"/>
        <v>0</v>
      </c>
      <c r="F33" s="6">
        <f t="shared" si="10"/>
        <v>0</v>
      </c>
      <c r="G33" s="6">
        <f t="shared" si="10"/>
        <v>1</v>
      </c>
      <c r="H33" s="6">
        <f t="shared" si="10"/>
        <v>0</v>
      </c>
      <c r="I33" s="6">
        <f t="shared" si="10"/>
        <v>0</v>
      </c>
      <c r="J33" s="6">
        <f t="shared" si="10"/>
        <v>0</v>
      </c>
      <c r="K33" s="6">
        <f t="shared" si="10"/>
        <v>0</v>
      </c>
      <c r="L33" s="6">
        <f t="shared" si="10"/>
        <v>0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31</v>
      </c>
      <c r="C34" s="6">
        <v>2</v>
      </c>
      <c r="D34" s="6">
        <v>0</v>
      </c>
      <c r="E34" s="6">
        <v>1</v>
      </c>
      <c r="F34" s="6">
        <v>0</v>
      </c>
      <c r="G34" s="6">
        <v>5</v>
      </c>
      <c r="H34" s="6">
        <v>8</v>
      </c>
      <c r="I34" s="6">
        <v>6</v>
      </c>
      <c r="J34" s="6">
        <v>9</v>
      </c>
      <c r="K34" s="6">
        <v>0</v>
      </c>
      <c r="L34" s="6">
        <v>0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15</v>
      </c>
      <c r="C35" s="6">
        <v>1</v>
      </c>
      <c r="D35" s="6">
        <v>0</v>
      </c>
      <c r="E35" s="6">
        <v>0</v>
      </c>
      <c r="F35" s="6">
        <v>0</v>
      </c>
      <c r="G35" s="6">
        <v>1</v>
      </c>
      <c r="H35" s="6">
        <v>0</v>
      </c>
      <c r="I35" s="6">
        <v>5</v>
      </c>
      <c r="J35" s="6">
        <v>4</v>
      </c>
      <c r="K35" s="6">
        <v>0</v>
      </c>
      <c r="L35" s="6">
        <v>4</v>
      </c>
      <c r="M35" s="7" t="s">
        <v>11</v>
      </c>
      <c r="N35" s="124" t="s">
        <v>37</v>
      </c>
      <c r="O35" s="1"/>
    </row>
    <row r="36" spans="1:15" ht="13.5" thickBot="1" x14ac:dyDescent="0.25">
      <c r="A36" s="1"/>
      <c r="B36" s="6">
        <f t="shared" ref="B36:L36" si="11">SUM(B34:B35)</f>
        <v>46</v>
      </c>
      <c r="C36" s="6">
        <f t="shared" si="11"/>
        <v>3</v>
      </c>
      <c r="D36" s="6">
        <f t="shared" si="11"/>
        <v>0</v>
      </c>
      <c r="E36" s="6">
        <f t="shared" si="11"/>
        <v>1</v>
      </c>
      <c r="F36" s="6">
        <f t="shared" si="11"/>
        <v>0</v>
      </c>
      <c r="G36" s="6">
        <f t="shared" si="11"/>
        <v>6</v>
      </c>
      <c r="H36" s="6">
        <f t="shared" si="11"/>
        <v>8</v>
      </c>
      <c r="I36" s="6">
        <f t="shared" si="11"/>
        <v>11</v>
      </c>
      <c r="J36" s="6">
        <f t="shared" si="11"/>
        <v>13</v>
      </c>
      <c r="K36" s="6">
        <f t="shared" si="11"/>
        <v>0</v>
      </c>
      <c r="L36" s="6">
        <f t="shared" si="11"/>
        <v>4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21</v>
      </c>
      <c r="C37" s="6">
        <v>0</v>
      </c>
      <c r="D37" s="6">
        <v>0</v>
      </c>
      <c r="E37" s="6">
        <v>0</v>
      </c>
      <c r="F37" s="6">
        <v>0</v>
      </c>
      <c r="G37" s="6">
        <v>11</v>
      </c>
      <c r="H37" s="6">
        <v>0</v>
      </c>
      <c r="I37" s="6">
        <v>2</v>
      </c>
      <c r="J37" s="6">
        <v>3</v>
      </c>
      <c r="K37" s="6">
        <v>0</v>
      </c>
      <c r="L37" s="6">
        <v>5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11</v>
      </c>
      <c r="C38" s="6">
        <v>3</v>
      </c>
      <c r="D38" s="6">
        <v>0</v>
      </c>
      <c r="E38" s="6">
        <v>0</v>
      </c>
      <c r="F38" s="6">
        <v>0</v>
      </c>
      <c r="G38" s="6">
        <v>5</v>
      </c>
      <c r="H38" s="6">
        <v>0</v>
      </c>
      <c r="I38" s="6">
        <v>0</v>
      </c>
      <c r="J38" s="6">
        <v>1</v>
      </c>
      <c r="K38" s="6">
        <v>0</v>
      </c>
      <c r="L38" s="6">
        <v>2</v>
      </c>
      <c r="M38" s="7" t="s">
        <v>11</v>
      </c>
      <c r="N38" s="124" t="s">
        <v>42</v>
      </c>
      <c r="O38" s="1"/>
    </row>
    <row r="39" spans="1:15" ht="13.5" thickBot="1" x14ac:dyDescent="0.25">
      <c r="A39" s="1"/>
      <c r="B39" s="6">
        <f t="shared" ref="B39:L39" si="12">SUM(B37:B38)</f>
        <v>32</v>
      </c>
      <c r="C39" s="6">
        <f t="shared" si="12"/>
        <v>3</v>
      </c>
      <c r="D39" s="6">
        <f t="shared" si="12"/>
        <v>0</v>
      </c>
      <c r="E39" s="6">
        <f t="shared" si="12"/>
        <v>0</v>
      </c>
      <c r="F39" s="6">
        <f t="shared" si="12"/>
        <v>0</v>
      </c>
      <c r="G39" s="6">
        <f t="shared" si="12"/>
        <v>16</v>
      </c>
      <c r="H39" s="6">
        <f t="shared" si="12"/>
        <v>0</v>
      </c>
      <c r="I39" s="6">
        <f t="shared" si="12"/>
        <v>2</v>
      </c>
      <c r="J39" s="6">
        <f t="shared" si="12"/>
        <v>4</v>
      </c>
      <c r="K39" s="6">
        <f t="shared" si="12"/>
        <v>0</v>
      </c>
      <c r="L39" s="6">
        <f t="shared" si="12"/>
        <v>7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3</v>
      </c>
      <c r="C40" s="6">
        <v>0</v>
      </c>
      <c r="D40" s="6">
        <v>0</v>
      </c>
      <c r="E40" s="6">
        <v>0</v>
      </c>
      <c r="F40" s="6">
        <v>0</v>
      </c>
      <c r="G40" s="6">
        <v>3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4</v>
      </c>
      <c r="C41" s="6">
        <v>1</v>
      </c>
      <c r="D41" s="6">
        <v>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</v>
      </c>
      <c r="K41" s="6">
        <v>0</v>
      </c>
      <c r="L41" s="6">
        <v>1</v>
      </c>
      <c r="M41" s="7" t="s">
        <v>11</v>
      </c>
      <c r="N41" s="124" t="s">
        <v>38</v>
      </c>
      <c r="O41" s="1"/>
    </row>
    <row r="42" spans="1:15" ht="13.5" thickBot="1" x14ac:dyDescent="0.25">
      <c r="A42" s="1"/>
      <c r="B42" s="6">
        <f t="shared" ref="B42:L42" si="13">SUM(B40:B41)</f>
        <v>7</v>
      </c>
      <c r="C42" s="6">
        <f t="shared" si="13"/>
        <v>1</v>
      </c>
      <c r="D42" s="6">
        <f t="shared" si="13"/>
        <v>1</v>
      </c>
      <c r="E42" s="6">
        <f t="shared" si="13"/>
        <v>0</v>
      </c>
      <c r="F42" s="6">
        <f t="shared" si="13"/>
        <v>0</v>
      </c>
      <c r="G42" s="6">
        <f t="shared" si="13"/>
        <v>3</v>
      </c>
      <c r="H42" s="6">
        <f t="shared" si="13"/>
        <v>0</v>
      </c>
      <c r="I42" s="6">
        <f t="shared" si="13"/>
        <v>0</v>
      </c>
      <c r="J42" s="6">
        <f t="shared" si="13"/>
        <v>1</v>
      </c>
      <c r="K42" s="6">
        <f t="shared" si="13"/>
        <v>0</v>
      </c>
      <c r="L42" s="6">
        <f t="shared" si="13"/>
        <v>1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7" t="s">
        <v>11</v>
      </c>
      <c r="N44" s="124" t="s">
        <v>39</v>
      </c>
      <c r="O44" s="1"/>
    </row>
    <row r="45" spans="1:15" ht="13.5" thickBot="1" x14ac:dyDescent="0.25">
      <c r="A45" s="1"/>
      <c r="B45" s="6">
        <f t="shared" ref="B45:L45" si="14">SUM(B43:B44)</f>
        <v>1</v>
      </c>
      <c r="C45" s="6">
        <f t="shared" si="14"/>
        <v>0</v>
      </c>
      <c r="D45" s="6">
        <f t="shared" si="14"/>
        <v>0</v>
      </c>
      <c r="E45" s="6">
        <f t="shared" si="14"/>
        <v>0</v>
      </c>
      <c r="F45" s="6">
        <f t="shared" si="14"/>
        <v>0</v>
      </c>
      <c r="G45" s="6">
        <f t="shared" si="14"/>
        <v>1</v>
      </c>
      <c r="H45" s="6">
        <f t="shared" si="14"/>
        <v>0</v>
      </c>
      <c r="I45" s="6">
        <f t="shared" si="14"/>
        <v>0</v>
      </c>
      <c r="J45" s="6">
        <f t="shared" si="14"/>
        <v>0</v>
      </c>
      <c r="K45" s="6">
        <f t="shared" si="14"/>
        <v>0</v>
      </c>
      <c r="L45" s="6">
        <f t="shared" si="14"/>
        <v>0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si="0"/>
        <v>37</v>
      </c>
      <c r="C46" s="6">
        <v>1</v>
      </c>
      <c r="D46" s="6">
        <v>0</v>
      </c>
      <c r="E46" s="6">
        <v>2</v>
      </c>
      <c r="F46" s="6">
        <v>0</v>
      </c>
      <c r="G46" s="6">
        <v>14</v>
      </c>
      <c r="H46" s="6">
        <v>9</v>
      </c>
      <c r="I46" s="6">
        <v>7</v>
      </c>
      <c r="J46" s="6">
        <v>2</v>
      </c>
      <c r="K46" s="6">
        <v>2</v>
      </c>
      <c r="L46" s="6">
        <v>0</v>
      </c>
      <c r="M46" s="7" t="s">
        <v>10</v>
      </c>
      <c r="N46" s="124"/>
      <c r="O46" s="1"/>
    </row>
    <row r="47" spans="1:15" ht="13.5" thickBot="1" x14ac:dyDescent="0.25">
      <c r="A47" s="1"/>
      <c r="B47" s="6">
        <f t="shared" si="0"/>
        <v>4</v>
      </c>
      <c r="C47" s="6">
        <v>0</v>
      </c>
      <c r="D47" s="6">
        <v>0</v>
      </c>
      <c r="E47" s="6">
        <v>0</v>
      </c>
      <c r="F47" s="6">
        <v>0</v>
      </c>
      <c r="G47" s="6">
        <v>2</v>
      </c>
      <c r="H47" s="6">
        <v>0</v>
      </c>
      <c r="I47" s="6">
        <v>0</v>
      </c>
      <c r="J47" s="6">
        <v>1</v>
      </c>
      <c r="K47" s="6">
        <v>0</v>
      </c>
      <c r="L47" s="6">
        <v>1</v>
      </c>
      <c r="M47" s="7" t="s">
        <v>11</v>
      </c>
      <c r="N47" s="124" t="s">
        <v>25</v>
      </c>
      <c r="O47" s="1"/>
    </row>
    <row r="48" spans="1:15" ht="13.5" thickBot="1" x14ac:dyDescent="0.25">
      <c r="A48" s="1"/>
      <c r="B48" s="6">
        <f t="shared" ref="B48:L48" si="15">SUM(B46:B47)</f>
        <v>41</v>
      </c>
      <c r="C48" s="6">
        <f t="shared" si="15"/>
        <v>1</v>
      </c>
      <c r="D48" s="6">
        <f t="shared" si="15"/>
        <v>0</v>
      </c>
      <c r="E48" s="6">
        <f t="shared" si="15"/>
        <v>2</v>
      </c>
      <c r="F48" s="6">
        <f t="shared" si="15"/>
        <v>0</v>
      </c>
      <c r="G48" s="6">
        <f t="shared" si="15"/>
        <v>16</v>
      </c>
      <c r="H48" s="6">
        <f t="shared" si="15"/>
        <v>9</v>
      </c>
      <c r="I48" s="6">
        <f t="shared" si="15"/>
        <v>7</v>
      </c>
      <c r="J48" s="6">
        <f t="shared" si="15"/>
        <v>3</v>
      </c>
      <c r="K48" s="6">
        <f t="shared" si="15"/>
        <v>2</v>
      </c>
      <c r="L48" s="6">
        <f t="shared" si="15"/>
        <v>1</v>
      </c>
      <c r="M48" s="7" t="s">
        <v>13</v>
      </c>
      <c r="N48" s="9"/>
      <c r="O48" s="1"/>
    </row>
    <row r="49" spans="1:15" ht="13.5" thickBot="1" x14ac:dyDescent="0.25">
      <c r="A49" s="1"/>
      <c r="B49" s="6">
        <f t="shared" si="0"/>
        <v>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1</v>
      </c>
      <c r="J49" s="6">
        <v>1</v>
      </c>
      <c r="K49" s="6">
        <v>0</v>
      </c>
      <c r="L49" s="6">
        <v>0</v>
      </c>
      <c r="M49" s="7" t="s">
        <v>10</v>
      </c>
      <c r="N49" s="124"/>
      <c r="O49" s="1"/>
    </row>
    <row r="50" spans="1:15" ht="13.5" thickBot="1" x14ac:dyDescent="0.25">
      <c r="A50" s="1"/>
      <c r="B50" s="6">
        <f t="shared" si="0"/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7" t="s">
        <v>11</v>
      </c>
      <c r="N50" s="124" t="s">
        <v>26</v>
      </c>
      <c r="O50" s="1"/>
    </row>
    <row r="51" spans="1:15" ht="13.5" thickBot="1" x14ac:dyDescent="0.25">
      <c r="A51" s="1"/>
      <c r="B51" s="6">
        <f t="shared" ref="B51:L51" si="16">SUM(B49:B50)</f>
        <v>2</v>
      </c>
      <c r="C51" s="6">
        <f t="shared" si="16"/>
        <v>0</v>
      </c>
      <c r="D51" s="6">
        <f t="shared" si="16"/>
        <v>0</v>
      </c>
      <c r="E51" s="6">
        <f t="shared" si="16"/>
        <v>0</v>
      </c>
      <c r="F51" s="6">
        <f t="shared" si="16"/>
        <v>0</v>
      </c>
      <c r="G51" s="6">
        <f t="shared" si="16"/>
        <v>0</v>
      </c>
      <c r="H51" s="6">
        <f t="shared" si="16"/>
        <v>0</v>
      </c>
      <c r="I51" s="6">
        <f t="shared" si="16"/>
        <v>1</v>
      </c>
      <c r="J51" s="6">
        <f t="shared" si="16"/>
        <v>1</v>
      </c>
      <c r="K51" s="6">
        <f t="shared" si="16"/>
        <v>0</v>
      </c>
      <c r="L51" s="6">
        <f t="shared" si="16"/>
        <v>0</v>
      </c>
      <c r="M51" s="7" t="s">
        <v>13</v>
      </c>
      <c r="N51" s="9"/>
      <c r="O51" s="1"/>
    </row>
    <row r="52" spans="1:15" ht="13.5" thickBot="1" x14ac:dyDescent="0.25">
      <c r="A52" s="1"/>
      <c r="B52" s="6">
        <f t="shared" si="0"/>
        <v>111</v>
      </c>
      <c r="C52" s="6">
        <v>73</v>
      </c>
      <c r="D52" s="6">
        <v>0</v>
      </c>
      <c r="E52" s="6">
        <v>1</v>
      </c>
      <c r="F52" s="6">
        <v>0</v>
      </c>
      <c r="G52" s="6">
        <v>8</v>
      </c>
      <c r="H52" s="6">
        <v>6</v>
      </c>
      <c r="I52" s="6">
        <v>10</v>
      </c>
      <c r="J52" s="6">
        <v>7</v>
      </c>
      <c r="K52" s="6">
        <v>2</v>
      </c>
      <c r="L52" s="6">
        <v>4</v>
      </c>
      <c r="M52" s="7" t="s">
        <v>10</v>
      </c>
      <c r="N52" s="124"/>
      <c r="O52" s="1"/>
    </row>
    <row r="53" spans="1:15" ht="13.5" thickBot="1" x14ac:dyDescent="0.25">
      <c r="A53" s="1"/>
      <c r="B53" s="6">
        <f t="shared" si="0"/>
        <v>4</v>
      </c>
      <c r="C53" s="6">
        <v>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1</v>
      </c>
      <c r="L53" s="6">
        <v>1</v>
      </c>
      <c r="M53" s="7" t="s">
        <v>11</v>
      </c>
      <c r="N53" s="124" t="s">
        <v>33</v>
      </c>
      <c r="O53" s="1"/>
    </row>
    <row r="54" spans="1:15" ht="13.5" thickBot="1" x14ac:dyDescent="0.25">
      <c r="A54" s="1"/>
      <c r="B54" s="6">
        <f t="shared" ref="B54:L54" si="17">SUM(B52:B53)</f>
        <v>115</v>
      </c>
      <c r="C54" s="6">
        <f t="shared" si="17"/>
        <v>75</v>
      </c>
      <c r="D54" s="6">
        <f t="shared" si="17"/>
        <v>0</v>
      </c>
      <c r="E54" s="6">
        <f t="shared" si="17"/>
        <v>1</v>
      </c>
      <c r="F54" s="6">
        <f t="shared" si="17"/>
        <v>0</v>
      </c>
      <c r="G54" s="6">
        <f t="shared" si="17"/>
        <v>8</v>
      </c>
      <c r="H54" s="6">
        <f t="shared" si="17"/>
        <v>6</v>
      </c>
      <c r="I54" s="6">
        <f t="shared" si="17"/>
        <v>10</v>
      </c>
      <c r="J54" s="6">
        <f t="shared" si="17"/>
        <v>7</v>
      </c>
      <c r="K54" s="6">
        <f t="shared" si="17"/>
        <v>3</v>
      </c>
      <c r="L54" s="6">
        <f t="shared" si="17"/>
        <v>5</v>
      </c>
      <c r="M54" s="7" t="s">
        <v>13</v>
      </c>
      <c r="N54" s="9"/>
      <c r="O54" s="1"/>
    </row>
    <row r="55" spans="1:15" ht="13.5" thickBot="1" x14ac:dyDescent="0.25">
      <c r="A55" s="1"/>
      <c r="B55" s="6">
        <f t="shared" ref="B55:K57" si="18">B4+B7+B10+B13+B16+B19+B22+B25+B28+B31+B34+B37+B40+B43+B46+B49+B52</f>
        <v>477</v>
      </c>
      <c r="C55" s="6">
        <f t="shared" si="18"/>
        <v>85</v>
      </c>
      <c r="D55" s="6">
        <f t="shared" si="18"/>
        <v>1</v>
      </c>
      <c r="E55" s="6">
        <f t="shared" si="18"/>
        <v>12</v>
      </c>
      <c r="F55" s="6">
        <f t="shared" si="18"/>
        <v>0</v>
      </c>
      <c r="G55" s="6">
        <f t="shared" si="18"/>
        <v>75</v>
      </c>
      <c r="H55" s="6">
        <f t="shared" si="18"/>
        <v>79</v>
      </c>
      <c r="I55" s="6">
        <f t="shared" si="18"/>
        <v>88</v>
      </c>
      <c r="J55" s="6">
        <f t="shared" si="18"/>
        <v>116</v>
      </c>
      <c r="K55" s="6">
        <f t="shared" si="18"/>
        <v>11</v>
      </c>
      <c r="L55" s="6">
        <f>L4+L7+L10+L13+L16+L19+L22+L25+L28+L31+L34+L37+L40+L43+L46+L49+L52</f>
        <v>10</v>
      </c>
      <c r="M55" s="7" t="s">
        <v>10</v>
      </c>
      <c r="N55" s="3"/>
      <c r="O55" s="1"/>
    </row>
    <row r="56" spans="1:15" ht="13.5" thickBot="1" x14ac:dyDescent="0.25">
      <c r="A56" s="1"/>
      <c r="B56" s="6">
        <f t="shared" si="18"/>
        <v>84</v>
      </c>
      <c r="C56" s="6">
        <f t="shared" si="18"/>
        <v>9</v>
      </c>
      <c r="D56" s="6">
        <f t="shared" si="18"/>
        <v>3</v>
      </c>
      <c r="E56" s="6">
        <f t="shared" si="18"/>
        <v>0</v>
      </c>
      <c r="F56" s="6">
        <f t="shared" si="18"/>
        <v>0</v>
      </c>
      <c r="G56" s="6">
        <f t="shared" si="18"/>
        <v>19</v>
      </c>
      <c r="H56" s="6">
        <f t="shared" si="18"/>
        <v>2</v>
      </c>
      <c r="I56" s="6">
        <f t="shared" si="18"/>
        <v>15</v>
      </c>
      <c r="J56" s="6">
        <f t="shared" si="18"/>
        <v>21</v>
      </c>
      <c r="K56" s="6">
        <f t="shared" si="18"/>
        <v>5</v>
      </c>
      <c r="L56" s="6">
        <f>L5+L8+L11+L14+L17+L20+L23+L26+L29+L32+L35+L38+L41+L44+L47+L50+L53</f>
        <v>10</v>
      </c>
      <c r="M56" s="7" t="s">
        <v>11</v>
      </c>
      <c r="N56" s="11" t="s">
        <v>211</v>
      </c>
      <c r="O56" s="1"/>
    </row>
    <row r="57" spans="1:15" ht="13.5" thickBot="1" x14ac:dyDescent="0.25">
      <c r="A57" s="1"/>
      <c r="B57" s="6">
        <f t="shared" si="18"/>
        <v>561</v>
      </c>
      <c r="C57" s="6">
        <f t="shared" si="18"/>
        <v>94</v>
      </c>
      <c r="D57" s="6">
        <f t="shared" si="18"/>
        <v>4</v>
      </c>
      <c r="E57" s="6">
        <f t="shared" si="18"/>
        <v>12</v>
      </c>
      <c r="F57" s="6">
        <f t="shared" si="18"/>
        <v>0</v>
      </c>
      <c r="G57" s="6">
        <f t="shared" si="18"/>
        <v>94</v>
      </c>
      <c r="H57" s="6">
        <f t="shared" si="18"/>
        <v>81</v>
      </c>
      <c r="I57" s="6">
        <f t="shared" si="18"/>
        <v>103</v>
      </c>
      <c r="J57" s="6">
        <f t="shared" si="18"/>
        <v>137</v>
      </c>
      <c r="K57" s="6">
        <f t="shared" si="18"/>
        <v>16</v>
      </c>
      <c r="L57" s="6">
        <f>L6+L9+L12+L15+L18+L21+L24+L27+L30+L33+L36+L39+L42+L45+L48+L51+L54</f>
        <v>20</v>
      </c>
      <c r="M57" s="7" t="s">
        <v>13</v>
      </c>
      <c r="N57" s="5"/>
      <c r="O57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48"/>
  <sheetViews>
    <sheetView showGridLines="0" zoomScale="90" zoomScaleNormal="90" workbookViewId="0">
      <selection activeCell="B2" sqref="B2:N2"/>
    </sheetView>
  </sheetViews>
  <sheetFormatPr defaultRowHeight="12.75" x14ac:dyDescent="0.2"/>
  <cols>
    <col min="1" max="1" width="4.25" style="2" customWidth="1"/>
    <col min="2" max="12" width="8.25" style="2" customWidth="1"/>
    <col min="13" max="13" width="11" style="2" customWidth="1"/>
    <col min="14" max="14" width="27.375" style="2" customWidth="1"/>
    <col min="15" max="15" width="4" style="2" customWidth="1"/>
    <col min="16" max="256" width="9" style="2"/>
    <col min="257" max="257" width="4.25" style="2" customWidth="1"/>
    <col min="258" max="268" width="8.25" style="2" customWidth="1"/>
    <col min="269" max="269" width="11" style="2" customWidth="1"/>
    <col min="270" max="270" width="27.375" style="2" customWidth="1"/>
    <col min="271" max="271" width="4" style="2" customWidth="1"/>
    <col min="272" max="512" width="9" style="2"/>
    <col min="513" max="513" width="4.25" style="2" customWidth="1"/>
    <col min="514" max="524" width="8.25" style="2" customWidth="1"/>
    <col min="525" max="525" width="11" style="2" customWidth="1"/>
    <col min="526" max="526" width="27.375" style="2" customWidth="1"/>
    <col min="527" max="527" width="4" style="2" customWidth="1"/>
    <col min="528" max="768" width="9" style="2"/>
    <col min="769" max="769" width="4.25" style="2" customWidth="1"/>
    <col min="770" max="780" width="8.25" style="2" customWidth="1"/>
    <col min="781" max="781" width="11" style="2" customWidth="1"/>
    <col min="782" max="782" width="27.375" style="2" customWidth="1"/>
    <col min="783" max="783" width="4" style="2" customWidth="1"/>
    <col min="784" max="1024" width="9" style="2"/>
    <col min="1025" max="1025" width="4.25" style="2" customWidth="1"/>
    <col min="1026" max="1036" width="8.25" style="2" customWidth="1"/>
    <col min="1037" max="1037" width="11" style="2" customWidth="1"/>
    <col min="1038" max="1038" width="27.375" style="2" customWidth="1"/>
    <col min="1039" max="1039" width="4" style="2" customWidth="1"/>
    <col min="1040" max="1280" width="9" style="2"/>
    <col min="1281" max="1281" width="4.25" style="2" customWidth="1"/>
    <col min="1282" max="1292" width="8.25" style="2" customWidth="1"/>
    <col min="1293" max="1293" width="11" style="2" customWidth="1"/>
    <col min="1294" max="1294" width="27.375" style="2" customWidth="1"/>
    <col min="1295" max="1295" width="4" style="2" customWidth="1"/>
    <col min="1296" max="1536" width="9" style="2"/>
    <col min="1537" max="1537" width="4.25" style="2" customWidth="1"/>
    <col min="1538" max="1548" width="8.25" style="2" customWidth="1"/>
    <col min="1549" max="1549" width="11" style="2" customWidth="1"/>
    <col min="1550" max="1550" width="27.375" style="2" customWidth="1"/>
    <col min="1551" max="1551" width="4" style="2" customWidth="1"/>
    <col min="1552" max="1792" width="9" style="2"/>
    <col min="1793" max="1793" width="4.25" style="2" customWidth="1"/>
    <col min="1794" max="1804" width="8.25" style="2" customWidth="1"/>
    <col min="1805" max="1805" width="11" style="2" customWidth="1"/>
    <col min="1806" max="1806" width="27.375" style="2" customWidth="1"/>
    <col min="1807" max="1807" width="4" style="2" customWidth="1"/>
    <col min="1808" max="2048" width="9" style="2"/>
    <col min="2049" max="2049" width="4.25" style="2" customWidth="1"/>
    <col min="2050" max="2060" width="8.25" style="2" customWidth="1"/>
    <col min="2061" max="2061" width="11" style="2" customWidth="1"/>
    <col min="2062" max="2062" width="27.375" style="2" customWidth="1"/>
    <col min="2063" max="2063" width="4" style="2" customWidth="1"/>
    <col min="2064" max="2304" width="9" style="2"/>
    <col min="2305" max="2305" width="4.25" style="2" customWidth="1"/>
    <col min="2306" max="2316" width="8.25" style="2" customWidth="1"/>
    <col min="2317" max="2317" width="11" style="2" customWidth="1"/>
    <col min="2318" max="2318" width="27.375" style="2" customWidth="1"/>
    <col min="2319" max="2319" width="4" style="2" customWidth="1"/>
    <col min="2320" max="2560" width="9" style="2"/>
    <col min="2561" max="2561" width="4.25" style="2" customWidth="1"/>
    <col min="2562" max="2572" width="8.25" style="2" customWidth="1"/>
    <col min="2573" max="2573" width="11" style="2" customWidth="1"/>
    <col min="2574" max="2574" width="27.375" style="2" customWidth="1"/>
    <col min="2575" max="2575" width="4" style="2" customWidth="1"/>
    <col min="2576" max="2816" width="9" style="2"/>
    <col min="2817" max="2817" width="4.25" style="2" customWidth="1"/>
    <col min="2818" max="2828" width="8.25" style="2" customWidth="1"/>
    <col min="2829" max="2829" width="11" style="2" customWidth="1"/>
    <col min="2830" max="2830" width="27.375" style="2" customWidth="1"/>
    <col min="2831" max="2831" width="4" style="2" customWidth="1"/>
    <col min="2832" max="3072" width="9" style="2"/>
    <col min="3073" max="3073" width="4.25" style="2" customWidth="1"/>
    <col min="3074" max="3084" width="8.25" style="2" customWidth="1"/>
    <col min="3085" max="3085" width="11" style="2" customWidth="1"/>
    <col min="3086" max="3086" width="27.375" style="2" customWidth="1"/>
    <col min="3087" max="3087" width="4" style="2" customWidth="1"/>
    <col min="3088" max="3328" width="9" style="2"/>
    <col min="3329" max="3329" width="4.25" style="2" customWidth="1"/>
    <col min="3330" max="3340" width="8.25" style="2" customWidth="1"/>
    <col min="3341" max="3341" width="11" style="2" customWidth="1"/>
    <col min="3342" max="3342" width="27.375" style="2" customWidth="1"/>
    <col min="3343" max="3343" width="4" style="2" customWidth="1"/>
    <col min="3344" max="3584" width="9" style="2"/>
    <col min="3585" max="3585" width="4.25" style="2" customWidth="1"/>
    <col min="3586" max="3596" width="8.25" style="2" customWidth="1"/>
    <col min="3597" max="3597" width="11" style="2" customWidth="1"/>
    <col min="3598" max="3598" width="27.375" style="2" customWidth="1"/>
    <col min="3599" max="3599" width="4" style="2" customWidth="1"/>
    <col min="3600" max="3840" width="9" style="2"/>
    <col min="3841" max="3841" width="4.25" style="2" customWidth="1"/>
    <col min="3842" max="3852" width="8.25" style="2" customWidth="1"/>
    <col min="3853" max="3853" width="11" style="2" customWidth="1"/>
    <col min="3854" max="3854" width="27.375" style="2" customWidth="1"/>
    <col min="3855" max="3855" width="4" style="2" customWidth="1"/>
    <col min="3856" max="4096" width="9" style="2"/>
    <col min="4097" max="4097" width="4.25" style="2" customWidth="1"/>
    <col min="4098" max="4108" width="8.25" style="2" customWidth="1"/>
    <col min="4109" max="4109" width="11" style="2" customWidth="1"/>
    <col min="4110" max="4110" width="27.375" style="2" customWidth="1"/>
    <col min="4111" max="4111" width="4" style="2" customWidth="1"/>
    <col min="4112" max="4352" width="9" style="2"/>
    <col min="4353" max="4353" width="4.25" style="2" customWidth="1"/>
    <col min="4354" max="4364" width="8.25" style="2" customWidth="1"/>
    <col min="4365" max="4365" width="11" style="2" customWidth="1"/>
    <col min="4366" max="4366" width="27.375" style="2" customWidth="1"/>
    <col min="4367" max="4367" width="4" style="2" customWidth="1"/>
    <col min="4368" max="4608" width="9" style="2"/>
    <col min="4609" max="4609" width="4.25" style="2" customWidth="1"/>
    <col min="4610" max="4620" width="8.25" style="2" customWidth="1"/>
    <col min="4621" max="4621" width="11" style="2" customWidth="1"/>
    <col min="4622" max="4622" width="27.375" style="2" customWidth="1"/>
    <col min="4623" max="4623" width="4" style="2" customWidth="1"/>
    <col min="4624" max="4864" width="9" style="2"/>
    <col min="4865" max="4865" width="4.25" style="2" customWidth="1"/>
    <col min="4866" max="4876" width="8.25" style="2" customWidth="1"/>
    <col min="4877" max="4877" width="11" style="2" customWidth="1"/>
    <col min="4878" max="4878" width="27.375" style="2" customWidth="1"/>
    <col min="4879" max="4879" width="4" style="2" customWidth="1"/>
    <col min="4880" max="5120" width="9" style="2"/>
    <col min="5121" max="5121" width="4.25" style="2" customWidth="1"/>
    <col min="5122" max="5132" width="8.25" style="2" customWidth="1"/>
    <col min="5133" max="5133" width="11" style="2" customWidth="1"/>
    <col min="5134" max="5134" width="27.375" style="2" customWidth="1"/>
    <col min="5135" max="5135" width="4" style="2" customWidth="1"/>
    <col min="5136" max="5376" width="9" style="2"/>
    <col min="5377" max="5377" width="4.25" style="2" customWidth="1"/>
    <col min="5378" max="5388" width="8.25" style="2" customWidth="1"/>
    <col min="5389" max="5389" width="11" style="2" customWidth="1"/>
    <col min="5390" max="5390" width="27.375" style="2" customWidth="1"/>
    <col min="5391" max="5391" width="4" style="2" customWidth="1"/>
    <col min="5392" max="5632" width="9" style="2"/>
    <col min="5633" max="5633" width="4.25" style="2" customWidth="1"/>
    <col min="5634" max="5644" width="8.25" style="2" customWidth="1"/>
    <col min="5645" max="5645" width="11" style="2" customWidth="1"/>
    <col min="5646" max="5646" width="27.375" style="2" customWidth="1"/>
    <col min="5647" max="5647" width="4" style="2" customWidth="1"/>
    <col min="5648" max="5888" width="9" style="2"/>
    <col min="5889" max="5889" width="4.25" style="2" customWidth="1"/>
    <col min="5890" max="5900" width="8.25" style="2" customWidth="1"/>
    <col min="5901" max="5901" width="11" style="2" customWidth="1"/>
    <col min="5902" max="5902" width="27.375" style="2" customWidth="1"/>
    <col min="5903" max="5903" width="4" style="2" customWidth="1"/>
    <col min="5904" max="6144" width="9" style="2"/>
    <col min="6145" max="6145" width="4.25" style="2" customWidth="1"/>
    <col min="6146" max="6156" width="8.25" style="2" customWidth="1"/>
    <col min="6157" max="6157" width="11" style="2" customWidth="1"/>
    <col min="6158" max="6158" width="27.375" style="2" customWidth="1"/>
    <col min="6159" max="6159" width="4" style="2" customWidth="1"/>
    <col min="6160" max="6400" width="9" style="2"/>
    <col min="6401" max="6401" width="4.25" style="2" customWidth="1"/>
    <col min="6402" max="6412" width="8.25" style="2" customWidth="1"/>
    <col min="6413" max="6413" width="11" style="2" customWidth="1"/>
    <col min="6414" max="6414" width="27.375" style="2" customWidth="1"/>
    <col min="6415" max="6415" width="4" style="2" customWidth="1"/>
    <col min="6416" max="6656" width="9" style="2"/>
    <col min="6657" max="6657" width="4.25" style="2" customWidth="1"/>
    <col min="6658" max="6668" width="8.25" style="2" customWidth="1"/>
    <col min="6669" max="6669" width="11" style="2" customWidth="1"/>
    <col min="6670" max="6670" width="27.375" style="2" customWidth="1"/>
    <col min="6671" max="6671" width="4" style="2" customWidth="1"/>
    <col min="6672" max="6912" width="9" style="2"/>
    <col min="6913" max="6913" width="4.25" style="2" customWidth="1"/>
    <col min="6914" max="6924" width="8.25" style="2" customWidth="1"/>
    <col min="6925" max="6925" width="11" style="2" customWidth="1"/>
    <col min="6926" max="6926" width="27.375" style="2" customWidth="1"/>
    <col min="6927" max="6927" width="4" style="2" customWidth="1"/>
    <col min="6928" max="7168" width="9" style="2"/>
    <col min="7169" max="7169" width="4.25" style="2" customWidth="1"/>
    <col min="7170" max="7180" width="8.25" style="2" customWidth="1"/>
    <col min="7181" max="7181" width="11" style="2" customWidth="1"/>
    <col min="7182" max="7182" width="27.375" style="2" customWidth="1"/>
    <col min="7183" max="7183" width="4" style="2" customWidth="1"/>
    <col min="7184" max="7424" width="9" style="2"/>
    <col min="7425" max="7425" width="4.25" style="2" customWidth="1"/>
    <col min="7426" max="7436" width="8.25" style="2" customWidth="1"/>
    <col min="7437" max="7437" width="11" style="2" customWidth="1"/>
    <col min="7438" max="7438" width="27.375" style="2" customWidth="1"/>
    <col min="7439" max="7439" width="4" style="2" customWidth="1"/>
    <col min="7440" max="7680" width="9" style="2"/>
    <col min="7681" max="7681" width="4.25" style="2" customWidth="1"/>
    <col min="7682" max="7692" width="8.25" style="2" customWidth="1"/>
    <col min="7693" max="7693" width="11" style="2" customWidth="1"/>
    <col min="7694" max="7694" width="27.375" style="2" customWidth="1"/>
    <col min="7695" max="7695" width="4" style="2" customWidth="1"/>
    <col min="7696" max="7936" width="9" style="2"/>
    <col min="7937" max="7937" width="4.25" style="2" customWidth="1"/>
    <col min="7938" max="7948" width="8.25" style="2" customWidth="1"/>
    <col min="7949" max="7949" width="11" style="2" customWidth="1"/>
    <col min="7950" max="7950" width="27.375" style="2" customWidth="1"/>
    <col min="7951" max="7951" width="4" style="2" customWidth="1"/>
    <col min="7952" max="8192" width="9" style="2"/>
    <col min="8193" max="8193" width="4.25" style="2" customWidth="1"/>
    <col min="8194" max="8204" width="8.25" style="2" customWidth="1"/>
    <col min="8205" max="8205" width="11" style="2" customWidth="1"/>
    <col min="8206" max="8206" width="27.375" style="2" customWidth="1"/>
    <col min="8207" max="8207" width="4" style="2" customWidth="1"/>
    <col min="8208" max="8448" width="9" style="2"/>
    <col min="8449" max="8449" width="4.25" style="2" customWidth="1"/>
    <col min="8450" max="8460" width="8.25" style="2" customWidth="1"/>
    <col min="8461" max="8461" width="11" style="2" customWidth="1"/>
    <col min="8462" max="8462" width="27.375" style="2" customWidth="1"/>
    <col min="8463" max="8463" width="4" style="2" customWidth="1"/>
    <col min="8464" max="8704" width="9" style="2"/>
    <col min="8705" max="8705" width="4.25" style="2" customWidth="1"/>
    <col min="8706" max="8716" width="8.25" style="2" customWidth="1"/>
    <col min="8717" max="8717" width="11" style="2" customWidth="1"/>
    <col min="8718" max="8718" width="27.375" style="2" customWidth="1"/>
    <col min="8719" max="8719" width="4" style="2" customWidth="1"/>
    <col min="8720" max="8960" width="9" style="2"/>
    <col min="8961" max="8961" width="4.25" style="2" customWidth="1"/>
    <col min="8962" max="8972" width="8.25" style="2" customWidth="1"/>
    <col min="8973" max="8973" width="11" style="2" customWidth="1"/>
    <col min="8974" max="8974" width="27.375" style="2" customWidth="1"/>
    <col min="8975" max="8975" width="4" style="2" customWidth="1"/>
    <col min="8976" max="9216" width="9" style="2"/>
    <col min="9217" max="9217" width="4.25" style="2" customWidth="1"/>
    <col min="9218" max="9228" width="8.25" style="2" customWidth="1"/>
    <col min="9229" max="9229" width="11" style="2" customWidth="1"/>
    <col min="9230" max="9230" width="27.375" style="2" customWidth="1"/>
    <col min="9231" max="9231" width="4" style="2" customWidth="1"/>
    <col min="9232" max="9472" width="9" style="2"/>
    <col min="9473" max="9473" width="4.25" style="2" customWidth="1"/>
    <col min="9474" max="9484" width="8.25" style="2" customWidth="1"/>
    <col min="9485" max="9485" width="11" style="2" customWidth="1"/>
    <col min="9486" max="9486" width="27.375" style="2" customWidth="1"/>
    <col min="9487" max="9487" width="4" style="2" customWidth="1"/>
    <col min="9488" max="9728" width="9" style="2"/>
    <col min="9729" max="9729" width="4.25" style="2" customWidth="1"/>
    <col min="9730" max="9740" width="8.25" style="2" customWidth="1"/>
    <col min="9741" max="9741" width="11" style="2" customWidth="1"/>
    <col min="9742" max="9742" width="27.375" style="2" customWidth="1"/>
    <col min="9743" max="9743" width="4" style="2" customWidth="1"/>
    <col min="9744" max="9984" width="9" style="2"/>
    <col min="9985" max="9985" width="4.25" style="2" customWidth="1"/>
    <col min="9986" max="9996" width="8.25" style="2" customWidth="1"/>
    <col min="9997" max="9997" width="11" style="2" customWidth="1"/>
    <col min="9998" max="9998" width="27.375" style="2" customWidth="1"/>
    <col min="9999" max="9999" width="4" style="2" customWidth="1"/>
    <col min="10000" max="10240" width="9" style="2"/>
    <col min="10241" max="10241" width="4.25" style="2" customWidth="1"/>
    <col min="10242" max="10252" width="8.25" style="2" customWidth="1"/>
    <col min="10253" max="10253" width="11" style="2" customWidth="1"/>
    <col min="10254" max="10254" width="27.375" style="2" customWidth="1"/>
    <col min="10255" max="10255" width="4" style="2" customWidth="1"/>
    <col min="10256" max="10496" width="9" style="2"/>
    <col min="10497" max="10497" width="4.25" style="2" customWidth="1"/>
    <col min="10498" max="10508" width="8.25" style="2" customWidth="1"/>
    <col min="10509" max="10509" width="11" style="2" customWidth="1"/>
    <col min="10510" max="10510" width="27.375" style="2" customWidth="1"/>
    <col min="10511" max="10511" width="4" style="2" customWidth="1"/>
    <col min="10512" max="10752" width="9" style="2"/>
    <col min="10753" max="10753" width="4.25" style="2" customWidth="1"/>
    <col min="10754" max="10764" width="8.25" style="2" customWidth="1"/>
    <col min="10765" max="10765" width="11" style="2" customWidth="1"/>
    <col min="10766" max="10766" width="27.375" style="2" customWidth="1"/>
    <col min="10767" max="10767" width="4" style="2" customWidth="1"/>
    <col min="10768" max="11008" width="9" style="2"/>
    <col min="11009" max="11009" width="4.25" style="2" customWidth="1"/>
    <col min="11010" max="11020" width="8.25" style="2" customWidth="1"/>
    <col min="11021" max="11021" width="11" style="2" customWidth="1"/>
    <col min="11022" max="11022" width="27.375" style="2" customWidth="1"/>
    <col min="11023" max="11023" width="4" style="2" customWidth="1"/>
    <col min="11024" max="11264" width="9" style="2"/>
    <col min="11265" max="11265" width="4.25" style="2" customWidth="1"/>
    <col min="11266" max="11276" width="8.25" style="2" customWidth="1"/>
    <col min="11277" max="11277" width="11" style="2" customWidth="1"/>
    <col min="11278" max="11278" width="27.375" style="2" customWidth="1"/>
    <col min="11279" max="11279" width="4" style="2" customWidth="1"/>
    <col min="11280" max="11520" width="9" style="2"/>
    <col min="11521" max="11521" width="4.25" style="2" customWidth="1"/>
    <col min="11522" max="11532" width="8.25" style="2" customWidth="1"/>
    <col min="11533" max="11533" width="11" style="2" customWidth="1"/>
    <col min="11534" max="11534" width="27.375" style="2" customWidth="1"/>
    <col min="11535" max="11535" width="4" style="2" customWidth="1"/>
    <col min="11536" max="11776" width="9" style="2"/>
    <col min="11777" max="11777" width="4.25" style="2" customWidth="1"/>
    <col min="11778" max="11788" width="8.25" style="2" customWidth="1"/>
    <col min="11789" max="11789" width="11" style="2" customWidth="1"/>
    <col min="11790" max="11790" width="27.375" style="2" customWidth="1"/>
    <col min="11791" max="11791" width="4" style="2" customWidth="1"/>
    <col min="11792" max="12032" width="9" style="2"/>
    <col min="12033" max="12033" width="4.25" style="2" customWidth="1"/>
    <col min="12034" max="12044" width="8.25" style="2" customWidth="1"/>
    <col min="12045" max="12045" width="11" style="2" customWidth="1"/>
    <col min="12046" max="12046" width="27.375" style="2" customWidth="1"/>
    <col min="12047" max="12047" width="4" style="2" customWidth="1"/>
    <col min="12048" max="12288" width="9" style="2"/>
    <col min="12289" max="12289" width="4.25" style="2" customWidth="1"/>
    <col min="12290" max="12300" width="8.25" style="2" customWidth="1"/>
    <col min="12301" max="12301" width="11" style="2" customWidth="1"/>
    <col min="12302" max="12302" width="27.375" style="2" customWidth="1"/>
    <col min="12303" max="12303" width="4" style="2" customWidth="1"/>
    <col min="12304" max="12544" width="9" style="2"/>
    <col min="12545" max="12545" width="4.25" style="2" customWidth="1"/>
    <col min="12546" max="12556" width="8.25" style="2" customWidth="1"/>
    <col min="12557" max="12557" width="11" style="2" customWidth="1"/>
    <col min="12558" max="12558" width="27.375" style="2" customWidth="1"/>
    <col min="12559" max="12559" width="4" style="2" customWidth="1"/>
    <col min="12560" max="12800" width="9" style="2"/>
    <col min="12801" max="12801" width="4.25" style="2" customWidth="1"/>
    <col min="12802" max="12812" width="8.25" style="2" customWidth="1"/>
    <col min="12813" max="12813" width="11" style="2" customWidth="1"/>
    <col min="12814" max="12814" width="27.375" style="2" customWidth="1"/>
    <col min="12815" max="12815" width="4" style="2" customWidth="1"/>
    <col min="12816" max="13056" width="9" style="2"/>
    <col min="13057" max="13057" width="4.25" style="2" customWidth="1"/>
    <col min="13058" max="13068" width="8.25" style="2" customWidth="1"/>
    <col min="13069" max="13069" width="11" style="2" customWidth="1"/>
    <col min="13070" max="13070" width="27.375" style="2" customWidth="1"/>
    <col min="13071" max="13071" width="4" style="2" customWidth="1"/>
    <col min="13072" max="13312" width="9" style="2"/>
    <col min="13313" max="13313" width="4.25" style="2" customWidth="1"/>
    <col min="13314" max="13324" width="8.25" style="2" customWidth="1"/>
    <col min="13325" max="13325" width="11" style="2" customWidth="1"/>
    <col min="13326" max="13326" width="27.375" style="2" customWidth="1"/>
    <col min="13327" max="13327" width="4" style="2" customWidth="1"/>
    <col min="13328" max="13568" width="9" style="2"/>
    <col min="13569" max="13569" width="4.25" style="2" customWidth="1"/>
    <col min="13570" max="13580" width="8.25" style="2" customWidth="1"/>
    <col min="13581" max="13581" width="11" style="2" customWidth="1"/>
    <col min="13582" max="13582" width="27.375" style="2" customWidth="1"/>
    <col min="13583" max="13583" width="4" style="2" customWidth="1"/>
    <col min="13584" max="13824" width="9" style="2"/>
    <col min="13825" max="13825" width="4.25" style="2" customWidth="1"/>
    <col min="13826" max="13836" width="8.25" style="2" customWidth="1"/>
    <col min="13837" max="13837" width="11" style="2" customWidth="1"/>
    <col min="13838" max="13838" width="27.375" style="2" customWidth="1"/>
    <col min="13839" max="13839" width="4" style="2" customWidth="1"/>
    <col min="13840" max="14080" width="9" style="2"/>
    <col min="14081" max="14081" width="4.25" style="2" customWidth="1"/>
    <col min="14082" max="14092" width="8.25" style="2" customWidth="1"/>
    <col min="14093" max="14093" width="11" style="2" customWidth="1"/>
    <col min="14094" max="14094" width="27.375" style="2" customWidth="1"/>
    <col min="14095" max="14095" width="4" style="2" customWidth="1"/>
    <col min="14096" max="14336" width="9" style="2"/>
    <col min="14337" max="14337" width="4.25" style="2" customWidth="1"/>
    <col min="14338" max="14348" width="8.25" style="2" customWidth="1"/>
    <col min="14349" max="14349" width="11" style="2" customWidth="1"/>
    <col min="14350" max="14350" width="27.375" style="2" customWidth="1"/>
    <col min="14351" max="14351" width="4" style="2" customWidth="1"/>
    <col min="14352" max="14592" width="9" style="2"/>
    <col min="14593" max="14593" width="4.25" style="2" customWidth="1"/>
    <col min="14594" max="14604" width="8.25" style="2" customWidth="1"/>
    <col min="14605" max="14605" width="11" style="2" customWidth="1"/>
    <col min="14606" max="14606" width="27.375" style="2" customWidth="1"/>
    <col min="14607" max="14607" width="4" style="2" customWidth="1"/>
    <col min="14608" max="14848" width="9" style="2"/>
    <col min="14849" max="14849" width="4.25" style="2" customWidth="1"/>
    <col min="14850" max="14860" width="8.25" style="2" customWidth="1"/>
    <col min="14861" max="14861" width="11" style="2" customWidth="1"/>
    <col min="14862" max="14862" width="27.375" style="2" customWidth="1"/>
    <col min="14863" max="14863" width="4" style="2" customWidth="1"/>
    <col min="14864" max="15104" width="9" style="2"/>
    <col min="15105" max="15105" width="4.25" style="2" customWidth="1"/>
    <col min="15106" max="15116" width="8.25" style="2" customWidth="1"/>
    <col min="15117" max="15117" width="11" style="2" customWidth="1"/>
    <col min="15118" max="15118" width="27.375" style="2" customWidth="1"/>
    <col min="15119" max="15119" width="4" style="2" customWidth="1"/>
    <col min="15120" max="15360" width="9" style="2"/>
    <col min="15361" max="15361" width="4.25" style="2" customWidth="1"/>
    <col min="15362" max="15372" width="8.25" style="2" customWidth="1"/>
    <col min="15373" max="15373" width="11" style="2" customWidth="1"/>
    <col min="15374" max="15374" width="27.375" style="2" customWidth="1"/>
    <col min="15375" max="15375" width="4" style="2" customWidth="1"/>
    <col min="15376" max="15616" width="9" style="2"/>
    <col min="15617" max="15617" width="4.25" style="2" customWidth="1"/>
    <col min="15618" max="15628" width="8.25" style="2" customWidth="1"/>
    <col min="15629" max="15629" width="11" style="2" customWidth="1"/>
    <col min="15630" max="15630" width="27.375" style="2" customWidth="1"/>
    <col min="15631" max="15631" width="4" style="2" customWidth="1"/>
    <col min="15632" max="15872" width="9" style="2"/>
    <col min="15873" max="15873" width="4.25" style="2" customWidth="1"/>
    <col min="15874" max="15884" width="8.25" style="2" customWidth="1"/>
    <col min="15885" max="15885" width="11" style="2" customWidth="1"/>
    <col min="15886" max="15886" width="27.375" style="2" customWidth="1"/>
    <col min="15887" max="15887" width="4" style="2" customWidth="1"/>
    <col min="15888" max="16128" width="9" style="2"/>
    <col min="16129" max="16129" width="4.25" style="2" customWidth="1"/>
    <col min="16130" max="16140" width="8.25" style="2" customWidth="1"/>
    <col min="16141" max="16141" width="11" style="2" customWidth="1"/>
    <col min="16142" max="16142" width="27.375" style="2" customWidth="1"/>
    <col min="16143" max="16143" width="4" style="2" customWidth="1"/>
    <col min="16144" max="16384" width="9" style="2"/>
  </cols>
  <sheetData>
    <row r="1" spans="1:15" ht="20.100000000000001" customHeight="1" x14ac:dyDescent="0.2">
      <c r="A1" s="1"/>
      <c r="B1" s="159" t="s">
        <v>723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"/>
    </row>
    <row r="2" spans="1:15" ht="20.100000000000001" customHeight="1" thickBot="1" x14ac:dyDescent="0.25">
      <c r="A2" s="1"/>
      <c r="B2" s="160" t="s">
        <v>724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"/>
    </row>
    <row r="3" spans="1:15" ht="26.25" thickBot="1" x14ac:dyDescent="0.25">
      <c r="A3" s="1"/>
      <c r="B3" s="7" t="s">
        <v>232</v>
      </c>
      <c r="C3" s="7" t="s">
        <v>57</v>
      </c>
      <c r="D3" s="7" t="s">
        <v>56</v>
      </c>
      <c r="E3" s="7" t="s">
        <v>683</v>
      </c>
      <c r="F3" s="7" t="s">
        <v>54</v>
      </c>
      <c r="G3" s="7" t="s">
        <v>53</v>
      </c>
      <c r="H3" s="7" t="s">
        <v>52</v>
      </c>
      <c r="I3" s="7" t="s">
        <v>51</v>
      </c>
      <c r="J3" s="7" t="s">
        <v>684</v>
      </c>
      <c r="K3" s="7" t="s">
        <v>49</v>
      </c>
      <c r="L3" s="7" t="s">
        <v>48</v>
      </c>
      <c r="M3" s="3" t="s">
        <v>8</v>
      </c>
      <c r="N3" s="47" t="s">
        <v>676</v>
      </c>
      <c r="O3" s="1"/>
    </row>
    <row r="4" spans="1:15" ht="13.5" thickBot="1" x14ac:dyDescent="0.25">
      <c r="A4" s="1"/>
      <c r="B4" s="6">
        <f>SUM(C4:L4)</f>
        <v>4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1</v>
      </c>
      <c r="J4" s="6">
        <v>1</v>
      </c>
      <c r="K4" s="6">
        <v>2</v>
      </c>
      <c r="L4" s="6">
        <v>0</v>
      </c>
      <c r="M4" s="7" t="s">
        <v>10</v>
      </c>
      <c r="N4" s="124"/>
      <c r="O4" s="1"/>
    </row>
    <row r="5" spans="1:15" ht="13.5" thickBot="1" x14ac:dyDescent="0.25">
      <c r="A5" s="1"/>
      <c r="B5" s="6">
        <f t="shared" ref="B5:B44" si="0">SUM(C5:L5)</f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7" t="s">
        <v>11</v>
      </c>
      <c r="N5" s="124" t="s">
        <v>14</v>
      </c>
      <c r="O5" s="1"/>
    </row>
    <row r="6" spans="1:15" ht="13.5" thickBot="1" x14ac:dyDescent="0.25">
      <c r="A6" s="1"/>
      <c r="B6" s="6">
        <f t="shared" ref="B6:K6" si="1">SUM(B4:B5)</f>
        <v>4</v>
      </c>
      <c r="C6" s="6">
        <f t="shared" si="1"/>
        <v>0</v>
      </c>
      <c r="D6" s="6">
        <f t="shared" si="1"/>
        <v>0</v>
      </c>
      <c r="E6" s="6">
        <f t="shared" si="1"/>
        <v>0</v>
      </c>
      <c r="F6" s="6">
        <f t="shared" si="1"/>
        <v>0</v>
      </c>
      <c r="G6" s="6">
        <f t="shared" si="1"/>
        <v>0</v>
      </c>
      <c r="H6" s="6">
        <f t="shared" si="1"/>
        <v>0</v>
      </c>
      <c r="I6" s="6">
        <f t="shared" si="1"/>
        <v>1</v>
      </c>
      <c r="J6" s="6">
        <f t="shared" si="1"/>
        <v>1</v>
      </c>
      <c r="K6" s="6">
        <f t="shared" si="1"/>
        <v>2</v>
      </c>
      <c r="L6" s="6">
        <f>SUM(L4:L5)</f>
        <v>0</v>
      </c>
      <c r="M6" s="7" t="s">
        <v>13</v>
      </c>
      <c r="N6" s="9"/>
      <c r="O6" s="1"/>
    </row>
    <row r="7" spans="1:15" ht="13.5" thickBot="1" x14ac:dyDescent="0.25">
      <c r="A7" s="1"/>
      <c r="B7" s="6">
        <f t="shared" si="0"/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7" t="s">
        <v>10</v>
      </c>
      <c r="N7" s="124"/>
      <c r="O7" s="1"/>
    </row>
    <row r="8" spans="1:15" ht="13.5" thickBot="1" x14ac:dyDescent="0.25">
      <c r="A8" s="1"/>
      <c r="B8" s="6">
        <f t="shared" si="0"/>
        <v>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1</v>
      </c>
      <c r="M8" s="7" t="s">
        <v>11</v>
      </c>
      <c r="N8" s="124" t="s">
        <v>15</v>
      </c>
      <c r="O8" s="1"/>
    </row>
    <row r="9" spans="1:15" ht="13.5" thickBot="1" x14ac:dyDescent="0.25">
      <c r="A9" s="1"/>
      <c r="B9" s="6">
        <f t="shared" ref="B9:L9" si="2">SUM(B7:B8)</f>
        <v>1</v>
      </c>
      <c r="C9" s="6">
        <f t="shared" si="2"/>
        <v>0</v>
      </c>
      <c r="D9" s="6">
        <f t="shared" si="2"/>
        <v>0</v>
      </c>
      <c r="E9" s="6">
        <f t="shared" si="2"/>
        <v>0</v>
      </c>
      <c r="F9" s="6">
        <f t="shared" si="2"/>
        <v>0</v>
      </c>
      <c r="G9" s="6">
        <f t="shared" si="2"/>
        <v>0</v>
      </c>
      <c r="H9" s="6">
        <f t="shared" si="2"/>
        <v>0</v>
      </c>
      <c r="I9" s="6">
        <f t="shared" si="2"/>
        <v>0</v>
      </c>
      <c r="J9" s="6">
        <f t="shared" si="2"/>
        <v>0</v>
      </c>
      <c r="K9" s="6">
        <f t="shared" si="2"/>
        <v>0</v>
      </c>
      <c r="L9" s="6">
        <f t="shared" si="2"/>
        <v>1</v>
      </c>
      <c r="M9" s="7" t="s">
        <v>13</v>
      </c>
      <c r="N9" s="9"/>
      <c r="O9" s="1"/>
    </row>
    <row r="10" spans="1:15" ht="13.5" thickBot="1" x14ac:dyDescent="0.25">
      <c r="A10" s="1"/>
      <c r="B10" s="6">
        <f t="shared" si="0"/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7" t="s">
        <v>10</v>
      </c>
      <c r="N10" s="124"/>
      <c r="O10" s="1"/>
    </row>
    <row r="11" spans="1:15" ht="13.5" thickBot="1" x14ac:dyDescent="0.25">
      <c r="A11" s="1"/>
      <c r="B11" s="6">
        <f t="shared" si="0"/>
        <v>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1</v>
      </c>
      <c r="M11" s="7" t="s">
        <v>11</v>
      </c>
      <c r="N11" s="124" t="s">
        <v>16</v>
      </c>
      <c r="O11" s="1"/>
    </row>
    <row r="12" spans="1:15" ht="13.5" thickBot="1" x14ac:dyDescent="0.25">
      <c r="A12" s="1"/>
      <c r="B12" s="6">
        <f t="shared" ref="B12:L12" si="3">SUM(B10:B11)</f>
        <v>1</v>
      </c>
      <c r="C12" s="6">
        <f t="shared" si="3"/>
        <v>0</v>
      </c>
      <c r="D12" s="6">
        <f t="shared" si="3"/>
        <v>0</v>
      </c>
      <c r="E12" s="6">
        <f t="shared" si="3"/>
        <v>0</v>
      </c>
      <c r="F12" s="6">
        <f t="shared" si="3"/>
        <v>0</v>
      </c>
      <c r="G12" s="6">
        <f t="shared" si="3"/>
        <v>0</v>
      </c>
      <c r="H12" s="6">
        <f t="shared" si="3"/>
        <v>0</v>
      </c>
      <c r="I12" s="6">
        <f t="shared" si="3"/>
        <v>0</v>
      </c>
      <c r="J12" s="6">
        <f t="shared" si="3"/>
        <v>0</v>
      </c>
      <c r="K12" s="6">
        <f t="shared" si="3"/>
        <v>0</v>
      </c>
      <c r="L12" s="6">
        <f t="shared" si="3"/>
        <v>1</v>
      </c>
      <c r="M12" s="7" t="s">
        <v>13</v>
      </c>
      <c r="N12" s="9"/>
      <c r="O12" s="1"/>
    </row>
    <row r="13" spans="1:15" ht="13.5" thickBot="1" x14ac:dyDescent="0.25">
      <c r="A13" s="1"/>
      <c r="B13" s="6">
        <f t="shared" si="0"/>
        <v>6</v>
      </c>
      <c r="C13" s="6">
        <v>0</v>
      </c>
      <c r="D13" s="6">
        <v>0</v>
      </c>
      <c r="E13" s="6">
        <v>0</v>
      </c>
      <c r="F13" s="6">
        <v>0</v>
      </c>
      <c r="G13" s="6">
        <v>1</v>
      </c>
      <c r="H13" s="6">
        <v>0</v>
      </c>
      <c r="I13" s="6">
        <v>1</v>
      </c>
      <c r="J13" s="6">
        <v>4</v>
      </c>
      <c r="K13" s="6">
        <v>0</v>
      </c>
      <c r="L13" s="6">
        <v>0</v>
      </c>
      <c r="M13" s="7" t="s">
        <v>10</v>
      </c>
      <c r="N13" s="124"/>
      <c r="O13" s="1"/>
    </row>
    <row r="14" spans="1:15" ht="13.5" thickBot="1" x14ac:dyDescent="0.25">
      <c r="A14" s="1"/>
      <c r="B14" s="6">
        <f t="shared" si="0"/>
        <v>5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1</v>
      </c>
      <c r="J14" s="6">
        <v>3</v>
      </c>
      <c r="K14" s="6">
        <v>1</v>
      </c>
      <c r="L14" s="6">
        <v>0</v>
      </c>
      <c r="M14" s="7" t="s">
        <v>11</v>
      </c>
      <c r="N14" s="124" t="s">
        <v>19</v>
      </c>
      <c r="O14" s="1"/>
    </row>
    <row r="15" spans="1:15" ht="13.5" thickBot="1" x14ac:dyDescent="0.25">
      <c r="A15" s="1"/>
      <c r="B15" s="6">
        <f t="shared" ref="B15:L15" si="4">SUM(B13:B14)</f>
        <v>11</v>
      </c>
      <c r="C15" s="6">
        <f t="shared" si="4"/>
        <v>0</v>
      </c>
      <c r="D15" s="6">
        <f t="shared" si="4"/>
        <v>0</v>
      </c>
      <c r="E15" s="6">
        <f t="shared" si="4"/>
        <v>0</v>
      </c>
      <c r="F15" s="6">
        <f t="shared" si="4"/>
        <v>0</v>
      </c>
      <c r="G15" s="6">
        <f t="shared" si="4"/>
        <v>1</v>
      </c>
      <c r="H15" s="6">
        <f t="shared" si="4"/>
        <v>0</v>
      </c>
      <c r="I15" s="6">
        <f t="shared" si="4"/>
        <v>2</v>
      </c>
      <c r="J15" s="6">
        <f t="shared" si="4"/>
        <v>7</v>
      </c>
      <c r="K15" s="6">
        <f t="shared" si="4"/>
        <v>1</v>
      </c>
      <c r="L15" s="6">
        <f t="shared" si="4"/>
        <v>0</v>
      </c>
      <c r="M15" s="7" t="s">
        <v>13</v>
      </c>
      <c r="N15" s="9"/>
      <c r="O15" s="1"/>
    </row>
    <row r="16" spans="1:15" ht="13.5" thickBot="1" x14ac:dyDescent="0.25">
      <c r="A16" s="1"/>
      <c r="B16" s="6">
        <f t="shared" si="0"/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7" t="s">
        <v>10</v>
      </c>
      <c r="N16" s="124"/>
      <c r="O16" s="1"/>
    </row>
    <row r="17" spans="1:15" ht="13.5" thickBot="1" x14ac:dyDescent="0.25">
      <c r="A17" s="1"/>
      <c r="B17" s="6">
        <f t="shared" si="0"/>
        <v>1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1</v>
      </c>
      <c r="M17" s="7" t="s">
        <v>11</v>
      </c>
      <c r="N17" s="124" t="s">
        <v>35</v>
      </c>
      <c r="O17" s="1"/>
    </row>
    <row r="18" spans="1:15" ht="13.5" thickBot="1" x14ac:dyDescent="0.25">
      <c r="A18" s="1"/>
      <c r="B18" s="6">
        <f t="shared" ref="B18:L18" si="5">SUM(B16:B17)</f>
        <v>1</v>
      </c>
      <c r="C18" s="6">
        <f t="shared" si="5"/>
        <v>0</v>
      </c>
      <c r="D18" s="6">
        <f t="shared" si="5"/>
        <v>0</v>
      </c>
      <c r="E18" s="6">
        <f t="shared" si="5"/>
        <v>0</v>
      </c>
      <c r="F18" s="6">
        <f t="shared" si="5"/>
        <v>0</v>
      </c>
      <c r="G18" s="6">
        <f t="shared" si="5"/>
        <v>0</v>
      </c>
      <c r="H18" s="6">
        <f t="shared" si="5"/>
        <v>0</v>
      </c>
      <c r="I18" s="6">
        <f t="shared" si="5"/>
        <v>0</v>
      </c>
      <c r="J18" s="6">
        <f t="shared" si="5"/>
        <v>0</v>
      </c>
      <c r="K18" s="6">
        <f t="shared" si="5"/>
        <v>0</v>
      </c>
      <c r="L18" s="6">
        <f t="shared" si="5"/>
        <v>1</v>
      </c>
      <c r="M18" s="7" t="s">
        <v>13</v>
      </c>
      <c r="N18" s="9"/>
      <c r="O18" s="1"/>
    </row>
    <row r="19" spans="1:15" ht="13.5" thickBot="1" x14ac:dyDescent="0.25">
      <c r="A19" s="1"/>
      <c r="B19" s="6">
        <f t="shared" si="0"/>
        <v>1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1</v>
      </c>
      <c r="K19" s="6">
        <v>0</v>
      </c>
      <c r="L19" s="6">
        <v>0</v>
      </c>
      <c r="M19" s="7" t="s">
        <v>10</v>
      </c>
      <c r="N19" s="124"/>
      <c r="O19" s="1"/>
    </row>
    <row r="20" spans="1:15" ht="13.5" thickBot="1" x14ac:dyDescent="0.25">
      <c r="A20" s="1"/>
      <c r="B20" s="6">
        <f t="shared" si="0"/>
        <v>5</v>
      </c>
      <c r="C20" s="6">
        <v>0</v>
      </c>
      <c r="D20" s="6">
        <v>0</v>
      </c>
      <c r="E20" s="6">
        <v>0</v>
      </c>
      <c r="F20" s="6">
        <v>0</v>
      </c>
      <c r="G20" s="6">
        <v>1</v>
      </c>
      <c r="H20" s="6">
        <v>0</v>
      </c>
      <c r="I20" s="6">
        <v>0</v>
      </c>
      <c r="J20" s="6">
        <v>3</v>
      </c>
      <c r="K20" s="6">
        <v>1</v>
      </c>
      <c r="L20" s="6">
        <v>0</v>
      </c>
      <c r="M20" s="7" t="s">
        <v>11</v>
      </c>
      <c r="N20" s="124" t="s">
        <v>22</v>
      </c>
      <c r="O20" s="1"/>
    </row>
    <row r="21" spans="1:15" ht="13.5" thickBot="1" x14ac:dyDescent="0.25">
      <c r="A21" s="1"/>
      <c r="B21" s="6">
        <f t="shared" ref="B21:L21" si="6">SUM(B19:B20)</f>
        <v>6</v>
      </c>
      <c r="C21" s="6">
        <f t="shared" si="6"/>
        <v>0</v>
      </c>
      <c r="D21" s="6">
        <f t="shared" si="6"/>
        <v>0</v>
      </c>
      <c r="E21" s="6">
        <f t="shared" si="6"/>
        <v>0</v>
      </c>
      <c r="F21" s="6">
        <f t="shared" si="6"/>
        <v>0</v>
      </c>
      <c r="G21" s="6">
        <f t="shared" si="6"/>
        <v>1</v>
      </c>
      <c r="H21" s="6">
        <f t="shared" si="6"/>
        <v>0</v>
      </c>
      <c r="I21" s="6">
        <f t="shared" si="6"/>
        <v>0</v>
      </c>
      <c r="J21" s="6">
        <f t="shared" si="6"/>
        <v>4</v>
      </c>
      <c r="K21" s="6">
        <f t="shared" si="6"/>
        <v>1</v>
      </c>
      <c r="L21" s="6">
        <f t="shared" si="6"/>
        <v>0</v>
      </c>
      <c r="M21" s="7" t="s">
        <v>13</v>
      </c>
      <c r="N21" s="9"/>
      <c r="O21" s="1"/>
    </row>
    <row r="22" spans="1:15" ht="13.5" thickBot="1" x14ac:dyDescent="0.25">
      <c r="A22" s="1"/>
      <c r="B22" s="6">
        <f t="shared" si="0"/>
        <v>1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1</v>
      </c>
      <c r="J22" s="6">
        <v>0</v>
      </c>
      <c r="K22" s="6">
        <v>0</v>
      </c>
      <c r="L22" s="6">
        <v>0</v>
      </c>
      <c r="M22" s="7" t="s">
        <v>10</v>
      </c>
      <c r="N22" s="124"/>
      <c r="O22" s="1"/>
    </row>
    <row r="23" spans="1:15" ht="13.5" thickBot="1" x14ac:dyDescent="0.25">
      <c r="A23" s="1"/>
      <c r="B23" s="6">
        <f t="shared" si="0"/>
        <v>2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1</v>
      </c>
      <c r="J23" s="6">
        <v>0</v>
      </c>
      <c r="K23" s="6">
        <v>0</v>
      </c>
      <c r="L23" s="6">
        <v>1</v>
      </c>
      <c r="M23" s="7" t="s">
        <v>11</v>
      </c>
      <c r="N23" s="124" t="s">
        <v>32</v>
      </c>
      <c r="O23" s="1"/>
    </row>
    <row r="24" spans="1:15" ht="13.5" thickBot="1" x14ac:dyDescent="0.25">
      <c r="A24" s="1"/>
      <c r="B24" s="6">
        <f t="shared" ref="B24:L24" si="7">SUM(B22:B23)</f>
        <v>3</v>
      </c>
      <c r="C24" s="6">
        <f t="shared" si="7"/>
        <v>0</v>
      </c>
      <c r="D24" s="6">
        <f t="shared" si="7"/>
        <v>0</v>
      </c>
      <c r="E24" s="6">
        <f t="shared" si="7"/>
        <v>0</v>
      </c>
      <c r="F24" s="6">
        <f t="shared" si="7"/>
        <v>0</v>
      </c>
      <c r="G24" s="6">
        <f t="shared" si="7"/>
        <v>0</v>
      </c>
      <c r="H24" s="6">
        <f t="shared" si="7"/>
        <v>0</v>
      </c>
      <c r="I24" s="6">
        <f t="shared" si="7"/>
        <v>2</v>
      </c>
      <c r="J24" s="6">
        <f t="shared" si="7"/>
        <v>0</v>
      </c>
      <c r="K24" s="6">
        <f t="shared" si="7"/>
        <v>0</v>
      </c>
      <c r="L24" s="6">
        <f t="shared" si="7"/>
        <v>1</v>
      </c>
      <c r="M24" s="7" t="s">
        <v>13</v>
      </c>
      <c r="N24" s="9"/>
      <c r="O24" s="1"/>
    </row>
    <row r="25" spans="1:15" ht="13.5" thickBot="1" x14ac:dyDescent="0.25">
      <c r="A25" s="1"/>
      <c r="B25" s="6">
        <f t="shared" si="0"/>
        <v>42</v>
      </c>
      <c r="C25" s="6">
        <v>0</v>
      </c>
      <c r="D25" s="6">
        <v>0</v>
      </c>
      <c r="E25" s="6">
        <v>4</v>
      </c>
      <c r="F25" s="6">
        <v>0</v>
      </c>
      <c r="G25" s="6">
        <v>14</v>
      </c>
      <c r="H25" s="6">
        <v>5</v>
      </c>
      <c r="I25" s="6">
        <v>2</v>
      </c>
      <c r="J25" s="6">
        <v>17</v>
      </c>
      <c r="K25" s="6">
        <v>0</v>
      </c>
      <c r="L25" s="6">
        <v>0</v>
      </c>
      <c r="M25" s="7" t="s">
        <v>10</v>
      </c>
      <c r="N25" s="124"/>
      <c r="O25" s="1"/>
    </row>
    <row r="26" spans="1:15" ht="13.5" thickBot="1" x14ac:dyDescent="0.25">
      <c r="A26" s="1"/>
      <c r="B26" s="6">
        <f t="shared" si="0"/>
        <v>8</v>
      </c>
      <c r="C26" s="6">
        <v>0</v>
      </c>
      <c r="D26" s="6">
        <v>0</v>
      </c>
      <c r="E26" s="6">
        <v>0</v>
      </c>
      <c r="F26" s="6">
        <v>0</v>
      </c>
      <c r="G26" s="6">
        <v>1</v>
      </c>
      <c r="H26" s="6">
        <v>2</v>
      </c>
      <c r="I26" s="6">
        <v>1</v>
      </c>
      <c r="J26" s="6">
        <v>3</v>
      </c>
      <c r="K26" s="6">
        <v>0</v>
      </c>
      <c r="L26" s="6">
        <v>1</v>
      </c>
      <c r="M26" s="7" t="s">
        <v>11</v>
      </c>
      <c r="N26" s="124" t="s">
        <v>23</v>
      </c>
      <c r="O26" s="1"/>
    </row>
    <row r="27" spans="1:15" ht="13.5" thickBot="1" x14ac:dyDescent="0.25">
      <c r="A27" s="1"/>
      <c r="B27" s="6">
        <f t="shared" ref="B27:L27" si="8">SUM(B25:B26)</f>
        <v>50</v>
      </c>
      <c r="C27" s="6">
        <f t="shared" si="8"/>
        <v>0</v>
      </c>
      <c r="D27" s="6">
        <f t="shared" si="8"/>
        <v>0</v>
      </c>
      <c r="E27" s="6">
        <f t="shared" si="8"/>
        <v>4</v>
      </c>
      <c r="F27" s="6">
        <f t="shared" si="8"/>
        <v>0</v>
      </c>
      <c r="G27" s="6">
        <f t="shared" si="8"/>
        <v>15</v>
      </c>
      <c r="H27" s="6">
        <f t="shared" si="8"/>
        <v>7</v>
      </c>
      <c r="I27" s="6">
        <f t="shared" si="8"/>
        <v>3</v>
      </c>
      <c r="J27" s="6">
        <f t="shared" si="8"/>
        <v>20</v>
      </c>
      <c r="K27" s="6">
        <f t="shared" si="8"/>
        <v>0</v>
      </c>
      <c r="L27" s="6">
        <f t="shared" si="8"/>
        <v>1</v>
      </c>
      <c r="M27" s="7" t="s">
        <v>13</v>
      </c>
      <c r="N27" s="9"/>
      <c r="O27" s="1"/>
    </row>
    <row r="28" spans="1:15" ht="13.5" thickBot="1" x14ac:dyDescent="0.25">
      <c r="A28" s="1"/>
      <c r="B28" s="6">
        <f t="shared" si="0"/>
        <v>329</v>
      </c>
      <c r="C28" s="6">
        <v>5</v>
      </c>
      <c r="D28" s="6">
        <v>2</v>
      </c>
      <c r="E28" s="6">
        <v>3</v>
      </c>
      <c r="F28" s="6">
        <v>0</v>
      </c>
      <c r="G28" s="6">
        <v>17</v>
      </c>
      <c r="H28" s="6">
        <v>61</v>
      </c>
      <c r="I28" s="6">
        <v>97</v>
      </c>
      <c r="J28" s="6">
        <v>132</v>
      </c>
      <c r="K28" s="6">
        <v>7</v>
      </c>
      <c r="L28" s="6">
        <v>5</v>
      </c>
      <c r="M28" s="7" t="s">
        <v>10</v>
      </c>
      <c r="N28" s="124"/>
      <c r="O28" s="1"/>
    </row>
    <row r="29" spans="1:15" ht="13.5" thickBot="1" x14ac:dyDescent="0.25">
      <c r="A29" s="1"/>
      <c r="B29" s="6">
        <f t="shared" si="0"/>
        <v>57</v>
      </c>
      <c r="C29" s="6">
        <v>0</v>
      </c>
      <c r="D29" s="6">
        <v>4</v>
      </c>
      <c r="E29" s="6">
        <v>0</v>
      </c>
      <c r="F29" s="6">
        <v>0</v>
      </c>
      <c r="G29" s="6">
        <v>6</v>
      </c>
      <c r="H29" s="6">
        <v>0</v>
      </c>
      <c r="I29" s="6">
        <v>14</v>
      </c>
      <c r="J29" s="6">
        <v>22</v>
      </c>
      <c r="K29" s="6">
        <v>7</v>
      </c>
      <c r="L29" s="6">
        <v>4</v>
      </c>
      <c r="M29" s="7" t="s">
        <v>11</v>
      </c>
      <c r="N29" s="124" t="s">
        <v>41</v>
      </c>
      <c r="O29" s="1"/>
    </row>
    <row r="30" spans="1:15" ht="13.5" thickBot="1" x14ac:dyDescent="0.25">
      <c r="A30" s="1"/>
      <c r="B30" s="6">
        <f t="shared" ref="B30:L30" si="9">SUM(B28:B29)</f>
        <v>386</v>
      </c>
      <c r="C30" s="6">
        <f t="shared" si="9"/>
        <v>5</v>
      </c>
      <c r="D30" s="6">
        <f t="shared" si="9"/>
        <v>6</v>
      </c>
      <c r="E30" s="6">
        <f t="shared" si="9"/>
        <v>3</v>
      </c>
      <c r="F30" s="6">
        <f t="shared" si="9"/>
        <v>0</v>
      </c>
      <c r="G30" s="6">
        <f t="shared" si="9"/>
        <v>23</v>
      </c>
      <c r="H30" s="6">
        <f t="shared" si="9"/>
        <v>61</v>
      </c>
      <c r="I30" s="6">
        <f t="shared" si="9"/>
        <v>111</v>
      </c>
      <c r="J30" s="6">
        <f t="shared" si="9"/>
        <v>154</v>
      </c>
      <c r="K30" s="6">
        <f t="shared" si="9"/>
        <v>14</v>
      </c>
      <c r="L30" s="6">
        <f t="shared" si="9"/>
        <v>9</v>
      </c>
      <c r="M30" s="7" t="s">
        <v>13</v>
      </c>
      <c r="N30" s="9"/>
      <c r="O30" s="1"/>
    </row>
    <row r="31" spans="1:15" ht="13.5" thickBot="1" x14ac:dyDescent="0.25">
      <c r="A31" s="1"/>
      <c r="B31" s="6">
        <f t="shared" si="0"/>
        <v>43</v>
      </c>
      <c r="C31" s="6">
        <v>0</v>
      </c>
      <c r="D31" s="6">
        <v>1</v>
      </c>
      <c r="E31" s="6">
        <v>6</v>
      </c>
      <c r="F31" s="6">
        <v>0</v>
      </c>
      <c r="G31" s="6">
        <v>3</v>
      </c>
      <c r="H31" s="6">
        <v>2</v>
      </c>
      <c r="I31" s="6">
        <v>10</v>
      </c>
      <c r="J31" s="6">
        <v>19</v>
      </c>
      <c r="K31" s="6">
        <v>1</v>
      </c>
      <c r="L31" s="6">
        <v>1</v>
      </c>
      <c r="M31" s="7" t="s">
        <v>10</v>
      </c>
      <c r="N31" s="124"/>
      <c r="O31" s="1"/>
    </row>
    <row r="32" spans="1:15" ht="13.5" thickBot="1" x14ac:dyDescent="0.25">
      <c r="A32" s="1"/>
      <c r="B32" s="6">
        <f t="shared" si="0"/>
        <v>10</v>
      </c>
      <c r="C32" s="6">
        <v>0</v>
      </c>
      <c r="D32" s="6">
        <v>0</v>
      </c>
      <c r="E32" s="6">
        <v>0</v>
      </c>
      <c r="F32" s="6">
        <v>0</v>
      </c>
      <c r="G32" s="6">
        <v>2</v>
      </c>
      <c r="H32" s="6">
        <v>0</v>
      </c>
      <c r="I32" s="6">
        <v>3</v>
      </c>
      <c r="J32" s="6">
        <v>2</v>
      </c>
      <c r="K32" s="6">
        <v>2</v>
      </c>
      <c r="L32" s="6">
        <v>1</v>
      </c>
      <c r="M32" s="7" t="s">
        <v>11</v>
      </c>
      <c r="N32" s="124" t="s">
        <v>37</v>
      </c>
      <c r="O32" s="1"/>
    </row>
    <row r="33" spans="1:15" ht="13.5" thickBot="1" x14ac:dyDescent="0.25">
      <c r="A33" s="1"/>
      <c r="B33" s="6">
        <f t="shared" ref="B33:L33" si="10">SUM(B31:B32)</f>
        <v>53</v>
      </c>
      <c r="C33" s="6">
        <f t="shared" si="10"/>
        <v>0</v>
      </c>
      <c r="D33" s="6">
        <f t="shared" si="10"/>
        <v>1</v>
      </c>
      <c r="E33" s="6">
        <f t="shared" si="10"/>
        <v>6</v>
      </c>
      <c r="F33" s="6">
        <f t="shared" si="10"/>
        <v>0</v>
      </c>
      <c r="G33" s="6">
        <f t="shared" si="10"/>
        <v>5</v>
      </c>
      <c r="H33" s="6">
        <f t="shared" si="10"/>
        <v>2</v>
      </c>
      <c r="I33" s="6">
        <f t="shared" si="10"/>
        <v>13</v>
      </c>
      <c r="J33" s="6">
        <f t="shared" si="10"/>
        <v>21</v>
      </c>
      <c r="K33" s="6">
        <f t="shared" si="10"/>
        <v>3</v>
      </c>
      <c r="L33" s="6">
        <f t="shared" si="10"/>
        <v>2</v>
      </c>
      <c r="M33" s="7" t="s">
        <v>13</v>
      </c>
      <c r="N33" s="9"/>
      <c r="O33" s="1"/>
    </row>
    <row r="34" spans="1:15" ht="13.5" thickBot="1" x14ac:dyDescent="0.25">
      <c r="A34" s="1"/>
      <c r="B34" s="6">
        <f t="shared" si="0"/>
        <v>20</v>
      </c>
      <c r="C34" s="6">
        <v>0</v>
      </c>
      <c r="D34" s="6">
        <v>0</v>
      </c>
      <c r="E34" s="6">
        <v>0</v>
      </c>
      <c r="F34" s="6">
        <v>0</v>
      </c>
      <c r="G34" s="6">
        <v>5</v>
      </c>
      <c r="H34" s="6">
        <v>1</v>
      </c>
      <c r="I34" s="6">
        <v>4</v>
      </c>
      <c r="J34" s="6">
        <v>9</v>
      </c>
      <c r="K34" s="6">
        <v>0</v>
      </c>
      <c r="L34" s="6">
        <v>1</v>
      </c>
      <c r="M34" s="7" t="s">
        <v>10</v>
      </c>
      <c r="N34" s="124"/>
      <c r="O34" s="1"/>
    </row>
    <row r="35" spans="1:15" ht="13.5" thickBot="1" x14ac:dyDescent="0.25">
      <c r="A35" s="1"/>
      <c r="B35" s="6">
        <f t="shared" si="0"/>
        <v>3</v>
      </c>
      <c r="C35" s="6">
        <v>0</v>
      </c>
      <c r="D35" s="6">
        <v>0</v>
      </c>
      <c r="E35" s="6">
        <v>0</v>
      </c>
      <c r="F35" s="6">
        <v>0</v>
      </c>
      <c r="G35" s="6">
        <v>1</v>
      </c>
      <c r="H35" s="6">
        <v>0</v>
      </c>
      <c r="I35" s="6">
        <v>2</v>
      </c>
      <c r="J35" s="6">
        <v>0</v>
      </c>
      <c r="K35" s="6">
        <v>0</v>
      </c>
      <c r="L35" s="6">
        <v>0</v>
      </c>
      <c r="M35" s="7" t="s">
        <v>11</v>
      </c>
      <c r="N35" s="124" t="s">
        <v>42</v>
      </c>
      <c r="O35" s="1"/>
    </row>
    <row r="36" spans="1:15" ht="13.5" thickBot="1" x14ac:dyDescent="0.25">
      <c r="A36" s="1"/>
      <c r="B36" s="6">
        <f t="shared" ref="B36:L36" si="11">SUM(B34:B35)</f>
        <v>23</v>
      </c>
      <c r="C36" s="6">
        <f t="shared" si="11"/>
        <v>0</v>
      </c>
      <c r="D36" s="6">
        <f t="shared" si="11"/>
        <v>0</v>
      </c>
      <c r="E36" s="6">
        <f t="shared" si="11"/>
        <v>0</v>
      </c>
      <c r="F36" s="6">
        <f t="shared" si="11"/>
        <v>0</v>
      </c>
      <c r="G36" s="6">
        <f t="shared" si="11"/>
        <v>6</v>
      </c>
      <c r="H36" s="6">
        <f t="shared" si="11"/>
        <v>1</v>
      </c>
      <c r="I36" s="6">
        <f t="shared" si="11"/>
        <v>6</v>
      </c>
      <c r="J36" s="6">
        <f t="shared" si="11"/>
        <v>9</v>
      </c>
      <c r="K36" s="6">
        <f t="shared" si="11"/>
        <v>0</v>
      </c>
      <c r="L36" s="6">
        <f t="shared" si="11"/>
        <v>1</v>
      </c>
      <c r="M36" s="7" t="s">
        <v>13</v>
      </c>
      <c r="N36" s="9"/>
      <c r="O36" s="1"/>
    </row>
    <row r="37" spans="1:15" ht="13.5" thickBot="1" x14ac:dyDescent="0.25">
      <c r="A37" s="1"/>
      <c r="B37" s="6">
        <f t="shared" si="0"/>
        <v>2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1</v>
      </c>
      <c r="K37" s="6">
        <v>1</v>
      </c>
      <c r="L37" s="6">
        <v>0</v>
      </c>
      <c r="M37" s="7" t="s">
        <v>10</v>
      </c>
      <c r="N37" s="124"/>
      <c r="O37" s="1"/>
    </row>
    <row r="38" spans="1:15" ht="13.5" thickBot="1" x14ac:dyDescent="0.25">
      <c r="A38" s="1"/>
      <c r="B38" s="6">
        <f t="shared" si="0"/>
        <v>2</v>
      </c>
      <c r="C38" s="6">
        <v>0</v>
      </c>
      <c r="D38" s="6">
        <v>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1</v>
      </c>
      <c r="L38" s="6">
        <v>0</v>
      </c>
      <c r="M38" s="7" t="s">
        <v>11</v>
      </c>
      <c r="N38" s="124" t="s">
        <v>38</v>
      </c>
      <c r="O38" s="1"/>
    </row>
    <row r="39" spans="1:15" ht="13.5" thickBot="1" x14ac:dyDescent="0.25">
      <c r="A39" s="1"/>
      <c r="B39" s="6">
        <f t="shared" ref="B39:L39" si="12">SUM(B37:B38)</f>
        <v>4</v>
      </c>
      <c r="C39" s="6">
        <f t="shared" si="12"/>
        <v>0</v>
      </c>
      <c r="D39" s="6">
        <f t="shared" si="12"/>
        <v>1</v>
      </c>
      <c r="E39" s="6">
        <f t="shared" si="12"/>
        <v>0</v>
      </c>
      <c r="F39" s="6">
        <f t="shared" si="12"/>
        <v>0</v>
      </c>
      <c r="G39" s="6">
        <f t="shared" si="12"/>
        <v>0</v>
      </c>
      <c r="H39" s="6">
        <f t="shared" si="12"/>
        <v>0</v>
      </c>
      <c r="I39" s="6">
        <f t="shared" si="12"/>
        <v>0</v>
      </c>
      <c r="J39" s="6">
        <f t="shared" si="12"/>
        <v>1</v>
      </c>
      <c r="K39" s="6">
        <f t="shared" si="12"/>
        <v>2</v>
      </c>
      <c r="L39" s="6">
        <f t="shared" si="12"/>
        <v>0</v>
      </c>
      <c r="M39" s="7" t="s">
        <v>13</v>
      </c>
      <c r="N39" s="9"/>
      <c r="O39" s="1"/>
    </row>
    <row r="40" spans="1:15" ht="13.5" thickBot="1" x14ac:dyDescent="0.25">
      <c r="A40" s="1"/>
      <c r="B40" s="6">
        <f t="shared" si="0"/>
        <v>92</v>
      </c>
      <c r="C40" s="6">
        <v>1</v>
      </c>
      <c r="D40" s="6">
        <v>0</v>
      </c>
      <c r="E40" s="6">
        <v>5</v>
      </c>
      <c r="F40" s="6">
        <v>0</v>
      </c>
      <c r="G40" s="6">
        <v>29</v>
      </c>
      <c r="H40" s="6">
        <v>13</v>
      </c>
      <c r="I40" s="6">
        <v>12</v>
      </c>
      <c r="J40" s="6">
        <v>19</v>
      </c>
      <c r="K40" s="6">
        <v>11</v>
      </c>
      <c r="L40" s="6">
        <v>2</v>
      </c>
      <c r="M40" s="7" t="s">
        <v>10</v>
      </c>
      <c r="N40" s="124"/>
      <c r="O40" s="1"/>
    </row>
    <row r="41" spans="1:15" ht="13.5" thickBot="1" x14ac:dyDescent="0.25">
      <c r="A41" s="1"/>
      <c r="B41" s="6">
        <f t="shared" si="0"/>
        <v>13</v>
      </c>
      <c r="C41" s="6">
        <v>0</v>
      </c>
      <c r="D41" s="6">
        <v>1</v>
      </c>
      <c r="E41" s="6">
        <v>0</v>
      </c>
      <c r="F41" s="6">
        <v>0</v>
      </c>
      <c r="G41" s="6">
        <v>3</v>
      </c>
      <c r="H41" s="6">
        <v>0</v>
      </c>
      <c r="I41" s="6">
        <v>1</v>
      </c>
      <c r="J41" s="6">
        <v>2</v>
      </c>
      <c r="K41" s="6">
        <v>4</v>
      </c>
      <c r="L41" s="6">
        <v>2</v>
      </c>
      <c r="M41" s="7" t="s">
        <v>11</v>
      </c>
      <c r="N41" s="124" t="s">
        <v>25</v>
      </c>
      <c r="O41" s="1"/>
    </row>
    <row r="42" spans="1:15" ht="13.5" thickBot="1" x14ac:dyDescent="0.25">
      <c r="A42" s="1"/>
      <c r="B42" s="6">
        <f t="shared" ref="B42:L42" si="13">SUM(B40:B41)</f>
        <v>105</v>
      </c>
      <c r="C42" s="6">
        <f t="shared" si="13"/>
        <v>1</v>
      </c>
      <c r="D42" s="6">
        <f t="shared" si="13"/>
        <v>1</v>
      </c>
      <c r="E42" s="6">
        <f t="shared" si="13"/>
        <v>5</v>
      </c>
      <c r="F42" s="6">
        <f t="shared" si="13"/>
        <v>0</v>
      </c>
      <c r="G42" s="6">
        <f t="shared" si="13"/>
        <v>32</v>
      </c>
      <c r="H42" s="6">
        <f t="shared" si="13"/>
        <v>13</v>
      </c>
      <c r="I42" s="6">
        <f t="shared" si="13"/>
        <v>13</v>
      </c>
      <c r="J42" s="6">
        <f t="shared" si="13"/>
        <v>21</v>
      </c>
      <c r="K42" s="6">
        <f t="shared" si="13"/>
        <v>15</v>
      </c>
      <c r="L42" s="6">
        <f t="shared" si="13"/>
        <v>4</v>
      </c>
      <c r="M42" s="7" t="s">
        <v>13</v>
      </c>
      <c r="N42" s="9"/>
      <c r="O42" s="1"/>
    </row>
    <row r="43" spans="1:15" ht="13.5" thickBot="1" x14ac:dyDescent="0.25">
      <c r="A43" s="1"/>
      <c r="B43" s="6">
        <f t="shared" si="0"/>
        <v>56</v>
      </c>
      <c r="C43" s="6">
        <v>0</v>
      </c>
      <c r="D43" s="6">
        <v>0</v>
      </c>
      <c r="E43" s="6">
        <v>1</v>
      </c>
      <c r="F43" s="6">
        <v>0</v>
      </c>
      <c r="G43" s="6">
        <v>5</v>
      </c>
      <c r="H43" s="6">
        <v>11</v>
      </c>
      <c r="I43" s="6">
        <v>17</v>
      </c>
      <c r="J43" s="6">
        <v>18</v>
      </c>
      <c r="K43" s="6">
        <v>3</v>
      </c>
      <c r="L43" s="6">
        <v>1</v>
      </c>
      <c r="M43" s="7" t="s">
        <v>10</v>
      </c>
      <c r="N43" s="124"/>
      <c r="O43" s="1"/>
    </row>
    <row r="44" spans="1:15" ht="13.5" thickBot="1" x14ac:dyDescent="0.25">
      <c r="A44" s="1"/>
      <c r="B44" s="6">
        <f t="shared" si="0"/>
        <v>9</v>
      </c>
      <c r="C44" s="6">
        <v>0</v>
      </c>
      <c r="D44" s="6">
        <v>2</v>
      </c>
      <c r="E44" s="6">
        <v>0</v>
      </c>
      <c r="F44" s="6">
        <v>0</v>
      </c>
      <c r="G44" s="6">
        <v>0</v>
      </c>
      <c r="H44" s="6">
        <v>0</v>
      </c>
      <c r="I44" s="6">
        <v>4</v>
      </c>
      <c r="J44" s="6">
        <v>0</v>
      </c>
      <c r="K44" s="6">
        <v>0</v>
      </c>
      <c r="L44" s="6">
        <v>3</v>
      </c>
      <c r="M44" s="7" t="s">
        <v>11</v>
      </c>
      <c r="N44" s="124" t="s">
        <v>33</v>
      </c>
      <c r="O44" s="1"/>
    </row>
    <row r="45" spans="1:15" ht="13.5" thickBot="1" x14ac:dyDescent="0.25">
      <c r="A45" s="1"/>
      <c r="B45" s="6">
        <f t="shared" ref="B45:L45" si="14">SUM(B43:B44)</f>
        <v>65</v>
      </c>
      <c r="C45" s="6">
        <f t="shared" si="14"/>
        <v>0</v>
      </c>
      <c r="D45" s="6">
        <f t="shared" si="14"/>
        <v>2</v>
      </c>
      <c r="E45" s="6">
        <f t="shared" si="14"/>
        <v>1</v>
      </c>
      <c r="F45" s="6">
        <f t="shared" si="14"/>
        <v>0</v>
      </c>
      <c r="G45" s="6">
        <f t="shared" si="14"/>
        <v>5</v>
      </c>
      <c r="H45" s="6">
        <f t="shared" si="14"/>
        <v>11</v>
      </c>
      <c r="I45" s="6">
        <f t="shared" si="14"/>
        <v>21</v>
      </c>
      <c r="J45" s="6">
        <f t="shared" si="14"/>
        <v>18</v>
      </c>
      <c r="K45" s="6">
        <f t="shared" si="14"/>
        <v>3</v>
      </c>
      <c r="L45" s="6">
        <f t="shared" si="14"/>
        <v>4</v>
      </c>
      <c r="M45" s="7" t="s">
        <v>13</v>
      </c>
      <c r="N45" s="9"/>
      <c r="O45" s="1"/>
    </row>
    <row r="46" spans="1:15" ht="13.5" thickBot="1" x14ac:dyDescent="0.25">
      <c r="A46" s="1"/>
      <c r="B46" s="6">
        <f t="shared" ref="B46:K48" si="15">B4+B7+B10+B13+B16+B19+B22+B25+B28+B31+B34+B37+B40+B43</f>
        <v>596</v>
      </c>
      <c r="C46" s="6">
        <f t="shared" si="15"/>
        <v>6</v>
      </c>
      <c r="D46" s="6">
        <f t="shared" si="15"/>
        <v>3</v>
      </c>
      <c r="E46" s="6">
        <f t="shared" si="15"/>
        <v>19</v>
      </c>
      <c r="F46" s="6">
        <f t="shared" si="15"/>
        <v>0</v>
      </c>
      <c r="G46" s="6">
        <f t="shared" si="15"/>
        <v>74</v>
      </c>
      <c r="H46" s="6">
        <f t="shared" si="15"/>
        <v>93</v>
      </c>
      <c r="I46" s="6">
        <f t="shared" si="15"/>
        <v>145</v>
      </c>
      <c r="J46" s="6">
        <f t="shared" si="15"/>
        <v>221</v>
      </c>
      <c r="K46" s="6">
        <f t="shared" si="15"/>
        <v>25</v>
      </c>
      <c r="L46" s="6">
        <f>L4+L7+L10+L13+L16+L19+L22+L25+L28+L31+L34+L37+L40+L43</f>
        <v>10</v>
      </c>
      <c r="M46" s="7" t="s">
        <v>10</v>
      </c>
      <c r="N46" s="3"/>
      <c r="O46" s="1"/>
    </row>
    <row r="47" spans="1:15" ht="13.5" thickBot="1" x14ac:dyDescent="0.25">
      <c r="A47" s="1"/>
      <c r="B47" s="6">
        <f t="shared" si="15"/>
        <v>117</v>
      </c>
      <c r="C47" s="6">
        <f t="shared" si="15"/>
        <v>0</v>
      </c>
      <c r="D47" s="6">
        <f t="shared" si="15"/>
        <v>8</v>
      </c>
      <c r="E47" s="6">
        <f t="shared" si="15"/>
        <v>0</v>
      </c>
      <c r="F47" s="6">
        <f t="shared" si="15"/>
        <v>0</v>
      </c>
      <c r="G47" s="6">
        <f t="shared" si="15"/>
        <v>14</v>
      </c>
      <c r="H47" s="6">
        <f t="shared" si="15"/>
        <v>2</v>
      </c>
      <c r="I47" s="6">
        <f t="shared" si="15"/>
        <v>27</v>
      </c>
      <c r="J47" s="6">
        <f t="shared" si="15"/>
        <v>35</v>
      </c>
      <c r="K47" s="6">
        <f t="shared" si="15"/>
        <v>16</v>
      </c>
      <c r="L47" s="6">
        <f>L5+L8+L11+L14+L17+L20+L23+L26+L29+L32+L35+L38+L41+L44</f>
        <v>15</v>
      </c>
      <c r="M47" s="7" t="s">
        <v>11</v>
      </c>
      <c r="N47" s="11" t="s">
        <v>211</v>
      </c>
      <c r="O47" s="1"/>
    </row>
    <row r="48" spans="1:15" ht="13.5" thickBot="1" x14ac:dyDescent="0.25">
      <c r="A48" s="1"/>
      <c r="B48" s="6">
        <f t="shared" si="15"/>
        <v>713</v>
      </c>
      <c r="C48" s="6">
        <f t="shared" si="15"/>
        <v>6</v>
      </c>
      <c r="D48" s="6">
        <f t="shared" si="15"/>
        <v>11</v>
      </c>
      <c r="E48" s="6">
        <f t="shared" si="15"/>
        <v>19</v>
      </c>
      <c r="F48" s="6">
        <f t="shared" si="15"/>
        <v>0</v>
      </c>
      <c r="G48" s="6">
        <f t="shared" si="15"/>
        <v>88</v>
      </c>
      <c r="H48" s="6">
        <f t="shared" si="15"/>
        <v>95</v>
      </c>
      <c r="I48" s="6">
        <f t="shared" si="15"/>
        <v>172</v>
      </c>
      <c r="J48" s="6">
        <f t="shared" si="15"/>
        <v>256</v>
      </c>
      <c r="K48" s="6">
        <f t="shared" si="15"/>
        <v>41</v>
      </c>
      <c r="L48" s="6">
        <f>L6+L9+L12+L15+L18+L21+L24+L27+L30+L33+L36+L39+L42+L45</f>
        <v>25</v>
      </c>
      <c r="M48" s="7" t="s">
        <v>13</v>
      </c>
      <c r="N48" s="5"/>
      <c r="O48" s="1"/>
    </row>
  </sheetData>
  <mergeCells count="2">
    <mergeCell ref="B1:N1"/>
    <mergeCell ref="B2:N2"/>
  </mergeCells>
  <pageMargins left="0.4" right="0.4" top="0.8" bottom="0.8" header="0.8" footer="0.8"/>
  <pageSetup paperSize="9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Barcode" staticId="0x0101|-708099503" UniqueId="3f693ad3-acb8-494f-99f6-725bdbf0c17d">
      <p:Name>الرموز الشريطية</p:Name>
      <p:Description>إنشاء معرفات فريدة يمكن إدراجها في مستندات Microsoft Office. يمكن أيضاً استخدام الرموز الشريطية للبحث عن هذه المستندات.</p:Description>
      <p:CustomData>
        <barcode/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مستند" ma:contentTypeID="0x01010077FA9A447727C943A80461C05F2BEA8D" ma:contentTypeVersion="18" ma:contentTypeDescription="إنشاء مستند جديد." ma:contentTypeScope="" ma:versionID="ce32acbebf9c1f0900cfdafb745b8721">
  <xsd:schema xmlns:xsd="http://www.w3.org/2001/XMLSchema" xmlns:xs="http://www.w3.org/2001/XMLSchema" xmlns:p="http://schemas.microsoft.com/office/2006/metadata/properties" xmlns:ns1="http://schemas.microsoft.com/sharepoint/v3" xmlns:ns2="bed48c4c-d1e5-4ba6-b25d-447413ee045a" xmlns:ns3="a597eca6-c928-49ca-a345-1a204b4ed132" targetNamespace="http://schemas.microsoft.com/office/2006/metadata/properties" ma:root="true" ma:fieldsID="f60f2439f57dbafba15b6e2fe4b4e2de" ns1:_="" ns2:_="" ns3:_="">
    <xsd:import namespace="http://schemas.microsoft.com/sharepoint/v3"/>
    <xsd:import namespace="bed48c4c-d1e5-4ba6-b25d-447413ee045a"/>
    <xsd:import namespace="a597eca6-c928-49ca-a345-1a204b4ed132"/>
    <xsd:element name="properties">
      <xsd:complexType>
        <xsd:sequence>
          <xsd:element name="documentManagement">
            <xsd:complexType>
              <xsd:all>
                <xsd:element ref="ns2:_x0627__x0644__x0633__x0646__x0629_" minOccurs="0"/>
                <xsd:element ref="ns1:_dlc_Exempt" minOccurs="0"/>
                <xsd:element ref="ns3:_dlc_BarcodeValue" minOccurs="0"/>
                <xsd:element ref="ns3:_dlc_BarcodeImage" minOccurs="0"/>
                <xsd:element ref="ns3:_dlc_BarcodePreview" minOccurs="0"/>
                <xsd:element ref="ns3:_dlc_DocId" minOccurs="0"/>
                <xsd:element ref="ns3:_dlc_DocIdUrl" minOccurs="0"/>
                <xsd:element ref="ns3:_dlc_DocIdPersistId" minOccurs="0"/>
                <xsd:element ref="ns2:Order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9" nillable="true" ma:displayName="الاستثناء من النهج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d48c4c-d1e5-4ba6-b25d-447413ee045a" elementFormDefault="qualified">
    <xsd:import namespace="http://schemas.microsoft.com/office/2006/documentManagement/types"/>
    <xsd:import namespace="http://schemas.microsoft.com/office/infopath/2007/PartnerControls"/>
    <xsd:element name="_x0627__x0644__x0633__x0646__x0629_" ma:index="8" nillable="true" ma:displayName="السنة" ma:list="{75bf000a-4366-4210-9c32-fc1765d92700}" ma:internalName="_x0627__x0644__x0633__x0646__x0629_" ma:showField="Title">
      <xsd:simpleType>
        <xsd:restriction base="dms:Lookup"/>
      </xsd:simpleType>
    </xsd:element>
    <xsd:element name="Order0" ma:index="16" nillable="true" ma:displayName="Order" ma:internalName="Order0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97eca6-c928-49ca-a345-1a204b4ed132" elementFormDefault="qualified">
    <xsd:import namespace="http://schemas.microsoft.com/office/2006/documentManagement/types"/>
    <xsd:import namespace="http://schemas.microsoft.com/office/infopath/2007/PartnerControls"/>
    <xsd:element name="_dlc_BarcodeValue" ma:index="10" nillable="true" ma:displayName="قيمة الرمز الشريطي" ma:description="قيمة الرمز الشريطي المعين إلى هذا العنصر." ma:internalName="_dlc_BarcodeValue" ma:readOnly="true">
      <xsd:simpleType>
        <xsd:restriction base="dms:Text"/>
      </xsd:simpleType>
    </xsd:element>
    <xsd:element name="_dlc_BarcodeImage" ma:index="11" nillable="true" ma:displayName="صورة الرمز الشريطي" ma:description="" ma:hidden="true" ma:internalName="_dlc_BarcodeImage" ma:readOnly="false">
      <xsd:simpleType>
        <xsd:restriction base="dms:Note"/>
      </xsd:simpleType>
    </xsd:element>
    <xsd:element name="_dlc_BarcodePreview" ma:index="12" nillable="true" ma:displayName="الرمز الشريطي" ma:description="الرمز الشريطي المعين إلى هذا العنصر." ma:format="Image" ma:hidden="true" ma:internalName="_dlc_BarcodePreview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" ma:index="13" nillable="true" ma:displayName="قيمة معرّف المستند" ma:description="قيمة معرّف المستند المحددة لهذا العنصر." ma:internalName="_dlc_DocId" ma:readOnly="true">
      <xsd:simpleType>
        <xsd:restriction base="dms:Text"/>
      </xsd:simpleType>
    </xsd:element>
    <xsd:element name="_dlc_DocIdUrl" ma:index="14" nillable="true" ma:displayName="معرّف المستند" ma:description="ارتباط دائم إلى هذا المستند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نوع المحتوى"/>
        <xsd:element ref="dc:title" minOccurs="0" maxOccurs="1" ma:index="4" ma:displayName="العنوان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BarcodeImage xmlns="a597eca6-c928-49ca-a345-1a204b4ed132">iVBORw0KGgoAAAANSUhEUgAAAYIAAABtCAYAAACsn2ZqAAAAAXNSR0IArs4c6QAAAARnQU1BAACxjwv8YQUAAAAJcEhZcwAADsMAAA7DAcdvqGQAAA+cSURBVHhe7Z0JciO5DkR9PB+oj+O79FX6JhprG9fCKmYCqEXWm4iJH/NFEWQSQCLBUvnjwj8gAAIgAAJvjcDHW++ezYMACIAACFwgApwABEAABN4cAYjgzR2A7YMACIAARIAPgAAIgMCbIwARvLkDsH0QAAEQKCeCj4+Py/Xf1j/Tz57/Pfzf5/eUz6Zjl/57uJa91tCyubbPzL5b8yp7dmy6ZxSx76zH8S9nXuWMIntz8VPiSFnrkr87sZJde28Nbqxk9q3GSsaG45tZbKsoDCJ4EFf2QKoD13FE1bl7xBnFoMq+k7CdYHPmVXCHCC63Ym/6b8+/zkA+qq8qfhAhuC19MUMKEIHg0BGncKscx0GUsXsmKzW43ESh4L7nPs9GPgo+vWSVLWAq1uDGSsam6qsZG46fRIuvTNJvrq98QlpDM0gj1ZPjiKpz9xJx1Cmr7CsEpySurfbpBLizF+Ws3WTZw+AM1fkanlFf7O1b9VXlTHokqxQp2X1W5W8UAYpAkvmuwypBEAlaiKC2LaPg6Z59L0EeaRMiaFMHRAARQATfseGotgjJZZMpisA7oyUyggggghsCjoM4ySFb5TitBGXsnslKDa6eAlD2peDcs7NFUj7CZkX7QsEzi1dPIbgkl9m36qsZG04LMYstraHBI6oRR3OSTsQpXOd21qOMhQi2I/09sY320XvEtPS567eR2DiSfCACFAGK4OED1apIDS43OSlJ5ixJube3ysovo1QjRVN27Weyqfqq4nuRfSlFnHO+KAIUwWpfe88EqQZXL1k6QeLIb2deJQHsiS2K4Oca00mQTrHjqiDVjxU/yZIsRAARQASTKOhVaEoigQh+QK3Cq3cubiJWzggi8CiCp4Z4akh6YsatXJRqqFdZKQEfsePuRelpZ/YS3afyvV4SVvaWxau3Bohg/FoehYC9NN8fDRFABBDBd5xEg6+X5JR5lYTuJsseMS197tpR1t7DaE+bahtzq31t2absp/vlERABRCAlQbcqjFTqTpBwRzB+10808aMIxp6kELeKtRIDblytnRdEMHmtheLcTtKJVAduleOsRxmrOKEyjxIYapWlBpBiEyKACK5+UuFT2Vh11FVVzGWSfjN2yifkXUMzSJ3EVjUWIuB3BFcf6LVllKIpW7X21uAm4khhthZXrn2VfJQYzGJblb9pDdEaojU0SJhKklECfMvKL1IsZJJXNllBBPsUJRlSgAggAogAImjmEIVwFOKECCCCkYMtOcQRFUd1xZaV2M56lLF7Vq3cEfR71Vkf36p9kfVbiGD57JUYrPQLFAGXxbNesOKECqFEq8KIfWc9zQuvjh9E96Iky17rpTLglX301rP0uUs4EAFEsConnUDNBklEejpJJ+LsbkA561HGRhJx9BxQBCiCqw+8AvmovhqJ+UjBEI25TPXfzM3lE/LU0AzSSAXnOKLq3L1AjTpllX2F4CLB5syr4L4nya4VVMpae0WSgmfUL3r+Ft1bZt+qr2Zs7FkEV+VvLou5LOay+DuaHLKGCDy8emTkqudMkoYI2tQBEUAEUhJ0q8JIsnQqd6fqcuZVkkxkby5+2UpdrcazdhS8IAKeGhrF65JDZIMk4mjVySEbUM56lLF7Jiu1ynKTk5Jk9tzn2chHwacXG1m/rVgDioCXzs2qUSXJVTi3Yyfi7K5zO+tRxu6ZICGC/kVpttjJ+pNKwq6dSGwcST6qr261LyV2o23KzH0BrSFaQ7SGuCNo5hAlIW2VMLPE6XQfXPLLkCpEMAi2ajB6CkGpjqsdL+tcToCpVU7PgaMYVNl3/OJsbZqtsF3bp+MjvfVF7VSswY2VjE3VVzM2HN+Mxlym+m+ur3xCHh+dQapUVpEkuDavQn6OTddhI/ad9TjB5syrJIDI3lz8su0TNfFn7Sh4RQq1LF4oAi+z0xqiNURriNYQraEHApGibYl0lYIhS3heul8eDRFABBABRAARQARVnHKfR5Ga1VI9Ij23XkOrGnBkdHasUo1UYaD2Xd12hYLBnvs8WztKwacXG0q8ZqvW3hrcWMnsW/XVjA3HT7LYVmVvFAGKAEWAIkARoAiqOAVFcGX3tWrAqTKyY/eslNUqC0VQ88Ohyj42imAcsZXYKjGIIhCrMCchLiWaPQ4kG1BOm0YZq+xZmUcJDIiAH5QNi6BeKygbK5mcoPpqxgatIe4IUAQNBNzEoJCPE2xVhHc2mxXJ6sikHFXPmX1DBO0OEHcE3BFwRyCqU4hgrnwySRkiuLcKlwolBduqxj5EABFABBBBWMkqyaqnCFttzGyCdJKra1+961Las9l9QgTGX0Ta40CyEttpXyhjlT0r8yhtGlVuqwGk2Dxbdd7bW2XAO/j0knDWbyEC/lTlahXhBGo2SHrOriTF6jVkqwwnwKoScRSDKvsOMTn+5cyr4K740x42lbX2YgMiGHtSJckqfhKNuSol8L+flk/Iu4ZmkEacywnyqkQcdcoq+07yhAjW+8s9hbL0uVvAOH56Bpuqr261L8fHlTVU5W/uCLgj4I7gO5ocslYqvS0D3lkriuB+EmuYueSnkqziJ9Hiq4oAUAQPBJSgUpg5K7GdxKGMVZxQmSeKT8S+sx4UAYrg6ptqUoYI1qkDRYAikKpht3KBCPqVqEKya4QXKVB6CsGtjivWsKdNWkNtQoAIIAKIgNZQMzsoRAUR8NTQqvM40t2tNntVjdKmcdoQEWd3qxxnPcrYSEUePQe1yqqQ8ZGzVfBSkp7j03vYjPhlL3Zcv61Yw542VV/dal9b+sV684fW0AiBpUCIJsGl5OY6t+MgyliIYP5KdCXZKwlgT2xpDdX+mhkioDV0QwAiqMdADS4UAW8fbcWgWzQpZO3EuWtf9WOlYMgWoBkVMFpf1UROZaxUtEr1dqYDUVoWjgNnxypOWHUOEEH/6ZXKgK+MjazfOn7q5IgsXhCBl9m5LOaymMvigVJUEtueJEtriNbQ1ScVEvVS/3g0RAARQAQQQTOHKMpDIc4zXVCr6nWrfVWp8EzSbxYX5RPyiokZpEpAOQ6ijN2zalWDS23lOXjtuc+16ry3t2yro7XPimRFa2hSGQuFYe+sHT+p9ItMLkcRCAcfCbhs4Do2qxJx1Cmr7CsEpySuXqBG9+kEuLMX5ayz/tTDJNqCUtaOIqh/QCOT9FEEgxZAdaAqCcoJmuzYPStliIDL4rU+NkQAEYzIx7nJd9oDEUeDCLxLOLeKjhCRcyZnq857FbeLX3Vh0VsfiuCOwKvlnSplQGuI1pDk/G4igwj0xKKoP1pDNUlaVa/KmZyhAIUIjDcPKknJTXQRJ3CcKztW2bNTgbv4ROw760ER8PbRSDsKImhTB4oARYAiMFsCEZJziZTWUO6Pujtt6K3UluInlX6RUQcQAUQAEUAEzRyi9Msd5bp0T+Em4oxNFAGKYHQZ5LQhIo7nOrezHmWsUo0o80STQcS+sx5aQ7SGaA1lNMD4uygCFAGKAEWAInggoBQ+S8pGaec5xY5SgFZRAUQAEUAEEAFEABFUccp9niNYMfIETzUzK/tWGD5Skah9z14lE724qrLvnAmtIVpDtIbqcjeKAEWAIkARoAhQBHWsgiJo82pVlZ99JA5FMK6iWxWlotoiF+FRtbWmfJS19tRyVslWrKGFZxavbKxstS9H9SprqMreKAIUAYoARYAiQBFUcQp3BMMK061ynEpBGbtn1codAS+di/Tro2pHqZRRBF5eRxGgCFAEKAIUAYrAY47eaKXnqFS0kb76Ug9cqY6re5Iogh8E3D61c/bK2Vb721lsZipjJ1aqY0PJEVvZVNVrBbaKn2T32cvH6ucoAhQBigBFgCJAEaicoY1T2L66QutVnHsws7Jvp8rIjlX2XHUOapW1VIU6/VwF556dyiqs53uKulHOOqswe5gc0a8/wqbqq8qZ9M5eicFKX9QydHsUigBFgCJAEaAIUAQZHpl/N1KxZVnxDMys7NupMrJjlWoEReD9lba1CrZXcWd9HEXAH6a5+sBanslkchQBigBFgCJAEaAIMjyCIliqBLMVHIpAe5fOnsoHRRBTUBHFnlVQzr1TNladHFClwmuz9rfSqJ6Q+UAABEAABF4LAYjgtc6L1YIACIBAOQIQQTmkTAgCIAACr4UARPBa58VqQQAEQKAcAYigHFImBAEQAIHXQgAieK3zYrUgAAIgUI4ARFAOKROCAAiAwGshABG81nmxWhAAARAoRwAiKIf0zSf893X5bPxa+/4Dn8/L178WPv8uX5/Xz/9c/g4+/vtn+qcl59+fj/m4/BlOMjJ3t7P8+XXw8ph/X5/NX2F/fH59f+vnn+m4lj1lzG01E5vra39z32P7YQQggjB0fNFB4J7Q2kTwk8yHRHBNyC1iGM7x9/JnQh7PxNlMmH//3BL5ajJdGXOfe7ymKQazfd7mG+9bGXOd94bLhGQczBkLAioCEIGKFOMSCDwq/kYGfibXLyHJfpfHN7Xx2ZYVj/VdyeE7gQ5tPZL787UDaySxNqZPBPd9jtc33bsy5qkE1kkncSB8FQRGCEAEOMT2CDSq4pvRwf/fT7K3L9ySvEIEzTEPIllVBCtjumtc+O5d8TySujLm0Z5a3+f2x4aF90EAInifsz5op0tqYJzUu0n2f+JYJ4JR0p33bW6KIkcE43uL0VwLbaXR3pQxT7L4mty3cEFwkA//frMQwe8/42N32FQDc3LoE8HzQrl1z/D8rKMWkopgziv3y+P/8/Nqkn+s2xgzuh94XsJDBsf68y+1DhH80oM9x7YeCXpy4dm6BO0RwfMSuNcuWbuUft4xRBXBHNPJ/owkP13DaN3KPOc4YFbxSxCACH7JQZ5yGwsJrfXI5/D987NEbVXDyxfT9UTweLKn0/8fkdyCKlHaR8M7lVOeN4t6WQQggpc9urMvvK0Glla9rAgeTwHJj1Gu2C1uDd2vLQaPeCoXwYkxEMHZff511wcRvO7ZnXvlyjP7gx20icAlgVtqnj8++rRTTgRTW8qjofqY0SOwT9Lp/I7h3E7B6s6KAERw1pN56XV5auC61TkRCCRwJZvW/cPSL5hTRDD/8dq9xeX/WEz6QdmUSKXfULy007D4AxGACA4E/9eaNtVAkwhWX1Xx/KHVgyxGr7Ro/Ahr8oOy533E6OK5O+bnyaSf+4z2D76U10IoY+6toJ/HVXlg6NdGzOEbgwgOPwIWAAIgAALHIgARHIs/1kEABEDgcAQggsOPgAWAAAiAwLEIQATH4o91EAABEDgcAYjg8CNgASAAAiBwLAIQwbH4Yx0EQAAEDkcAIjj8CFgACIAACByLAERwLP5YBwEQAIHDEfgPMHt6f4vPYzQAAAAASUVORK5CYII=</_dlc_BarcodeImage>
    <_dlc_BarcodeValue xmlns="a597eca6-c928-49ca-a345-1a204b4ed132">7423115006</_dlc_BarcodeValue>
    <_x0627__x0644__x0633__x0646__x0629_ xmlns="bed48c4c-d1e5-4ba6-b25d-447413ee045a">48</_x0627__x0644__x0633__x0646__x0629_>
    <_dlc_BarcodePreview xmlns="a597eca6-c928-49ca-a345-1a204b4ed132">
      <Url>http://www.moe.gov.sa/ar/Ministry/Deputy-Ministry-for-Planning-and-Information-affairs/HESC/Ehsaat/_layouts/barcodeimagefromitem.aspx?ID=33&amp;list=bed48c4c-d1e5-4ba6-b25d-447413ee045a</Url>
      <Description>الرمز الشريطي: 7423115006</Description>
    </_dlc_BarcodePreview>
    <_dlc_DocId xmlns="a597eca6-c928-49ca-a345-1a204b4ed132">MOHE-136-33</_dlc_DocId>
    <_dlc_DocIdUrl xmlns="a597eca6-c928-49ca-a345-1a204b4ed132">
      <Url>http://www.moe.gov.sa/ar/Ministry/Deputy-Ministry-for-Planning-and-Information-affairs/HESC/Ehsaat/_layouts/15/DocIdRedir.aspx?ID=MOHE-136-33</Url>
      <Description>MOHE-136-33</Description>
    </_dlc_DocIdUrl>
    <Order0 xmlns="bed48c4c-d1e5-4ba6-b25d-447413ee045a" xsi:nil="true"/>
  </documentManagement>
</p:properties>
</file>

<file path=customXml/item5.xml><?xml version="1.0" encoding="utf-8"?>
<?mso-contentType ?>
<spe:Receivers xmlns:spe="http://schemas.microsoft.com/sharepoint/events">
  <Receiver>
    <Name>Policy Barcode Generator</Name>
    <Synchronization>Synchronous</Synchronization>
    <Type>10001</Type>
    <SequenceNumber>1000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10002</Type>
    <SequenceNumber>1001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10004</Type>
    <SequenceNumber>1002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Policy Barcode Generator</Name>
    <Synchronization>Synchronous</Synchronization>
    <Type>10006</Type>
    <SequenceNumber>1003</SequenceNumber>
    <Url/>
    <Assembly>Microsoft.Office.Policy, Version=14.0.0.0, Culture=neutral, PublicKeyToken=71e9bce111e9429c</Assembly>
    <Class>Microsoft.Office.RecordsManagement.Internal.BarcodeHandler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Policy Auditing</Name>
    <Synchronization>Synchronous</Synchronization>
    <Type>10001</Type>
    <SequenceNumber>1100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10002</Type>
    <SequenceNumber>1101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10004</Type>
    <SequenceNumber>1102</SequenceNumber>
    <Url/>
    <Assembly>Microsoft.Office.Policy, Version=14.0.0.0, Culture=neutral, PublicKeyToken=71e9bce111e9429c</Assembly>
    <Class>Microsoft.Office.RecordsManagement.Internal.AuditHandler</Class>
    <Data/>
    <Filter/>
  </Receiver>
  <Receiver>
    <Name>Policy Auditing</Name>
    <Synchronization>Synchronous</Synchronization>
    <Type>10006</Type>
    <SequenceNumber>1103</SequenceNumber>
    <Url/>
    <Assembly>Microsoft.Office.Policy, Version=14.0.0.0, Culture=neutral, PublicKeyToken=71e9bce111e9429c</Assembly>
    <Class>Microsoft.Office.RecordsManagement.Internal.AuditHandler</Class>
    <Data/>
    <Filter/>
  </Receiver>
</spe:Receivers>
</file>

<file path=customXml/itemProps1.xml><?xml version="1.0" encoding="utf-8"?>
<ds:datastoreItem xmlns:ds="http://schemas.openxmlformats.org/officeDocument/2006/customXml" ds:itemID="{057814FA-CCB4-4B30-B72E-0148A3D2C847}"/>
</file>

<file path=customXml/itemProps2.xml><?xml version="1.0" encoding="utf-8"?>
<ds:datastoreItem xmlns:ds="http://schemas.openxmlformats.org/officeDocument/2006/customXml" ds:itemID="{2A86FAD2-D56F-4098-BA5B-8F5203641B5C}"/>
</file>

<file path=customXml/itemProps3.xml><?xml version="1.0" encoding="utf-8"?>
<ds:datastoreItem xmlns:ds="http://schemas.openxmlformats.org/officeDocument/2006/customXml" ds:itemID="{E3C9160B-6493-4C7A-84A9-616C587A6449}"/>
</file>

<file path=customXml/itemProps4.xml><?xml version="1.0" encoding="utf-8"?>
<ds:datastoreItem xmlns:ds="http://schemas.openxmlformats.org/officeDocument/2006/customXml" ds:itemID="{99CEC7A6-1688-42A5-9AA2-2D5F1FE61FCE}"/>
</file>

<file path=customXml/itemProps5.xml><?xml version="1.0" encoding="utf-8"?>
<ds:datastoreItem xmlns:ds="http://schemas.openxmlformats.org/officeDocument/2006/customXml" ds:itemID="{541BB9EE-BD1A-4DF7-BCC6-96B653DB9C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74</vt:i4>
      </vt:variant>
      <vt:variant>
        <vt:lpstr>نطاقات تمت تسميتها</vt:lpstr>
      </vt:variant>
      <vt:variant>
        <vt:i4>14</vt:i4>
      </vt:variant>
    </vt:vector>
  </HeadingPairs>
  <TitlesOfParts>
    <vt:vector size="88" baseType="lpstr">
      <vt:lpstr>فهرس </vt:lpstr>
      <vt:lpstr>1-1</vt:lpstr>
      <vt:lpstr>1-2</vt:lpstr>
      <vt:lpstr>1-3</vt:lpstr>
      <vt:lpstr>1-4</vt:lpstr>
      <vt:lpstr>1-5</vt:lpstr>
      <vt:lpstr>1-6</vt:lpstr>
      <vt:lpstr>1-7</vt:lpstr>
      <vt:lpstr>1-8</vt:lpstr>
      <vt:lpstr>1-9</vt:lpstr>
      <vt:lpstr>1-10</vt:lpstr>
      <vt:lpstr>1-11</vt:lpstr>
      <vt:lpstr>2-1</vt:lpstr>
      <vt:lpstr>2-2</vt:lpstr>
      <vt:lpstr>2-3</vt:lpstr>
      <vt:lpstr>2-4</vt:lpstr>
      <vt:lpstr>2-5</vt:lpstr>
      <vt:lpstr>2-6</vt:lpstr>
      <vt:lpstr>2-7</vt:lpstr>
      <vt:lpstr>2-8</vt:lpstr>
      <vt:lpstr>2-9</vt:lpstr>
      <vt:lpstr>3-1</vt:lpstr>
      <vt:lpstr>3-2</vt:lpstr>
      <vt:lpstr>3-3</vt:lpstr>
      <vt:lpstr>3-4</vt:lpstr>
      <vt:lpstr>3-5</vt:lpstr>
      <vt:lpstr>3-6</vt:lpstr>
      <vt:lpstr>3-8</vt:lpstr>
      <vt:lpstr>3-7</vt:lpstr>
      <vt:lpstr>3-9</vt:lpstr>
      <vt:lpstr>4-1</vt:lpstr>
      <vt:lpstr>4-2</vt:lpstr>
      <vt:lpstr>4-3</vt:lpstr>
      <vt:lpstr>4-4</vt:lpstr>
      <vt:lpstr>4-5</vt:lpstr>
      <vt:lpstr>4-6</vt:lpstr>
      <vt:lpstr>4-7</vt:lpstr>
      <vt:lpstr>4-8</vt:lpstr>
      <vt:lpstr>4-9</vt:lpstr>
      <vt:lpstr>5-1</vt:lpstr>
      <vt:lpstr>5-2</vt:lpstr>
      <vt:lpstr>5-3</vt:lpstr>
      <vt:lpstr>5-4</vt:lpstr>
      <vt:lpstr>6-1</vt:lpstr>
      <vt:lpstr>6-2</vt:lpstr>
      <vt:lpstr>6-3</vt:lpstr>
      <vt:lpstr>6-4</vt:lpstr>
      <vt:lpstr>7-1</vt:lpstr>
      <vt:lpstr>7-2</vt:lpstr>
      <vt:lpstr>7-3</vt:lpstr>
      <vt:lpstr>7-4</vt:lpstr>
      <vt:lpstr>7-5</vt:lpstr>
      <vt:lpstr>7-6</vt:lpstr>
      <vt:lpstr>7-7</vt:lpstr>
      <vt:lpstr>7-8</vt:lpstr>
      <vt:lpstr>7-9</vt:lpstr>
      <vt:lpstr>8-1</vt:lpstr>
      <vt:lpstr>8-2</vt:lpstr>
      <vt:lpstr>8-3</vt:lpstr>
      <vt:lpstr>8-4</vt:lpstr>
      <vt:lpstr>8-5</vt:lpstr>
      <vt:lpstr>8-6</vt:lpstr>
      <vt:lpstr>8-7</vt:lpstr>
      <vt:lpstr>8-8</vt:lpstr>
      <vt:lpstr>8-9</vt:lpstr>
      <vt:lpstr>9-1</vt:lpstr>
      <vt:lpstr>9-2</vt:lpstr>
      <vt:lpstr>9-3</vt:lpstr>
      <vt:lpstr>9-4</vt:lpstr>
      <vt:lpstr>9-5</vt:lpstr>
      <vt:lpstr>9-6</vt:lpstr>
      <vt:lpstr>9-7</vt:lpstr>
      <vt:lpstr>9-8</vt:lpstr>
      <vt:lpstr>9-9</vt:lpstr>
      <vt:lpstr>'2-1'!Print_Area</vt:lpstr>
      <vt:lpstr>'2-4'!Print_Area</vt:lpstr>
      <vt:lpstr>'2-6'!Print_Area</vt:lpstr>
      <vt:lpstr>'2-8'!Print_Area</vt:lpstr>
      <vt:lpstr>'2-9'!Print_Area</vt:lpstr>
      <vt:lpstr>'3-1'!Print_Area</vt:lpstr>
      <vt:lpstr>'3-2'!Print_Area</vt:lpstr>
      <vt:lpstr>'3-4'!Print_Area</vt:lpstr>
      <vt:lpstr>'4-1'!Print_Area</vt:lpstr>
      <vt:lpstr>'4-2'!Print_Area</vt:lpstr>
      <vt:lpstr>'4-4'!Print_Area</vt:lpstr>
      <vt:lpstr>'فهرس '!Print_Area</vt:lpstr>
      <vt:lpstr>'1-2'!Print_Titles</vt:lpstr>
      <vt:lpstr>'3-3'!Print_Titles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احصاءات التعليم العالي لعام 1429-1428</dc:title>
  <dc:creator/>
  <cp:lastModifiedBy/>
  <dcterms:created xsi:type="dcterms:W3CDTF">2006-09-13T11:26:54Z</dcterms:created>
  <dcterms:modified xsi:type="dcterms:W3CDTF">2012-01-03T08:54:17Z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1ccc0a87-d5a6-413e-85dc-853e7e1b0a8b</vt:lpwstr>
  </property>
  <property fmtid="{D5CDD505-2E9C-101B-9397-08002B2CF9AE}" pid="3" name="ContentTypeId">
    <vt:lpwstr>0x01010077FA9A447727C943A80461C05F2BEA8D</vt:lpwstr>
  </property>
</Properties>
</file>